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pivotTables/pivotTable2.xml" ContentType="application/vnd.openxmlformats-officedocument.spreadsheetml.pivotTable+xml"/>
  <Override PartName="/xl/tables/table2.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ivotTables/pivotTable3.xml" ContentType="application/vnd.openxmlformats-officedocument.spreadsheetml.pivotTable+xml"/>
  <Override PartName="/xl/tables/table3.xml" ContentType="application/vnd.openxmlformats-officedocument.spreadsheetml.table+xml"/>
  <Override PartName="/xl/pivotTables/pivotTable4.xml" ContentType="application/vnd.openxmlformats-officedocument.spreadsheetml.pivotTable+xml"/>
  <Override PartName="/xl/tables/table4.xml" ContentType="application/vnd.openxmlformats-officedocument.spreadsheetml.table+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xml"/>
  <Override PartName="/xl/comments10.xml" ContentType="application/vnd.openxmlformats-officedocument.spreadsheetml.comment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Ex1.xml" ContentType="application/vnd.ms-office.chartex+xml"/>
  <Override PartName="/xl/charts/style15.xml" ContentType="application/vnd.ms-office.chartstyle+xml"/>
  <Override PartName="/xl/charts/colors15.xml" ContentType="application/vnd.ms-office.chartcolorstyle+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xml" ContentType="application/vnd.openxmlformats-officedocument.drawing+xml"/>
  <Override PartName="/xl/charts/chart16.xml" ContentType="application/vnd.openxmlformats-officedocument.drawingml.chart+xml"/>
  <Override PartName="/xl/charts/style17.xml" ContentType="application/vnd.ms-office.chartstyle+xml"/>
  <Override PartName="/xl/charts/colors17.xml" ContentType="application/vnd.ms-office.chartcolorstyle+xml"/>
  <Override PartName="/xl/charts/chart17.xml" ContentType="application/vnd.openxmlformats-officedocument.drawingml.chart+xml"/>
  <Override PartName="/xl/charts/style18.xml" ContentType="application/vnd.ms-office.chartstyle+xml"/>
  <Override PartName="/xl/charts/colors18.xml" ContentType="application/vnd.ms-office.chartcolorstyle+xml"/>
  <Override PartName="/xl/charts/chart18.xml" ContentType="application/vnd.openxmlformats-officedocument.drawingml.chart+xml"/>
  <Override PartName="/xl/charts/style19.xml" ContentType="application/vnd.ms-office.chartstyle+xml"/>
  <Override PartName="/xl/charts/colors19.xml" ContentType="application/vnd.ms-office.chartcolorstyle+xml"/>
  <Override PartName="/xl/charts/chart19.xml" ContentType="application/vnd.openxmlformats-officedocument.drawingml.chart+xml"/>
  <Override PartName="/xl/charts/style20.xml" ContentType="application/vnd.ms-office.chartstyle+xml"/>
  <Override PartName="/xl/charts/colors20.xml" ContentType="application/vnd.ms-office.chartcolorstyle+xml"/>
  <Override PartName="/xl/pivotTables/pivotTable5.xml" ContentType="application/vnd.openxmlformats-officedocument.spreadsheetml.pivot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never" codeName="ThisWorkbook" hidePivotFieldList="1"/>
  <mc:AlternateContent xmlns:mc="http://schemas.openxmlformats.org/markup-compatibility/2006">
    <mc:Choice Requires="x15">
      <x15ac:absPath xmlns:x15ac="http://schemas.microsoft.com/office/spreadsheetml/2010/11/ac" url="Z:\npt_fs2\Corporate Administration\Governance, Board and Committees\01 Board\01 Formal Board\2025-26\02 May 2025\PART A\Papers QA'd\"/>
    </mc:Choice>
  </mc:AlternateContent>
  <xr:revisionPtr revIDLastSave="0" documentId="13_ncr:1_{3B268FAC-58A8-4B68-BCBC-10B0AC63256F}" xr6:coauthVersionLast="47" xr6:coauthVersionMax="47" xr10:uidLastSave="{00000000-0000-0000-0000-000000000000}"/>
  <bookViews>
    <workbookView xWindow="-110" yWindow="-110" windowWidth="19420" windowHeight="10300" tabRatio="567" firstSheet="27" activeTab="30" xr2:uid="{00000000-000D-0000-FFFF-FFFF00000000}"/>
  </bookViews>
  <sheets>
    <sheet name="Front Sheet and Checklist" sheetId="4" r:id="rId1"/>
    <sheet name="General Notes" sheetId="5" r:id="rId2"/>
    <sheet name="Ref.Staff" sheetId="84" state="hidden" r:id="rId3"/>
    <sheet name="Validation" sheetId="6" r:id="rId4"/>
    <sheet name="Ref Bedplan" sheetId="85" state="hidden" r:id="rId5"/>
    <sheet name="Definitions and Guidance" sheetId="17" state="hidden" r:id="rId6"/>
    <sheet name="Cost Drivers" sheetId="67" state="hidden" r:id="rId7"/>
    <sheet name="Data.Activity" sheetId="87" r:id="rId8"/>
    <sheet name="Vaccinations" sheetId="88" r:id="rId9"/>
    <sheet name="Bedplan" sheetId="89" r:id="rId10"/>
    <sheet name="Workforce WTE" sheetId="90" r:id="rId11"/>
    <sheet name="Primary Care Activity" sheetId="91" r:id="rId12"/>
    <sheet name="CHC &amp; FNC" sheetId="92" r:id="rId13"/>
    <sheet name="Mental Health Activity" sheetId="93" r:id="rId14"/>
    <sheet name="Cancer Care Activity" sheetId="94" r:id="rId15"/>
    <sheet name="Unsch.Care &amp; Ambulance Activity" sheetId="95" r:id="rId16"/>
    <sheet name="Planned Care Activity" sheetId="96" r:id="rId17"/>
    <sheet name="F1 - Revenue Plan" sheetId="26" r:id="rId18"/>
    <sheet name="Ref Net Exp" sheetId="77" state="hidden" r:id="rId19"/>
    <sheet name="Ref Workforce" sheetId="79" state="hidden" r:id="rId20"/>
    <sheet name="F2 - Net Expenditure" sheetId="32" r:id="rId21"/>
    <sheet name="F3 - ULD" sheetId="24" r:id="rId22"/>
    <sheet name="F4 - Funding Assumptions" sheetId="28" r:id="rId23"/>
    <sheet name="F5 - Cost Pressures" sheetId="30" r:id="rId24"/>
    <sheet name="Tie up with MMR" sheetId="63" state="hidden" r:id="rId25"/>
    <sheet name="F6 - Savings Tracker" sheetId="38" r:id="rId26"/>
    <sheet name="Ref Lists" sheetId="1" state="hidden" r:id="rId27"/>
    <sheet name="F7 - Opportunity Pipeline" sheetId="64" r:id="rId28"/>
    <sheet name="F8 - Pay Split" sheetId="36" r:id="rId29"/>
    <sheet name="F9 - Project Profile" sheetId="34" r:id="rId30"/>
    <sheet name="Data.Finance" sheetId="2" r:id="rId31"/>
    <sheet name="F10 - Risks &amp; Opportunities" sheetId="40" r:id="rId32"/>
    <sheet name="Data.Capital" sheetId="86" state="hidden" r:id="rId33"/>
    <sheet name="F11 - Capital Data" sheetId="44" r:id="rId34"/>
    <sheet name="F12 - Other Estates Data" sheetId="60" r:id="rId35"/>
    <sheet name="A1 Graphs - Finance" sheetId="69" r:id="rId36"/>
    <sheet name="A2 Movements by spend area" sheetId="49" r:id="rId37"/>
    <sheet name="A3 Cost Pressures Summary" sheetId="52" r:id="rId38"/>
    <sheet name="A4 Savings Summary" sheetId="51" r:id="rId39"/>
    <sheet name="A5 Capital Summary" sheetId="82" r:id="rId40"/>
    <sheet name="A6 Workforce &amp; Pay analysis" sheetId="46" r:id="rId41"/>
    <sheet name="A7 Bed analysis" sheetId="73" r:id="rId42"/>
    <sheet name="Ref Net Spend" sheetId="76" state="hidden" r:id="rId43"/>
    <sheet name="Ref Historic Spend" sheetId="80" state="hidden" r:id="rId44"/>
  </sheets>
  <externalReferences>
    <externalReference r:id="rId45"/>
    <externalReference r:id="rId46"/>
    <externalReference r:id="rId47"/>
  </externalReferences>
  <definedNames>
    <definedName name="_xlnm._FilterDatabase" localSheetId="7" hidden="1">Data.Activity!$A$1:$BL$425</definedName>
    <definedName name="_xlnm._FilterDatabase" localSheetId="32" hidden="1">Data.Capital!$A$1:$Q$141</definedName>
    <definedName name="_xlnm._FilterDatabase" localSheetId="30" hidden="1">Data.Finance!$A$1:$AT$2426</definedName>
    <definedName name="_xlnm._FilterDatabase" localSheetId="11" hidden="1">'Primary Care Activity'!$A$1:$A$113</definedName>
    <definedName name="_xlnm._FilterDatabase" localSheetId="4" hidden="1">'Ref Bedplan'!$A$1:$K$105</definedName>
    <definedName name="_xlnm._FilterDatabase" localSheetId="26" hidden="1">'Ref Lists'!$L$1:$L$29</definedName>
    <definedName name="_xlnm._FilterDatabase" localSheetId="18" hidden="1">'Ref Net Exp'!$A$1:$G$4915</definedName>
    <definedName name="_xlnm._FilterDatabase" localSheetId="42" hidden="1">'Ref Net Spend'!$M$3:$P$128</definedName>
    <definedName name="_xlnm._FilterDatabase" localSheetId="2" hidden="1">'Ref.Staff'!$A$1:$Q$478</definedName>
    <definedName name="_xlchart.v1.0" hidden="1">'A6 Workforce &amp; Pay analysis'!$AA$12:$AA$17</definedName>
    <definedName name="_xlchart.v1.1" hidden="1">'A6 Workforce &amp; Pay analysis'!$S$12:$S$17</definedName>
    <definedName name="BNE_MESSAGES_HIDDEN" localSheetId="36" hidden="1">#REF!</definedName>
    <definedName name="BNE_MESSAGES_HIDDEN" localSheetId="39" hidden="1">#REF!</definedName>
    <definedName name="BNE_MESSAGES_HIDDEN" localSheetId="40" hidden="1">#REF!</definedName>
    <definedName name="BNE_MESSAGES_HIDDEN" localSheetId="9" hidden="1">#REF!</definedName>
    <definedName name="BNE_MESSAGES_HIDDEN" localSheetId="17" hidden="1">#REF!</definedName>
    <definedName name="BNE_MESSAGES_HIDDEN" localSheetId="31" hidden="1">#REF!</definedName>
    <definedName name="BNE_MESSAGES_HIDDEN" localSheetId="33" hidden="1">#REF!</definedName>
    <definedName name="BNE_MESSAGES_HIDDEN" localSheetId="34" hidden="1">#REF!</definedName>
    <definedName name="BNE_MESSAGES_HIDDEN" localSheetId="20" hidden="1">#REF!</definedName>
    <definedName name="BNE_MESSAGES_HIDDEN" localSheetId="22" hidden="1">#REF!</definedName>
    <definedName name="BNE_MESSAGES_HIDDEN" localSheetId="28" hidden="1">#REF!</definedName>
    <definedName name="BNE_MESSAGES_HIDDEN" localSheetId="29" hidden="1">#REF!</definedName>
    <definedName name="BNE_MESSAGES_HIDDEN" hidden="1">#REF!</definedName>
    <definedName name="_xlnm.Print_Area" localSheetId="35">'A1 Graphs - Finance'!$A$22:$V$88</definedName>
    <definedName name="_xlnm.Print_Area" localSheetId="36">'A2 Movements by spend area'!$B$1:$H$49</definedName>
    <definedName name="_xlnm.Print_Area" localSheetId="37">'A3 Cost Pressures Summary'!$B$1:$J$73</definedName>
    <definedName name="_xlnm.Print_Area" localSheetId="38">'A4 Savings Summary'!$B$1:$Q$53</definedName>
    <definedName name="_xlnm.Print_Area" localSheetId="39">'A5 Capital Summary'!$B$1:$F$18</definedName>
    <definedName name="_xlnm.Print_Area" localSheetId="40">'A6 Workforce &amp; Pay analysis'!$B$2:$L$68</definedName>
    <definedName name="_xlnm.Print_Area" localSheetId="41">'A7 Bed analysis'!$B$1:$P$31</definedName>
    <definedName name="_xlnm.Print_Area" localSheetId="17">'F1 - Revenue Plan'!$A$1:$H$36</definedName>
    <definedName name="_xlnm.Print_Area" localSheetId="31">'F10 - Risks &amp; Opportunities'!$B$2:$E$52</definedName>
    <definedName name="_xlnm.Print_Area" localSheetId="34">'F12 - Other Estates Data'!$B$2:$G$17</definedName>
    <definedName name="_xlnm.Print_Area" localSheetId="20">'F2 - Net Expenditure'!$B$1:$F$41</definedName>
    <definedName name="_xlnm.Print_Area" localSheetId="21">'F3 - ULD'!$B$1:$D$46</definedName>
    <definedName name="_xlnm.Print_Area" localSheetId="22">'F4 - Funding Assumptions'!$B$1:$F$92</definedName>
    <definedName name="_xlnm.Print_Area" localSheetId="27">'F7 - Opportunity Pipeline'!$B$1:$H$69</definedName>
    <definedName name="_xlnm.Print_Area" localSheetId="28">'F8 - Pay Split'!$B$2:$D$50</definedName>
    <definedName name="_xlnm.Print_Area" localSheetId="13">'Mental Health Activity'!$B$2:$AG$38</definedName>
    <definedName name="Savings01">'Ref Lists'!$Q$3:$Q$11</definedName>
    <definedName name="Savings02">'Ref Lists'!$R$3:$R$8</definedName>
    <definedName name="Savings03">'Ref Lists'!$S$3:$S$8</definedName>
    <definedName name="Savings04">'Ref Lists'!$T$3:$T$10</definedName>
    <definedName name="Savings05">'Ref Lists'!$U$3:$U$8</definedName>
    <definedName name="Savings06">'Ref Lists'!$V$3:$V$7</definedName>
    <definedName name="Savings07">'Ref Lists'!$W$3:$W$10</definedName>
    <definedName name="Savings08">'Ref Lists'!$X$3:$X$4</definedName>
    <definedName name="Savings09">'Ref Lists'!$Y$3:$Y$17</definedName>
    <definedName name="Savings10">'Ref Lists'!$Z$3:$Z$17</definedName>
    <definedName name="Savings11">'Ref Lists'!$AA$3:$AA$17</definedName>
    <definedName name="Savings12">'Ref Lists'!$AB$3:$AB$7</definedName>
    <definedName name="Savings13">'Ref Lists'!$AC$3:$AC$5</definedName>
    <definedName name="Savings14">'Ref Lists'!$AD$3:$AD$5</definedName>
    <definedName name="Savings15">'Ref Lists'!$AE$3:$AE$7</definedName>
    <definedName name="Savings16">'Ref Lists'!$AF$3:$AF$10</definedName>
    <definedName name="Savings17">'Ref Lists'!$AG$3:$AG$10</definedName>
    <definedName name="Savings18">'Ref Lists'!$AH$3:$AH$7</definedName>
    <definedName name="Savings19">'Ref Lists'!$AI$3:$AI$5</definedName>
    <definedName name="Savings20">'Ref Lists'!$AJ$3:$AJ$6</definedName>
    <definedName name="Savings21">'Ref Lists'!$AK$3:$AK$11</definedName>
    <definedName name="Savings22">'Ref Lists'!$AL$3:$AL$5</definedName>
    <definedName name="xxxxxxx" localSheetId="39" hidden="1">#REF!</definedName>
    <definedName name="xxxxxxx" localSheetId="40" hidden="1">#REF!</definedName>
    <definedName name="xxxxxxx" localSheetId="31" hidden="1">#REF!</definedName>
    <definedName name="xxxxxxx" localSheetId="33" hidden="1">#REF!</definedName>
    <definedName name="xxxxxxx" localSheetId="34" hidden="1">#REF!</definedName>
    <definedName name="xxxxxxx" localSheetId="28" hidden="1">#REF!</definedName>
    <definedName name="xxxxxxx" hidden="1">#REF!</definedName>
    <definedName name="Z_95B84344_25FE_4A71_9083_825DAB5E8F01_.wvu.Cols" localSheetId="37" hidden="1">'A3 Cost Pressures Summary'!$AD:$AO</definedName>
    <definedName name="Z_95B84344_25FE_4A71_9083_825DAB5E8F01_.wvu.Cols" localSheetId="38" hidden="1">'A4 Savings Summary'!#REF!</definedName>
    <definedName name="Z_95B84344_25FE_4A71_9083_825DAB5E8F01_.wvu.Cols" localSheetId="40" hidden="1">'A6 Workforce &amp; Pay analysis'!#REF!,'A6 Workforce &amp; Pay analysis'!$H:$H</definedName>
    <definedName name="Z_95B84344_25FE_4A71_9083_825DAB5E8F01_.wvu.Cols" localSheetId="23" hidden="1">'F5 - Cost Pressures'!#REF!</definedName>
    <definedName name="Z_95B84344_25FE_4A71_9083_825DAB5E8F01_.wvu.Cols" localSheetId="25" hidden="1">'F6 - Savings Tracker'!#REF!</definedName>
    <definedName name="Z_95B84344_25FE_4A71_9083_825DAB5E8F01_.wvu.FilterData" localSheetId="32" hidden="1">Data.Capital!$A$1:$Q$3</definedName>
    <definedName name="Z_95B84344_25FE_4A71_9083_825DAB5E8F01_.wvu.FilterData" localSheetId="30" hidden="1">Data.Finance!$A$1:$AT$2426</definedName>
    <definedName name="Z_95B84344_25FE_4A71_9083_825DAB5E8F01_.wvu.FilterData" localSheetId="11" hidden="1">'Primary Care Activity'!$U$1:$U$63</definedName>
    <definedName name="Z_95B84344_25FE_4A71_9083_825DAB5E8F01_.wvu.Rows" localSheetId="37" hidden="1">'A3 Cost Pressures Summary'!#REF!,'A3 Cost Pressures Summary'!#REF!,'A3 Cost Pressures Summary'!#REF!</definedName>
    <definedName name="Z_95B84344_25FE_4A71_9083_825DAB5E8F01_.wvu.Rows" localSheetId="17" hidden="1">'F1 - Revenue Plan'!$6:$7</definedName>
    <definedName name="Z_95B84344_25FE_4A71_9083_825DAB5E8F01_.wvu.Rows" localSheetId="23" hidden="1">'F5 - Cost Pressures'!$17:$38,'F5 - Cost Pressures'!$49:$64,'F5 - Cost Pressures'!#REF!</definedName>
  </definedNames>
  <calcPr calcId="191029"/>
  <customWorkbookViews>
    <customWorkbookView name="Bryan Crosland - Personal View" guid="{95B84344-25FE-4A71-9083-825DAB5E8F01}" mergeInterval="0" personalView="1" maximized="1" xWindow="-8" yWindow="-8" windowWidth="1936" windowHeight="1056" tabRatio="815" activeSheetId="26"/>
  </customWorkbookViews>
  <pivotCaches>
    <pivotCache cacheId="0" r:id="rId48"/>
    <pivotCache cacheId="1" r:id="rId49"/>
    <pivotCache cacheId="2" r:id="rId50"/>
    <pivotCache cacheId="3" r:id="rId51"/>
    <pivotCache cacheId="4" r:id="rId5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13" i="91" l="1"/>
  <c r="U113" i="91"/>
  <c r="E113" i="91" s="1"/>
  <c r="AJ113" i="91" s="1"/>
  <c r="AI112" i="91"/>
  <c r="U112" i="91"/>
  <c r="AJ112" i="91" s="1"/>
  <c r="AI111" i="91"/>
  <c r="U111" i="91"/>
  <c r="E111" i="91" s="1"/>
  <c r="AJ111" i="91" s="1"/>
  <c r="AI110" i="91"/>
  <c r="U110" i="91"/>
  <c r="AJ110" i="91" s="1"/>
  <c r="AJ109" i="91"/>
  <c r="AI109" i="91"/>
  <c r="U109" i="91"/>
  <c r="AI108" i="91"/>
  <c r="U108" i="91"/>
  <c r="AJ108" i="91" s="1"/>
  <c r="AI107" i="91"/>
  <c r="U107" i="91"/>
  <c r="AJ107" i="91" s="1"/>
  <c r="AI104" i="91"/>
  <c r="U104" i="91"/>
  <c r="AJ104" i="91" s="1"/>
  <c r="AI103" i="91"/>
  <c r="AJ103" i="91" s="1"/>
  <c r="U103" i="91"/>
  <c r="AI102" i="91"/>
  <c r="U102" i="91"/>
  <c r="E102" i="91"/>
  <c r="AJ102" i="91" s="1"/>
  <c r="AI101" i="91"/>
  <c r="U101" i="91"/>
  <c r="AJ101" i="91" s="1"/>
  <c r="AI100" i="91"/>
  <c r="U100" i="91"/>
  <c r="AJ100" i="91" s="1"/>
  <c r="AJ99" i="91"/>
  <c r="AI99" i="91"/>
  <c r="U99" i="91"/>
  <c r="AI98" i="91"/>
  <c r="U98" i="91"/>
  <c r="AJ98" i="91" s="1"/>
  <c r="AI95" i="91"/>
  <c r="U95" i="91"/>
  <c r="E95" i="91"/>
  <c r="AJ95" i="91" s="1"/>
  <c r="AI94" i="91"/>
  <c r="U94" i="91"/>
  <c r="E94" i="91" s="1"/>
  <c r="AJ94" i="91" s="1"/>
  <c r="AI93" i="91"/>
  <c r="U93" i="91"/>
  <c r="E93" i="91"/>
  <c r="AJ93" i="91" s="1"/>
  <c r="AI92" i="91"/>
  <c r="U92" i="91"/>
  <c r="E92" i="91"/>
  <c r="AJ92" i="91" s="1"/>
  <c r="AI91" i="91"/>
  <c r="U91" i="91"/>
  <c r="E91" i="91" s="1"/>
  <c r="AJ91" i="91" s="1"/>
  <c r="AI90" i="91"/>
  <c r="U90" i="91"/>
  <c r="E90" i="91"/>
  <c r="AJ90" i="91" s="1"/>
  <c r="AI89" i="91"/>
  <c r="U89" i="91"/>
  <c r="E89" i="91"/>
  <c r="AJ89" i="91" s="1"/>
  <c r="AI88" i="91"/>
  <c r="U88" i="91"/>
  <c r="E88" i="91" s="1"/>
  <c r="AJ88" i="91" s="1"/>
  <c r="AI87" i="91"/>
  <c r="U87" i="91"/>
  <c r="E87" i="91"/>
  <c r="AJ87" i="91" s="1"/>
  <c r="AI86" i="91"/>
  <c r="U86" i="91"/>
  <c r="E86" i="91"/>
  <c r="AJ86" i="91" s="1"/>
  <c r="AI85" i="91"/>
  <c r="U85" i="91"/>
  <c r="E85" i="91" s="1"/>
  <c r="AJ85" i="91" s="1"/>
  <c r="AI84" i="91"/>
  <c r="U84" i="91"/>
  <c r="AJ84" i="91" s="1"/>
  <c r="AI83" i="91"/>
  <c r="U83" i="91"/>
  <c r="E83" i="91"/>
  <c r="AJ83" i="91" s="1"/>
  <c r="AI82" i="91"/>
  <c r="U82" i="91"/>
  <c r="E82" i="91"/>
  <c r="AJ82" i="91" s="1"/>
  <c r="AI81" i="91"/>
  <c r="U81" i="91"/>
  <c r="E81" i="91"/>
  <c r="AJ81" i="91" s="1"/>
  <c r="AI80" i="91"/>
  <c r="U80" i="91"/>
  <c r="E80" i="91"/>
  <c r="AJ80" i="91" s="1"/>
  <c r="AI79" i="91"/>
  <c r="U79" i="91"/>
  <c r="E79" i="91"/>
  <c r="AJ79" i="91" s="1"/>
  <c r="AI78" i="91"/>
  <c r="U78" i="91"/>
  <c r="E78" i="91"/>
  <c r="AJ78" i="91" s="1"/>
  <c r="AI75" i="91"/>
  <c r="U75" i="91"/>
  <c r="E75" i="91"/>
  <c r="AJ75" i="91" s="1"/>
  <c r="AI74" i="91"/>
  <c r="U74" i="91"/>
  <c r="E74" i="91"/>
  <c r="AJ74" i="91" s="1"/>
  <c r="AI73" i="91"/>
  <c r="U73" i="91"/>
  <c r="E73" i="91"/>
  <c r="AJ73" i="91" s="1"/>
  <c r="AI72" i="91"/>
  <c r="U72" i="91"/>
  <c r="E72" i="91"/>
  <c r="AJ72" i="91" s="1"/>
  <c r="AI71" i="91"/>
  <c r="U71" i="91"/>
  <c r="E71" i="91"/>
  <c r="AJ71" i="91" s="1"/>
  <c r="AI70" i="91"/>
  <c r="U70" i="91"/>
  <c r="E70" i="91"/>
  <c r="AJ70" i="91" s="1"/>
  <c r="AI69" i="91"/>
  <c r="U69" i="91"/>
  <c r="E69" i="91"/>
  <c r="AJ69" i="91" s="1"/>
  <c r="AI68" i="91"/>
  <c r="U68" i="91"/>
  <c r="E68" i="91"/>
  <c r="AJ68" i="91" s="1"/>
  <c r="AI67" i="91"/>
  <c r="U67" i="91"/>
  <c r="E67" i="91"/>
  <c r="AJ67" i="91" s="1"/>
  <c r="AI66" i="91"/>
  <c r="U66" i="91"/>
  <c r="E66" i="91"/>
  <c r="AJ66" i="91" s="1"/>
  <c r="AI63" i="91"/>
  <c r="U63" i="91"/>
  <c r="AJ63" i="91" s="1"/>
  <c r="AJ62" i="91"/>
  <c r="AI62" i="91"/>
  <c r="U62" i="91"/>
  <c r="AI61" i="91"/>
  <c r="U61" i="91"/>
  <c r="AJ61" i="91" s="1"/>
  <c r="AI60" i="91"/>
  <c r="U60" i="91"/>
  <c r="AJ60" i="91" s="1"/>
  <c r="AI59" i="91"/>
  <c r="U59" i="91"/>
  <c r="AJ59" i="91" s="1"/>
  <c r="AJ56" i="91"/>
  <c r="AI56" i="91"/>
  <c r="U56" i="91"/>
  <c r="AI55" i="91"/>
  <c r="U55" i="91"/>
  <c r="AJ55" i="91" s="1"/>
  <c r="AI54" i="91"/>
  <c r="U54" i="91"/>
  <c r="AJ54" i="91" s="1"/>
  <c r="AI53" i="91"/>
  <c r="U53" i="91"/>
  <c r="E53" i="91"/>
  <c r="AJ53" i="91" s="1"/>
  <c r="AI50" i="91"/>
  <c r="U50" i="91"/>
  <c r="AJ50" i="91" s="1"/>
  <c r="AI49" i="91"/>
  <c r="U49" i="91"/>
  <c r="AJ49" i="91" s="1"/>
  <c r="AI48" i="91"/>
  <c r="U48" i="91"/>
  <c r="AJ48" i="91" s="1"/>
  <c r="AI47" i="91"/>
  <c r="U47" i="91"/>
  <c r="AJ47" i="91" s="1"/>
  <c r="AI46" i="91"/>
  <c r="U46" i="91"/>
  <c r="AJ46" i="91" s="1"/>
  <c r="AI45" i="91"/>
  <c r="U45" i="91"/>
  <c r="E45" i="91"/>
  <c r="AJ45" i="91" s="1"/>
  <c r="AI44" i="91"/>
  <c r="U44" i="91"/>
  <c r="E44" i="91"/>
  <c r="AJ44" i="91" s="1"/>
  <c r="AI43" i="91"/>
  <c r="U43" i="91"/>
  <c r="E43" i="91" s="1"/>
  <c r="AJ43" i="91" s="1"/>
  <c r="AI42" i="91"/>
  <c r="U42" i="91"/>
  <c r="E42" i="91"/>
  <c r="AJ42" i="91" s="1"/>
  <c r="AI41" i="91"/>
  <c r="U41" i="91"/>
  <c r="AJ41" i="91" s="1"/>
  <c r="AI40" i="91"/>
  <c r="AJ40" i="91" s="1"/>
  <c r="U40" i="91"/>
  <c r="AI39" i="91"/>
  <c r="U39" i="91"/>
  <c r="AJ39" i="91" s="1"/>
  <c r="AI38" i="91"/>
  <c r="U38" i="91"/>
  <c r="AJ38" i="91" s="1"/>
  <c r="AI35" i="91"/>
  <c r="U35" i="91"/>
  <c r="AJ35" i="91" s="1"/>
  <c r="AI34" i="91"/>
  <c r="AJ34" i="91" s="1"/>
  <c r="U34" i="91"/>
  <c r="AI33" i="91"/>
  <c r="U33" i="91"/>
  <c r="AJ33" i="91" s="1"/>
  <c r="AI32" i="91"/>
  <c r="U32" i="91"/>
  <c r="E32" i="91"/>
  <c r="AJ32" i="91" s="1"/>
  <c r="AI31" i="91"/>
  <c r="U31" i="91"/>
  <c r="E31" i="91"/>
  <c r="AJ31" i="91" s="1"/>
  <c r="AI30" i="91"/>
  <c r="U30" i="91"/>
  <c r="AJ30" i="91" s="1"/>
  <c r="AI29" i="91"/>
  <c r="U29" i="91"/>
  <c r="E29" i="91"/>
  <c r="AJ29" i="91" s="1"/>
  <c r="AI26" i="91"/>
  <c r="U26" i="91"/>
  <c r="E26" i="91"/>
  <c r="AJ26" i="91" s="1"/>
  <c r="AJ25" i="91"/>
  <c r="AI25" i="91"/>
  <c r="U25" i="91"/>
  <c r="AI24" i="91"/>
  <c r="U24" i="91"/>
  <c r="AJ24" i="91" s="1"/>
  <c r="AI23" i="91"/>
  <c r="U23" i="91"/>
  <c r="E23" i="91"/>
  <c r="AJ23" i="91" s="1"/>
  <c r="AI22" i="91"/>
  <c r="U22" i="91"/>
  <c r="AJ22" i="91" s="1"/>
  <c r="AI21" i="91"/>
  <c r="U21" i="91"/>
  <c r="AJ21" i="91" s="1"/>
  <c r="AI18" i="91"/>
  <c r="U18" i="91"/>
  <c r="AJ18" i="91" s="1"/>
  <c r="AI17" i="91"/>
  <c r="U17" i="91"/>
  <c r="AJ17" i="91" s="1"/>
  <c r="AI16" i="91"/>
  <c r="U16" i="91"/>
  <c r="AJ16" i="91" s="1"/>
  <c r="AI15" i="91"/>
  <c r="U15" i="91"/>
  <c r="E15" i="91"/>
  <c r="AJ15" i="91" s="1"/>
  <c r="AI14" i="91"/>
  <c r="U14" i="91"/>
  <c r="E14" i="91"/>
  <c r="AJ14" i="91" s="1"/>
  <c r="AI13" i="91"/>
  <c r="U13" i="91"/>
  <c r="E13" i="91"/>
  <c r="AJ13" i="91" s="1"/>
  <c r="AI12" i="91"/>
  <c r="U12" i="91"/>
  <c r="E12" i="91"/>
  <c r="AJ12" i="91" s="1"/>
  <c r="AI11" i="91"/>
  <c r="U11" i="91"/>
  <c r="AJ11" i="91" s="1"/>
  <c r="AI10" i="91"/>
  <c r="U10" i="91"/>
  <c r="E10" i="91"/>
  <c r="AJ10" i="91" s="1"/>
  <c r="AJ9" i="91"/>
  <c r="AI9" i="91"/>
  <c r="U9" i="91"/>
  <c r="E9" i="91"/>
  <c r="AI8" i="91"/>
  <c r="U8" i="91"/>
  <c r="AJ8" i="91" s="1"/>
  <c r="AI7" i="91"/>
  <c r="U7" i="91"/>
  <c r="AJ7" i="91" s="1"/>
  <c r="AI6" i="91"/>
  <c r="U6" i="91"/>
  <c r="AJ6" i="91" s="1"/>
  <c r="AJ115" i="91" l="1"/>
  <c r="G110" i="90" l="1"/>
  <c r="K107" i="90"/>
  <c r="K106" i="90"/>
  <c r="J104" i="90"/>
  <c r="J111" i="90" s="1"/>
  <c r="I104" i="90"/>
  <c r="I111" i="90" s="1"/>
  <c r="H104" i="90"/>
  <c r="H111" i="90" s="1"/>
  <c r="G104" i="90"/>
  <c r="G111" i="90" s="1"/>
  <c r="F104" i="90"/>
  <c r="F111" i="90" s="1"/>
  <c r="K99" i="90"/>
  <c r="E99" i="90"/>
  <c r="K98" i="90"/>
  <c r="E98" i="90"/>
  <c r="K97" i="90"/>
  <c r="E97" i="90"/>
  <c r="K96" i="90"/>
  <c r="E96" i="90"/>
  <c r="K95" i="90"/>
  <c r="E95" i="90"/>
  <c r="K94" i="90"/>
  <c r="E94" i="90"/>
  <c r="H110" i="90" s="1"/>
  <c r="K93" i="90"/>
  <c r="E93" i="90"/>
  <c r="K92" i="90"/>
  <c r="E92" i="90"/>
  <c r="K91" i="90"/>
  <c r="E91" i="90"/>
  <c r="F110" i="90" s="1"/>
  <c r="K90" i="90"/>
  <c r="E90" i="90"/>
  <c r="E100" i="90" s="1"/>
  <c r="K86" i="90"/>
  <c r="E86" i="90"/>
  <c r="K85" i="90"/>
  <c r="E85" i="90"/>
  <c r="K84" i="90"/>
  <c r="E84" i="90"/>
  <c r="J74" i="90"/>
  <c r="I74" i="90"/>
  <c r="H74" i="90"/>
  <c r="G74" i="90"/>
  <c r="F74" i="90"/>
  <c r="E74" i="90"/>
  <c r="D74" i="90"/>
  <c r="C74" i="90"/>
  <c r="J73" i="90"/>
  <c r="I73" i="90"/>
  <c r="H73" i="90"/>
  <c r="G73" i="90"/>
  <c r="F73" i="90"/>
  <c r="E73" i="90"/>
  <c r="D73" i="90"/>
  <c r="C73" i="90"/>
  <c r="J72" i="90"/>
  <c r="I72" i="90"/>
  <c r="H72" i="90"/>
  <c r="G72" i="90"/>
  <c r="F72" i="90"/>
  <c r="E72" i="90"/>
  <c r="D72" i="90"/>
  <c r="C72" i="90"/>
  <c r="J71" i="90"/>
  <c r="I71" i="90"/>
  <c r="H71" i="90"/>
  <c r="G71" i="90"/>
  <c r="F71" i="90"/>
  <c r="E71" i="90"/>
  <c r="D71" i="90"/>
  <c r="C71" i="90"/>
  <c r="J70" i="90"/>
  <c r="I70" i="90"/>
  <c r="H70" i="90"/>
  <c r="G70" i="90"/>
  <c r="F70" i="90"/>
  <c r="E70" i="90"/>
  <c r="D70" i="90"/>
  <c r="C70" i="90"/>
  <c r="J69" i="90"/>
  <c r="I69" i="90"/>
  <c r="H69" i="90"/>
  <c r="G69" i="90"/>
  <c r="F69" i="90"/>
  <c r="E69" i="90"/>
  <c r="D69" i="90"/>
  <c r="C69" i="90"/>
  <c r="J68" i="90"/>
  <c r="I68" i="90"/>
  <c r="H68" i="90"/>
  <c r="G68" i="90"/>
  <c r="F68" i="90"/>
  <c r="E68" i="90"/>
  <c r="D68" i="90"/>
  <c r="C68" i="90"/>
  <c r="J67" i="90"/>
  <c r="J77" i="90" s="1"/>
  <c r="I67" i="90"/>
  <c r="H67" i="90"/>
  <c r="H77" i="90" s="1"/>
  <c r="G67" i="90"/>
  <c r="G77" i="90" s="1"/>
  <c r="F67" i="90"/>
  <c r="E67" i="90"/>
  <c r="D67" i="90"/>
  <c r="C67" i="90"/>
  <c r="J66" i="90"/>
  <c r="I66" i="90"/>
  <c r="H66" i="90"/>
  <c r="G66" i="90"/>
  <c r="F66" i="90"/>
  <c r="E66" i="90"/>
  <c r="D66" i="90"/>
  <c r="C66" i="90"/>
  <c r="J65" i="90"/>
  <c r="I65" i="90"/>
  <c r="I77" i="90" s="1"/>
  <c r="H65" i="90"/>
  <c r="G65" i="90"/>
  <c r="F65" i="90"/>
  <c r="F77" i="90" s="1"/>
  <c r="E65" i="90"/>
  <c r="E77" i="90" s="1"/>
  <c r="D65" i="90"/>
  <c r="C65" i="90"/>
  <c r="C77" i="90" s="1"/>
  <c r="J61" i="90"/>
  <c r="I61" i="90"/>
  <c r="H61" i="90"/>
  <c r="G61" i="90"/>
  <c r="F61" i="90"/>
  <c r="E61" i="90"/>
  <c r="D61" i="90"/>
  <c r="C61" i="90"/>
  <c r="K59" i="90"/>
  <c r="K58" i="90"/>
  <c r="K57" i="90"/>
  <c r="K56" i="90"/>
  <c r="K55" i="90"/>
  <c r="K54" i="90"/>
  <c r="K53" i="90"/>
  <c r="K52" i="90"/>
  <c r="K51" i="90"/>
  <c r="K50" i="90"/>
  <c r="J47" i="90"/>
  <c r="I47" i="90"/>
  <c r="H47" i="90"/>
  <c r="G47" i="90"/>
  <c r="F47" i="90"/>
  <c r="E47" i="90"/>
  <c r="D47" i="90"/>
  <c r="C47" i="90"/>
  <c r="K45" i="90"/>
  <c r="K44" i="90"/>
  <c r="K43" i="90"/>
  <c r="K42" i="90"/>
  <c r="K41" i="90"/>
  <c r="K40" i="90"/>
  <c r="K39" i="90"/>
  <c r="K38" i="90"/>
  <c r="K37" i="90"/>
  <c r="K36" i="90"/>
  <c r="J33" i="90"/>
  <c r="I33" i="90"/>
  <c r="H33" i="90"/>
  <c r="D100" i="90" s="1"/>
  <c r="G33" i="90"/>
  <c r="F33" i="90"/>
  <c r="E33" i="90"/>
  <c r="D33" i="90"/>
  <c r="D104" i="90" s="1"/>
  <c r="K104" i="90" s="1"/>
  <c r="C33" i="90"/>
  <c r="K31" i="90"/>
  <c r="K30" i="90"/>
  <c r="K29" i="90"/>
  <c r="K28" i="90"/>
  <c r="K27" i="90"/>
  <c r="K26" i="90"/>
  <c r="K25" i="90"/>
  <c r="K24" i="90"/>
  <c r="K23" i="90"/>
  <c r="K22" i="90"/>
  <c r="K21" i="90"/>
  <c r="J17" i="90"/>
  <c r="I17" i="90"/>
  <c r="H17" i="90"/>
  <c r="G17" i="90"/>
  <c r="F17" i="90"/>
  <c r="E17" i="90"/>
  <c r="D17" i="90"/>
  <c r="C17" i="90"/>
  <c r="K15" i="90"/>
  <c r="K14" i="90"/>
  <c r="K13" i="90"/>
  <c r="K12" i="90"/>
  <c r="K11" i="90"/>
  <c r="K10" i="90"/>
  <c r="K9" i="90"/>
  <c r="K8" i="90"/>
  <c r="K7" i="90"/>
  <c r="K6" i="90"/>
  <c r="D110" i="90" l="1"/>
  <c r="N66" i="90"/>
  <c r="M69" i="90"/>
  <c r="N67" i="90"/>
  <c r="N68" i="90"/>
  <c r="F113" i="90"/>
  <c r="F114" i="90" s="1"/>
  <c r="M67" i="90"/>
  <c r="I110" i="90"/>
  <c r="J110" i="90" s="1"/>
  <c r="J113" i="90" s="1"/>
  <c r="J114" i="90" s="1"/>
  <c r="M66" i="90"/>
  <c r="M72" i="90"/>
  <c r="F107" i="90"/>
  <c r="M65" i="90"/>
  <c r="M71" i="90"/>
  <c r="C100" i="90"/>
  <c r="G107" i="90"/>
  <c r="G113" i="90" s="1"/>
  <c r="G114" i="90" s="1"/>
  <c r="D77" i="90"/>
  <c r="N72" i="90" s="1"/>
  <c r="H107" i="90"/>
  <c r="H113" i="90" s="1"/>
  <c r="H114" i="90" s="1"/>
  <c r="I107" i="90"/>
  <c r="I113" i="90" s="1"/>
  <c r="I114" i="90" s="1"/>
  <c r="J107" i="90"/>
  <c r="N70" i="90" l="1"/>
  <c r="N76" i="90"/>
  <c r="N69" i="90"/>
  <c r="M76" i="90"/>
  <c r="N74" i="90"/>
  <c r="N77" i="90"/>
  <c r="N75" i="90"/>
  <c r="M77" i="90"/>
  <c r="M75" i="90"/>
  <c r="M73" i="90"/>
  <c r="M68" i="90"/>
  <c r="N65" i="90"/>
  <c r="D113" i="90"/>
  <c r="D114" i="90" s="1"/>
  <c r="K110" i="90"/>
  <c r="K116" i="90" s="1"/>
  <c r="N73" i="90"/>
  <c r="N71" i="90"/>
  <c r="M70" i="90"/>
  <c r="M74" i="90"/>
  <c r="P19" i="89"/>
  <c r="M137" i="88" l="1"/>
  <c r="P136" i="88"/>
  <c r="O136" i="88"/>
  <c r="N136" i="88"/>
  <c r="N137" i="88" s="1"/>
  <c r="M136" i="88"/>
  <c r="L136" i="88"/>
  <c r="K136" i="88"/>
  <c r="J136" i="88"/>
  <c r="I136" i="88"/>
  <c r="H136" i="88"/>
  <c r="G136" i="88"/>
  <c r="F136" i="88"/>
  <c r="E136" i="88"/>
  <c r="Q136" i="88" s="1"/>
  <c r="S135" i="88"/>
  <c r="Q135" i="88"/>
  <c r="S134" i="88"/>
  <c r="Q134" i="88"/>
  <c r="S133" i="88"/>
  <c r="Q133" i="88"/>
  <c r="S132" i="88"/>
  <c r="Q132" i="88"/>
  <c r="S131" i="88"/>
  <c r="Q131" i="88"/>
  <c r="S130" i="88"/>
  <c r="Q130" i="88"/>
  <c r="P124" i="88"/>
  <c r="P137" i="88" s="1"/>
  <c r="O124" i="88"/>
  <c r="O137" i="88" s="1"/>
  <c r="N124" i="88"/>
  <c r="M124" i="88"/>
  <c r="L124" i="88"/>
  <c r="L137" i="88" s="1"/>
  <c r="K124" i="88"/>
  <c r="K137" i="88" s="1"/>
  <c r="J124" i="88"/>
  <c r="J137" i="88" s="1"/>
  <c r="I124" i="88"/>
  <c r="I137" i="88" s="1"/>
  <c r="H124" i="88"/>
  <c r="H137" i="88" s="1"/>
  <c r="G124" i="88"/>
  <c r="G137" i="88" s="1"/>
  <c r="S137" i="88" s="1"/>
  <c r="F124" i="88"/>
  <c r="F137" i="88" s="1"/>
  <c r="E124" i="88"/>
  <c r="Q124" i="88" s="1"/>
  <c r="S123" i="88"/>
  <c r="Q123" i="88"/>
  <c r="S122" i="88"/>
  <c r="Q122" i="88"/>
  <c r="S121" i="88"/>
  <c r="Q121" i="88"/>
  <c r="S120" i="88"/>
  <c r="Q120" i="88"/>
  <c r="S119" i="88"/>
  <c r="Q119" i="88"/>
  <c r="S118" i="88"/>
  <c r="Q118" i="88"/>
  <c r="S117" i="88"/>
  <c r="Q117" i="88"/>
  <c r="S116" i="88"/>
  <c r="Q116" i="88"/>
  <c r="S115" i="88"/>
  <c r="Q115" i="88"/>
  <c r="S114" i="88"/>
  <c r="Q114" i="88"/>
  <c r="S113" i="88"/>
  <c r="Q113" i="88"/>
  <c r="S112" i="88"/>
  <c r="Q112" i="88"/>
  <c r="S111" i="88"/>
  <c r="Q111" i="88"/>
  <c r="S110" i="88"/>
  <c r="Q110" i="88"/>
  <c r="S109" i="88"/>
  <c r="Q109" i="88"/>
  <c r="S108" i="88"/>
  <c r="Q108" i="88"/>
  <c r="S107" i="88"/>
  <c r="Q107" i="88"/>
  <c r="S106" i="88"/>
  <c r="Q106" i="88"/>
  <c r="S105" i="88"/>
  <c r="Q105" i="88"/>
  <c r="S104" i="88"/>
  <c r="Q104" i="88"/>
  <c r="S103" i="88"/>
  <c r="Q103" i="88"/>
  <c r="E97" i="88"/>
  <c r="D97" i="88"/>
  <c r="S96" i="88"/>
  <c r="S95" i="88"/>
  <c r="S94" i="88"/>
  <c r="S93" i="88"/>
  <c r="S92" i="88"/>
  <c r="S91" i="88"/>
  <c r="S90" i="88"/>
  <c r="S89" i="88"/>
  <c r="S88" i="88"/>
  <c r="S87" i="88"/>
  <c r="S86" i="88"/>
  <c r="S85" i="88"/>
  <c r="S84" i="88"/>
  <c r="S83" i="88"/>
  <c r="S82" i="88"/>
  <c r="S81" i="88"/>
  <c r="S80" i="88"/>
  <c r="S79" i="88"/>
  <c r="S78" i="88"/>
  <c r="S77" i="88"/>
  <c r="S76" i="88"/>
  <c r="S75" i="88"/>
  <c r="S74" i="88"/>
  <c r="S73" i="88"/>
  <c r="M65" i="88"/>
  <c r="L65" i="88"/>
  <c r="P64" i="88"/>
  <c r="P65" i="88" s="1"/>
  <c r="O64" i="88"/>
  <c r="O65" i="88" s="1"/>
  <c r="N64" i="88"/>
  <c r="Q64" i="88" s="1"/>
  <c r="M64" i="88"/>
  <c r="L64" i="88"/>
  <c r="K64" i="88"/>
  <c r="J64" i="88"/>
  <c r="I64" i="88"/>
  <c r="H64" i="88"/>
  <c r="H65" i="88" s="1"/>
  <c r="G64" i="88"/>
  <c r="G65" i="88" s="1"/>
  <c r="F64" i="88"/>
  <c r="F65" i="88" s="1"/>
  <c r="E64" i="88"/>
  <c r="E65" i="88" s="1"/>
  <c r="S63" i="88"/>
  <c r="Q63" i="88"/>
  <c r="S62" i="88"/>
  <c r="Q62" i="88"/>
  <c r="S61" i="88"/>
  <c r="Q61" i="88"/>
  <c r="S60" i="88"/>
  <c r="Q60" i="88"/>
  <c r="P54" i="88"/>
  <c r="O54" i="88"/>
  <c r="N54" i="88"/>
  <c r="M54" i="88"/>
  <c r="L54" i="88"/>
  <c r="K54" i="88"/>
  <c r="K65" i="88" s="1"/>
  <c r="J54" i="88"/>
  <c r="J65" i="88" s="1"/>
  <c r="I54" i="88"/>
  <c r="I65" i="88" s="1"/>
  <c r="H54" i="88"/>
  <c r="G54" i="88"/>
  <c r="F54" i="88"/>
  <c r="E54" i="88"/>
  <c r="S53" i="88"/>
  <c r="Q53" i="88"/>
  <c r="S52" i="88"/>
  <c r="Q52" i="88"/>
  <c r="S51" i="88"/>
  <c r="Q51" i="88"/>
  <c r="S50" i="88"/>
  <c r="Q50" i="88"/>
  <c r="S49" i="88"/>
  <c r="Q49" i="88"/>
  <c r="S48" i="88"/>
  <c r="Q48" i="88"/>
  <c r="S47" i="88"/>
  <c r="Q47" i="88"/>
  <c r="S46" i="88"/>
  <c r="Q46" i="88"/>
  <c r="S45" i="88"/>
  <c r="Q45" i="88"/>
  <c r="S44" i="88"/>
  <c r="Q44" i="88"/>
  <c r="S43" i="88"/>
  <c r="Q43" i="88"/>
  <c r="S42" i="88"/>
  <c r="Q42" i="88"/>
  <c r="S41" i="88"/>
  <c r="Q41" i="88"/>
  <c r="S40" i="88"/>
  <c r="Q40" i="88"/>
  <c r="S39" i="88"/>
  <c r="Q39" i="88"/>
  <c r="S38" i="88"/>
  <c r="Q38" i="88"/>
  <c r="H32" i="88"/>
  <c r="G32" i="88"/>
  <c r="F32" i="88"/>
  <c r="E32" i="88"/>
  <c r="D32" i="88"/>
  <c r="S31" i="88"/>
  <c r="S30" i="88"/>
  <c r="S29" i="88"/>
  <c r="S28" i="88"/>
  <c r="S27" i="88"/>
  <c r="S26" i="88"/>
  <c r="S25" i="88"/>
  <c r="S24" i="88"/>
  <c r="S23" i="88"/>
  <c r="S22" i="88"/>
  <c r="S21" i="88"/>
  <c r="S20" i="88"/>
  <c r="S19" i="88"/>
  <c r="S18" i="88"/>
  <c r="S17" i="88"/>
  <c r="S16" i="88"/>
  <c r="S15" i="88"/>
  <c r="S14" i="88"/>
  <c r="S13" i="88"/>
  <c r="S12" i="88"/>
  <c r="S11" i="88"/>
  <c r="S10" i="88"/>
  <c r="K19" i="89"/>
  <c r="K22" i="89" s="1"/>
  <c r="K25" i="89" s="1"/>
  <c r="J19" i="89"/>
  <c r="J22" i="89" s="1"/>
  <c r="J25" i="89" s="1"/>
  <c r="I19" i="89"/>
  <c r="I22" i="89" s="1"/>
  <c r="I25" i="89" s="1"/>
  <c r="P22" i="89"/>
  <c r="P25" i="89" s="1"/>
  <c r="S139" i="88" l="1"/>
  <c r="E137" i="88"/>
  <c r="Q137" i="88" s="1"/>
  <c r="S64" i="88"/>
  <c r="Q54" i="88"/>
  <c r="N65" i="88"/>
  <c r="Q65" i="88" s="1"/>
  <c r="O19" i="89"/>
  <c r="O22" i="89" s="1"/>
  <c r="O25" i="89" s="1"/>
  <c r="AH14" i="94" l="1"/>
  <c r="E14" i="94"/>
  <c r="E13" i="94"/>
  <c r="AH13" i="94" s="1"/>
  <c r="E12" i="94"/>
  <c r="AH12" i="94" s="1"/>
  <c r="E11" i="94"/>
  <c r="AH11" i="94" s="1"/>
  <c r="AH16" i="94" s="1"/>
  <c r="B2" i="94"/>
  <c r="D2" i="96" l="1"/>
  <c r="E38" i="93" l="1"/>
  <c r="AA16" i="46" l="1"/>
  <c r="AA14" i="46"/>
  <c r="AA13" i="46"/>
  <c r="C6" i="6"/>
  <c r="D6" i="6" s="1"/>
  <c r="S1130" i="2"/>
  <c r="S1129" i="2"/>
  <c r="S1128" i="2"/>
  <c r="F1130" i="2"/>
  <c r="F1129" i="2"/>
  <c r="F1128" i="2"/>
  <c r="F1127" i="2"/>
  <c r="F1126" i="2"/>
  <c r="F1125" i="2"/>
  <c r="F1124" i="2"/>
  <c r="F1123" i="2"/>
  <c r="F1122" i="2"/>
  <c r="F1121" i="2"/>
  <c r="F1120" i="2"/>
  <c r="F1119" i="2"/>
  <c r="F1118" i="2"/>
  <c r="F1117" i="2"/>
  <c r="F1115" i="2"/>
  <c r="F1114" i="2"/>
  <c r="F1113" i="2"/>
  <c r="F1112" i="2"/>
  <c r="F1116" i="2"/>
  <c r="AF31" i="46"/>
  <c r="AE31" i="46"/>
  <c r="AD31" i="46"/>
  <c r="AC31" i="46"/>
  <c r="AB31" i="46"/>
  <c r="AA31" i="46"/>
  <c r="Z31" i="46"/>
  <c r="Y31" i="46"/>
  <c r="X31" i="46"/>
  <c r="W31" i="46"/>
  <c r="V31" i="46"/>
  <c r="U31" i="46"/>
  <c r="Z26" i="46"/>
  <c r="Y26" i="46"/>
  <c r="AT184" i="87" l="1"/>
  <c r="AS184" i="87"/>
  <c r="AI184" i="87"/>
  <c r="AG184" i="87"/>
  <c r="AT179" i="87"/>
  <c r="AS179" i="87"/>
  <c r="AR179" i="87"/>
  <c r="AL179" i="87"/>
  <c r="AK179" i="87"/>
  <c r="AG179" i="87"/>
  <c r="AR174" i="87"/>
  <c r="AQ174" i="87"/>
  <c r="AM174" i="87"/>
  <c r="AU173" i="87"/>
  <c r="AN172" i="87"/>
  <c r="AN171" i="87"/>
  <c r="AT169" i="87"/>
  <c r="AS169" i="87"/>
  <c r="AH169" i="87"/>
  <c r="AG169" i="87"/>
  <c r="AU169" i="87"/>
  <c r="AT164" i="87"/>
  <c r="AS164" i="87"/>
  <c r="AR164" i="87"/>
  <c r="AL164" i="87"/>
  <c r="AH164" i="87"/>
  <c r="AG164" i="87"/>
  <c r="AU163" i="87"/>
  <c r="AN163" i="87"/>
  <c r="AN162" i="87"/>
  <c r="AN160" i="87"/>
  <c r="AJ159" i="87"/>
  <c r="AI159" i="87"/>
  <c r="AH159" i="87"/>
  <c r="AU159" i="87"/>
  <c r="H36" i="95"/>
  <c r="E34" i="95"/>
  <c r="AH34" i="95" s="1"/>
  <c r="E33" i="95"/>
  <c r="AH33" i="95" s="1"/>
  <c r="E32" i="95"/>
  <c r="AH32" i="95" s="1"/>
  <c r="E30" i="95"/>
  <c r="AH30" i="95" s="1"/>
  <c r="E29" i="95"/>
  <c r="AH29" i="95" s="1"/>
  <c r="E28" i="95"/>
  <c r="AH28" i="95" s="1"/>
  <c r="E27" i="95"/>
  <c r="AH27" i="95" s="1"/>
  <c r="E25" i="95"/>
  <c r="AH25" i="95" s="1"/>
  <c r="E24" i="95"/>
  <c r="AH24" i="95" s="1"/>
  <c r="E23" i="95"/>
  <c r="AH23" i="95" s="1"/>
  <c r="E22" i="95"/>
  <c r="AH22" i="95" s="1"/>
  <c r="E21" i="95"/>
  <c r="AH21" i="95" s="1"/>
  <c r="E20" i="95"/>
  <c r="AH20" i="95" s="1"/>
  <c r="AH15" i="95"/>
  <c r="AH14" i="95"/>
  <c r="AH13" i="95"/>
  <c r="AH12" i="95"/>
  <c r="E11" i="95"/>
  <c r="AH11" i="95" s="1"/>
  <c r="B2" i="95"/>
  <c r="AI38" i="93"/>
  <c r="E37" i="93"/>
  <c r="AI37" i="93" s="1"/>
  <c r="E36" i="93"/>
  <c r="E35" i="93"/>
  <c r="AI35" i="93" s="1"/>
  <c r="E34" i="93"/>
  <c r="AI34" i="93" s="1"/>
  <c r="AI33" i="93"/>
  <c r="E31" i="93"/>
  <c r="AI31" i="93" s="1"/>
  <c r="E30" i="93"/>
  <c r="AI30" i="93" s="1"/>
  <c r="E29" i="93"/>
  <c r="AI29" i="93" s="1"/>
  <c r="E28" i="93"/>
  <c r="E27" i="93"/>
  <c r="AI27" i="93" s="1"/>
  <c r="E26" i="93"/>
  <c r="AI26" i="93" s="1"/>
  <c r="E25" i="93"/>
  <c r="AI25" i="93" s="1"/>
  <c r="E24" i="93"/>
  <c r="E23" i="93"/>
  <c r="AI23" i="93" s="1"/>
  <c r="E22" i="93"/>
  <c r="AI22" i="93" s="1"/>
  <c r="E21" i="93"/>
  <c r="AI21" i="93" s="1"/>
  <c r="E20" i="93"/>
  <c r="E19" i="93"/>
  <c r="AI19" i="93" s="1"/>
  <c r="E18" i="93"/>
  <c r="AI18" i="93" s="1"/>
  <c r="E17" i="93"/>
  <c r="AI17" i="93" s="1"/>
  <c r="E16" i="93"/>
  <c r="E15" i="93"/>
  <c r="AI15" i="93" s="1"/>
  <c r="E14" i="93"/>
  <c r="AI14" i="93" s="1"/>
  <c r="E13" i="93"/>
  <c r="AI13" i="93" s="1"/>
  <c r="E12" i="93"/>
  <c r="E11" i="93"/>
  <c r="AI11" i="93" s="1"/>
  <c r="B2" i="93"/>
  <c r="R9" i="92"/>
  <c r="C13" i="6" s="1"/>
  <c r="D13" i="6" s="1"/>
  <c r="E9" i="92"/>
  <c r="B2" i="92"/>
  <c r="AU397" i="87"/>
  <c r="AU396" i="87"/>
  <c r="AU395" i="87"/>
  <c r="AN395" i="87"/>
  <c r="S394" i="87"/>
  <c r="AU391" i="87"/>
  <c r="AU388" i="87"/>
  <c r="AU387" i="87"/>
  <c r="AN387" i="87"/>
  <c r="AU383" i="87"/>
  <c r="AU382" i="87"/>
  <c r="AU379" i="87"/>
  <c r="AU376" i="87"/>
  <c r="AU374" i="87"/>
  <c r="AU373" i="87"/>
  <c r="AU370" i="87"/>
  <c r="AN370" i="87"/>
  <c r="AU369" i="87"/>
  <c r="AU368" i="87"/>
  <c r="AU367" i="87"/>
  <c r="AU365" i="87"/>
  <c r="AU364" i="87"/>
  <c r="AU362" i="87"/>
  <c r="AU359" i="87"/>
  <c r="AU357" i="87"/>
  <c r="AN357" i="87"/>
  <c r="AU355" i="87"/>
  <c r="AU354" i="87"/>
  <c r="AU353" i="87"/>
  <c r="AU352" i="87"/>
  <c r="AU351" i="87"/>
  <c r="AU347" i="87"/>
  <c r="AU346" i="87"/>
  <c r="AU345" i="87"/>
  <c r="AU344" i="87"/>
  <c r="AU343" i="87"/>
  <c r="AU338" i="87"/>
  <c r="AU337" i="87"/>
  <c r="AU334" i="87"/>
  <c r="S334" i="87"/>
  <c r="AN331" i="87"/>
  <c r="AU330" i="87"/>
  <c r="AU329" i="87"/>
  <c r="AU324" i="87"/>
  <c r="AU323" i="87"/>
  <c r="AU315" i="87"/>
  <c r="AU314" i="87"/>
  <c r="AU309" i="87"/>
  <c r="AU308" i="87"/>
  <c r="AU307" i="87"/>
  <c r="AN307" i="87"/>
  <c r="AU302" i="87"/>
  <c r="AU301" i="87"/>
  <c r="AU300" i="87"/>
  <c r="AU299" i="87"/>
  <c r="S299" i="87"/>
  <c r="S297" i="87"/>
  <c r="S296" i="87"/>
  <c r="AU295" i="87"/>
  <c r="S295" i="87"/>
  <c r="AU290" i="87"/>
  <c r="S290" i="87"/>
  <c r="AH81" i="87"/>
  <c r="AJ79" i="87"/>
  <c r="AN91" i="87"/>
  <c r="AL91" i="87"/>
  <c r="AP55" i="87"/>
  <c r="AK55" i="87"/>
  <c r="AN54" i="87"/>
  <c r="AL54" i="87"/>
  <c r="AK54" i="87"/>
  <c r="AP53" i="87"/>
  <c r="AO53" i="87"/>
  <c r="AN53" i="87"/>
  <c r="AJ53" i="87"/>
  <c r="AI53" i="87"/>
  <c r="AH53" i="87"/>
  <c r="AP52" i="87"/>
  <c r="AK52" i="87"/>
  <c r="AI52" i="87"/>
  <c r="AP50" i="87"/>
  <c r="AK50" i="87"/>
  <c r="AH50" i="87"/>
  <c r="AP49" i="87"/>
  <c r="AN48" i="87"/>
  <c r="AL48" i="87"/>
  <c r="AK48" i="87"/>
  <c r="AO47" i="87"/>
  <c r="AN47" i="87"/>
  <c r="AJ47" i="87"/>
  <c r="AI47" i="87"/>
  <c r="AH47" i="87"/>
  <c r="AP46" i="87"/>
  <c r="AN28" i="87"/>
  <c r="AK28" i="87"/>
  <c r="AS116" i="87"/>
  <c r="N25" i="89"/>
  <c r="AR116" i="87" s="1"/>
  <c r="M19" i="89"/>
  <c r="M22" i="89" s="1"/>
  <c r="M25" i="89" s="1"/>
  <c r="AQ116" i="87" s="1"/>
  <c r="AO116" i="87"/>
  <c r="H19" i="89"/>
  <c r="H22" i="89" s="1"/>
  <c r="H25" i="89" s="1"/>
  <c r="AL116" i="87" s="1"/>
  <c r="G19" i="89"/>
  <c r="G22" i="89" s="1"/>
  <c r="G25" i="89" s="1"/>
  <c r="AK116" i="87" s="1"/>
  <c r="F19" i="89"/>
  <c r="F22" i="89" s="1"/>
  <c r="E19" i="89"/>
  <c r="E22" i="89" s="1"/>
  <c r="D19" i="89"/>
  <c r="D22" i="89" s="1"/>
  <c r="D25" i="89" s="1"/>
  <c r="R288" i="87"/>
  <c r="Q288" i="87"/>
  <c r="P288" i="87"/>
  <c r="N288" i="87"/>
  <c r="M288" i="87"/>
  <c r="L288" i="87"/>
  <c r="K288" i="87"/>
  <c r="J288" i="87"/>
  <c r="I288" i="87"/>
  <c r="S284" i="87"/>
  <c r="R289" i="87"/>
  <c r="P281" i="87"/>
  <c r="O289" i="87"/>
  <c r="N281" i="87"/>
  <c r="M289" i="87"/>
  <c r="L289" i="87"/>
  <c r="K281" i="87"/>
  <c r="J281" i="87"/>
  <c r="H289" i="87"/>
  <c r="S277" i="87"/>
  <c r="S271" i="87"/>
  <c r="S265" i="87"/>
  <c r="BJ259" i="87"/>
  <c r="BH259" i="87"/>
  <c r="R233" i="87"/>
  <c r="Q233" i="87"/>
  <c r="O234" i="87"/>
  <c r="K233" i="87"/>
  <c r="J233" i="87"/>
  <c r="I233" i="87"/>
  <c r="H233" i="87"/>
  <c r="G233" i="87"/>
  <c r="S231" i="87"/>
  <c r="S229" i="87"/>
  <c r="N228" i="87"/>
  <c r="K228" i="87"/>
  <c r="I228" i="87"/>
  <c r="H228" i="87"/>
  <c r="G228" i="87"/>
  <c r="S227" i="87"/>
  <c r="S225" i="87"/>
  <c r="S224" i="87"/>
  <c r="S222" i="87"/>
  <c r="S221" i="87"/>
  <c r="S220" i="87"/>
  <c r="S219" i="87"/>
  <c r="S218" i="87"/>
  <c r="S216" i="87"/>
  <c r="S215" i="87"/>
  <c r="S214" i="87"/>
  <c r="S213" i="87"/>
  <c r="BI211" i="87"/>
  <c r="BH211" i="87"/>
  <c r="BG425" i="87"/>
  <c r="BF425" i="87"/>
  <c r="BE425" i="87"/>
  <c r="BD425" i="87"/>
  <c r="BC425" i="87"/>
  <c r="BB425" i="87"/>
  <c r="BA425" i="87"/>
  <c r="AZ425" i="87"/>
  <c r="AY425" i="87"/>
  <c r="AX425" i="87"/>
  <c r="AW425" i="87"/>
  <c r="AV425" i="87"/>
  <c r="AP425" i="87"/>
  <c r="AO425" i="87"/>
  <c r="AN425" i="87"/>
  <c r="AI425" i="87"/>
  <c r="AH425" i="87"/>
  <c r="R425" i="87"/>
  <c r="Q425" i="87"/>
  <c r="P425" i="87"/>
  <c r="O425" i="87"/>
  <c r="N425" i="87"/>
  <c r="M425" i="87"/>
  <c r="L425" i="87"/>
  <c r="K425" i="87"/>
  <c r="J425" i="87"/>
  <c r="I425" i="87"/>
  <c r="H425" i="87"/>
  <c r="G425" i="87"/>
  <c r="F425" i="87"/>
  <c r="A425" i="87"/>
  <c r="BG424" i="87"/>
  <c r="BF424" i="87"/>
  <c r="BE424" i="87"/>
  <c r="BD424" i="87"/>
  <c r="BC424" i="87"/>
  <c r="BB424" i="87"/>
  <c r="BA424" i="87"/>
  <c r="AZ424" i="87"/>
  <c r="AY424" i="87"/>
  <c r="AX424" i="87"/>
  <c r="AW424" i="87"/>
  <c r="AV424" i="87"/>
  <c r="AP424" i="87"/>
  <c r="AO424" i="87"/>
  <c r="AI424" i="87"/>
  <c r="AH424" i="87"/>
  <c r="R424" i="87"/>
  <c r="Q424" i="87"/>
  <c r="P424" i="87"/>
  <c r="O424" i="87"/>
  <c r="N424" i="87"/>
  <c r="M424" i="87"/>
  <c r="L424" i="87"/>
  <c r="K424" i="87"/>
  <c r="J424" i="87"/>
  <c r="I424" i="87"/>
  <c r="H424" i="87"/>
  <c r="G424" i="87"/>
  <c r="F424" i="87"/>
  <c r="A424" i="87"/>
  <c r="BG423" i="87"/>
  <c r="BF423" i="87"/>
  <c r="BE423" i="87"/>
  <c r="BD423" i="87"/>
  <c r="BC423" i="87"/>
  <c r="BB423" i="87"/>
  <c r="BA423" i="87"/>
  <c r="AZ423" i="87"/>
  <c r="AY423" i="87"/>
  <c r="AX423" i="87"/>
  <c r="AW423" i="87"/>
  <c r="AV423" i="87"/>
  <c r="AP423" i="87"/>
  <c r="AO423" i="87"/>
  <c r="AI423" i="87"/>
  <c r="AH423" i="87"/>
  <c r="R423" i="87"/>
  <c r="Q423" i="87"/>
  <c r="P423" i="87"/>
  <c r="O423" i="87"/>
  <c r="N423" i="87"/>
  <c r="M423" i="87"/>
  <c r="L423" i="87"/>
  <c r="K423" i="87"/>
  <c r="J423" i="87"/>
  <c r="I423" i="87"/>
  <c r="H423" i="87"/>
  <c r="G423" i="87"/>
  <c r="F423" i="87"/>
  <c r="A423" i="87"/>
  <c r="BG422" i="87"/>
  <c r="BF422" i="87"/>
  <c r="BE422" i="87"/>
  <c r="BD422" i="87"/>
  <c r="BC422" i="87"/>
  <c r="BB422" i="87"/>
  <c r="BA422" i="87"/>
  <c r="AZ422" i="87"/>
  <c r="AY422" i="87"/>
  <c r="AX422" i="87"/>
  <c r="AW422" i="87"/>
  <c r="AV422" i="87"/>
  <c r="AP422" i="87"/>
  <c r="AO422" i="87"/>
  <c r="AN422" i="87"/>
  <c r="AI422" i="87"/>
  <c r="AH422" i="87"/>
  <c r="R422" i="87"/>
  <c r="Q422" i="87"/>
  <c r="P422" i="87"/>
  <c r="O422" i="87"/>
  <c r="N422" i="87"/>
  <c r="M422" i="87"/>
  <c r="L422" i="87"/>
  <c r="K422" i="87"/>
  <c r="J422" i="87"/>
  <c r="I422" i="87"/>
  <c r="H422" i="87"/>
  <c r="G422" i="87"/>
  <c r="F422" i="87"/>
  <c r="A422" i="87"/>
  <c r="BG421" i="87"/>
  <c r="BF421" i="87"/>
  <c r="BE421" i="87"/>
  <c r="BD421" i="87"/>
  <c r="BC421" i="87"/>
  <c r="BB421" i="87"/>
  <c r="BA421" i="87"/>
  <c r="AZ421" i="87"/>
  <c r="AY421" i="87"/>
  <c r="AX421" i="87"/>
  <c r="AW421" i="87"/>
  <c r="AV421" i="87"/>
  <c r="AP421" i="87"/>
  <c r="AO421" i="87"/>
  <c r="AI421" i="87"/>
  <c r="AH421" i="87"/>
  <c r="R421" i="87"/>
  <c r="Q421" i="87"/>
  <c r="P421" i="87"/>
  <c r="O421" i="87"/>
  <c r="N421" i="87"/>
  <c r="M421" i="87"/>
  <c r="L421" i="87"/>
  <c r="K421" i="87"/>
  <c r="J421" i="87"/>
  <c r="I421" i="87"/>
  <c r="H421" i="87"/>
  <c r="G421" i="87"/>
  <c r="F421" i="87"/>
  <c r="A421" i="87"/>
  <c r="BG420" i="87"/>
  <c r="BF420" i="87"/>
  <c r="BE420" i="87"/>
  <c r="BD420" i="87"/>
  <c r="BC420" i="87"/>
  <c r="BB420" i="87"/>
  <c r="BA420" i="87"/>
  <c r="AZ420" i="87"/>
  <c r="AY420" i="87"/>
  <c r="AX420" i="87"/>
  <c r="AW420" i="87"/>
  <c r="AV420" i="87"/>
  <c r="AP420" i="87"/>
  <c r="AO420" i="87"/>
  <c r="AI420" i="87"/>
  <c r="AH420" i="87"/>
  <c r="R420" i="87"/>
  <c r="Q420" i="87"/>
  <c r="P420" i="87"/>
  <c r="O420" i="87"/>
  <c r="N420" i="87"/>
  <c r="M420" i="87"/>
  <c r="L420" i="87"/>
  <c r="K420" i="87"/>
  <c r="J420" i="87"/>
  <c r="I420" i="87"/>
  <c r="H420" i="87"/>
  <c r="G420" i="87"/>
  <c r="F420" i="87"/>
  <c r="A420" i="87"/>
  <c r="BG419" i="87"/>
  <c r="BF419" i="87"/>
  <c r="BE419" i="87"/>
  <c r="BD419" i="87"/>
  <c r="BC419" i="87"/>
  <c r="BB419" i="87"/>
  <c r="BA419" i="87"/>
  <c r="AZ419" i="87"/>
  <c r="AY419" i="87"/>
  <c r="AX419" i="87"/>
  <c r="AW419" i="87"/>
  <c r="AV419" i="87"/>
  <c r="AP419" i="87"/>
  <c r="AO419" i="87"/>
  <c r="AI419" i="87"/>
  <c r="AH419" i="87"/>
  <c r="R419" i="87"/>
  <c r="Q419" i="87"/>
  <c r="P419" i="87"/>
  <c r="O419" i="87"/>
  <c r="N419" i="87"/>
  <c r="M419" i="87"/>
  <c r="L419" i="87"/>
  <c r="K419" i="87"/>
  <c r="J419" i="87"/>
  <c r="I419" i="87"/>
  <c r="H419" i="87"/>
  <c r="G419" i="87"/>
  <c r="F419" i="87"/>
  <c r="A419" i="87"/>
  <c r="BG418" i="87"/>
  <c r="BF418" i="87"/>
  <c r="BE418" i="87"/>
  <c r="BD418" i="87"/>
  <c r="BC418" i="87"/>
  <c r="BB418" i="87"/>
  <c r="BA418" i="87"/>
  <c r="AZ418" i="87"/>
  <c r="AY418" i="87"/>
  <c r="AX418" i="87"/>
  <c r="AW418" i="87"/>
  <c r="AV418" i="87"/>
  <c r="AP418" i="87"/>
  <c r="AO418" i="87"/>
  <c r="AN418" i="87"/>
  <c r="AI418" i="87"/>
  <c r="AH418" i="87"/>
  <c r="R418" i="87"/>
  <c r="Q418" i="87"/>
  <c r="P418" i="87"/>
  <c r="O418" i="87"/>
  <c r="N418" i="87"/>
  <c r="M418" i="87"/>
  <c r="L418" i="87"/>
  <c r="K418" i="87"/>
  <c r="J418" i="87"/>
  <c r="I418" i="87"/>
  <c r="H418" i="87"/>
  <c r="G418" i="87"/>
  <c r="F418" i="87"/>
  <c r="A418" i="87"/>
  <c r="BG417" i="87"/>
  <c r="BF417" i="87"/>
  <c r="BE417" i="87"/>
  <c r="BD417" i="87"/>
  <c r="BC417" i="87"/>
  <c r="BB417" i="87"/>
  <c r="BA417" i="87"/>
  <c r="AZ417" i="87"/>
  <c r="AY417" i="87"/>
  <c r="AX417" i="87"/>
  <c r="AW417" i="87"/>
  <c r="AV417" i="87"/>
  <c r="AP417" i="87"/>
  <c r="AO417" i="87"/>
  <c r="AI417" i="87"/>
  <c r="AH417" i="87"/>
  <c r="R417" i="87"/>
  <c r="Q417" i="87"/>
  <c r="P417" i="87"/>
  <c r="O417" i="87"/>
  <c r="N417" i="87"/>
  <c r="M417" i="87"/>
  <c r="L417" i="87"/>
  <c r="K417" i="87"/>
  <c r="J417" i="87"/>
  <c r="I417" i="87"/>
  <c r="H417" i="87"/>
  <c r="G417" i="87"/>
  <c r="F417" i="87"/>
  <c r="A417" i="87"/>
  <c r="BG416" i="87"/>
  <c r="BF416" i="87"/>
  <c r="BE416" i="87"/>
  <c r="BD416" i="87"/>
  <c r="BC416" i="87"/>
  <c r="BB416" i="87"/>
  <c r="BA416" i="87"/>
  <c r="AZ416" i="87"/>
  <c r="AY416" i="87"/>
  <c r="AX416" i="87"/>
  <c r="AW416" i="87"/>
  <c r="AV416" i="87"/>
  <c r="AP416" i="87"/>
  <c r="AO416" i="87"/>
  <c r="AI416" i="87"/>
  <c r="AH416" i="87"/>
  <c r="R416" i="87"/>
  <c r="Q416" i="87"/>
  <c r="P416" i="87"/>
  <c r="O416" i="87"/>
  <c r="N416" i="87"/>
  <c r="M416" i="87"/>
  <c r="L416" i="87"/>
  <c r="K416" i="87"/>
  <c r="J416" i="87"/>
  <c r="I416" i="87"/>
  <c r="H416" i="87"/>
  <c r="G416" i="87"/>
  <c r="F416" i="87"/>
  <c r="A416" i="87"/>
  <c r="BG415" i="87"/>
  <c r="BF415" i="87"/>
  <c r="BE415" i="87"/>
  <c r="BD415" i="87"/>
  <c r="BC415" i="87"/>
  <c r="BB415" i="87"/>
  <c r="BA415" i="87"/>
  <c r="AZ415" i="87"/>
  <c r="AY415" i="87"/>
  <c r="AX415" i="87"/>
  <c r="AW415" i="87"/>
  <c r="AV415" i="87"/>
  <c r="AP415" i="87"/>
  <c r="AO415" i="87"/>
  <c r="AI415" i="87"/>
  <c r="AH415" i="87"/>
  <c r="R415" i="87"/>
  <c r="Q415" i="87"/>
  <c r="P415" i="87"/>
  <c r="O415" i="87"/>
  <c r="N415" i="87"/>
  <c r="M415" i="87"/>
  <c r="L415" i="87"/>
  <c r="K415" i="87"/>
  <c r="J415" i="87"/>
  <c r="I415" i="87"/>
  <c r="H415" i="87"/>
  <c r="G415" i="87"/>
  <c r="F415" i="87"/>
  <c r="A415" i="87"/>
  <c r="BG414" i="87"/>
  <c r="BF414" i="87"/>
  <c r="BE414" i="87"/>
  <c r="BD414" i="87"/>
  <c r="BC414" i="87"/>
  <c r="BB414" i="87"/>
  <c r="BA414" i="87"/>
  <c r="AZ414" i="87"/>
  <c r="AY414" i="87"/>
  <c r="AX414" i="87"/>
  <c r="AW414" i="87"/>
  <c r="AV414" i="87"/>
  <c r="AP414" i="87"/>
  <c r="AO414" i="87"/>
  <c r="AN414" i="87"/>
  <c r="AI414" i="87"/>
  <c r="AH414" i="87"/>
  <c r="R414" i="87"/>
  <c r="Q414" i="87"/>
  <c r="P414" i="87"/>
  <c r="O414" i="87"/>
  <c r="N414" i="87"/>
  <c r="M414" i="87"/>
  <c r="L414" i="87"/>
  <c r="K414" i="87"/>
  <c r="J414" i="87"/>
  <c r="I414" i="87"/>
  <c r="H414" i="87"/>
  <c r="G414" i="87"/>
  <c r="F414" i="87"/>
  <c r="A414" i="87"/>
  <c r="BG413" i="87"/>
  <c r="BF413" i="87"/>
  <c r="BE413" i="87"/>
  <c r="BD413" i="87"/>
  <c r="BC413" i="87"/>
  <c r="BB413" i="87"/>
  <c r="BA413" i="87"/>
  <c r="AZ413" i="87"/>
  <c r="AY413" i="87"/>
  <c r="AX413" i="87"/>
  <c r="AW413" i="87"/>
  <c r="AV413" i="87"/>
  <c r="AP413" i="87"/>
  <c r="AO413" i="87"/>
  <c r="AI413" i="87"/>
  <c r="AH413" i="87"/>
  <c r="R413" i="87"/>
  <c r="Q413" i="87"/>
  <c r="P413" i="87"/>
  <c r="O413" i="87"/>
  <c r="N413" i="87"/>
  <c r="M413" i="87"/>
  <c r="L413" i="87"/>
  <c r="K413" i="87"/>
  <c r="J413" i="87"/>
  <c r="I413" i="87"/>
  <c r="H413" i="87"/>
  <c r="G413" i="87"/>
  <c r="F413" i="87"/>
  <c r="A413" i="87"/>
  <c r="BG412" i="87"/>
  <c r="BF412" i="87"/>
  <c r="BE412" i="87"/>
  <c r="BD412" i="87"/>
  <c r="BC412" i="87"/>
  <c r="BB412" i="87"/>
  <c r="BA412" i="87"/>
  <c r="AZ412" i="87"/>
  <c r="AY412" i="87"/>
  <c r="AX412" i="87"/>
  <c r="AW412" i="87"/>
  <c r="AV412" i="87"/>
  <c r="AP412" i="87"/>
  <c r="AO412" i="87"/>
  <c r="AI412" i="87"/>
  <c r="AH412" i="87"/>
  <c r="R412" i="87"/>
  <c r="Q412" i="87"/>
  <c r="P412" i="87"/>
  <c r="O412" i="87"/>
  <c r="N412" i="87"/>
  <c r="M412" i="87"/>
  <c r="L412" i="87"/>
  <c r="K412" i="87"/>
  <c r="J412" i="87"/>
  <c r="I412" i="87"/>
  <c r="H412" i="87"/>
  <c r="G412" i="87"/>
  <c r="F412" i="87"/>
  <c r="A412" i="87"/>
  <c r="BG411" i="87"/>
  <c r="BF411" i="87"/>
  <c r="BE411" i="87"/>
  <c r="BD411" i="87"/>
  <c r="BC411" i="87"/>
  <c r="BB411" i="87"/>
  <c r="BA411" i="87"/>
  <c r="AZ411" i="87"/>
  <c r="AY411" i="87"/>
  <c r="AX411" i="87"/>
  <c r="AW411" i="87"/>
  <c r="AV411" i="87"/>
  <c r="AP411" i="87"/>
  <c r="AO411" i="87"/>
  <c r="AI411" i="87"/>
  <c r="AH411" i="87"/>
  <c r="R411" i="87"/>
  <c r="Q411" i="87"/>
  <c r="P411" i="87"/>
  <c r="O411" i="87"/>
  <c r="N411" i="87"/>
  <c r="M411" i="87"/>
  <c r="L411" i="87"/>
  <c r="K411" i="87"/>
  <c r="J411" i="87"/>
  <c r="I411" i="87"/>
  <c r="H411" i="87"/>
  <c r="G411" i="87"/>
  <c r="F411" i="87"/>
  <c r="A411" i="87"/>
  <c r="BG410" i="87"/>
  <c r="BF410" i="87"/>
  <c r="BE410" i="87"/>
  <c r="BD410" i="87"/>
  <c r="BC410" i="87"/>
  <c r="BB410" i="87"/>
  <c r="BA410" i="87"/>
  <c r="AZ410" i="87"/>
  <c r="AY410" i="87"/>
  <c r="AX410" i="87"/>
  <c r="AW410" i="87"/>
  <c r="AV410" i="87"/>
  <c r="AP410" i="87"/>
  <c r="AO410" i="87"/>
  <c r="AN410" i="87"/>
  <c r="AI410" i="87"/>
  <c r="AH410" i="87"/>
  <c r="R410" i="87"/>
  <c r="Q410" i="87"/>
  <c r="P410" i="87"/>
  <c r="O410" i="87"/>
  <c r="N410" i="87"/>
  <c r="M410" i="87"/>
  <c r="L410" i="87"/>
  <c r="K410" i="87"/>
  <c r="J410" i="87"/>
  <c r="I410" i="87"/>
  <c r="H410" i="87"/>
  <c r="G410" i="87"/>
  <c r="F410" i="87"/>
  <c r="A410" i="87"/>
  <c r="BG409" i="87"/>
  <c r="BF409" i="87"/>
  <c r="BE409" i="87"/>
  <c r="BD409" i="87"/>
  <c r="BC409" i="87"/>
  <c r="BB409" i="87"/>
  <c r="BA409" i="87"/>
  <c r="AZ409" i="87"/>
  <c r="AY409" i="87"/>
  <c r="AX409" i="87"/>
  <c r="AW409" i="87"/>
  <c r="AV409" i="87"/>
  <c r="AP409" i="87"/>
  <c r="AO409" i="87"/>
  <c r="AN409" i="87"/>
  <c r="AI409" i="87"/>
  <c r="AH409" i="87"/>
  <c r="R409" i="87"/>
  <c r="Q409" i="87"/>
  <c r="P409" i="87"/>
  <c r="O409" i="87"/>
  <c r="N409" i="87"/>
  <c r="M409" i="87"/>
  <c r="L409" i="87"/>
  <c r="K409" i="87"/>
  <c r="J409" i="87"/>
  <c r="I409" i="87"/>
  <c r="H409" i="87"/>
  <c r="G409" i="87"/>
  <c r="F409" i="87"/>
  <c r="A409" i="87"/>
  <c r="BG408" i="87"/>
  <c r="BF408" i="87"/>
  <c r="BE408" i="87"/>
  <c r="BD408" i="87"/>
  <c r="BC408" i="87"/>
  <c r="BB408" i="87"/>
  <c r="BA408" i="87"/>
  <c r="AZ408" i="87"/>
  <c r="AY408" i="87"/>
  <c r="AX408" i="87"/>
  <c r="AW408" i="87"/>
  <c r="AV408" i="87"/>
  <c r="AP408" i="87"/>
  <c r="AO408" i="87"/>
  <c r="AI408" i="87"/>
  <c r="AH408" i="87"/>
  <c r="R408" i="87"/>
  <c r="Q408" i="87"/>
  <c r="P408" i="87"/>
  <c r="O408" i="87"/>
  <c r="N408" i="87"/>
  <c r="M408" i="87"/>
  <c r="L408" i="87"/>
  <c r="K408" i="87"/>
  <c r="J408" i="87"/>
  <c r="I408" i="87"/>
  <c r="H408" i="87"/>
  <c r="G408" i="87"/>
  <c r="F408" i="87"/>
  <c r="A408" i="87"/>
  <c r="BG407" i="87"/>
  <c r="BF407" i="87"/>
  <c r="BE407" i="87"/>
  <c r="BD407" i="87"/>
  <c r="BC407" i="87"/>
  <c r="BB407" i="87"/>
  <c r="BA407" i="87"/>
  <c r="AZ407" i="87"/>
  <c r="AY407" i="87"/>
  <c r="AX407" i="87"/>
  <c r="AW407" i="87"/>
  <c r="AV407" i="87"/>
  <c r="AP407" i="87"/>
  <c r="AO407" i="87"/>
  <c r="AI407" i="87"/>
  <c r="AH407" i="87"/>
  <c r="R407" i="87"/>
  <c r="Q407" i="87"/>
  <c r="P407" i="87"/>
  <c r="O407" i="87"/>
  <c r="N407" i="87"/>
  <c r="M407" i="87"/>
  <c r="L407" i="87"/>
  <c r="K407" i="87"/>
  <c r="J407" i="87"/>
  <c r="I407" i="87"/>
  <c r="H407" i="87"/>
  <c r="G407" i="87"/>
  <c r="F407" i="87"/>
  <c r="A407" i="87"/>
  <c r="BG406" i="87"/>
  <c r="BF406" i="87"/>
  <c r="BE406" i="87"/>
  <c r="BD406" i="87"/>
  <c r="BC406" i="87"/>
  <c r="BB406" i="87"/>
  <c r="BA406" i="87"/>
  <c r="AZ406" i="87"/>
  <c r="AY406" i="87"/>
  <c r="AX406" i="87"/>
  <c r="AW406" i="87"/>
  <c r="AV406" i="87"/>
  <c r="AP406" i="87"/>
  <c r="AO406" i="87"/>
  <c r="AN406" i="87"/>
  <c r="AI406" i="87"/>
  <c r="AH406" i="87"/>
  <c r="R406" i="87"/>
  <c r="Q406" i="87"/>
  <c r="P406" i="87"/>
  <c r="O406" i="87"/>
  <c r="N406" i="87"/>
  <c r="M406" i="87"/>
  <c r="L406" i="87"/>
  <c r="K406" i="87"/>
  <c r="J406" i="87"/>
  <c r="I406" i="87"/>
  <c r="H406" i="87"/>
  <c r="G406" i="87"/>
  <c r="F406" i="87"/>
  <c r="A406" i="87"/>
  <c r="BG405" i="87"/>
  <c r="BF405" i="87"/>
  <c r="BE405" i="87"/>
  <c r="BD405" i="87"/>
  <c r="BC405" i="87"/>
  <c r="BB405" i="87"/>
  <c r="BA405" i="87"/>
  <c r="AZ405" i="87"/>
  <c r="AY405" i="87"/>
  <c r="AX405" i="87"/>
  <c r="AW405" i="87"/>
  <c r="AV405" i="87"/>
  <c r="AP405" i="87"/>
  <c r="AO405" i="87"/>
  <c r="AN405" i="87"/>
  <c r="AI405" i="87"/>
  <c r="AH405" i="87"/>
  <c r="R405" i="87"/>
  <c r="Q405" i="87"/>
  <c r="P405" i="87"/>
  <c r="O405" i="87"/>
  <c r="N405" i="87"/>
  <c r="M405" i="87"/>
  <c r="L405" i="87"/>
  <c r="K405" i="87"/>
  <c r="J405" i="87"/>
  <c r="I405" i="87"/>
  <c r="H405" i="87"/>
  <c r="G405" i="87"/>
  <c r="F405" i="87"/>
  <c r="A405" i="87"/>
  <c r="BG404" i="87"/>
  <c r="BF404" i="87"/>
  <c r="BE404" i="87"/>
  <c r="BD404" i="87"/>
  <c r="BC404" i="87"/>
  <c r="BB404" i="87"/>
  <c r="BA404" i="87"/>
  <c r="AZ404" i="87"/>
  <c r="AY404" i="87"/>
  <c r="AX404" i="87"/>
  <c r="AW404" i="87"/>
  <c r="AV404" i="87"/>
  <c r="AP404" i="87"/>
  <c r="AO404" i="87"/>
  <c r="AI404" i="87"/>
  <c r="AH404" i="87"/>
  <c r="R404" i="87"/>
  <c r="Q404" i="87"/>
  <c r="P404" i="87"/>
  <c r="O404" i="87"/>
  <c r="N404" i="87"/>
  <c r="M404" i="87"/>
  <c r="L404" i="87"/>
  <c r="K404" i="87"/>
  <c r="J404" i="87"/>
  <c r="I404" i="87"/>
  <c r="H404" i="87"/>
  <c r="G404" i="87"/>
  <c r="F404" i="87"/>
  <c r="A404" i="87"/>
  <c r="BG403" i="87"/>
  <c r="BF403" i="87"/>
  <c r="BE403" i="87"/>
  <c r="BD403" i="87"/>
  <c r="BC403" i="87"/>
  <c r="BB403" i="87"/>
  <c r="BA403" i="87"/>
  <c r="AZ403" i="87"/>
  <c r="AY403" i="87"/>
  <c r="AX403" i="87"/>
  <c r="AW403" i="87"/>
  <c r="AV403" i="87"/>
  <c r="AP403" i="87"/>
  <c r="AO403" i="87"/>
  <c r="AI403" i="87"/>
  <c r="AH403" i="87"/>
  <c r="R403" i="87"/>
  <c r="Q403" i="87"/>
  <c r="P403" i="87"/>
  <c r="O403" i="87"/>
  <c r="N403" i="87"/>
  <c r="M403" i="87"/>
  <c r="L403" i="87"/>
  <c r="K403" i="87"/>
  <c r="J403" i="87"/>
  <c r="I403" i="87"/>
  <c r="H403" i="87"/>
  <c r="G403" i="87"/>
  <c r="F403" i="87"/>
  <c r="A403" i="87"/>
  <c r="BG402" i="87"/>
  <c r="BF402" i="87"/>
  <c r="BE402" i="87"/>
  <c r="BD402" i="87"/>
  <c r="BC402" i="87"/>
  <c r="BB402" i="87"/>
  <c r="BA402" i="87"/>
  <c r="AZ402" i="87"/>
  <c r="AY402" i="87"/>
  <c r="AX402" i="87"/>
  <c r="AW402" i="87"/>
  <c r="AV402" i="87"/>
  <c r="AP402" i="87"/>
  <c r="AO402" i="87"/>
  <c r="AI402" i="87"/>
  <c r="AH402" i="87"/>
  <c r="R402" i="87"/>
  <c r="Q402" i="87"/>
  <c r="P402" i="87"/>
  <c r="O402" i="87"/>
  <c r="N402" i="87"/>
  <c r="M402" i="87"/>
  <c r="L402" i="87"/>
  <c r="K402" i="87"/>
  <c r="J402" i="87"/>
  <c r="I402" i="87"/>
  <c r="H402" i="87"/>
  <c r="G402" i="87"/>
  <c r="F402" i="87"/>
  <c r="A402" i="87"/>
  <c r="BG401" i="87"/>
  <c r="BF401" i="87"/>
  <c r="BE401" i="87"/>
  <c r="BD401" i="87"/>
  <c r="BC401" i="87"/>
  <c r="BB401" i="87"/>
  <c r="BA401" i="87"/>
  <c r="AZ401" i="87"/>
  <c r="AY401" i="87"/>
  <c r="AX401" i="87"/>
  <c r="AW401" i="87"/>
  <c r="AV401" i="87"/>
  <c r="AP401" i="87"/>
  <c r="AO401" i="87"/>
  <c r="AI401" i="87"/>
  <c r="AH401" i="87"/>
  <c r="R401" i="87"/>
  <c r="Q401" i="87"/>
  <c r="P401" i="87"/>
  <c r="O401" i="87"/>
  <c r="N401" i="87"/>
  <c r="M401" i="87"/>
  <c r="L401" i="87"/>
  <c r="K401" i="87"/>
  <c r="J401" i="87"/>
  <c r="I401" i="87"/>
  <c r="H401" i="87"/>
  <c r="G401" i="87"/>
  <c r="F401" i="87"/>
  <c r="A401" i="87"/>
  <c r="BG400" i="87"/>
  <c r="BF400" i="87"/>
  <c r="BE400" i="87"/>
  <c r="BD400" i="87"/>
  <c r="BC400" i="87"/>
  <c r="BB400" i="87"/>
  <c r="BA400" i="87"/>
  <c r="AZ400" i="87"/>
  <c r="AY400" i="87"/>
  <c r="AX400" i="87"/>
  <c r="AW400" i="87"/>
  <c r="AV400" i="87"/>
  <c r="AP400" i="87"/>
  <c r="AO400" i="87"/>
  <c r="AI400" i="87"/>
  <c r="AH400" i="87"/>
  <c r="R400" i="87"/>
  <c r="Q400" i="87"/>
  <c r="P400" i="87"/>
  <c r="O400" i="87"/>
  <c r="N400" i="87"/>
  <c r="M400" i="87"/>
  <c r="L400" i="87"/>
  <c r="K400" i="87"/>
  <c r="J400" i="87"/>
  <c r="I400" i="87"/>
  <c r="H400" i="87"/>
  <c r="G400" i="87"/>
  <c r="F400" i="87"/>
  <c r="A400" i="87"/>
  <c r="BG399" i="87"/>
  <c r="BF399" i="87"/>
  <c r="BE399" i="87"/>
  <c r="BD399" i="87"/>
  <c r="BC399" i="87"/>
  <c r="BB399" i="87"/>
  <c r="BA399" i="87"/>
  <c r="AZ399" i="87"/>
  <c r="AY399" i="87"/>
  <c r="AX399" i="87"/>
  <c r="AW399" i="87"/>
  <c r="AV399" i="87"/>
  <c r="AP399" i="87"/>
  <c r="AO399" i="87"/>
  <c r="AI399" i="87"/>
  <c r="AH399" i="87"/>
  <c r="R399" i="87"/>
  <c r="Q399" i="87"/>
  <c r="P399" i="87"/>
  <c r="O399" i="87"/>
  <c r="N399" i="87"/>
  <c r="M399" i="87"/>
  <c r="L399" i="87"/>
  <c r="K399" i="87"/>
  <c r="J399" i="87"/>
  <c r="I399" i="87"/>
  <c r="H399" i="87"/>
  <c r="G399" i="87"/>
  <c r="F399" i="87"/>
  <c r="A399" i="87"/>
  <c r="BG398" i="87"/>
  <c r="BF398" i="87"/>
  <c r="BE398" i="87"/>
  <c r="BD398" i="87"/>
  <c r="BC398" i="87"/>
  <c r="BB398" i="87"/>
  <c r="BA398" i="87"/>
  <c r="AZ398" i="87"/>
  <c r="AY398" i="87"/>
  <c r="AX398" i="87"/>
  <c r="AW398" i="87"/>
  <c r="AV398" i="87"/>
  <c r="AP398" i="87"/>
  <c r="AO398" i="87"/>
  <c r="AN398" i="87"/>
  <c r="AI398" i="87"/>
  <c r="AH398" i="87"/>
  <c r="R398" i="87"/>
  <c r="Q398" i="87"/>
  <c r="P398" i="87"/>
  <c r="O398" i="87"/>
  <c r="N398" i="87"/>
  <c r="M398" i="87"/>
  <c r="L398" i="87"/>
  <c r="K398" i="87"/>
  <c r="J398" i="87"/>
  <c r="I398" i="87"/>
  <c r="H398" i="87"/>
  <c r="G398" i="87"/>
  <c r="F398" i="87"/>
  <c r="A398" i="87"/>
  <c r="BG397" i="87"/>
  <c r="BF397" i="87"/>
  <c r="BE397" i="87"/>
  <c r="BD397" i="87"/>
  <c r="BC397" i="87"/>
  <c r="BB397" i="87"/>
  <c r="BA397" i="87"/>
  <c r="AZ397" i="87"/>
  <c r="AY397" i="87"/>
  <c r="AX397" i="87"/>
  <c r="AW397" i="87"/>
  <c r="AV397" i="87"/>
  <c r="AP397" i="87"/>
  <c r="AO397" i="87"/>
  <c r="AI397" i="87"/>
  <c r="AH397" i="87"/>
  <c r="R397" i="87"/>
  <c r="Q397" i="87"/>
  <c r="P397" i="87"/>
  <c r="O397" i="87"/>
  <c r="N397" i="87"/>
  <c r="M397" i="87"/>
  <c r="L397" i="87"/>
  <c r="K397" i="87"/>
  <c r="J397" i="87"/>
  <c r="I397" i="87"/>
  <c r="H397" i="87"/>
  <c r="G397" i="87"/>
  <c r="F397" i="87"/>
  <c r="A397" i="87"/>
  <c r="BG396" i="87"/>
  <c r="BF396" i="87"/>
  <c r="BE396" i="87"/>
  <c r="BD396" i="87"/>
  <c r="BC396" i="87"/>
  <c r="BB396" i="87"/>
  <c r="BA396" i="87"/>
  <c r="AZ396" i="87"/>
  <c r="AY396" i="87"/>
  <c r="AX396" i="87"/>
  <c r="AW396" i="87"/>
  <c r="AV396" i="87"/>
  <c r="AP396" i="87"/>
  <c r="AO396" i="87"/>
  <c r="AN396" i="87"/>
  <c r="AI396" i="87"/>
  <c r="AH396" i="87"/>
  <c r="R396" i="87"/>
  <c r="Q396" i="87"/>
  <c r="P396" i="87"/>
  <c r="O396" i="87"/>
  <c r="N396" i="87"/>
  <c r="M396" i="87"/>
  <c r="L396" i="87"/>
  <c r="K396" i="87"/>
  <c r="J396" i="87"/>
  <c r="I396" i="87"/>
  <c r="H396" i="87"/>
  <c r="G396" i="87"/>
  <c r="F396" i="87"/>
  <c r="A396" i="87"/>
  <c r="BG395" i="87"/>
  <c r="BF395" i="87"/>
  <c r="BE395" i="87"/>
  <c r="BD395" i="87"/>
  <c r="BC395" i="87"/>
  <c r="BB395" i="87"/>
  <c r="BA395" i="87"/>
  <c r="AZ395" i="87"/>
  <c r="AY395" i="87"/>
  <c r="AX395" i="87"/>
  <c r="AW395" i="87"/>
  <c r="AV395" i="87"/>
  <c r="AP395" i="87"/>
  <c r="AO395" i="87"/>
  <c r="AI395" i="87"/>
  <c r="AH395" i="87"/>
  <c r="S395" i="87"/>
  <c r="R395" i="87"/>
  <c r="Q395" i="87"/>
  <c r="P395" i="87"/>
  <c r="O395" i="87"/>
  <c r="N395" i="87"/>
  <c r="M395" i="87"/>
  <c r="L395" i="87"/>
  <c r="K395" i="87"/>
  <c r="J395" i="87"/>
  <c r="I395" i="87"/>
  <c r="H395" i="87"/>
  <c r="G395" i="87"/>
  <c r="F395" i="87"/>
  <c r="A395" i="87"/>
  <c r="BG394" i="87"/>
  <c r="BF394" i="87"/>
  <c r="BE394" i="87"/>
  <c r="BD394" i="87"/>
  <c r="BC394" i="87"/>
  <c r="BB394" i="87"/>
  <c r="BA394" i="87"/>
  <c r="AZ394" i="87"/>
  <c r="AY394" i="87"/>
  <c r="AX394" i="87"/>
  <c r="AW394" i="87"/>
  <c r="AV394" i="87"/>
  <c r="AU394" i="87"/>
  <c r="AP394" i="87"/>
  <c r="AO394" i="87"/>
  <c r="AN394" i="87"/>
  <c r="AI394" i="87"/>
  <c r="AH394" i="87"/>
  <c r="R394" i="87"/>
  <c r="Q394" i="87"/>
  <c r="P394" i="87"/>
  <c r="O394" i="87"/>
  <c r="N394" i="87"/>
  <c r="M394" i="87"/>
  <c r="L394" i="87"/>
  <c r="K394" i="87"/>
  <c r="J394" i="87"/>
  <c r="I394" i="87"/>
  <c r="H394" i="87"/>
  <c r="G394" i="87"/>
  <c r="F394" i="87"/>
  <c r="A394" i="87"/>
  <c r="BG393" i="87"/>
  <c r="BF393" i="87"/>
  <c r="BE393" i="87"/>
  <c r="BD393" i="87"/>
  <c r="BC393" i="87"/>
  <c r="BB393" i="87"/>
  <c r="BA393" i="87"/>
  <c r="AZ393" i="87"/>
  <c r="AY393" i="87"/>
  <c r="AX393" i="87"/>
  <c r="AW393" i="87"/>
  <c r="AV393" i="87"/>
  <c r="AU393" i="87"/>
  <c r="AP393" i="87"/>
  <c r="AO393" i="87"/>
  <c r="AN393" i="87"/>
  <c r="AI393" i="87"/>
  <c r="AH393" i="87"/>
  <c r="S393" i="87"/>
  <c r="R393" i="87"/>
  <c r="Q393" i="87"/>
  <c r="P393" i="87"/>
  <c r="O393" i="87"/>
  <c r="N393" i="87"/>
  <c r="M393" i="87"/>
  <c r="L393" i="87"/>
  <c r="K393" i="87"/>
  <c r="J393" i="87"/>
  <c r="I393" i="87"/>
  <c r="H393" i="87"/>
  <c r="G393" i="87"/>
  <c r="F393" i="87"/>
  <c r="A393" i="87"/>
  <c r="BG392" i="87"/>
  <c r="BF392" i="87"/>
  <c r="BE392" i="87"/>
  <c r="BD392" i="87"/>
  <c r="BC392" i="87"/>
  <c r="BB392" i="87"/>
  <c r="BA392" i="87"/>
  <c r="AZ392" i="87"/>
  <c r="AY392" i="87"/>
  <c r="AX392" i="87"/>
  <c r="AW392" i="87"/>
  <c r="AV392" i="87"/>
  <c r="AU392" i="87"/>
  <c r="AP392" i="87"/>
  <c r="AO392" i="87"/>
  <c r="AN392" i="87"/>
  <c r="AI392" i="87"/>
  <c r="AH392" i="87"/>
  <c r="R392" i="87"/>
  <c r="Q392" i="87"/>
  <c r="P392" i="87"/>
  <c r="O392" i="87"/>
  <c r="N392" i="87"/>
  <c r="M392" i="87"/>
  <c r="L392" i="87"/>
  <c r="K392" i="87"/>
  <c r="J392" i="87"/>
  <c r="I392" i="87"/>
  <c r="H392" i="87"/>
  <c r="G392" i="87"/>
  <c r="F392" i="87"/>
  <c r="A392" i="87"/>
  <c r="BG391" i="87"/>
  <c r="BF391" i="87"/>
  <c r="BE391" i="87"/>
  <c r="BD391" i="87"/>
  <c r="BC391" i="87"/>
  <c r="BB391" i="87"/>
  <c r="BA391" i="87"/>
  <c r="AZ391" i="87"/>
  <c r="AY391" i="87"/>
  <c r="AX391" i="87"/>
  <c r="AW391" i="87"/>
  <c r="AV391" i="87"/>
  <c r="AP391" i="87"/>
  <c r="AO391" i="87"/>
  <c r="AI391" i="87"/>
  <c r="AH391" i="87"/>
  <c r="R391" i="87"/>
  <c r="Q391" i="87"/>
  <c r="P391" i="87"/>
  <c r="O391" i="87"/>
  <c r="N391" i="87"/>
  <c r="M391" i="87"/>
  <c r="L391" i="87"/>
  <c r="K391" i="87"/>
  <c r="J391" i="87"/>
  <c r="I391" i="87"/>
  <c r="H391" i="87"/>
  <c r="G391" i="87"/>
  <c r="F391" i="87"/>
  <c r="A391" i="87"/>
  <c r="BG390" i="87"/>
  <c r="BF390" i="87"/>
  <c r="BE390" i="87"/>
  <c r="BD390" i="87"/>
  <c r="BC390" i="87"/>
  <c r="BB390" i="87"/>
  <c r="BA390" i="87"/>
  <c r="AZ390" i="87"/>
  <c r="AY390" i="87"/>
  <c r="AX390" i="87"/>
  <c r="AW390" i="87"/>
  <c r="AV390" i="87"/>
  <c r="AU390" i="87"/>
  <c r="AP390" i="87"/>
  <c r="AO390" i="87"/>
  <c r="AN390" i="87"/>
  <c r="AI390" i="87"/>
  <c r="AH390" i="87"/>
  <c r="S390" i="87"/>
  <c r="R390" i="87"/>
  <c r="Q390" i="87"/>
  <c r="P390" i="87"/>
  <c r="O390" i="87"/>
  <c r="N390" i="87"/>
  <c r="M390" i="87"/>
  <c r="L390" i="87"/>
  <c r="K390" i="87"/>
  <c r="J390" i="87"/>
  <c r="I390" i="87"/>
  <c r="H390" i="87"/>
  <c r="G390" i="87"/>
  <c r="F390" i="87"/>
  <c r="A390" i="87"/>
  <c r="BG389" i="87"/>
  <c r="BF389" i="87"/>
  <c r="BE389" i="87"/>
  <c r="BD389" i="87"/>
  <c r="BC389" i="87"/>
  <c r="BB389" i="87"/>
  <c r="BA389" i="87"/>
  <c r="AZ389" i="87"/>
  <c r="AY389" i="87"/>
  <c r="AX389" i="87"/>
  <c r="AW389" i="87"/>
  <c r="AV389" i="87"/>
  <c r="AU389" i="87"/>
  <c r="AP389" i="87"/>
  <c r="AO389" i="87"/>
  <c r="AN389" i="87"/>
  <c r="AI389" i="87"/>
  <c r="AH389" i="87"/>
  <c r="S389" i="87"/>
  <c r="R389" i="87"/>
  <c r="Q389" i="87"/>
  <c r="P389" i="87"/>
  <c r="O389" i="87"/>
  <c r="N389" i="87"/>
  <c r="M389" i="87"/>
  <c r="L389" i="87"/>
  <c r="K389" i="87"/>
  <c r="J389" i="87"/>
  <c r="I389" i="87"/>
  <c r="H389" i="87"/>
  <c r="G389" i="87"/>
  <c r="F389" i="87"/>
  <c r="A389" i="87"/>
  <c r="BG388" i="87"/>
  <c r="BF388" i="87"/>
  <c r="BE388" i="87"/>
  <c r="BD388" i="87"/>
  <c r="BC388" i="87"/>
  <c r="BB388" i="87"/>
  <c r="BA388" i="87"/>
  <c r="AZ388" i="87"/>
  <c r="AY388" i="87"/>
  <c r="AX388" i="87"/>
  <c r="AW388" i="87"/>
  <c r="AV388" i="87"/>
  <c r="AP388" i="87"/>
  <c r="AO388" i="87"/>
  <c r="AN388" i="87"/>
  <c r="AI388" i="87"/>
  <c r="AH388" i="87"/>
  <c r="R388" i="87"/>
  <c r="Q388" i="87"/>
  <c r="P388" i="87"/>
  <c r="O388" i="87"/>
  <c r="N388" i="87"/>
  <c r="M388" i="87"/>
  <c r="L388" i="87"/>
  <c r="K388" i="87"/>
  <c r="J388" i="87"/>
  <c r="I388" i="87"/>
  <c r="H388" i="87"/>
  <c r="G388" i="87"/>
  <c r="F388" i="87"/>
  <c r="A388" i="87"/>
  <c r="BG387" i="87"/>
  <c r="BF387" i="87"/>
  <c r="BE387" i="87"/>
  <c r="BD387" i="87"/>
  <c r="BC387" i="87"/>
  <c r="BB387" i="87"/>
  <c r="BA387" i="87"/>
  <c r="AZ387" i="87"/>
  <c r="AY387" i="87"/>
  <c r="AX387" i="87"/>
  <c r="AW387" i="87"/>
  <c r="AV387" i="87"/>
  <c r="AP387" i="87"/>
  <c r="AO387" i="87"/>
  <c r="AI387" i="87"/>
  <c r="AH387" i="87"/>
  <c r="S387" i="87"/>
  <c r="R387" i="87"/>
  <c r="Q387" i="87"/>
  <c r="P387" i="87"/>
  <c r="O387" i="87"/>
  <c r="N387" i="87"/>
  <c r="M387" i="87"/>
  <c r="L387" i="87"/>
  <c r="K387" i="87"/>
  <c r="J387" i="87"/>
  <c r="I387" i="87"/>
  <c r="H387" i="87"/>
  <c r="G387" i="87"/>
  <c r="F387" i="87"/>
  <c r="A387" i="87"/>
  <c r="BG386" i="87"/>
  <c r="BF386" i="87"/>
  <c r="BE386" i="87"/>
  <c r="BD386" i="87"/>
  <c r="BC386" i="87"/>
  <c r="BB386" i="87"/>
  <c r="BA386" i="87"/>
  <c r="AZ386" i="87"/>
  <c r="AY386" i="87"/>
  <c r="AX386" i="87"/>
  <c r="AW386" i="87"/>
  <c r="AV386" i="87"/>
  <c r="AU386" i="87"/>
  <c r="AP386" i="87"/>
  <c r="AO386" i="87"/>
  <c r="AI386" i="87"/>
  <c r="AH386" i="87"/>
  <c r="R386" i="87"/>
  <c r="Q386" i="87"/>
  <c r="P386" i="87"/>
  <c r="O386" i="87"/>
  <c r="N386" i="87"/>
  <c r="M386" i="87"/>
  <c r="L386" i="87"/>
  <c r="K386" i="87"/>
  <c r="J386" i="87"/>
  <c r="I386" i="87"/>
  <c r="H386" i="87"/>
  <c r="G386" i="87"/>
  <c r="F386" i="87"/>
  <c r="A386" i="87"/>
  <c r="BG385" i="87"/>
  <c r="BF385" i="87"/>
  <c r="BE385" i="87"/>
  <c r="BD385" i="87"/>
  <c r="BC385" i="87"/>
  <c r="BB385" i="87"/>
  <c r="BA385" i="87"/>
  <c r="AZ385" i="87"/>
  <c r="AY385" i="87"/>
  <c r="AX385" i="87"/>
  <c r="AW385" i="87"/>
  <c r="AV385" i="87"/>
  <c r="AU385" i="87"/>
  <c r="AP385" i="87"/>
  <c r="AO385" i="87"/>
  <c r="AI385" i="87"/>
  <c r="AH385" i="87"/>
  <c r="R385" i="87"/>
  <c r="Q385" i="87"/>
  <c r="P385" i="87"/>
  <c r="O385" i="87"/>
  <c r="N385" i="87"/>
  <c r="M385" i="87"/>
  <c r="L385" i="87"/>
  <c r="K385" i="87"/>
  <c r="J385" i="87"/>
  <c r="I385" i="87"/>
  <c r="H385" i="87"/>
  <c r="G385" i="87"/>
  <c r="F385" i="87"/>
  <c r="A385" i="87"/>
  <c r="BG384" i="87"/>
  <c r="BF384" i="87"/>
  <c r="BE384" i="87"/>
  <c r="BD384" i="87"/>
  <c r="BC384" i="87"/>
  <c r="BB384" i="87"/>
  <c r="BA384" i="87"/>
  <c r="AZ384" i="87"/>
  <c r="AY384" i="87"/>
  <c r="AX384" i="87"/>
  <c r="AW384" i="87"/>
  <c r="AV384" i="87"/>
  <c r="AU384" i="87"/>
  <c r="AP384" i="87"/>
  <c r="AO384" i="87"/>
  <c r="AN384" i="87"/>
  <c r="AI384" i="87"/>
  <c r="AH384" i="87"/>
  <c r="S384" i="87"/>
  <c r="R384" i="87"/>
  <c r="Q384" i="87"/>
  <c r="P384" i="87"/>
  <c r="O384" i="87"/>
  <c r="N384" i="87"/>
  <c r="M384" i="87"/>
  <c r="L384" i="87"/>
  <c r="K384" i="87"/>
  <c r="J384" i="87"/>
  <c r="I384" i="87"/>
  <c r="H384" i="87"/>
  <c r="G384" i="87"/>
  <c r="F384" i="87"/>
  <c r="A384" i="87"/>
  <c r="BG383" i="87"/>
  <c r="BF383" i="87"/>
  <c r="BE383" i="87"/>
  <c r="BD383" i="87"/>
  <c r="BC383" i="87"/>
  <c r="BB383" i="87"/>
  <c r="BA383" i="87"/>
  <c r="AZ383" i="87"/>
  <c r="AY383" i="87"/>
  <c r="AX383" i="87"/>
  <c r="AW383" i="87"/>
  <c r="AV383" i="87"/>
  <c r="AP383" i="87"/>
  <c r="AO383" i="87"/>
  <c r="AN383" i="87"/>
  <c r="AI383" i="87"/>
  <c r="AH383" i="87"/>
  <c r="R383" i="87"/>
  <c r="Q383" i="87"/>
  <c r="P383" i="87"/>
  <c r="O383" i="87"/>
  <c r="N383" i="87"/>
  <c r="M383" i="87"/>
  <c r="L383" i="87"/>
  <c r="K383" i="87"/>
  <c r="J383" i="87"/>
  <c r="I383" i="87"/>
  <c r="H383" i="87"/>
  <c r="G383" i="87"/>
  <c r="F383" i="87"/>
  <c r="A383" i="87"/>
  <c r="BG382" i="87"/>
  <c r="BF382" i="87"/>
  <c r="BE382" i="87"/>
  <c r="BD382" i="87"/>
  <c r="BC382" i="87"/>
  <c r="BB382" i="87"/>
  <c r="BA382" i="87"/>
  <c r="AZ382" i="87"/>
  <c r="AY382" i="87"/>
  <c r="AX382" i="87"/>
  <c r="AW382" i="87"/>
  <c r="AV382" i="87"/>
  <c r="AP382" i="87"/>
  <c r="AO382" i="87"/>
  <c r="AI382" i="87"/>
  <c r="AH382" i="87"/>
  <c r="R382" i="87"/>
  <c r="Q382" i="87"/>
  <c r="P382" i="87"/>
  <c r="O382" i="87"/>
  <c r="N382" i="87"/>
  <c r="M382" i="87"/>
  <c r="L382" i="87"/>
  <c r="K382" i="87"/>
  <c r="J382" i="87"/>
  <c r="I382" i="87"/>
  <c r="H382" i="87"/>
  <c r="G382" i="87"/>
  <c r="F382" i="87"/>
  <c r="A382" i="87"/>
  <c r="BG381" i="87"/>
  <c r="BF381" i="87"/>
  <c r="BE381" i="87"/>
  <c r="BD381" i="87"/>
  <c r="BC381" i="87"/>
  <c r="BB381" i="87"/>
  <c r="BA381" i="87"/>
  <c r="AZ381" i="87"/>
  <c r="AY381" i="87"/>
  <c r="AX381" i="87"/>
  <c r="AW381" i="87"/>
  <c r="AV381" i="87"/>
  <c r="AU381" i="87"/>
  <c r="AP381" i="87"/>
  <c r="AO381" i="87"/>
  <c r="AN381" i="87"/>
  <c r="AI381" i="87"/>
  <c r="AH381" i="87"/>
  <c r="S381" i="87"/>
  <c r="R381" i="87"/>
  <c r="Q381" i="87"/>
  <c r="P381" i="87"/>
  <c r="O381" i="87"/>
  <c r="N381" i="87"/>
  <c r="M381" i="87"/>
  <c r="L381" i="87"/>
  <c r="K381" i="87"/>
  <c r="J381" i="87"/>
  <c r="I381" i="87"/>
  <c r="H381" i="87"/>
  <c r="G381" i="87"/>
  <c r="F381" i="87"/>
  <c r="A381" i="87"/>
  <c r="BG380" i="87"/>
  <c r="BF380" i="87"/>
  <c r="BE380" i="87"/>
  <c r="BD380" i="87"/>
  <c r="BC380" i="87"/>
  <c r="BB380" i="87"/>
  <c r="BA380" i="87"/>
  <c r="AZ380" i="87"/>
  <c r="AY380" i="87"/>
  <c r="AX380" i="87"/>
  <c r="AW380" i="87"/>
  <c r="AV380" i="87"/>
  <c r="AU380" i="87"/>
  <c r="AP380" i="87"/>
  <c r="AO380" i="87"/>
  <c r="AN380" i="87"/>
  <c r="AI380" i="87"/>
  <c r="AH380" i="87"/>
  <c r="S380" i="87"/>
  <c r="R380" i="87"/>
  <c r="Q380" i="87"/>
  <c r="P380" i="87"/>
  <c r="O380" i="87"/>
  <c r="N380" i="87"/>
  <c r="M380" i="87"/>
  <c r="L380" i="87"/>
  <c r="K380" i="87"/>
  <c r="J380" i="87"/>
  <c r="I380" i="87"/>
  <c r="H380" i="87"/>
  <c r="G380" i="87"/>
  <c r="F380" i="87"/>
  <c r="A380" i="87"/>
  <c r="BG379" i="87"/>
  <c r="BF379" i="87"/>
  <c r="BE379" i="87"/>
  <c r="BD379" i="87"/>
  <c r="BC379" i="87"/>
  <c r="BB379" i="87"/>
  <c r="BA379" i="87"/>
  <c r="AZ379" i="87"/>
  <c r="AY379" i="87"/>
  <c r="AX379" i="87"/>
  <c r="AW379" i="87"/>
  <c r="AV379" i="87"/>
  <c r="AP379" i="87"/>
  <c r="AO379" i="87"/>
  <c r="AN379" i="87"/>
  <c r="AI379" i="87"/>
  <c r="AH379" i="87"/>
  <c r="R379" i="87"/>
  <c r="Q379" i="87"/>
  <c r="P379" i="87"/>
  <c r="O379" i="87"/>
  <c r="N379" i="87"/>
  <c r="M379" i="87"/>
  <c r="L379" i="87"/>
  <c r="K379" i="87"/>
  <c r="J379" i="87"/>
  <c r="I379" i="87"/>
  <c r="H379" i="87"/>
  <c r="G379" i="87"/>
  <c r="F379" i="87"/>
  <c r="A379" i="87"/>
  <c r="BG378" i="87"/>
  <c r="BF378" i="87"/>
  <c r="BE378" i="87"/>
  <c r="BD378" i="87"/>
  <c r="BC378" i="87"/>
  <c r="BB378" i="87"/>
  <c r="BA378" i="87"/>
  <c r="AZ378" i="87"/>
  <c r="AY378" i="87"/>
  <c r="AX378" i="87"/>
  <c r="AW378" i="87"/>
  <c r="AV378" i="87"/>
  <c r="AU378" i="87"/>
  <c r="AP378" i="87"/>
  <c r="AO378" i="87"/>
  <c r="AN378" i="87"/>
  <c r="AI378" i="87"/>
  <c r="AH378" i="87"/>
  <c r="S378" i="87"/>
  <c r="R378" i="87"/>
  <c r="Q378" i="87"/>
  <c r="P378" i="87"/>
  <c r="O378" i="87"/>
  <c r="N378" i="87"/>
  <c r="M378" i="87"/>
  <c r="L378" i="87"/>
  <c r="K378" i="87"/>
  <c r="J378" i="87"/>
  <c r="I378" i="87"/>
  <c r="H378" i="87"/>
  <c r="G378" i="87"/>
  <c r="F378" i="87"/>
  <c r="A378" i="87"/>
  <c r="BG377" i="87"/>
  <c r="BF377" i="87"/>
  <c r="BE377" i="87"/>
  <c r="BD377" i="87"/>
  <c r="BC377" i="87"/>
  <c r="BB377" i="87"/>
  <c r="BA377" i="87"/>
  <c r="AZ377" i="87"/>
  <c r="AY377" i="87"/>
  <c r="AX377" i="87"/>
  <c r="AW377" i="87"/>
  <c r="AV377" i="87"/>
  <c r="AU377" i="87"/>
  <c r="AP377" i="87"/>
  <c r="AO377" i="87"/>
  <c r="AI377" i="87"/>
  <c r="AH377" i="87"/>
  <c r="R377" i="87"/>
  <c r="Q377" i="87"/>
  <c r="P377" i="87"/>
  <c r="O377" i="87"/>
  <c r="N377" i="87"/>
  <c r="M377" i="87"/>
  <c r="L377" i="87"/>
  <c r="K377" i="87"/>
  <c r="J377" i="87"/>
  <c r="I377" i="87"/>
  <c r="H377" i="87"/>
  <c r="G377" i="87"/>
  <c r="F377" i="87"/>
  <c r="A377" i="87"/>
  <c r="BG376" i="87"/>
  <c r="BF376" i="87"/>
  <c r="BE376" i="87"/>
  <c r="BD376" i="87"/>
  <c r="BC376" i="87"/>
  <c r="BB376" i="87"/>
  <c r="BA376" i="87"/>
  <c r="AZ376" i="87"/>
  <c r="AY376" i="87"/>
  <c r="AX376" i="87"/>
  <c r="AW376" i="87"/>
  <c r="AV376" i="87"/>
  <c r="AP376" i="87"/>
  <c r="AO376" i="87"/>
  <c r="AI376" i="87"/>
  <c r="AH376" i="87"/>
  <c r="S376" i="87"/>
  <c r="R376" i="87"/>
  <c r="Q376" i="87"/>
  <c r="P376" i="87"/>
  <c r="O376" i="87"/>
  <c r="N376" i="87"/>
  <c r="M376" i="87"/>
  <c r="L376" i="87"/>
  <c r="K376" i="87"/>
  <c r="J376" i="87"/>
  <c r="I376" i="87"/>
  <c r="H376" i="87"/>
  <c r="G376" i="87"/>
  <c r="F376" i="87"/>
  <c r="A376" i="87"/>
  <c r="BG375" i="87"/>
  <c r="BF375" i="87"/>
  <c r="BE375" i="87"/>
  <c r="BD375" i="87"/>
  <c r="BC375" i="87"/>
  <c r="BB375" i="87"/>
  <c r="BA375" i="87"/>
  <c r="AZ375" i="87"/>
  <c r="AY375" i="87"/>
  <c r="AX375" i="87"/>
  <c r="AW375" i="87"/>
  <c r="AV375" i="87"/>
  <c r="AP375" i="87"/>
  <c r="AO375" i="87"/>
  <c r="AN375" i="87"/>
  <c r="AI375" i="87"/>
  <c r="AH375" i="87"/>
  <c r="S375" i="87"/>
  <c r="R375" i="87"/>
  <c r="Q375" i="87"/>
  <c r="P375" i="87"/>
  <c r="O375" i="87"/>
  <c r="N375" i="87"/>
  <c r="M375" i="87"/>
  <c r="L375" i="87"/>
  <c r="K375" i="87"/>
  <c r="J375" i="87"/>
  <c r="I375" i="87"/>
  <c r="H375" i="87"/>
  <c r="G375" i="87"/>
  <c r="F375" i="87"/>
  <c r="A375" i="87"/>
  <c r="BG374" i="87"/>
  <c r="BF374" i="87"/>
  <c r="BE374" i="87"/>
  <c r="BD374" i="87"/>
  <c r="BC374" i="87"/>
  <c r="BB374" i="87"/>
  <c r="BA374" i="87"/>
  <c r="AZ374" i="87"/>
  <c r="AY374" i="87"/>
  <c r="AX374" i="87"/>
  <c r="AW374" i="87"/>
  <c r="AV374" i="87"/>
  <c r="AP374" i="87"/>
  <c r="AO374" i="87"/>
  <c r="AI374" i="87"/>
  <c r="AH374" i="87"/>
  <c r="R374" i="87"/>
  <c r="Q374" i="87"/>
  <c r="P374" i="87"/>
  <c r="O374" i="87"/>
  <c r="N374" i="87"/>
  <c r="M374" i="87"/>
  <c r="L374" i="87"/>
  <c r="K374" i="87"/>
  <c r="J374" i="87"/>
  <c r="I374" i="87"/>
  <c r="H374" i="87"/>
  <c r="G374" i="87"/>
  <c r="F374" i="87"/>
  <c r="A374" i="87"/>
  <c r="BG373" i="87"/>
  <c r="BF373" i="87"/>
  <c r="BE373" i="87"/>
  <c r="BD373" i="87"/>
  <c r="BC373" i="87"/>
  <c r="BB373" i="87"/>
  <c r="BA373" i="87"/>
  <c r="AZ373" i="87"/>
  <c r="AY373" i="87"/>
  <c r="AX373" i="87"/>
  <c r="AW373" i="87"/>
  <c r="AV373" i="87"/>
  <c r="AP373" i="87"/>
  <c r="AO373" i="87"/>
  <c r="AN373" i="87"/>
  <c r="AI373" i="87"/>
  <c r="AH373" i="87"/>
  <c r="S373" i="87"/>
  <c r="R373" i="87"/>
  <c r="Q373" i="87"/>
  <c r="P373" i="87"/>
  <c r="O373" i="87"/>
  <c r="N373" i="87"/>
  <c r="M373" i="87"/>
  <c r="L373" i="87"/>
  <c r="K373" i="87"/>
  <c r="J373" i="87"/>
  <c r="I373" i="87"/>
  <c r="H373" i="87"/>
  <c r="G373" i="87"/>
  <c r="F373" i="87"/>
  <c r="A373" i="87"/>
  <c r="BG372" i="87"/>
  <c r="BF372" i="87"/>
  <c r="BE372" i="87"/>
  <c r="BD372" i="87"/>
  <c r="BC372" i="87"/>
  <c r="BB372" i="87"/>
  <c r="BA372" i="87"/>
  <c r="AZ372" i="87"/>
  <c r="AY372" i="87"/>
  <c r="AX372" i="87"/>
  <c r="AW372" i="87"/>
  <c r="AV372" i="87"/>
  <c r="AU372" i="87"/>
  <c r="AP372" i="87"/>
  <c r="AO372" i="87"/>
  <c r="AI372" i="87"/>
  <c r="AH372" i="87"/>
  <c r="S372" i="87"/>
  <c r="R372" i="87"/>
  <c r="Q372" i="87"/>
  <c r="P372" i="87"/>
  <c r="O372" i="87"/>
  <c r="N372" i="87"/>
  <c r="M372" i="87"/>
  <c r="L372" i="87"/>
  <c r="K372" i="87"/>
  <c r="J372" i="87"/>
  <c r="I372" i="87"/>
  <c r="H372" i="87"/>
  <c r="G372" i="87"/>
  <c r="F372" i="87"/>
  <c r="A372" i="87"/>
  <c r="BG371" i="87"/>
  <c r="BF371" i="87"/>
  <c r="BE371" i="87"/>
  <c r="BD371" i="87"/>
  <c r="BC371" i="87"/>
  <c r="BB371" i="87"/>
  <c r="BA371" i="87"/>
  <c r="AZ371" i="87"/>
  <c r="AY371" i="87"/>
  <c r="AX371" i="87"/>
  <c r="AW371" i="87"/>
  <c r="AV371" i="87"/>
  <c r="AU371" i="87"/>
  <c r="AP371" i="87"/>
  <c r="AO371" i="87"/>
  <c r="AI371" i="87"/>
  <c r="AH371" i="87"/>
  <c r="R371" i="87"/>
  <c r="Q371" i="87"/>
  <c r="P371" i="87"/>
  <c r="O371" i="87"/>
  <c r="N371" i="87"/>
  <c r="M371" i="87"/>
  <c r="L371" i="87"/>
  <c r="K371" i="87"/>
  <c r="J371" i="87"/>
  <c r="I371" i="87"/>
  <c r="H371" i="87"/>
  <c r="G371" i="87"/>
  <c r="F371" i="87"/>
  <c r="A371" i="87"/>
  <c r="BG370" i="87"/>
  <c r="BF370" i="87"/>
  <c r="BE370" i="87"/>
  <c r="BD370" i="87"/>
  <c r="BC370" i="87"/>
  <c r="BB370" i="87"/>
  <c r="BA370" i="87"/>
  <c r="AZ370" i="87"/>
  <c r="AY370" i="87"/>
  <c r="AX370" i="87"/>
  <c r="AW370" i="87"/>
  <c r="AV370" i="87"/>
  <c r="AP370" i="87"/>
  <c r="AO370" i="87"/>
  <c r="AI370" i="87"/>
  <c r="AH370" i="87"/>
  <c r="R370" i="87"/>
  <c r="Q370" i="87"/>
  <c r="P370" i="87"/>
  <c r="O370" i="87"/>
  <c r="N370" i="87"/>
  <c r="M370" i="87"/>
  <c r="L370" i="87"/>
  <c r="K370" i="87"/>
  <c r="J370" i="87"/>
  <c r="I370" i="87"/>
  <c r="H370" i="87"/>
  <c r="G370" i="87"/>
  <c r="F370" i="87"/>
  <c r="A370" i="87"/>
  <c r="BG369" i="87"/>
  <c r="BF369" i="87"/>
  <c r="BE369" i="87"/>
  <c r="BD369" i="87"/>
  <c r="BC369" i="87"/>
  <c r="BB369" i="87"/>
  <c r="BA369" i="87"/>
  <c r="AZ369" i="87"/>
  <c r="AY369" i="87"/>
  <c r="AX369" i="87"/>
  <c r="AW369" i="87"/>
  <c r="AV369" i="87"/>
  <c r="AP369" i="87"/>
  <c r="AO369" i="87"/>
  <c r="AI369" i="87"/>
  <c r="AH369" i="87"/>
  <c r="R369" i="87"/>
  <c r="Q369" i="87"/>
  <c r="P369" i="87"/>
  <c r="O369" i="87"/>
  <c r="N369" i="87"/>
  <c r="M369" i="87"/>
  <c r="L369" i="87"/>
  <c r="K369" i="87"/>
  <c r="J369" i="87"/>
  <c r="I369" i="87"/>
  <c r="H369" i="87"/>
  <c r="G369" i="87"/>
  <c r="F369" i="87"/>
  <c r="A369" i="87"/>
  <c r="BG368" i="87"/>
  <c r="BF368" i="87"/>
  <c r="BE368" i="87"/>
  <c r="BD368" i="87"/>
  <c r="BC368" i="87"/>
  <c r="BB368" i="87"/>
  <c r="BA368" i="87"/>
  <c r="AZ368" i="87"/>
  <c r="AY368" i="87"/>
  <c r="AX368" i="87"/>
  <c r="AW368" i="87"/>
  <c r="AV368" i="87"/>
  <c r="AP368" i="87"/>
  <c r="AO368" i="87"/>
  <c r="AI368" i="87"/>
  <c r="AH368" i="87"/>
  <c r="S368" i="87"/>
  <c r="R368" i="87"/>
  <c r="Q368" i="87"/>
  <c r="P368" i="87"/>
  <c r="O368" i="87"/>
  <c r="N368" i="87"/>
  <c r="M368" i="87"/>
  <c r="L368" i="87"/>
  <c r="K368" i="87"/>
  <c r="J368" i="87"/>
  <c r="I368" i="87"/>
  <c r="H368" i="87"/>
  <c r="G368" i="87"/>
  <c r="F368" i="87"/>
  <c r="A368" i="87"/>
  <c r="BG367" i="87"/>
  <c r="BF367" i="87"/>
  <c r="BE367" i="87"/>
  <c r="BD367" i="87"/>
  <c r="BC367" i="87"/>
  <c r="BB367" i="87"/>
  <c r="BA367" i="87"/>
  <c r="AZ367" i="87"/>
  <c r="AY367" i="87"/>
  <c r="AX367" i="87"/>
  <c r="AW367" i="87"/>
  <c r="AV367" i="87"/>
  <c r="AP367" i="87"/>
  <c r="AO367" i="87"/>
  <c r="AI367" i="87"/>
  <c r="AH367" i="87"/>
  <c r="R367" i="87"/>
  <c r="Q367" i="87"/>
  <c r="P367" i="87"/>
  <c r="O367" i="87"/>
  <c r="N367" i="87"/>
  <c r="M367" i="87"/>
  <c r="L367" i="87"/>
  <c r="K367" i="87"/>
  <c r="J367" i="87"/>
  <c r="I367" i="87"/>
  <c r="H367" i="87"/>
  <c r="G367" i="87"/>
  <c r="F367" i="87"/>
  <c r="A367" i="87"/>
  <c r="BG366" i="87"/>
  <c r="BF366" i="87"/>
  <c r="BE366" i="87"/>
  <c r="BD366" i="87"/>
  <c r="BC366" i="87"/>
  <c r="BB366" i="87"/>
  <c r="BA366" i="87"/>
  <c r="AZ366" i="87"/>
  <c r="AY366" i="87"/>
  <c r="AX366" i="87"/>
  <c r="AW366" i="87"/>
  <c r="AV366" i="87"/>
  <c r="AU366" i="87"/>
  <c r="AP366" i="87"/>
  <c r="AO366" i="87"/>
  <c r="AN366" i="87"/>
  <c r="AI366" i="87"/>
  <c r="AH366" i="87"/>
  <c r="S366" i="87"/>
  <c r="R366" i="87"/>
  <c r="Q366" i="87"/>
  <c r="P366" i="87"/>
  <c r="O366" i="87"/>
  <c r="N366" i="87"/>
  <c r="M366" i="87"/>
  <c r="L366" i="87"/>
  <c r="K366" i="87"/>
  <c r="J366" i="87"/>
  <c r="I366" i="87"/>
  <c r="H366" i="87"/>
  <c r="G366" i="87"/>
  <c r="F366" i="87"/>
  <c r="A366" i="87"/>
  <c r="BG365" i="87"/>
  <c r="BF365" i="87"/>
  <c r="BE365" i="87"/>
  <c r="BD365" i="87"/>
  <c r="BC365" i="87"/>
  <c r="BB365" i="87"/>
  <c r="BA365" i="87"/>
  <c r="AZ365" i="87"/>
  <c r="AY365" i="87"/>
  <c r="AX365" i="87"/>
  <c r="AW365" i="87"/>
  <c r="AV365" i="87"/>
  <c r="AP365" i="87"/>
  <c r="AO365" i="87"/>
  <c r="AN365" i="87"/>
  <c r="AI365" i="87"/>
  <c r="AH365" i="87"/>
  <c r="R365" i="87"/>
  <c r="Q365" i="87"/>
  <c r="P365" i="87"/>
  <c r="O365" i="87"/>
  <c r="N365" i="87"/>
  <c r="M365" i="87"/>
  <c r="L365" i="87"/>
  <c r="K365" i="87"/>
  <c r="J365" i="87"/>
  <c r="I365" i="87"/>
  <c r="H365" i="87"/>
  <c r="G365" i="87"/>
  <c r="F365" i="87"/>
  <c r="A365" i="87"/>
  <c r="BG364" i="87"/>
  <c r="BF364" i="87"/>
  <c r="BE364" i="87"/>
  <c r="BD364" i="87"/>
  <c r="BC364" i="87"/>
  <c r="BB364" i="87"/>
  <c r="BA364" i="87"/>
  <c r="AZ364" i="87"/>
  <c r="AY364" i="87"/>
  <c r="AX364" i="87"/>
  <c r="AW364" i="87"/>
  <c r="AV364" i="87"/>
  <c r="AP364" i="87"/>
  <c r="AO364" i="87"/>
  <c r="AI364" i="87"/>
  <c r="AH364" i="87"/>
  <c r="R364" i="87"/>
  <c r="Q364" i="87"/>
  <c r="P364" i="87"/>
  <c r="O364" i="87"/>
  <c r="N364" i="87"/>
  <c r="M364" i="87"/>
  <c r="L364" i="87"/>
  <c r="K364" i="87"/>
  <c r="J364" i="87"/>
  <c r="I364" i="87"/>
  <c r="H364" i="87"/>
  <c r="G364" i="87"/>
  <c r="F364" i="87"/>
  <c r="A364" i="87"/>
  <c r="BG363" i="87"/>
  <c r="BF363" i="87"/>
  <c r="BE363" i="87"/>
  <c r="BD363" i="87"/>
  <c r="BC363" i="87"/>
  <c r="BB363" i="87"/>
  <c r="BA363" i="87"/>
  <c r="AZ363" i="87"/>
  <c r="AY363" i="87"/>
  <c r="AX363" i="87"/>
  <c r="AW363" i="87"/>
  <c r="AV363" i="87"/>
  <c r="AU363" i="87"/>
  <c r="AP363" i="87"/>
  <c r="AO363" i="87"/>
  <c r="AN363" i="87"/>
  <c r="AI363" i="87"/>
  <c r="AH363" i="87"/>
  <c r="S363" i="87"/>
  <c r="R363" i="87"/>
  <c r="Q363" i="87"/>
  <c r="P363" i="87"/>
  <c r="O363" i="87"/>
  <c r="N363" i="87"/>
  <c r="M363" i="87"/>
  <c r="L363" i="87"/>
  <c r="K363" i="87"/>
  <c r="J363" i="87"/>
  <c r="I363" i="87"/>
  <c r="H363" i="87"/>
  <c r="G363" i="87"/>
  <c r="F363" i="87"/>
  <c r="A363" i="87"/>
  <c r="BG362" i="87"/>
  <c r="BF362" i="87"/>
  <c r="BE362" i="87"/>
  <c r="BD362" i="87"/>
  <c r="BC362" i="87"/>
  <c r="BB362" i="87"/>
  <c r="BA362" i="87"/>
  <c r="AZ362" i="87"/>
  <c r="AY362" i="87"/>
  <c r="AX362" i="87"/>
  <c r="AW362" i="87"/>
  <c r="AV362" i="87"/>
  <c r="AP362" i="87"/>
  <c r="AO362" i="87"/>
  <c r="AN362" i="87"/>
  <c r="AI362" i="87"/>
  <c r="AH362" i="87"/>
  <c r="S362" i="87"/>
  <c r="R362" i="87"/>
  <c r="Q362" i="87"/>
  <c r="P362" i="87"/>
  <c r="O362" i="87"/>
  <c r="N362" i="87"/>
  <c r="M362" i="87"/>
  <c r="L362" i="87"/>
  <c r="K362" i="87"/>
  <c r="J362" i="87"/>
  <c r="I362" i="87"/>
  <c r="H362" i="87"/>
  <c r="G362" i="87"/>
  <c r="F362" i="87"/>
  <c r="A362" i="87"/>
  <c r="BG361" i="87"/>
  <c r="BF361" i="87"/>
  <c r="BE361" i="87"/>
  <c r="BD361" i="87"/>
  <c r="BC361" i="87"/>
  <c r="BB361" i="87"/>
  <c r="BA361" i="87"/>
  <c r="AZ361" i="87"/>
  <c r="AY361" i="87"/>
  <c r="AX361" i="87"/>
  <c r="AW361" i="87"/>
  <c r="AV361" i="87"/>
  <c r="AU361" i="87"/>
  <c r="AP361" i="87"/>
  <c r="AO361" i="87"/>
  <c r="AN361" i="87"/>
  <c r="AI361" i="87"/>
  <c r="AH361" i="87"/>
  <c r="S361" i="87"/>
  <c r="R361" i="87"/>
  <c r="Q361" i="87"/>
  <c r="P361" i="87"/>
  <c r="O361" i="87"/>
  <c r="N361" i="87"/>
  <c r="M361" i="87"/>
  <c r="L361" i="87"/>
  <c r="K361" i="87"/>
  <c r="J361" i="87"/>
  <c r="I361" i="87"/>
  <c r="H361" i="87"/>
  <c r="G361" i="87"/>
  <c r="F361" i="87"/>
  <c r="A361" i="87"/>
  <c r="BG360" i="87"/>
  <c r="BF360" i="87"/>
  <c r="BE360" i="87"/>
  <c r="BD360" i="87"/>
  <c r="BC360" i="87"/>
  <c r="BB360" i="87"/>
  <c r="BA360" i="87"/>
  <c r="AZ360" i="87"/>
  <c r="AY360" i="87"/>
  <c r="AX360" i="87"/>
  <c r="AW360" i="87"/>
  <c r="AV360" i="87"/>
  <c r="AU360" i="87"/>
  <c r="AP360" i="87"/>
  <c r="AO360" i="87"/>
  <c r="AN360" i="87"/>
  <c r="AI360" i="87"/>
  <c r="AH360" i="87"/>
  <c r="S360" i="87"/>
  <c r="R360" i="87"/>
  <c r="Q360" i="87"/>
  <c r="P360" i="87"/>
  <c r="O360" i="87"/>
  <c r="N360" i="87"/>
  <c r="M360" i="87"/>
  <c r="L360" i="87"/>
  <c r="K360" i="87"/>
  <c r="J360" i="87"/>
  <c r="I360" i="87"/>
  <c r="H360" i="87"/>
  <c r="G360" i="87"/>
  <c r="F360" i="87"/>
  <c r="A360" i="87"/>
  <c r="BG359" i="87"/>
  <c r="BF359" i="87"/>
  <c r="BE359" i="87"/>
  <c r="BD359" i="87"/>
  <c r="BC359" i="87"/>
  <c r="BB359" i="87"/>
  <c r="BA359" i="87"/>
  <c r="AZ359" i="87"/>
  <c r="AY359" i="87"/>
  <c r="AX359" i="87"/>
  <c r="AW359" i="87"/>
  <c r="AV359" i="87"/>
  <c r="AP359" i="87"/>
  <c r="AO359" i="87"/>
  <c r="AI359" i="87"/>
  <c r="AH359" i="87"/>
  <c r="R359" i="87"/>
  <c r="Q359" i="87"/>
  <c r="P359" i="87"/>
  <c r="O359" i="87"/>
  <c r="N359" i="87"/>
  <c r="M359" i="87"/>
  <c r="L359" i="87"/>
  <c r="K359" i="87"/>
  <c r="J359" i="87"/>
  <c r="I359" i="87"/>
  <c r="H359" i="87"/>
  <c r="G359" i="87"/>
  <c r="F359" i="87"/>
  <c r="A359" i="87"/>
  <c r="BG358" i="87"/>
  <c r="BF358" i="87"/>
  <c r="BE358" i="87"/>
  <c r="BD358" i="87"/>
  <c r="BC358" i="87"/>
  <c r="BB358" i="87"/>
  <c r="BA358" i="87"/>
  <c r="AZ358" i="87"/>
  <c r="AY358" i="87"/>
  <c r="AX358" i="87"/>
  <c r="AW358" i="87"/>
  <c r="AV358" i="87"/>
  <c r="AU358" i="87"/>
  <c r="AP358" i="87"/>
  <c r="AO358" i="87"/>
  <c r="AN358" i="87"/>
  <c r="AI358" i="87"/>
  <c r="AH358" i="87"/>
  <c r="R358" i="87"/>
  <c r="Q358" i="87"/>
  <c r="P358" i="87"/>
  <c r="O358" i="87"/>
  <c r="N358" i="87"/>
  <c r="M358" i="87"/>
  <c r="L358" i="87"/>
  <c r="K358" i="87"/>
  <c r="J358" i="87"/>
  <c r="I358" i="87"/>
  <c r="H358" i="87"/>
  <c r="G358" i="87"/>
  <c r="F358" i="87"/>
  <c r="A358" i="87"/>
  <c r="BG357" i="87"/>
  <c r="BF357" i="87"/>
  <c r="BE357" i="87"/>
  <c r="BD357" i="87"/>
  <c r="BC357" i="87"/>
  <c r="BB357" i="87"/>
  <c r="BA357" i="87"/>
  <c r="AZ357" i="87"/>
  <c r="AY357" i="87"/>
  <c r="AX357" i="87"/>
  <c r="AW357" i="87"/>
  <c r="AV357" i="87"/>
  <c r="AP357" i="87"/>
  <c r="AO357" i="87"/>
  <c r="AI357" i="87"/>
  <c r="AH357" i="87"/>
  <c r="R357" i="87"/>
  <c r="Q357" i="87"/>
  <c r="P357" i="87"/>
  <c r="O357" i="87"/>
  <c r="N357" i="87"/>
  <c r="M357" i="87"/>
  <c r="L357" i="87"/>
  <c r="K357" i="87"/>
  <c r="J357" i="87"/>
  <c r="I357" i="87"/>
  <c r="H357" i="87"/>
  <c r="G357" i="87"/>
  <c r="F357" i="87"/>
  <c r="A357" i="87"/>
  <c r="BG356" i="87"/>
  <c r="BF356" i="87"/>
  <c r="BE356" i="87"/>
  <c r="BD356" i="87"/>
  <c r="BC356" i="87"/>
  <c r="BB356" i="87"/>
  <c r="BA356" i="87"/>
  <c r="AZ356" i="87"/>
  <c r="AY356" i="87"/>
  <c r="AX356" i="87"/>
  <c r="AW356" i="87"/>
  <c r="AV356" i="87"/>
  <c r="AU356" i="87"/>
  <c r="AP356" i="87"/>
  <c r="AO356" i="87"/>
  <c r="AN356" i="87"/>
  <c r="AI356" i="87"/>
  <c r="AH356" i="87"/>
  <c r="S356" i="87"/>
  <c r="R356" i="87"/>
  <c r="Q356" i="87"/>
  <c r="P356" i="87"/>
  <c r="O356" i="87"/>
  <c r="N356" i="87"/>
  <c r="M356" i="87"/>
  <c r="L356" i="87"/>
  <c r="K356" i="87"/>
  <c r="J356" i="87"/>
  <c r="I356" i="87"/>
  <c r="H356" i="87"/>
  <c r="G356" i="87"/>
  <c r="F356" i="87"/>
  <c r="A356" i="87"/>
  <c r="BG355" i="87"/>
  <c r="BF355" i="87"/>
  <c r="BE355" i="87"/>
  <c r="BD355" i="87"/>
  <c r="BC355" i="87"/>
  <c r="BB355" i="87"/>
  <c r="BA355" i="87"/>
  <c r="AZ355" i="87"/>
  <c r="AY355" i="87"/>
  <c r="AX355" i="87"/>
  <c r="AW355" i="87"/>
  <c r="AV355" i="87"/>
  <c r="AP355" i="87"/>
  <c r="AO355" i="87"/>
  <c r="AI355" i="87"/>
  <c r="AH355" i="87"/>
  <c r="S355" i="87"/>
  <c r="R355" i="87"/>
  <c r="Q355" i="87"/>
  <c r="P355" i="87"/>
  <c r="O355" i="87"/>
  <c r="N355" i="87"/>
  <c r="M355" i="87"/>
  <c r="L355" i="87"/>
  <c r="K355" i="87"/>
  <c r="J355" i="87"/>
  <c r="I355" i="87"/>
  <c r="H355" i="87"/>
  <c r="G355" i="87"/>
  <c r="F355" i="87"/>
  <c r="A355" i="87"/>
  <c r="BG354" i="87"/>
  <c r="BF354" i="87"/>
  <c r="BE354" i="87"/>
  <c r="BD354" i="87"/>
  <c r="BC354" i="87"/>
  <c r="BB354" i="87"/>
  <c r="BA354" i="87"/>
  <c r="AZ354" i="87"/>
  <c r="AY354" i="87"/>
  <c r="AX354" i="87"/>
  <c r="AW354" i="87"/>
  <c r="AV354" i="87"/>
  <c r="AP354" i="87"/>
  <c r="AO354" i="87"/>
  <c r="AN354" i="87"/>
  <c r="AI354" i="87"/>
  <c r="AH354" i="87"/>
  <c r="S354" i="87"/>
  <c r="R354" i="87"/>
  <c r="Q354" i="87"/>
  <c r="P354" i="87"/>
  <c r="O354" i="87"/>
  <c r="N354" i="87"/>
  <c r="M354" i="87"/>
  <c r="L354" i="87"/>
  <c r="K354" i="87"/>
  <c r="J354" i="87"/>
  <c r="I354" i="87"/>
  <c r="H354" i="87"/>
  <c r="G354" i="87"/>
  <c r="F354" i="87"/>
  <c r="A354" i="87"/>
  <c r="BG353" i="87"/>
  <c r="BF353" i="87"/>
  <c r="BE353" i="87"/>
  <c r="BD353" i="87"/>
  <c r="BC353" i="87"/>
  <c r="BB353" i="87"/>
  <c r="BA353" i="87"/>
  <c r="AZ353" i="87"/>
  <c r="AY353" i="87"/>
  <c r="AX353" i="87"/>
  <c r="AW353" i="87"/>
  <c r="AV353" i="87"/>
  <c r="AP353" i="87"/>
  <c r="AO353" i="87"/>
  <c r="AI353" i="87"/>
  <c r="AH353" i="87"/>
  <c r="S353" i="87"/>
  <c r="R353" i="87"/>
  <c r="Q353" i="87"/>
  <c r="P353" i="87"/>
  <c r="O353" i="87"/>
  <c r="N353" i="87"/>
  <c r="M353" i="87"/>
  <c r="L353" i="87"/>
  <c r="K353" i="87"/>
  <c r="J353" i="87"/>
  <c r="I353" i="87"/>
  <c r="H353" i="87"/>
  <c r="G353" i="87"/>
  <c r="F353" i="87"/>
  <c r="A353" i="87"/>
  <c r="BG352" i="87"/>
  <c r="BF352" i="87"/>
  <c r="BE352" i="87"/>
  <c r="BD352" i="87"/>
  <c r="BC352" i="87"/>
  <c r="BB352" i="87"/>
  <c r="BA352" i="87"/>
  <c r="AZ352" i="87"/>
  <c r="AY352" i="87"/>
  <c r="AX352" i="87"/>
  <c r="AW352" i="87"/>
  <c r="AV352" i="87"/>
  <c r="AP352" i="87"/>
  <c r="AO352" i="87"/>
  <c r="AI352" i="87"/>
  <c r="AH352" i="87"/>
  <c r="R352" i="87"/>
  <c r="Q352" i="87"/>
  <c r="P352" i="87"/>
  <c r="O352" i="87"/>
  <c r="N352" i="87"/>
  <c r="M352" i="87"/>
  <c r="L352" i="87"/>
  <c r="K352" i="87"/>
  <c r="J352" i="87"/>
  <c r="I352" i="87"/>
  <c r="H352" i="87"/>
  <c r="G352" i="87"/>
  <c r="F352" i="87"/>
  <c r="A352" i="87"/>
  <c r="BG351" i="87"/>
  <c r="BF351" i="87"/>
  <c r="BE351" i="87"/>
  <c r="BD351" i="87"/>
  <c r="BC351" i="87"/>
  <c r="BB351" i="87"/>
  <c r="BA351" i="87"/>
  <c r="AZ351" i="87"/>
  <c r="AY351" i="87"/>
  <c r="AX351" i="87"/>
  <c r="AW351" i="87"/>
  <c r="AV351" i="87"/>
  <c r="AP351" i="87"/>
  <c r="AO351" i="87"/>
  <c r="AI351" i="87"/>
  <c r="AH351" i="87"/>
  <c r="R351" i="87"/>
  <c r="Q351" i="87"/>
  <c r="P351" i="87"/>
  <c r="O351" i="87"/>
  <c r="N351" i="87"/>
  <c r="M351" i="87"/>
  <c r="L351" i="87"/>
  <c r="K351" i="87"/>
  <c r="J351" i="87"/>
  <c r="I351" i="87"/>
  <c r="H351" i="87"/>
  <c r="G351" i="87"/>
  <c r="F351" i="87"/>
  <c r="A351" i="87"/>
  <c r="BG350" i="87"/>
  <c r="BF350" i="87"/>
  <c r="BE350" i="87"/>
  <c r="BD350" i="87"/>
  <c r="BC350" i="87"/>
  <c r="BB350" i="87"/>
  <c r="BA350" i="87"/>
  <c r="AZ350" i="87"/>
  <c r="AY350" i="87"/>
  <c r="AX350" i="87"/>
  <c r="AW350" i="87"/>
  <c r="AV350" i="87"/>
  <c r="AU350" i="87"/>
  <c r="AP350" i="87"/>
  <c r="AO350" i="87"/>
  <c r="AI350" i="87"/>
  <c r="AH350" i="87"/>
  <c r="R350" i="87"/>
  <c r="Q350" i="87"/>
  <c r="P350" i="87"/>
  <c r="O350" i="87"/>
  <c r="N350" i="87"/>
  <c r="M350" i="87"/>
  <c r="L350" i="87"/>
  <c r="K350" i="87"/>
  <c r="J350" i="87"/>
  <c r="I350" i="87"/>
  <c r="H350" i="87"/>
  <c r="G350" i="87"/>
  <c r="F350" i="87"/>
  <c r="A350" i="87"/>
  <c r="BG349" i="87"/>
  <c r="BF349" i="87"/>
  <c r="BE349" i="87"/>
  <c r="BD349" i="87"/>
  <c r="BC349" i="87"/>
  <c r="BB349" i="87"/>
  <c r="BA349" i="87"/>
  <c r="AZ349" i="87"/>
  <c r="AY349" i="87"/>
  <c r="AX349" i="87"/>
  <c r="AW349" i="87"/>
  <c r="AV349" i="87"/>
  <c r="AU349" i="87"/>
  <c r="AP349" i="87"/>
  <c r="AO349" i="87"/>
  <c r="AN349" i="87"/>
  <c r="AI349" i="87"/>
  <c r="AH349" i="87"/>
  <c r="S349" i="87"/>
  <c r="R349" i="87"/>
  <c r="Q349" i="87"/>
  <c r="P349" i="87"/>
  <c r="O349" i="87"/>
  <c r="N349" i="87"/>
  <c r="M349" i="87"/>
  <c r="L349" i="87"/>
  <c r="K349" i="87"/>
  <c r="J349" i="87"/>
  <c r="I349" i="87"/>
  <c r="H349" i="87"/>
  <c r="G349" i="87"/>
  <c r="F349" i="87"/>
  <c r="A349" i="87"/>
  <c r="BG348" i="87"/>
  <c r="BF348" i="87"/>
  <c r="BE348" i="87"/>
  <c r="BD348" i="87"/>
  <c r="BC348" i="87"/>
  <c r="BB348" i="87"/>
  <c r="BA348" i="87"/>
  <c r="AZ348" i="87"/>
  <c r="AY348" i="87"/>
  <c r="AX348" i="87"/>
  <c r="AW348" i="87"/>
  <c r="AV348" i="87"/>
  <c r="AU348" i="87"/>
  <c r="AP348" i="87"/>
  <c r="AO348" i="87"/>
  <c r="AN348" i="87"/>
  <c r="AI348" i="87"/>
  <c r="AH348" i="87"/>
  <c r="S348" i="87"/>
  <c r="R348" i="87"/>
  <c r="Q348" i="87"/>
  <c r="P348" i="87"/>
  <c r="O348" i="87"/>
  <c r="N348" i="87"/>
  <c r="M348" i="87"/>
  <c r="L348" i="87"/>
  <c r="K348" i="87"/>
  <c r="J348" i="87"/>
  <c r="I348" i="87"/>
  <c r="H348" i="87"/>
  <c r="G348" i="87"/>
  <c r="F348" i="87"/>
  <c r="A348" i="87"/>
  <c r="BG347" i="87"/>
  <c r="BF347" i="87"/>
  <c r="BE347" i="87"/>
  <c r="BD347" i="87"/>
  <c r="BC347" i="87"/>
  <c r="BB347" i="87"/>
  <c r="BA347" i="87"/>
  <c r="AZ347" i="87"/>
  <c r="AY347" i="87"/>
  <c r="AX347" i="87"/>
  <c r="AW347" i="87"/>
  <c r="AV347" i="87"/>
  <c r="AP347" i="87"/>
  <c r="AO347" i="87"/>
  <c r="AI347" i="87"/>
  <c r="AH347" i="87"/>
  <c r="R347" i="87"/>
  <c r="Q347" i="87"/>
  <c r="P347" i="87"/>
  <c r="O347" i="87"/>
  <c r="N347" i="87"/>
  <c r="M347" i="87"/>
  <c r="L347" i="87"/>
  <c r="K347" i="87"/>
  <c r="J347" i="87"/>
  <c r="I347" i="87"/>
  <c r="H347" i="87"/>
  <c r="G347" i="87"/>
  <c r="F347" i="87"/>
  <c r="D347" i="87"/>
  <c r="A347" i="87"/>
  <c r="BG346" i="87"/>
  <c r="BF346" i="87"/>
  <c r="BE346" i="87"/>
  <c r="BD346" i="87"/>
  <c r="BC346" i="87"/>
  <c r="BB346" i="87"/>
  <c r="BA346" i="87"/>
  <c r="AZ346" i="87"/>
  <c r="AY346" i="87"/>
  <c r="AX346" i="87"/>
  <c r="AW346" i="87"/>
  <c r="AV346" i="87"/>
  <c r="AP346" i="87"/>
  <c r="AO346" i="87"/>
  <c r="AI346" i="87"/>
  <c r="AH346" i="87"/>
  <c r="R346" i="87"/>
  <c r="Q346" i="87"/>
  <c r="P346" i="87"/>
  <c r="O346" i="87"/>
  <c r="N346" i="87"/>
  <c r="M346" i="87"/>
  <c r="L346" i="87"/>
  <c r="K346" i="87"/>
  <c r="J346" i="87"/>
  <c r="I346" i="87"/>
  <c r="H346" i="87"/>
  <c r="G346" i="87"/>
  <c r="F346" i="87"/>
  <c r="D346" i="87"/>
  <c r="A346" i="87"/>
  <c r="BG345" i="87"/>
  <c r="BF345" i="87"/>
  <c r="BE345" i="87"/>
  <c r="BD345" i="87"/>
  <c r="BC345" i="87"/>
  <c r="BB345" i="87"/>
  <c r="BA345" i="87"/>
  <c r="AZ345" i="87"/>
  <c r="AY345" i="87"/>
  <c r="AX345" i="87"/>
  <c r="AW345" i="87"/>
  <c r="AV345" i="87"/>
  <c r="AP345" i="87"/>
  <c r="AO345" i="87"/>
  <c r="AI345" i="87"/>
  <c r="AH345" i="87"/>
  <c r="R345" i="87"/>
  <c r="Q345" i="87"/>
  <c r="P345" i="87"/>
  <c r="O345" i="87"/>
  <c r="N345" i="87"/>
  <c r="M345" i="87"/>
  <c r="L345" i="87"/>
  <c r="K345" i="87"/>
  <c r="J345" i="87"/>
  <c r="I345" i="87"/>
  <c r="H345" i="87"/>
  <c r="G345" i="87"/>
  <c r="F345" i="87"/>
  <c r="D345" i="87"/>
  <c r="A345" i="87"/>
  <c r="BG344" i="87"/>
  <c r="BF344" i="87"/>
  <c r="BE344" i="87"/>
  <c r="BD344" i="87"/>
  <c r="BC344" i="87"/>
  <c r="BB344" i="87"/>
  <c r="BA344" i="87"/>
  <c r="AZ344" i="87"/>
  <c r="AY344" i="87"/>
  <c r="AX344" i="87"/>
  <c r="AW344" i="87"/>
  <c r="AV344" i="87"/>
  <c r="AP344" i="87"/>
  <c r="AO344" i="87"/>
  <c r="AN344" i="87"/>
  <c r="AI344" i="87"/>
  <c r="AH344" i="87"/>
  <c r="R344" i="87"/>
  <c r="Q344" i="87"/>
  <c r="P344" i="87"/>
  <c r="O344" i="87"/>
  <c r="N344" i="87"/>
  <c r="M344" i="87"/>
  <c r="L344" i="87"/>
  <c r="K344" i="87"/>
  <c r="J344" i="87"/>
  <c r="I344" i="87"/>
  <c r="H344" i="87"/>
  <c r="G344" i="87"/>
  <c r="F344" i="87"/>
  <c r="D344" i="87"/>
  <c r="A344" i="87"/>
  <c r="BG343" i="87"/>
  <c r="BF343" i="87"/>
  <c r="BE343" i="87"/>
  <c r="BD343" i="87"/>
  <c r="BC343" i="87"/>
  <c r="BB343" i="87"/>
  <c r="BA343" i="87"/>
  <c r="AZ343" i="87"/>
  <c r="AY343" i="87"/>
  <c r="AX343" i="87"/>
  <c r="AW343" i="87"/>
  <c r="AV343" i="87"/>
  <c r="AP343" i="87"/>
  <c r="AO343" i="87"/>
  <c r="AI343" i="87"/>
  <c r="AH343" i="87"/>
  <c r="R343" i="87"/>
  <c r="Q343" i="87"/>
  <c r="P343" i="87"/>
  <c r="O343" i="87"/>
  <c r="N343" i="87"/>
  <c r="M343" i="87"/>
  <c r="L343" i="87"/>
  <c r="K343" i="87"/>
  <c r="J343" i="87"/>
  <c r="I343" i="87"/>
  <c r="H343" i="87"/>
  <c r="G343" i="87"/>
  <c r="F343" i="87"/>
  <c r="D343" i="87"/>
  <c r="A343" i="87"/>
  <c r="BG342" i="87"/>
  <c r="BF342" i="87"/>
  <c r="BE342" i="87"/>
  <c r="BD342" i="87"/>
  <c r="BC342" i="87"/>
  <c r="BB342" i="87"/>
  <c r="BA342" i="87"/>
  <c r="AZ342" i="87"/>
  <c r="AY342" i="87"/>
  <c r="AX342" i="87"/>
  <c r="AW342" i="87"/>
  <c r="AV342" i="87"/>
  <c r="AU342" i="87"/>
  <c r="AP342" i="87"/>
  <c r="AO342" i="87"/>
  <c r="AN342" i="87"/>
  <c r="AI342" i="87"/>
  <c r="AH342" i="87"/>
  <c r="S342" i="87"/>
  <c r="R342" i="87"/>
  <c r="Q342" i="87"/>
  <c r="P342" i="87"/>
  <c r="O342" i="87"/>
  <c r="N342" i="87"/>
  <c r="M342" i="87"/>
  <c r="L342" i="87"/>
  <c r="K342" i="87"/>
  <c r="J342" i="87"/>
  <c r="I342" i="87"/>
  <c r="H342" i="87"/>
  <c r="G342" i="87"/>
  <c r="F342" i="87"/>
  <c r="D342" i="87"/>
  <c r="A342" i="87"/>
  <c r="BG341" i="87"/>
  <c r="BF341" i="87"/>
  <c r="BE341" i="87"/>
  <c r="BD341" i="87"/>
  <c r="BC341" i="87"/>
  <c r="BB341" i="87"/>
  <c r="BA341" i="87"/>
  <c r="AZ341" i="87"/>
  <c r="AY341" i="87"/>
  <c r="AX341" i="87"/>
  <c r="AW341" i="87"/>
  <c r="AV341" i="87"/>
  <c r="AU341" i="87"/>
  <c r="AP341" i="87"/>
  <c r="AO341" i="87"/>
  <c r="AN341" i="87"/>
  <c r="AI341" i="87"/>
  <c r="AH341" i="87"/>
  <c r="S341" i="87"/>
  <c r="R341" i="87"/>
  <c r="Q341" i="87"/>
  <c r="P341" i="87"/>
  <c r="O341" i="87"/>
  <c r="N341" i="87"/>
  <c r="M341" i="87"/>
  <c r="L341" i="87"/>
  <c r="K341" i="87"/>
  <c r="J341" i="87"/>
  <c r="I341" i="87"/>
  <c r="H341" i="87"/>
  <c r="G341" i="87"/>
  <c r="F341" i="87"/>
  <c r="A341" i="87"/>
  <c r="BG340" i="87"/>
  <c r="BF340" i="87"/>
  <c r="BE340" i="87"/>
  <c r="BD340" i="87"/>
  <c r="BC340" i="87"/>
  <c r="BB340" i="87"/>
  <c r="BA340" i="87"/>
  <c r="AZ340" i="87"/>
  <c r="AY340" i="87"/>
  <c r="AX340" i="87"/>
  <c r="AW340" i="87"/>
  <c r="AV340" i="87"/>
  <c r="AU340" i="87"/>
  <c r="AP340" i="87"/>
  <c r="AO340" i="87"/>
  <c r="AI340" i="87"/>
  <c r="AH340" i="87"/>
  <c r="R340" i="87"/>
  <c r="Q340" i="87"/>
  <c r="P340" i="87"/>
  <c r="O340" i="87"/>
  <c r="N340" i="87"/>
  <c r="M340" i="87"/>
  <c r="L340" i="87"/>
  <c r="K340" i="87"/>
  <c r="J340" i="87"/>
  <c r="I340" i="87"/>
  <c r="H340" i="87"/>
  <c r="G340" i="87"/>
  <c r="F340" i="87"/>
  <c r="D340" i="87"/>
  <c r="A340" i="87"/>
  <c r="BG339" i="87"/>
  <c r="BF339" i="87"/>
  <c r="BE339" i="87"/>
  <c r="BD339" i="87"/>
  <c r="BC339" i="87"/>
  <c r="BB339" i="87"/>
  <c r="BA339" i="87"/>
  <c r="AZ339" i="87"/>
  <c r="AY339" i="87"/>
  <c r="AX339" i="87"/>
  <c r="AW339" i="87"/>
  <c r="AV339" i="87"/>
  <c r="AU339" i="87"/>
  <c r="AP339" i="87"/>
  <c r="AO339" i="87"/>
  <c r="AN339" i="87"/>
  <c r="AI339" i="87"/>
  <c r="AH339" i="87"/>
  <c r="S339" i="87"/>
  <c r="R339" i="87"/>
  <c r="Q339" i="87"/>
  <c r="P339" i="87"/>
  <c r="O339" i="87"/>
  <c r="N339" i="87"/>
  <c r="M339" i="87"/>
  <c r="L339" i="87"/>
  <c r="K339" i="87"/>
  <c r="J339" i="87"/>
  <c r="I339" i="87"/>
  <c r="H339" i="87"/>
  <c r="G339" i="87"/>
  <c r="F339" i="87"/>
  <c r="D339" i="87"/>
  <c r="A339" i="87"/>
  <c r="BG338" i="87"/>
  <c r="BF338" i="87"/>
  <c r="BE338" i="87"/>
  <c r="BD338" i="87"/>
  <c r="BC338" i="87"/>
  <c r="BB338" i="87"/>
  <c r="BA338" i="87"/>
  <c r="AZ338" i="87"/>
  <c r="AY338" i="87"/>
  <c r="AX338" i="87"/>
  <c r="AW338" i="87"/>
  <c r="AV338" i="87"/>
  <c r="AP338" i="87"/>
  <c r="AO338" i="87"/>
  <c r="AN338" i="87"/>
  <c r="AI338" i="87"/>
  <c r="AH338" i="87"/>
  <c r="S338" i="87"/>
  <c r="R338" i="87"/>
  <c r="Q338" i="87"/>
  <c r="P338" i="87"/>
  <c r="O338" i="87"/>
  <c r="N338" i="87"/>
  <c r="M338" i="87"/>
  <c r="L338" i="87"/>
  <c r="K338" i="87"/>
  <c r="J338" i="87"/>
  <c r="I338" i="87"/>
  <c r="H338" i="87"/>
  <c r="G338" i="87"/>
  <c r="F338" i="87"/>
  <c r="D338" i="87"/>
  <c r="A338" i="87"/>
  <c r="BG337" i="87"/>
  <c r="BF337" i="87"/>
  <c r="BE337" i="87"/>
  <c r="BD337" i="87"/>
  <c r="BC337" i="87"/>
  <c r="BB337" i="87"/>
  <c r="BA337" i="87"/>
  <c r="AZ337" i="87"/>
  <c r="AY337" i="87"/>
  <c r="AX337" i="87"/>
  <c r="AW337" i="87"/>
  <c r="AV337" i="87"/>
  <c r="AP337" i="87"/>
  <c r="AO337" i="87"/>
  <c r="AN337" i="87"/>
  <c r="AI337" i="87"/>
  <c r="AH337" i="87"/>
  <c r="R337" i="87"/>
  <c r="Q337" i="87"/>
  <c r="P337" i="87"/>
  <c r="O337" i="87"/>
  <c r="N337" i="87"/>
  <c r="M337" i="87"/>
  <c r="L337" i="87"/>
  <c r="K337" i="87"/>
  <c r="J337" i="87"/>
  <c r="I337" i="87"/>
  <c r="H337" i="87"/>
  <c r="G337" i="87"/>
  <c r="F337" i="87"/>
  <c r="D337" i="87"/>
  <c r="A337" i="87"/>
  <c r="BG336" i="87"/>
  <c r="BF336" i="87"/>
  <c r="BE336" i="87"/>
  <c r="BD336" i="87"/>
  <c r="BC336" i="87"/>
  <c r="BB336" i="87"/>
  <c r="BA336" i="87"/>
  <c r="AZ336" i="87"/>
  <c r="AY336" i="87"/>
  <c r="AX336" i="87"/>
  <c r="AW336" i="87"/>
  <c r="AV336" i="87"/>
  <c r="AU336" i="87"/>
  <c r="AP336" i="87"/>
  <c r="AO336" i="87"/>
  <c r="AN336" i="87"/>
  <c r="AI336" i="87"/>
  <c r="AH336" i="87"/>
  <c r="S336" i="87"/>
  <c r="R336" i="87"/>
  <c r="Q336" i="87"/>
  <c r="P336" i="87"/>
  <c r="O336" i="87"/>
  <c r="N336" i="87"/>
  <c r="M336" i="87"/>
  <c r="L336" i="87"/>
  <c r="K336" i="87"/>
  <c r="J336" i="87"/>
  <c r="I336" i="87"/>
  <c r="H336" i="87"/>
  <c r="G336" i="87"/>
  <c r="F336" i="87"/>
  <c r="D336" i="87"/>
  <c r="A336" i="87"/>
  <c r="BG335" i="87"/>
  <c r="BF335" i="87"/>
  <c r="BE335" i="87"/>
  <c r="BD335" i="87"/>
  <c r="BC335" i="87"/>
  <c r="BB335" i="87"/>
  <c r="BA335" i="87"/>
  <c r="AZ335" i="87"/>
  <c r="AY335" i="87"/>
  <c r="AX335" i="87"/>
  <c r="AW335" i="87"/>
  <c r="AV335" i="87"/>
  <c r="AU335" i="87"/>
  <c r="AP335" i="87"/>
  <c r="AO335" i="87"/>
  <c r="AN335" i="87"/>
  <c r="AI335" i="87"/>
  <c r="AH335" i="87"/>
  <c r="S335" i="87"/>
  <c r="R335" i="87"/>
  <c r="Q335" i="87"/>
  <c r="P335" i="87"/>
  <c r="O335" i="87"/>
  <c r="N335" i="87"/>
  <c r="M335" i="87"/>
  <c r="L335" i="87"/>
  <c r="K335" i="87"/>
  <c r="J335" i="87"/>
  <c r="I335" i="87"/>
  <c r="H335" i="87"/>
  <c r="G335" i="87"/>
  <c r="F335" i="87"/>
  <c r="A335" i="87"/>
  <c r="BG334" i="87"/>
  <c r="BF334" i="87"/>
  <c r="BE334" i="87"/>
  <c r="BD334" i="87"/>
  <c r="BC334" i="87"/>
  <c r="BB334" i="87"/>
  <c r="BA334" i="87"/>
  <c r="AZ334" i="87"/>
  <c r="AY334" i="87"/>
  <c r="AX334" i="87"/>
  <c r="AW334" i="87"/>
  <c r="AV334" i="87"/>
  <c r="AP334" i="87"/>
  <c r="AO334" i="87"/>
  <c r="AN334" i="87"/>
  <c r="AI334" i="87"/>
  <c r="AH334" i="87"/>
  <c r="R334" i="87"/>
  <c r="Q334" i="87"/>
  <c r="P334" i="87"/>
  <c r="O334" i="87"/>
  <c r="N334" i="87"/>
  <c r="M334" i="87"/>
  <c r="L334" i="87"/>
  <c r="K334" i="87"/>
  <c r="J334" i="87"/>
  <c r="I334" i="87"/>
  <c r="H334" i="87"/>
  <c r="G334" i="87"/>
  <c r="F334" i="87"/>
  <c r="D334" i="87"/>
  <c r="A334" i="87"/>
  <c r="BG333" i="87"/>
  <c r="BF333" i="87"/>
  <c r="BE333" i="87"/>
  <c r="BD333" i="87"/>
  <c r="BC333" i="87"/>
  <c r="BB333" i="87"/>
  <c r="BA333" i="87"/>
  <c r="AZ333" i="87"/>
  <c r="AY333" i="87"/>
  <c r="AX333" i="87"/>
  <c r="AW333" i="87"/>
  <c r="AV333" i="87"/>
  <c r="AU333" i="87"/>
  <c r="AP333" i="87"/>
  <c r="AO333" i="87"/>
  <c r="AN333" i="87"/>
  <c r="AI333" i="87"/>
  <c r="AH333" i="87"/>
  <c r="S333" i="87"/>
  <c r="R333" i="87"/>
  <c r="Q333" i="87"/>
  <c r="P333" i="87"/>
  <c r="O333" i="87"/>
  <c r="N333" i="87"/>
  <c r="M333" i="87"/>
  <c r="L333" i="87"/>
  <c r="K333" i="87"/>
  <c r="J333" i="87"/>
  <c r="I333" i="87"/>
  <c r="H333" i="87"/>
  <c r="G333" i="87"/>
  <c r="F333" i="87"/>
  <c r="D333" i="87"/>
  <c r="A333" i="87"/>
  <c r="BG332" i="87"/>
  <c r="BF332" i="87"/>
  <c r="BE332" i="87"/>
  <c r="BD332" i="87"/>
  <c r="BC332" i="87"/>
  <c r="BB332" i="87"/>
  <c r="BA332" i="87"/>
  <c r="AZ332" i="87"/>
  <c r="AY332" i="87"/>
  <c r="AX332" i="87"/>
  <c r="AW332" i="87"/>
  <c r="AV332" i="87"/>
  <c r="AU332" i="87"/>
  <c r="AP332" i="87"/>
  <c r="AO332" i="87"/>
  <c r="AN332" i="87"/>
  <c r="AI332" i="87"/>
  <c r="AH332" i="87"/>
  <c r="S332" i="87"/>
  <c r="R332" i="87"/>
  <c r="Q332" i="87"/>
  <c r="P332" i="87"/>
  <c r="O332" i="87"/>
  <c r="N332" i="87"/>
  <c r="M332" i="87"/>
  <c r="L332" i="87"/>
  <c r="K332" i="87"/>
  <c r="J332" i="87"/>
  <c r="I332" i="87"/>
  <c r="H332" i="87"/>
  <c r="G332" i="87"/>
  <c r="F332" i="87"/>
  <c r="D332" i="87"/>
  <c r="A332" i="87"/>
  <c r="BG331" i="87"/>
  <c r="BF331" i="87"/>
  <c r="BE331" i="87"/>
  <c r="BD331" i="87"/>
  <c r="BC331" i="87"/>
  <c r="BB331" i="87"/>
  <c r="BA331" i="87"/>
  <c r="AZ331" i="87"/>
  <c r="AY331" i="87"/>
  <c r="AX331" i="87"/>
  <c r="AW331" i="87"/>
  <c r="AV331" i="87"/>
  <c r="AU331" i="87"/>
  <c r="AP331" i="87"/>
  <c r="AO331" i="87"/>
  <c r="AI331" i="87"/>
  <c r="AH331" i="87"/>
  <c r="S331" i="87"/>
  <c r="R331" i="87"/>
  <c r="Q331" i="87"/>
  <c r="P331" i="87"/>
  <c r="O331" i="87"/>
  <c r="N331" i="87"/>
  <c r="M331" i="87"/>
  <c r="L331" i="87"/>
  <c r="K331" i="87"/>
  <c r="J331" i="87"/>
  <c r="I331" i="87"/>
  <c r="H331" i="87"/>
  <c r="G331" i="87"/>
  <c r="F331" i="87"/>
  <c r="D331" i="87"/>
  <c r="A331" i="87"/>
  <c r="BG330" i="87"/>
  <c r="BF330" i="87"/>
  <c r="BE330" i="87"/>
  <c r="BD330" i="87"/>
  <c r="BC330" i="87"/>
  <c r="BB330" i="87"/>
  <c r="BA330" i="87"/>
  <c r="AZ330" i="87"/>
  <c r="AY330" i="87"/>
  <c r="AX330" i="87"/>
  <c r="AW330" i="87"/>
  <c r="AV330" i="87"/>
  <c r="AP330" i="87"/>
  <c r="AO330" i="87"/>
  <c r="AN330" i="87"/>
  <c r="AI330" i="87"/>
  <c r="AH330" i="87"/>
  <c r="S330" i="87"/>
  <c r="R330" i="87"/>
  <c r="Q330" i="87"/>
  <c r="P330" i="87"/>
  <c r="O330" i="87"/>
  <c r="N330" i="87"/>
  <c r="M330" i="87"/>
  <c r="L330" i="87"/>
  <c r="K330" i="87"/>
  <c r="J330" i="87"/>
  <c r="I330" i="87"/>
  <c r="H330" i="87"/>
  <c r="G330" i="87"/>
  <c r="F330" i="87"/>
  <c r="D330" i="87"/>
  <c r="A330" i="87"/>
  <c r="BG329" i="87"/>
  <c r="BF329" i="87"/>
  <c r="BE329" i="87"/>
  <c r="BD329" i="87"/>
  <c r="BC329" i="87"/>
  <c r="BB329" i="87"/>
  <c r="BA329" i="87"/>
  <c r="AZ329" i="87"/>
  <c r="AY329" i="87"/>
  <c r="AX329" i="87"/>
  <c r="AW329" i="87"/>
  <c r="AV329" i="87"/>
  <c r="AP329" i="87"/>
  <c r="AO329" i="87"/>
  <c r="AI329" i="87"/>
  <c r="AH329" i="87"/>
  <c r="R329" i="87"/>
  <c r="Q329" i="87"/>
  <c r="P329" i="87"/>
  <c r="O329" i="87"/>
  <c r="N329" i="87"/>
  <c r="M329" i="87"/>
  <c r="L329" i="87"/>
  <c r="K329" i="87"/>
  <c r="J329" i="87"/>
  <c r="I329" i="87"/>
  <c r="H329" i="87"/>
  <c r="G329" i="87"/>
  <c r="F329" i="87"/>
  <c r="D329" i="87"/>
  <c r="A329" i="87"/>
  <c r="BG328" i="87"/>
  <c r="BF328" i="87"/>
  <c r="BE328" i="87"/>
  <c r="BD328" i="87"/>
  <c r="BC328" i="87"/>
  <c r="BB328" i="87"/>
  <c r="BA328" i="87"/>
  <c r="AZ328" i="87"/>
  <c r="AY328" i="87"/>
  <c r="AX328" i="87"/>
  <c r="AW328" i="87"/>
  <c r="AV328" i="87"/>
  <c r="AU328" i="87"/>
  <c r="AP328" i="87"/>
  <c r="AO328" i="87"/>
  <c r="AI328" i="87"/>
  <c r="AH328" i="87"/>
  <c r="R328" i="87"/>
  <c r="Q328" i="87"/>
  <c r="P328" i="87"/>
  <c r="O328" i="87"/>
  <c r="N328" i="87"/>
  <c r="M328" i="87"/>
  <c r="L328" i="87"/>
  <c r="K328" i="87"/>
  <c r="J328" i="87"/>
  <c r="I328" i="87"/>
  <c r="H328" i="87"/>
  <c r="G328" i="87"/>
  <c r="F328" i="87"/>
  <c r="D328" i="87"/>
  <c r="A328" i="87"/>
  <c r="BG327" i="87"/>
  <c r="BF327" i="87"/>
  <c r="BE327" i="87"/>
  <c r="BD327" i="87"/>
  <c r="BC327" i="87"/>
  <c r="BB327" i="87"/>
  <c r="BA327" i="87"/>
  <c r="AZ327" i="87"/>
  <c r="AY327" i="87"/>
  <c r="AX327" i="87"/>
  <c r="AW327" i="87"/>
  <c r="AV327" i="87"/>
  <c r="AU327" i="87"/>
  <c r="AP327" i="87"/>
  <c r="AO327" i="87"/>
  <c r="AN327" i="87"/>
  <c r="AI327" i="87"/>
  <c r="AH327" i="87"/>
  <c r="S327" i="87"/>
  <c r="R327" i="87"/>
  <c r="Q327" i="87"/>
  <c r="P327" i="87"/>
  <c r="O327" i="87"/>
  <c r="N327" i="87"/>
  <c r="M327" i="87"/>
  <c r="L327" i="87"/>
  <c r="K327" i="87"/>
  <c r="J327" i="87"/>
  <c r="I327" i="87"/>
  <c r="H327" i="87"/>
  <c r="G327" i="87"/>
  <c r="F327" i="87"/>
  <c r="D327" i="87"/>
  <c r="A327" i="87"/>
  <c r="BG326" i="87"/>
  <c r="BF326" i="87"/>
  <c r="BE326" i="87"/>
  <c r="BD326" i="87"/>
  <c r="BC326" i="87"/>
  <c r="BB326" i="87"/>
  <c r="BA326" i="87"/>
  <c r="AZ326" i="87"/>
  <c r="AY326" i="87"/>
  <c r="AX326" i="87"/>
  <c r="AW326" i="87"/>
  <c r="AV326" i="87"/>
  <c r="AU326" i="87"/>
  <c r="AP326" i="87"/>
  <c r="AO326" i="87"/>
  <c r="AN326" i="87"/>
  <c r="AI326" i="87"/>
  <c r="AH326" i="87"/>
  <c r="S326" i="87"/>
  <c r="R326" i="87"/>
  <c r="Q326" i="87"/>
  <c r="P326" i="87"/>
  <c r="O326" i="87"/>
  <c r="N326" i="87"/>
  <c r="M326" i="87"/>
  <c r="L326" i="87"/>
  <c r="K326" i="87"/>
  <c r="J326" i="87"/>
  <c r="I326" i="87"/>
  <c r="H326" i="87"/>
  <c r="G326" i="87"/>
  <c r="F326" i="87"/>
  <c r="D326" i="87"/>
  <c r="A326" i="87"/>
  <c r="BG325" i="87"/>
  <c r="BF325" i="87"/>
  <c r="BE325" i="87"/>
  <c r="BD325" i="87"/>
  <c r="BC325" i="87"/>
  <c r="BB325" i="87"/>
  <c r="BA325" i="87"/>
  <c r="AZ325" i="87"/>
  <c r="AY325" i="87"/>
  <c r="AX325" i="87"/>
  <c r="AW325" i="87"/>
  <c r="AV325" i="87"/>
  <c r="AU325" i="87"/>
  <c r="AP325" i="87"/>
  <c r="AO325" i="87"/>
  <c r="AI325" i="87"/>
  <c r="AH325" i="87"/>
  <c r="R325" i="87"/>
  <c r="Q325" i="87"/>
  <c r="P325" i="87"/>
  <c r="O325" i="87"/>
  <c r="N325" i="87"/>
  <c r="M325" i="87"/>
  <c r="L325" i="87"/>
  <c r="K325" i="87"/>
  <c r="J325" i="87"/>
  <c r="I325" i="87"/>
  <c r="H325" i="87"/>
  <c r="G325" i="87"/>
  <c r="F325" i="87"/>
  <c r="D325" i="87"/>
  <c r="A325" i="87"/>
  <c r="BG324" i="87"/>
  <c r="BF324" i="87"/>
  <c r="BE324" i="87"/>
  <c r="BD324" i="87"/>
  <c r="BC324" i="87"/>
  <c r="BB324" i="87"/>
  <c r="BA324" i="87"/>
  <c r="AZ324" i="87"/>
  <c r="AY324" i="87"/>
  <c r="AX324" i="87"/>
  <c r="AW324" i="87"/>
  <c r="AV324" i="87"/>
  <c r="AP324" i="87"/>
  <c r="AO324" i="87"/>
  <c r="AN324" i="87"/>
  <c r="AI324" i="87"/>
  <c r="AH324" i="87"/>
  <c r="R324" i="87"/>
  <c r="Q324" i="87"/>
  <c r="P324" i="87"/>
  <c r="O324" i="87"/>
  <c r="N324" i="87"/>
  <c r="M324" i="87"/>
  <c r="L324" i="87"/>
  <c r="K324" i="87"/>
  <c r="J324" i="87"/>
  <c r="I324" i="87"/>
  <c r="H324" i="87"/>
  <c r="G324" i="87"/>
  <c r="F324" i="87"/>
  <c r="D324" i="87"/>
  <c r="A324" i="87"/>
  <c r="BG323" i="87"/>
  <c r="BF323" i="87"/>
  <c r="BE323" i="87"/>
  <c r="BD323" i="87"/>
  <c r="BC323" i="87"/>
  <c r="BB323" i="87"/>
  <c r="BA323" i="87"/>
  <c r="AZ323" i="87"/>
  <c r="AY323" i="87"/>
  <c r="AX323" i="87"/>
  <c r="AW323" i="87"/>
  <c r="AV323" i="87"/>
  <c r="AP323" i="87"/>
  <c r="AO323" i="87"/>
  <c r="AI323" i="87"/>
  <c r="AH323" i="87"/>
  <c r="R323" i="87"/>
  <c r="Q323" i="87"/>
  <c r="P323" i="87"/>
  <c r="O323" i="87"/>
  <c r="N323" i="87"/>
  <c r="M323" i="87"/>
  <c r="L323" i="87"/>
  <c r="K323" i="87"/>
  <c r="J323" i="87"/>
  <c r="I323" i="87"/>
  <c r="H323" i="87"/>
  <c r="G323" i="87"/>
  <c r="F323" i="87"/>
  <c r="D323" i="87"/>
  <c r="A323" i="87"/>
  <c r="BG322" i="87"/>
  <c r="BF322" i="87"/>
  <c r="BE322" i="87"/>
  <c r="BD322" i="87"/>
  <c r="BC322" i="87"/>
  <c r="BB322" i="87"/>
  <c r="BA322" i="87"/>
  <c r="AZ322" i="87"/>
  <c r="AY322" i="87"/>
  <c r="AX322" i="87"/>
  <c r="AW322" i="87"/>
  <c r="AV322" i="87"/>
  <c r="AP322" i="87"/>
  <c r="AO322" i="87"/>
  <c r="AN322" i="87"/>
  <c r="AI322" i="87"/>
  <c r="AH322" i="87"/>
  <c r="S322" i="87"/>
  <c r="R322" i="87"/>
  <c r="Q322" i="87"/>
  <c r="P322" i="87"/>
  <c r="O322" i="87"/>
  <c r="N322" i="87"/>
  <c r="M322" i="87"/>
  <c r="L322" i="87"/>
  <c r="K322" i="87"/>
  <c r="J322" i="87"/>
  <c r="I322" i="87"/>
  <c r="H322" i="87"/>
  <c r="G322" i="87"/>
  <c r="F322" i="87"/>
  <c r="D322" i="87"/>
  <c r="A322" i="87"/>
  <c r="BG321" i="87"/>
  <c r="BF321" i="87"/>
  <c r="BE321" i="87"/>
  <c r="BD321" i="87"/>
  <c r="BC321" i="87"/>
  <c r="BB321" i="87"/>
  <c r="BA321" i="87"/>
  <c r="AZ321" i="87"/>
  <c r="AY321" i="87"/>
  <c r="AX321" i="87"/>
  <c r="AW321" i="87"/>
  <c r="AV321" i="87"/>
  <c r="AU321" i="87"/>
  <c r="AP321" i="87"/>
  <c r="AO321" i="87"/>
  <c r="AN321" i="87"/>
  <c r="AI321" i="87"/>
  <c r="AH321" i="87"/>
  <c r="S321" i="87"/>
  <c r="R321" i="87"/>
  <c r="Q321" i="87"/>
  <c r="P321" i="87"/>
  <c r="O321" i="87"/>
  <c r="N321" i="87"/>
  <c r="M321" i="87"/>
  <c r="L321" i="87"/>
  <c r="K321" i="87"/>
  <c r="J321" i="87"/>
  <c r="I321" i="87"/>
  <c r="H321" i="87"/>
  <c r="G321" i="87"/>
  <c r="F321" i="87"/>
  <c r="D321" i="87"/>
  <c r="A321" i="87"/>
  <c r="BG320" i="87"/>
  <c r="BF320" i="87"/>
  <c r="BE320" i="87"/>
  <c r="BD320" i="87"/>
  <c r="BC320" i="87"/>
  <c r="BB320" i="87"/>
  <c r="BA320" i="87"/>
  <c r="AZ320" i="87"/>
  <c r="AY320" i="87"/>
  <c r="AX320" i="87"/>
  <c r="AW320" i="87"/>
  <c r="AV320" i="87"/>
  <c r="AU320" i="87"/>
  <c r="AP320" i="87"/>
  <c r="AO320" i="87"/>
  <c r="AN320" i="87"/>
  <c r="AI320" i="87"/>
  <c r="AH320" i="87"/>
  <c r="S320" i="87"/>
  <c r="R320" i="87"/>
  <c r="Q320" i="87"/>
  <c r="P320" i="87"/>
  <c r="O320" i="87"/>
  <c r="N320" i="87"/>
  <c r="M320" i="87"/>
  <c r="L320" i="87"/>
  <c r="K320" i="87"/>
  <c r="J320" i="87"/>
  <c r="I320" i="87"/>
  <c r="H320" i="87"/>
  <c r="G320" i="87"/>
  <c r="F320" i="87"/>
  <c r="A320" i="87"/>
  <c r="BG319" i="87"/>
  <c r="BF319" i="87"/>
  <c r="BE319" i="87"/>
  <c r="BD319" i="87"/>
  <c r="BC319" i="87"/>
  <c r="BB319" i="87"/>
  <c r="BA319" i="87"/>
  <c r="AZ319" i="87"/>
  <c r="AY319" i="87"/>
  <c r="AX319" i="87"/>
  <c r="AW319" i="87"/>
  <c r="AV319" i="87"/>
  <c r="AU319" i="87"/>
  <c r="AP319" i="87"/>
  <c r="AO319" i="87"/>
  <c r="AI319" i="87"/>
  <c r="AH319" i="87"/>
  <c r="R319" i="87"/>
  <c r="Q319" i="87"/>
  <c r="P319" i="87"/>
  <c r="O319" i="87"/>
  <c r="N319" i="87"/>
  <c r="M319" i="87"/>
  <c r="L319" i="87"/>
  <c r="K319" i="87"/>
  <c r="J319" i="87"/>
  <c r="I319" i="87"/>
  <c r="H319" i="87"/>
  <c r="G319" i="87"/>
  <c r="F319" i="87"/>
  <c r="D319" i="87"/>
  <c r="A319" i="87"/>
  <c r="BG318" i="87"/>
  <c r="BF318" i="87"/>
  <c r="BE318" i="87"/>
  <c r="BD318" i="87"/>
  <c r="BC318" i="87"/>
  <c r="BB318" i="87"/>
  <c r="BA318" i="87"/>
  <c r="AZ318" i="87"/>
  <c r="AY318" i="87"/>
  <c r="AX318" i="87"/>
  <c r="AW318" i="87"/>
  <c r="AV318" i="87"/>
  <c r="AU318" i="87"/>
  <c r="AP318" i="87"/>
  <c r="AO318" i="87"/>
  <c r="AI318" i="87"/>
  <c r="AH318" i="87"/>
  <c r="S318" i="87"/>
  <c r="R318" i="87"/>
  <c r="Q318" i="87"/>
  <c r="P318" i="87"/>
  <c r="O318" i="87"/>
  <c r="N318" i="87"/>
  <c r="M318" i="87"/>
  <c r="L318" i="87"/>
  <c r="K318" i="87"/>
  <c r="J318" i="87"/>
  <c r="I318" i="87"/>
  <c r="H318" i="87"/>
  <c r="G318" i="87"/>
  <c r="F318" i="87"/>
  <c r="D318" i="87"/>
  <c r="A318" i="87"/>
  <c r="BG317" i="87"/>
  <c r="BF317" i="87"/>
  <c r="BE317" i="87"/>
  <c r="BD317" i="87"/>
  <c r="BC317" i="87"/>
  <c r="BB317" i="87"/>
  <c r="BA317" i="87"/>
  <c r="AZ317" i="87"/>
  <c r="AY317" i="87"/>
  <c r="AX317" i="87"/>
  <c r="AW317" i="87"/>
  <c r="AV317" i="87"/>
  <c r="AU317" i="87"/>
  <c r="AP317" i="87"/>
  <c r="AO317" i="87"/>
  <c r="AN317" i="87"/>
  <c r="AI317" i="87"/>
  <c r="AH317" i="87"/>
  <c r="S317" i="87"/>
  <c r="R317" i="87"/>
  <c r="Q317" i="87"/>
  <c r="P317" i="87"/>
  <c r="O317" i="87"/>
  <c r="N317" i="87"/>
  <c r="M317" i="87"/>
  <c r="L317" i="87"/>
  <c r="K317" i="87"/>
  <c r="J317" i="87"/>
  <c r="I317" i="87"/>
  <c r="H317" i="87"/>
  <c r="G317" i="87"/>
  <c r="F317" i="87"/>
  <c r="D317" i="87"/>
  <c r="A317" i="87"/>
  <c r="BG316" i="87"/>
  <c r="BF316" i="87"/>
  <c r="BE316" i="87"/>
  <c r="BD316" i="87"/>
  <c r="BC316" i="87"/>
  <c r="BB316" i="87"/>
  <c r="BA316" i="87"/>
  <c r="AZ316" i="87"/>
  <c r="AY316" i="87"/>
  <c r="AX316" i="87"/>
  <c r="AW316" i="87"/>
  <c r="AV316" i="87"/>
  <c r="AP316" i="87"/>
  <c r="AO316" i="87"/>
  <c r="AN316" i="87"/>
  <c r="AI316" i="87"/>
  <c r="AH316" i="87"/>
  <c r="S316" i="87"/>
  <c r="R316" i="87"/>
  <c r="Q316" i="87"/>
  <c r="P316" i="87"/>
  <c r="O316" i="87"/>
  <c r="N316" i="87"/>
  <c r="M316" i="87"/>
  <c r="L316" i="87"/>
  <c r="K316" i="87"/>
  <c r="J316" i="87"/>
  <c r="I316" i="87"/>
  <c r="H316" i="87"/>
  <c r="G316" i="87"/>
  <c r="F316" i="87"/>
  <c r="D316" i="87"/>
  <c r="A316" i="87"/>
  <c r="BG315" i="87"/>
  <c r="BF315" i="87"/>
  <c r="BE315" i="87"/>
  <c r="BD315" i="87"/>
  <c r="BC315" i="87"/>
  <c r="BB315" i="87"/>
  <c r="BA315" i="87"/>
  <c r="AZ315" i="87"/>
  <c r="AY315" i="87"/>
  <c r="AX315" i="87"/>
  <c r="AW315" i="87"/>
  <c r="AV315" i="87"/>
  <c r="AP315" i="87"/>
  <c r="AO315" i="87"/>
  <c r="AI315" i="87"/>
  <c r="AH315" i="87"/>
  <c r="R315" i="87"/>
  <c r="Q315" i="87"/>
  <c r="P315" i="87"/>
  <c r="O315" i="87"/>
  <c r="N315" i="87"/>
  <c r="M315" i="87"/>
  <c r="L315" i="87"/>
  <c r="K315" i="87"/>
  <c r="J315" i="87"/>
  <c r="I315" i="87"/>
  <c r="H315" i="87"/>
  <c r="G315" i="87"/>
  <c r="F315" i="87"/>
  <c r="D315" i="87"/>
  <c r="A315" i="87"/>
  <c r="BG314" i="87"/>
  <c r="BF314" i="87"/>
  <c r="BE314" i="87"/>
  <c r="BD314" i="87"/>
  <c r="BC314" i="87"/>
  <c r="BB314" i="87"/>
  <c r="BA314" i="87"/>
  <c r="AZ314" i="87"/>
  <c r="AY314" i="87"/>
  <c r="AX314" i="87"/>
  <c r="AW314" i="87"/>
  <c r="AV314" i="87"/>
  <c r="AP314" i="87"/>
  <c r="AO314" i="87"/>
  <c r="AN314" i="87"/>
  <c r="AI314" i="87"/>
  <c r="AH314" i="87"/>
  <c r="R314" i="87"/>
  <c r="Q314" i="87"/>
  <c r="P314" i="87"/>
  <c r="O314" i="87"/>
  <c r="N314" i="87"/>
  <c r="M314" i="87"/>
  <c r="L314" i="87"/>
  <c r="K314" i="87"/>
  <c r="J314" i="87"/>
  <c r="I314" i="87"/>
  <c r="H314" i="87"/>
  <c r="G314" i="87"/>
  <c r="F314" i="87"/>
  <c r="D314" i="87"/>
  <c r="A314" i="87"/>
  <c r="BG313" i="87"/>
  <c r="BF313" i="87"/>
  <c r="BE313" i="87"/>
  <c r="BD313" i="87"/>
  <c r="BC313" i="87"/>
  <c r="BB313" i="87"/>
  <c r="BA313" i="87"/>
  <c r="AZ313" i="87"/>
  <c r="AY313" i="87"/>
  <c r="AX313" i="87"/>
  <c r="AW313" i="87"/>
  <c r="AV313" i="87"/>
  <c r="AU313" i="87"/>
  <c r="AP313" i="87"/>
  <c r="AO313" i="87"/>
  <c r="AN313" i="87"/>
  <c r="AI313" i="87"/>
  <c r="AH313" i="87"/>
  <c r="S313" i="87"/>
  <c r="R313" i="87"/>
  <c r="Q313" i="87"/>
  <c r="P313" i="87"/>
  <c r="O313" i="87"/>
  <c r="N313" i="87"/>
  <c r="M313" i="87"/>
  <c r="L313" i="87"/>
  <c r="K313" i="87"/>
  <c r="J313" i="87"/>
  <c r="I313" i="87"/>
  <c r="H313" i="87"/>
  <c r="G313" i="87"/>
  <c r="F313" i="87"/>
  <c r="D313" i="87"/>
  <c r="A313" i="87"/>
  <c r="BG312" i="87"/>
  <c r="BF312" i="87"/>
  <c r="BE312" i="87"/>
  <c r="BD312" i="87"/>
  <c r="BC312" i="87"/>
  <c r="BB312" i="87"/>
  <c r="BA312" i="87"/>
  <c r="AZ312" i="87"/>
  <c r="AY312" i="87"/>
  <c r="AX312" i="87"/>
  <c r="AW312" i="87"/>
  <c r="AV312" i="87"/>
  <c r="AU312" i="87"/>
  <c r="AP312" i="87"/>
  <c r="AO312" i="87"/>
  <c r="AN312" i="87"/>
  <c r="AI312" i="87"/>
  <c r="AH312" i="87"/>
  <c r="S312" i="87"/>
  <c r="R312" i="87"/>
  <c r="Q312" i="87"/>
  <c r="P312" i="87"/>
  <c r="O312" i="87"/>
  <c r="N312" i="87"/>
  <c r="M312" i="87"/>
  <c r="L312" i="87"/>
  <c r="K312" i="87"/>
  <c r="J312" i="87"/>
  <c r="I312" i="87"/>
  <c r="H312" i="87"/>
  <c r="G312" i="87"/>
  <c r="F312" i="87"/>
  <c r="D312" i="87"/>
  <c r="A312" i="87"/>
  <c r="BG311" i="87"/>
  <c r="BF311" i="87"/>
  <c r="BE311" i="87"/>
  <c r="BD311" i="87"/>
  <c r="BC311" i="87"/>
  <c r="BB311" i="87"/>
  <c r="BA311" i="87"/>
  <c r="AZ311" i="87"/>
  <c r="AY311" i="87"/>
  <c r="AX311" i="87"/>
  <c r="AW311" i="87"/>
  <c r="AV311" i="87"/>
  <c r="AU311" i="87"/>
  <c r="AP311" i="87"/>
  <c r="AO311" i="87"/>
  <c r="AN311" i="87"/>
  <c r="AI311" i="87"/>
  <c r="AH311" i="87"/>
  <c r="S311" i="87"/>
  <c r="R311" i="87"/>
  <c r="Q311" i="87"/>
  <c r="P311" i="87"/>
  <c r="O311" i="87"/>
  <c r="N311" i="87"/>
  <c r="M311" i="87"/>
  <c r="L311" i="87"/>
  <c r="K311" i="87"/>
  <c r="J311" i="87"/>
  <c r="I311" i="87"/>
  <c r="H311" i="87"/>
  <c r="G311" i="87"/>
  <c r="F311" i="87"/>
  <c r="A311" i="87"/>
  <c r="BG310" i="87"/>
  <c r="BF310" i="87"/>
  <c r="BE310" i="87"/>
  <c r="BD310" i="87"/>
  <c r="BC310" i="87"/>
  <c r="BB310" i="87"/>
  <c r="BA310" i="87"/>
  <c r="AZ310" i="87"/>
  <c r="AY310" i="87"/>
  <c r="AX310" i="87"/>
  <c r="AW310" i="87"/>
  <c r="AV310" i="87"/>
  <c r="AP310" i="87"/>
  <c r="AO310" i="87"/>
  <c r="AN310" i="87"/>
  <c r="AI310" i="87"/>
  <c r="AH310" i="87"/>
  <c r="S310" i="87"/>
  <c r="R310" i="87"/>
  <c r="Q310" i="87"/>
  <c r="P310" i="87"/>
  <c r="O310" i="87"/>
  <c r="N310" i="87"/>
  <c r="M310" i="87"/>
  <c r="L310" i="87"/>
  <c r="K310" i="87"/>
  <c r="J310" i="87"/>
  <c r="I310" i="87"/>
  <c r="H310" i="87"/>
  <c r="G310" i="87"/>
  <c r="F310" i="87"/>
  <c r="D310" i="87"/>
  <c r="A310" i="87"/>
  <c r="BG309" i="87"/>
  <c r="BF309" i="87"/>
  <c r="BE309" i="87"/>
  <c r="BD309" i="87"/>
  <c r="BC309" i="87"/>
  <c r="BB309" i="87"/>
  <c r="BA309" i="87"/>
  <c r="AZ309" i="87"/>
  <c r="AY309" i="87"/>
  <c r="AX309" i="87"/>
  <c r="AW309" i="87"/>
  <c r="AV309" i="87"/>
  <c r="AP309" i="87"/>
  <c r="AO309" i="87"/>
  <c r="AI309" i="87"/>
  <c r="AH309" i="87"/>
  <c r="R309" i="87"/>
  <c r="Q309" i="87"/>
  <c r="P309" i="87"/>
  <c r="O309" i="87"/>
  <c r="N309" i="87"/>
  <c r="M309" i="87"/>
  <c r="L309" i="87"/>
  <c r="K309" i="87"/>
  <c r="J309" i="87"/>
  <c r="I309" i="87"/>
  <c r="H309" i="87"/>
  <c r="G309" i="87"/>
  <c r="F309" i="87"/>
  <c r="D309" i="87"/>
  <c r="A309" i="87"/>
  <c r="BG308" i="87"/>
  <c r="BF308" i="87"/>
  <c r="BE308" i="87"/>
  <c r="BD308" i="87"/>
  <c r="BC308" i="87"/>
  <c r="BB308" i="87"/>
  <c r="BA308" i="87"/>
  <c r="AZ308" i="87"/>
  <c r="AY308" i="87"/>
  <c r="AX308" i="87"/>
  <c r="AW308" i="87"/>
  <c r="AV308" i="87"/>
  <c r="AP308" i="87"/>
  <c r="AO308" i="87"/>
  <c r="AN308" i="87"/>
  <c r="AI308" i="87"/>
  <c r="AH308" i="87"/>
  <c r="S308" i="87"/>
  <c r="R308" i="87"/>
  <c r="Q308" i="87"/>
  <c r="P308" i="87"/>
  <c r="O308" i="87"/>
  <c r="N308" i="87"/>
  <c r="M308" i="87"/>
  <c r="L308" i="87"/>
  <c r="K308" i="87"/>
  <c r="J308" i="87"/>
  <c r="I308" i="87"/>
  <c r="H308" i="87"/>
  <c r="G308" i="87"/>
  <c r="F308" i="87"/>
  <c r="D308" i="87"/>
  <c r="A308" i="87"/>
  <c r="BG307" i="87"/>
  <c r="BF307" i="87"/>
  <c r="BE307" i="87"/>
  <c r="BD307" i="87"/>
  <c r="BC307" i="87"/>
  <c r="BB307" i="87"/>
  <c r="BA307" i="87"/>
  <c r="AZ307" i="87"/>
  <c r="AY307" i="87"/>
  <c r="AX307" i="87"/>
  <c r="AW307" i="87"/>
  <c r="AV307" i="87"/>
  <c r="AP307" i="87"/>
  <c r="AO307" i="87"/>
  <c r="AI307" i="87"/>
  <c r="AH307" i="87"/>
  <c r="R307" i="87"/>
  <c r="Q307" i="87"/>
  <c r="P307" i="87"/>
  <c r="O307" i="87"/>
  <c r="N307" i="87"/>
  <c r="M307" i="87"/>
  <c r="L307" i="87"/>
  <c r="K307" i="87"/>
  <c r="J307" i="87"/>
  <c r="I307" i="87"/>
  <c r="H307" i="87"/>
  <c r="G307" i="87"/>
  <c r="F307" i="87"/>
  <c r="D307" i="87"/>
  <c r="A307" i="87"/>
  <c r="BG306" i="87"/>
  <c r="BF306" i="87"/>
  <c r="BE306" i="87"/>
  <c r="BD306" i="87"/>
  <c r="BC306" i="87"/>
  <c r="BB306" i="87"/>
  <c r="BA306" i="87"/>
  <c r="AZ306" i="87"/>
  <c r="AY306" i="87"/>
  <c r="AX306" i="87"/>
  <c r="AW306" i="87"/>
  <c r="AV306" i="87"/>
  <c r="AP306" i="87"/>
  <c r="AO306" i="87"/>
  <c r="AN306" i="87"/>
  <c r="AI306" i="87"/>
  <c r="AH306" i="87"/>
  <c r="S306" i="87"/>
  <c r="R306" i="87"/>
  <c r="Q306" i="87"/>
  <c r="P306" i="87"/>
  <c r="O306" i="87"/>
  <c r="N306" i="87"/>
  <c r="M306" i="87"/>
  <c r="L306" i="87"/>
  <c r="K306" i="87"/>
  <c r="J306" i="87"/>
  <c r="I306" i="87"/>
  <c r="H306" i="87"/>
  <c r="G306" i="87"/>
  <c r="F306" i="87"/>
  <c r="D306" i="87"/>
  <c r="A306" i="87"/>
  <c r="BG305" i="87"/>
  <c r="BF305" i="87"/>
  <c r="BE305" i="87"/>
  <c r="BD305" i="87"/>
  <c r="BC305" i="87"/>
  <c r="BB305" i="87"/>
  <c r="BA305" i="87"/>
  <c r="AZ305" i="87"/>
  <c r="AY305" i="87"/>
  <c r="AX305" i="87"/>
  <c r="AW305" i="87"/>
  <c r="AV305" i="87"/>
  <c r="AU305" i="87"/>
  <c r="AP305" i="87"/>
  <c r="AO305" i="87"/>
  <c r="AI305" i="87"/>
  <c r="AH305" i="87"/>
  <c r="R305" i="87"/>
  <c r="Q305" i="87"/>
  <c r="P305" i="87"/>
  <c r="O305" i="87"/>
  <c r="N305" i="87"/>
  <c r="M305" i="87"/>
  <c r="L305" i="87"/>
  <c r="K305" i="87"/>
  <c r="J305" i="87"/>
  <c r="I305" i="87"/>
  <c r="H305" i="87"/>
  <c r="G305" i="87"/>
  <c r="F305" i="87"/>
  <c r="D305" i="87"/>
  <c r="A305" i="87"/>
  <c r="BG304" i="87"/>
  <c r="BF304" i="87"/>
  <c r="BE304" i="87"/>
  <c r="BD304" i="87"/>
  <c r="BC304" i="87"/>
  <c r="BB304" i="87"/>
  <c r="BA304" i="87"/>
  <c r="AZ304" i="87"/>
  <c r="AY304" i="87"/>
  <c r="AX304" i="87"/>
  <c r="AW304" i="87"/>
  <c r="AV304" i="87"/>
  <c r="AU304" i="87"/>
  <c r="AP304" i="87"/>
  <c r="AO304" i="87"/>
  <c r="AN304" i="87"/>
  <c r="AI304" i="87"/>
  <c r="AH304" i="87"/>
  <c r="S304" i="87"/>
  <c r="R304" i="87"/>
  <c r="Q304" i="87"/>
  <c r="P304" i="87"/>
  <c r="O304" i="87"/>
  <c r="N304" i="87"/>
  <c r="M304" i="87"/>
  <c r="L304" i="87"/>
  <c r="K304" i="87"/>
  <c r="J304" i="87"/>
  <c r="I304" i="87"/>
  <c r="H304" i="87"/>
  <c r="G304" i="87"/>
  <c r="F304" i="87"/>
  <c r="D304" i="87"/>
  <c r="A304" i="87"/>
  <c r="BG303" i="87"/>
  <c r="BF303" i="87"/>
  <c r="BE303" i="87"/>
  <c r="BD303" i="87"/>
  <c r="BC303" i="87"/>
  <c r="BB303" i="87"/>
  <c r="BA303" i="87"/>
  <c r="AZ303" i="87"/>
  <c r="AY303" i="87"/>
  <c r="AX303" i="87"/>
  <c r="AW303" i="87"/>
  <c r="AV303" i="87"/>
  <c r="AU303" i="87"/>
  <c r="AP303" i="87"/>
  <c r="AO303" i="87"/>
  <c r="AN303" i="87"/>
  <c r="AI303" i="87"/>
  <c r="AH303" i="87"/>
  <c r="S303" i="87"/>
  <c r="R303" i="87"/>
  <c r="Q303" i="87"/>
  <c r="P303" i="87"/>
  <c r="O303" i="87"/>
  <c r="N303" i="87"/>
  <c r="M303" i="87"/>
  <c r="L303" i="87"/>
  <c r="K303" i="87"/>
  <c r="J303" i="87"/>
  <c r="I303" i="87"/>
  <c r="H303" i="87"/>
  <c r="G303" i="87"/>
  <c r="F303" i="87"/>
  <c r="A303" i="87"/>
  <c r="BG302" i="87"/>
  <c r="BF302" i="87"/>
  <c r="BE302" i="87"/>
  <c r="BD302" i="87"/>
  <c r="BC302" i="87"/>
  <c r="BB302" i="87"/>
  <c r="BA302" i="87"/>
  <c r="AZ302" i="87"/>
  <c r="AY302" i="87"/>
  <c r="AX302" i="87"/>
  <c r="AW302" i="87"/>
  <c r="AV302" i="87"/>
  <c r="AP302" i="87"/>
  <c r="AO302" i="87"/>
  <c r="AN302" i="87"/>
  <c r="AI302" i="87"/>
  <c r="AH302" i="87"/>
  <c r="R302" i="87"/>
  <c r="Q302" i="87"/>
  <c r="P302" i="87"/>
  <c r="O302" i="87"/>
  <c r="N302" i="87"/>
  <c r="M302" i="87"/>
  <c r="L302" i="87"/>
  <c r="K302" i="87"/>
  <c r="J302" i="87"/>
  <c r="I302" i="87"/>
  <c r="H302" i="87"/>
  <c r="G302" i="87"/>
  <c r="F302" i="87"/>
  <c r="D302" i="87"/>
  <c r="A302" i="87"/>
  <c r="BG301" i="87"/>
  <c r="BF301" i="87"/>
  <c r="BE301" i="87"/>
  <c r="BD301" i="87"/>
  <c r="BC301" i="87"/>
  <c r="BB301" i="87"/>
  <c r="BA301" i="87"/>
  <c r="AZ301" i="87"/>
  <c r="AY301" i="87"/>
  <c r="AX301" i="87"/>
  <c r="AW301" i="87"/>
  <c r="AV301" i="87"/>
  <c r="AP301" i="87"/>
  <c r="AO301" i="87"/>
  <c r="AN301" i="87"/>
  <c r="AI301" i="87"/>
  <c r="AH301" i="87"/>
  <c r="S301" i="87"/>
  <c r="R301" i="87"/>
  <c r="Q301" i="87"/>
  <c r="P301" i="87"/>
  <c r="O301" i="87"/>
  <c r="N301" i="87"/>
  <c r="M301" i="87"/>
  <c r="L301" i="87"/>
  <c r="K301" i="87"/>
  <c r="J301" i="87"/>
  <c r="I301" i="87"/>
  <c r="H301" i="87"/>
  <c r="G301" i="87"/>
  <c r="F301" i="87"/>
  <c r="D301" i="87"/>
  <c r="A301" i="87"/>
  <c r="BG300" i="87"/>
  <c r="BF300" i="87"/>
  <c r="BE300" i="87"/>
  <c r="BD300" i="87"/>
  <c r="BC300" i="87"/>
  <c r="BB300" i="87"/>
  <c r="BA300" i="87"/>
  <c r="AZ300" i="87"/>
  <c r="AY300" i="87"/>
  <c r="AX300" i="87"/>
  <c r="AW300" i="87"/>
  <c r="AV300" i="87"/>
  <c r="AP300" i="87"/>
  <c r="AO300" i="87"/>
  <c r="AN300" i="87"/>
  <c r="AI300" i="87"/>
  <c r="AH300" i="87"/>
  <c r="R300" i="87"/>
  <c r="Q300" i="87"/>
  <c r="P300" i="87"/>
  <c r="O300" i="87"/>
  <c r="N300" i="87"/>
  <c r="M300" i="87"/>
  <c r="L300" i="87"/>
  <c r="K300" i="87"/>
  <c r="J300" i="87"/>
  <c r="I300" i="87"/>
  <c r="H300" i="87"/>
  <c r="G300" i="87"/>
  <c r="F300" i="87"/>
  <c r="D300" i="87"/>
  <c r="A300" i="87"/>
  <c r="BG299" i="87"/>
  <c r="BF299" i="87"/>
  <c r="BE299" i="87"/>
  <c r="BD299" i="87"/>
  <c r="BC299" i="87"/>
  <c r="BB299" i="87"/>
  <c r="BA299" i="87"/>
  <c r="AZ299" i="87"/>
  <c r="AY299" i="87"/>
  <c r="AX299" i="87"/>
  <c r="AW299" i="87"/>
  <c r="AV299" i="87"/>
  <c r="AP299" i="87"/>
  <c r="AO299" i="87"/>
  <c r="AI299" i="87"/>
  <c r="AH299" i="87"/>
  <c r="R299" i="87"/>
  <c r="Q299" i="87"/>
  <c r="P299" i="87"/>
  <c r="O299" i="87"/>
  <c r="N299" i="87"/>
  <c r="M299" i="87"/>
  <c r="L299" i="87"/>
  <c r="K299" i="87"/>
  <c r="J299" i="87"/>
  <c r="I299" i="87"/>
  <c r="H299" i="87"/>
  <c r="G299" i="87"/>
  <c r="F299" i="87"/>
  <c r="D299" i="87"/>
  <c r="A299" i="87"/>
  <c r="BG298" i="87"/>
  <c r="BF298" i="87"/>
  <c r="BE298" i="87"/>
  <c r="BD298" i="87"/>
  <c r="BC298" i="87"/>
  <c r="BB298" i="87"/>
  <c r="BA298" i="87"/>
  <c r="AZ298" i="87"/>
  <c r="AY298" i="87"/>
  <c r="AX298" i="87"/>
  <c r="AW298" i="87"/>
  <c r="AV298" i="87"/>
  <c r="AU298" i="87"/>
  <c r="AP298" i="87"/>
  <c r="AO298" i="87"/>
  <c r="AI298" i="87"/>
  <c r="AH298" i="87"/>
  <c r="S298" i="87"/>
  <c r="R298" i="87"/>
  <c r="Q298" i="87"/>
  <c r="P298" i="87"/>
  <c r="O298" i="87"/>
  <c r="N298" i="87"/>
  <c r="M298" i="87"/>
  <c r="L298" i="87"/>
  <c r="K298" i="87"/>
  <c r="J298" i="87"/>
  <c r="I298" i="87"/>
  <c r="H298" i="87"/>
  <c r="G298" i="87"/>
  <c r="F298" i="87"/>
  <c r="D298" i="87"/>
  <c r="A298" i="87"/>
  <c r="BG297" i="87"/>
  <c r="BF297" i="87"/>
  <c r="BE297" i="87"/>
  <c r="BD297" i="87"/>
  <c r="BC297" i="87"/>
  <c r="BB297" i="87"/>
  <c r="BA297" i="87"/>
  <c r="AZ297" i="87"/>
  <c r="AY297" i="87"/>
  <c r="AX297" i="87"/>
  <c r="AW297" i="87"/>
  <c r="AV297" i="87"/>
  <c r="AU297" i="87"/>
  <c r="AP297" i="87"/>
  <c r="AO297" i="87"/>
  <c r="AI297" i="87"/>
  <c r="AH297" i="87"/>
  <c r="R297" i="87"/>
  <c r="Q297" i="87"/>
  <c r="P297" i="87"/>
  <c r="O297" i="87"/>
  <c r="N297" i="87"/>
  <c r="M297" i="87"/>
  <c r="L297" i="87"/>
  <c r="K297" i="87"/>
  <c r="J297" i="87"/>
  <c r="I297" i="87"/>
  <c r="H297" i="87"/>
  <c r="G297" i="87"/>
  <c r="F297" i="87"/>
  <c r="D297" i="87"/>
  <c r="A297" i="87"/>
  <c r="BG296" i="87"/>
  <c r="BF296" i="87"/>
  <c r="BE296" i="87"/>
  <c r="BD296" i="87"/>
  <c r="BC296" i="87"/>
  <c r="BB296" i="87"/>
  <c r="BA296" i="87"/>
  <c r="AZ296" i="87"/>
  <c r="AY296" i="87"/>
  <c r="AX296" i="87"/>
  <c r="AW296" i="87"/>
  <c r="AV296" i="87"/>
  <c r="AU296" i="87"/>
  <c r="AP296" i="87"/>
  <c r="AO296" i="87"/>
  <c r="AI296" i="87"/>
  <c r="AH296" i="87"/>
  <c r="R296" i="87"/>
  <c r="Q296" i="87"/>
  <c r="P296" i="87"/>
  <c r="O296" i="87"/>
  <c r="N296" i="87"/>
  <c r="M296" i="87"/>
  <c r="L296" i="87"/>
  <c r="K296" i="87"/>
  <c r="J296" i="87"/>
  <c r="I296" i="87"/>
  <c r="H296" i="87"/>
  <c r="G296" i="87"/>
  <c r="F296" i="87"/>
  <c r="D296" i="87"/>
  <c r="A296" i="87"/>
  <c r="BG295" i="87"/>
  <c r="BF295" i="87"/>
  <c r="BE295" i="87"/>
  <c r="BD295" i="87"/>
  <c r="BC295" i="87"/>
  <c r="BB295" i="87"/>
  <c r="BA295" i="87"/>
  <c r="AZ295" i="87"/>
  <c r="AY295" i="87"/>
  <c r="AX295" i="87"/>
  <c r="AW295" i="87"/>
  <c r="AV295" i="87"/>
  <c r="AP295" i="87"/>
  <c r="AO295" i="87"/>
  <c r="AN295" i="87"/>
  <c r="AI295" i="87"/>
  <c r="AH295" i="87"/>
  <c r="R295" i="87"/>
  <c r="Q295" i="87"/>
  <c r="P295" i="87"/>
  <c r="O295" i="87"/>
  <c r="N295" i="87"/>
  <c r="M295" i="87"/>
  <c r="L295" i="87"/>
  <c r="K295" i="87"/>
  <c r="J295" i="87"/>
  <c r="I295" i="87"/>
  <c r="H295" i="87"/>
  <c r="G295" i="87"/>
  <c r="F295" i="87"/>
  <c r="D295" i="87"/>
  <c r="A295" i="87"/>
  <c r="BG294" i="87"/>
  <c r="BF294" i="87"/>
  <c r="BE294" i="87"/>
  <c r="BD294" i="87"/>
  <c r="BC294" i="87"/>
  <c r="BB294" i="87"/>
  <c r="BA294" i="87"/>
  <c r="AZ294" i="87"/>
  <c r="AY294" i="87"/>
  <c r="AX294" i="87"/>
  <c r="AW294" i="87"/>
  <c r="AV294" i="87"/>
  <c r="AP294" i="87"/>
  <c r="AO294" i="87"/>
  <c r="AN294" i="87"/>
  <c r="AI294" i="87"/>
  <c r="AH294" i="87"/>
  <c r="S294" i="87"/>
  <c r="R294" i="87"/>
  <c r="Q294" i="87"/>
  <c r="P294" i="87"/>
  <c r="O294" i="87"/>
  <c r="N294" i="87"/>
  <c r="M294" i="87"/>
  <c r="L294" i="87"/>
  <c r="K294" i="87"/>
  <c r="J294" i="87"/>
  <c r="I294" i="87"/>
  <c r="H294" i="87"/>
  <c r="G294" i="87"/>
  <c r="F294" i="87"/>
  <c r="D294" i="87"/>
  <c r="A294" i="87"/>
  <c r="BG293" i="87"/>
  <c r="BF293" i="87"/>
  <c r="BE293" i="87"/>
  <c r="BD293" i="87"/>
  <c r="BC293" i="87"/>
  <c r="BB293" i="87"/>
  <c r="BA293" i="87"/>
  <c r="AZ293" i="87"/>
  <c r="AY293" i="87"/>
  <c r="AX293" i="87"/>
  <c r="AW293" i="87"/>
  <c r="AV293" i="87"/>
  <c r="AP293" i="87"/>
  <c r="AO293" i="87"/>
  <c r="AN293" i="87"/>
  <c r="AI293" i="87"/>
  <c r="AH293" i="87"/>
  <c r="S293" i="87"/>
  <c r="R293" i="87"/>
  <c r="Q293" i="87"/>
  <c r="P293" i="87"/>
  <c r="O293" i="87"/>
  <c r="N293" i="87"/>
  <c r="M293" i="87"/>
  <c r="L293" i="87"/>
  <c r="K293" i="87"/>
  <c r="J293" i="87"/>
  <c r="I293" i="87"/>
  <c r="H293" i="87"/>
  <c r="G293" i="87"/>
  <c r="F293" i="87"/>
  <c r="D293" i="87"/>
  <c r="A293" i="87"/>
  <c r="BG292" i="87"/>
  <c r="BF292" i="87"/>
  <c r="BE292" i="87"/>
  <c r="BD292" i="87"/>
  <c r="BC292" i="87"/>
  <c r="BB292" i="87"/>
  <c r="BA292" i="87"/>
  <c r="AZ292" i="87"/>
  <c r="AY292" i="87"/>
  <c r="AX292" i="87"/>
  <c r="AW292" i="87"/>
  <c r="AV292" i="87"/>
  <c r="AU292" i="87"/>
  <c r="AP292" i="87"/>
  <c r="AO292" i="87"/>
  <c r="AI292" i="87"/>
  <c r="AH292" i="87"/>
  <c r="R292" i="87"/>
  <c r="Q292" i="87"/>
  <c r="P292" i="87"/>
  <c r="O292" i="87"/>
  <c r="N292" i="87"/>
  <c r="M292" i="87"/>
  <c r="L292" i="87"/>
  <c r="K292" i="87"/>
  <c r="J292" i="87"/>
  <c r="I292" i="87"/>
  <c r="H292" i="87"/>
  <c r="G292" i="87"/>
  <c r="F292" i="87"/>
  <c r="D292" i="87"/>
  <c r="A292" i="87"/>
  <c r="BG291" i="87"/>
  <c r="BF291" i="87"/>
  <c r="BE291" i="87"/>
  <c r="BD291" i="87"/>
  <c r="BC291" i="87"/>
  <c r="BB291" i="87"/>
  <c r="BA291" i="87"/>
  <c r="AZ291" i="87"/>
  <c r="AY291" i="87"/>
  <c r="AX291" i="87"/>
  <c r="AW291" i="87"/>
  <c r="AV291" i="87"/>
  <c r="AU291" i="87"/>
  <c r="AP291" i="87"/>
  <c r="AO291" i="87"/>
  <c r="AN291" i="87"/>
  <c r="AI291" i="87"/>
  <c r="AH291" i="87"/>
  <c r="S291" i="87"/>
  <c r="R291" i="87"/>
  <c r="Q291" i="87"/>
  <c r="P291" i="87"/>
  <c r="O291" i="87"/>
  <c r="N291" i="87"/>
  <c r="M291" i="87"/>
  <c r="L291" i="87"/>
  <c r="K291" i="87"/>
  <c r="J291" i="87"/>
  <c r="I291" i="87"/>
  <c r="H291" i="87"/>
  <c r="G291" i="87"/>
  <c r="F291" i="87"/>
  <c r="D291" i="87"/>
  <c r="A291" i="87"/>
  <c r="BG290" i="87"/>
  <c r="BF290" i="87"/>
  <c r="BE290" i="87"/>
  <c r="BD290" i="87"/>
  <c r="BC290" i="87"/>
  <c r="BB290" i="87"/>
  <c r="BA290" i="87"/>
  <c r="AZ290" i="87"/>
  <c r="AY290" i="87"/>
  <c r="AX290" i="87"/>
  <c r="AW290" i="87"/>
  <c r="AV290" i="87"/>
  <c r="AP290" i="87"/>
  <c r="AO290" i="87"/>
  <c r="AN290" i="87"/>
  <c r="AI290" i="87"/>
  <c r="AH290" i="87"/>
  <c r="R290" i="87"/>
  <c r="Q290" i="87"/>
  <c r="P290" i="87"/>
  <c r="O290" i="87"/>
  <c r="N290" i="87"/>
  <c r="M290" i="87"/>
  <c r="L290" i="87"/>
  <c r="K290" i="87"/>
  <c r="J290" i="87"/>
  <c r="I290" i="87"/>
  <c r="H290" i="87"/>
  <c r="G290" i="87"/>
  <c r="F290" i="87"/>
  <c r="D290" i="87"/>
  <c r="A290" i="87"/>
  <c r="Q289" i="87"/>
  <c r="I289" i="87"/>
  <c r="F289" i="87"/>
  <c r="C289" i="87"/>
  <c r="A289" i="87"/>
  <c r="O288" i="87"/>
  <c r="H288" i="87"/>
  <c r="G288" i="87"/>
  <c r="F288" i="87"/>
  <c r="C288" i="87"/>
  <c r="A288" i="87"/>
  <c r="S287" i="87"/>
  <c r="R287" i="87"/>
  <c r="Q287" i="87"/>
  <c r="P287" i="87"/>
  <c r="O287" i="87"/>
  <c r="N287" i="87"/>
  <c r="M287" i="87"/>
  <c r="L287" i="87"/>
  <c r="K287" i="87"/>
  <c r="J287" i="87"/>
  <c r="I287" i="87"/>
  <c r="H287" i="87"/>
  <c r="G287" i="87"/>
  <c r="F287" i="87"/>
  <c r="C287" i="87"/>
  <c r="A287" i="87"/>
  <c r="S286" i="87"/>
  <c r="R286" i="87"/>
  <c r="Q286" i="87"/>
  <c r="P286" i="87"/>
  <c r="O286" i="87"/>
  <c r="N286" i="87"/>
  <c r="M286" i="87"/>
  <c r="L286" i="87"/>
  <c r="K286" i="87"/>
  <c r="J286" i="87"/>
  <c r="I286" i="87"/>
  <c r="H286" i="87"/>
  <c r="G286" i="87"/>
  <c r="F286" i="87"/>
  <c r="C286" i="87"/>
  <c r="A286" i="87"/>
  <c r="S285" i="87"/>
  <c r="R285" i="87"/>
  <c r="Q285" i="87"/>
  <c r="P285" i="87"/>
  <c r="O285" i="87"/>
  <c r="N285" i="87"/>
  <c r="M285" i="87"/>
  <c r="L285" i="87"/>
  <c r="K285" i="87"/>
  <c r="J285" i="87"/>
  <c r="I285" i="87"/>
  <c r="H285" i="87"/>
  <c r="G285" i="87"/>
  <c r="F285" i="87"/>
  <c r="C285" i="87"/>
  <c r="A285" i="87"/>
  <c r="R284" i="87"/>
  <c r="Q284" i="87"/>
  <c r="P284" i="87"/>
  <c r="O284" i="87"/>
  <c r="N284" i="87"/>
  <c r="M284" i="87"/>
  <c r="L284" i="87"/>
  <c r="K284" i="87"/>
  <c r="J284" i="87"/>
  <c r="I284" i="87"/>
  <c r="H284" i="87"/>
  <c r="G284" i="87"/>
  <c r="F284" i="87"/>
  <c r="C284" i="87"/>
  <c r="A284" i="87"/>
  <c r="S283" i="87"/>
  <c r="R283" i="87"/>
  <c r="Q283" i="87"/>
  <c r="P283" i="87"/>
  <c r="O283" i="87"/>
  <c r="N283" i="87"/>
  <c r="M283" i="87"/>
  <c r="L283" i="87"/>
  <c r="K283" i="87"/>
  <c r="J283" i="87"/>
  <c r="I283" i="87"/>
  <c r="H283" i="87"/>
  <c r="G283" i="87"/>
  <c r="F283" i="87"/>
  <c r="C283" i="87"/>
  <c r="A283" i="87"/>
  <c r="S282" i="87"/>
  <c r="R282" i="87"/>
  <c r="Q282" i="87"/>
  <c r="P282" i="87"/>
  <c r="O282" i="87"/>
  <c r="N282" i="87"/>
  <c r="M282" i="87"/>
  <c r="L282" i="87"/>
  <c r="K282" i="87"/>
  <c r="J282" i="87"/>
  <c r="I282" i="87"/>
  <c r="H282" i="87"/>
  <c r="G282" i="87"/>
  <c r="F282" i="87"/>
  <c r="C282" i="87"/>
  <c r="A282" i="87"/>
  <c r="O281" i="87"/>
  <c r="H281" i="87"/>
  <c r="G281" i="87"/>
  <c r="F281" i="87"/>
  <c r="C281" i="87"/>
  <c r="A281" i="87"/>
  <c r="S280" i="87"/>
  <c r="R280" i="87"/>
  <c r="Q280" i="87"/>
  <c r="P280" i="87"/>
  <c r="O280" i="87"/>
  <c r="N280" i="87"/>
  <c r="M280" i="87"/>
  <c r="L280" i="87"/>
  <c r="K280" i="87"/>
  <c r="J280" i="87"/>
  <c r="I280" i="87"/>
  <c r="H280" i="87"/>
  <c r="G280" i="87"/>
  <c r="F280" i="87"/>
  <c r="C280" i="87"/>
  <c r="A280" i="87"/>
  <c r="S279" i="87"/>
  <c r="R279" i="87"/>
  <c r="Q279" i="87"/>
  <c r="P279" i="87"/>
  <c r="O279" i="87"/>
  <c r="N279" i="87"/>
  <c r="M279" i="87"/>
  <c r="L279" i="87"/>
  <c r="K279" i="87"/>
  <c r="J279" i="87"/>
  <c r="I279" i="87"/>
  <c r="H279" i="87"/>
  <c r="G279" i="87"/>
  <c r="F279" i="87"/>
  <c r="C279" i="87"/>
  <c r="A279" i="87"/>
  <c r="S278" i="87"/>
  <c r="R278" i="87"/>
  <c r="Q278" i="87"/>
  <c r="P278" i="87"/>
  <c r="O278" i="87"/>
  <c r="N278" i="87"/>
  <c r="M278" i="87"/>
  <c r="L278" i="87"/>
  <c r="K278" i="87"/>
  <c r="J278" i="87"/>
  <c r="I278" i="87"/>
  <c r="H278" i="87"/>
  <c r="G278" i="87"/>
  <c r="F278" i="87"/>
  <c r="C278" i="87"/>
  <c r="A278" i="87"/>
  <c r="R277" i="87"/>
  <c r="Q277" i="87"/>
  <c r="P277" i="87"/>
  <c r="O277" i="87"/>
  <c r="N277" i="87"/>
  <c r="M277" i="87"/>
  <c r="L277" i="87"/>
  <c r="K277" i="87"/>
  <c r="J277" i="87"/>
  <c r="I277" i="87"/>
  <c r="H277" i="87"/>
  <c r="G277" i="87"/>
  <c r="F277" i="87"/>
  <c r="C277" i="87"/>
  <c r="A277" i="87"/>
  <c r="S276" i="87"/>
  <c r="R276" i="87"/>
  <c r="Q276" i="87"/>
  <c r="P276" i="87"/>
  <c r="O276" i="87"/>
  <c r="N276" i="87"/>
  <c r="M276" i="87"/>
  <c r="L276" i="87"/>
  <c r="K276" i="87"/>
  <c r="J276" i="87"/>
  <c r="I276" i="87"/>
  <c r="H276" i="87"/>
  <c r="G276" i="87"/>
  <c r="F276" i="87"/>
  <c r="C276" i="87"/>
  <c r="A276" i="87"/>
  <c r="S275" i="87"/>
  <c r="R275" i="87"/>
  <c r="Q275" i="87"/>
  <c r="P275" i="87"/>
  <c r="O275" i="87"/>
  <c r="N275" i="87"/>
  <c r="M275" i="87"/>
  <c r="L275" i="87"/>
  <c r="K275" i="87"/>
  <c r="J275" i="87"/>
  <c r="I275" i="87"/>
  <c r="H275" i="87"/>
  <c r="G275" i="87"/>
  <c r="F275" i="87"/>
  <c r="C275" i="87"/>
  <c r="A275" i="87"/>
  <c r="S274" i="87"/>
  <c r="R274" i="87"/>
  <c r="Q274" i="87"/>
  <c r="P274" i="87"/>
  <c r="O274" i="87"/>
  <c r="N274" i="87"/>
  <c r="M274" i="87"/>
  <c r="L274" i="87"/>
  <c r="K274" i="87"/>
  <c r="J274" i="87"/>
  <c r="I274" i="87"/>
  <c r="H274" i="87"/>
  <c r="G274" i="87"/>
  <c r="F274" i="87"/>
  <c r="C274" i="87"/>
  <c r="A274" i="87"/>
  <c r="S273" i="87"/>
  <c r="R273" i="87"/>
  <c r="Q273" i="87"/>
  <c r="P273" i="87"/>
  <c r="O273" i="87"/>
  <c r="N273" i="87"/>
  <c r="M273" i="87"/>
  <c r="L273" i="87"/>
  <c r="K273" i="87"/>
  <c r="J273" i="87"/>
  <c r="I273" i="87"/>
  <c r="H273" i="87"/>
  <c r="G273" i="87"/>
  <c r="F273" i="87"/>
  <c r="C273" i="87"/>
  <c r="A273" i="87"/>
  <c r="S272" i="87"/>
  <c r="R272" i="87"/>
  <c r="Q272" i="87"/>
  <c r="P272" i="87"/>
  <c r="O272" i="87"/>
  <c r="N272" i="87"/>
  <c r="M272" i="87"/>
  <c r="L272" i="87"/>
  <c r="K272" i="87"/>
  <c r="J272" i="87"/>
  <c r="I272" i="87"/>
  <c r="H272" i="87"/>
  <c r="G272" i="87"/>
  <c r="F272" i="87"/>
  <c r="C272" i="87"/>
  <c r="A272" i="87"/>
  <c r="R271" i="87"/>
  <c r="Q271" i="87"/>
  <c r="P271" i="87"/>
  <c r="O271" i="87"/>
  <c r="N271" i="87"/>
  <c r="M271" i="87"/>
  <c r="L271" i="87"/>
  <c r="K271" i="87"/>
  <c r="J271" i="87"/>
  <c r="I271" i="87"/>
  <c r="H271" i="87"/>
  <c r="G271" i="87"/>
  <c r="F271" i="87"/>
  <c r="C271" i="87"/>
  <c r="A271" i="87"/>
  <c r="S270" i="87"/>
  <c r="R270" i="87"/>
  <c r="Q270" i="87"/>
  <c r="P270" i="87"/>
  <c r="O270" i="87"/>
  <c r="N270" i="87"/>
  <c r="M270" i="87"/>
  <c r="L270" i="87"/>
  <c r="K270" i="87"/>
  <c r="J270" i="87"/>
  <c r="I270" i="87"/>
  <c r="H270" i="87"/>
  <c r="G270" i="87"/>
  <c r="F270" i="87"/>
  <c r="C270" i="87"/>
  <c r="A270" i="87"/>
  <c r="S269" i="87"/>
  <c r="R269" i="87"/>
  <c r="Q269" i="87"/>
  <c r="P269" i="87"/>
  <c r="O269" i="87"/>
  <c r="N269" i="87"/>
  <c r="M269" i="87"/>
  <c r="L269" i="87"/>
  <c r="K269" i="87"/>
  <c r="J269" i="87"/>
  <c r="I269" i="87"/>
  <c r="H269" i="87"/>
  <c r="G269" i="87"/>
  <c r="F269" i="87"/>
  <c r="C269" i="87"/>
  <c r="A269" i="87"/>
  <c r="S268" i="87"/>
  <c r="R268" i="87"/>
  <c r="Q268" i="87"/>
  <c r="P268" i="87"/>
  <c r="O268" i="87"/>
  <c r="N268" i="87"/>
  <c r="M268" i="87"/>
  <c r="L268" i="87"/>
  <c r="K268" i="87"/>
  <c r="J268" i="87"/>
  <c r="I268" i="87"/>
  <c r="H268" i="87"/>
  <c r="G268" i="87"/>
  <c r="F268" i="87"/>
  <c r="C268" i="87"/>
  <c r="A268" i="87"/>
  <c r="S267" i="87"/>
  <c r="R267" i="87"/>
  <c r="Q267" i="87"/>
  <c r="P267" i="87"/>
  <c r="O267" i="87"/>
  <c r="N267" i="87"/>
  <c r="M267" i="87"/>
  <c r="L267" i="87"/>
  <c r="K267" i="87"/>
  <c r="J267" i="87"/>
  <c r="I267" i="87"/>
  <c r="H267" i="87"/>
  <c r="G267" i="87"/>
  <c r="F267" i="87"/>
  <c r="C267" i="87"/>
  <c r="A267" i="87"/>
  <c r="S266" i="87"/>
  <c r="R266" i="87"/>
  <c r="Q266" i="87"/>
  <c r="P266" i="87"/>
  <c r="O266" i="87"/>
  <c r="N266" i="87"/>
  <c r="M266" i="87"/>
  <c r="L266" i="87"/>
  <c r="K266" i="87"/>
  <c r="J266" i="87"/>
  <c r="I266" i="87"/>
  <c r="H266" i="87"/>
  <c r="G266" i="87"/>
  <c r="F266" i="87"/>
  <c r="C266" i="87"/>
  <c r="A266" i="87"/>
  <c r="R265" i="87"/>
  <c r="Q265" i="87"/>
  <c r="P265" i="87"/>
  <c r="O265" i="87"/>
  <c r="N265" i="87"/>
  <c r="M265" i="87"/>
  <c r="L265" i="87"/>
  <c r="K265" i="87"/>
  <c r="J265" i="87"/>
  <c r="I265" i="87"/>
  <c r="H265" i="87"/>
  <c r="G265" i="87"/>
  <c r="F265" i="87"/>
  <c r="C265" i="87"/>
  <c r="A265" i="87"/>
  <c r="S264" i="87"/>
  <c r="R264" i="87"/>
  <c r="Q264" i="87"/>
  <c r="P264" i="87"/>
  <c r="O264" i="87"/>
  <c r="N264" i="87"/>
  <c r="M264" i="87"/>
  <c r="L264" i="87"/>
  <c r="K264" i="87"/>
  <c r="J264" i="87"/>
  <c r="I264" i="87"/>
  <c r="H264" i="87"/>
  <c r="G264" i="87"/>
  <c r="F264" i="87"/>
  <c r="C264" i="87"/>
  <c r="A264" i="87"/>
  <c r="S263" i="87"/>
  <c r="R263" i="87"/>
  <c r="Q263" i="87"/>
  <c r="P263" i="87"/>
  <c r="O263" i="87"/>
  <c r="N263" i="87"/>
  <c r="M263" i="87"/>
  <c r="L263" i="87"/>
  <c r="K263" i="87"/>
  <c r="J263" i="87"/>
  <c r="I263" i="87"/>
  <c r="H263" i="87"/>
  <c r="G263" i="87"/>
  <c r="F263" i="87"/>
  <c r="C263" i="87"/>
  <c r="A263" i="87"/>
  <c r="S262" i="87"/>
  <c r="R262" i="87"/>
  <c r="Q262" i="87"/>
  <c r="P262" i="87"/>
  <c r="O262" i="87"/>
  <c r="N262" i="87"/>
  <c r="M262" i="87"/>
  <c r="L262" i="87"/>
  <c r="K262" i="87"/>
  <c r="J262" i="87"/>
  <c r="I262" i="87"/>
  <c r="H262" i="87"/>
  <c r="G262" i="87"/>
  <c r="F262" i="87"/>
  <c r="C262" i="87"/>
  <c r="A262" i="87"/>
  <c r="S261" i="87"/>
  <c r="R261" i="87"/>
  <c r="Q261" i="87"/>
  <c r="P261" i="87"/>
  <c r="O261" i="87"/>
  <c r="N261" i="87"/>
  <c r="M261" i="87"/>
  <c r="L261" i="87"/>
  <c r="K261" i="87"/>
  <c r="J261" i="87"/>
  <c r="I261" i="87"/>
  <c r="H261" i="87"/>
  <c r="G261" i="87"/>
  <c r="F261" i="87"/>
  <c r="C261" i="87"/>
  <c r="A261" i="87"/>
  <c r="S260" i="87"/>
  <c r="R260" i="87"/>
  <c r="Q260" i="87"/>
  <c r="P260" i="87"/>
  <c r="O260" i="87"/>
  <c r="N260" i="87"/>
  <c r="M260" i="87"/>
  <c r="L260" i="87"/>
  <c r="K260" i="87"/>
  <c r="J260" i="87"/>
  <c r="I260" i="87"/>
  <c r="H260" i="87"/>
  <c r="G260" i="87"/>
  <c r="F260" i="87"/>
  <c r="C260" i="87"/>
  <c r="A260" i="87"/>
  <c r="BL259" i="87"/>
  <c r="F259" i="87"/>
  <c r="C259" i="87"/>
  <c r="A259" i="87"/>
  <c r="BL258" i="87"/>
  <c r="BJ258" i="87"/>
  <c r="BH258" i="87"/>
  <c r="F258" i="87"/>
  <c r="C258" i="87"/>
  <c r="A258" i="87"/>
  <c r="BL257" i="87"/>
  <c r="BJ257" i="87"/>
  <c r="BH257" i="87"/>
  <c r="F257" i="87"/>
  <c r="C257" i="87"/>
  <c r="A257" i="87"/>
  <c r="BL256" i="87"/>
  <c r="BJ256" i="87"/>
  <c r="BH256" i="87"/>
  <c r="F256" i="87"/>
  <c r="C256" i="87"/>
  <c r="A256" i="87"/>
  <c r="BL255" i="87"/>
  <c r="BJ255" i="87"/>
  <c r="BH255" i="87"/>
  <c r="F255" i="87"/>
  <c r="C255" i="87"/>
  <c r="A255" i="87"/>
  <c r="BL254" i="87"/>
  <c r="BJ254" i="87"/>
  <c r="BH254" i="87"/>
  <c r="F254" i="87"/>
  <c r="C254" i="87"/>
  <c r="A254" i="87"/>
  <c r="BL253" i="87"/>
  <c r="BJ253" i="87"/>
  <c r="BH253" i="87"/>
  <c r="F253" i="87"/>
  <c r="C253" i="87"/>
  <c r="A253" i="87"/>
  <c r="BL252" i="87"/>
  <c r="BJ252" i="87"/>
  <c r="BH252" i="87"/>
  <c r="F252" i="87"/>
  <c r="C252" i="87"/>
  <c r="A252" i="87"/>
  <c r="BL251" i="87"/>
  <c r="BJ251" i="87"/>
  <c r="BH251" i="87"/>
  <c r="F251" i="87"/>
  <c r="C251" i="87"/>
  <c r="A251" i="87"/>
  <c r="BL250" i="87"/>
  <c r="BJ250" i="87"/>
  <c r="BH250" i="87"/>
  <c r="F250" i="87"/>
  <c r="C250" i="87"/>
  <c r="A250" i="87"/>
  <c r="BL249" i="87"/>
  <c r="BJ249" i="87"/>
  <c r="BH249" i="87"/>
  <c r="F249" i="87"/>
  <c r="C249" i="87"/>
  <c r="A249" i="87"/>
  <c r="BL248" i="87"/>
  <c r="BJ248" i="87"/>
  <c r="BH248" i="87"/>
  <c r="F248" i="87"/>
  <c r="C248" i="87"/>
  <c r="A248" i="87"/>
  <c r="BL247" i="87"/>
  <c r="BJ247" i="87"/>
  <c r="BH247" i="87"/>
  <c r="F247" i="87"/>
  <c r="C247" i="87"/>
  <c r="A247" i="87"/>
  <c r="BL246" i="87"/>
  <c r="BJ246" i="87"/>
  <c r="BH246" i="87"/>
  <c r="F246" i="87"/>
  <c r="C246" i="87"/>
  <c r="A246" i="87"/>
  <c r="BL245" i="87"/>
  <c r="BJ245" i="87"/>
  <c r="BH245" i="87"/>
  <c r="F245" i="87"/>
  <c r="C245" i="87"/>
  <c r="A245" i="87"/>
  <c r="BL244" i="87"/>
  <c r="BJ244" i="87"/>
  <c r="BH244" i="87"/>
  <c r="F244" i="87"/>
  <c r="C244" i="87"/>
  <c r="A244" i="87"/>
  <c r="BL243" i="87"/>
  <c r="BJ243" i="87"/>
  <c r="BH243" i="87"/>
  <c r="F243" i="87"/>
  <c r="C243" i="87"/>
  <c r="A243" i="87"/>
  <c r="BL242" i="87"/>
  <c r="BJ242" i="87"/>
  <c r="BH242" i="87"/>
  <c r="F242" i="87"/>
  <c r="C242" i="87"/>
  <c r="A242" i="87"/>
  <c r="BL241" i="87"/>
  <c r="BJ241" i="87"/>
  <c r="BH241" i="87"/>
  <c r="F241" i="87"/>
  <c r="C241" i="87"/>
  <c r="A241" i="87"/>
  <c r="BL240" i="87"/>
  <c r="BJ240" i="87"/>
  <c r="BH240" i="87"/>
  <c r="F240" i="87"/>
  <c r="C240" i="87"/>
  <c r="A240" i="87"/>
  <c r="BL239" i="87"/>
  <c r="BJ239" i="87"/>
  <c r="BH239" i="87"/>
  <c r="F239" i="87"/>
  <c r="C239" i="87"/>
  <c r="A239" i="87"/>
  <c r="BL238" i="87"/>
  <c r="BJ238" i="87"/>
  <c r="BH238" i="87"/>
  <c r="F238" i="87"/>
  <c r="C238" i="87"/>
  <c r="A238" i="87"/>
  <c r="BL237" i="87"/>
  <c r="BJ237" i="87"/>
  <c r="BH237" i="87"/>
  <c r="F237" i="87"/>
  <c r="C237" i="87"/>
  <c r="A237" i="87"/>
  <c r="BL236" i="87"/>
  <c r="BJ236" i="87"/>
  <c r="BH236" i="87"/>
  <c r="F236" i="87"/>
  <c r="C236" i="87"/>
  <c r="A236" i="87"/>
  <c r="BL235" i="87"/>
  <c r="BJ235" i="87"/>
  <c r="BH235" i="87"/>
  <c r="F235" i="87"/>
  <c r="C235" i="87"/>
  <c r="A235" i="87"/>
  <c r="F234" i="87"/>
  <c r="C234" i="87"/>
  <c r="A234" i="87"/>
  <c r="P233" i="87"/>
  <c r="N233" i="87"/>
  <c r="M233" i="87"/>
  <c r="L233" i="87"/>
  <c r="F233" i="87"/>
  <c r="C233" i="87"/>
  <c r="A233" i="87"/>
  <c r="S232" i="87"/>
  <c r="R232" i="87"/>
  <c r="Q232" i="87"/>
  <c r="P232" i="87"/>
  <c r="O232" i="87"/>
  <c r="N232" i="87"/>
  <c r="M232" i="87"/>
  <c r="L232" i="87"/>
  <c r="K232" i="87"/>
  <c r="J232" i="87"/>
  <c r="I232" i="87"/>
  <c r="H232" i="87"/>
  <c r="G232" i="87"/>
  <c r="F232" i="87"/>
  <c r="C232" i="87"/>
  <c r="A232" i="87"/>
  <c r="R231" i="87"/>
  <c r="Q231" i="87"/>
  <c r="P231" i="87"/>
  <c r="O231" i="87"/>
  <c r="N231" i="87"/>
  <c r="M231" i="87"/>
  <c r="L231" i="87"/>
  <c r="K231" i="87"/>
  <c r="J231" i="87"/>
  <c r="I231" i="87"/>
  <c r="H231" i="87"/>
  <c r="G231" i="87"/>
  <c r="F231" i="87"/>
  <c r="C231" i="87"/>
  <c r="A231" i="87"/>
  <c r="S230" i="87"/>
  <c r="R230" i="87"/>
  <c r="Q230" i="87"/>
  <c r="P230" i="87"/>
  <c r="O230" i="87"/>
  <c r="N230" i="87"/>
  <c r="M230" i="87"/>
  <c r="L230" i="87"/>
  <c r="K230" i="87"/>
  <c r="J230" i="87"/>
  <c r="I230" i="87"/>
  <c r="H230" i="87"/>
  <c r="G230" i="87"/>
  <c r="F230" i="87"/>
  <c r="C230" i="87"/>
  <c r="A230" i="87"/>
  <c r="R229" i="87"/>
  <c r="Q229" i="87"/>
  <c r="P229" i="87"/>
  <c r="O229" i="87"/>
  <c r="N229" i="87"/>
  <c r="M229" i="87"/>
  <c r="L229" i="87"/>
  <c r="K229" i="87"/>
  <c r="J229" i="87"/>
  <c r="I229" i="87"/>
  <c r="H229" i="87"/>
  <c r="G229" i="87"/>
  <c r="F229" i="87"/>
  <c r="C229" i="87"/>
  <c r="A229" i="87"/>
  <c r="O228" i="87"/>
  <c r="M228" i="87"/>
  <c r="J228" i="87"/>
  <c r="F228" i="87"/>
  <c r="C228" i="87"/>
  <c r="A228" i="87"/>
  <c r="R227" i="87"/>
  <c r="Q227" i="87"/>
  <c r="P227" i="87"/>
  <c r="O227" i="87"/>
  <c r="N227" i="87"/>
  <c r="M227" i="87"/>
  <c r="L227" i="87"/>
  <c r="K227" i="87"/>
  <c r="J227" i="87"/>
  <c r="I227" i="87"/>
  <c r="H227" i="87"/>
  <c r="G227" i="87"/>
  <c r="F227" i="87"/>
  <c r="C227" i="87"/>
  <c r="A227" i="87"/>
  <c r="S226" i="87"/>
  <c r="R226" i="87"/>
  <c r="Q226" i="87"/>
  <c r="P226" i="87"/>
  <c r="O226" i="87"/>
  <c r="N226" i="87"/>
  <c r="M226" i="87"/>
  <c r="L226" i="87"/>
  <c r="K226" i="87"/>
  <c r="J226" i="87"/>
  <c r="I226" i="87"/>
  <c r="H226" i="87"/>
  <c r="G226" i="87"/>
  <c r="F226" i="87"/>
  <c r="C226" i="87"/>
  <c r="A226" i="87"/>
  <c r="R225" i="87"/>
  <c r="Q225" i="87"/>
  <c r="P225" i="87"/>
  <c r="O225" i="87"/>
  <c r="N225" i="87"/>
  <c r="M225" i="87"/>
  <c r="L225" i="87"/>
  <c r="K225" i="87"/>
  <c r="J225" i="87"/>
  <c r="I225" i="87"/>
  <c r="H225" i="87"/>
  <c r="G225" i="87"/>
  <c r="F225" i="87"/>
  <c r="C225" i="87"/>
  <c r="A225" i="87"/>
  <c r="R224" i="87"/>
  <c r="Q224" i="87"/>
  <c r="P224" i="87"/>
  <c r="O224" i="87"/>
  <c r="N224" i="87"/>
  <c r="M224" i="87"/>
  <c r="L224" i="87"/>
  <c r="K224" i="87"/>
  <c r="J224" i="87"/>
  <c r="I224" i="87"/>
  <c r="H224" i="87"/>
  <c r="G224" i="87"/>
  <c r="F224" i="87"/>
  <c r="C224" i="87"/>
  <c r="A224" i="87"/>
  <c r="S223" i="87"/>
  <c r="R223" i="87"/>
  <c r="Q223" i="87"/>
  <c r="P223" i="87"/>
  <c r="O223" i="87"/>
  <c r="N223" i="87"/>
  <c r="M223" i="87"/>
  <c r="L223" i="87"/>
  <c r="K223" i="87"/>
  <c r="J223" i="87"/>
  <c r="I223" i="87"/>
  <c r="H223" i="87"/>
  <c r="G223" i="87"/>
  <c r="F223" i="87"/>
  <c r="C223" i="87"/>
  <c r="A223" i="87"/>
  <c r="R222" i="87"/>
  <c r="Q222" i="87"/>
  <c r="P222" i="87"/>
  <c r="O222" i="87"/>
  <c r="N222" i="87"/>
  <c r="M222" i="87"/>
  <c r="L222" i="87"/>
  <c r="K222" i="87"/>
  <c r="J222" i="87"/>
  <c r="I222" i="87"/>
  <c r="H222" i="87"/>
  <c r="G222" i="87"/>
  <c r="F222" i="87"/>
  <c r="C222" i="87"/>
  <c r="A222" i="87"/>
  <c r="R221" i="87"/>
  <c r="Q221" i="87"/>
  <c r="P221" i="87"/>
  <c r="O221" i="87"/>
  <c r="N221" i="87"/>
  <c r="M221" i="87"/>
  <c r="L221" i="87"/>
  <c r="K221" i="87"/>
  <c r="J221" i="87"/>
  <c r="I221" i="87"/>
  <c r="H221" i="87"/>
  <c r="G221" i="87"/>
  <c r="F221" i="87"/>
  <c r="C221" i="87"/>
  <c r="A221" i="87"/>
  <c r="R220" i="87"/>
  <c r="Q220" i="87"/>
  <c r="P220" i="87"/>
  <c r="O220" i="87"/>
  <c r="N220" i="87"/>
  <c r="M220" i="87"/>
  <c r="L220" i="87"/>
  <c r="K220" i="87"/>
  <c r="J220" i="87"/>
  <c r="I220" i="87"/>
  <c r="H220" i="87"/>
  <c r="G220" i="87"/>
  <c r="F220" i="87"/>
  <c r="C220" i="87"/>
  <c r="A220" i="87"/>
  <c r="R219" i="87"/>
  <c r="Q219" i="87"/>
  <c r="P219" i="87"/>
  <c r="O219" i="87"/>
  <c r="N219" i="87"/>
  <c r="M219" i="87"/>
  <c r="L219" i="87"/>
  <c r="K219" i="87"/>
  <c r="J219" i="87"/>
  <c r="I219" i="87"/>
  <c r="H219" i="87"/>
  <c r="G219" i="87"/>
  <c r="F219" i="87"/>
  <c r="C219" i="87"/>
  <c r="A219" i="87"/>
  <c r="R218" i="87"/>
  <c r="Q218" i="87"/>
  <c r="P218" i="87"/>
  <c r="O218" i="87"/>
  <c r="N218" i="87"/>
  <c r="M218" i="87"/>
  <c r="L218" i="87"/>
  <c r="K218" i="87"/>
  <c r="J218" i="87"/>
  <c r="I218" i="87"/>
  <c r="H218" i="87"/>
  <c r="G218" i="87"/>
  <c r="F218" i="87"/>
  <c r="C218" i="87"/>
  <c r="A218" i="87"/>
  <c r="S217" i="87"/>
  <c r="R217" i="87"/>
  <c r="Q217" i="87"/>
  <c r="P217" i="87"/>
  <c r="O217" i="87"/>
  <c r="N217" i="87"/>
  <c r="M217" i="87"/>
  <c r="L217" i="87"/>
  <c r="K217" i="87"/>
  <c r="J217" i="87"/>
  <c r="I217" i="87"/>
  <c r="H217" i="87"/>
  <c r="G217" i="87"/>
  <c r="F217" i="87"/>
  <c r="C217" i="87"/>
  <c r="A217" i="87"/>
  <c r="R216" i="87"/>
  <c r="Q216" i="87"/>
  <c r="P216" i="87"/>
  <c r="O216" i="87"/>
  <c r="N216" i="87"/>
  <c r="M216" i="87"/>
  <c r="L216" i="87"/>
  <c r="K216" i="87"/>
  <c r="J216" i="87"/>
  <c r="I216" i="87"/>
  <c r="H216" i="87"/>
  <c r="G216" i="87"/>
  <c r="F216" i="87"/>
  <c r="C216" i="87"/>
  <c r="A216" i="87"/>
  <c r="R215" i="87"/>
  <c r="Q215" i="87"/>
  <c r="P215" i="87"/>
  <c r="O215" i="87"/>
  <c r="N215" i="87"/>
  <c r="M215" i="87"/>
  <c r="L215" i="87"/>
  <c r="K215" i="87"/>
  <c r="J215" i="87"/>
  <c r="I215" i="87"/>
  <c r="H215" i="87"/>
  <c r="G215" i="87"/>
  <c r="F215" i="87"/>
  <c r="C215" i="87"/>
  <c r="A215" i="87"/>
  <c r="R214" i="87"/>
  <c r="Q214" i="87"/>
  <c r="P214" i="87"/>
  <c r="O214" i="87"/>
  <c r="N214" i="87"/>
  <c r="M214" i="87"/>
  <c r="L214" i="87"/>
  <c r="K214" i="87"/>
  <c r="J214" i="87"/>
  <c r="I214" i="87"/>
  <c r="H214" i="87"/>
  <c r="G214" i="87"/>
  <c r="F214" i="87"/>
  <c r="C214" i="87"/>
  <c r="A214" i="87"/>
  <c r="R213" i="87"/>
  <c r="Q213" i="87"/>
  <c r="P213" i="87"/>
  <c r="O213" i="87"/>
  <c r="N213" i="87"/>
  <c r="M213" i="87"/>
  <c r="L213" i="87"/>
  <c r="K213" i="87"/>
  <c r="J213" i="87"/>
  <c r="I213" i="87"/>
  <c r="H213" i="87"/>
  <c r="G213" i="87"/>
  <c r="F213" i="87"/>
  <c r="C213" i="87"/>
  <c r="A213" i="87"/>
  <c r="S212" i="87"/>
  <c r="R212" i="87"/>
  <c r="Q212" i="87"/>
  <c r="P212" i="87"/>
  <c r="O212" i="87"/>
  <c r="N212" i="87"/>
  <c r="M212" i="87"/>
  <c r="L212" i="87"/>
  <c r="K212" i="87"/>
  <c r="J212" i="87"/>
  <c r="I212" i="87"/>
  <c r="H212" i="87"/>
  <c r="G212" i="87"/>
  <c r="F212" i="87"/>
  <c r="C212" i="87"/>
  <c r="A212" i="87"/>
  <c r="BL211" i="87"/>
  <c r="BK211" i="87"/>
  <c r="BJ211" i="87"/>
  <c r="F211" i="87"/>
  <c r="C211" i="87"/>
  <c r="A211" i="87"/>
  <c r="BL210" i="87"/>
  <c r="BK210" i="87"/>
  <c r="BJ210" i="87"/>
  <c r="BI210" i="87"/>
  <c r="BH210" i="87"/>
  <c r="F210" i="87"/>
  <c r="C210" i="87"/>
  <c r="A210" i="87"/>
  <c r="BL209" i="87"/>
  <c r="BK209" i="87"/>
  <c r="BJ209" i="87"/>
  <c r="BI209" i="87"/>
  <c r="BH209" i="87"/>
  <c r="F209" i="87"/>
  <c r="C209" i="87"/>
  <c r="A209" i="87"/>
  <c r="BL208" i="87"/>
  <c r="BK208" i="87"/>
  <c r="BJ208" i="87"/>
  <c r="BI208" i="87"/>
  <c r="BH208" i="87"/>
  <c r="F208" i="87"/>
  <c r="C208" i="87"/>
  <c r="A208" i="87"/>
  <c r="BL207" i="87"/>
  <c r="BK207" i="87"/>
  <c r="BJ207" i="87"/>
  <c r="BI207" i="87"/>
  <c r="BH207" i="87"/>
  <c r="F207" i="87"/>
  <c r="C207" i="87"/>
  <c r="A207" i="87"/>
  <c r="BL206" i="87"/>
  <c r="BK206" i="87"/>
  <c r="BJ206" i="87"/>
  <c r="BI206" i="87"/>
  <c r="BH206" i="87"/>
  <c r="F206" i="87"/>
  <c r="C206" i="87"/>
  <c r="A206" i="87"/>
  <c r="BL205" i="87"/>
  <c r="BK205" i="87"/>
  <c r="BJ205" i="87"/>
  <c r="BI205" i="87"/>
  <c r="BH205" i="87"/>
  <c r="F205" i="87"/>
  <c r="C205" i="87"/>
  <c r="A205" i="87"/>
  <c r="BL204" i="87"/>
  <c r="BK204" i="87"/>
  <c r="BJ204" i="87"/>
  <c r="BI204" i="87"/>
  <c r="BH204" i="87"/>
  <c r="F204" i="87"/>
  <c r="C204" i="87"/>
  <c r="A204" i="87"/>
  <c r="BL203" i="87"/>
  <c r="BK203" i="87"/>
  <c r="BJ203" i="87"/>
  <c r="BI203" i="87"/>
  <c r="BH203" i="87"/>
  <c r="F203" i="87"/>
  <c r="C203" i="87"/>
  <c r="A203" i="87"/>
  <c r="BL202" i="87"/>
  <c r="BK202" i="87"/>
  <c r="BJ202" i="87"/>
  <c r="BI202" i="87"/>
  <c r="BH202" i="87"/>
  <c r="F202" i="87"/>
  <c r="C202" i="87"/>
  <c r="A202" i="87"/>
  <c r="BL201" i="87"/>
  <c r="BK201" i="87"/>
  <c r="BJ201" i="87"/>
  <c r="BI201" i="87"/>
  <c r="BH201" i="87"/>
  <c r="F201" i="87"/>
  <c r="C201" i="87"/>
  <c r="A201" i="87"/>
  <c r="BL200" i="87"/>
  <c r="BK200" i="87"/>
  <c r="BJ200" i="87"/>
  <c r="BI200" i="87"/>
  <c r="BH200" i="87"/>
  <c r="F200" i="87"/>
  <c r="C200" i="87"/>
  <c r="A200" i="87"/>
  <c r="BL199" i="87"/>
  <c r="BK199" i="87"/>
  <c r="BJ199" i="87"/>
  <c r="BI199" i="87"/>
  <c r="BH199" i="87"/>
  <c r="F199" i="87"/>
  <c r="C199" i="87"/>
  <c r="A199" i="87"/>
  <c r="BL198" i="87"/>
  <c r="BK198" i="87"/>
  <c r="BJ198" i="87"/>
  <c r="BI198" i="87"/>
  <c r="BH198" i="87"/>
  <c r="F198" i="87"/>
  <c r="C198" i="87"/>
  <c r="A198" i="87"/>
  <c r="BL197" i="87"/>
  <c r="BK197" i="87"/>
  <c r="BJ197" i="87"/>
  <c r="BI197" i="87"/>
  <c r="BH197" i="87"/>
  <c r="F197" i="87"/>
  <c r="C197" i="87"/>
  <c r="A197" i="87"/>
  <c r="BL196" i="87"/>
  <c r="BK196" i="87"/>
  <c r="BJ196" i="87"/>
  <c r="BI196" i="87"/>
  <c r="BH196" i="87"/>
  <c r="F196" i="87"/>
  <c r="C196" i="87"/>
  <c r="A196" i="87"/>
  <c r="BL195" i="87"/>
  <c r="BK195" i="87"/>
  <c r="BJ195" i="87"/>
  <c r="BI195" i="87"/>
  <c r="BH195" i="87"/>
  <c r="F195" i="87"/>
  <c r="C195" i="87"/>
  <c r="A195" i="87"/>
  <c r="BL194" i="87"/>
  <c r="BK194" i="87"/>
  <c r="BJ194" i="87"/>
  <c r="BI194" i="87"/>
  <c r="BH194" i="87"/>
  <c r="F194" i="87"/>
  <c r="C194" i="87"/>
  <c r="A194" i="87"/>
  <c r="BL193" i="87"/>
  <c r="BK193" i="87"/>
  <c r="BJ193" i="87"/>
  <c r="BI193" i="87"/>
  <c r="BH193" i="87"/>
  <c r="F193" i="87"/>
  <c r="C193" i="87"/>
  <c r="A193" i="87"/>
  <c r="BL192" i="87"/>
  <c r="BK192" i="87"/>
  <c r="BJ192" i="87"/>
  <c r="BI192" i="87"/>
  <c r="BH192" i="87"/>
  <c r="F192" i="87"/>
  <c r="C192" i="87"/>
  <c r="A192" i="87"/>
  <c r="BL191" i="87"/>
  <c r="BK191" i="87"/>
  <c r="BJ191" i="87"/>
  <c r="BI191" i="87"/>
  <c r="BH191" i="87"/>
  <c r="F191" i="87"/>
  <c r="C191" i="87"/>
  <c r="A191" i="87"/>
  <c r="BL190" i="87"/>
  <c r="BK190" i="87"/>
  <c r="BJ190" i="87"/>
  <c r="BI190" i="87"/>
  <c r="BH190" i="87"/>
  <c r="F190" i="87"/>
  <c r="C190" i="87"/>
  <c r="A190" i="87"/>
  <c r="BL189" i="87"/>
  <c r="BK189" i="87"/>
  <c r="BJ189" i="87"/>
  <c r="BI189" i="87"/>
  <c r="BH189" i="87"/>
  <c r="F189" i="87"/>
  <c r="C189" i="87"/>
  <c r="A189" i="87"/>
  <c r="AU188" i="87"/>
  <c r="AT188" i="87"/>
  <c r="AS188" i="87"/>
  <c r="AR188" i="87"/>
  <c r="AQ188" i="87"/>
  <c r="AP188" i="87"/>
  <c r="AO188" i="87"/>
  <c r="AN188" i="87"/>
  <c r="AM188" i="87"/>
  <c r="AL188" i="87"/>
  <c r="AK188" i="87"/>
  <c r="AJ188" i="87"/>
  <c r="AI188" i="87"/>
  <c r="AH188" i="87"/>
  <c r="AG188" i="87"/>
  <c r="F188" i="87"/>
  <c r="D188" i="87"/>
  <c r="A188" i="87"/>
  <c r="AU187" i="87"/>
  <c r="AT187" i="87"/>
  <c r="AS187" i="87"/>
  <c r="AR187" i="87"/>
  <c r="AQ187" i="87"/>
  <c r="AP187" i="87"/>
  <c r="AO187" i="87"/>
  <c r="AM187" i="87"/>
  <c r="AL187" i="87"/>
  <c r="AK187" i="87"/>
  <c r="AJ187" i="87"/>
  <c r="AI187" i="87"/>
  <c r="AH187" i="87"/>
  <c r="AG187" i="87"/>
  <c r="F187" i="87"/>
  <c r="D187" i="87"/>
  <c r="A187" i="87"/>
  <c r="AU186" i="87"/>
  <c r="AT186" i="87"/>
  <c r="AS186" i="87"/>
  <c r="AR186" i="87"/>
  <c r="AQ186" i="87"/>
  <c r="AP186" i="87"/>
  <c r="AO186" i="87"/>
  <c r="AN186" i="87"/>
  <c r="AM186" i="87"/>
  <c r="AL186" i="87"/>
  <c r="AK186" i="87"/>
  <c r="AJ186" i="87"/>
  <c r="AI186" i="87"/>
  <c r="AH186" i="87"/>
  <c r="AG186" i="87"/>
  <c r="F186" i="87"/>
  <c r="D186" i="87"/>
  <c r="A186" i="87"/>
  <c r="AU185" i="87"/>
  <c r="AT185" i="87"/>
  <c r="AS185" i="87"/>
  <c r="AR185" i="87"/>
  <c r="AQ185" i="87"/>
  <c r="AP185" i="87"/>
  <c r="AO185" i="87"/>
  <c r="AM185" i="87"/>
  <c r="AL185" i="87"/>
  <c r="AK185" i="87"/>
  <c r="AJ185" i="87"/>
  <c r="AI185" i="87"/>
  <c r="AH185" i="87"/>
  <c r="AG185" i="87"/>
  <c r="F185" i="87"/>
  <c r="D185" i="87"/>
  <c r="A185" i="87"/>
  <c r="AR184" i="87"/>
  <c r="AQ184" i="87"/>
  <c r="AP184" i="87"/>
  <c r="AO184" i="87"/>
  <c r="AM184" i="87"/>
  <c r="AL184" i="87"/>
  <c r="AK184" i="87"/>
  <c r="AJ184" i="87"/>
  <c r="AH184" i="87"/>
  <c r="F184" i="87"/>
  <c r="D184" i="87"/>
  <c r="A184" i="87"/>
  <c r="AU183" i="87"/>
  <c r="AT183" i="87"/>
  <c r="AS183" i="87"/>
  <c r="AR183" i="87"/>
  <c r="AQ183" i="87"/>
  <c r="AP183" i="87"/>
  <c r="AO183" i="87"/>
  <c r="AN183" i="87"/>
  <c r="AM183" i="87"/>
  <c r="AL183" i="87"/>
  <c r="AK183" i="87"/>
  <c r="AJ183" i="87"/>
  <c r="AI183" i="87"/>
  <c r="AH183" i="87"/>
  <c r="AG183" i="87"/>
  <c r="F183" i="87"/>
  <c r="D183" i="87"/>
  <c r="A183" i="87"/>
  <c r="AU182" i="87"/>
  <c r="AT182" i="87"/>
  <c r="AS182" i="87"/>
  <c r="AR182" i="87"/>
  <c r="AQ182" i="87"/>
  <c r="AP182" i="87"/>
  <c r="AO182" i="87"/>
  <c r="AN182" i="87"/>
  <c r="AM182" i="87"/>
  <c r="AL182" i="87"/>
  <c r="AK182" i="87"/>
  <c r="AJ182" i="87"/>
  <c r="AI182" i="87"/>
  <c r="AH182" i="87"/>
  <c r="AG182" i="87"/>
  <c r="F182" i="87"/>
  <c r="D182" i="87"/>
  <c r="A182" i="87"/>
  <c r="AU181" i="87"/>
  <c r="AT181" i="87"/>
  <c r="AS181" i="87"/>
  <c r="AR181" i="87"/>
  <c r="AQ181" i="87"/>
  <c r="AP181" i="87"/>
  <c r="AO181" i="87"/>
  <c r="AM181" i="87"/>
  <c r="AL181" i="87"/>
  <c r="AK181" i="87"/>
  <c r="AJ181" i="87"/>
  <c r="AI181" i="87"/>
  <c r="AH181" i="87"/>
  <c r="AG181" i="87"/>
  <c r="F181" i="87"/>
  <c r="D181" i="87"/>
  <c r="A181" i="87"/>
  <c r="AU180" i="87"/>
  <c r="AT180" i="87"/>
  <c r="AS180" i="87"/>
  <c r="AR180" i="87"/>
  <c r="AQ180" i="87"/>
  <c r="AP180" i="87"/>
  <c r="AO180" i="87"/>
  <c r="AN180" i="87"/>
  <c r="AM180" i="87"/>
  <c r="AL180" i="87"/>
  <c r="AK180" i="87"/>
  <c r="AJ180" i="87"/>
  <c r="AI180" i="87"/>
  <c r="AH180" i="87"/>
  <c r="AG180" i="87"/>
  <c r="F180" i="87"/>
  <c r="D180" i="87"/>
  <c r="A180" i="87"/>
  <c r="AQ179" i="87"/>
  <c r="AP179" i="87"/>
  <c r="AO179" i="87"/>
  <c r="AM179" i="87"/>
  <c r="AJ179" i="87"/>
  <c r="AI179" i="87"/>
  <c r="AH179" i="87"/>
  <c r="F179" i="87"/>
  <c r="D179" i="87"/>
  <c r="A179" i="87"/>
  <c r="AU178" i="87"/>
  <c r="AT178" i="87"/>
  <c r="AS178" i="87"/>
  <c r="AR178" i="87"/>
  <c r="AQ178" i="87"/>
  <c r="AP178" i="87"/>
  <c r="AO178" i="87"/>
  <c r="AM178" i="87"/>
  <c r="AL178" i="87"/>
  <c r="AK178" i="87"/>
  <c r="AJ178" i="87"/>
  <c r="AI178" i="87"/>
  <c r="AH178" i="87"/>
  <c r="AG178" i="87"/>
  <c r="F178" i="87"/>
  <c r="D178" i="87"/>
  <c r="A178" i="87"/>
  <c r="AU177" i="87"/>
  <c r="AT177" i="87"/>
  <c r="AS177" i="87"/>
  <c r="AR177" i="87"/>
  <c r="AQ177" i="87"/>
  <c r="AP177" i="87"/>
  <c r="AO177" i="87"/>
  <c r="AM177" i="87"/>
  <c r="AL177" i="87"/>
  <c r="AK177" i="87"/>
  <c r="AJ177" i="87"/>
  <c r="AI177" i="87"/>
  <c r="AH177" i="87"/>
  <c r="AG177" i="87"/>
  <c r="F177" i="87"/>
  <c r="D177" i="87"/>
  <c r="A177" i="87"/>
  <c r="AU176" i="87"/>
  <c r="AT176" i="87"/>
  <c r="AS176" i="87"/>
  <c r="AR176" i="87"/>
  <c r="AQ176" i="87"/>
  <c r="AP176" i="87"/>
  <c r="AO176" i="87"/>
  <c r="AM176" i="87"/>
  <c r="AL176" i="87"/>
  <c r="AK176" i="87"/>
  <c r="AJ176" i="87"/>
  <c r="AI176" i="87"/>
  <c r="AH176" i="87"/>
  <c r="AG176" i="87"/>
  <c r="F176" i="87"/>
  <c r="D176" i="87"/>
  <c r="A176" i="87"/>
  <c r="AU175" i="87"/>
  <c r="AT175" i="87"/>
  <c r="AS175" i="87"/>
  <c r="AR175" i="87"/>
  <c r="AQ175" i="87"/>
  <c r="AP175" i="87"/>
  <c r="AO175" i="87"/>
  <c r="AM175" i="87"/>
  <c r="AL175" i="87"/>
  <c r="AK175" i="87"/>
  <c r="AJ175" i="87"/>
  <c r="AI175" i="87"/>
  <c r="AH175" i="87"/>
  <c r="AG175" i="87"/>
  <c r="F175" i="87"/>
  <c r="D175" i="87"/>
  <c r="A175" i="87"/>
  <c r="AT174" i="87"/>
  <c r="AS174" i="87"/>
  <c r="AP174" i="87"/>
  <c r="AO174" i="87"/>
  <c r="AL174" i="87"/>
  <c r="AK174" i="87"/>
  <c r="AJ174" i="87"/>
  <c r="AI174" i="87"/>
  <c r="AH174" i="87"/>
  <c r="AG174" i="87"/>
  <c r="F174" i="87"/>
  <c r="D174" i="87"/>
  <c r="A174" i="87"/>
  <c r="AT173" i="87"/>
  <c r="AS173" i="87"/>
  <c r="AR173" i="87"/>
  <c r="AQ173" i="87"/>
  <c r="AP173" i="87"/>
  <c r="AO173" i="87"/>
  <c r="AM173" i="87"/>
  <c r="AL173" i="87"/>
  <c r="AK173" i="87"/>
  <c r="AJ173" i="87"/>
  <c r="AI173" i="87"/>
  <c r="AH173" i="87"/>
  <c r="AG173" i="87"/>
  <c r="F173" i="87"/>
  <c r="D173" i="87"/>
  <c r="A173" i="87"/>
  <c r="AU172" i="87"/>
  <c r="AT172" i="87"/>
  <c r="AS172" i="87"/>
  <c r="AR172" i="87"/>
  <c r="AQ172" i="87"/>
  <c r="AP172" i="87"/>
  <c r="AO172" i="87"/>
  <c r="AM172" i="87"/>
  <c r="AL172" i="87"/>
  <c r="AK172" i="87"/>
  <c r="AJ172" i="87"/>
  <c r="AI172" i="87"/>
  <c r="AH172" i="87"/>
  <c r="AG172" i="87"/>
  <c r="F172" i="87"/>
  <c r="D172" i="87"/>
  <c r="A172" i="87"/>
  <c r="AU171" i="87"/>
  <c r="AT171" i="87"/>
  <c r="AS171" i="87"/>
  <c r="AR171" i="87"/>
  <c r="AQ171" i="87"/>
  <c r="AP171" i="87"/>
  <c r="AO171" i="87"/>
  <c r="AM171" i="87"/>
  <c r="AL171" i="87"/>
  <c r="AK171" i="87"/>
  <c r="AJ171" i="87"/>
  <c r="AI171" i="87"/>
  <c r="AH171" i="87"/>
  <c r="AG171" i="87"/>
  <c r="F171" i="87"/>
  <c r="D171" i="87"/>
  <c r="A171" i="87"/>
  <c r="AU170" i="87"/>
  <c r="AT170" i="87"/>
  <c r="AS170" i="87"/>
  <c r="AR170" i="87"/>
  <c r="AQ170" i="87"/>
  <c r="AP170" i="87"/>
  <c r="AO170" i="87"/>
  <c r="AN170" i="87"/>
  <c r="AM170" i="87"/>
  <c r="AL170" i="87"/>
  <c r="AK170" i="87"/>
  <c r="AJ170" i="87"/>
  <c r="AI170" i="87"/>
  <c r="AH170" i="87"/>
  <c r="AG170" i="87"/>
  <c r="F170" i="87"/>
  <c r="D170" i="87"/>
  <c r="A170" i="87"/>
  <c r="AR169" i="87"/>
  <c r="AQ169" i="87"/>
  <c r="AP169" i="87"/>
  <c r="AO169" i="87"/>
  <c r="AM169" i="87"/>
  <c r="AL169" i="87"/>
  <c r="AK169" i="87"/>
  <c r="AJ169" i="87"/>
  <c r="AI169" i="87"/>
  <c r="F169" i="87"/>
  <c r="D169" i="87"/>
  <c r="A169" i="87"/>
  <c r="AU168" i="87"/>
  <c r="AT168" i="87"/>
  <c r="AS168" i="87"/>
  <c r="AR168" i="87"/>
  <c r="AQ168" i="87"/>
  <c r="AP168" i="87"/>
  <c r="AO168" i="87"/>
  <c r="AN168" i="87"/>
  <c r="AM168" i="87"/>
  <c r="AL168" i="87"/>
  <c r="AK168" i="87"/>
  <c r="AJ168" i="87"/>
  <c r="AI168" i="87"/>
  <c r="AH168" i="87"/>
  <c r="AG168" i="87"/>
  <c r="F168" i="87"/>
  <c r="D168" i="87"/>
  <c r="A168" i="87"/>
  <c r="AU167" i="87"/>
  <c r="AT167" i="87"/>
  <c r="AS167" i="87"/>
  <c r="AR167" i="87"/>
  <c r="AQ167" i="87"/>
  <c r="AP167" i="87"/>
  <c r="AO167" i="87"/>
  <c r="AN167" i="87"/>
  <c r="AM167" i="87"/>
  <c r="AL167" i="87"/>
  <c r="AK167" i="87"/>
  <c r="AJ167" i="87"/>
  <c r="AI167" i="87"/>
  <c r="AH167" i="87"/>
  <c r="AG167" i="87"/>
  <c r="F167" i="87"/>
  <c r="D167" i="87"/>
  <c r="A167" i="87"/>
  <c r="AU166" i="87"/>
  <c r="AT166" i="87"/>
  <c r="AS166" i="87"/>
  <c r="AR166" i="87"/>
  <c r="AQ166" i="87"/>
  <c r="AP166" i="87"/>
  <c r="AO166" i="87"/>
  <c r="AN166" i="87"/>
  <c r="AM166" i="87"/>
  <c r="AL166" i="87"/>
  <c r="AK166" i="87"/>
  <c r="AJ166" i="87"/>
  <c r="AI166" i="87"/>
  <c r="AH166" i="87"/>
  <c r="AG166" i="87"/>
  <c r="F166" i="87"/>
  <c r="D166" i="87"/>
  <c r="A166" i="87"/>
  <c r="AU165" i="87"/>
  <c r="AT165" i="87"/>
  <c r="AS165" i="87"/>
  <c r="AR165" i="87"/>
  <c r="AQ165" i="87"/>
  <c r="AP165" i="87"/>
  <c r="AO165" i="87"/>
  <c r="AM165" i="87"/>
  <c r="AL165" i="87"/>
  <c r="AK165" i="87"/>
  <c r="AJ165" i="87"/>
  <c r="AI165" i="87"/>
  <c r="AH165" i="87"/>
  <c r="AG165" i="87"/>
  <c r="F165" i="87"/>
  <c r="D165" i="87"/>
  <c r="A165" i="87"/>
  <c r="AQ164" i="87"/>
  <c r="AP164" i="87"/>
  <c r="AO164" i="87"/>
  <c r="AM164" i="87"/>
  <c r="AK164" i="87"/>
  <c r="AJ164" i="87"/>
  <c r="AI164" i="87"/>
  <c r="F164" i="87"/>
  <c r="D164" i="87"/>
  <c r="C164" i="87" s="1"/>
  <c r="A164" i="87"/>
  <c r="AT163" i="87"/>
  <c r="AS163" i="87"/>
  <c r="AR163" i="87"/>
  <c r="AQ163" i="87"/>
  <c r="AP163" i="87"/>
  <c r="AO163" i="87"/>
  <c r="AM163" i="87"/>
  <c r="AL163" i="87"/>
  <c r="AK163" i="87"/>
  <c r="AJ163" i="87"/>
  <c r="AI163" i="87"/>
  <c r="AH163" i="87"/>
  <c r="AG163" i="87"/>
  <c r="F163" i="87"/>
  <c r="D163" i="87"/>
  <c r="C163" i="87" s="1"/>
  <c r="A163" i="87"/>
  <c r="AU162" i="87"/>
  <c r="AT162" i="87"/>
  <c r="AS162" i="87"/>
  <c r="AR162" i="87"/>
  <c r="AQ162" i="87"/>
  <c r="AP162" i="87"/>
  <c r="AO162" i="87"/>
  <c r="AM162" i="87"/>
  <c r="AL162" i="87"/>
  <c r="AK162" i="87"/>
  <c r="AJ162" i="87"/>
  <c r="AI162" i="87"/>
  <c r="AH162" i="87"/>
  <c r="AG162" i="87"/>
  <c r="F162" i="87"/>
  <c r="D162" i="87"/>
  <c r="C162" i="87" s="1"/>
  <c r="A162" i="87"/>
  <c r="AU161" i="87"/>
  <c r="AT161" i="87"/>
  <c r="AS161" i="87"/>
  <c r="AR161" i="87"/>
  <c r="AQ161" i="87"/>
  <c r="AP161" i="87"/>
  <c r="AO161" i="87"/>
  <c r="AM161" i="87"/>
  <c r="AL161" i="87"/>
  <c r="AK161" i="87"/>
  <c r="AJ161" i="87"/>
  <c r="AI161" i="87"/>
  <c r="AH161" i="87"/>
  <c r="AG161" i="87"/>
  <c r="F161" i="87"/>
  <c r="D161" i="87"/>
  <c r="C161" i="87" s="1"/>
  <c r="A161" i="87"/>
  <c r="AU160" i="87"/>
  <c r="AT160" i="87"/>
  <c r="AS160" i="87"/>
  <c r="AR160" i="87"/>
  <c r="AQ160" i="87"/>
  <c r="AP160" i="87"/>
  <c r="AO160" i="87"/>
  <c r="AM160" i="87"/>
  <c r="AL160" i="87"/>
  <c r="AK160" i="87"/>
  <c r="AJ160" i="87"/>
  <c r="AI160" i="87"/>
  <c r="AH160" i="87"/>
  <c r="AG160" i="87"/>
  <c r="F160" i="87"/>
  <c r="D160" i="87"/>
  <c r="C160" i="87" s="1"/>
  <c r="A160" i="87"/>
  <c r="AT159" i="87"/>
  <c r="AS159" i="87"/>
  <c r="AR159" i="87"/>
  <c r="AQ159" i="87"/>
  <c r="AP159" i="87"/>
  <c r="AO159" i="87"/>
  <c r="AM159" i="87"/>
  <c r="AL159" i="87"/>
  <c r="AK159" i="87"/>
  <c r="AG159" i="87"/>
  <c r="F159" i="87"/>
  <c r="D159" i="87"/>
  <c r="C159" i="87"/>
  <c r="A159" i="87"/>
  <c r="AU158" i="87"/>
  <c r="AT158" i="87"/>
  <c r="AS158" i="87"/>
  <c r="AR158" i="87"/>
  <c r="AQ158" i="87"/>
  <c r="AP158" i="87"/>
  <c r="AO158" i="87"/>
  <c r="AM158" i="87"/>
  <c r="AL158" i="87"/>
  <c r="AK158" i="87"/>
  <c r="AJ158" i="87"/>
  <c r="AI158" i="87"/>
  <c r="AH158" i="87"/>
  <c r="AG158" i="87"/>
  <c r="F158" i="87"/>
  <c r="D158" i="87"/>
  <c r="C158" i="87" s="1"/>
  <c r="A158" i="87"/>
  <c r="AU157" i="87"/>
  <c r="AT157" i="87"/>
  <c r="AS157" i="87"/>
  <c r="AR157" i="87"/>
  <c r="AQ157" i="87"/>
  <c r="AP157" i="87"/>
  <c r="AO157" i="87"/>
  <c r="AN157" i="87"/>
  <c r="AM157" i="87"/>
  <c r="AL157" i="87"/>
  <c r="AK157" i="87"/>
  <c r="AJ157" i="87"/>
  <c r="AI157" i="87"/>
  <c r="AH157" i="87"/>
  <c r="AG157" i="87"/>
  <c r="F157" i="87"/>
  <c r="D157" i="87"/>
  <c r="C157" i="87"/>
  <c r="A157" i="87"/>
  <c r="AU156" i="87"/>
  <c r="AT156" i="87"/>
  <c r="AS156" i="87"/>
  <c r="AR156" i="87"/>
  <c r="AQ156" i="87"/>
  <c r="AP156" i="87"/>
  <c r="AO156" i="87"/>
  <c r="AM156" i="87"/>
  <c r="AL156" i="87"/>
  <c r="AK156" i="87"/>
  <c r="AJ156" i="87"/>
  <c r="AI156" i="87"/>
  <c r="AH156" i="87"/>
  <c r="AG156" i="87"/>
  <c r="F156" i="87"/>
  <c r="D156" i="87"/>
  <c r="C156" i="87" s="1"/>
  <c r="A156" i="87"/>
  <c r="AU155" i="87"/>
  <c r="AT155" i="87"/>
  <c r="AS155" i="87"/>
  <c r="AR155" i="87"/>
  <c r="AQ155" i="87"/>
  <c r="AP155" i="87"/>
  <c r="AO155" i="87"/>
  <c r="AM155" i="87"/>
  <c r="AL155" i="87"/>
  <c r="AK155" i="87"/>
  <c r="AJ155" i="87"/>
  <c r="AI155" i="87"/>
  <c r="AH155" i="87"/>
  <c r="AG155" i="87"/>
  <c r="F155" i="87"/>
  <c r="D155" i="87"/>
  <c r="C155" i="87" s="1"/>
  <c r="A155" i="87"/>
  <c r="BG154" i="87"/>
  <c r="BF154" i="87"/>
  <c r="BE154" i="87"/>
  <c r="BD154" i="87"/>
  <c r="BC154" i="87"/>
  <c r="BB154" i="87"/>
  <c r="BA154" i="87"/>
  <c r="AZ154" i="87"/>
  <c r="AY154" i="87"/>
  <c r="AX154" i="87"/>
  <c r="AW154" i="87"/>
  <c r="AV154" i="87"/>
  <c r="AP154" i="87"/>
  <c r="AO154" i="87"/>
  <c r="AN154" i="87"/>
  <c r="AI154" i="87"/>
  <c r="AH154" i="87"/>
  <c r="R154" i="87"/>
  <c r="Q154" i="87"/>
  <c r="P154" i="87"/>
  <c r="O154" i="87"/>
  <c r="N154" i="87"/>
  <c r="M154" i="87"/>
  <c r="L154" i="87"/>
  <c r="K154" i="87"/>
  <c r="J154" i="87"/>
  <c r="I154" i="87"/>
  <c r="H154" i="87"/>
  <c r="G154" i="87"/>
  <c r="F154" i="87"/>
  <c r="D154" i="87"/>
  <c r="C154" i="87"/>
  <c r="A154" i="87"/>
  <c r="BG153" i="87"/>
  <c r="BF153" i="87"/>
  <c r="BE153" i="87"/>
  <c r="BD153" i="87"/>
  <c r="BC153" i="87"/>
  <c r="BB153" i="87"/>
  <c r="BA153" i="87"/>
  <c r="AZ153" i="87"/>
  <c r="AY153" i="87"/>
  <c r="AX153" i="87"/>
  <c r="AW153" i="87"/>
  <c r="AV153" i="87"/>
  <c r="AP153" i="87"/>
  <c r="AO153" i="87"/>
  <c r="AN153" i="87"/>
  <c r="AI153" i="87"/>
  <c r="AH153" i="87"/>
  <c r="R153" i="87"/>
  <c r="Q153" i="87"/>
  <c r="P153" i="87"/>
  <c r="O153" i="87"/>
  <c r="N153" i="87"/>
  <c r="M153" i="87"/>
  <c r="L153" i="87"/>
  <c r="K153" i="87"/>
  <c r="J153" i="87"/>
  <c r="I153" i="87"/>
  <c r="H153" i="87"/>
  <c r="G153" i="87"/>
  <c r="F153" i="87"/>
  <c r="D153" i="87"/>
  <c r="C153" i="87"/>
  <c r="A153" i="87"/>
  <c r="BG152" i="87"/>
  <c r="BF152" i="87"/>
  <c r="BE152" i="87"/>
  <c r="BD152" i="87"/>
  <c r="BC152" i="87"/>
  <c r="BB152" i="87"/>
  <c r="BA152" i="87"/>
  <c r="AZ152" i="87"/>
  <c r="AY152" i="87"/>
  <c r="AX152" i="87"/>
  <c r="AW152" i="87"/>
  <c r="AV152" i="87"/>
  <c r="AP152" i="87"/>
  <c r="AO152" i="87"/>
  <c r="AN152" i="87"/>
  <c r="AI152" i="87"/>
  <c r="AH152" i="87"/>
  <c r="R152" i="87"/>
  <c r="Q152" i="87"/>
  <c r="P152" i="87"/>
  <c r="O152" i="87"/>
  <c r="N152" i="87"/>
  <c r="M152" i="87"/>
  <c r="L152" i="87"/>
  <c r="K152" i="87"/>
  <c r="J152" i="87"/>
  <c r="I152" i="87"/>
  <c r="H152" i="87"/>
  <c r="G152" i="87"/>
  <c r="F152" i="87"/>
  <c r="D152" i="87"/>
  <c r="C152" i="87"/>
  <c r="A152" i="87"/>
  <c r="BG151" i="87"/>
  <c r="BF151" i="87"/>
  <c r="BE151" i="87"/>
  <c r="BD151" i="87"/>
  <c r="BC151" i="87"/>
  <c r="BB151" i="87"/>
  <c r="BA151" i="87"/>
  <c r="AZ151" i="87"/>
  <c r="AY151" i="87"/>
  <c r="AX151" i="87"/>
  <c r="AW151" i="87"/>
  <c r="AV151" i="87"/>
  <c r="AP151" i="87"/>
  <c r="AO151" i="87"/>
  <c r="AN151" i="87"/>
  <c r="AI151" i="87"/>
  <c r="AH151" i="87"/>
  <c r="R151" i="87"/>
  <c r="Q151" i="87"/>
  <c r="P151" i="87"/>
  <c r="O151" i="87"/>
  <c r="N151" i="87"/>
  <c r="M151" i="87"/>
  <c r="L151" i="87"/>
  <c r="K151" i="87"/>
  <c r="J151" i="87"/>
  <c r="I151" i="87"/>
  <c r="H151" i="87"/>
  <c r="G151" i="87"/>
  <c r="F151" i="87"/>
  <c r="D151" i="87"/>
  <c r="C151" i="87"/>
  <c r="A151" i="87"/>
  <c r="BG150" i="87"/>
  <c r="BF150" i="87"/>
  <c r="BE150" i="87"/>
  <c r="BD150" i="87"/>
  <c r="BC150" i="87"/>
  <c r="BB150" i="87"/>
  <c r="BA150" i="87"/>
  <c r="AZ150" i="87"/>
  <c r="AY150" i="87"/>
  <c r="AX150" i="87"/>
  <c r="AW150" i="87"/>
  <c r="AV150" i="87"/>
  <c r="AP150" i="87"/>
  <c r="AO150" i="87"/>
  <c r="AN150" i="87"/>
  <c r="AI150" i="87"/>
  <c r="AH150" i="87"/>
  <c r="R150" i="87"/>
  <c r="Q150" i="87"/>
  <c r="P150" i="87"/>
  <c r="O150" i="87"/>
  <c r="N150" i="87"/>
  <c r="M150" i="87"/>
  <c r="L150" i="87"/>
  <c r="K150" i="87"/>
  <c r="J150" i="87"/>
  <c r="I150" i="87"/>
  <c r="H150" i="87"/>
  <c r="G150" i="87"/>
  <c r="F150" i="87"/>
  <c r="D150" i="87"/>
  <c r="C150" i="87"/>
  <c r="A150" i="87"/>
  <c r="BG149" i="87"/>
  <c r="BF149" i="87"/>
  <c r="BE149" i="87"/>
  <c r="BD149" i="87"/>
  <c r="BC149" i="87"/>
  <c r="BB149" i="87"/>
  <c r="BA149" i="87"/>
  <c r="AZ149" i="87"/>
  <c r="AY149" i="87"/>
  <c r="AX149" i="87"/>
  <c r="AW149" i="87"/>
  <c r="AV149" i="87"/>
  <c r="AP149" i="87"/>
  <c r="AO149" i="87"/>
  <c r="AN149" i="87"/>
  <c r="AI149" i="87"/>
  <c r="AH149" i="87"/>
  <c r="R149" i="87"/>
  <c r="Q149" i="87"/>
  <c r="P149" i="87"/>
  <c r="O149" i="87"/>
  <c r="N149" i="87"/>
  <c r="M149" i="87"/>
  <c r="L149" i="87"/>
  <c r="K149" i="87"/>
  <c r="J149" i="87"/>
  <c r="I149" i="87"/>
  <c r="H149" i="87"/>
  <c r="G149" i="87"/>
  <c r="F149" i="87"/>
  <c r="D149" i="87"/>
  <c r="C149" i="87"/>
  <c r="A149" i="87"/>
  <c r="BG148" i="87"/>
  <c r="BF148" i="87"/>
  <c r="BE148" i="87"/>
  <c r="BD148" i="87"/>
  <c r="BC148" i="87"/>
  <c r="BB148" i="87"/>
  <c r="BA148" i="87"/>
  <c r="AZ148" i="87"/>
  <c r="AY148" i="87"/>
  <c r="AX148" i="87"/>
  <c r="AW148" i="87"/>
  <c r="AV148" i="87"/>
  <c r="AP148" i="87"/>
  <c r="AO148" i="87"/>
  <c r="AN148" i="87"/>
  <c r="AI148" i="87"/>
  <c r="AH148" i="87"/>
  <c r="R148" i="87"/>
  <c r="Q148" i="87"/>
  <c r="P148" i="87"/>
  <c r="O148" i="87"/>
  <c r="N148" i="87"/>
  <c r="M148" i="87"/>
  <c r="L148" i="87"/>
  <c r="K148" i="87"/>
  <c r="J148" i="87"/>
  <c r="I148" i="87"/>
  <c r="H148" i="87"/>
  <c r="G148" i="87"/>
  <c r="F148" i="87"/>
  <c r="D148" i="87"/>
  <c r="C148" i="87"/>
  <c r="A148" i="87"/>
  <c r="BG147" i="87"/>
  <c r="BF147" i="87"/>
  <c r="BE147" i="87"/>
  <c r="BD147" i="87"/>
  <c r="BC147" i="87"/>
  <c r="BB147" i="87"/>
  <c r="BA147" i="87"/>
  <c r="AZ147" i="87"/>
  <c r="AY147" i="87"/>
  <c r="AX147" i="87"/>
  <c r="AW147" i="87"/>
  <c r="AV147" i="87"/>
  <c r="AP147" i="87"/>
  <c r="AO147" i="87"/>
  <c r="AN147" i="87"/>
  <c r="AI147" i="87"/>
  <c r="AH147" i="87"/>
  <c r="R147" i="87"/>
  <c r="Q147" i="87"/>
  <c r="P147" i="87"/>
  <c r="O147" i="87"/>
  <c r="N147" i="87"/>
  <c r="M147" i="87"/>
  <c r="L147" i="87"/>
  <c r="K147" i="87"/>
  <c r="J147" i="87"/>
  <c r="I147" i="87"/>
  <c r="H147" i="87"/>
  <c r="G147" i="87"/>
  <c r="F147" i="87"/>
  <c r="D147" i="87"/>
  <c r="C147" i="87"/>
  <c r="A147" i="87"/>
  <c r="BG146" i="87"/>
  <c r="BF146" i="87"/>
  <c r="BE146" i="87"/>
  <c r="BD146" i="87"/>
  <c r="BC146" i="87"/>
  <c r="BB146" i="87"/>
  <c r="BA146" i="87"/>
  <c r="AZ146" i="87"/>
  <c r="AY146" i="87"/>
  <c r="AX146" i="87"/>
  <c r="AW146" i="87"/>
  <c r="AV146" i="87"/>
  <c r="AP146" i="87"/>
  <c r="AO146" i="87"/>
  <c r="AN146" i="87"/>
  <c r="AI146" i="87"/>
  <c r="AH146" i="87"/>
  <c r="R146" i="87"/>
  <c r="Q146" i="87"/>
  <c r="P146" i="87"/>
  <c r="O146" i="87"/>
  <c r="N146" i="87"/>
  <c r="M146" i="87"/>
  <c r="L146" i="87"/>
  <c r="K146" i="87"/>
  <c r="J146" i="87"/>
  <c r="I146" i="87"/>
  <c r="H146" i="87"/>
  <c r="G146" i="87"/>
  <c r="F146" i="87"/>
  <c r="D146" i="87"/>
  <c r="C146" i="87"/>
  <c r="A146" i="87"/>
  <c r="BG145" i="87"/>
  <c r="BF145" i="87"/>
  <c r="BE145" i="87"/>
  <c r="BD145" i="87"/>
  <c r="BC145" i="87"/>
  <c r="BB145" i="87"/>
  <c r="BA145" i="87"/>
  <c r="AZ145" i="87"/>
  <c r="AY145" i="87"/>
  <c r="AX145" i="87"/>
  <c r="AW145" i="87"/>
  <c r="AV145" i="87"/>
  <c r="AP145" i="87"/>
  <c r="AO145" i="87"/>
  <c r="AI145" i="87"/>
  <c r="AH145" i="87"/>
  <c r="R145" i="87"/>
  <c r="Q145" i="87"/>
  <c r="P145" i="87"/>
  <c r="O145" i="87"/>
  <c r="N145" i="87"/>
  <c r="M145" i="87"/>
  <c r="L145" i="87"/>
  <c r="K145" i="87"/>
  <c r="J145" i="87"/>
  <c r="I145" i="87"/>
  <c r="H145" i="87"/>
  <c r="G145" i="87"/>
  <c r="F145" i="87"/>
  <c r="D145" i="87"/>
  <c r="C145" i="87"/>
  <c r="A145" i="87"/>
  <c r="BG144" i="87"/>
  <c r="BF144" i="87"/>
  <c r="BE144" i="87"/>
  <c r="BD144" i="87"/>
  <c r="BC144" i="87"/>
  <c r="BB144" i="87"/>
  <c r="BA144" i="87"/>
  <c r="AZ144" i="87"/>
  <c r="AY144" i="87"/>
  <c r="AX144" i="87"/>
  <c r="AW144" i="87"/>
  <c r="AV144" i="87"/>
  <c r="AP144" i="87"/>
  <c r="AO144" i="87"/>
  <c r="AN144" i="87"/>
  <c r="AI144" i="87"/>
  <c r="AH144" i="87"/>
  <c r="R144" i="87"/>
  <c r="Q144" i="87"/>
  <c r="P144" i="87"/>
  <c r="O144" i="87"/>
  <c r="N144" i="87"/>
  <c r="M144" i="87"/>
  <c r="L144" i="87"/>
  <c r="K144" i="87"/>
  <c r="J144" i="87"/>
  <c r="I144" i="87"/>
  <c r="H144" i="87"/>
  <c r="G144" i="87"/>
  <c r="F144" i="87"/>
  <c r="D144" i="87"/>
  <c r="C144" i="87"/>
  <c r="A144" i="87"/>
  <c r="BG143" i="87"/>
  <c r="BF143" i="87"/>
  <c r="BE143" i="87"/>
  <c r="BD143" i="87"/>
  <c r="BC143" i="87"/>
  <c r="BB143" i="87"/>
  <c r="BA143" i="87"/>
  <c r="AZ143" i="87"/>
  <c r="AY143" i="87"/>
  <c r="AX143" i="87"/>
  <c r="AW143" i="87"/>
  <c r="AV143" i="87"/>
  <c r="AP143" i="87"/>
  <c r="AO143" i="87"/>
  <c r="AI143" i="87"/>
  <c r="AH143" i="87"/>
  <c r="R143" i="87"/>
  <c r="Q143" i="87"/>
  <c r="P143" i="87"/>
  <c r="O143" i="87"/>
  <c r="N143" i="87"/>
  <c r="M143" i="87"/>
  <c r="L143" i="87"/>
  <c r="K143" i="87"/>
  <c r="J143" i="87"/>
  <c r="I143" i="87"/>
  <c r="H143" i="87"/>
  <c r="G143" i="87"/>
  <c r="F143" i="87"/>
  <c r="D143" i="87"/>
  <c r="C143" i="87"/>
  <c r="A143" i="87"/>
  <c r="BG142" i="87"/>
  <c r="BF142" i="87"/>
  <c r="BE142" i="87"/>
  <c r="BD142" i="87"/>
  <c r="BC142" i="87"/>
  <c r="BB142" i="87"/>
  <c r="BA142" i="87"/>
  <c r="AZ142" i="87"/>
  <c r="AY142" i="87"/>
  <c r="AX142" i="87"/>
  <c r="AW142" i="87"/>
  <c r="AV142" i="87"/>
  <c r="AP142" i="87"/>
  <c r="AO142" i="87"/>
  <c r="AI142" i="87"/>
  <c r="AH142" i="87"/>
  <c r="R142" i="87"/>
  <c r="Q142" i="87"/>
  <c r="P142" i="87"/>
  <c r="O142" i="87"/>
  <c r="N142" i="87"/>
  <c r="M142" i="87"/>
  <c r="L142" i="87"/>
  <c r="K142" i="87"/>
  <c r="J142" i="87"/>
  <c r="I142" i="87"/>
  <c r="H142" i="87"/>
  <c r="G142" i="87"/>
  <c r="F142" i="87"/>
  <c r="D142" i="87"/>
  <c r="C142" i="87"/>
  <c r="A142" i="87"/>
  <c r="BG141" i="87"/>
  <c r="BF141" i="87"/>
  <c r="BE141" i="87"/>
  <c r="BD141" i="87"/>
  <c r="BC141" i="87"/>
  <c r="BB141" i="87"/>
  <c r="BA141" i="87"/>
  <c r="AZ141" i="87"/>
  <c r="AY141" i="87"/>
  <c r="AX141" i="87"/>
  <c r="AW141" i="87"/>
  <c r="AV141" i="87"/>
  <c r="AP141" i="87"/>
  <c r="AO141" i="87"/>
  <c r="AI141" i="87"/>
  <c r="AH141" i="87"/>
  <c r="R141" i="87"/>
  <c r="Q141" i="87"/>
  <c r="P141" i="87"/>
  <c r="O141" i="87"/>
  <c r="N141" i="87"/>
  <c r="M141" i="87"/>
  <c r="L141" i="87"/>
  <c r="K141" i="87"/>
  <c r="J141" i="87"/>
  <c r="I141" i="87"/>
  <c r="H141" i="87"/>
  <c r="G141" i="87"/>
  <c r="F141" i="87"/>
  <c r="D141" i="87"/>
  <c r="C141" i="87"/>
  <c r="A141" i="87"/>
  <c r="BG140" i="87"/>
  <c r="BF140" i="87"/>
  <c r="BE140" i="87"/>
  <c r="BD140" i="87"/>
  <c r="BC140" i="87"/>
  <c r="BB140" i="87"/>
  <c r="BA140" i="87"/>
  <c r="AZ140" i="87"/>
  <c r="AY140" i="87"/>
  <c r="AX140" i="87"/>
  <c r="AW140" i="87"/>
  <c r="AV140" i="87"/>
  <c r="AP140" i="87"/>
  <c r="AO140" i="87"/>
  <c r="AN140" i="87"/>
  <c r="AI140" i="87"/>
  <c r="AH140" i="87"/>
  <c r="R140" i="87"/>
  <c r="Q140" i="87"/>
  <c r="P140" i="87"/>
  <c r="O140" i="87"/>
  <c r="N140" i="87"/>
  <c r="M140" i="87"/>
  <c r="L140" i="87"/>
  <c r="K140" i="87"/>
  <c r="J140" i="87"/>
  <c r="I140" i="87"/>
  <c r="H140" i="87"/>
  <c r="G140" i="87"/>
  <c r="F140" i="87"/>
  <c r="D140" i="87"/>
  <c r="C140" i="87"/>
  <c r="A140" i="87"/>
  <c r="BG139" i="87"/>
  <c r="BF139" i="87"/>
  <c r="BE139" i="87"/>
  <c r="BD139" i="87"/>
  <c r="BC139" i="87"/>
  <c r="BB139" i="87"/>
  <c r="BA139" i="87"/>
  <c r="AZ139" i="87"/>
  <c r="AY139" i="87"/>
  <c r="AX139" i="87"/>
  <c r="AW139" i="87"/>
  <c r="AV139" i="87"/>
  <c r="AP139" i="87"/>
  <c r="AO139" i="87"/>
  <c r="AN139" i="87"/>
  <c r="AI139" i="87"/>
  <c r="AH139" i="87"/>
  <c r="R139" i="87"/>
  <c r="Q139" i="87"/>
  <c r="P139" i="87"/>
  <c r="O139" i="87"/>
  <c r="N139" i="87"/>
  <c r="M139" i="87"/>
  <c r="L139" i="87"/>
  <c r="K139" i="87"/>
  <c r="J139" i="87"/>
  <c r="I139" i="87"/>
  <c r="H139" i="87"/>
  <c r="G139" i="87"/>
  <c r="F139" i="87"/>
  <c r="D139" i="87"/>
  <c r="C139" i="87"/>
  <c r="A139" i="87"/>
  <c r="BG138" i="87"/>
  <c r="BF138" i="87"/>
  <c r="BE138" i="87"/>
  <c r="BD138" i="87"/>
  <c r="BC138" i="87"/>
  <c r="BB138" i="87"/>
  <c r="BA138" i="87"/>
  <c r="AZ138" i="87"/>
  <c r="AY138" i="87"/>
  <c r="AX138" i="87"/>
  <c r="AW138" i="87"/>
  <c r="AV138" i="87"/>
  <c r="AP138" i="87"/>
  <c r="AO138" i="87"/>
  <c r="AN138" i="87"/>
  <c r="AI138" i="87"/>
  <c r="AH138" i="87"/>
  <c r="R138" i="87"/>
  <c r="Q138" i="87"/>
  <c r="P138" i="87"/>
  <c r="O138" i="87"/>
  <c r="N138" i="87"/>
  <c r="M138" i="87"/>
  <c r="L138" i="87"/>
  <c r="K138" i="87"/>
  <c r="J138" i="87"/>
  <c r="I138" i="87"/>
  <c r="H138" i="87"/>
  <c r="G138" i="87"/>
  <c r="F138" i="87"/>
  <c r="D138" i="87"/>
  <c r="C138" i="87"/>
  <c r="A138" i="87"/>
  <c r="BG137" i="87"/>
  <c r="BF137" i="87"/>
  <c r="BE137" i="87"/>
  <c r="BD137" i="87"/>
  <c r="BC137" i="87"/>
  <c r="BB137" i="87"/>
  <c r="BA137" i="87"/>
  <c r="AZ137" i="87"/>
  <c r="AY137" i="87"/>
  <c r="AX137" i="87"/>
  <c r="AW137" i="87"/>
  <c r="AV137" i="87"/>
  <c r="AP137" i="87"/>
  <c r="AO137" i="87"/>
  <c r="AN137" i="87"/>
  <c r="AI137" i="87"/>
  <c r="AH137" i="87"/>
  <c r="R137" i="87"/>
  <c r="Q137" i="87"/>
  <c r="P137" i="87"/>
  <c r="O137" i="87"/>
  <c r="N137" i="87"/>
  <c r="M137" i="87"/>
  <c r="L137" i="87"/>
  <c r="K137" i="87"/>
  <c r="J137" i="87"/>
  <c r="I137" i="87"/>
  <c r="H137" i="87"/>
  <c r="G137" i="87"/>
  <c r="F137" i="87"/>
  <c r="D137" i="87"/>
  <c r="C137" i="87"/>
  <c r="A137" i="87"/>
  <c r="BG136" i="87"/>
  <c r="BF136" i="87"/>
  <c r="BE136" i="87"/>
  <c r="BD136" i="87"/>
  <c r="BC136" i="87"/>
  <c r="BB136" i="87"/>
  <c r="BA136" i="87"/>
  <c r="AZ136" i="87"/>
  <c r="AY136" i="87"/>
  <c r="AX136" i="87"/>
  <c r="AW136" i="87"/>
  <c r="AV136" i="87"/>
  <c r="AP136" i="87"/>
  <c r="AO136" i="87"/>
  <c r="AN136" i="87"/>
  <c r="AI136" i="87"/>
  <c r="AH136" i="87"/>
  <c r="R136" i="87"/>
  <c r="Q136" i="87"/>
  <c r="P136" i="87"/>
  <c r="O136" i="87"/>
  <c r="N136" i="87"/>
  <c r="M136" i="87"/>
  <c r="L136" i="87"/>
  <c r="K136" i="87"/>
  <c r="J136" i="87"/>
  <c r="I136" i="87"/>
  <c r="H136" i="87"/>
  <c r="G136" i="87"/>
  <c r="F136" i="87"/>
  <c r="D136" i="87"/>
  <c r="C136" i="87"/>
  <c r="A136" i="87"/>
  <c r="BG135" i="87"/>
  <c r="BF135" i="87"/>
  <c r="BE135" i="87"/>
  <c r="BD135" i="87"/>
  <c r="BC135" i="87"/>
  <c r="BB135" i="87"/>
  <c r="BA135" i="87"/>
  <c r="AZ135" i="87"/>
  <c r="AY135" i="87"/>
  <c r="AX135" i="87"/>
  <c r="AW135" i="87"/>
  <c r="AV135" i="87"/>
  <c r="AP135" i="87"/>
  <c r="AO135" i="87"/>
  <c r="AN135" i="87"/>
  <c r="AI135" i="87"/>
  <c r="AH135" i="87"/>
  <c r="R135" i="87"/>
  <c r="Q135" i="87"/>
  <c r="P135" i="87"/>
  <c r="O135" i="87"/>
  <c r="N135" i="87"/>
  <c r="M135" i="87"/>
  <c r="L135" i="87"/>
  <c r="K135" i="87"/>
  <c r="J135" i="87"/>
  <c r="I135" i="87"/>
  <c r="H135" i="87"/>
  <c r="G135" i="87"/>
  <c r="F135" i="87"/>
  <c r="D135" i="87"/>
  <c r="C135" i="87"/>
  <c r="A135" i="87"/>
  <c r="BG134" i="87"/>
  <c r="BF134" i="87"/>
  <c r="BE134" i="87"/>
  <c r="BD134" i="87"/>
  <c r="BC134" i="87"/>
  <c r="BB134" i="87"/>
  <c r="BA134" i="87"/>
  <c r="AZ134" i="87"/>
  <c r="AY134" i="87"/>
  <c r="AX134" i="87"/>
  <c r="AW134" i="87"/>
  <c r="AV134" i="87"/>
  <c r="AP134" i="87"/>
  <c r="AO134" i="87"/>
  <c r="AN134" i="87"/>
  <c r="AI134" i="87"/>
  <c r="AH134" i="87"/>
  <c r="R134" i="87"/>
  <c r="Q134" i="87"/>
  <c r="P134" i="87"/>
  <c r="O134" i="87"/>
  <c r="N134" i="87"/>
  <c r="M134" i="87"/>
  <c r="L134" i="87"/>
  <c r="K134" i="87"/>
  <c r="J134" i="87"/>
  <c r="I134" i="87"/>
  <c r="H134" i="87"/>
  <c r="G134" i="87"/>
  <c r="F134" i="87"/>
  <c r="D134" i="87"/>
  <c r="C134" i="87"/>
  <c r="A134" i="87"/>
  <c r="BG133" i="87"/>
  <c r="BF133" i="87"/>
  <c r="BE133" i="87"/>
  <c r="BD133" i="87"/>
  <c r="BC133" i="87"/>
  <c r="BB133" i="87"/>
  <c r="BA133" i="87"/>
  <c r="AZ133" i="87"/>
  <c r="AY133" i="87"/>
  <c r="AX133" i="87"/>
  <c r="AW133" i="87"/>
  <c r="AV133" i="87"/>
  <c r="AP133" i="87"/>
  <c r="AO133" i="87"/>
  <c r="AN133" i="87"/>
  <c r="AI133" i="87"/>
  <c r="AH133" i="87"/>
  <c r="R133" i="87"/>
  <c r="Q133" i="87"/>
  <c r="P133" i="87"/>
  <c r="O133" i="87"/>
  <c r="N133" i="87"/>
  <c r="M133" i="87"/>
  <c r="L133" i="87"/>
  <c r="K133" i="87"/>
  <c r="J133" i="87"/>
  <c r="I133" i="87"/>
  <c r="H133" i="87"/>
  <c r="G133" i="87"/>
  <c r="F133" i="87"/>
  <c r="D133" i="87"/>
  <c r="C133" i="87"/>
  <c r="A133" i="87"/>
  <c r="BG132" i="87"/>
  <c r="BF132" i="87"/>
  <c r="BE132" i="87"/>
  <c r="BD132" i="87"/>
  <c r="BC132" i="87"/>
  <c r="BB132" i="87"/>
  <c r="BA132" i="87"/>
  <c r="AZ132" i="87"/>
  <c r="AY132" i="87"/>
  <c r="AX132" i="87"/>
  <c r="AW132" i="87"/>
  <c r="AV132" i="87"/>
  <c r="AP132" i="87"/>
  <c r="AO132" i="87"/>
  <c r="AN132" i="87"/>
  <c r="AI132" i="87"/>
  <c r="AH132" i="87"/>
  <c r="R132" i="87"/>
  <c r="Q132" i="87"/>
  <c r="P132" i="87"/>
  <c r="O132" i="87"/>
  <c r="N132" i="87"/>
  <c r="M132" i="87"/>
  <c r="L132" i="87"/>
  <c r="K132" i="87"/>
  <c r="J132" i="87"/>
  <c r="I132" i="87"/>
  <c r="H132" i="87"/>
  <c r="G132" i="87"/>
  <c r="F132" i="87"/>
  <c r="D132" i="87"/>
  <c r="C132" i="87"/>
  <c r="A132" i="87"/>
  <c r="BG131" i="87"/>
  <c r="BF131" i="87"/>
  <c r="BE131" i="87"/>
  <c r="BD131" i="87"/>
  <c r="BC131" i="87"/>
  <c r="BB131" i="87"/>
  <c r="BA131" i="87"/>
  <c r="AZ131" i="87"/>
  <c r="AY131" i="87"/>
  <c r="AX131" i="87"/>
  <c r="AW131" i="87"/>
  <c r="AV131" i="87"/>
  <c r="AP131" i="87"/>
  <c r="AO131" i="87"/>
  <c r="AN131" i="87"/>
  <c r="AI131" i="87"/>
  <c r="AH131" i="87"/>
  <c r="R131" i="87"/>
  <c r="Q131" i="87"/>
  <c r="P131" i="87"/>
  <c r="O131" i="87"/>
  <c r="N131" i="87"/>
  <c r="M131" i="87"/>
  <c r="L131" i="87"/>
  <c r="K131" i="87"/>
  <c r="J131" i="87"/>
  <c r="I131" i="87"/>
  <c r="H131" i="87"/>
  <c r="G131" i="87"/>
  <c r="F131" i="87"/>
  <c r="D131" i="87"/>
  <c r="C131" i="87"/>
  <c r="A131" i="87"/>
  <c r="BG130" i="87"/>
  <c r="BF130" i="87"/>
  <c r="BE130" i="87"/>
  <c r="BD130" i="87"/>
  <c r="BC130" i="87"/>
  <c r="BB130" i="87"/>
  <c r="BA130" i="87"/>
  <c r="AZ130" i="87"/>
  <c r="AY130" i="87"/>
  <c r="AX130" i="87"/>
  <c r="AW130" i="87"/>
  <c r="AV130" i="87"/>
  <c r="AL130" i="87"/>
  <c r="AK130" i="87"/>
  <c r="AJ130" i="87"/>
  <c r="AI130" i="87"/>
  <c r="AH130" i="87"/>
  <c r="R130" i="87"/>
  <c r="Q130" i="87"/>
  <c r="P130" i="87"/>
  <c r="O130" i="87"/>
  <c r="N130" i="87"/>
  <c r="M130" i="87"/>
  <c r="L130" i="87"/>
  <c r="K130" i="87"/>
  <c r="J130" i="87"/>
  <c r="I130" i="87"/>
  <c r="H130" i="87"/>
  <c r="G130" i="87"/>
  <c r="F130" i="87"/>
  <c r="A130" i="87"/>
  <c r="BG129" i="87"/>
  <c r="BF129" i="87"/>
  <c r="BE129" i="87"/>
  <c r="BD129" i="87"/>
  <c r="BC129" i="87"/>
  <c r="BB129" i="87"/>
  <c r="BA129" i="87"/>
  <c r="AZ129" i="87"/>
  <c r="AY129" i="87"/>
  <c r="AX129" i="87"/>
  <c r="AW129" i="87"/>
  <c r="AV129" i="87"/>
  <c r="AL129" i="87"/>
  <c r="AK129" i="87"/>
  <c r="AI129" i="87"/>
  <c r="AH129" i="87"/>
  <c r="R129" i="87"/>
  <c r="Q129" i="87"/>
  <c r="P129" i="87"/>
  <c r="O129" i="87"/>
  <c r="N129" i="87"/>
  <c r="M129" i="87"/>
  <c r="L129" i="87"/>
  <c r="K129" i="87"/>
  <c r="J129" i="87"/>
  <c r="I129" i="87"/>
  <c r="H129" i="87"/>
  <c r="G129" i="87"/>
  <c r="F129" i="87"/>
  <c r="A129" i="87"/>
  <c r="BG128" i="87"/>
  <c r="BF128" i="87"/>
  <c r="BE128" i="87"/>
  <c r="BD128" i="87"/>
  <c r="BC128" i="87"/>
  <c r="BB128" i="87"/>
  <c r="BA128" i="87"/>
  <c r="AZ128" i="87"/>
  <c r="AY128" i="87"/>
  <c r="AX128" i="87"/>
  <c r="AW128" i="87"/>
  <c r="AV128" i="87"/>
  <c r="AL128" i="87"/>
  <c r="AK128" i="87"/>
  <c r="AI128" i="87"/>
  <c r="AH128" i="87"/>
  <c r="R128" i="87"/>
  <c r="Q128" i="87"/>
  <c r="P128" i="87"/>
  <c r="O128" i="87"/>
  <c r="N128" i="87"/>
  <c r="M128" i="87"/>
  <c r="L128" i="87"/>
  <c r="K128" i="87"/>
  <c r="J128" i="87"/>
  <c r="I128" i="87"/>
  <c r="H128" i="87"/>
  <c r="G128" i="87"/>
  <c r="F128" i="87"/>
  <c r="A128" i="87"/>
  <c r="BG127" i="87"/>
  <c r="BF127" i="87"/>
  <c r="BE127" i="87"/>
  <c r="BD127" i="87"/>
  <c r="BC127" i="87"/>
  <c r="BB127" i="87"/>
  <c r="BA127" i="87"/>
  <c r="AZ127" i="87"/>
  <c r="AY127" i="87"/>
  <c r="AX127" i="87"/>
  <c r="AW127" i="87"/>
  <c r="AV127" i="87"/>
  <c r="AL127" i="87"/>
  <c r="AK127" i="87"/>
  <c r="AI127" i="87"/>
  <c r="AH127" i="87"/>
  <c r="R127" i="87"/>
  <c r="Q127" i="87"/>
  <c r="P127" i="87"/>
  <c r="O127" i="87"/>
  <c r="N127" i="87"/>
  <c r="M127" i="87"/>
  <c r="L127" i="87"/>
  <c r="K127" i="87"/>
  <c r="J127" i="87"/>
  <c r="I127" i="87"/>
  <c r="H127" i="87"/>
  <c r="G127" i="87"/>
  <c r="F127" i="87"/>
  <c r="A127" i="87"/>
  <c r="AT126" i="87"/>
  <c r="AS126" i="87"/>
  <c r="AR126" i="87"/>
  <c r="AQ126" i="87"/>
  <c r="AP126" i="87"/>
  <c r="AO126" i="87"/>
  <c r="AN126" i="87"/>
  <c r="AM126" i="87"/>
  <c r="AL126" i="87"/>
  <c r="AK126" i="87"/>
  <c r="AJ126" i="87"/>
  <c r="AI126" i="87"/>
  <c r="AH126" i="87"/>
  <c r="F126" i="87"/>
  <c r="A126" i="87"/>
  <c r="AT125" i="87"/>
  <c r="AS125" i="87"/>
  <c r="AR125" i="87"/>
  <c r="AQ125" i="87"/>
  <c r="AP125" i="87"/>
  <c r="AO125" i="87"/>
  <c r="AN125" i="87"/>
  <c r="AL125" i="87"/>
  <c r="AK125" i="87"/>
  <c r="AJ125" i="87"/>
  <c r="AI125" i="87"/>
  <c r="AH125" i="87"/>
  <c r="F125" i="87"/>
  <c r="D125" i="87"/>
  <c r="A125" i="87"/>
  <c r="AT124" i="87"/>
  <c r="AS124" i="87"/>
  <c r="AR124" i="87"/>
  <c r="AQ124" i="87"/>
  <c r="AP124" i="87"/>
  <c r="AO124" i="87"/>
  <c r="AN124" i="87"/>
  <c r="AL124" i="87"/>
  <c r="AK124" i="87"/>
  <c r="AJ124" i="87"/>
  <c r="AI124" i="87"/>
  <c r="AH124" i="87"/>
  <c r="F124" i="87"/>
  <c r="D124" i="87"/>
  <c r="A124" i="87"/>
  <c r="AT123" i="87"/>
  <c r="AS123" i="87"/>
  <c r="AR123" i="87"/>
  <c r="AQ123" i="87"/>
  <c r="AP123" i="87"/>
  <c r="AO123" i="87"/>
  <c r="AN123" i="87"/>
  <c r="AL123" i="87"/>
  <c r="AK123" i="87"/>
  <c r="AJ123" i="87"/>
  <c r="AI123" i="87"/>
  <c r="AH123" i="87"/>
  <c r="F123" i="87"/>
  <c r="D123" i="87"/>
  <c r="A123" i="87"/>
  <c r="AT122" i="87"/>
  <c r="AS122" i="87"/>
  <c r="AR122" i="87"/>
  <c r="AQ122" i="87"/>
  <c r="AP122" i="87"/>
  <c r="AO122" i="87"/>
  <c r="AN122" i="87"/>
  <c r="AL122" i="87"/>
  <c r="AK122" i="87"/>
  <c r="AJ122" i="87"/>
  <c r="AI122" i="87"/>
  <c r="AH122" i="87"/>
  <c r="F122" i="87"/>
  <c r="D122" i="87"/>
  <c r="A122" i="87"/>
  <c r="AT121" i="87"/>
  <c r="AS121" i="87"/>
  <c r="AR121" i="87"/>
  <c r="AQ121" i="87"/>
  <c r="AP121" i="87"/>
  <c r="AO121" i="87"/>
  <c r="AN121" i="87"/>
  <c r="AL121" i="87"/>
  <c r="AK121" i="87"/>
  <c r="AJ121" i="87"/>
  <c r="AI121" i="87"/>
  <c r="AH121" i="87"/>
  <c r="F121" i="87"/>
  <c r="D121" i="87"/>
  <c r="A121" i="87"/>
  <c r="AT120" i="87"/>
  <c r="AS120" i="87"/>
  <c r="AR120" i="87"/>
  <c r="AQ120" i="87"/>
  <c r="AP120" i="87"/>
  <c r="AO120" i="87"/>
  <c r="AN120" i="87"/>
  <c r="AL120" i="87"/>
  <c r="AK120" i="87"/>
  <c r="AJ120" i="87"/>
  <c r="AI120" i="87"/>
  <c r="AH120" i="87"/>
  <c r="F120" i="87"/>
  <c r="D120" i="87"/>
  <c r="A120" i="87"/>
  <c r="AT119" i="87"/>
  <c r="AS119" i="87"/>
  <c r="AR119" i="87"/>
  <c r="AQ119" i="87"/>
  <c r="AP119" i="87"/>
  <c r="AO119" i="87"/>
  <c r="AN119" i="87"/>
  <c r="AL119" i="87"/>
  <c r="AK119" i="87"/>
  <c r="AJ119" i="87"/>
  <c r="AI119" i="87"/>
  <c r="AH119" i="87"/>
  <c r="F119" i="87"/>
  <c r="D119" i="87"/>
  <c r="A119" i="87"/>
  <c r="AT118" i="87"/>
  <c r="AS118" i="87"/>
  <c r="AR118" i="87"/>
  <c r="AQ118" i="87"/>
  <c r="AP118" i="87"/>
  <c r="AO118" i="87"/>
  <c r="AN118" i="87"/>
  <c r="AL118" i="87"/>
  <c r="AK118" i="87"/>
  <c r="AJ118" i="87"/>
  <c r="AI118" i="87"/>
  <c r="AH118" i="87"/>
  <c r="F118" i="87"/>
  <c r="D118" i="87"/>
  <c r="A118" i="87"/>
  <c r="AT117" i="87"/>
  <c r="AS117" i="87"/>
  <c r="AR117" i="87"/>
  <c r="AQ117" i="87"/>
  <c r="AP117" i="87"/>
  <c r="AO117" i="87"/>
  <c r="AN117" i="87"/>
  <c r="AL117" i="87"/>
  <c r="AK117" i="87"/>
  <c r="AJ117" i="87"/>
  <c r="AI117" i="87"/>
  <c r="AH117" i="87"/>
  <c r="F117" i="87"/>
  <c r="D117" i="87"/>
  <c r="A117" i="87"/>
  <c r="AP116" i="87"/>
  <c r="AH116" i="87"/>
  <c r="F116" i="87"/>
  <c r="D116" i="87"/>
  <c r="A116" i="87"/>
  <c r="AT115" i="87"/>
  <c r="AS115" i="87"/>
  <c r="AR115" i="87"/>
  <c r="AQ115" i="87"/>
  <c r="AP115" i="87"/>
  <c r="AO115" i="87"/>
  <c r="AN115" i="87"/>
  <c r="AL115" i="87"/>
  <c r="AK115" i="87"/>
  <c r="AJ115" i="87"/>
  <c r="AI115" i="87"/>
  <c r="AH115" i="87"/>
  <c r="F115" i="87"/>
  <c r="D115" i="87"/>
  <c r="A115" i="87"/>
  <c r="AT114" i="87"/>
  <c r="AS114" i="87"/>
  <c r="AR114" i="87"/>
  <c r="AQ114" i="87"/>
  <c r="AP114" i="87"/>
  <c r="AO114" i="87"/>
  <c r="AN114" i="87"/>
  <c r="AL114" i="87"/>
  <c r="AK114" i="87"/>
  <c r="AJ114" i="87"/>
  <c r="AI114" i="87"/>
  <c r="AH114" i="87"/>
  <c r="F114" i="87"/>
  <c r="D114" i="87"/>
  <c r="A114" i="87"/>
  <c r="AP113" i="87"/>
  <c r="AL113" i="87"/>
  <c r="AK113" i="87"/>
  <c r="F113" i="87"/>
  <c r="D113" i="87"/>
  <c r="A113" i="87"/>
  <c r="AT112" i="87"/>
  <c r="AS112" i="87"/>
  <c r="AR112" i="87"/>
  <c r="AQ112" i="87"/>
  <c r="AP112" i="87"/>
  <c r="AO112" i="87"/>
  <c r="AN112" i="87"/>
  <c r="AL112" i="87"/>
  <c r="AK112" i="87"/>
  <c r="AJ112" i="87"/>
  <c r="AI112" i="87"/>
  <c r="AH112" i="87"/>
  <c r="F112" i="87"/>
  <c r="D112" i="87"/>
  <c r="A112" i="87"/>
  <c r="AT111" i="87"/>
  <c r="AS111" i="87"/>
  <c r="AR111" i="87"/>
  <c r="AQ111" i="87"/>
  <c r="AP111" i="87"/>
  <c r="AO111" i="87"/>
  <c r="AN111" i="87"/>
  <c r="AL111" i="87"/>
  <c r="AK111" i="87"/>
  <c r="AJ111" i="87"/>
  <c r="AI111" i="87"/>
  <c r="AH111" i="87"/>
  <c r="F111" i="87"/>
  <c r="D111" i="87"/>
  <c r="A111" i="87"/>
  <c r="AP110" i="87"/>
  <c r="AO110" i="87"/>
  <c r="AN110" i="87"/>
  <c r="AL110" i="87"/>
  <c r="AK110" i="87"/>
  <c r="F110" i="87"/>
  <c r="D110" i="87"/>
  <c r="A110" i="87"/>
  <c r="AT109" i="87"/>
  <c r="AS109" i="87"/>
  <c r="AR109" i="87"/>
  <c r="AQ109" i="87"/>
  <c r="AP109" i="87"/>
  <c r="AO109" i="87"/>
  <c r="AN109" i="87"/>
  <c r="AL109" i="87"/>
  <c r="AK109" i="87"/>
  <c r="AJ109" i="87"/>
  <c r="AI109" i="87"/>
  <c r="AH109" i="87"/>
  <c r="F109" i="87"/>
  <c r="D109" i="87"/>
  <c r="A109" i="87"/>
  <c r="AT108" i="87"/>
  <c r="AS108" i="87"/>
  <c r="AR108" i="87"/>
  <c r="AQ108" i="87"/>
  <c r="AP108" i="87"/>
  <c r="AO108" i="87"/>
  <c r="AN108" i="87"/>
  <c r="AL108" i="87"/>
  <c r="AK108" i="87"/>
  <c r="AJ108" i="87"/>
  <c r="AI108" i="87"/>
  <c r="AH108" i="87"/>
  <c r="F108" i="87"/>
  <c r="D108" i="87"/>
  <c r="A108" i="87"/>
  <c r="AT107" i="87"/>
  <c r="AS107" i="87"/>
  <c r="AR107" i="87"/>
  <c r="AQ107" i="87"/>
  <c r="AP107" i="87"/>
  <c r="AO107" i="87"/>
  <c r="AN107" i="87"/>
  <c r="AL107" i="87"/>
  <c r="AK107" i="87"/>
  <c r="AJ107" i="87"/>
  <c r="AI107" i="87"/>
  <c r="AH107" i="87"/>
  <c r="F107" i="87"/>
  <c r="D107" i="87"/>
  <c r="A107" i="87"/>
  <c r="AT106" i="87"/>
  <c r="AS106" i="87"/>
  <c r="AR106" i="87"/>
  <c r="AQ106" i="87"/>
  <c r="AP106" i="87"/>
  <c r="AO106" i="87"/>
  <c r="AN106" i="87"/>
  <c r="AL106" i="87"/>
  <c r="AK106" i="87"/>
  <c r="AJ106" i="87"/>
  <c r="AI106" i="87"/>
  <c r="AH106" i="87"/>
  <c r="F106" i="87"/>
  <c r="D106" i="87"/>
  <c r="A106" i="87"/>
  <c r="AT105" i="87"/>
  <c r="AS105" i="87"/>
  <c r="AR105" i="87"/>
  <c r="AQ105" i="87"/>
  <c r="AP105" i="87"/>
  <c r="AO105" i="87"/>
  <c r="AN105" i="87"/>
  <c r="AL105" i="87"/>
  <c r="AK105" i="87"/>
  <c r="AJ105" i="87"/>
  <c r="AI105" i="87"/>
  <c r="AH105" i="87"/>
  <c r="F105" i="87"/>
  <c r="D105" i="87"/>
  <c r="A105" i="87"/>
  <c r="AT104" i="87"/>
  <c r="AS104" i="87"/>
  <c r="AR104" i="87"/>
  <c r="AQ104" i="87"/>
  <c r="AP104" i="87"/>
  <c r="AO104" i="87"/>
  <c r="AN104" i="87"/>
  <c r="AL104" i="87"/>
  <c r="AK104" i="87"/>
  <c r="AJ104" i="87"/>
  <c r="AI104" i="87"/>
  <c r="AH104" i="87"/>
  <c r="F104" i="87"/>
  <c r="D104" i="87"/>
  <c r="A104" i="87"/>
  <c r="AT103" i="87"/>
  <c r="AS103" i="87"/>
  <c r="AR103" i="87"/>
  <c r="AQ103" i="87"/>
  <c r="AP103" i="87"/>
  <c r="AO103" i="87"/>
  <c r="AN103" i="87"/>
  <c r="AL103" i="87"/>
  <c r="AK103" i="87"/>
  <c r="AJ103" i="87"/>
  <c r="AI103" i="87"/>
  <c r="AH103" i="87"/>
  <c r="F103" i="87"/>
  <c r="D103" i="87"/>
  <c r="A103" i="87"/>
  <c r="AT102" i="87"/>
  <c r="AS102" i="87"/>
  <c r="AR102" i="87"/>
  <c r="AQ102" i="87"/>
  <c r="AP102" i="87"/>
  <c r="AO102" i="87"/>
  <c r="AN102" i="87"/>
  <c r="AL102" i="87"/>
  <c r="AK102" i="87"/>
  <c r="AJ102" i="87"/>
  <c r="AI102" i="87"/>
  <c r="AH102" i="87"/>
  <c r="F102" i="87"/>
  <c r="D102" i="87"/>
  <c r="A102" i="87"/>
  <c r="AT101" i="87"/>
  <c r="AS101" i="87"/>
  <c r="AR101" i="87"/>
  <c r="AQ101" i="87"/>
  <c r="AP101" i="87"/>
  <c r="AO101" i="87"/>
  <c r="AN101" i="87"/>
  <c r="AL101" i="87"/>
  <c r="AK101" i="87"/>
  <c r="AJ101" i="87"/>
  <c r="AI101" i="87"/>
  <c r="AH101" i="87"/>
  <c r="F101" i="87"/>
  <c r="D101" i="87"/>
  <c r="A101" i="87"/>
  <c r="AT100" i="87"/>
  <c r="AS100" i="87"/>
  <c r="AR100" i="87"/>
  <c r="AQ100" i="87"/>
  <c r="AP100" i="87"/>
  <c r="AO100" i="87"/>
  <c r="AN100" i="87"/>
  <c r="AL100" i="87"/>
  <c r="AK100" i="87"/>
  <c r="AJ100" i="87"/>
  <c r="AI100" i="87"/>
  <c r="AH100" i="87"/>
  <c r="F100" i="87"/>
  <c r="D100" i="87"/>
  <c r="A100" i="87"/>
  <c r="AT99" i="87"/>
  <c r="AS99" i="87"/>
  <c r="AR99" i="87"/>
  <c r="AQ99" i="87"/>
  <c r="AP99" i="87"/>
  <c r="AO99" i="87"/>
  <c r="AN99" i="87"/>
  <c r="AL99" i="87"/>
  <c r="AK99" i="87"/>
  <c r="AJ99" i="87"/>
  <c r="AI99" i="87"/>
  <c r="AH99" i="87"/>
  <c r="F99" i="87"/>
  <c r="D99" i="87"/>
  <c r="A99" i="87"/>
  <c r="AT98" i="87"/>
  <c r="AS98" i="87"/>
  <c r="AR98" i="87"/>
  <c r="AQ98" i="87"/>
  <c r="AP98" i="87"/>
  <c r="AO98" i="87"/>
  <c r="AN98" i="87"/>
  <c r="AL98" i="87"/>
  <c r="AK98" i="87"/>
  <c r="AJ98" i="87"/>
  <c r="AI98" i="87"/>
  <c r="AH98" i="87"/>
  <c r="F98" i="87"/>
  <c r="D98" i="87"/>
  <c r="A98" i="87"/>
  <c r="AT97" i="87"/>
  <c r="AS97" i="87"/>
  <c r="AR97" i="87"/>
  <c r="AQ97" i="87"/>
  <c r="AP97" i="87"/>
  <c r="AO97" i="87"/>
  <c r="AN97" i="87"/>
  <c r="AL97" i="87"/>
  <c r="AK97" i="87"/>
  <c r="AJ97" i="87"/>
  <c r="AI97" i="87"/>
  <c r="AH97" i="87"/>
  <c r="F97" i="87"/>
  <c r="D97" i="87"/>
  <c r="A97" i="87"/>
  <c r="AT96" i="87"/>
  <c r="AS96" i="87"/>
  <c r="AR96" i="87"/>
  <c r="AQ96" i="87"/>
  <c r="AP96" i="87"/>
  <c r="AO96" i="87"/>
  <c r="AN96" i="87"/>
  <c r="AL96" i="87"/>
  <c r="AK96" i="87"/>
  <c r="AJ96" i="87"/>
  <c r="AI96" i="87"/>
  <c r="AH96" i="87"/>
  <c r="F96" i="87"/>
  <c r="D96" i="87"/>
  <c r="A96" i="87"/>
  <c r="AJ95" i="87"/>
  <c r="AH95" i="87"/>
  <c r="F95" i="87"/>
  <c r="D95" i="87"/>
  <c r="C95" i="87"/>
  <c r="A95" i="87"/>
  <c r="AJ94" i="87"/>
  <c r="AH94" i="87"/>
  <c r="F94" i="87"/>
  <c r="D94" i="87"/>
  <c r="C94" i="87"/>
  <c r="A94" i="87"/>
  <c r="AP93" i="87"/>
  <c r="AO93" i="87"/>
  <c r="AN93" i="87"/>
  <c r="AL93" i="87"/>
  <c r="AK93" i="87"/>
  <c r="AJ93" i="87"/>
  <c r="AI93" i="87"/>
  <c r="AH93" i="87"/>
  <c r="F93" i="87"/>
  <c r="D93" i="87"/>
  <c r="C93" i="87"/>
  <c r="A93" i="87"/>
  <c r="AJ92" i="87"/>
  <c r="AI92" i="87"/>
  <c r="AH92" i="87"/>
  <c r="F92" i="87"/>
  <c r="D92" i="87"/>
  <c r="C92" i="87"/>
  <c r="A92" i="87"/>
  <c r="AK91" i="87"/>
  <c r="AJ91" i="87"/>
  <c r="AH91" i="87"/>
  <c r="F91" i="87"/>
  <c r="D91" i="87"/>
  <c r="C91" i="87"/>
  <c r="A91" i="87"/>
  <c r="AP90" i="87"/>
  <c r="AO90" i="87"/>
  <c r="AN90" i="87"/>
  <c r="AL90" i="87"/>
  <c r="AK90" i="87"/>
  <c r="AJ90" i="87"/>
  <c r="AI90" i="87"/>
  <c r="AH90" i="87"/>
  <c r="F90" i="87"/>
  <c r="D90" i="87"/>
  <c r="C90" i="87"/>
  <c r="A90" i="87"/>
  <c r="AP89" i="87"/>
  <c r="AO89" i="87"/>
  <c r="AN89" i="87"/>
  <c r="AL89" i="87"/>
  <c r="AK89" i="87"/>
  <c r="AJ89" i="87"/>
  <c r="AI89" i="87"/>
  <c r="AH89" i="87"/>
  <c r="F89" i="87"/>
  <c r="D89" i="87"/>
  <c r="C89" i="87"/>
  <c r="A89" i="87"/>
  <c r="AJ88" i="87"/>
  <c r="AI88" i="87"/>
  <c r="AH88" i="87"/>
  <c r="F88" i="87"/>
  <c r="D88" i="87"/>
  <c r="C88" i="87"/>
  <c r="A88" i="87"/>
  <c r="AP87" i="87"/>
  <c r="AO87" i="87"/>
  <c r="AN87" i="87"/>
  <c r="AL87" i="87"/>
  <c r="AK87" i="87"/>
  <c r="AJ87" i="87"/>
  <c r="AI87" i="87"/>
  <c r="AH87" i="87"/>
  <c r="F87" i="87"/>
  <c r="D87" i="87"/>
  <c r="C87" i="87"/>
  <c r="A87" i="87"/>
  <c r="AP86" i="87"/>
  <c r="AO86" i="87"/>
  <c r="AN86" i="87"/>
  <c r="AL86" i="87"/>
  <c r="AK86" i="87"/>
  <c r="AJ86" i="87"/>
  <c r="AI86" i="87"/>
  <c r="AH86" i="87"/>
  <c r="F86" i="87"/>
  <c r="D86" i="87"/>
  <c r="C86" i="87"/>
  <c r="A86" i="87"/>
  <c r="AP85" i="87"/>
  <c r="AO85" i="87"/>
  <c r="AN85" i="87"/>
  <c r="AK85" i="87"/>
  <c r="AJ85" i="87"/>
  <c r="AH85" i="87"/>
  <c r="F85" i="87"/>
  <c r="D85" i="87"/>
  <c r="C85" i="87"/>
  <c r="A85" i="87"/>
  <c r="AP84" i="87"/>
  <c r="AO84" i="87"/>
  <c r="AN84" i="87"/>
  <c r="AL84" i="87"/>
  <c r="AK84" i="87"/>
  <c r="AJ84" i="87"/>
  <c r="AI84" i="87"/>
  <c r="AH84" i="87"/>
  <c r="F84" i="87"/>
  <c r="D84" i="87"/>
  <c r="C84" i="87"/>
  <c r="A84" i="87"/>
  <c r="AP83" i="87"/>
  <c r="AO83" i="87"/>
  <c r="AN83" i="87"/>
  <c r="AL83" i="87"/>
  <c r="AK83" i="87"/>
  <c r="AJ83" i="87"/>
  <c r="AI83" i="87"/>
  <c r="AH83" i="87"/>
  <c r="F83" i="87"/>
  <c r="D83" i="87"/>
  <c r="C83" i="87"/>
  <c r="A83" i="87"/>
  <c r="AP82" i="87"/>
  <c r="AO82" i="87"/>
  <c r="AN82" i="87"/>
  <c r="AL82" i="87"/>
  <c r="AK82" i="87"/>
  <c r="AJ82" i="87"/>
  <c r="AI82" i="87"/>
  <c r="AH82" i="87"/>
  <c r="F82" i="87"/>
  <c r="D82" i="87"/>
  <c r="C82" i="87"/>
  <c r="A82" i="87"/>
  <c r="AP81" i="87"/>
  <c r="AO81" i="87"/>
  <c r="AN81" i="87"/>
  <c r="AL81" i="87"/>
  <c r="AK81" i="87"/>
  <c r="F81" i="87"/>
  <c r="D81" i="87"/>
  <c r="C81" i="87"/>
  <c r="A81" i="87"/>
  <c r="AP80" i="87"/>
  <c r="AO80" i="87"/>
  <c r="AN80" i="87"/>
  <c r="AL80" i="87"/>
  <c r="AK80" i="87"/>
  <c r="AJ80" i="87"/>
  <c r="AI80" i="87"/>
  <c r="AH80" i="87"/>
  <c r="F80" i="87"/>
  <c r="D80" i="87"/>
  <c r="C80" i="87"/>
  <c r="A80" i="87"/>
  <c r="AP79" i="87"/>
  <c r="AO79" i="87"/>
  <c r="AN79" i="87"/>
  <c r="AL79" i="87"/>
  <c r="AK79" i="87"/>
  <c r="AI79" i="87"/>
  <c r="AH79" i="87"/>
  <c r="F79" i="87"/>
  <c r="D79" i="87"/>
  <c r="C79" i="87"/>
  <c r="A79" i="87"/>
  <c r="AP78" i="87"/>
  <c r="AO78" i="87"/>
  <c r="AN78" i="87"/>
  <c r="AL78" i="87"/>
  <c r="AK78" i="87"/>
  <c r="AJ78" i="87"/>
  <c r="AI78" i="87"/>
  <c r="AH78" i="87"/>
  <c r="F78" i="87"/>
  <c r="D78" i="87"/>
  <c r="C78" i="87"/>
  <c r="A78" i="87"/>
  <c r="AP77" i="87"/>
  <c r="AO77" i="87"/>
  <c r="AN77" i="87"/>
  <c r="AL77" i="87"/>
  <c r="AK77" i="87"/>
  <c r="AJ77" i="87"/>
  <c r="AI77" i="87"/>
  <c r="AH77" i="87"/>
  <c r="F77" i="87"/>
  <c r="D77" i="87"/>
  <c r="C77" i="87"/>
  <c r="A77" i="87"/>
  <c r="AP76" i="87"/>
  <c r="AO76" i="87"/>
  <c r="AN76" i="87"/>
  <c r="AL76" i="87"/>
  <c r="AK76" i="87"/>
  <c r="AJ76" i="87"/>
  <c r="AI76" i="87"/>
  <c r="AH76" i="87"/>
  <c r="F76" i="87"/>
  <c r="D76" i="87"/>
  <c r="C76" i="87"/>
  <c r="A76" i="87"/>
  <c r="AP75" i="87"/>
  <c r="AO75" i="87"/>
  <c r="AN75" i="87"/>
  <c r="AL75" i="87"/>
  <c r="AK75" i="87"/>
  <c r="AJ75" i="87"/>
  <c r="AI75" i="87"/>
  <c r="AH75" i="87"/>
  <c r="F75" i="87"/>
  <c r="D75" i="87"/>
  <c r="C75" i="87"/>
  <c r="A75" i="87"/>
  <c r="AP74" i="87"/>
  <c r="AO74" i="87"/>
  <c r="AN74" i="87"/>
  <c r="AL74" i="87"/>
  <c r="AK74" i="87"/>
  <c r="AJ74" i="87"/>
  <c r="AI74" i="87"/>
  <c r="AH74" i="87"/>
  <c r="F74" i="87"/>
  <c r="D74" i="87"/>
  <c r="C74" i="87"/>
  <c r="A74" i="87"/>
  <c r="AP73" i="87"/>
  <c r="AO73" i="87"/>
  <c r="AN73" i="87"/>
  <c r="AL73" i="87"/>
  <c r="AK73" i="87"/>
  <c r="AI73" i="87"/>
  <c r="AH73" i="87"/>
  <c r="F73" i="87"/>
  <c r="D73" i="87"/>
  <c r="C73" i="87"/>
  <c r="A73" i="87"/>
  <c r="AP72" i="87"/>
  <c r="AO72" i="87"/>
  <c r="AN72" i="87"/>
  <c r="AL72" i="87"/>
  <c r="AK72" i="87"/>
  <c r="AJ72" i="87"/>
  <c r="AI72" i="87"/>
  <c r="AH72" i="87"/>
  <c r="F72" i="87"/>
  <c r="D72" i="87"/>
  <c r="C72" i="87"/>
  <c r="A72" i="87"/>
  <c r="AP71" i="87"/>
  <c r="AO71" i="87"/>
  <c r="AN71" i="87"/>
  <c r="AL71" i="87"/>
  <c r="AK71" i="87"/>
  <c r="AJ71" i="87"/>
  <c r="AI71" i="87"/>
  <c r="AH71" i="87"/>
  <c r="F71" i="87"/>
  <c r="D71" i="87"/>
  <c r="C71" i="87"/>
  <c r="A71" i="87"/>
  <c r="AP70" i="87"/>
  <c r="AO70" i="87"/>
  <c r="AN70" i="87"/>
  <c r="AL70" i="87"/>
  <c r="AK70" i="87"/>
  <c r="AJ70" i="87"/>
  <c r="AI70" i="87"/>
  <c r="AH70" i="87"/>
  <c r="F70" i="87"/>
  <c r="D70" i="87"/>
  <c r="C70" i="87"/>
  <c r="A70" i="87"/>
  <c r="AP69" i="87"/>
  <c r="AO69" i="87"/>
  <c r="AN69" i="87"/>
  <c r="AL69" i="87"/>
  <c r="AK69" i="87"/>
  <c r="AJ69" i="87"/>
  <c r="AI69" i="87"/>
  <c r="AH69" i="87"/>
  <c r="F69" i="87"/>
  <c r="D69" i="87"/>
  <c r="C69" i="87"/>
  <c r="A69" i="87"/>
  <c r="AP68" i="87"/>
  <c r="AO68" i="87"/>
  <c r="AN68" i="87"/>
  <c r="AL68" i="87"/>
  <c r="AK68" i="87"/>
  <c r="AJ68" i="87"/>
  <c r="AI68" i="87"/>
  <c r="AH68" i="87"/>
  <c r="F68" i="87"/>
  <c r="D68" i="87"/>
  <c r="C68" i="87"/>
  <c r="A68" i="87"/>
  <c r="AP67" i="87"/>
  <c r="AO67" i="87"/>
  <c r="AN67" i="87"/>
  <c r="AL67" i="87"/>
  <c r="AK67" i="87"/>
  <c r="AJ67" i="87"/>
  <c r="AI67" i="87"/>
  <c r="AH67" i="87"/>
  <c r="F67" i="87"/>
  <c r="D67" i="87"/>
  <c r="C67" i="87"/>
  <c r="A67" i="87"/>
  <c r="AP66" i="87"/>
  <c r="AO66" i="87"/>
  <c r="AN66" i="87"/>
  <c r="AL66" i="87"/>
  <c r="AK66" i="87"/>
  <c r="AJ66" i="87"/>
  <c r="AI66" i="87"/>
  <c r="AH66" i="87"/>
  <c r="F66" i="87"/>
  <c r="D66" i="87"/>
  <c r="C66" i="87"/>
  <c r="A66" i="87"/>
  <c r="AP65" i="87"/>
  <c r="AO65" i="87"/>
  <c r="AN65" i="87"/>
  <c r="AL65" i="87"/>
  <c r="AK65" i="87"/>
  <c r="AJ65" i="87"/>
  <c r="AI65" i="87"/>
  <c r="AH65" i="87"/>
  <c r="F65" i="87"/>
  <c r="D65" i="87"/>
  <c r="C65" i="87"/>
  <c r="A65" i="87"/>
  <c r="AP64" i="87"/>
  <c r="AO64" i="87"/>
  <c r="AN64" i="87"/>
  <c r="AL64" i="87"/>
  <c r="AK64" i="87"/>
  <c r="AJ64" i="87"/>
  <c r="AI64" i="87"/>
  <c r="AH64" i="87"/>
  <c r="F64" i="87"/>
  <c r="D64" i="87"/>
  <c r="C64" i="87"/>
  <c r="A64" i="87"/>
  <c r="AP63" i="87"/>
  <c r="AO63" i="87"/>
  <c r="AN63" i="87"/>
  <c r="AL63" i="87"/>
  <c r="AK63" i="87"/>
  <c r="AJ63" i="87"/>
  <c r="AI63" i="87"/>
  <c r="AH63" i="87"/>
  <c r="F63" i="87"/>
  <c r="D63" i="87"/>
  <c r="C63" i="87"/>
  <c r="A63" i="87"/>
  <c r="AP62" i="87"/>
  <c r="AO62" i="87"/>
  <c r="AN62" i="87"/>
  <c r="AL62" i="87"/>
  <c r="AK62" i="87"/>
  <c r="AJ62" i="87"/>
  <c r="AI62" i="87"/>
  <c r="AH62" i="87"/>
  <c r="F62" i="87"/>
  <c r="D62" i="87"/>
  <c r="C62" i="87"/>
  <c r="A62" i="87"/>
  <c r="AP61" i="87"/>
  <c r="AO61" i="87"/>
  <c r="AN61" i="87"/>
  <c r="AL61" i="87"/>
  <c r="AK61" i="87"/>
  <c r="AJ61" i="87"/>
  <c r="AI61" i="87"/>
  <c r="AH61" i="87"/>
  <c r="F61" i="87"/>
  <c r="D61" i="87"/>
  <c r="C61" i="87"/>
  <c r="A61" i="87"/>
  <c r="AP60" i="87"/>
  <c r="AO60" i="87"/>
  <c r="AN60" i="87"/>
  <c r="AL60" i="87"/>
  <c r="AK60" i="87"/>
  <c r="AJ60" i="87"/>
  <c r="AI60" i="87"/>
  <c r="AH60" i="87"/>
  <c r="A60" i="87"/>
  <c r="AP59" i="87"/>
  <c r="AO59" i="87"/>
  <c r="AN59" i="87"/>
  <c r="AL59" i="87"/>
  <c r="AK59" i="87"/>
  <c r="AJ59" i="87"/>
  <c r="AI59" i="87"/>
  <c r="AH59" i="87"/>
  <c r="A59" i="87"/>
  <c r="F58" i="87"/>
  <c r="D58" i="87"/>
  <c r="C58" i="87"/>
  <c r="A58" i="87"/>
  <c r="AP57" i="87"/>
  <c r="AO57" i="87"/>
  <c r="AN57" i="87"/>
  <c r="AL57" i="87"/>
  <c r="AK57" i="87"/>
  <c r="AJ57" i="87"/>
  <c r="AI57" i="87"/>
  <c r="AH57" i="87"/>
  <c r="F57" i="87"/>
  <c r="D57" i="87"/>
  <c r="C57" i="87"/>
  <c r="A57" i="87"/>
  <c r="AP56" i="87"/>
  <c r="AO56" i="87"/>
  <c r="AN56" i="87"/>
  <c r="AL56" i="87"/>
  <c r="AK56" i="87"/>
  <c r="AJ56" i="87"/>
  <c r="AI56" i="87"/>
  <c r="AH56" i="87"/>
  <c r="F56" i="87"/>
  <c r="D56" i="87"/>
  <c r="C56" i="87"/>
  <c r="A56" i="87"/>
  <c r="AO55" i="87"/>
  <c r="AN55" i="87"/>
  <c r="AL55" i="87"/>
  <c r="AJ55" i="87"/>
  <c r="AI55" i="87"/>
  <c r="AH55" i="87"/>
  <c r="F55" i="87"/>
  <c r="D55" i="87"/>
  <c r="C55" i="87"/>
  <c r="A55" i="87"/>
  <c r="AP54" i="87"/>
  <c r="AO54" i="87"/>
  <c r="AJ54" i="87"/>
  <c r="AH54" i="87"/>
  <c r="F54" i="87"/>
  <c r="D54" i="87"/>
  <c r="C54" i="87"/>
  <c r="A54" i="87"/>
  <c r="AL53" i="87"/>
  <c r="AK53" i="87"/>
  <c r="F53" i="87"/>
  <c r="D53" i="87"/>
  <c r="C53" i="87"/>
  <c r="A53" i="87"/>
  <c r="AO52" i="87"/>
  <c r="AN52" i="87"/>
  <c r="AL52" i="87"/>
  <c r="AJ52" i="87"/>
  <c r="AH52" i="87"/>
  <c r="F52" i="87"/>
  <c r="D52" i="87"/>
  <c r="C52" i="87"/>
  <c r="A52" i="87"/>
  <c r="AP51" i="87"/>
  <c r="AO51" i="87"/>
  <c r="AN51" i="87"/>
  <c r="AL51" i="87"/>
  <c r="AK51" i="87"/>
  <c r="AJ51" i="87"/>
  <c r="AI51" i="87"/>
  <c r="AH51" i="87"/>
  <c r="F51" i="87"/>
  <c r="D51" i="87"/>
  <c r="C51" i="87"/>
  <c r="A51" i="87"/>
  <c r="AO50" i="87"/>
  <c r="AN50" i="87"/>
  <c r="AL50" i="87"/>
  <c r="AJ50" i="87"/>
  <c r="AI50" i="87"/>
  <c r="F50" i="87"/>
  <c r="D50" i="87"/>
  <c r="C50" i="87"/>
  <c r="A50" i="87"/>
  <c r="AO49" i="87"/>
  <c r="AN49" i="87"/>
  <c r="AL49" i="87"/>
  <c r="AK49" i="87"/>
  <c r="AJ49" i="87"/>
  <c r="AI49" i="87"/>
  <c r="AH49" i="87"/>
  <c r="F49" i="87"/>
  <c r="D49" i="87"/>
  <c r="C49" i="87"/>
  <c r="A49" i="87"/>
  <c r="AP48" i="87"/>
  <c r="AO48" i="87"/>
  <c r="AJ48" i="87"/>
  <c r="AH48" i="87"/>
  <c r="F48" i="87"/>
  <c r="D48" i="87"/>
  <c r="C48" i="87"/>
  <c r="A48" i="87"/>
  <c r="AP47" i="87"/>
  <c r="AL47" i="87"/>
  <c r="F47" i="87"/>
  <c r="D47" i="87"/>
  <c r="C47" i="87"/>
  <c r="A47" i="87"/>
  <c r="AO46" i="87"/>
  <c r="AN46" i="87"/>
  <c r="AL46" i="87"/>
  <c r="AK46" i="87"/>
  <c r="AJ46" i="87"/>
  <c r="AI46" i="87"/>
  <c r="AH46" i="87"/>
  <c r="F46" i="87"/>
  <c r="D46" i="87"/>
  <c r="C46" i="87"/>
  <c r="A46" i="87"/>
  <c r="AP45" i="87"/>
  <c r="AO45" i="87"/>
  <c r="AN45" i="87"/>
  <c r="AL45" i="87"/>
  <c r="AK45" i="87"/>
  <c r="AJ45" i="87"/>
  <c r="AI45" i="87"/>
  <c r="AH45" i="87"/>
  <c r="F45" i="87"/>
  <c r="D45" i="87"/>
  <c r="C45" i="87"/>
  <c r="A45" i="87"/>
  <c r="AP44" i="87"/>
  <c r="AO44" i="87"/>
  <c r="AN44" i="87"/>
  <c r="AL44" i="87"/>
  <c r="AK44" i="87"/>
  <c r="AJ44" i="87"/>
  <c r="AI44" i="87"/>
  <c r="AH44" i="87"/>
  <c r="A44" i="87"/>
  <c r="AP43" i="87"/>
  <c r="AO43" i="87"/>
  <c r="AN43" i="87"/>
  <c r="AL43" i="87"/>
  <c r="AK43" i="87"/>
  <c r="AJ43" i="87"/>
  <c r="AI43" i="87"/>
  <c r="AH43" i="87"/>
  <c r="A43" i="87"/>
  <c r="AP42" i="87"/>
  <c r="AO42" i="87"/>
  <c r="AN42" i="87"/>
  <c r="AJ42" i="87"/>
  <c r="AI42" i="87"/>
  <c r="F42" i="87"/>
  <c r="D42" i="87"/>
  <c r="C42" i="87"/>
  <c r="A42" i="87"/>
  <c r="AP41" i="87"/>
  <c r="AO41" i="87"/>
  <c r="AN41" i="87"/>
  <c r="AL41" i="87"/>
  <c r="AK41" i="87"/>
  <c r="AJ41" i="87"/>
  <c r="AI41" i="87"/>
  <c r="AH41" i="87"/>
  <c r="F41" i="87"/>
  <c r="D41" i="87"/>
  <c r="C41" i="87"/>
  <c r="A41" i="87"/>
  <c r="AP40" i="87"/>
  <c r="AO40" i="87"/>
  <c r="AN40" i="87"/>
  <c r="AL40" i="87"/>
  <c r="AK40" i="87"/>
  <c r="AJ40" i="87"/>
  <c r="AI40" i="87"/>
  <c r="AH40" i="87"/>
  <c r="F40" i="87"/>
  <c r="D40" i="87"/>
  <c r="C40" i="87"/>
  <c r="A40" i="87"/>
  <c r="AP39" i="87"/>
  <c r="AO39" i="87"/>
  <c r="AN39" i="87"/>
  <c r="AL39" i="87"/>
  <c r="AK39" i="87"/>
  <c r="AJ39" i="87"/>
  <c r="AI39" i="87"/>
  <c r="AH39" i="87"/>
  <c r="F39" i="87"/>
  <c r="D39" i="87"/>
  <c r="C39" i="87"/>
  <c r="A39" i="87"/>
  <c r="AP38" i="87"/>
  <c r="AO38" i="87"/>
  <c r="AN38" i="87"/>
  <c r="AL38" i="87"/>
  <c r="AK38" i="87"/>
  <c r="AJ38" i="87"/>
  <c r="AI38" i="87"/>
  <c r="AH38" i="87"/>
  <c r="F38" i="87"/>
  <c r="D38" i="87"/>
  <c r="C38" i="87"/>
  <c r="A38" i="87"/>
  <c r="AP37" i="87"/>
  <c r="AO37" i="87"/>
  <c r="AN37" i="87"/>
  <c r="AL37" i="87"/>
  <c r="AK37" i="87"/>
  <c r="AJ37" i="87"/>
  <c r="AI37" i="87"/>
  <c r="AH37" i="87"/>
  <c r="F37" i="87"/>
  <c r="D37" i="87"/>
  <c r="C37" i="87"/>
  <c r="A37" i="87"/>
  <c r="AP36" i="87"/>
  <c r="AO36" i="87"/>
  <c r="AN36" i="87"/>
  <c r="AL36" i="87"/>
  <c r="AK36" i="87"/>
  <c r="AJ36" i="87"/>
  <c r="AI36" i="87"/>
  <c r="AH36" i="87"/>
  <c r="F36" i="87"/>
  <c r="D36" i="87"/>
  <c r="C36" i="87"/>
  <c r="A36" i="87"/>
  <c r="AP35" i="87"/>
  <c r="AO35" i="87"/>
  <c r="AN35" i="87"/>
  <c r="AL35" i="87"/>
  <c r="AK35" i="87"/>
  <c r="AJ35" i="87"/>
  <c r="AI35" i="87"/>
  <c r="AH35" i="87"/>
  <c r="F35" i="87"/>
  <c r="D35" i="87"/>
  <c r="C35" i="87"/>
  <c r="A35" i="87"/>
  <c r="AP34" i="87"/>
  <c r="AO34" i="87"/>
  <c r="AN34" i="87"/>
  <c r="AL34" i="87"/>
  <c r="AK34" i="87"/>
  <c r="AJ34" i="87"/>
  <c r="AI34" i="87"/>
  <c r="AH34" i="87"/>
  <c r="F34" i="87"/>
  <c r="D34" i="87"/>
  <c r="C34" i="87"/>
  <c r="A34" i="87"/>
  <c r="AP33" i="87"/>
  <c r="AO33" i="87"/>
  <c r="AN33" i="87"/>
  <c r="AL33" i="87"/>
  <c r="AK33" i="87"/>
  <c r="AJ33" i="87"/>
  <c r="AI33" i="87"/>
  <c r="AH33" i="87"/>
  <c r="F33" i="87"/>
  <c r="D33" i="87"/>
  <c r="C33" i="87"/>
  <c r="A33" i="87"/>
  <c r="AP32" i="87"/>
  <c r="AO32" i="87"/>
  <c r="AN32" i="87"/>
  <c r="AL32" i="87"/>
  <c r="AK32" i="87"/>
  <c r="AJ32" i="87"/>
  <c r="AI32" i="87"/>
  <c r="AH32" i="87"/>
  <c r="F32" i="87"/>
  <c r="D32" i="87"/>
  <c r="C32" i="87"/>
  <c r="A32" i="87"/>
  <c r="AP31" i="87"/>
  <c r="AO31" i="87"/>
  <c r="AN31" i="87"/>
  <c r="AL31" i="87"/>
  <c r="AK31" i="87"/>
  <c r="AJ31" i="87"/>
  <c r="AI31" i="87"/>
  <c r="AH31" i="87"/>
  <c r="F31" i="87"/>
  <c r="D31" i="87"/>
  <c r="C31" i="87"/>
  <c r="A31" i="87"/>
  <c r="AP30" i="87"/>
  <c r="AO30" i="87"/>
  <c r="AN30" i="87"/>
  <c r="AL30" i="87"/>
  <c r="AK30" i="87"/>
  <c r="AJ30" i="87"/>
  <c r="AI30" i="87"/>
  <c r="AH30" i="87"/>
  <c r="F30" i="87"/>
  <c r="D30" i="87"/>
  <c r="C30" i="87"/>
  <c r="A30" i="87"/>
  <c r="AP29" i="87"/>
  <c r="AO29" i="87"/>
  <c r="AN29" i="87"/>
  <c r="AL29" i="87"/>
  <c r="AK29" i="87"/>
  <c r="AJ29" i="87"/>
  <c r="AI29" i="87"/>
  <c r="AH29" i="87"/>
  <c r="F29" i="87"/>
  <c r="A29" i="87"/>
  <c r="AP28" i="87"/>
  <c r="AL28" i="87"/>
  <c r="AI28" i="87"/>
  <c r="AH28" i="87"/>
  <c r="F28" i="87"/>
  <c r="D28" i="87"/>
  <c r="C28" i="87"/>
  <c r="A28" i="87"/>
  <c r="AP27" i="87"/>
  <c r="AO27" i="87"/>
  <c r="AN27" i="87"/>
  <c r="AL27" i="87"/>
  <c r="AK27" i="87"/>
  <c r="AJ27" i="87"/>
  <c r="AI27" i="87"/>
  <c r="AH27" i="87"/>
  <c r="F27" i="87"/>
  <c r="D27" i="87"/>
  <c r="C27" i="87"/>
  <c r="A27" i="87"/>
  <c r="AP26" i="87"/>
  <c r="AO26" i="87"/>
  <c r="AN26" i="87"/>
  <c r="AL26" i="87"/>
  <c r="AK26" i="87"/>
  <c r="AJ26" i="87"/>
  <c r="AI26" i="87"/>
  <c r="AH26" i="87"/>
  <c r="F26" i="87"/>
  <c r="D26" i="87"/>
  <c r="C26" i="87"/>
  <c r="A26" i="87"/>
  <c r="AP25" i="87"/>
  <c r="AO25" i="87"/>
  <c r="AN25" i="87"/>
  <c r="AL25" i="87"/>
  <c r="AK25" i="87"/>
  <c r="AJ25" i="87"/>
  <c r="AI25" i="87"/>
  <c r="AH25" i="87"/>
  <c r="F25" i="87"/>
  <c r="D25" i="87"/>
  <c r="C25" i="87"/>
  <c r="A25" i="87"/>
  <c r="AP24" i="87"/>
  <c r="AO24" i="87"/>
  <c r="AN24" i="87"/>
  <c r="AL24" i="87"/>
  <c r="AK24" i="87"/>
  <c r="AJ24" i="87"/>
  <c r="AI24" i="87"/>
  <c r="AH24" i="87"/>
  <c r="F24" i="87"/>
  <c r="D24" i="87"/>
  <c r="C24" i="87"/>
  <c r="A24" i="87"/>
  <c r="AP23" i="87"/>
  <c r="AO23" i="87"/>
  <c r="AN23" i="87"/>
  <c r="AL23" i="87"/>
  <c r="AK23" i="87"/>
  <c r="AJ23" i="87"/>
  <c r="AI23" i="87"/>
  <c r="AH23" i="87"/>
  <c r="F23" i="87"/>
  <c r="D23" i="87"/>
  <c r="C23" i="87"/>
  <c r="A23" i="87"/>
  <c r="AP22" i="87"/>
  <c r="AO22" i="87"/>
  <c r="AN22" i="87"/>
  <c r="AL22" i="87"/>
  <c r="AK22" i="87"/>
  <c r="AJ22" i="87"/>
  <c r="AI22" i="87"/>
  <c r="AH22" i="87"/>
  <c r="F22" i="87"/>
  <c r="D22" i="87"/>
  <c r="C22" i="87"/>
  <c r="A22" i="87"/>
  <c r="AP21" i="87"/>
  <c r="AO21" i="87"/>
  <c r="AN21" i="87"/>
  <c r="AL21" i="87"/>
  <c r="AK21" i="87"/>
  <c r="AJ21" i="87"/>
  <c r="AI21" i="87"/>
  <c r="AH21" i="87"/>
  <c r="F21" i="87"/>
  <c r="D21" i="87"/>
  <c r="C21" i="87"/>
  <c r="A21" i="87"/>
  <c r="AP20" i="87"/>
  <c r="AO20" i="87"/>
  <c r="AN20" i="87"/>
  <c r="AL20" i="87"/>
  <c r="AK20" i="87"/>
  <c r="AJ20" i="87"/>
  <c r="AI20" i="87"/>
  <c r="AH20" i="87"/>
  <c r="F20" i="87"/>
  <c r="D20" i="87"/>
  <c r="C20" i="87"/>
  <c r="A20" i="87"/>
  <c r="AP19" i="87"/>
  <c r="AO19" i="87"/>
  <c r="AN19" i="87"/>
  <c r="AL19" i="87"/>
  <c r="AK19" i="87"/>
  <c r="AJ19" i="87"/>
  <c r="AI19" i="87"/>
  <c r="AH19" i="87"/>
  <c r="F19" i="87"/>
  <c r="D19" i="87"/>
  <c r="C19" i="87"/>
  <c r="A19" i="87"/>
  <c r="AP18" i="87"/>
  <c r="AO18" i="87"/>
  <c r="AN18" i="87"/>
  <c r="AL18" i="87"/>
  <c r="AK18" i="87"/>
  <c r="AJ18" i="87"/>
  <c r="AI18" i="87"/>
  <c r="AH18" i="87"/>
  <c r="F18" i="87"/>
  <c r="D18" i="87"/>
  <c r="C18" i="87"/>
  <c r="A18" i="87"/>
  <c r="AP17" i="87"/>
  <c r="AO17" i="87"/>
  <c r="AN17" i="87"/>
  <c r="AL17" i="87"/>
  <c r="AK17" i="87"/>
  <c r="AJ17" i="87"/>
  <c r="AI17" i="87"/>
  <c r="AH17" i="87"/>
  <c r="F17" i="87"/>
  <c r="D17" i="87"/>
  <c r="C17" i="87"/>
  <c r="A17" i="87"/>
  <c r="AP16" i="87"/>
  <c r="AO16" i="87"/>
  <c r="AN16" i="87"/>
  <c r="AL16" i="87"/>
  <c r="AK16" i="87"/>
  <c r="AJ16" i="87"/>
  <c r="AI16" i="87"/>
  <c r="AH16" i="87"/>
  <c r="F16" i="87"/>
  <c r="D16" i="87"/>
  <c r="C16" i="87"/>
  <c r="A16" i="87"/>
  <c r="A15" i="87"/>
  <c r="AO14" i="87"/>
  <c r="AJ14" i="87"/>
  <c r="AI14" i="87"/>
  <c r="F14" i="87"/>
  <c r="D14" i="87"/>
  <c r="C14" i="87"/>
  <c r="A14" i="87"/>
  <c r="AP13" i="87"/>
  <c r="AO13" i="87"/>
  <c r="AN13" i="87"/>
  <c r="AL13" i="87"/>
  <c r="AK13" i="87"/>
  <c r="AJ13" i="87"/>
  <c r="AI13" i="87"/>
  <c r="AH13" i="87"/>
  <c r="F13" i="87"/>
  <c r="D13" i="87"/>
  <c r="C13" i="87"/>
  <c r="A13" i="87"/>
  <c r="AP12" i="87"/>
  <c r="AO12" i="87"/>
  <c r="AN12" i="87"/>
  <c r="AL12" i="87"/>
  <c r="AK12" i="87"/>
  <c r="AJ12" i="87"/>
  <c r="AI12" i="87"/>
  <c r="AH12" i="87"/>
  <c r="F12" i="87"/>
  <c r="D12" i="87"/>
  <c r="C12" i="87"/>
  <c r="A12" i="87"/>
  <c r="AP11" i="87"/>
  <c r="AO11" i="87"/>
  <c r="AN11" i="87"/>
  <c r="AL11" i="87"/>
  <c r="AK11" i="87"/>
  <c r="AJ11" i="87"/>
  <c r="AI11" i="87"/>
  <c r="AH11" i="87"/>
  <c r="F11" i="87"/>
  <c r="D11" i="87"/>
  <c r="C11" i="87"/>
  <c r="A11" i="87"/>
  <c r="AP10" i="87"/>
  <c r="AO10" i="87"/>
  <c r="AN10" i="87"/>
  <c r="AL10" i="87"/>
  <c r="AK10" i="87"/>
  <c r="AJ10" i="87"/>
  <c r="AI10" i="87"/>
  <c r="AH10" i="87"/>
  <c r="F10" i="87"/>
  <c r="D10" i="87"/>
  <c r="C10" i="87"/>
  <c r="A10" i="87"/>
  <c r="AP9" i="87"/>
  <c r="AO9" i="87"/>
  <c r="AN9" i="87"/>
  <c r="AL9" i="87"/>
  <c r="AK9" i="87"/>
  <c r="AJ9" i="87"/>
  <c r="AI9" i="87"/>
  <c r="AH9" i="87"/>
  <c r="F9" i="87"/>
  <c r="D9" i="87"/>
  <c r="C9" i="87"/>
  <c r="A9" i="87"/>
  <c r="AP8" i="87"/>
  <c r="AO8" i="87"/>
  <c r="AN8" i="87"/>
  <c r="AL8" i="87"/>
  <c r="AK8" i="87"/>
  <c r="AJ8" i="87"/>
  <c r="AI8" i="87"/>
  <c r="AH8" i="87"/>
  <c r="F8" i="87"/>
  <c r="D8" i="87"/>
  <c r="C8" i="87"/>
  <c r="A8" i="87"/>
  <c r="AP7" i="87"/>
  <c r="AO7" i="87"/>
  <c r="AN7" i="87"/>
  <c r="AL7" i="87"/>
  <c r="AK7" i="87"/>
  <c r="AJ7" i="87"/>
  <c r="AI7" i="87"/>
  <c r="AH7" i="87"/>
  <c r="F7" i="87"/>
  <c r="D7" i="87"/>
  <c r="C7" i="87"/>
  <c r="A7" i="87"/>
  <c r="AP6" i="87"/>
  <c r="AO6" i="87"/>
  <c r="AN6" i="87"/>
  <c r="AL6" i="87"/>
  <c r="AK6" i="87"/>
  <c r="AJ6" i="87"/>
  <c r="AI6" i="87"/>
  <c r="AH6" i="87"/>
  <c r="F6" i="87"/>
  <c r="D6" i="87"/>
  <c r="C6" i="87"/>
  <c r="A6" i="87"/>
  <c r="AP5" i="87"/>
  <c r="AO5" i="87"/>
  <c r="AN5" i="87"/>
  <c r="AL5" i="87"/>
  <c r="AK5" i="87"/>
  <c r="AJ5" i="87"/>
  <c r="AI5" i="87"/>
  <c r="AH5" i="87"/>
  <c r="F5" i="87"/>
  <c r="D5" i="87"/>
  <c r="C5" i="87"/>
  <c r="A5" i="87"/>
  <c r="AP4" i="87"/>
  <c r="AO4" i="87"/>
  <c r="AN4" i="87"/>
  <c r="AL4" i="87"/>
  <c r="AK4" i="87"/>
  <c r="AJ4" i="87"/>
  <c r="AI4" i="87"/>
  <c r="AH4" i="87"/>
  <c r="F4" i="87"/>
  <c r="D4" i="87"/>
  <c r="C4" i="87"/>
  <c r="A4" i="87"/>
  <c r="AP3" i="87"/>
  <c r="AO3" i="87"/>
  <c r="AN3" i="87"/>
  <c r="AL3" i="87"/>
  <c r="AK3" i="87"/>
  <c r="AJ3" i="87"/>
  <c r="AI3" i="87"/>
  <c r="AH3" i="87"/>
  <c r="F3" i="87"/>
  <c r="D3" i="87"/>
  <c r="C3" i="87"/>
  <c r="A3" i="87"/>
  <c r="AP2" i="87"/>
  <c r="AO2" i="87"/>
  <c r="AN2" i="87"/>
  <c r="AL2" i="87"/>
  <c r="AK2" i="87"/>
  <c r="AJ2" i="87"/>
  <c r="AI2" i="87"/>
  <c r="AH2" i="87"/>
  <c r="F2" i="87"/>
  <c r="D2" i="87"/>
  <c r="C2" i="87"/>
  <c r="A2" i="87"/>
  <c r="AH113" i="87" l="1"/>
  <c r="AH110" i="87"/>
  <c r="AJ110" i="87"/>
  <c r="AJ129" i="87"/>
  <c r="AQ110" i="87"/>
  <c r="AQ113" i="87"/>
  <c r="S183" i="87"/>
  <c r="S187" i="87"/>
  <c r="S163" i="87"/>
  <c r="AN413" i="87"/>
  <c r="S179" i="87"/>
  <c r="P289" i="87"/>
  <c r="S167" i="87"/>
  <c r="AU294" i="87"/>
  <c r="Q234" i="87"/>
  <c r="AU179" i="87"/>
  <c r="R234" i="87"/>
  <c r="AN401" i="87"/>
  <c r="J234" i="87"/>
  <c r="N234" i="87"/>
  <c r="S188" i="87"/>
  <c r="AN187" i="87"/>
  <c r="S175" i="87"/>
  <c r="AN176" i="87"/>
  <c r="AN177" i="87"/>
  <c r="S173" i="87"/>
  <c r="S171" i="87"/>
  <c r="S165" i="87"/>
  <c r="S169" i="87"/>
  <c r="AN161" i="87"/>
  <c r="S155" i="87"/>
  <c r="AN156" i="87"/>
  <c r="S156" i="87"/>
  <c r="AN158" i="87"/>
  <c r="AN421" i="87"/>
  <c r="AT116" i="87"/>
  <c r="AT113" i="87"/>
  <c r="AJ113" i="87"/>
  <c r="F25" i="89"/>
  <c r="AJ116" i="87" s="1"/>
  <c r="AJ73" i="87"/>
  <c r="S186" i="87"/>
  <c r="S158" i="87"/>
  <c r="AR110" i="87"/>
  <c r="S166" i="87"/>
  <c r="AT110" i="87"/>
  <c r="AI110" i="87"/>
  <c r="S161" i="87"/>
  <c r="S177" i="87"/>
  <c r="S181" i="87"/>
  <c r="R281" i="87"/>
  <c r="AN328" i="87"/>
  <c r="S358" i="87"/>
  <c r="S396" i="87"/>
  <c r="S233" i="87"/>
  <c r="U49" i="46"/>
  <c r="Q63" i="46"/>
  <c r="U7" i="46"/>
  <c r="AA50" i="46"/>
  <c r="AA8" i="46"/>
  <c r="U51" i="46"/>
  <c r="U9" i="46"/>
  <c r="AF32" i="46"/>
  <c r="S314" i="87"/>
  <c r="AU375" i="87"/>
  <c r="S383" i="87"/>
  <c r="P234" i="87"/>
  <c r="N289" i="87"/>
  <c r="V49" i="46"/>
  <c r="Q64" i="46"/>
  <c r="V7" i="46"/>
  <c r="V51" i="46"/>
  <c r="V9" i="46"/>
  <c r="AI32" i="46"/>
  <c r="AN299" i="87"/>
  <c r="W49" i="46"/>
  <c r="W7" i="46"/>
  <c r="Q65" i="46"/>
  <c r="S357" i="87"/>
  <c r="AN173" i="87"/>
  <c r="AI81" i="87"/>
  <c r="Y7" i="46"/>
  <c r="Q67" i="46"/>
  <c r="Y49" i="46"/>
  <c r="Y9" i="46"/>
  <c r="AR32" i="46"/>
  <c r="Y51" i="46"/>
  <c r="S160" i="87"/>
  <c r="S176" i="87"/>
  <c r="S180" i="87"/>
  <c r="S388" i="87"/>
  <c r="Z7" i="46"/>
  <c r="Q68" i="46"/>
  <c r="Z49" i="46"/>
  <c r="T8" i="46"/>
  <c r="T50" i="46"/>
  <c r="Z51" i="46"/>
  <c r="Z9" i="46"/>
  <c r="AP58" i="87"/>
  <c r="S182" i="87"/>
  <c r="I234" i="87"/>
  <c r="AA7" i="46"/>
  <c r="Q69" i="46"/>
  <c r="AA49" i="46"/>
  <c r="U50" i="46"/>
  <c r="U8" i="46"/>
  <c r="AA51" i="46"/>
  <c r="AA9" i="46"/>
  <c r="AK58" i="87"/>
  <c r="AK47" i="87"/>
  <c r="AN143" i="87"/>
  <c r="S162" i="87"/>
  <c r="S168" i="87"/>
  <c r="S172" i="87"/>
  <c r="S178" i="87"/>
  <c r="Q228" i="87"/>
  <c r="S307" i="87"/>
  <c r="AN353" i="87"/>
  <c r="AJ28" i="87"/>
  <c r="V50" i="46"/>
  <c r="V8" i="46"/>
  <c r="AH58" i="87"/>
  <c r="AN297" i="87"/>
  <c r="W51" i="46"/>
  <c r="W9" i="46"/>
  <c r="AL32" i="46"/>
  <c r="K289" i="87"/>
  <c r="AK14" i="87"/>
  <c r="S352" i="87"/>
  <c r="AN402" i="87"/>
  <c r="W50" i="46"/>
  <c r="W8" i="46"/>
  <c r="AN14" i="87"/>
  <c r="AS110" i="87"/>
  <c r="AJ128" i="87"/>
  <c r="S157" i="87"/>
  <c r="S164" i="87"/>
  <c r="S174" i="87"/>
  <c r="S185" i="87"/>
  <c r="S302" i="87"/>
  <c r="S328" i="87"/>
  <c r="AN417" i="87"/>
  <c r="L234" i="87"/>
  <c r="X8" i="46"/>
  <c r="X50" i="46"/>
  <c r="AK42" i="87"/>
  <c r="S370" i="87"/>
  <c r="AL14" i="87"/>
  <c r="X49" i="46"/>
  <c r="X25" i="46" s="1"/>
  <c r="Q66" i="46"/>
  <c r="X7" i="46"/>
  <c r="AL42" i="87"/>
  <c r="X9" i="46"/>
  <c r="AO32" i="46"/>
  <c r="X51" i="46"/>
  <c r="AL58" i="87"/>
  <c r="S184" i="87"/>
  <c r="S170" i="87"/>
  <c r="AN178" i="87"/>
  <c r="R228" i="87"/>
  <c r="L281" i="87"/>
  <c r="AU322" i="87"/>
  <c r="AN142" i="87"/>
  <c r="M234" i="87"/>
  <c r="Y8" i="46"/>
  <c r="Y50" i="46"/>
  <c r="AP14" i="87"/>
  <c r="S159" i="87"/>
  <c r="AN298" i="87"/>
  <c r="S337" i="87"/>
  <c r="S365" i="87"/>
  <c r="G289" i="87"/>
  <c r="AH14" i="87"/>
  <c r="T49" i="46"/>
  <c r="Q53" i="46"/>
  <c r="T7" i="46"/>
  <c r="AO28" i="87"/>
  <c r="Z8" i="46"/>
  <c r="Z50" i="46"/>
  <c r="AH42" i="87"/>
  <c r="T51" i="46"/>
  <c r="T9" i="46"/>
  <c r="T32" i="46"/>
  <c r="C15" i="6"/>
  <c r="D15" i="6" s="1"/>
  <c r="AN397" i="87"/>
  <c r="S392" i="87"/>
  <c r="C12" i="6"/>
  <c r="D12" i="6" s="1"/>
  <c r="AN385" i="87"/>
  <c r="AN382" i="87"/>
  <c r="S385" i="87"/>
  <c r="AN374" i="87"/>
  <c r="AN369" i="87"/>
  <c r="S374" i="87"/>
  <c r="S379" i="87"/>
  <c r="S369" i="87"/>
  <c r="AN372" i="87"/>
  <c r="AN376" i="87"/>
  <c r="AN377" i="87"/>
  <c r="AN364" i="87"/>
  <c r="S367" i="87"/>
  <c r="S364" i="87"/>
  <c r="S344" i="87"/>
  <c r="S329" i="87"/>
  <c r="S325" i="87"/>
  <c r="S324" i="87"/>
  <c r="AN323" i="87"/>
  <c r="S323" i="87"/>
  <c r="AN318" i="87"/>
  <c r="AN292" i="87"/>
  <c r="AN88" i="87"/>
  <c r="AI113" i="87"/>
  <c r="E25" i="89"/>
  <c r="AI116" i="87" s="1"/>
  <c r="AN116" i="87"/>
  <c r="AN113" i="87"/>
  <c r="AL92" i="87"/>
  <c r="AU310" i="87"/>
  <c r="AI12" i="93"/>
  <c r="AN399" i="87"/>
  <c r="AI20" i="93"/>
  <c r="AN407" i="87"/>
  <c r="AI24" i="93"/>
  <c r="AN411" i="87"/>
  <c r="AI32" i="93"/>
  <c r="AN419" i="87"/>
  <c r="H234" i="87"/>
  <c r="AO91" i="87"/>
  <c r="AN92" i="87"/>
  <c r="S340" i="87"/>
  <c r="AN352" i="87"/>
  <c r="AL85" i="87"/>
  <c r="AS113" i="87"/>
  <c r="AN181" i="87"/>
  <c r="AN185" i="87"/>
  <c r="O233" i="87"/>
  <c r="I281" i="87"/>
  <c r="M281" i="87"/>
  <c r="Q281" i="87"/>
  <c r="S292" i="87"/>
  <c r="AU293" i="87"/>
  <c r="AN346" i="87"/>
  <c r="S377" i="87"/>
  <c r="S397" i="87"/>
  <c r="Y45" i="46"/>
  <c r="AN58" i="87"/>
  <c r="Y41" i="46"/>
  <c r="S300" i="87"/>
  <c r="S315" i="87"/>
  <c r="Z43" i="46"/>
  <c r="AL88" i="87"/>
  <c r="AK88" i="87"/>
  <c r="S305" i="87"/>
  <c r="AI16" i="93"/>
  <c r="AN403" i="87"/>
  <c r="AI28" i="93"/>
  <c r="AN415" i="87"/>
  <c r="AI36" i="93"/>
  <c r="AN423" i="87"/>
  <c r="AI48" i="87"/>
  <c r="AI54" i="87"/>
  <c r="AR113" i="87"/>
  <c r="S309" i="87"/>
  <c r="AU316" i="87"/>
  <c r="S350" i="87"/>
  <c r="S359" i="87"/>
  <c r="AO113" i="87"/>
  <c r="AJ127" i="87"/>
  <c r="AN141" i="87"/>
  <c r="AN145" i="87"/>
  <c r="L228" i="87"/>
  <c r="P228" i="87"/>
  <c r="AN325" i="87"/>
  <c r="AN329" i="87"/>
  <c r="S346" i="87"/>
  <c r="K234" i="87"/>
  <c r="S228" i="87"/>
  <c r="Z38" i="46"/>
  <c r="AP88" i="87"/>
  <c r="AK92" i="87"/>
  <c r="AU306" i="87"/>
  <c r="S319" i="87"/>
  <c r="S343" i="87"/>
  <c r="S345" i="87"/>
  <c r="S347" i="87"/>
  <c r="S351" i="87"/>
  <c r="AN368" i="87"/>
  <c r="S371" i="87"/>
  <c r="S386" i="87"/>
  <c r="S391" i="87"/>
  <c r="AN164" i="87"/>
  <c r="AN174" i="87"/>
  <c r="AN355" i="87"/>
  <c r="AN367" i="87"/>
  <c r="S382" i="87"/>
  <c r="AN400" i="87"/>
  <c r="AN404" i="87"/>
  <c r="AN408" i="87"/>
  <c r="AN412" i="87"/>
  <c r="AN416" i="87"/>
  <c r="AN420" i="87"/>
  <c r="AN424" i="87"/>
  <c r="S281" i="87"/>
  <c r="S288" i="87"/>
  <c r="C8" i="6"/>
  <c r="D8" i="6" s="1"/>
  <c r="AJ58" i="87"/>
  <c r="AO58" i="87"/>
  <c r="AO88" i="87"/>
  <c r="AO92" i="87"/>
  <c r="AU164" i="87"/>
  <c r="AN184" i="87"/>
  <c r="AP92" i="87"/>
  <c r="AU174" i="87"/>
  <c r="AH36" i="95"/>
  <c r="C16" i="6" s="1"/>
  <c r="D16" i="6" s="1"/>
  <c r="AU184" i="87"/>
  <c r="T25" i="46" l="1"/>
  <c r="W25" i="46"/>
  <c r="Q54" i="46"/>
  <c r="Q55" i="46" s="1"/>
  <c r="Q56" i="46" s="1"/>
  <c r="Q57" i="46" s="1"/>
  <c r="Q58" i="46" s="1"/>
  <c r="Q59" i="46" s="1"/>
  <c r="Q60" i="46" s="1"/>
  <c r="Q61" i="46" s="1"/>
  <c r="Q62" i="46" s="1"/>
  <c r="AN296" i="87"/>
  <c r="Z25" i="46"/>
  <c r="Z27" i="46" s="1"/>
  <c r="V25" i="46"/>
  <c r="AM32" i="46"/>
  <c r="AN32" i="46" s="1"/>
  <c r="U25" i="46"/>
  <c r="AA12" i="46"/>
  <c r="AI85" i="87"/>
  <c r="S289" i="87"/>
  <c r="Y25" i="46"/>
  <c r="Y27" i="46" s="1"/>
  <c r="AJ32" i="46"/>
  <c r="AK32" i="46" s="1"/>
  <c r="AG32" i="46"/>
  <c r="AH32" i="46" s="1"/>
  <c r="U32" i="46"/>
  <c r="V32" i="46" s="1"/>
  <c r="W32" i="46" s="1"/>
  <c r="X32" i="46" s="1"/>
  <c r="Y32" i="46" s="1"/>
  <c r="Z32" i="46" s="1"/>
  <c r="AA32" i="46" s="1"/>
  <c r="AB32" i="46" s="1"/>
  <c r="AC32" i="46" s="1"/>
  <c r="AD32" i="46" s="1"/>
  <c r="AE32" i="46" s="1"/>
  <c r="J289" i="87"/>
  <c r="AI40" i="93"/>
  <c r="C14" i="6" s="1"/>
  <c r="D14" i="6" s="1"/>
  <c r="AP32" i="46"/>
  <c r="AQ32" i="46" s="1"/>
  <c r="AO95" i="87"/>
  <c r="AO94" i="87"/>
  <c r="AN371" i="87"/>
  <c r="AN351" i="87"/>
  <c r="AN319" i="87"/>
  <c r="AL95" i="87"/>
  <c r="AL94" i="87"/>
  <c r="AN315" i="87"/>
  <c r="Z45" i="46"/>
  <c r="Y40" i="46"/>
  <c r="Z37" i="46"/>
  <c r="Z41" i="46"/>
  <c r="Z39" i="46"/>
  <c r="Y42" i="46"/>
  <c r="Y36" i="46"/>
  <c r="AI58" i="87"/>
  <c r="AN350" i="87"/>
  <c r="Z40" i="46"/>
  <c r="AN175" i="87"/>
  <c r="AN386" i="87"/>
  <c r="AN347" i="87"/>
  <c r="AN343" i="87"/>
  <c r="AN305" i="87"/>
  <c r="Y38" i="46"/>
  <c r="Z36" i="46"/>
  <c r="AN340" i="87"/>
  <c r="AN391" i="87"/>
  <c r="AN345" i="87"/>
  <c r="AN165" i="87"/>
  <c r="Y37" i="46"/>
  <c r="AN309" i="87"/>
  <c r="Y43" i="46"/>
  <c r="AA15" i="46"/>
  <c r="AJ81" i="87"/>
  <c r="Y39" i="46"/>
  <c r="AN155" i="87"/>
  <c r="Z42" i="46"/>
  <c r="G234" i="87"/>
  <c r="S234" i="87"/>
  <c r="AN359" i="87"/>
  <c r="Z44" i="46"/>
  <c r="Y44" i="46"/>
  <c r="AP91" i="87" l="1"/>
  <c r="AN95" i="87"/>
  <c r="AN94" i="87"/>
  <c r="AN159" i="87"/>
  <c r="C10" i="6"/>
  <c r="D10" i="6" s="1"/>
  <c r="AI91" i="87"/>
  <c r="AA17" i="46"/>
  <c r="AN179" i="87"/>
  <c r="AK95" i="87"/>
  <c r="AK94" i="87"/>
  <c r="AN169" i="87"/>
  <c r="C17" i="6" l="1"/>
  <c r="D17" i="6" s="1"/>
  <c r="AI94" i="87"/>
  <c r="AI95" i="87"/>
  <c r="AP95" i="87"/>
  <c r="AP94" i="87"/>
  <c r="AC16" i="38" l="1"/>
  <c r="AB16" i="38"/>
  <c r="AA16" i="38"/>
  <c r="Z16" i="38"/>
  <c r="Y16" i="38"/>
  <c r="X16" i="38"/>
  <c r="W16" i="38"/>
  <c r="V16" i="38"/>
  <c r="U16" i="38"/>
  <c r="T16" i="38"/>
  <c r="S16" i="38"/>
  <c r="R16" i="38"/>
  <c r="H17" i="26" l="1"/>
  <c r="E31" i="26"/>
  <c r="F31" i="26" s="1"/>
  <c r="H31" i="26" s="1"/>
  <c r="E11" i="26"/>
  <c r="F11" i="26" s="1"/>
  <c r="H11" i="26" s="1"/>
  <c r="E21" i="26"/>
  <c r="F21" i="26" s="1"/>
  <c r="H21" i="26" s="1"/>
  <c r="E17" i="26"/>
  <c r="F17" i="26" s="1"/>
  <c r="D9" i="40"/>
  <c r="S1113" i="2" s="1"/>
  <c r="D10" i="40"/>
  <c r="S1114" i="2" s="1"/>
  <c r="D11" i="40"/>
  <c r="S1115" i="2" s="1"/>
  <c r="D12" i="40"/>
  <c r="S1116" i="2" s="1"/>
  <c r="D13" i="40"/>
  <c r="S1117" i="2" s="1"/>
  <c r="D14" i="40"/>
  <c r="S1118" i="2" s="1"/>
  <c r="D15" i="40"/>
  <c r="S1119" i="2" s="1"/>
  <c r="D16" i="40"/>
  <c r="S1120" i="2" s="1"/>
  <c r="D17" i="40"/>
  <c r="S1121" i="2" s="1"/>
  <c r="D18" i="40"/>
  <c r="S1122" i="2" s="1"/>
  <c r="D8" i="40"/>
  <c r="S1112" i="2" s="1"/>
  <c r="D23" i="40"/>
  <c r="S1127" i="2" s="1"/>
  <c r="D20" i="40"/>
  <c r="S1124" i="2" s="1"/>
  <c r="D21" i="40"/>
  <c r="S1125" i="2" s="1"/>
  <c r="D22" i="40"/>
  <c r="S1126" i="2" s="1"/>
  <c r="D19" i="40"/>
  <c r="S1123" i="2" s="1"/>
  <c r="D5" i="64"/>
  <c r="E5" i="64" s="1"/>
  <c r="D6" i="64"/>
  <c r="E6" i="64" s="1"/>
  <c r="D7" i="64"/>
  <c r="E7" i="64" s="1"/>
  <c r="D8" i="64"/>
  <c r="E8" i="64" s="1"/>
  <c r="D9" i="64"/>
  <c r="E9" i="64" s="1"/>
  <c r="D10" i="64"/>
  <c r="E10" i="64" s="1"/>
  <c r="D11" i="64"/>
  <c r="E11" i="64" s="1"/>
  <c r="D4" i="64"/>
  <c r="E4" i="64" s="1"/>
  <c r="U26" i="30"/>
  <c r="U27" i="30"/>
  <c r="U32" i="30"/>
  <c r="U33" i="30"/>
  <c r="U51" i="30"/>
  <c r="Q40" i="30"/>
  <c r="Q39" i="30"/>
  <c r="Q31" i="30"/>
  <c r="Q30" i="30"/>
  <c r="Q25" i="30"/>
  <c r="Q24" i="30"/>
  <c r="O29" i="30"/>
  <c r="O23" i="30"/>
  <c r="O22" i="30"/>
  <c r="M28" i="30"/>
  <c r="M21" i="30"/>
  <c r="K9" i="30"/>
  <c r="K10" i="30"/>
  <c r="K11" i="30"/>
  <c r="K12" i="30"/>
  <c r="K13" i="30"/>
  <c r="K14" i="30"/>
  <c r="K15" i="30"/>
  <c r="K16" i="30"/>
  <c r="K17" i="30"/>
  <c r="K18" i="30"/>
  <c r="K19" i="30"/>
  <c r="K20" i="30"/>
  <c r="K8" i="30"/>
  <c r="K36" i="30"/>
  <c r="K37" i="30"/>
  <c r="K38" i="30"/>
  <c r="K41" i="30"/>
  <c r="K46" i="30"/>
  <c r="K48" i="30"/>
  <c r="I50" i="30"/>
  <c r="I49" i="30"/>
  <c r="I47" i="30"/>
  <c r="I46" i="30"/>
  <c r="I45" i="30"/>
  <c r="I44" i="30"/>
  <c r="I43" i="30"/>
  <c r="I42" i="30"/>
  <c r="I41" i="30"/>
  <c r="I17" i="30"/>
  <c r="E14" i="28"/>
  <c r="V21" i="32"/>
  <c r="W21" i="32"/>
  <c r="X21" i="32"/>
  <c r="Y21" i="32"/>
  <c r="Z21" i="32"/>
  <c r="AA21" i="32"/>
  <c r="AB21" i="32"/>
  <c r="AC21" i="32"/>
  <c r="AD21" i="32"/>
  <c r="AE21" i="32"/>
  <c r="AF21" i="32"/>
  <c r="U21" i="32"/>
  <c r="V22" i="32"/>
  <c r="W22" i="32"/>
  <c r="X22" i="32"/>
  <c r="Y22" i="32"/>
  <c r="Z22" i="32"/>
  <c r="AA22" i="32"/>
  <c r="AB22" i="32"/>
  <c r="AC22" i="32"/>
  <c r="AD22" i="32"/>
  <c r="AE22" i="32"/>
  <c r="AF22" i="32"/>
  <c r="U22" i="32"/>
  <c r="V27" i="32"/>
  <c r="W27" i="32"/>
  <c r="X27" i="32"/>
  <c r="Y27" i="32"/>
  <c r="Z27" i="32"/>
  <c r="AA27" i="32"/>
  <c r="AB27" i="32"/>
  <c r="AC27" i="32"/>
  <c r="AD27" i="32"/>
  <c r="AE27" i="32"/>
  <c r="AF27" i="32"/>
  <c r="U27" i="32"/>
  <c r="V26" i="32"/>
  <c r="W26" i="32"/>
  <c r="X26" i="32"/>
  <c r="Y26" i="32"/>
  <c r="Z26" i="32"/>
  <c r="AA26" i="32"/>
  <c r="AB26" i="32"/>
  <c r="AC26" i="32"/>
  <c r="AD26" i="32"/>
  <c r="AE26" i="32"/>
  <c r="AF26" i="32"/>
  <c r="U26" i="32"/>
  <c r="V12" i="32"/>
  <c r="W12" i="32"/>
  <c r="X12" i="32"/>
  <c r="Y12" i="32"/>
  <c r="Z12" i="32"/>
  <c r="AA12" i="32"/>
  <c r="AB12" i="32"/>
  <c r="AC12" i="32"/>
  <c r="AD12" i="32"/>
  <c r="AE12" i="32"/>
  <c r="AF12" i="32"/>
  <c r="V18" i="32"/>
  <c r="W18" i="32"/>
  <c r="X18" i="32"/>
  <c r="Y18" i="32"/>
  <c r="Z18" i="32"/>
  <c r="AA18" i="32"/>
  <c r="AB18" i="32"/>
  <c r="AC18" i="32"/>
  <c r="AD18" i="32"/>
  <c r="AE18" i="32"/>
  <c r="AF18" i="32"/>
  <c r="V23" i="32"/>
  <c r="W23" i="32"/>
  <c r="X23" i="32"/>
  <c r="Y23" i="32"/>
  <c r="Z23" i="32"/>
  <c r="AA23" i="32"/>
  <c r="AB23" i="32"/>
  <c r="AC23" i="32"/>
  <c r="AD23" i="32"/>
  <c r="AE23" i="32"/>
  <c r="AF23" i="32"/>
  <c r="V24" i="32"/>
  <c r="W24" i="32"/>
  <c r="X24" i="32"/>
  <c r="Y24" i="32"/>
  <c r="Z24" i="32"/>
  <c r="AA24" i="32"/>
  <c r="AB24" i="32"/>
  <c r="AC24" i="32"/>
  <c r="AD24" i="32"/>
  <c r="AE24" i="32"/>
  <c r="AF24" i="32"/>
  <c r="V25" i="32"/>
  <c r="W25" i="32"/>
  <c r="X25" i="32"/>
  <c r="Y25" i="32"/>
  <c r="Z25" i="32"/>
  <c r="AA25" i="32"/>
  <c r="AB25" i="32"/>
  <c r="AC25" i="32"/>
  <c r="AD25" i="32"/>
  <c r="AE25" i="32"/>
  <c r="AF25" i="32"/>
  <c r="V28" i="32"/>
  <c r="W28" i="32"/>
  <c r="X28" i="32"/>
  <c r="Y28" i="32"/>
  <c r="Z28" i="32"/>
  <c r="AA28" i="32"/>
  <c r="AB28" i="32"/>
  <c r="AC28" i="32"/>
  <c r="AD28" i="32"/>
  <c r="AE28" i="32"/>
  <c r="AF28" i="32"/>
  <c r="V29" i="32"/>
  <c r="W29" i="32"/>
  <c r="X29" i="32"/>
  <c r="Y29" i="32"/>
  <c r="Z29" i="32"/>
  <c r="AA29" i="32"/>
  <c r="AB29" i="32"/>
  <c r="AC29" i="32"/>
  <c r="AD29" i="32"/>
  <c r="AE29" i="32"/>
  <c r="AF29" i="32"/>
  <c r="U18" i="32"/>
  <c r="U23" i="32"/>
  <c r="U24" i="32"/>
  <c r="U25" i="32"/>
  <c r="U28" i="32"/>
  <c r="U29" i="32"/>
  <c r="U12" i="32"/>
  <c r="AF6" i="32"/>
  <c r="H130" i="44" l="1"/>
  <c r="H114" i="44"/>
  <c r="H122" i="44"/>
  <c r="H131" i="44"/>
  <c r="H123" i="44"/>
  <c r="H115" i="44"/>
  <c r="H107" i="44"/>
  <c r="H106" i="44"/>
  <c r="H125" i="44"/>
  <c r="H117" i="44"/>
  <c r="H109" i="44"/>
  <c r="H128" i="44"/>
  <c r="H120" i="44"/>
  <c r="H112" i="44"/>
  <c r="H104" i="44"/>
  <c r="H129" i="44"/>
  <c r="H126" i="44"/>
  <c r="H121" i="44"/>
  <c r="H118" i="44"/>
  <c r="H113" i="44"/>
  <c r="H110" i="44"/>
  <c r="H127" i="44"/>
  <c r="H111" i="44"/>
  <c r="H119" i="44"/>
  <c r="H105" i="44"/>
  <c r="H132" i="44"/>
  <c r="H124" i="44"/>
  <c r="H116" i="44"/>
  <c r="H108" i="44"/>
  <c r="H103" i="44"/>
  <c r="H102" i="44"/>
  <c r="C47" i="28"/>
  <c r="E71" i="28" l="1"/>
  <c r="F71" i="28" s="1"/>
  <c r="F14" i="28"/>
  <c r="C35" i="28" l="1"/>
  <c r="I18" i="34" l="1"/>
  <c r="J18" i="34"/>
  <c r="K18" i="34"/>
  <c r="L18" i="34"/>
  <c r="M18" i="34"/>
  <c r="N18" i="34"/>
  <c r="O18" i="34"/>
  <c r="P18" i="34"/>
  <c r="Q18" i="34"/>
  <c r="R18" i="34"/>
  <c r="S18" i="34"/>
  <c r="H18" i="34"/>
  <c r="G3" i="24"/>
  <c r="G4" i="24"/>
  <c r="G5" i="24"/>
  <c r="G6" i="24"/>
  <c r="G8" i="24"/>
  <c r="G9" i="24"/>
  <c r="G11" i="24"/>
  <c r="G12" i="24"/>
  <c r="G13" i="24"/>
  <c r="D33" i="36"/>
  <c r="D34" i="36"/>
  <c r="D35" i="36"/>
  <c r="D36" i="36"/>
  <c r="D37" i="36"/>
  <c r="D32" i="36"/>
  <c r="D31" i="36"/>
  <c r="D30" i="36"/>
  <c r="D29" i="36"/>
  <c r="D21" i="36"/>
  <c r="D22" i="36"/>
  <c r="D23" i="36"/>
  <c r="D24" i="36"/>
  <c r="D25" i="36"/>
  <c r="D20" i="36"/>
  <c r="D19" i="36"/>
  <c r="D18" i="36"/>
  <c r="D17" i="36"/>
  <c r="G7" i="24" l="1"/>
  <c r="G10" i="24" l="1"/>
  <c r="I13" i="34" l="1"/>
  <c r="J13" i="34"/>
  <c r="K13" i="34"/>
  <c r="L13" i="34"/>
  <c r="M13" i="34"/>
  <c r="N13" i="34"/>
  <c r="O13" i="34"/>
  <c r="P13" i="34"/>
  <c r="Q13" i="34"/>
  <c r="R13" i="34"/>
  <c r="S13" i="34"/>
  <c r="H13" i="34"/>
  <c r="I19" i="34"/>
  <c r="J19" i="34"/>
  <c r="K19" i="34"/>
  <c r="L19" i="34"/>
  <c r="M19" i="34"/>
  <c r="N19" i="34"/>
  <c r="O19" i="34"/>
  <c r="P19" i="34"/>
  <c r="Q19" i="34"/>
  <c r="R19" i="34"/>
  <c r="S19" i="34"/>
  <c r="H19" i="34"/>
  <c r="I9" i="34"/>
  <c r="J9" i="34"/>
  <c r="K9" i="34"/>
  <c r="L9" i="34"/>
  <c r="M9" i="34"/>
  <c r="N9" i="34"/>
  <c r="O9" i="34"/>
  <c r="P9" i="34"/>
  <c r="Q9" i="34"/>
  <c r="R9" i="34"/>
  <c r="S9" i="34"/>
  <c r="H9" i="34"/>
  <c r="I16" i="34"/>
  <c r="J16" i="34"/>
  <c r="K16" i="34"/>
  <c r="L16" i="34"/>
  <c r="M16" i="34"/>
  <c r="N16" i="34"/>
  <c r="O16" i="34"/>
  <c r="P16" i="34"/>
  <c r="Q16" i="34"/>
  <c r="R16" i="34"/>
  <c r="S16" i="34"/>
  <c r="H16" i="34"/>
  <c r="I17" i="34"/>
  <c r="J17" i="34"/>
  <c r="K17" i="34"/>
  <c r="L17" i="34"/>
  <c r="M17" i="34"/>
  <c r="N17" i="34"/>
  <c r="O17" i="34"/>
  <c r="P17" i="34"/>
  <c r="Q17" i="34"/>
  <c r="R17" i="34"/>
  <c r="S17" i="34"/>
  <c r="H17" i="34"/>
  <c r="I15" i="34"/>
  <c r="J15" i="34"/>
  <c r="K15" i="34"/>
  <c r="L15" i="34"/>
  <c r="M15" i="34"/>
  <c r="N15" i="34"/>
  <c r="O15" i="34"/>
  <c r="P15" i="34"/>
  <c r="Q15" i="34"/>
  <c r="R15" i="34"/>
  <c r="S15" i="34"/>
  <c r="H15" i="34"/>
  <c r="I14" i="34"/>
  <c r="J14" i="34"/>
  <c r="K14" i="34"/>
  <c r="L14" i="34"/>
  <c r="M14" i="34"/>
  <c r="N14" i="34"/>
  <c r="O14" i="34"/>
  <c r="P14" i="34"/>
  <c r="Q14" i="34"/>
  <c r="R14" i="34"/>
  <c r="S14" i="34"/>
  <c r="H14" i="34"/>
  <c r="I12" i="34"/>
  <c r="J12" i="34"/>
  <c r="K12" i="34"/>
  <c r="L12" i="34"/>
  <c r="M12" i="34"/>
  <c r="N12" i="34"/>
  <c r="O12" i="34"/>
  <c r="P12" i="34"/>
  <c r="Q12" i="34"/>
  <c r="R12" i="34"/>
  <c r="S12" i="34"/>
  <c r="H12" i="34"/>
  <c r="I11" i="34"/>
  <c r="J11" i="34"/>
  <c r="K11" i="34"/>
  <c r="L11" i="34"/>
  <c r="M11" i="34"/>
  <c r="N11" i="34"/>
  <c r="O11" i="34"/>
  <c r="P11" i="34"/>
  <c r="Q11" i="34"/>
  <c r="R11" i="34"/>
  <c r="S11" i="34"/>
  <c r="H11" i="34"/>
  <c r="I10" i="34"/>
  <c r="J10" i="34"/>
  <c r="K10" i="34"/>
  <c r="L10" i="34"/>
  <c r="M10" i="34"/>
  <c r="N10" i="34"/>
  <c r="O10" i="34"/>
  <c r="P10" i="34"/>
  <c r="Q10" i="34"/>
  <c r="R10" i="34"/>
  <c r="S10" i="34"/>
  <c r="H10" i="34"/>
  <c r="AC4" i="38" l="1"/>
  <c r="AB4" i="38"/>
  <c r="AA4" i="38"/>
  <c r="Z4" i="38"/>
  <c r="Z2" i="38" s="1"/>
  <c r="Y4" i="38"/>
  <c r="X4" i="38"/>
  <c r="W4" i="38"/>
  <c r="V4" i="38"/>
  <c r="U4" i="38"/>
  <c r="T4" i="38"/>
  <c r="S4" i="38"/>
  <c r="R4" i="38"/>
  <c r="I47" i="51"/>
  <c r="J47" i="51"/>
  <c r="K47" i="51"/>
  <c r="L47" i="51"/>
  <c r="M47" i="51"/>
  <c r="N47" i="51"/>
  <c r="Z15" i="38"/>
  <c r="N48" i="51"/>
  <c r="N49" i="51"/>
  <c r="N51" i="51"/>
  <c r="N52" i="51"/>
  <c r="O47" i="51"/>
  <c r="P47" i="51"/>
  <c r="Q47" i="51"/>
  <c r="U15" i="38"/>
  <c r="I49" i="51" s="1"/>
  <c r="I48" i="51"/>
  <c r="V15" i="38"/>
  <c r="W15" i="38"/>
  <c r="K48" i="51"/>
  <c r="X15" i="38"/>
  <c r="L49" i="51" s="1"/>
  <c r="L48" i="51"/>
  <c r="Y15" i="38"/>
  <c r="Y2" i="38" s="1"/>
  <c r="M48" i="51"/>
  <c r="AA15" i="38"/>
  <c r="AB15" i="38"/>
  <c r="P48" i="51"/>
  <c r="AC15" i="38"/>
  <c r="Q49" i="51" s="1"/>
  <c r="Q48" i="51"/>
  <c r="M49" i="51"/>
  <c r="I51" i="51"/>
  <c r="J51" i="51"/>
  <c r="K51" i="51"/>
  <c r="L51" i="51"/>
  <c r="M51" i="51"/>
  <c r="O51" i="51"/>
  <c r="P51" i="51"/>
  <c r="Q51" i="51"/>
  <c r="I52" i="51"/>
  <c r="J52" i="51"/>
  <c r="K52" i="51"/>
  <c r="L52" i="51"/>
  <c r="M52" i="51"/>
  <c r="O52" i="51"/>
  <c r="P52" i="51"/>
  <c r="Q52" i="51"/>
  <c r="I11" i="51"/>
  <c r="C32" i="26" s="1"/>
  <c r="AN26" i="2" s="1"/>
  <c r="AK3" i="38"/>
  <c r="AK4" i="38"/>
  <c r="AK5" i="38"/>
  <c r="AK6" i="38"/>
  <c r="AK7" i="38"/>
  <c r="AK8" i="38"/>
  <c r="AK9" i="38"/>
  <c r="AK10" i="38"/>
  <c r="AK11" i="38"/>
  <c r="AK12" i="38"/>
  <c r="AK13" i="38"/>
  <c r="AK14" i="38"/>
  <c r="AK15" i="38"/>
  <c r="AK16" i="38"/>
  <c r="AK17" i="38"/>
  <c r="AK18" i="38"/>
  <c r="AK19" i="38"/>
  <c r="AK20" i="38"/>
  <c r="AK21" i="38"/>
  <c r="AK22" i="38"/>
  <c r="AK23" i="38"/>
  <c r="AK24" i="38"/>
  <c r="AK25" i="38"/>
  <c r="AK26" i="38"/>
  <c r="AK27" i="38"/>
  <c r="AK28" i="38"/>
  <c r="AK29" i="38"/>
  <c r="AK30" i="38"/>
  <c r="AK31" i="38"/>
  <c r="AK32" i="38"/>
  <c r="AK33" i="38"/>
  <c r="AK34" i="38"/>
  <c r="AK35" i="38"/>
  <c r="AK36" i="38"/>
  <c r="AK37" i="38"/>
  <c r="AK38" i="38"/>
  <c r="AK39" i="38"/>
  <c r="AK40" i="38"/>
  <c r="AK41" i="38"/>
  <c r="AK42" i="38"/>
  <c r="AK43" i="38"/>
  <c r="AK44" i="38"/>
  <c r="AK45" i="38"/>
  <c r="AK46" i="38"/>
  <c r="AK47" i="38"/>
  <c r="AK48" i="38"/>
  <c r="AK49" i="38"/>
  <c r="AK50" i="38"/>
  <c r="AK51" i="38"/>
  <c r="AK52" i="38"/>
  <c r="AK53" i="38"/>
  <c r="AK54" i="38"/>
  <c r="AK55" i="38"/>
  <c r="AK56" i="38"/>
  <c r="AK57" i="38"/>
  <c r="AK58" i="38"/>
  <c r="AK59" i="38"/>
  <c r="AK60" i="38"/>
  <c r="AK61" i="38"/>
  <c r="AK62" i="38"/>
  <c r="AK63" i="38"/>
  <c r="AK64" i="38"/>
  <c r="AK65" i="38"/>
  <c r="AK66" i="38"/>
  <c r="AK67" i="38"/>
  <c r="AK68" i="38"/>
  <c r="AK69" i="38"/>
  <c r="AK70" i="38"/>
  <c r="AK71" i="38"/>
  <c r="AK72" i="38"/>
  <c r="AK73" i="38"/>
  <c r="AK74" i="38"/>
  <c r="AK75" i="38"/>
  <c r="AK76" i="38"/>
  <c r="AK77" i="38"/>
  <c r="AK78" i="38"/>
  <c r="AK79" i="38"/>
  <c r="AK80" i="38"/>
  <c r="AK81" i="38"/>
  <c r="AK82" i="38"/>
  <c r="AK83" i="38"/>
  <c r="AK84" i="38"/>
  <c r="AK85" i="38"/>
  <c r="AK86" i="38"/>
  <c r="AK87" i="38"/>
  <c r="AK88" i="38"/>
  <c r="AK89" i="38"/>
  <c r="AK90" i="38"/>
  <c r="AK91" i="38"/>
  <c r="AK92" i="38"/>
  <c r="AK93" i="38"/>
  <c r="AK94" i="38"/>
  <c r="AK95" i="38"/>
  <c r="AK96" i="38"/>
  <c r="AK97" i="38"/>
  <c r="AK98" i="38"/>
  <c r="AK99" i="38"/>
  <c r="AK100" i="38"/>
  <c r="AK101" i="38"/>
  <c r="AK102" i="38"/>
  <c r="AK103" i="38"/>
  <c r="AK104" i="38"/>
  <c r="AK105" i="38"/>
  <c r="AK106" i="38"/>
  <c r="AK107" i="38"/>
  <c r="AK108" i="38"/>
  <c r="AK109" i="38"/>
  <c r="AK110" i="38"/>
  <c r="AK111" i="38"/>
  <c r="AK112" i="38"/>
  <c r="AK113" i="38"/>
  <c r="AK114" i="38"/>
  <c r="AK115" i="38"/>
  <c r="AK116" i="38"/>
  <c r="AK117" i="38"/>
  <c r="AK118" i="38"/>
  <c r="AK119" i="38"/>
  <c r="AK120" i="38"/>
  <c r="AK121" i="38"/>
  <c r="AK122" i="38"/>
  <c r="AK123" i="38"/>
  <c r="AK124" i="38"/>
  <c r="AK125" i="38"/>
  <c r="AK126" i="38"/>
  <c r="AK127" i="38"/>
  <c r="AK128" i="38"/>
  <c r="AK129" i="38"/>
  <c r="AK130" i="38"/>
  <c r="AK131" i="38"/>
  <c r="AK132" i="38"/>
  <c r="AK133" i="38"/>
  <c r="AK134" i="38"/>
  <c r="AK135" i="38"/>
  <c r="AK136" i="38"/>
  <c r="AK137" i="38"/>
  <c r="AK138" i="38"/>
  <c r="AK139" i="38"/>
  <c r="AK140" i="38"/>
  <c r="AK141" i="38"/>
  <c r="AK142" i="38"/>
  <c r="AK143" i="38"/>
  <c r="AK144" i="38"/>
  <c r="AK145" i="38"/>
  <c r="AK146" i="38"/>
  <c r="AK147" i="38"/>
  <c r="AK148" i="38"/>
  <c r="AK149" i="38"/>
  <c r="AK150" i="38"/>
  <c r="AK151" i="38"/>
  <c r="AK152" i="38"/>
  <c r="AK153" i="38"/>
  <c r="AK154" i="38"/>
  <c r="AK155" i="38"/>
  <c r="AK156" i="38"/>
  <c r="AK157" i="38"/>
  <c r="AK158" i="38"/>
  <c r="AK159" i="38"/>
  <c r="AK160" i="38"/>
  <c r="AK161" i="38"/>
  <c r="AK162" i="38"/>
  <c r="AK163" i="38"/>
  <c r="AK164" i="38"/>
  <c r="AK165" i="38"/>
  <c r="AK166" i="38"/>
  <c r="AK167" i="38"/>
  <c r="AK168" i="38"/>
  <c r="AK169" i="38"/>
  <c r="AK170" i="38"/>
  <c r="AK171" i="38"/>
  <c r="AK172" i="38"/>
  <c r="AK173" i="38"/>
  <c r="AK174" i="38"/>
  <c r="AK175" i="38"/>
  <c r="AK176" i="38"/>
  <c r="AK177" i="38"/>
  <c r="AK178" i="38"/>
  <c r="AK179" i="38"/>
  <c r="AK180" i="38"/>
  <c r="AK181" i="38"/>
  <c r="AK182" i="38"/>
  <c r="AK183" i="38"/>
  <c r="AK184" i="38"/>
  <c r="AK185" i="38"/>
  <c r="AK186" i="38"/>
  <c r="AK187" i="38"/>
  <c r="AK188" i="38"/>
  <c r="AK189" i="38"/>
  <c r="AK190" i="38"/>
  <c r="AK191" i="38"/>
  <c r="AK192" i="38"/>
  <c r="AK193" i="38"/>
  <c r="AK194" i="38"/>
  <c r="AK195" i="38"/>
  <c r="AK196" i="38"/>
  <c r="AK197" i="38"/>
  <c r="AK198" i="38"/>
  <c r="AK199" i="38"/>
  <c r="AK200" i="38"/>
  <c r="AK201" i="38"/>
  <c r="AK202" i="38"/>
  <c r="AK203" i="38"/>
  <c r="AK204" i="38"/>
  <c r="AK205" i="38"/>
  <c r="AK206" i="38"/>
  <c r="AK207" i="38"/>
  <c r="AK208" i="38"/>
  <c r="AK209" i="38"/>
  <c r="AK210" i="38"/>
  <c r="AK211" i="38"/>
  <c r="AK212" i="38"/>
  <c r="AK213" i="38"/>
  <c r="AK214" i="38"/>
  <c r="AK215" i="38"/>
  <c r="AK216" i="38"/>
  <c r="AK217" i="38"/>
  <c r="AK218" i="38"/>
  <c r="AK219" i="38"/>
  <c r="AK220" i="38"/>
  <c r="AK221" i="38"/>
  <c r="AK222" i="38"/>
  <c r="AK223" i="38"/>
  <c r="AK224" i="38"/>
  <c r="AK225" i="38"/>
  <c r="AK226" i="38"/>
  <c r="AK227" i="38"/>
  <c r="AK228" i="38"/>
  <c r="AK229" i="38"/>
  <c r="AK230" i="38"/>
  <c r="AK231" i="38"/>
  <c r="AK232" i="38"/>
  <c r="AK233" i="38"/>
  <c r="AK234" i="38"/>
  <c r="AK235" i="38"/>
  <c r="AK236" i="38"/>
  <c r="AK237" i="38"/>
  <c r="AK238" i="38"/>
  <c r="AK239" i="38"/>
  <c r="AK240" i="38"/>
  <c r="AK241" i="38"/>
  <c r="AK242" i="38"/>
  <c r="AK243" i="38"/>
  <c r="AK244" i="38"/>
  <c r="AK245" i="38"/>
  <c r="AK246" i="38"/>
  <c r="AK247" i="38"/>
  <c r="AK248" i="38"/>
  <c r="AK249" i="38"/>
  <c r="AK250" i="38"/>
  <c r="AK251" i="38"/>
  <c r="AK252" i="38"/>
  <c r="AK253" i="38"/>
  <c r="AK254" i="38"/>
  <c r="AK255" i="38"/>
  <c r="AK256" i="38"/>
  <c r="AK257" i="38"/>
  <c r="AK258" i="38"/>
  <c r="AK259" i="38"/>
  <c r="AK260" i="38"/>
  <c r="AK261" i="38"/>
  <c r="AK262" i="38"/>
  <c r="AK263" i="38"/>
  <c r="AK264" i="38"/>
  <c r="AK265" i="38"/>
  <c r="AK266" i="38"/>
  <c r="AK267" i="38"/>
  <c r="AK268" i="38"/>
  <c r="AK269" i="38"/>
  <c r="AK270" i="38"/>
  <c r="AK271" i="38"/>
  <c r="AK272" i="38"/>
  <c r="AK273" i="38"/>
  <c r="AK274" i="38"/>
  <c r="AK275" i="38"/>
  <c r="AK276" i="38"/>
  <c r="AK277" i="38"/>
  <c r="AK278" i="38"/>
  <c r="AK279" i="38"/>
  <c r="AK280" i="38"/>
  <c r="AK281" i="38"/>
  <c r="AK282" i="38"/>
  <c r="AK283" i="38"/>
  <c r="AK284" i="38"/>
  <c r="AK285" i="38"/>
  <c r="AK286" i="38"/>
  <c r="AK287" i="38"/>
  <c r="AK288" i="38"/>
  <c r="AK289" i="38"/>
  <c r="AK290" i="38"/>
  <c r="AK291" i="38"/>
  <c r="AK292" i="38"/>
  <c r="AK293" i="38"/>
  <c r="AK294" i="38"/>
  <c r="AK295" i="38"/>
  <c r="AK296" i="38"/>
  <c r="AK297" i="38"/>
  <c r="AK298" i="38"/>
  <c r="AK299" i="38"/>
  <c r="AK300" i="38"/>
  <c r="AK301" i="38"/>
  <c r="AK302" i="38"/>
  <c r="AK303" i="38"/>
  <c r="AK304" i="38"/>
  <c r="AK305" i="38"/>
  <c r="AK306" i="38"/>
  <c r="AK307" i="38"/>
  <c r="AK308" i="38"/>
  <c r="AK309" i="38"/>
  <c r="AK310" i="38"/>
  <c r="AK311" i="38"/>
  <c r="AK312" i="38"/>
  <c r="AK313" i="38"/>
  <c r="AK314" i="38"/>
  <c r="AK315" i="38"/>
  <c r="AK316" i="38"/>
  <c r="AK317" i="38"/>
  <c r="AK318" i="38"/>
  <c r="AK319" i="38"/>
  <c r="AK320" i="38"/>
  <c r="AK321" i="38"/>
  <c r="AK322" i="38"/>
  <c r="AK323" i="38"/>
  <c r="AK324" i="38"/>
  <c r="AK325" i="38"/>
  <c r="AK326" i="38"/>
  <c r="AK327" i="38"/>
  <c r="AK328" i="38"/>
  <c r="AK329" i="38"/>
  <c r="AK330" i="38"/>
  <c r="AK331" i="38"/>
  <c r="AK332" i="38"/>
  <c r="AK333" i="38"/>
  <c r="AK334" i="38"/>
  <c r="AK335" i="38"/>
  <c r="AK336" i="38"/>
  <c r="AK337" i="38"/>
  <c r="AK338" i="38"/>
  <c r="AK339" i="38"/>
  <c r="AK340" i="38"/>
  <c r="AK341" i="38"/>
  <c r="AK342" i="38"/>
  <c r="AK343" i="38"/>
  <c r="AK344" i="38"/>
  <c r="AK345" i="38"/>
  <c r="AK346" i="38"/>
  <c r="AK347" i="38"/>
  <c r="AK348" i="38"/>
  <c r="AK349" i="38"/>
  <c r="AK350" i="38"/>
  <c r="AK351" i="38"/>
  <c r="AK352" i="38"/>
  <c r="AK353" i="38"/>
  <c r="AK354" i="38"/>
  <c r="AK355" i="38"/>
  <c r="AK356" i="38"/>
  <c r="AK357" i="38"/>
  <c r="AK358" i="38"/>
  <c r="AK359" i="38"/>
  <c r="AK360" i="38"/>
  <c r="AK361" i="38"/>
  <c r="AK362" i="38"/>
  <c r="AK363" i="38"/>
  <c r="AK364" i="38"/>
  <c r="AK365" i="38"/>
  <c r="AK366" i="38"/>
  <c r="AK367" i="38"/>
  <c r="AK368" i="38"/>
  <c r="AK369" i="38"/>
  <c r="AK370" i="38"/>
  <c r="AK371" i="38"/>
  <c r="AK372" i="38"/>
  <c r="AK373" i="38"/>
  <c r="AK374" i="38"/>
  <c r="AK375" i="38"/>
  <c r="AK376" i="38"/>
  <c r="AK377" i="38"/>
  <c r="AK378" i="38"/>
  <c r="AK379" i="38"/>
  <c r="AK380" i="38"/>
  <c r="AK381" i="38"/>
  <c r="AK382" i="38"/>
  <c r="AK383" i="38"/>
  <c r="AK384" i="38"/>
  <c r="AK385" i="38"/>
  <c r="AK386" i="38"/>
  <c r="AK387" i="38"/>
  <c r="AK388" i="38"/>
  <c r="AK389" i="38"/>
  <c r="AK390" i="38"/>
  <c r="AK391" i="38"/>
  <c r="AK392" i="38"/>
  <c r="AK393" i="38"/>
  <c r="AK394" i="38"/>
  <c r="AK395" i="38"/>
  <c r="AK396" i="38"/>
  <c r="AK397" i="38"/>
  <c r="AK398" i="38"/>
  <c r="AK399" i="38"/>
  <c r="AK400" i="38"/>
  <c r="AK401" i="38"/>
  <c r="AK402" i="38"/>
  <c r="AK403" i="38"/>
  <c r="AK404" i="38"/>
  <c r="AK405" i="38"/>
  <c r="AK406" i="38"/>
  <c r="AK407" i="38"/>
  <c r="AK408" i="38"/>
  <c r="AK409" i="38"/>
  <c r="AK410" i="38"/>
  <c r="AK411" i="38"/>
  <c r="AK412" i="38"/>
  <c r="AK413" i="38"/>
  <c r="AK414" i="38"/>
  <c r="AK415" i="38"/>
  <c r="AK416" i="38"/>
  <c r="AK417" i="38"/>
  <c r="AK418" i="38"/>
  <c r="AK419" i="38"/>
  <c r="AK420" i="38"/>
  <c r="AK421" i="38"/>
  <c r="AK422" i="38"/>
  <c r="AK423" i="38"/>
  <c r="AK424" i="38"/>
  <c r="AK425" i="38"/>
  <c r="AK426" i="38"/>
  <c r="AK427" i="38"/>
  <c r="AK428" i="38"/>
  <c r="AK429" i="38"/>
  <c r="AK430" i="38"/>
  <c r="AK431" i="38"/>
  <c r="AK432" i="38"/>
  <c r="AK433" i="38"/>
  <c r="AK434" i="38"/>
  <c r="AK435" i="38"/>
  <c r="AK436" i="38"/>
  <c r="AK437" i="38"/>
  <c r="AK438" i="38"/>
  <c r="AK439" i="38"/>
  <c r="AK440" i="38"/>
  <c r="AK441" i="38"/>
  <c r="AK442" i="38"/>
  <c r="AK443" i="38"/>
  <c r="AK444" i="38"/>
  <c r="AK445" i="38"/>
  <c r="AK446" i="38"/>
  <c r="AK447" i="38"/>
  <c r="AK448" i="38"/>
  <c r="AK449" i="38"/>
  <c r="AK450" i="38"/>
  <c r="AK451" i="38"/>
  <c r="AK452" i="38"/>
  <c r="AK453" i="38"/>
  <c r="AK454" i="38"/>
  <c r="AK455" i="38"/>
  <c r="AK456" i="38"/>
  <c r="AK457" i="38"/>
  <c r="AK458" i="38"/>
  <c r="AK459" i="38"/>
  <c r="AK460" i="38"/>
  <c r="AK461" i="38"/>
  <c r="AK462" i="38"/>
  <c r="AK463" i="38"/>
  <c r="AK464" i="38"/>
  <c r="AK465" i="38"/>
  <c r="AK466" i="38"/>
  <c r="AK467" i="38"/>
  <c r="AK468" i="38"/>
  <c r="AK469" i="38"/>
  <c r="AK470" i="38"/>
  <c r="AK471" i="38"/>
  <c r="AK472" i="38"/>
  <c r="AK473" i="38"/>
  <c r="AK474" i="38"/>
  <c r="AK475" i="38"/>
  <c r="AK476" i="38"/>
  <c r="AK477" i="38"/>
  <c r="AK478" i="38"/>
  <c r="AK479" i="38"/>
  <c r="AK480" i="38"/>
  <c r="AK481" i="38"/>
  <c r="AK482" i="38"/>
  <c r="AK483" i="38"/>
  <c r="AK484" i="38"/>
  <c r="AK485" i="38"/>
  <c r="AK486" i="38"/>
  <c r="AK487" i="38"/>
  <c r="AK488" i="38"/>
  <c r="AK489" i="38"/>
  <c r="AK490" i="38"/>
  <c r="AK491" i="38"/>
  <c r="AK492" i="38"/>
  <c r="AK493" i="38"/>
  <c r="AK494" i="38"/>
  <c r="AK495" i="38"/>
  <c r="AK496" i="38"/>
  <c r="AK497" i="38"/>
  <c r="AK498" i="38"/>
  <c r="AK499" i="38"/>
  <c r="AK500" i="38"/>
  <c r="AK501" i="38"/>
  <c r="AK502" i="38"/>
  <c r="AK503" i="38"/>
  <c r="AK504" i="38"/>
  <c r="AK505" i="38"/>
  <c r="AK506" i="38"/>
  <c r="AK507" i="38"/>
  <c r="AK508" i="38"/>
  <c r="AK509" i="38"/>
  <c r="AK510" i="38"/>
  <c r="AK511" i="38"/>
  <c r="AK512" i="38"/>
  <c r="AK513" i="38"/>
  <c r="AK514" i="38"/>
  <c r="AK515" i="38"/>
  <c r="AK516" i="38"/>
  <c r="AK517" i="38"/>
  <c r="AK518" i="38"/>
  <c r="AK519" i="38"/>
  <c r="AK520" i="38"/>
  <c r="AK521" i="38"/>
  <c r="AK522" i="38"/>
  <c r="AK523" i="38"/>
  <c r="AK524" i="38"/>
  <c r="AK525" i="38"/>
  <c r="AK526" i="38"/>
  <c r="AK527" i="38"/>
  <c r="AK528" i="38"/>
  <c r="AK529" i="38"/>
  <c r="AK530" i="38"/>
  <c r="AK531" i="38"/>
  <c r="AK532" i="38"/>
  <c r="AK533" i="38"/>
  <c r="AK534" i="38"/>
  <c r="AK535" i="38"/>
  <c r="AK536" i="38"/>
  <c r="AK537" i="38"/>
  <c r="AK538" i="38"/>
  <c r="AK539" i="38"/>
  <c r="AK540" i="38"/>
  <c r="AK541" i="38"/>
  <c r="AK542" i="38"/>
  <c r="AK543" i="38"/>
  <c r="AK544" i="38"/>
  <c r="AK545" i="38"/>
  <c r="AK546" i="38"/>
  <c r="AK547" i="38"/>
  <c r="AK548" i="38"/>
  <c r="AK549" i="38"/>
  <c r="AK550" i="38"/>
  <c r="AK551" i="38"/>
  <c r="AK552" i="38"/>
  <c r="AK553" i="38"/>
  <c r="AK554" i="38"/>
  <c r="AK555" i="38"/>
  <c r="AK556" i="38"/>
  <c r="AK557" i="38"/>
  <c r="AK558" i="38"/>
  <c r="AK559" i="38"/>
  <c r="AK560" i="38"/>
  <c r="AK561" i="38"/>
  <c r="AK562" i="38"/>
  <c r="AK563" i="38"/>
  <c r="AK564" i="38"/>
  <c r="AK565" i="38"/>
  <c r="AK566" i="38"/>
  <c r="AK567" i="38"/>
  <c r="AK568" i="38"/>
  <c r="AK569" i="38"/>
  <c r="AK570" i="38"/>
  <c r="AK571" i="38"/>
  <c r="AK572" i="38"/>
  <c r="AK573" i="38"/>
  <c r="AK574" i="38"/>
  <c r="AK575" i="38"/>
  <c r="AK576" i="38"/>
  <c r="AK577" i="38"/>
  <c r="AK578" i="38"/>
  <c r="AK579" i="38"/>
  <c r="AK580" i="38"/>
  <c r="AK581" i="38"/>
  <c r="AK582" i="38"/>
  <c r="AK583" i="38"/>
  <c r="AK584" i="38"/>
  <c r="AK585" i="38"/>
  <c r="AK586" i="38"/>
  <c r="AK587" i="38"/>
  <c r="AK588" i="38"/>
  <c r="AK589" i="38"/>
  <c r="AK590" i="38"/>
  <c r="AK591" i="38"/>
  <c r="AK592" i="38"/>
  <c r="AK593" i="38"/>
  <c r="AK594" i="38"/>
  <c r="AK595" i="38"/>
  <c r="AK596" i="38"/>
  <c r="AK597" i="38"/>
  <c r="AK598" i="38"/>
  <c r="AK599" i="38"/>
  <c r="AK600" i="38"/>
  <c r="AK601" i="38"/>
  <c r="AK602" i="38"/>
  <c r="AK603" i="38"/>
  <c r="AK604" i="38"/>
  <c r="AK605" i="38"/>
  <c r="AK606" i="38"/>
  <c r="AK607" i="38"/>
  <c r="AK608" i="38"/>
  <c r="AK609" i="38"/>
  <c r="AK610" i="38"/>
  <c r="AK611" i="38"/>
  <c r="AK612" i="38"/>
  <c r="AK613" i="38"/>
  <c r="AK614" i="38"/>
  <c r="AK615" i="38"/>
  <c r="AK616" i="38"/>
  <c r="AK617" i="38"/>
  <c r="AK618" i="38"/>
  <c r="AK619" i="38"/>
  <c r="AK620" i="38"/>
  <c r="AK621" i="38"/>
  <c r="AK622" i="38"/>
  <c r="AK623" i="38"/>
  <c r="AK624" i="38"/>
  <c r="AK625" i="38"/>
  <c r="AK626" i="38"/>
  <c r="AK627" i="38"/>
  <c r="AK628" i="38"/>
  <c r="AK629" i="38"/>
  <c r="AK630" i="38"/>
  <c r="AK631" i="38"/>
  <c r="AK632" i="38"/>
  <c r="AK633" i="38"/>
  <c r="AK634" i="38"/>
  <c r="AK635" i="38"/>
  <c r="AK636" i="38"/>
  <c r="AK637" i="38"/>
  <c r="AK638" i="38"/>
  <c r="AK639" i="38"/>
  <c r="AK640" i="38"/>
  <c r="AK641" i="38"/>
  <c r="AK642" i="38"/>
  <c r="AK643" i="38"/>
  <c r="AK644" i="38"/>
  <c r="AK645" i="38"/>
  <c r="AK646" i="38"/>
  <c r="AK647" i="38"/>
  <c r="AK648" i="38"/>
  <c r="AK649" i="38"/>
  <c r="AK650" i="38"/>
  <c r="AK651" i="38"/>
  <c r="AK652" i="38"/>
  <c r="AK653" i="38"/>
  <c r="AK654" i="38"/>
  <c r="AK655" i="38"/>
  <c r="AK656" i="38"/>
  <c r="AK657" i="38"/>
  <c r="AK658" i="38"/>
  <c r="AK659" i="38"/>
  <c r="AK660" i="38"/>
  <c r="AK661" i="38"/>
  <c r="AK662" i="38"/>
  <c r="AK663" i="38"/>
  <c r="AK664" i="38"/>
  <c r="AK665" i="38"/>
  <c r="AK666" i="38"/>
  <c r="AK667" i="38"/>
  <c r="AK668" i="38"/>
  <c r="AK669" i="38"/>
  <c r="AK670" i="38"/>
  <c r="AK671" i="38"/>
  <c r="AK672" i="38"/>
  <c r="AK673" i="38"/>
  <c r="AK674" i="38"/>
  <c r="AK675" i="38"/>
  <c r="AK676" i="38"/>
  <c r="AK677" i="38"/>
  <c r="AK678" i="38"/>
  <c r="AK679" i="38"/>
  <c r="AK680" i="38"/>
  <c r="AK681" i="38"/>
  <c r="AK682" i="38"/>
  <c r="AK683" i="38"/>
  <c r="AK684" i="38"/>
  <c r="AK685" i="38"/>
  <c r="AK686" i="38"/>
  <c r="AK687" i="38"/>
  <c r="AK688" i="38"/>
  <c r="AK689" i="38"/>
  <c r="AK690" i="38"/>
  <c r="AK691" i="38"/>
  <c r="AK692" i="38"/>
  <c r="AK693" i="38"/>
  <c r="AK694" i="38"/>
  <c r="AK695" i="38"/>
  <c r="AK696" i="38"/>
  <c r="AK697" i="38"/>
  <c r="AK698" i="38"/>
  <c r="AK699" i="38"/>
  <c r="AK700" i="38"/>
  <c r="AK701" i="38"/>
  <c r="AK702" i="38"/>
  <c r="AK703" i="38"/>
  <c r="AK704" i="38"/>
  <c r="AK705" i="38"/>
  <c r="AK706" i="38"/>
  <c r="AK707" i="38"/>
  <c r="AK708" i="38"/>
  <c r="AK709" i="38"/>
  <c r="AK710" i="38"/>
  <c r="AK711" i="38"/>
  <c r="AK712" i="38"/>
  <c r="AK713" i="38"/>
  <c r="AK714" i="38"/>
  <c r="AK715" i="38"/>
  <c r="AK716" i="38"/>
  <c r="AK717" i="38"/>
  <c r="AK718" i="38"/>
  <c r="AK719" i="38"/>
  <c r="AK720" i="38"/>
  <c r="AK721" i="38"/>
  <c r="AK722" i="38"/>
  <c r="AK723" i="38"/>
  <c r="AK724" i="38"/>
  <c r="AK725" i="38"/>
  <c r="AK726" i="38"/>
  <c r="AK727" i="38"/>
  <c r="AK728" i="38"/>
  <c r="AK729" i="38"/>
  <c r="AK730" i="38"/>
  <c r="AK731" i="38"/>
  <c r="AK732" i="38"/>
  <c r="AK733" i="38"/>
  <c r="AK734" i="38"/>
  <c r="AK735" i="38"/>
  <c r="AK736" i="38"/>
  <c r="AK737" i="38"/>
  <c r="AK738" i="38"/>
  <c r="AK739" i="38"/>
  <c r="AK740" i="38"/>
  <c r="AK741" i="38"/>
  <c r="AK742" i="38"/>
  <c r="AK743" i="38"/>
  <c r="AK744" i="38"/>
  <c r="AK745" i="38"/>
  <c r="AK746" i="38"/>
  <c r="AK747" i="38"/>
  <c r="AK748" i="38"/>
  <c r="AK749" i="38"/>
  <c r="AK750" i="38"/>
  <c r="AK751" i="38"/>
  <c r="AK752" i="38"/>
  <c r="AK753" i="38"/>
  <c r="AK754" i="38"/>
  <c r="AK755" i="38"/>
  <c r="AK756" i="38"/>
  <c r="AK757" i="38"/>
  <c r="AK758" i="38"/>
  <c r="AK759" i="38"/>
  <c r="AK760" i="38"/>
  <c r="AK761" i="38"/>
  <c r="AK762" i="38"/>
  <c r="AK763" i="38"/>
  <c r="AK764" i="38"/>
  <c r="AK765" i="38"/>
  <c r="AK766" i="38"/>
  <c r="AK767" i="38"/>
  <c r="AK768" i="38"/>
  <c r="AK769" i="38"/>
  <c r="AK770" i="38"/>
  <c r="AK771" i="38"/>
  <c r="AK772" i="38"/>
  <c r="AK773" i="38"/>
  <c r="AK774" i="38"/>
  <c r="AK775" i="38"/>
  <c r="AK776" i="38"/>
  <c r="AK777" i="38"/>
  <c r="AK778" i="38"/>
  <c r="AK779" i="38"/>
  <c r="AK780" i="38"/>
  <c r="AK781" i="38"/>
  <c r="AK782" i="38"/>
  <c r="AK783" i="38"/>
  <c r="AK784" i="38"/>
  <c r="AK785" i="38"/>
  <c r="AK786" i="38"/>
  <c r="AK787" i="38"/>
  <c r="AK788" i="38"/>
  <c r="AK789" i="38"/>
  <c r="AK790" i="38"/>
  <c r="AK791" i="38"/>
  <c r="AK792" i="38"/>
  <c r="AK793" i="38"/>
  <c r="AK794" i="38"/>
  <c r="AK795" i="38"/>
  <c r="AK796" i="38"/>
  <c r="AK797" i="38"/>
  <c r="AK798" i="38"/>
  <c r="AK799" i="38"/>
  <c r="AK800" i="38"/>
  <c r="AK801" i="38"/>
  <c r="AK802" i="38"/>
  <c r="AK803" i="38"/>
  <c r="AK804" i="38"/>
  <c r="AK805" i="38"/>
  <c r="AK806" i="38"/>
  <c r="AK807" i="38"/>
  <c r="AK808" i="38"/>
  <c r="AK809" i="38"/>
  <c r="AK810" i="38"/>
  <c r="AK811" i="38"/>
  <c r="AK812" i="38"/>
  <c r="AK813" i="38"/>
  <c r="AK814" i="38"/>
  <c r="AK815" i="38"/>
  <c r="AK816" i="38"/>
  <c r="AK817" i="38"/>
  <c r="AK818" i="38"/>
  <c r="AK819" i="38"/>
  <c r="AK820" i="38"/>
  <c r="AK821" i="38"/>
  <c r="AK822" i="38"/>
  <c r="AK823" i="38"/>
  <c r="AK824" i="38"/>
  <c r="AK825" i="38"/>
  <c r="AK826" i="38"/>
  <c r="AK827" i="38"/>
  <c r="AK828" i="38"/>
  <c r="AK829" i="38"/>
  <c r="AK830" i="38"/>
  <c r="AK831" i="38"/>
  <c r="AK832" i="38"/>
  <c r="AK833" i="38"/>
  <c r="AK834" i="38"/>
  <c r="AK835" i="38"/>
  <c r="AK836" i="38"/>
  <c r="AK837" i="38"/>
  <c r="AK838" i="38"/>
  <c r="AK839" i="38"/>
  <c r="AK840" i="38"/>
  <c r="AK841" i="38"/>
  <c r="AK842" i="38"/>
  <c r="AK843" i="38"/>
  <c r="AK844" i="38"/>
  <c r="AK845" i="38"/>
  <c r="AK846" i="38"/>
  <c r="AK847" i="38"/>
  <c r="AK848" i="38"/>
  <c r="AK849" i="38"/>
  <c r="AK850" i="38"/>
  <c r="AK851" i="38"/>
  <c r="AK852" i="38"/>
  <c r="AK853" i="38"/>
  <c r="AK854" i="38"/>
  <c r="AK855" i="38"/>
  <c r="AK856" i="38"/>
  <c r="AK857" i="38"/>
  <c r="AK858" i="38"/>
  <c r="AK859" i="38"/>
  <c r="AK860" i="38"/>
  <c r="AK861" i="38"/>
  <c r="AK862" i="38"/>
  <c r="AK863" i="38"/>
  <c r="AK864" i="38"/>
  <c r="AK865" i="38"/>
  <c r="AK866" i="38"/>
  <c r="AK867" i="38"/>
  <c r="AK868" i="38"/>
  <c r="AK869" i="38"/>
  <c r="AK870" i="38"/>
  <c r="AK871" i="38"/>
  <c r="AK872" i="38"/>
  <c r="AK873" i="38"/>
  <c r="AK874" i="38"/>
  <c r="AK875" i="38"/>
  <c r="AK876" i="38"/>
  <c r="AK877" i="38"/>
  <c r="AK878" i="38"/>
  <c r="AK879" i="38"/>
  <c r="AK880" i="38"/>
  <c r="AK881" i="38"/>
  <c r="AK882" i="38"/>
  <c r="AK883" i="38"/>
  <c r="AK884" i="38"/>
  <c r="AK885" i="38"/>
  <c r="AK886" i="38"/>
  <c r="AK887" i="38"/>
  <c r="AK888" i="38"/>
  <c r="AK889" i="38"/>
  <c r="AK890" i="38"/>
  <c r="AK891" i="38"/>
  <c r="AK892" i="38"/>
  <c r="AK893" i="38"/>
  <c r="AK894" i="38"/>
  <c r="AK895" i="38"/>
  <c r="AK896" i="38"/>
  <c r="AK897" i="38"/>
  <c r="AK898" i="38"/>
  <c r="AK899" i="38"/>
  <c r="AK900" i="38"/>
  <c r="AK901" i="38"/>
  <c r="AK902" i="38"/>
  <c r="AK903" i="38"/>
  <c r="AK904" i="38"/>
  <c r="AK905" i="38"/>
  <c r="AK906" i="38"/>
  <c r="AK907" i="38"/>
  <c r="AK908" i="38"/>
  <c r="AK909" i="38"/>
  <c r="AK910" i="38"/>
  <c r="AK911" i="38"/>
  <c r="AK912" i="38"/>
  <c r="AK913" i="38"/>
  <c r="AK914" i="38"/>
  <c r="AK915" i="38"/>
  <c r="AK916" i="38"/>
  <c r="AK917" i="38"/>
  <c r="AK918" i="38"/>
  <c r="AK919" i="38"/>
  <c r="AK920" i="38"/>
  <c r="AK921" i="38"/>
  <c r="AK922" i="38"/>
  <c r="AK923" i="38"/>
  <c r="AK924" i="38"/>
  <c r="AK925" i="38"/>
  <c r="AK926" i="38"/>
  <c r="AK927" i="38"/>
  <c r="AK928" i="38"/>
  <c r="AK929" i="38"/>
  <c r="AK930" i="38"/>
  <c r="AK931" i="38"/>
  <c r="AK932" i="38"/>
  <c r="AK933" i="38"/>
  <c r="AK934" i="38"/>
  <c r="AK935" i="38"/>
  <c r="AK936" i="38"/>
  <c r="AK937" i="38"/>
  <c r="AK938" i="38"/>
  <c r="AK939" i="38"/>
  <c r="AK940" i="38"/>
  <c r="AK941" i="38"/>
  <c r="AK942" i="38"/>
  <c r="AK943" i="38"/>
  <c r="AK944" i="38"/>
  <c r="AK945" i="38"/>
  <c r="AK946" i="38"/>
  <c r="AK947" i="38"/>
  <c r="AK948" i="38"/>
  <c r="AK949" i="38"/>
  <c r="AK950" i="38"/>
  <c r="AK951" i="38"/>
  <c r="AK952" i="38"/>
  <c r="AK953" i="38"/>
  <c r="AK954" i="38"/>
  <c r="AK955" i="38"/>
  <c r="AK956" i="38"/>
  <c r="AK957" i="38"/>
  <c r="AK958" i="38"/>
  <c r="AK959" i="38"/>
  <c r="AK960" i="38"/>
  <c r="AK961" i="38"/>
  <c r="AK962" i="38"/>
  <c r="AK963" i="38"/>
  <c r="AK964" i="38"/>
  <c r="AK965" i="38"/>
  <c r="AK966" i="38"/>
  <c r="AK967" i="38"/>
  <c r="AK968" i="38"/>
  <c r="AK969" i="38"/>
  <c r="AK970" i="38"/>
  <c r="AK971" i="38"/>
  <c r="AK972" i="38"/>
  <c r="AK973" i="38"/>
  <c r="AK974" i="38"/>
  <c r="AK975" i="38"/>
  <c r="AK976" i="38"/>
  <c r="AK977" i="38"/>
  <c r="AK978" i="38"/>
  <c r="AK979" i="38"/>
  <c r="AK980" i="38"/>
  <c r="AK981" i="38"/>
  <c r="AK982" i="38"/>
  <c r="AK983" i="38"/>
  <c r="AK984" i="38"/>
  <c r="AK985" i="38"/>
  <c r="AK986" i="38"/>
  <c r="AK987" i="38"/>
  <c r="AK988" i="38"/>
  <c r="AK989" i="38"/>
  <c r="AK990" i="38"/>
  <c r="AK991" i="38"/>
  <c r="AK992" i="38"/>
  <c r="AK993" i="38"/>
  <c r="AK994" i="38"/>
  <c r="AK995" i="38"/>
  <c r="AK996" i="38"/>
  <c r="AK997" i="38"/>
  <c r="AK998" i="38"/>
  <c r="AK999" i="38"/>
  <c r="AK1000" i="38"/>
  <c r="AK1001" i="38"/>
  <c r="AK2" i="38"/>
  <c r="X2" i="38"/>
  <c r="R15" i="38"/>
  <c r="R2" i="38" s="1"/>
  <c r="T21" i="46" s="1"/>
  <c r="AC2" i="38"/>
  <c r="T15" i="38"/>
  <c r="T2" i="38" s="1"/>
  <c r="S15" i="38"/>
  <c r="S2" i="38" s="1"/>
  <c r="U21" i="46" s="1"/>
  <c r="A193" i="2"/>
  <c r="C193" i="2"/>
  <c r="F193" i="2"/>
  <c r="S193" i="2"/>
  <c r="AM193" i="2"/>
  <c r="AN193" i="2"/>
  <c r="A194" i="2"/>
  <c r="C194" i="2"/>
  <c r="F194" i="2"/>
  <c r="S194" i="2"/>
  <c r="AM194" i="2"/>
  <c r="AN194" i="2"/>
  <c r="A195" i="2"/>
  <c r="C195" i="2"/>
  <c r="F195" i="2"/>
  <c r="S195" i="2"/>
  <c r="AM195" i="2"/>
  <c r="AN195" i="2"/>
  <c r="A196" i="2"/>
  <c r="C196" i="2"/>
  <c r="F196" i="2"/>
  <c r="S196" i="2"/>
  <c r="AM196" i="2"/>
  <c r="AN196" i="2"/>
  <c r="A197" i="2"/>
  <c r="C197" i="2"/>
  <c r="F197" i="2"/>
  <c r="S197" i="2"/>
  <c r="AM197" i="2"/>
  <c r="AN197" i="2"/>
  <c r="A198" i="2"/>
  <c r="C198" i="2"/>
  <c r="F198" i="2"/>
  <c r="S198" i="2"/>
  <c r="AM198" i="2"/>
  <c r="AN198" i="2"/>
  <c r="A199" i="2"/>
  <c r="C199" i="2"/>
  <c r="F199" i="2"/>
  <c r="S199" i="2"/>
  <c r="AM199" i="2"/>
  <c r="AN199" i="2"/>
  <c r="A200" i="2"/>
  <c r="C200" i="2"/>
  <c r="F200" i="2"/>
  <c r="S200" i="2"/>
  <c r="AM200" i="2"/>
  <c r="AN200" i="2"/>
  <c r="C71" i="28"/>
  <c r="S201" i="2" s="1"/>
  <c r="C14" i="44"/>
  <c r="F69" i="64"/>
  <c r="E69" i="64"/>
  <c r="D69" i="64"/>
  <c r="AN1001" i="38"/>
  <c r="AN1000" i="38"/>
  <c r="AN999" i="38"/>
  <c r="AN998" i="38"/>
  <c r="AN997" i="38"/>
  <c r="AN996" i="38"/>
  <c r="AN995" i="38"/>
  <c r="AN994" i="38"/>
  <c r="AN993" i="38"/>
  <c r="AN992" i="38"/>
  <c r="AN991" i="38"/>
  <c r="AN990" i="38"/>
  <c r="AN989" i="38"/>
  <c r="AN988" i="38"/>
  <c r="AN987" i="38"/>
  <c r="AN986" i="38"/>
  <c r="AN985" i="38"/>
  <c r="AN984" i="38"/>
  <c r="AN983" i="38"/>
  <c r="AN982" i="38"/>
  <c r="AN981" i="38"/>
  <c r="AN980" i="38"/>
  <c r="AN979" i="38"/>
  <c r="AN978" i="38"/>
  <c r="AN977" i="38"/>
  <c r="AN976" i="38"/>
  <c r="AN975" i="38"/>
  <c r="AN974" i="38"/>
  <c r="AN973" i="38"/>
  <c r="AN972" i="38"/>
  <c r="AN971" i="38"/>
  <c r="AN970" i="38"/>
  <c r="AN969" i="38"/>
  <c r="AN968" i="38"/>
  <c r="AN967" i="38"/>
  <c r="AN966" i="38"/>
  <c r="AN965" i="38"/>
  <c r="AN964" i="38"/>
  <c r="AN963" i="38"/>
  <c r="AN962" i="38"/>
  <c r="AN961" i="38"/>
  <c r="AN960" i="38"/>
  <c r="AN959" i="38"/>
  <c r="AN958" i="38"/>
  <c r="AN957" i="38"/>
  <c r="AN956" i="38"/>
  <c r="AN955" i="38"/>
  <c r="AN954" i="38"/>
  <c r="AN953" i="38"/>
  <c r="AN952" i="38"/>
  <c r="AN951" i="38"/>
  <c r="AN950" i="38"/>
  <c r="AN949" i="38"/>
  <c r="AN948" i="38"/>
  <c r="AN947" i="38"/>
  <c r="AN946" i="38"/>
  <c r="AN945" i="38"/>
  <c r="AN944" i="38"/>
  <c r="AN943" i="38"/>
  <c r="AN942" i="38"/>
  <c r="AN941" i="38"/>
  <c r="AN940" i="38"/>
  <c r="AN939" i="38"/>
  <c r="AN938" i="38"/>
  <c r="AN937" i="38"/>
  <c r="AN936" i="38"/>
  <c r="AN935" i="38"/>
  <c r="AN934" i="38"/>
  <c r="AN933" i="38"/>
  <c r="AN932" i="38"/>
  <c r="AN931" i="38"/>
  <c r="AN930" i="38"/>
  <c r="AN929" i="38"/>
  <c r="AN928" i="38"/>
  <c r="AN927" i="38"/>
  <c r="AN926" i="38"/>
  <c r="AN925" i="38"/>
  <c r="AN924" i="38"/>
  <c r="AN923" i="38"/>
  <c r="AN922" i="38"/>
  <c r="AN921" i="38"/>
  <c r="AN920" i="38"/>
  <c r="AN919" i="38"/>
  <c r="AN918" i="38"/>
  <c r="AN917" i="38"/>
  <c r="AN916" i="38"/>
  <c r="AN915" i="38"/>
  <c r="AN914" i="38"/>
  <c r="AN913" i="38"/>
  <c r="AN912" i="38"/>
  <c r="AN911" i="38"/>
  <c r="AN910" i="38"/>
  <c r="AN909" i="38"/>
  <c r="AN908" i="38"/>
  <c r="AN907" i="38"/>
  <c r="AN906" i="38"/>
  <c r="AN905" i="38"/>
  <c r="AN904" i="38"/>
  <c r="AN903" i="38"/>
  <c r="AN902" i="38"/>
  <c r="AN901" i="38"/>
  <c r="AN900" i="38"/>
  <c r="AN899" i="38"/>
  <c r="AN898" i="38"/>
  <c r="AN897" i="38"/>
  <c r="AN896" i="38"/>
  <c r="AN895" i="38"/>
  <c r="AN894" i="38"/>
  <c r="AN893" i="38"/>
  <c r="AN892" i="38"/>
  <c r="AN891" i="38"/>
  <c r="AN890" i="38"/>
  <c r="AN889" i="38"/>
  <c r="AN888" i="38"/>
  <c r="AN887" i="38"/>
  <c r="AN886" i="38"/>
  <c r="AN885" i="38"/>
  <c r="AN884" i="38"/>
  <c r="AN883" i="38"/>
  <c r="AN882" i="38"/>
  <c r="AN881" i="38"/>
  <c r="AN880" i="38"/>
  <c r="AN879" i="38"/>
  <c r="AN878" i="38"/>
  <c r="AN877" i="38"/>
  <c r="AN876" i="38"/>
  <c r="AN875" i="38"/>
  <c r="AN874" i="38"/>
  <c r="AN873" i="38"/>
  <c r="AN872" i="38"/>
  <c r="AN871" i="38"/>
  <c r="AN870" i="38"/>
  <c r="AN869" i="38"/>
  <c r="AN868" i="38"/>
  <c r="AN867" i="38"/>
  <c r="AN866" i="38"/>
  <c r="AN865" i="38"/>
  <c r="AN864" i="38"/>
  <c r="AN863" i="38"/>
  <c r="AN862" i="38"/>
  <c r="AN861" i="38"/>
  <c r="AN860" i="38"/>
  <c r="AN859" i="38"/>
  <c r="AN858" i="38"/>
  <c r="AN857" i="38"/>
  <c r="AN856" i="38"/>
  <c r="AN855" i="38"/>
  <c r="AN854" i="38"/>
  <c r="AN853" i="38"/>
  <c r="AN852" i="38"/>
  <c r="AN851" i="38"/>
  <c r="AN850" i="38"/>
  <c r="AN849" i="38"/>
  <c r="AN848" i="38"/>
  <c r="AN847" i="38"/>
  <c r="AN846" i="38"/>
  <c r="AN845" i="38"/>
  <c r="AN844" i="38"/>
  <c r="AN843" i="38"/>
  <c r="AN842" i="38"/>
  <c r="AN841" i="38"/>
  <c r="AN840" i="38"/>
  <c r="AN839" i="38"/>
  <c r="AN838" i="38"/>
  <c r="AN837" i="38"/>
  <c r="AN836" i="38"/>
  <c r="AN835" i="38"/>
  <c r="AN834" i="38"/>
  <c r="AN833" i="38"/>
  <c r="AN832" i="38"/>
  <c r="AN831" i="38"/>
  <c r="AN830" i="38"/>
  <c r="AN829" i="38"/>
  <c r="AN828" i="38"/>
  <c r="AN827" i="38"/>
  <c r="AN826" i="38"/>
  <c r="AN825" i="38"/>
  <c r="AN824" i="38"/>
  <c r="AN823" i="38"/>
  <c r="AN822" i="38"/>
  <c r="AN821" i="38"/>
  <c r="AN820" i="38"/>
  <c r="AN819" i="38"/>
  <c r="AN818" i="38"/>
  <c r="AN817" i="38"/>
  <c r="AN816" i="38"/>
  <c r="AN815" i="38"/>
  <c r="AN814" i="38"/>
  <c r="AN813" i="38"/>
  <c r="AN812" i="38"/>
  <c r="AN811" i="38"/>
  <c r="AN810" i="38"/>
  <c r="AN809" i="38"/>
  <c r="AN808" i="38"/>
  <c r="AN807" i="38"/>
  <c r="AN806" i="38"/>
  <c r="AN805" i="38"/>
  <c r="AN804" i="38"/>
  <c r="AN803" i="38"/>
  <c r="AN802" i="38"/>
  <c r="AN801" i="38"/>
  <c r="AN800" i="38"/>
  <c r="AN799" i="38"/>
  <c r="AN798" i="38"/>
  <c r="AN797" i="38"/>
  <c r="AN796" i="38"/>
  <c r="AN795" i="38"/>
  <c r="AN794" i="38"/>
  <c r="AN793" i="38"/>
  <c r="AN792" i="38"/>
  <c r="AN791" i="38"/>
  <c r="AN790" i="38"/>
  <c r="AN789" i="38"/>
  <c r="AN788" i="38"/>
  <c r="AN787" i="38"/>
  <c r="AN786" i="38"/>
  <c r="AN785" i="38"/>
  <c r="AN784" i="38"/>
  <c r="AN783" i="38"/>
  <c r="AN782" i="38"/>
  <c r="AN781" i="38"/>
  <c r="AN780" i="38"/>
  <c r="AN779" i="38"/>
  <c r="AN778" i="38"/>
  <c r="AN777" i="38"/>
  <c r="AN776" i="38"/>
  <c r="AN775" i="38"/>
  <c r="AN774" i="38"/>
  <c r="AN773" i="38"/>
  <c r="AN772" i="38"/>
  <c r="AN771" i="38"/>
  <c r="AN770" i="38"/>
  <c r="AN769" i="38"/>
  <c r="AN768" i="38"/>
  <c r="AN767" i="38"/>
  <c r="AN766" i="38"/>
  <c r="AN765" i="38"/>
  <c r="AN764" i="38"/>
  <c r="AN763" i="38"/>
  <c r="AN762" i="38"/>
  <c r="AN761" i="38"/>
  <c r="AN760" i="38"/>
  <c r="AN759" i="38"/>
  <c r="AN758" i="38"/>
  <c r="AN757" i="38"/>
  <c r="AN756" i="38"/>
  <c r="AN755" i="38"/>
  <c r="AN754" i="38"/>
  <c r="AN753" i="38"/>
  <c r="AN752" i="38"/>
  <c r="AN751" i="38"/>
  <c r="AN750" i="38"/>
  <c r="AN749" i="38"/>
  <c r="AN748" i="38"/>
  <c r="AN747" i="38"/>
  <c r="AN746" i="38"/>
  <c r="AN745" i="38"/>
  <c r="AN744" i="38"/>
  <c r="AN743" i="38"/>
  <c r="AN742" i="38"/>
  <c r="AN741" i="38"/>
  <c r="AN740" i="38"/>
  <c r="AN739" i="38"/>
  <c r="AN738" i="38"/>
  <c r="AN737" i="38"/>
  <c r="AN736" i="38"/>
  <c r="AN735" i="38"/>
  <c r="AN734" i="38"/>
  <c r="AN733" i="38"/>
  <c r="AN732" i="38"/>
  <c r="AN731" i="38"/>
  <c r="AN730" i="38"/>
  <c r="AN729" i="38"/>
  <c r="AN728" i="38"/>
  <c r="AN727" i="38"/>
  <c r="AN726" i="38"/>
  <c r="AN725" i="38"/>
  <c r="AN724" i="38"/>
  <c r="AN723" i="38"/>
  <c r="AN722" i="38"/>
  <c r="AN721" i="38"/>
  <c r="AN720" i="38"/>
  <c r="AN719" i="38"/>
  <c r="AN718" i="38"/>
  <c r="AN717" i="38"/>
  <c r="AN716" i="38"/>
  <c r="AN715" i="38"/>
  <c r="AN714" i="38"/>
  <c r="AN713" i="38"/>
  <c r="AN712" i="38"/>
  <c r="AN711" i="38"/>
  <c r="AN710" i="38"/>
  <c r="AN709" i="38"/>
  <c r="AN708" i="38"/>
  <c r="AN707" i="38"/>
  <c r="AN706" i="38"/>
  <c r="AN705" i="38"/>
  <c r="AN704" i="38"/>
  <c r="AN703" i="38"/>
  <c r="AN702" i="38"/>
  <c r="AN701" i="38"/>
  <c r="AN700" i="38"/>
  <c r="AN699" i="38"/>
  <c r="AN698" i="38"/>
  <c r="AN697" i="38"/>
  <c r="AN696" i="38"/>
  <c r="AN695" i="38"/>
  <c r="AN694" i="38"/>
  <c r="AN693" i="38"/>
  <c r="AN692" i="38"/>
  <c r="AN691" i="38"/>
  <c r="AN690" i="38"/>
  <c r="AN689" i="38"/>
  <c r="AN688" i="38"/>
  <c r="AN687" i="38"/>
  <c r="AN686" i="38"/>
  <c r="AN685" i="38"/>
  <c r="AN684" i="38"/>
  <c r="AN683" i="38"/>
  <c r="AN682" i="38"/>
  <c r="AN681" i="38"/>
  <c r="AN680" i="38"/>
  <c r="AN679" i="38"/>
  <c r="AN678" i="38"/>
  <c r="AN677" i="38"/>
  <c r="AN676" i="38"/>
  <c r="AN675" i="38"/>
  <c r="AN674" i="38"/>
  <c r="AN673" i="38"/>
  <c r="AN672" i="38"/>
  <c r="AN671" i="38"/>
  <c r="AN670" i="38"/>
  <c r="AN669" i="38"/>
  <c r="AN668" i="38"/>
  <c r="AN667" i="38"/>
  <c r="AN666" i="38"/>
  <c r="AN665" i="38"/>
  <c r="AN664" i="38"/>
  <c r="AN663" i="38"/>
  <c r="AN662" i="38"/>
  <c r="AN661" i="38"/>
  <c r="AN660" i="38"/>
  <c r="AN659" i="38"/>
  <c r="AN658" i="38"/>
  <c r="AN657" i="38"/>
  <c r="AN656" i="38"/>
  <c r="AN655" i="38"/>
  <c r="AN654" i="38"/>
  <c r="AN653" i="38"/>
  <c r="AN652" i="38"/>
  <c r="AN651" i="38"/>
  <c r="AN650" i="38"/>
  <c r="AN649" i="38"/>
  <c r="AN648" i="38"/>
  <c r="AN647" i="38"/>
  <c r="AN646" i="38"/>
  <c r="AN645" i="38"/>
  <c r="AN644" i="38"/>
  <c r="AN643" i="38"/>
  <c r="AN642" i="38"/>
  <c r="AN641" i="38"/>
  <c r="AN640" i="38"/>
  <c r="AN639" i="38"/>
  <c r="AN638" i="38"/>
  <c r="AN637" i="38"/>
  <c r="AN636" i="38"/>
  <c r="AN635" i="38"/>
  <c r="AN634" i="38"/>
  <c r="AN633" i="38"/>
  <c r="AN632" i="38"/>
  <c r="AN631" i="38"/>
  <c r="AN630" i="38"/>
  <c r="AN629" i="38"/>
  <c r="AN628" i="38"/>
  <c r="AN627" i="38"/>
  <c r="AN626" i="38"/>
  <c r="AN625" i="38"/>
  <c r="AN624" i="38"/>
  <c r="AN623" i="38"/>
  <c r="AN622" i="38"/>
  <c r="AN621" i="38"/>
  <c r="AN620" i="38"/>
  <c r="AN619" i="38"/>
  <c r="AN618" i="38"/>
  <c r="AN617" i="38"/>
  <c r="AN616" i="38"/>
  <c r="AN615" i="38"/>
  <c r="AN614" i="38"/>
  <c r="AN613" i="38"/>
  <c r="AN612" i="38"/>
  <c r="AN611" i="38"/>
  <c r="AN610" i="38"/>
  <c r="AN609" i="38"/>
  <c r="AN608" i="38"/>
  <c r="AN607" i="38"/>
  <c r="AN606" i="38"/>
  <c r="AN605" i="38"/>
  <c r="AN604" i="38"/>
  <c r="AN603" i="38"/>
  <c r="AN602" i="38"/>
  <c r="AN601" i="38"/>
  <c r="AN600" i="38"/>
  <c r="AN599" i="38"/>
  <c r="AN598" i="38"/>
  <c r="AN597" i="38"/>
  <c r="AN596" i="38"/>
  <c r="AN595" i="38"/>
  <c r="AN594" i="38"/>
  <c r="AN593" i="38"/>
  <c r="AN592" i="38"/>
  <c r="AN591" i="38"/>
  <c r="AN590" i="38"/>
  <c r="AN589" i="38"/>
  <c r="AN588" i="38"/>
  <c r="AN587" i="38"/>
  <c r="AN586" i="38"/>
  <c r="AN585" i="38"/>
  <c r="AN584" i="38"/>
  <c r="AN583" i="38"/>
  <c r="AN582" i="38"/>
  <c r="AN581" i="38"/>
  <c r="AN580" i="38"/>
  <c r="AN579" i="38"/>
  <c r="AN578" i="38"/>
  <c r="AN577" i="38"/>
  <c r="AN576" i="38"/>
  <c r="AN575" i="38"/>
  <c r="AN574" i="38"/>
  <c r="AN573" i="38"/>
  <c r="AN572" i="38"/>
  <c r="AN571" i="38"/>
  <c r="AN570" i="38"/>
  <c r="AN569" i="38"/>
  <c r="AN568" i="38"/>
  <c r="AN567" i="38"/>
  <c r="AN566" i="38"/>
  <c r="AN565" i="38"/>
  <c r="AN564" i="38"/>
  <c r="AN563" i="38"/>
  <c r="AN562" i="38"/>
  <c r="AN561" i="38"/>
  <c r="AN560" i="38"/>
  <c r="AN559" i="38"/>
  <c r="AN558" i="38"/>
  <c r="AN557" i="38"/>
  <c r="AN556" i="38"/>
  <c r="AN555" i="38"/>
  <c r="AN554" i="38"/>
  <c r="AN553" i="38"/>
  <c r="AN552" i="38"/>
  <c r="AN551" i="38"/>
  <c r="AN550" i="38"/>
  <c r="AN549" i="38"/>
  <c r="AN548" i="38"/>
  <c r="AN547" i="38"/>
  <c r="AN546" i="38"/>
  <c r="AN545" i="38"/>
  <c r="AN544" i="38"/>
  <c r="AN543" i="38"/>
  <c r="AN542" i="38"/>
  <c r="AN541" i="38"/>
  <c r="AN540" i="38"/>
  <c r="AN539" i="38"/>
  <c r="AN538" i="38"/>
  <c r="AN537" i="38"/>
  <c r="AN536" i="38"/>
  <c r="AN535" i="38"/>
  <c r="AN534" i="38"/>
  <c r="AN533" i="38"/>
  <c r="AN532" i="38"/>
  <c r="AN531" i="38"/>
  <c r="AN530" i="38"/>
  <c r="AN529" i="38"/>
  <c r="AN528" i="38"/>
  <c r="AN527" i="38"/>
  <c r="AN526" i="38"/>
  <c r="AN525" i="38"/>
  <c r="AN524" i="38"/>
  <c r="AN523" i="38"/>
  <c r="AN522" i="38"/>
  <c r="AN521" i="38"/>
  <c r="AN520" i="38"/>
  <c r="AN519" i="38"/>
  <c r="AN518" i="38"/>
  <c r="AN517" i="38"/>
  <c r="AN516" i="38"/>
  <c r="AN515" i="38"/>
  <c r="AN514" i="38"/>
  <c r="AN513" i="38"/>
  <c r="AN512" i="38"/>
  <c r="AN511" i="38"/>
  <c r="AN510" i="38"/>
  <c r="AN509" i="38"/>
  <c r="AN508" i="38"/>
  <c r="AN507" i="38"/>
  <c r="AN506" i="38"/>
  <c r="AN505" i="38"/>
  <c r="AN504" i="38"/>
  <c r="AN503" i="38"/>
  <c r="AN502" i="38"/>
  <c r="AN501" i="38"/>
  <c r="AN500" i="38"/>
  <c r="AN499" i="38"/>
  <c r="AN498" i="38"/>
  <c r="AN497" i="38"/>
  <c r="AN496" i="38"/>
  <c r="AN495" i="38"/>
  <c r="AN494" i="38"/>
  <c r="AN493" i="38"/>
  <c r="AN492" i="38"/>
  <c r="AN491" i="38"/>
  <c r="AN490" i="38"/>
  <c r="AN489" i="38"/>
  <c r="AN488" i="38"/>
  <c r="AN487" i="38"/>
  <c r="AN486" i="38"/>
  <c r="AN485" i="38"/>
  <c r="AN484" i="38"/>
  <c r="AN483" i="38"/>
  <c r="AN482" i="38"/>
  <c r="AN481" i="38"/>
  <c r="AN480" i="38"/>
  <c r="AN479" i="38"/>
  <c r="AN478" i="38"/>
  <c r="AN477" i="38"/>
  <c r="AN476" i="38"/>
  <c r="AN475" i="38"/>
  <c r="AN474" i="38"/>
  <c r="AN473" i="38"/>
  <c r="AN472" i="38"/>
  <c r="AN471" i="38"/>
  <c r="AN470" i="38"/>
  <c r="AN469" i="38"/>
  <c r="AN468" i="38"/>
  <c r="AN467" i="38"/>
  <c r="AN466" i="38"/>
  <c r="AN465" i="38"/>
  <c r="AN464" i="38"/>
  <c r="AN463" i="38"/>
  <c r="AN462" i="38"/>
  <c r="AN461" i="38"/>
  <c r="AN460" i="38"/>
  <c r="AN459" i="38"/>
  <c r="AN458" i="38"/>
  <c r="AN457" i="38"/>
  <c r="AN456" i="38"/>
  <c r="AN455" i="38"/>
  <c r="AN454" i="38"/>
  <c r="AN453" i="38"/>
  <c r="AN452" i="38"/>
  <c r="AN451" i="38"/>
  <c r="AN450" i="38"/>
  <c r="AN449" i="38"/>
  <c r="AN448" i="38"/>
  <c r="AN447" i="38"/>
  <c r="AN446" i="38"/>
  <c r="AN445" i="38"/>
  <c r="AN444" i="38"/>
  <c r="AN443" i="38"/>
  <c r="AN442" i="38"/>
  <c r="AN441" i="38"/>
  <c r="AN440" i="38"/>
  <c r="AN439" i="38"/>
  <c r="AN438" i="38"/>
  <c r="AN437" i="38"/>
  <c r="AN436" i="38"/>
  <c r="AN435" i="38"/>
  <c r="AN434" i="38"/>
  <c r="AN433" i="38"/>
  <c r="AN432" i="38"/>
  <c r="AN431" i="38"/>
  <c r="AN430" i="38"/>
  <c r="AN429" i="38"/>
  <c r="AN428" i="38"/>
  <c r="AN427" i="38"/>
  <c r="AN426" i="38"/>
  <c r="AN425" i="38"/>
  <c r="AN424" i="38"/>
  <c r="AN423" i="38"/>
  <c r="AN422" i="38"/>
  <c r="AN421" i="38"/>
  <c r="AN420" i="38"/>
  <c r="AN419" i="38"/>
  <c r="AN418" i="38"/>
  <c r="AN417" i="38"/>
  <c r="AN416" i="38"/>
  <c r="AN415" i="38"/>
  <c r="AN414" i="38"/>
  <c r="AN413" i="38"/>
  <c r="AN412" i="38"/>
  <c r="AN411" i="38"/>
  <c r="AN410" i="38"/>
  <c r="AN409" i="38"/>
  <c r="AN408" i="38"/>
  <c r="AN407" i="38"/>
  <c r="AN406" i="38"/>
  <c r="AN405" i="38"/>
  <c r="AN404" i="38"/>
  <c r="AN403" i="38"/>
  <c r="AN402" i="38"/>
  <c r="AN401" i="38"/>
  <c r="AN400" i="38"/>
  <c r="AN399" i="38"/>
  <c r="AN398" i="38"/>
  <c r="AN397" i="38"/>
  <c r="AN396" i="38"/>
  <c r="AN395" i="38"/>
  <c r="AN394" i="38"/>
  <c r="AN393" i="38"/>
  <c r="AN392" i="38"/>
  <c r="AN391" i="38"/>
  <c r="AN390" i="38"/>
  <c r="AN389" i="38"/>
  <c r="AN388" i="38"/>
  <c r="AN387" i="38"/>
  <c r="AN386" i="38"/>
  <c r="AN385" i="38"/>
  <c r="AN384" i="38"/>
  <c r="AN383" i="38"/>
  <c r="AN382" i="38"/>
  <c r="AN381" i="38"/>
  <c r="AN380" i="38"/>
  <c r="AN379" i="38"/>
  <c r="AN378" i="38"/>
  <c r="AN377" i="38"/>
  <c r="AN376" i="38"/>
  <c r="AN375" i="38"/>
  <c r="AN374" i="38"/>
  <c r="AN373" i="38"/>
  <c r="AN372" i="38"/>
  <c r="AN371" i="38"/>
  <c r="AN370" i="38"/>
  <c r="AN369" i="38"/>
  <c r="AN368" i="38"/>
  <c r="AN367" i="38"/>
  <c r="AN366" i="38"/>
  <c r="AN365" i="38"/>
  <c r="AN364" i="38"/>
  <c r="AN363" i="38"/>
  <c r="AN362" i="38"/>
  <c r="AN361" i="38"/>
  <c r="AN360" i="38"/>
  <c r="AN359" i="38"/>
  <c r="AN358" i="38"/>
  <c r="AN357" i="38"/>
  <c r="AN356" i="38"/>
  <c r="AN355" i="38"/>
  <c r="AN354" i="38"/>
  <c r="AN353" i="38"/>
  <c r="AN352" i="38"/>
  <c r="AN351" i="38"/>
  <c r="AN350" i="38"/>
  <c r="AN349" i="38"/>
  <c r="AN348" i="38"/>
  <c r="AN347" i="38"/>
  <c r="AN346" i="38"/>
  <c r="AN345" i="38"/>
  <c r="AN344" i="38"/>
  <c r="AN343" i="38"/>
  <c r="AN342" i="38"/>
  <c r="AN341" i="38"/>
  <c r="AN340" i="38"/>
  <c r="AN339" i="38"/>
  <c r="AN338" i="38"/>
  <c r="AN337" i="38"/>
  <c r="AN336" i="38"/>
  <c r="AN335" i="38"/>
  <c r="AN334" i="38"/>
  <c r="AN333" i="38"/>
  <c r="AN332" i="38"/>
  <c r="AN331" i="38"/>
  <c r="AN330" i="38"/>
  <c r="AN329" i="38"/>
  <c r="AN328" i="38"/>
  <c r="AN327" i="38"/>
  <c r="AN326" i="38"/>
  <c r="AN325" i="38"/>
  <c r="AN324" i="38"/>
  <c r="AN323" i="38"/>
  <c r="AN322" i="38"/>
  <c r="AN321" i="38"/>
  <c r="AN320" i="38"/>
  <c r="AN319" i="38"/>
  <c r="AN318" i="38"/>
  <c r="AN317" i="38"/>
  <c r="AN316" i="38"/>
  <c r="AN315" i="38"/>
  <c r="AN314" i="38"/>
  <c r="AN313" i="38"/>
  <c r="AN312" i="38"/>
  <c r="AN311" i="38"/>
  <c r="AN310" i="38"/>
  <c r="AN309" i="38"/>
  <c r="AN308" i="38"/>
  <c r="AN307" i="38"/>
  <c r="AN306" i="38"/>
  <c r="AN305" i="38"/>
  <c r="AN304" i="38"/>
  <c r="AN303" i="38"/>
  <c r="AN302" i="38"/>
  <c r="AN301" i="38"/>
  <c r="AN300" i="38"/>
  <c r="AN299" i="38"/>
  <c r="AN298" i="38"/>
  <c r="AN297" i="38"/>
  <c r="AN296" i="38"/>
  <c r="AN295" i="38"/>
  <c r="AN294" i="38"/>
  <c r="AN293" i="38"/>
  <c r="AN292" i="38"/>
  <c r="AN291" i="38"/>
  <c r="AN290" i="38"/>
  <c r="AN289" i="38"/>
  <c r="AN288" i="38"/>
  <c r="AN287" i="38"/>
  <c r="AN286" i="38"/>
  <c r="AN285" i="38"/>
  <c r="AN284" i="38"/>
  <c r="AN283" i="38"/>
  <c r="AN282" i="38"/>
  <c r="AN281" i="38"/>
  <c r="AN280" i="38"/>
  <c r="AN279" i="38"/>
  <c r="AN278" i="38"/>
  <c r="AN277" i="38"/>
  <c r="AN276" i="38"/>
  <c r="AN275" i="38"/>
  <c r="AN274" i="38"/>
  <c r="AN273" i="38"/>
  <c r="AN272" i="38"/>
  <c r="AN271" i="38"/>
  <c r="AN270" i="38"/>
  <c r="AN269" i="38"/>
  <c r="AN268" i="38"/>
  <c r="AN267" i="38"/>
  <c r="AN266" i="38"/>
  <c r="AN265" i="38"/>
  <c r="AN264" i="38"/>
  <c r="AN263" i="38"/>
  <c r="AN262" i="38"/>
  <c r="AN261" i="38"/>
  <c r="AN260" i="38"/>
  <c r="AN259" i="38"/>
  <c r="AN258" i="38"/>
  <c r="AN257" i="38"/>
  <c r="AN256" i="38"/>
  <c r="AN255" i="38"/>
  <c r="AN254" i="38"/>
  <c r="AN253" i="38"/>
  <c r="AN252" i="38"/>
  <c r="AN251" i="38"/>
  <c r="AN250" i="38"/>
  <c r="AN249" i="38"/>
  <c r="AN248" i="38"/>
  <c r="AN247" i="38"/>
  <c r="AN246" i="38"/>
  <c r="AN245" i="38"/>
  <c r="AN244" i="38"/>
  <c r="AN243" i="38"/>
  <c r="AN242" i="38"/>
  <c r="AN241" i="38"/>
  <c r="AN240" i="38"/>
  <c r="AN239" i="38"/>
  <c r="AN238" i="38"/>
  <c r="AN237" i="38"/>
  <c r="AN236" i="38"/>
  <c r="AN235" i="38"/>
  <c r="AN234" i="38"/>
  <c r="AN233" i="38"/>
  <c r="AN232" i="38"/>
  <c r="AN231" i="38"/>
  <c r="AN230" i="38"/>
  <c r="AN229" i="38"/>
  <c r="AN228" i="38"/>
  <c r="AN227" i="38"/>
  <c r="AN226" i="38"/>
  <c r="AN225" i="38"/>
  <c r="AN224" i="38"/>
  <c r="AN223" i="38"/>
  <c r="AN222" i="38"/>
  <c r="AN221" i="38"/>
  <c r="AN220" i="38"/>
  <c r="AN219" i="38"/>
  <c r="AN218" i="38"/>
  <c r="AN217" i="38"/>
  <c r="AN216" i="38"/>
  <c r="AN215" i="38"/>
  <c r="AN214" i="38"/>
  <c r="AN213" i="38"/>
  <c r="AN212" i="38"/>
  <c r="AN211" i="38"/>
  <c r="AN210" i="38"/>
  <c r="AN209" i="38"/>
  <c r="AN208" i="38"/>
  <c r="AN207" i="38"/>
  <c r="AN206" i="38"/>
  <c r="AN205" i="38"/>
  <c r="AN204" i="38"/>
  <c r="AN203" i="38"/>
  <c r="AN202" i="38"/>
  <c r="AN201" i="38"/>
  <c r="AN200" i="38"/>
  <c r="AN199" i="38"/>
  <c r="AN198" i="38"/>
  <c r="AN197" i="38"/>
  <c r="AN196" i="38"/>
  <c r="AN195" i="38"/>
  <c r="AN194" i="38"/>
  <c r="AN193" i="38"/>
  <c r="AN192" i="38"/>
  <c r="AN191" i="38"/>
  <c r="AN190" i="38"/>
  <c r="AN189" i="38"/>
  <c r="AN188" i="38"/>
  <c r="AN187" i="38"/>
  <c r="AN186" i="38"/>
  <c r="AN185" i="38"/>
  <c r="AN184" i="38"/>
  <c r="AN183" i="38"/>
  <c r="AN182" i="38"/>
  <c r="AN181" i="38"/>
  <c r="AN180" i="38"/>
  <c r="AN179" i="38"/>
  <c r="AN178" i="38"/>
  <c r="AN177" i="38"/>
  <c r="AN176" i="38"/>
  <c r="AN175" i="38"/>
  <c r="AN174" i="38"/>
  <c r="AN173" i="38"/>
  <c r="AN172" i="38"/>
  <c r="AN171" i="38"/>
  <c r="AN170" i="38"/>
  <c r="AN169" i="38"/>
  <c r="AN168" i="38"/>
  <c r="AN167" i="38"/>
  <c r="AN166" i="38"/>
  <c r="AN165" i="38"/>
  <c r="AN164" i="38"/>
  <c r="AN163" i="38"/>
  <c r="AN162" i="38"/>
  <c r="AN161" i="38"/>
  <c r="AN160" i="38"/>
  <c r="AN159" i="38"/>
  <c r="AN158" i="38"/>
  <c r="AN157" i="38"/>
  <c r="AN156" i="38"/>
  <c r="AN155" i="38"/>
  <c r="AN154" i="38"/>
  <c r="AN153" i="38"/>
  <c r="AN152" i="38"/>
  <c r="AN151" i="38"/>
  <c r="AN150" i="38"/>
  <c r="AN149" i="38"/>
  <c r="AN148" i="38"/>
  <c r="AN147" i="38"/>
  <c r="AN146" i="38"/>
  <c r="AN145" i="38"/>
  <c r="AN144" i="38"/>
  <c r="AN143" i="38"/>
  <c r="AN142" i="38"/>
  <c r="AN141" i="38"/>
  <c r="AN140" i="38"/>
  <c r="AN139" i="38"/>
  <c r="AN138" i="38"/>
  <c r="AN137" i="38"/>
  <c r="AN136" i="38"/>
  <c r="AN135" i="38"/>
  <c r="AN134" i="38"/>
  <c r="AN133" i="38"/>
  <c r="AN132" i="38"/>
  <c r="AN131" i="38"/>
  <c r="AN130" i="38"/>
  <c r="AN129" i="38"/>
  <c r="AN128" i="38"/>
  <c r="AN127" i="38"/>
  <c r="AN126" i="38"/>
  <c r="AN125" i="38"/>
  <c r="AN124" i="38"/>
  <c r="AN123" i="38"/>
  <c r="AN122" i="38"/>
  <c r="AN121" i="38"/>
  <c r="AN120" i="38"/>
  <c r="AN119" i="38"/>
  <c r="AN118" i="38"/>
  <c r="AN117" i="38"/>
  <c r="AN116" i="38"/>
  <c r="AN115" i="38"/>
  <c r="AN114" i="38"/>
  <c r="AN113" i="38"/>
  <c r="AN112" i="38"/>
  <c r="AN111" i="38"/>
  <c r="AN110" i="38"/>
  <c r="AN109" i="38"/>
  <c r="AN108" i="38"/>
  <c r="AN107" i="38"/>
  <c r="AN106" i="38"/>
  <c r="AN105" i="38"/>
  <c r="AN104" i="38"/>
  <c r="AN103" i="38"/>
  <c r="AN102" i="38"/>
  <c r="AN101" i="38"/>
  <c r="AN100" i="38"/>
  <c r="AN99" i="38"/>
  <c r="AN98" i="38"/>
  <c r="AN97" i="38"/>
  <c r="AN96" i="38"/>
  <c r="AN95" i="38"/>
  <c r="AN94" i="38"/>
  <c r="AN93" i="38"/>
  <c r="AN92" i="38"/>
  <c r="AN91" i="38"/>
  <c r="AN90" i="38"/>
  <c r="AN89" i="38"/>
  <c r="AN88" i="38"/>
  <c r="AN87" i="38"/>
  <c r="AN86" i="38"/>
  <c r="AN85" i="38"/>
  <c r="AN84" i="38"/>
  <c r="AN83" i="38"/>
  <c r="AN82" i="38"/>
  <c r="AN81" i="38"/>
  <c r="AN80" i="38"/>
  <c r="AN79" i="38"/>
  <c r="AN78" i="38"/>
  <c r="AN77" i="38"/>
  <c r="AN76" i="38"/>
  <c r="AN75" i="38"/>
  <c r="AN74" i="38"/>
  <c r="AN73" i="38"/>
  <c r="AN72" i="38"/>
  <c r="AN71" i="38"/>
  <c r="AN70" i="38"/>
  <c r="AN69" i="38"/>
  <c r="AN68" i="38"/>
  <c r="AN67" i="38"/>
  <c r="AN66" i="38"/>
  <c r="AN65" i="38"/>
  <c r="AN64" i="38"/>
  <c r="AN63" i="38"/>
  <c r="AN62" i="38"/>
  <c r="AN61" i="38"/>
  <c r="AN60" i="38"/>
  <c r="AN59" i="38"/>
  <c r="AN58" i="38"/>
  <c r="AN57" i="38"/>
  <c r="AN56" i="38"/>
  <c r="AN55" i="38"/>
  <c r="AN54" i="38"/>
  <c r="AN53" i="38"/>
  <c r="AN52" i="38"/>
  <c r="AN51" i="38"/>
  <c r="AN50" i="38"/>
  <c r="AN49" i="38"/>
  <c r="AN48" i="38"/>
  <c r="AN47" i="38"/>
  <c r="AN46" i="38"/>
  <c r="AN45" i="38"/>
  <c r="AN44" i="38"/>
  <c r="AN43" i="38"/>
  <c r="AN42" i="38"/>
  <c r="AN41" i="38"/>
  <c r="AN40" i="38"/>
  <c r="AN39" i="38"/>
  <c r="AN38" i="38"/>
  <c r="AN37" i="38"/>
  <c r="AN36" i="38"/>
  <c r="AN35" i="38"/>
  <c r="AN34" i="38"/>
  <c r="AN33" i="38"/>
  <c r="AN32" i="38"/>
  <c r="AN31" i="38"/>
  <c r="AN30" i="38"/>
  <c r="AN29" i="38"/>
  <c r="AN28" i="38"/>
  <c r="AN27" i="38"/>
  <c r="AN26" i="38"/>
  <c r="AN25" i="38"/>
  <c r="AN24" i="38"/>
  <c r="AN23" i="38"/>
  <c r="AN22" i="38"/>
  <c r="AN21" i="38"/>
  <c r="AN20" i="38"/>
  <c r="AN19" i="38"/>
  <c r="AN18" i="38"/>
  <c r="AN17" i="38"/>
  <c r="AN16" i="38"/>
  <c r="AN14" i="38"/>
  <c r="AN13" i="38"/>
  <c r="AN8" i="38"/>
  <c r="AN5" i="38"/>
  <c r="AN4" i="38"/>
  <c r="J37" i="36"/>
  <c r="J36" i="36"/>
  <c r="J35" i="36"/>
  <c r="J34" i="36"/>
  <c r="J33" i="36"/>
  <c r="J32" i="36"/>
  <c r="J31" i="36"/>
  <c r="J30" i="36"/>
  <c r="J29" i="36"/>
  <c r="J25" i="36"/>
  <c r="J24" i="36"/>
  <c r="J23" i="36"/>
  <c r="J22" i="36"/>
  <c r="J21" i="36"/>
  <c r="J20" i="36"/>
  <c r="J19" i="36"/>
  <c r="J18" i="36"/>
  <c r="J17" i="36"/>
  <c r="J13" i="36"/>
  <c r="J12" i="36"/>
  <c r="J11" i="36"/>
  <c r="J10" i="36"/>
  <c r="J9" i="36"/>
  <c r="J8" i="36"/>
  <c r="J7" i="36"/>
  <c r="J6" i="36"/>
  <c r="J5" i="36"/>
  <c r="I71" i="28"/>
  <c r="I14" i="28"/>
  <c r="I13" i="28"/>
  <c r="I12" i="28"/>
  <c r="I11" i="28"/>
  <c r="I10" i="28"/>
  <c r="I9" i="28"/>
  <c r="I8" i="28"/>
  <c r="I7" i="28"/>
  <c r="I6" i="28"/>
  <c r="J4" i="24"/>
  <c r="J5" i="24"/>
  <c r="J44" i="24"/>
  <c r="J43" i="24"/>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J7" i="24"/>
  <c r="J6" i="24"/>
  <c r="AN15" i="38"/>
  <c r="AN12" i="38"/>
  <c r="AN9" i="38"/>
  <c r="AN11" i="38"/>
  <c r="AN10" i="38"/>
  <c r="AN7" i="38"/>
  <c r="AN6" i="38"/>
  <c r="AM1001" i="38"/>
  <c r="AM1000" i="38"/>
  <c r="AM999" i="38"/>
  <c r="AM998" i="38"/>
  <c r="AM997" i="38"/>
  <c r="AM996" i="38"/>
  <c r="AM995" i="38"/>
  <c r="AM994" i="38"/>
  <c r="AM993" i="38"/>
  <c r="AM992" i="38"/>
  <c r="AM991" i="38"/>
  <c r="AM990" i="38"/>
  <c r="AM989" i="38"/>
  <c r="AM988" i="38"/>
  <c r="AM987" i="38"/>
  <c r="AM986" i="38"/>
  <c r="AM985" i="38"/>
  <c r="AM984" i="38"/>
  <c r="AM983" i="38"/>
  <c r="AM982" i="38"/>
  <c r="AM981" i="38"/>
  <c r="AM980" i="38"/>
  <c r="AM979" i="38"/>
  <c r="AM978" i="38"/>
  <c r="AM977" i="38"/>
  <c r="AM976" i="38"/>
  <c r="AM975" i="38"/>
  <c r="AM974" i="38"/>
  <c r="AM973" i="38"/>
  <c r="AM972" i="38"/>
  <c r="AM971" i="38"/>
  <c r="AM970" i="38"/>
  <c r="AM969" i="38"/>
  <c r="AM968" i="38"/>
  <c r="AM967" i="38"/>
  <c r="AM966" i="38"/>
  <c r="AM965" i="38"/>
  <c r="AM964" i="38"/>
  <c r="AM963" i="38"/>
  <c r="AM962" i="38"/>
  <c r="AM961" i="38"/>
  <c r="AM960" i="38"/>
  <c r="AM959" i="38"/>
  <c r="AM958" i="38"/>
  <c r="AM957" i="38"/>
  <c r="AM956" i="38"/>
  <c r="AM955" i="38"/>
  <c r="AM954" i="38"/>
  <c r="AM953" i="38"/>
  <c r="AM952" i="38"/>
  <c r="AM951" i="38"/>
  <c r="AM950" i="38"/>
  <c r="AM949" i="38"/>
  <c r="AM948" i="38"/>
  <c r="AM947" i="38"/>
  <c r="AM946" i="38"/>
  <c r="AM945" i="38"/>
  <c r="AM944" i="38"/>
  <c r="AM943" i="38"/>
  <c r="AM942" i="38"/>
  <c r="AM941" i="38"/>
  <c r="AM940" i="38"/>
  <c r="AM939" i="38"/>
  <c r="AM938" i="38"/>
  <c r="AM937" i="38"/>
  <c r="AM936" i="38"/>
  <c r="AM935" i="38"/>
  <c r="AM934" i="38"/>
  <c r="AM933" i="38"/>
  <c r="AM932" i="38"/>
  <c r="AM931" i="38"/>
  <c r="AM930" i="38"/>
  <c r="AM929" i="38"/>
  <c r="AM928" i="38"/>
  <c r="AM927" i="38"/>
  <c r="AM926" i="38"/>
  <c r="AM925" i="38"/>
  <c r="AM924" i="38"/>
  <c r="AM923" i="38"/>
  <c r="AM922" i="38"/>
  <c r="AM921" i="38"/>
  <c r="AM920" i="38"/>
  <c r="AM919" i="38"/>
  <c r="AM918" i="38"/>
  <c r="AM917" i="38"/>
  <c r="AM916" i="38"/>
  <c r="AM915" i="38"/>
  <c r="AM914" i="38"/>
  <c r="AM913" i="38"/>
  <c r="AM912" i="38"/>
  <c r="AM911" i="38"/>
  <c r="AM910" i="38"/>
  <c r="AM909" i="38"/>
  <c r="AM908" i="38"/>
  <c r="AM907" i="38"/>
  <c r="AM906" i="38"/>
  <c r="AM905" i="38"/>
  <c r="AM904" i="38"/>
  <c r="AM903" i="38"/>
  <c r="AM902" i="38"/>
  <c r="AM901" i="38"/>
  <c r="AM900" i="38"/>
  <c r="AM899" i="38"/>
  <c r="AM898" i="38"/>
  <c r="AM897" i="38"/>
  <c r="AM896" i="38"/>
  <c r="AM895" i="38"/>
  <c r="AM894" i="38"/>
  <c r="AM893" i="38"/>
  <c r="AM892" i="38"/>
  <c r="AM891" i="38"/>
  <c r="AM890" i="38"/>
  <c r="AM889" i="38"/>
  <c r="AM888" i="38"/>
  <c r="AM887" i="38"/>
  <c r="AM886" i="38"/>
  <c r="AM885" i="38"/>
  <c r="AM884" i="38"/>
  <c r="AM883" i="38"/>
  <c r="AM882" i="38"/>
  <c r="AM881" i="38"/>
  <c r="AM880" i="38"/>
  <c r="AM879" i="38"/>
  <c r="AM878" i="38"/>
  <c r="AM877" i="38"/>
  <c r="AM876" i="38"/>
  <c r="AM875" i="38"/>
  <c r="AM874" i="38"/>
  <c r="AM873" i="38"/>
  <c r="AM872" i="38"/>
  <c r="AM871" i="38"/>
  <c r="AM870" i="38"/>
  <c r="AM869" i="38"/>
  <c r="AM868" i="38"/>
  <c r="AM867" i="38"/>
  <c r="AM866" i="38"/>
  <c r="AM865" i="38"/>
  <c r="AM864" i="38"/>
  <c r="AM863" i="38"/>
  <c r="AM862" i="38"/>
  <c r="AM861" i="38"/>
  <c r="AM860" i="38"/>
  <c r="AM859" i="38"/>
  <c r="AM858" i="38"/>
  <c r="AM857" i="38"/>
  <c r="AM856" i="38"/>
  <c r="AM855" i="38"/>
  <c r="AM854" i="38"/>
  <c r="AM853" i="38"/>
  <c r="AM852" i="38"/>
  <c r="AM851" i="38"/>
  <c r="AM850" i="38"/>
  <c r="AM849" i="38"/>
  <c r="AM848" i="38"/>
  <c r="AM847" i="38"/>
  <c r="AM846" i="38"/>
  <c r="AM845" i="38"/>
  <c r="AM844" i="38"/>
  <c r="AM843" i="38"/>
  <c r="AM842" i="38"/>
  <c r="AM841" i="38"/>
  <c r="AM840" i="38"/>
  <c r="AM839" i="38"/>
  <c r="AM838" i="38"/>
  <c r="AM837" i="38"/>
  <c r="AM836" i="38"/>
  <c r="AM835" i="38"/>
  <c r="AM834" i="38"/>
  <c r="AM833" i="38"/>
  <c r="AM832" i="38"/>
  <c r="AM831" i="38"/>
  <c r="AM830" i="38"/>
  <c r="AM829" i="38"/>
  <c r="AM828" i="38"/>
  <c r="AM827" i="38"/>
  <c r="AM826" i="38"/>
  <c r="AM825" i="38"/>
  <c r="AM824" i="38"/>
  <c r="AM823" i="38"/>
  <c r="AM822" i="38"/>
  <c r="AM821" i="38"/>
  <c r="AM820" i="38"/>
  <c r="AM819" i="38"/>
  <c r="AM818" i="38"/>
  <c r="AM817" i="38"/>
  <c r="AM816" i="38"/>
  <c r="AM815" i="38"/>
  <c r="AM814" i="38"/>
  <c r="AM813" i="38"/>
  <c r="AM812" i="38"/>
  <c r="AM811" i="38"/>
  <c r="AM810" i="38"/>
  <c r="AM809" i="38"/>
  <c r="AM808" i="38"/>
  <c r="AM807" i="38"/>
  <c r="AM806" i="38"/>
  <c r="AM805" i="38"/>
  <c r="AM804" i="38"/>
  <c r="AM803" i="38"/>
  <c r="AM802" i="38"/>
  <c r="AM801" i="38"/>
  <c r="AM800" i="38"/>
  <c r="AM799" i="38"/>
  <c r="AM798" i="38"/>
  <c r="AM797" i="38"/>
  <c r="AM796" i="38"/>
  <c r="AM795" i="38"/>
  <c r="AM794" i="38"/>
  <c r="AM793" i="38"/>
  <c r="AM792" i="38"/>
  <c r="AM791" i="38"/>
  <c r="AM790" i="38"/>
  <c r="AM789" i="38"/>
  <c r="AM788" i="38"/>
  <c r="AM787" i="38"/>
  <c r="AM786" i="38"/>
  <c r="AM785" i="38"/>
  <c r="AM784" i="38"/>
  <c r="AM783" i="38"/>
  <c r="AM782" i="38"/>
  <c r="AM781" i="38"/>
  <c r="AM780" i="38"/>
  <c r="AM779" i="38"/>
  <c r="AM778" i="38"/>
  <c r="AM777" i="38"/>
  <c r="AM776" i="38"/>
  <c r="AM775" i="38"/>
  <c r="AM774" i="38"/>
  <c r="AM773" i="38"/>
  <c r="AM772" i="38"/>
  <c r="AM771" i="38"/>
  <c r="AM770" i="38"/>
  <c r="AM769" i="38"/>
  <c r="AM768" i="38"/>
  <c r="AM767" i="38"/>
  <c r="AM766" i="38"/>
  <c r="AM765" i="38"/>
  <c r="AM764" i="38"/>
  <c r="AM763" i="38"/>
  <c r="AM762" i="38"/>
  <c r="AM761" i="38"/>
  <c r="AM760" i="38"/>
  <c r="AM759" i="38"/>
  <c r="AM758" i="38"/>
  <c r="AM757" i="38"/>
  <c r="AM756" i="38"/>
  <c r="AM755" i="38"/>
  <c r="AM754" i="38"/>
  <c r="AM753" i="38"/>
  <c r="AM752" i="38"/>
  <c r="AM751" i="38"/>
  <c r="AM750" i="38"/>
  <c r="AM749" i="38"/>
  <c r="AM748" i="38"/>
  <c r="AM747" i="38"/>
  <c r="AM746" i="38"/>
  <c r="AM745" i="38"/>
  <c r="AM744" i="38"/>
  <c r="AM743" i="38"/>
  <c r="AM742" i="38"/>
  <c r="AM741" i="38"/>
  <c r="AM740" i="38"/>
  <c r="AM739" i="38"/>
  <c r="AM738" i="38"/>
  <c r="AM737" i="38"/>
  <c r="AM736" i="38"/>
  <c r="AM735" i="38"/>
  <c r="AM734" i="38"/>
  <c r="AM733" i="38"/>
  <c r="AM732" i="38"/>
  <c r="AM731" i="38"/>
  <c r="AM730" i="38"/>
  <c r="AM729" i="38"/>
  <c r="AM728" i="38"/>
  <c r="AM727" i="38"/>
  <c r="AM726" i="38"/>
  <c r="AM725" i="38"/>
  <c r="AM724" i="38"/>
  <c r="AM723" i="38"/>
  <c r="AM722" i="38"/>
  <c r="AM721" i="38"/>
  <c r="AM720" i="38"/>
  <c r="AM719" i="38"/>
  <c r="AM718" i="38"/>
  <c r="AM717" i="38"/>
  <c r="AM716" i="38"/>
  <c r="AM715" i="38"/>
  <c r="AM714" i="38"/>
  <c r="AM713" i="38"/>
  <c r="AM712" i="38"/>
  <c r="AM711" i="38"/>
  <c r="AM710" i="38"/>
  <c r="AM709" i="38"/>
  <c r="AM708" i="38"/>
  <c r="AM707" i="38"/>
  <c r="AM706" i="38"/>
  <c r="AM705" i="38"/>
  <c r="AM704" i="38"/>
  <c r="AM703" i="38"/>
  <c r="AM702" i="38"/>
  <c r="AM701" i="38"/>
  <c r="AM700" i="38"/>
  <c r="AM699" i="38"/>
  <c r="AM698" i="38"/>
  <c r="AM697" i="38"/>
  <c r="AM696" i="38"/>
  <c r="AM695" i="38"/>
  <c r="AM694" i="38"/>
  <c r="AM693" i="38"/>
  <c r="AM692" i="38"/>
  <c r="AM691" i="38"/>
  <c r="AM690" i="38"/>
  <c r="AM689" i="38"/>
  <c r="AM688" i="38"/>
  <c r="AM687" i="38"/>
  <c r="AM686" i="38"/>
  <c r="AM685" i="38"/>
  <c r="AM684" i="38"/>
  <c r="AM683" i="38"/>
  <c r="AM682" i="38"/>
  <c r="AM681" i="38"/>
  <c r="AM680" i="38"/>
  <c r="AM679" i="38"/>
  <c r="AM678" i="38"/>
  <c r="AM677" i="38"/>
  <c r="AM676" i="38"/>
  <c r="AM675" i="38"/>
  <c r="AM674" i="38"/>
  <c r="AM673" i="38"/>
  <c r="AM672" i="38"/>
  <c r="AM671" i="38"/>
  <c r="AM670" i="38"/>
  <c r="AM669" i="38"/>
  <c r="AM668" i="38"/>
  <c r="AM667" i="38"/>
  <c r="AM666" i="38"/>
  <c r="AM665" i="38"/>
  <c r="AM664" i="38"/>
  <c r="AM663" i="38"/>
  <c r="AM662" i="38"/>
  <c r="AM661" i="38"/>
  <c r="AM660" i="38"/>
  <c r="AM659" i="38"/>
  <c r="AM658" i="38"/>
  <c r="AM657" i="38"/>
  <c r="AM656" i="38"/>
  <c r="AM655" i="38"/>
  <c r="AM654" i="38"/>
  <c r="AM653" i="38"/>
  <c r="AM652" i="38"/>
  <c r="AM651" i="38"/>
  <c r="AM650" i="38"/>
  <c r="AM649" i="38"/>
  <c r="AM648" i="38"/>
  <c r="AM647" i="38"/>
  <c r="AM646" i="38"/>
  <c r="AM645" i="38"/>
  <c r="AM644" i="38"/>
  <c r="AM643" i="38"/>
  <c r="AM642" i="38"/>
  <c r="AM641" i="38"/>
  <c r="AM640" i="38"/>
  <c r="AM639" i="38"/>
  <c r="AM638" i="38"/>
  <c r="AM637" i="38"/>
  <c r="AM636" i="38"/>
  <c r="AM635" i="38"/>
  <c r="AM634" i="38"/>
  <c r="AM633" i="38"/>
  <c r="AM632" i="38"/>
  <c r="AM631" i="38"/>
  <c r="AM630" i="38"/>
  <c r="AM629" i="38"/>
  <c r="AM628" i="38"/>
  <c r="AM627" i="38"/>
  <c r="AM626" i="38"/>
  <c r="AM625" i="38"/>
  <c r="AM624" i="38"/>
  <c r="AM623" i="38"/>
  <c r="AM622" i="38"/>
  <c r="AM621" i="38"/>
  <c r="AM620" i="38"/>
  <c r="AM619" i="38"/>
  <c r="AM618" i="38"/>
  <c r="AM617" i="38"/>
  <c r="AM616" i="38"/>
  <c r="AM615" i="38"/>
  <c r="AM614" i="38"/>
  <c r="AM613" i="38"/>
  <c r="AM612" i="38"/>
  <c r="AM611" i="38"/>
  <c r="AM610" i="38"/>
  <c r="AM609" i="38"/>
  <c r="AM608" i="38"/>
  <c r="AM607" i="38"/>
  <c r="AM606" i="38"/>
  <c r="AM605" i="38"/>
  <c r="AM604" i="38"/>
  <c r="AM603" i="38"/>
  <c r="AM602" i="38"/>
  <c r="AM601" i="38"/>
  <c r="AM600" i="38"/>
  <c r="AM599" i="38"/>
  <c r="AM598" i="38"/>
  <c r="AM597" i="38"/>
  <c r="AM596" i="38"/>
  <c r="AM595" i="38"/>
  <c r="AM594" i="38"/>
  <c r="AM593" i="38"/>
  <c r="AM592" i="38"/>
  <c r="AM591" i="38"/>
  <c r="AM590" i="38"/>
  <c r="AM589" i="38"/>
  <c r="AM588" i="38"/>
  <c r="AM587" i="38"/>
  <c r="AM586" i="38"/>
  <c r="AM585" i="38"/>
  <c r="AM584" i="38"/>
  <c r="AM583" i="38"/>
  <c r="AM582" i="38"/>
  <c r="AM581" i="38"/>
  <c r="AM580" i="38"/>
  <c r="AM579" i="38"/>
  <c r="AM578" i="38"/>
  <c r="AM577" i="38"/>
  <c r="AM576" i="38"/>
  <c r="AM575" i="38"/>
  <c r="AM574" i="38"/>
  <c r="AM573" i="38"/>
  <c r="AM572" i="38"/>
  <c r="AM571" i="38"/>
  <c r="AM570" i="38"/>
  <c r="AM569" i="38"/>
  <c r="AM568" i="38"/>
  <c r="AM567" i="38"/>
  <c r="AM566" i="38"/>
  <c r="AM565" i="38"/>
  <c r="AM564" i="38"/>
  <c r="AM563" i="38"/>
  <c r="AM562" i="38"/>
  <c r="AM561" i="38"/>
  <c r="AM560" i="38"/>
  <c r="AM559" i="38"/>
  <c r="AM558" i="38"/>
  <c r="AM557" i="38"/>
  <c r="AM556" i="38"/>
  <c r="AM555" i="38"/>
  <c r="AM554" i="38"/>
  <c r="AM553" i="38"/>
  <c r="AM552" i="38"/>
  <c r="AM551" i="38"/>
  <c r="AM550" i="38"/>
  <c r="AM549" i="38"/>
  <c r="AM548" i="38"/>
  <c r="AM547" i="38"/>
  <c r="AM546" i="38"/>
  <c r="AM545" i="38"/>
  <c r="AM544" i="38"/>
  <c r="AM543" i="38"/>
  <c r="AM542" i="38"/>
  <c r="AM541" i="38"/>
  <c r="AM540" i="38"/>
  <c r="AM539" i="38"/>
  <c r="AM538" i="38"/>
  <c r="AM537" i="38"/>
  <c r="AM536" i="38"/>
  <c r="AM535" i="38"/>
  <c r="AM534" i="38"/>
  <c r="AM533" i="38"/>
  <c r="AM532" i="38"/>
  <c r="AM531" i="38"/>
  <c r="AM530" i="38"/>
  <c r="AM529" i="38"/>
  <c r="AM528" i="38"/>
  <c r="AM527" i="38"/>
  <c r="AM526" i="38"/>
  <c r="AM525" i="38"/>
  <c r="AM524" i="38"/>
  <c r="AM523" i="38"/>
  <c r="AM522" i="38"/>
  <c r="AM521" i="38"/>
  <c r="AM520" i="38"/>
  <c r="AM519" i="38"/>
  <c r="AM518" i="38"/>
  <c r="AM517" i="38"/>
  <c r="AM516" i="38"/>
  <c r="AM515" i="38"/>
  <c r="AM514" i="38"/>
  <c r="AM513" i="38"/>
  <c r="AM512" i="38"/>
  <c r="AM511" i="38"/>
  <c r="AM510" i="38"/>
  <c r="AM509" i="38"/>
  <c r="AM508" i="38"/>
  <c r="AM507" i="38"/>
  <c r="AM506" i="38"/>
  <c r="AM505" i="38"/>
  <c r="AM504" i="38"/>
  <c r="AM503" i="38"/>
  <c r="AM502" i="38"/>
  <c r="AM501" i="38"/>
  <c r="AM500" i="38"/>
  <c r="AM499" i="38"/>
  <c r="AM498" i="38"/>
  <c r="AM497" i="38"/>
  <c r="AM496" i="38"/>
  <c r="AM495" i="38"/>
  <c r="AM494" i="38"/>
  <c r="AM493" i="38"/>
  <c r="AM492" i="38"/>
  <c r="AM491" i="38"/>
  <c r="AM490" i="38"/>
  <c r="AM489" i="38"/>
  <c r="AM488" i="38"/>
  <c r="AM487" i="38"/>
  <c r="AM486" i="38"/>
  <c r="AM485" i="38"/>
  <c r="AM484" i="38"/>
  <c r="AM483" i="38"/>
  <c r="AM482" i="38"/>
  <c r="AM481" i="38"/>
  <c r="AM480" i="38"/>
  <c r="AM479" i="38"/>
  <c r="AM478" i="38"/>
  <c r="AM477" i="38"/>
  <c r="AM476" i="38"/>
  <c r="AM475" i="38"/>
  <c r="AM474" i="38"/>
  <c r="AM473" i="38"/>
  <c r="AM472" i="38"/>
  <c r="AM471" i="38"/>
  <c r="AM470" i="38"/>
  <c r="AM469" i="38"/>
  <c r="AM468" i="38"/>
  <c r="AM467" i="38"/>
  <c r="AM466" i="38"/>
  <c r="AM465" i="38"/>
  <c r="AM464" i="38"/>
  <c r="AM463" i="38"/>
  <c r="AM462" i="38"/>
  <c r="AM461" i="38"/>
  <c r="AM460" i="38"/>
  <c r="AM459" i="38"/>
  <c r="AM458" i="38"/>
  <c r="AM457" i="38"/>
  <c r="AM456" i="38"/>
  <c r="AM455" i="38"/>
  <c r="AM454" i="38"/>
  <c r="AM453" i="38"/>
  <c r="AM452" i="38"/>
  <c r="AM451" i="38"/>
  <c r="AM450" i="38"/>
  <c r="AM449" i="38"/>
  <c r="AM448" i="38"/>
  <c r="AM447" i="38"/>
  <c r="AM446" i="38"/>
  <c r="AM445" i="38"/>
  <c r="AM444" i="38"/>
  <c r="AM443" i="38"/>
  <c r="AM442" i="38"/>
  <c r="AM441" i="38"/>
  <c r="AM440" i="38"/>
  <c r="AM439" i="38"/>
  <c r="AM438" i="38"/>
  <c r="AM437" i="38"/>
  <c r="AM436" i="38"/>
  <c r="AM435" i="38"/>
  <c r="AM434" i="38"/>
  <c r="AM433" i="38"/>
  <c r="AM432" i="38"/>
  <c r="AM431" i="38"/>
  <c r="AM430" i="38"/>
  <c r="AM429" i="38"/>
  <c r="AM428" i="38"/>
  <c r="AM427" i="38"/>
  <c r="AM426" i="38"/>
  <c r="AM425" i="38"/>
  <c r="AM424" i="38"/>
  <c r="AM423" i="38"/>
  <c r="AM422" i="38"/>
  <c r="AM421" i="38"/>
  <c r="AM420" i="38"/>
  <c r="AM419" i="38"/>
  <c r="AM418" i="38"/>
  <c r="AM417" i="38"/>
  <c r="AM416" i="38"/>
  <c r="AM415" i="38"/>
  <c r="AM414" i="38"/>
  <c r="AM413" i="38"/>
  <c r="AM412" i="38"/>
  <c r="AM411" i="38"/>
  <c r="AM410" i="38"/>
  <c r="AM409" i="38"/>
  <c r="AM408" i="38"/>
  <c r="AM407" i="38"/>
  <c r="AM406" i="38"/>
  <c r="AM405" i="38"/>
  <c r="AM404" i="38"/>
  <c r="AM403" i="38"/>
  <c r="AM402" i="38"/>
  <c r="AM401" i="38"/>
  <c r="AM400" i="38"/>
  <c r="AM399" i="38"/>
  <c r="AM398" i="38"/>
  <c r="AM397" i="38"/>
  <c r="AM396" i="38"/>
  <c r="AM395" i="38"/>
  <c r="AM394" i="38"/>
  <c r="AM393" i="38"/>
  <c r="AM392" i="38"/>
  <c r="AM391" i="38"/>
  <c r="AM390" i="38"/>
  <c r="AM389" i="38"/>
  <c r="AM388" i="38"/>
  <c r="AM387" i="38"/>
  <c r="AM386" i="38"/>
  <c r="AM385" i="38"/>
  <c r="AM384" i="38"/>
  <c r="AM383" i="38"/>
  <c r="AM382" i="38"/>
  <c r="AM381" i="38"/>
  <c r="AM380" i="38"/>
  <c r="AM379" i="38"/>
  <c r="AM378" i="38"/>
  <c r="AM377" i="38"/>
  <c r="AM376" i="38"/>
  <c r="AM375" i="38"/>
  <c r="AM374" i="38"/>
  <c r="AM373" i="38"/>
  <c r="AM372" i="38"/>
  <c r="AM371" i="38"/>
  <c r="AM370" i="38"/>
  <c r="AM369" i="38"/>
  <c r="AM368" i="38"/>
  <c r="AM367" i="38"/>
  <c r="AM366" i="38"/>
  <c r="AM365" i="38"/>
  <c r="AM364" i="38"/>
  <c r="AM363" i="38"/>
  <c r="AM362" i="38"/>
  <c r="AM361" i="38"/>
  <c r="AM360" i="38"/>
  <c r="AM359" i="38"/>
  <c r="AM358" i="38"/>
  <c r="AM357" i="38"/>
  <c r="AM356" i="38"/>
  <c r="AM355" i="38"/>
  <c r="AM354" i="38"/>
  <c r="AM353" i="38"/>
  <c r="AM352" i="38"/>
  <c r="AM351" i="38"/>
  <c r="AM350" i="38"/>
  <c r="AM349" i="38"/>
  <c r="AM348" i="38"/>
  <c r="AM347" i="38"/>
  <c r="AM346" i="38"/>
  <c r="AM345" i="38"/>
  <c r="AM344" i="38"/>
  <c r="AM343" i="38"/>
  <c r="AM342" i="38"/>
  <c r="AM341" i="38"/>
  <c r="AM340" i="38"/>
  <c r="AM339" i="38"/>
  <c r="AM338" i="38"/>
  <c r="AM337" i="38"/>
  <c r="AM336" i="38"/>
  <c r="AM335" i="38"/>
  <c r="AM334" i="38"/>
  <c r="AM333" i="38"/>
  <c r="AM332" i="38"/>
  <c r="AM331" i="38"/>
  <c r="AM330" i="38"/>
  <c r="AM329" i="38"/>
  <c r="AM328" i="38"/>
  <c r="AM327" i="38"/>
  <c r="AM326" i="38"/>
  <c r="AM325" i="38"/>
  <c r="AM324" i="38"/>
  <c r="AM323" i="38"/>
  <c r="AM322" i="38"/>
  <c r="AM321" i="38"/>
  <c r="AM320" i="38"/>
  <c r="AM319" i="38"/>
  <c r="AM318" i="38"/>
  <c r="AM317" i="38"/>
  <c r="AM316" i="38"/>
  <c r="AM315" i="38"/>
  <c r="AM314" i="38"/>
  <c r="AM313" i="38"/>
  <c r="AM312" i="38"/>
  <c r="AM311" i="38"/>
  <c r="AM310" i="38"/>
  <c r="AM309" i="38"/>
  <c r="AM308" i="38"/>
  <c r="AM307" i="38"/>
  <c r="AM306" i="38"/>
  <c r="AM305" i="38"/>
  <c r="AM304" i="38"/>
  <c r="AM303" i="38"/>
  <c r="AM302" i="38"/>
  <c r="AM301" i="38"/>
  <c r="AM300" i="38"/>
  <c r="AM299" i="38"/>
  <c r="AM298" i="38"/>
  <c r="AM297" i="38"/>
  <c r="AM296" i="38"/>
  <c r="AM295" i="38"/>
  <c r="AM294" i="38"/>
  <c r="AM293" i="38"/>
  <c r="AM292" i="38"/>
  <c r="AM291" i="38"/>
  <c r="AM290" i="38"/>
  <c r="AM289" i="38"/>
  <c r="AM288" i="38"/>
  <c r="AM287" i="38"/>
  <c r="AM286" i="38"/>
  <c r="AM285" i="38"/>
  <c r="AM284" i="38"/>
  <c r="AM283" i="38"/>
  <c r="AM282" i="38"/>
  <c r="AM281" i="38"/>
  <c r="AM280" i="38"/>
  <c r="AM279" i="38"/>
  <c r="AM278" i="38"/>
  <c r="AM277" i="38"/>
  <c r="AM276" i="38"/>
  <c r="AM275" i="38"/>
  <c r="AM274" i="38"/>
  <c r="AM273" i="38"/>
  <c r="AM272" i="38"/>
  <c r="AM271" i="38"/>
  <c r="AM270" i="38"/>
  <c r="AM269" i="38"/>
  <c r="AM268" i="38"/>
  <c r="AM267" i="38"/>
  <c r="AM266" i="38"/>
  <c r="AM265" i="38"/>
  <c r="AM264" i="38"/>
  <c r="AM263" i="38"/>
  <c r="AM262" i="38"/>
  <c r="AM261" i="38"/>
  <c r="AM260" i="38"/>
  <c r="AM259" i="38"/>
  <c r="AM258" i="38"/>
  <c r="AM257" i="38"/>
  <c r="AM256" i="38"/>
  <c r="AM255" i="38"/>
  <c r="AM254" i="38"/>
  <c r="AM253" i="38"/>
  <c r="AM252" i="38"/>
  <c r="AM251" i="38"/>
  <c r="AM250" i="38"/>
  <c r="AM249" i="38"/>
  <c r="AM248" i="38"/>
  <c r="AM247" i="38"/>
  <c r="AM246" i="38"/>
  <c r="AM245" i="38"/>
  <c r="AM244" i="38"/>
  <c r="AM243" i="38"/>
  <c r="AM242" i="38"/>
  <c r="AM241" i="38"/>
  <c r="AM240" i="38"/>
  <c r="AM239" i="38"/>
  <c r="AM238" i="38"/>
  <c r="AM237" i="38"/>
  <c r="AM236" i="38"/>
  <c r="AM235" i="38"/>
  <c r="AM234" i="38"/>
  <c r="AM233" i="38"/>
  <c r="AM232" i="38"/>
  <c r="AM231" i="38"/>
  <c r="AM230" i="38"/>
  <c r="AM229" i="38"/>
  <c r="AM228" i="38"/>
  <c r="AM227" i="38"/>
  <c r="AM226" i="38"/>
  <c r="AM225" i="38"/>
  <c r="AM224" i="38"/>
  <c r="AM223" i="38"/>
  <c r="AM222" i="38"/>
  <c r="AM221" i="38"/>
  <c r="AM220" i="38"/>
  <c r="AM219" i="38"/>
  <c r="AM218" i="38"/>
  <c r="AM217" i="38"/>
  <c r="AM216" i="38"/>
  <c r="AM215" i="38"/>
  <c r="AM214" i="38"/>
  <c r="AM213" i="38"/>
  <c r="AM212" i="38"/>
  <c r="AM211" i="38"/>
  <c r="AM210" i="38"/>
  <c r="AM209" i="38"/>
  <c r="AM208" i="38"/>
  <c r="AM207" i="38"/>
  <c r="AM206" i="38"/>
  <c r="AM205" i="38"/>
  <c r="AM204" i="38"/>
  <c r="AM203" i="38"/>
  <c r="AM202" i="38"/>
  <c r="AM201" i="38"/>
  <c r="AM200" i="38"/>
  <c r="AM199" i="38"/>
  <c r="AM198" i="38"/>
  <c r="AM197" i="38"/>
  <c r="AM196" i="38"/>
  <c r="AM195" i="38"/>
  <c r="AM194" i="38"/>
  <c r="AM193" i="38"/>
  <c r="AM192" i="38"/>
  <c r="AM191" i="38"/>
  <c r="AM190" i="38"/>
  <c r="AM189" i="38"/>
  <c r="AM188" i="38"/>
  <c r="AM187" i="38"/>
  <c r="AM186" i="38"/>
  <c r="AM185" i="38"/>
  <c r="AM184" i="38"/>
  <c r="AM183" i="38"/>
  <c r="AM182" i="38"/>
  <c r="AM181" i="38"/>
  <c r="AM180" i="38"/>
  <c r="AM179" i="38"/>
  <c r="AM178" i="38"/>
  <c r="AM177" i="38"/>
  <c r="AM176" i="38"/>
  <c r="AM175" i="38"/>
  <c r="AM174" i="38"/>
  <c r="AM173" i="38"/>
  <c r="AM172" i="38"/>
  <c r="AM171" i="38"/>
  <c r="AM170" i="38"/>
  <c r="AM169" i="38"/>
  <c r="AM168" i="38"/>
  <c r="AM167" i="38"/>
  <c r="AM166" i="38"/>
  <c r="AM165" i="38"/>
  <c r="AM164" i="38"/>
  <c r="AM163" i="38"/>
  <c r="AM162" i="38"/>
  <c r="AM161" i="38"/>
  <c r="AM160" i="38"/>
  <c r="AM159" i="38"/>
  <c r="AM158" i="38"/>
  <c r="AM157" i="38"/>
  <c r="AM156" i="38"/>
  <c r="AM155" i="38"/>
  <c r="AM154" i="38"/>
  <c r="AM153" i="38"/>
  <c r="AM152" i="38"/>
  <c r="AM151" i="38"/>
  <c r="AM150" i="38"/>
  <c r="AM149" i="38"/>
  <c r="AM148" i="38"/>
  <c r="AM147" i="38"/>
  <c r="AM146" i="38"/>
  <c r="AM145" i="38"/>
  <c r="AM144" i="38"/>
  <c r="AM143" i="38"/>
  <c r="AM142" i="38"/>
  <c r="AM141" i="38"/>
  <c r="AM140" i="38"/>
  <c r="AM139" i="38"/>
  <c r="AM138" i="38"/>
  <c r="AM137" i="38"/>
  <c r="AM136" i="38"/>
  <c r="AM135" i="38"/>
  <c r="AM134" i="38"/>
  <c r="AM133" i="38"/>
  <c r="AM132" i="38"/>
  <c r="AM131" i="38"/>
  <c r="AM130" i="38"/>
  <c r="AM129" i="38"/>
  <c r="AM128" i="38"/>
  <c r="AM127" i="38"/>
  <c r="AM126" i="38"/>
  <c r="AM125" i="38"/>
  <c r="AM124" i="38"/>
  <c r="AM123" i="38"/>
  <c r="AM122" i="38"/>
  <c r="AM121" i="38"/>
  <c r="AM120" i="38"/>
  <c r="AM119" i="38"/>
  <c r="AM118" i="38"/>
  <c r="AM117" i="38"/>
  <c r="AM116" i="38"/>
  <c r="AM115" i="38"/>
  <c r="AM114" i="38"/>
  <c r="AM113" i="38"/>
  <c r="AM112" i="38"/>
  <c r="AM111" i="38"/>
  <c r="AM110" i="38"/>
  <c r="AM109" i="38"/>
  <c r="AM108" i="38"/>
  <c r="AM107" i="38"/>
  <c r="AM106" i="38"/>
  <c r="AM105" i="38"/>
  <c r="AM104" i="38"/>
  <c r="AM103" i="38"/>
  <c r="AM102" i="38"/>
  <c r="AM101" i="38"/>
  <c r="AM100" i="38"/>
  <c r="AM99" i="38"/>
  <c r="AM98" i="38"/>
  <c r="AM97" i="38"/>
  <c r="AM96" i="38"/>
  <c r="AM95" i="38"/>
  <c r="AM94" i="38"/>
  <c r="AM93" i="38"/>
  <c r="AM92" i="38"/>
  <c r="AM91" i="38"/>
  <c r="AM90" i="38"/>
  <c r="AM89" i="38"/>
  <c r="AM88" i="38"/>
  <c r="AM87" i="38"/>
  <c r="AM86" i="38"/>
  <c r="AM85" i="38"/>
  <c r="AM84" i="38"/>
  <c r="AM83" i="38"/>
  <c r="AM82" i="38"/>
  <c r="AM81" i="38"/>
  <c r="AM80" i="38"/>
  <c r="AM79" i="38"/>
  <c r="AM78" i="38"/>
  <c r="AM77" i="38"/>
  <c r="AM76" i="38"/>
  <c r="AM75" i="38"/>
  <c r="AM74" i="38"/>
  <c r="AM73" i="38"/>
  <c r="AM72" i="38"/>
  <c r="AM71" i="38"/>
  <c r="AM70" i="38"/>
  <c r="AM69" i="38"/>
  <c r="AM68" i="38"/>
  <c r="AM67" i="38"/>
  <c r="AM66" i="38"/>
  <c r="AM65" i="38"/>
  <c r="AM64" i="38"/>
  <c r="AM63" i="38"/>
  <c r="AM62" i="38"/>
  <c r="AM61" i="38"/>
  <c r="AM60" i="38"/>
  <c r="AM59" i="38"/>
  <c r="AM58" i="38"/>
  <c r="AM57" i="38"/>
  <c r="AM56" i="38"/>
  <c r="AM55" i="38"/>
  <c r="AM54" i="38"/>
  <c r="AM53" i="38"/>
  <c r="AM52" i="38"/>
  <c r="AM51" i="38"/>
  <c r="AM50" i="38"/>
  <c r="AM49" i="38"/>
  <c r="AM48" i="38"/>
  <c r="AM47" i="38"/>
  <c r="AM46" i="38"/>
  <c r="AM45" i="38"/>
  <c r="AM44" i="38"/>
  <c r="AM43" i="38"/>
  <c r="AM42" i="38"/>
  <c r="AM41" i="38"/>
  <c r="AM40" i="38"/>
  <c r="AM39" i="38"/>
  <c r="AM38" i="38"/>
  <c r="AM37" i="38"/>
  <c r="AM36" i="38"/>
  <c r="AM35" i="38"/>
  <c r="AM34" i="38"/>
  <c r="AM33" i="38"/>
  <c r="AM32" i="38"/>
  <c r="AM31" i="38"/>
  <c r="AM30" i="38"/>
  <c r="AM29" i="38"/>
  <c r="AM28" i="38"/>
  <c r="AM27" i="38"/>
  <c r="AM26" i="38"/>
  <c r="AM25" i="38"/>
  <c r="AM24" i="38"/>
  <c r="AM23" i="38"/>
  <c r="AM22" i="38"/>
  <c r="AM21" i="38"/>
  <c r="AM20" i="38"/>
  <c r="AM19" i="38"/>
  <c r="AM18" i="38"/>
  <c r="AM17" i="38"/>
  <c r="AM16" i="38"/>
  <c r="AM14" i="38"/>
  <c r="AM13" i="38"/>
  <c r="AM12" i="38"/>
  <c r="AM11" i="38"/>
  <c r="AM10" i="38"/>
  <c r="AM9" i="38"/>
  <c r="AM8" i="38"/>
  <c r="AM7" i="38"/>
  <c r="AM6" i="38"/>
  <c r="AM5" i="38"/>
  <c r="AM3" i="38"/>
  <c r="J39" i="36"/>
  <c r="J68" i="64"/>
  <c r="J67" i="64"/>
  <c r="J66" i="64"/>
  <c r="J65" i="64"/>
  <c r="J64" i="64"/>
  <c r="J63" i="64"/>
  <c r="J62" i="64"/>
  <c r="J61" i="64"/>
  <c r="J60" i="64"/>
  <c r="J59" i="64"/>
  <c r="J58" i="64"/>
  <c r="J57" i="64"/>
  <c r="J56" i="64"/>
  <c r="J55" i="64"/>
  <c r="J54" i="64"/>
  <c r="J53" i="64"/>
  <c r="J52" i="64"/>
  <c r="J51" i="64"/>
  <c r="J50" i="64"/>
  <c r="J49" i="64"/>
  <c r="J48" i="64"/>
  <c r="J47" i="64"/>
  <c r="J46" i="64"/>
  <c r="J45" i="64"/>
  <c r="J44" i="64"/>
  <c r="J43" i="64"/>
  <c r="J42" i="64"/>
  <c r="J41" i="64"/>
  <c r="J40" i="64"/>
  <c r="J39" i="64"/>
  <c r="J38" i="64"/>
  <c r="J37" i="64"/>
  <c r="J36" i="64"/>
  <c r="J35" i="64"/>
  <c r="J34" i="64"/>
  <c r="J33" i="64"/>
  <c r="J32" i="64"/>
  <c r="J31" i="64"/>
  <c r="J30" i="64"/>
  <c r="J29" i="64"/>
  <c r="J28" i="64"/>
  <c r="J27" i="64"/>
  <c r="J26" i="64"/>
  <c r="J25" i="64"/>
  <c r="J24" i="64"/>
  <c r="J23" i="64"/>
  <c r="J22" i="64"/>
  <c r="J21" i="64"/>
  <c r="J20" i="64"/>
  <c r="J19" i="64"/>
  <c r="J18" i="64"/>
  <c r="J17" i="64"/>
  <c r="J16" i="64"/>
  <c r="J15" i="64"/>
  <c r="J14" i="64"/>
  <c r="J13" i="64"/>
  <c r="J12" i="64"/>
  <c r="J11" i="64"/>
  <c r="J10" i="64"/>
  <c r="J9" i="64"/>
  <c r="J8" i="64"/>
  <c r="J7" i="64"/>
  <c r="J6" i="64"/>
  <c r="J5" i="64"/>
  <c r="J4" i="64"/>
  <c r="AE64" i="30"/>
  <c r="AE63" i="30"/>
  <c r="AE62" i="30"/>
  <c r="AE61" i="30"/>
  <c r="AE60" i="30"/>
  <c r="AE59" i="30"/>
  <c r="AE58" i="30"/>
  <c r="AE57" i="30"/>
  <c r="AE56" i="30"/>
  <c r="AE55" i="30"/>
  <c r="AE54" i="30"/>
  <c r="AE53" i="30"/>
  <c r="AE52" i="30"/>
  <c r="AE51" i="30"/>
  <c r="AE50" i="30"/>
  <c r="AE49" i="30"/>
  <c r="AE48" i="30"/>
  <c r="AE47" i="30"/>
  <c r="AE46" i="30"/>
  <c r="AE45" i="30"/>
  <c r="AE44" i="30"/>
  <c r="AE43" i="30"/>
  <c r="AE42" i="30"/>
  <c r="AE41" i="30"/>
  <c r="AE40" i="30"/>
  <c r="AE39" i="30"/>
  <c r="AE38" i="30"/>
  <c r="AE37" i="30"/>
  <c r="AE36" i="30"/>
  <c r="AE35" i="30"/>
  <c r="AE34" i="30"/>
  <c r="AE33" i="30"/>
  <c r="AE32" i="30"/>
  <c r="AE31" i="30"/>
  <c r="AE30" i="30"/>
  <c r="AE29" i="30"/>
  <c r="AE28" i="30"/>
  <c r="AE27" i="30"/>
  <c r="AE26" i="30"/>
  <c r="AE25" i="30"/>
  <c r="AE24" i="30"/>
  <c r="AE23" i="30"/>
  <c r="AE22" i="30"/>
  <c r="AE21" i="30"/>
  <c r="AE20" i="30"/>
  <c r="AE19" i="30"/>
  <c r="AE18" i="30"/>
  <c r="AE17" i="30"/>
  <c r="AE16" i="30"/>
  <c r="AE15" i="30"/>
  <c r="AE14" i="30"/>
  <c r="AE13" i="30"/>
  <c r="AE12" i="30"/>
  <c r="AE11" i="30"/>
  <c r="AE10" i="30"/>
  <c r="AE9" i="30"/>
  <c r="AE8" i="30"/>
  <c r="AE7" i="30"/>
  <c r="AE6" i="30"/>
  <c r="AE5" i="30"/>
  <c r="H13" i="28"/>
  <c r="H12" i="28"/>
  <c r="I44" i="24"/>
  <c r="I43" i="24"/>
  <c r="I42" i="24"/>
  <c r="I41" i="24"/>
  <c r="I40" i="24"/>
  <c r="I39" i="24"/>
  <c r="I38" i="24"/>
  <c r="I37" i="24"/>
  <c r="I36" i="24"/>
  <c r="I35" i="24"/>
  <c r="I34" i="24"/>
  <c r="I33" i="24"/>
  <c r="I32" i="24"/>
  <c r="I31" i="24"/>
  <c r="I30" i="24"/>
  <c r="I29" i="24"/>
  <c r="I28" i="24"/>
  <c r="I27" i="24"/>
  <c r="I26" i="24"/>
  <c r="I25" i="24"/>
  <c r="I24" i="24"/>
  <c r="I23" i="24"/>
  <c r="I22" i="24"/>
  <c r="I21" i="24"/>
  <c r="I20" i="24"/>
  <c r="I19" i="24"/>
  <c r="I18" i="24"/>
  <c r="I17" i="24"/>
  <c r="I16" i="24"/>
  <c r="I15" i="24"/>
  <c r="I14" i="24"/>
  <c r="I13" i="24"/>
  <c r="I12" i="24"/>
  <c r="I11" i="24"/>
  <c r="I10" i="24"/>
  <c r="I9" i="24"/>
  <c r="I8" i="24"/>
  <c r="I7" i="24"/>
  <c r="I6" i="24"/>
  <c r="I5" i="24"/>
  <c r="B49" i="49"/>
  <c r="I25" i="51"/>
  <c r="F25" i="51"/>
  <c r="F22" i="51"/>
  <c r="F20" i="51"/>
  <c r="I48" i="52"/>
  <c r="I59" i="52"/>
  <c r="C59" i="52"/>
  <c r="D48" i="52"/>
  <c r="Q1" i="1"/>
  <c r="A102" i="2"/>
  <c r="C102" i="2"/>
  <c r="F102" i="2"/>
  <c r="S102" i="2"/>
  <c r="A103" i="2"/>
  <c r="C103" i="2"/>
  <c r="F103" i="2"/>
  <c r="S103" i="2"/>
  <c r="A104" i="2"/>
  <c r="C104" i="2"/>
  <c r="F104" i="2"/>
  <c r="S104" i="2"/>
  <c r="A105" i="2"/>
  <c r="C105" i="2"/>
  <c r="F105" i="2"/>
  <c r="S105" i="2"/>
  <c r="A106" i="2"/>
  <c r="C106" i="2"/>
  <c r="F106" i="2"/>
  <c r="S106" i="2"/>
  <c r="A107" i="2"/>
  <c r="C107" i="2"/>
  <c r="F107" i="2"/>
  <c r="S107" i="2"/>
  <c r="A108" i="2"/>
  <c r="C108" i="2"/>
  <c r="F108" i="2"/>
  <c r="S108" i="2"/>
  <c r="A109" i="2"/>
  <c r="C109" i="2"/>
  <c r="F109" i="2"/>
  <c r="S109" i="2"/>
  <c r="A214" i="2"/>
  <c r="C214" i="2"/>
  <c r="F214" i="2"/>
  <c r="AM214" i="2"/>
  <c r="AN214" i="2"/>
  <c r="A215" i="2"/>
  <c r="C215" i="2"/>
  <c r="F215" i="2"/>
  <c r="AM215" i="2"/>
  <c r="AN215" i="2"/>
  <c r="A216" i="2"/>
  <c r="C216" i="2"/>
  <c r="F216" i="2"/>
  <c r="AM216" i="2"/>
  <c r="AN216" i="2"/>
  <c r="A217" i="2"/>
  <c r="C217" i="2"/>
  <c r="F217" i="2"/>
  <c r="AM217" i="2"/>
  <c r="AN217" i="2"/>
  <c r="A218" i="2"/>
  <c r="C218" i="2"/>
  <c r="F218" i="2"/>
  <c r="AM218" i="2"/>
  <c r="AN218" i="2"/>
  <c r="A183" i="2"/>
  <c r="C183" i="2"/>
  <c r="F183" i="2"/>
  <c r="AM183" i="2"/>
  <c r="AN183" i="2"/>
  <c r="A184" i="2"/>
  <c r="C184" i="2"/>
  <c r="F184" i="2"/>
  <c r="AM184" i="2"/>
  <c r="AN184" i="2"/>
  <c r="A185" i="2"/>
  <c r="C185" i="2"/>
  <c r="F185" i="2"/>
  <c r="AM185" i="2"/>
  <c r="AN185" i="2"/>
  <c r="A186" i="2"/>
  <c r="C186" i="2"/>
  <c r="F186" i="2"/>
  <c r="AM186" i="2"/>
  <c r="AN186" i="2"/>
  <c r="A187" i="2"/>
  <c r="C187" i="2"/>
  <c r="F187" i="2"/>
  <c r="AM187" i="2"/>
  <c r="AN187" i="2"/>
  <c r="A188" i="2"/>
  <c r="C188" i="2"/>
  <c r="F188" i="2"/>
  <c r="AM188" i="2"/>
  <c r="AN188" i="2"/>
  <c r="A189" i="2"/>
  <c r="C189" i="2"/>
  <c r="F189" i="2"/>
  <c r="AM189" i="2"/>
  <c r="AN189" i="2"/>
  <c r="A190" i="2"/>
  <c r="C190" i="2"/>
  <c r="F190" i="2"/>
  <c r="AM190" i="2"/>
  <c r="AN190" i="2"/>
  <c r="A191" i="2"/>
  <c r="C191" i="2"/>
  <c r="F191" i="2"/>
  <c r="AM191" i="2"/>
  <c r="AN191" i="2"/>
  <c r="A192" i="2"/>
  <c r="C192" i="2"/>
  <c r="F192" i="2"/>
  <c r="AM192" i="2"/>
  <c r="AN192" i="2"/>
  <c r="A1028" i="2"/>
  <c r="C1028" i="2"/>
  <c r="D1028" i="2"/>
  <c r="F1028" i="2"/>
  <c r="AK1028" i="2"/>
  <c r="AO1028" i="2"/>
  <c r="AP1028" i="2"/>
  <c r="AQ1028" i="2"/>
  <c r="A1029" i="2"/>
  <c r="C1029" i="2"/>
  <c r="D1029" i="2"/>
  <c r="F1029" i="2"/>
  <c r="AK1029" i="2"/>
  <c r="AO1029" i="2"/>
  <c r="AP1029" i="2"/>
  <c r="AQ1029" i="2"/>
  <c r="A1030" i="2"/>
  <c r="C1030" i="2"/>
  <c r="D1030" i="2"/>
  <c r="F1030" i="2"/>
  <c r="AK1030" i="2"/>
  <c r="AO1030" i="2"/>
  <c r="AP1030" i="2"/>
  <c r="AQ1030" i="2"/>
  <c r="A1031" i="2"/>
  <c r="C1031" i="2"/>
  <c r="D1031" i="2"/>
  <c r="F1031" i="2"/>
  <c r="AK1031" i="2"/>
  <c r="AO1031" i="2"/>
  <c r="AP1031" i="2"/>
  <c r="AQ1031" i="2"/>
  <c r="A977" i="2"/>
  <c r="C977" i="2"/>
  <c r="D977" i="2"/>
  <c r="F977" i="2"/>
  <c r="AK977" i="2"/>
  <c r="AO977" i="2"/>
  <c r="AP977" i="2"/>
  <c r="AQ977" i="2"/>
  <c r="A978" i="2"/>
  <c r="C978" i="2"/>
  <c r="D978" i="2"/>
  <c r="F978" i="2"/>
  <c r="AK978" i="2"/>
  <c r="AO978" i="2"/>
  <c r="AP978" i="2"/>
  <c r="AQ978" i="2"/>
  <c r="A979" i="2"/>
  <c r="C979" i="2"/>
  <c r="D979" i="2"/>
  <c r="F979" i="2"/>
  <c r="AK979" i="2"/>
  <c r="AO979" i="2"/>
  <c r="AP979" i="2"/>
  <c r="AQ979" i="2"/>
  <c r="A980" i="2"/>
  <c r="C980" i="2"/>
  <c r="D980" i="2"/>
  <c r="F980" i="2"/>
  <c r="AK980" i="2"/>
  <c r="AO980" i="2"/>
  <c r="AP980" i="2"/>
  <c r="AQ980" i="2"/>
  <c r="A981" i="2"/>
  <c r="C981" i="2"/>
  <c r="D981" i="2"/>
  <c r="F981" i="2"/>
  <c r="AK981" i="2"/>
  <c r="AO981" i="2"/>
  <c r="AP981" i="2"/>
  <c r="AQ981" i="2"/>
  <c r="A982" i="2"/>
  <c r="C982" i="2"/>
  <c r="D982" i="2"/>
  <c r="F982" i="2"/>
  <c r="AK982" i="2"/>
  <c r="AO982" i="2"/>
  <c r="AP982" i="2"/>
  <c r="AQ982" i="2"/>
  <c r="A983" i="2"/>
  <c r="C983" i="2"/>
  <c r="D983" i="2"/>
  <c r="F983" i="2"/>
  <c r="AK983" i="2"/>
  <c r="AO983" i="2"/>
  <c r="AP983" i="2"/>
  <c r="AQ983" i="2"/>
  <c r="A984" i="2"/>
  <c r="C984" i="2"/>
  <c r="D984" i="2"/>
  <c r="F984" i="2"/>
  <c r="AK984" i="2"/>
  <c r="AO984" i="2"/>
  <c r="AP984" i="2"/>
  <c r="AQ984" i="2"/>
  <c r="A985" i="2"/>
  <c r="C985" i="2"/>
  <c r="D985" i="2"/>
  <c r="F985" i="2"/>
  <c r="AK985" i="2"/>
  <c r="AO985" i="2"/>
  <c r="AP985" i="2"/>
  <c r="AQ985" i="2"/>
  <c r="A986" i="2"/>
  <c r="C986" i="2"/>
  <c r="D986" i="2"/>
  <c r="F986" i="2"/>
  <c r="AK986" i="2"/>
  <c r="AO986" i="2"/>
  <c r="AP986" i="2"/>
  <c r="AQ986" i="2"/>
  <c r="A987" i="2"/>
  <c r="C987" i="2"/>
  <c r="D987" i="2"/>
  <c r="F987" i="2"/>
  <c r="AK987" i="2"/>
  <c r="AO987" i="2"/>
  <c r="AP987" i="2"/>
  <c r="AQ987" i="2"/>
  <c r="A988" i="2"/>
  <c r="C988" i="2"/>
  <c r="D988" i="2"/>
  <c r="F988" i="2"/>
  <c r="AK988" i="2"/>
  <c r="AO988" i="2"/>
  <c r="AP988" i="2"/>
  <c r="AQ988" i="2"/>
  <c r="A989" i="2"/>
  <c r="C989" i="2"/>
  <c r="D989" i="2"/>
  <c r="F989" i="2"/>
  <c r="AK989" i="2"/>
  <c r="AO989" i="2"/>
  <c r="AP989" i="2"/>
  <c r="AQ989" i="2"/>
  <c r="A990" i="2"/>
  <c r="C990" i="2"/>
  <c r="D990" i="2"/>
  <c r="F990" i="2"/>
  <c r="AK990" i="2"/>
  <c r="AO990" i="2"/>
  <c r="AP990" i="2"/>
  <c r="AQ990" i="2"/>
  <c r="A991" i="2"/>
  <c r="C991" i="2"/>
  <c r="D991" i="2"/>
  <c r="F991" i="2"/>
  <c r="AK991" i="2"/>
  <c r="AO991" i="2"/>
  <c r="AP991" i="2"/>
  <c r="AQ991" i="2"/>
  <c r="A992" i="2"/>
  <c r="C992" i="2"/>
  <c r="D992" i="2"/>
  <c r="F992" i="2"/>
  <c r="AK992" i="2"/>
  <c r="AO992" i="2"/>
  <c r="AP992" i="2"/>
  <c r="AQ992" i="2"/>
  <c r="A993" i="2"/>
  <c r="C993" i="2"/>
  <c r="D993" i="2"/>
  <c r="F993" i="2"/>
  <c r="AK993" i="2"/>
  <c r="AO993" i="2"/>
  <c r="AP993" i="2"/>
  <c r="AQ993" i="2"/>
  <c r="A994" i="2"/>
  <c r="C994" i="2"/>
  <c r="D994" i="2"/>
  <c r="F994" i="2"/>
  <c r="AK994" i="2"/>
  <c r="AO994" i="2"/>
  <c r="AP994" i="2"/>
  <c r="AQ994" i="2"/>
  <c r="A995" i="2"/>
  <c r="C995" i="2"/>
  <c r="D995" i="2"/>
  <c r="F995" i="2"/>
  <c r="AK995" i="2"/>
  <c r="AO995" i="2"/>
  <c r="AP995" i="2"/>
  <c r="AQ995" i="2"/>
  <c r="A996" i="2"/>
  <c r="C996" i="2"/>
  <c r="D996" i="2"/>
  <c r="F996" i="2"/>
  <c r="AK996" i="2"/>
  <c r="AO996" i="2"/>
  <c r="AP996" i="2"/>
  <c r="AQ996" i="2"/>
  <c r="A997" i="2"/>
  <c r="C997" i="2"/>
  <c r="D997" i="2"/>
  <c r="F997" i="2"/>
  <c r="AK997" i="2"/>
  <c r="AO997" i="2"/>
  <c r="AP997" i="2"/>
  <c r="AQ997" i="2"/>
  <c r="A998" i="2"/>
  <c r="C998" i="2"/>
  <c r="D998" i="2"/>
  <c r="F998" i="2"/>
  <c r="AK998" i="2"/>
  <c r="AO998" i="2"/>
  <c r="AP998" i="2"/>
  <c r="AQ998" i="2"/>
  <c r="A999" i="2"/>
  <c r="C999" i="2"/>
  <c r="D999" i="2"/>
  <c r="F999" i="2"/>
  <c r="AK999" i="2"/>
  <c r="AO999" i="2"/>
  <c r="AP999" i="2"/>
  <c r="AQ999" i="2"/>
  <c r="A1000" i="2"/>
  <c r="C1000" i="2"/>
  <c r="D1000" i="2"/>
  <c r="F1000" i="2"/>
  <c r="AK1000" i="2"/>
  <c r="AO1000" i="2"/>
  <c r="AP1000" i="2"/>
  <c r="AQ1000" i="2"/>
  <c r="A1001" i="2"/>
  <c r="C1001" i="2"/>
  <c r="D1001" i="2"/>
  <c r="F1001" i="2"/>
  <c r="AK1001" i="2"/>
  <c r="AO1001" i="2"/>
  <c r="AP1001" i="2"/>
  <c r="AQ1001" i="2"/>
  <c r="A1002" i="2"/>
  <c r="C1002" i="2"/>
  <c r="D1002" i="2"/>
  <c r="F1002" i="2"/>
  <c r="AK1002" i="2"/>
  <c r="AO1002" i="2"/>
  <c r="AP1002" i="2"/>
  <c r="AQ1002" i="2"/>
  <c r="A1003" i="2"/>
  <c r="C1003" i="2"/>
  <c r="D1003" i="2"/>
  <c r="F1003" i="2"/>
  <c r="AK1003" i="2"/>
  <c r="AO1003" i="2"/>
  <c r="AP1003" i="2"/>
  <c r="AQ1003" i="2"/>
  <c r="A1004" i="2"/>
  <c r="C1004" i="2"/>
  <c r="D1004" i="2"/>
  <c r="F1004" i="2"/>
  <c r="AK1004" i="2"/>
  <c r="AO1004" i="2"/>
  <c r="AP1004" i="2"/>
  <c r="AQ1004" i="2"/>
  <c r="A1005" i="2"/>
  <c r="C1005" i="2"/>
  <c r="D1005" i="2"/>
  <c r="F1005" i="2"/>
  <c r="AK1005" i="2"/>
  <c r="AO1005" i="2"/>
  <c r="AP1005" i="2"/>
  <c r="AQ1005" i="2"/>
  <c r="A1006" i="2"/>
  <c r="C1006" i="2"/>
  <c r="D1006" i="2"/>
  <c r="F1006" i="2"/>
  <c r="AK1006" i="2"/>
  <c r="AO1006" i="2"/>
  <c r="AP1006" i="2"/>
  <c r="AQ1006" i="2"/>
  <c r="A1007" i="2"/>
  <c r="C1007" i="2"/>
  <c r="D1007" i="2"/>
  <c r="F1007" i="2"/>
  <c r="AK1007" i="2"/>
  <c r="AO1007" i="2"/>
  <c r="AP1007" i="2"/>
  <c r="AQ1007" i="2"/>
  <c r="A1008" i="2"/>
  <c r="C1008" i="2"/>
  <c r="D1008" i="2"/>
  <c r="F1008" i="2"/>
  <c r="AK1008" i="2"/>
  <c r="AO1008" i="2"/>
  <c r="AP1008" i="2"/>
  <c r="AQ1008" i="2"/>
  <c r="A1009" i="2"/>
  <c r="C1009" i="2"/>
  <c r="D1009" i="2"/>
  <c r="F1009" i="2"/>
  <c r="AK1009" i="2"/>
  <c r="AO1009" i="2"/>
  <c r="AP1009" i="2"/>
  <c r="AQ1009" i="2"/>
  <c r="A1010" i="2"/>
  <c r="C1010" i="2"/>
  <c r="D1010" i="2"/>
  <c r="F1010" i="2"/>
  <c r="AK1010" i="2"/>
  <c r="AO1010" i="2"/>
  <c r="AP1010" i="2"/>
  <c r="AQ1010" i="2"/>
  <c r="A1011" i="2"/>
  <c r="C1011" i="2"/>
  <c r="D1011" i="2"/>
  <c r="F1011" i="2"/>
  <c r="AK1011" i="2"/>
  <c r="AO1011" i="2"/>
  <c r="AP1011" i="2"/>
  <c r="AQ1011" i="2"/>
  <c r="A1012" i="2"/>
  <c r="C1012" i="2"/>
  <c r="D1012" i="2"/>
  <c r="F1012" i="2"/>
  <c r="AK1012" i="2"/>
  <c r="AO1012" i="2"/>
  <c r="AP1012" i="2"/>
  <c r="AQ1012" i="2"/>
  <c r="A1013" i="2"/>
  <c r="C1013" i="2"/>
  <c r="D1013" i="2"/>
  <c r="F1013" i="2"/>
  <c r="AK1013" i="2"/>
  <c r="AO1013" i="2"/>
  <c r="AP1013" i="2"/>
  <c r="AQ1013" i="2"/>
  <c r="A1014" i="2"/>
  <c r="C1014" i="2"/>
  <c r="D1014" i="2"/>
  <c r="F1014" i="2"/>
  <c r="AK1014" i="2"/>
  <c r="AO1014" i="2"/>
  <c r="AP1014" i="2"/>
  <c r="AQ1014" i="2"/>
  <c r="A1015" i="2"/>
  <c r="C1015" i="2"/>
  <c r="D1015" i="2"/>
  <c r="F1015" i="2"/>
  <c r="AK1015" i="2"/>
  <c r="AO1015" i="2"/>
  <c r="AP1015" i="2"/>
  <c r="AQ1015" i="2"/>
  <c r="A1016" i="2"/>
  <c r="C1016" i="2"/>
  <c r="D1016" i="2"/>
  <c r="F1016" i="2"/>
  <c r="AK1016" i="2"/>
  <c r="AO1016" i="2"/>
  <c r="AP1016" i="2"/>
  <c r="AQ1016" i="2"/>
  <c r="A1017" i="2"/>
  <c r="C1017" i="2"/>
  <c r="D1017" i="2"/>
  <c r="F1017" i="2"/>
  <c r="AK1017" i="2"/>
  <c r="AO1017" i="2"/>
  <c r="AP1017" i="2"/>
  <c r="AQ1017" i="2"/>
  <c r="A1018" i="2"/>
  <c r="C1018" i="2"/>
  <c r="D1018" i="2"/>
  <c r="F1018" i="2"/>
  <c r="AK1018" i="2"/>
  <c r="AO1018" i="2"/>
  <c r="AP1018" i="2"/>
  <c r="AQ1018" i="2"/>
  <c r="A1019" i="2"/>
  <c r="C1019" i="2"/>
  <c r="D1019" i="2"/>
  <c r="F1019" i="2"/>
  <c r="AK1019" i="2"/>
  <c r="AO1019" i="2"/>
  <c r="AP1019" i="2"/>
  <c r="AQ1019" i="2"/>
  <c r="A1020" i="2"/>
  <c r="C1020" i="2"/>
  <c r="D1020" i="2"/>
  <c r="F1020" i="2"/>
  <c r="AK1020" i="2"/>
  <c r="AO1020" i="2"/>
  <c r="AP1020" i="2"/>
  <c r="AQ1020" i="2"/>
  <c r="A1021" i="2"/>
  <c r="C1021" i="2"/>
  <c r="D1021" i="2"/>
  <c r="F1021" i="2"/>
  <c r="AK1021" i="2"/>
  <c r="AO1021" i="2"/>
  <c r="AP1021" i="2"/>
  <c r="AQ1021" i="2"/>
  <c r="A1022" i="2"/>
  <c r="C1022" i="2"/>
  <c r="D1022" i="2"/>
  <c r="F1022" i="2"/>
  <c r="AK1022" i="2"/>
  <c r="AO1022" i="2"/>
  <c r="AP1022" i="2"/>
  <c r="AQ1022" i="2"/>
  <c r="A1023" i="2"/>
  <c r="C1023" i="2"/>
  <c r="D1023" i="2"/>
  <c r="F1023" i="2"/>
  <c r="AK1023" i="2"/>
  <c r="AO1023" i="2"/>
  <c r="AP1023" i="2"/>
  <c r="AQ1023" i="2"/>
  <c r="A1024" i="2"/>
  <c r="C1024" i="2"/>
  <c r="D1024" i="2"/>
  <c r="F1024" i="2"/>
  <c r="AK1024" i="2"/>
  <c r="AO1024" i="2"/>
  <c r="AP1024" i="2"/>
  <c r="AQ1024" i="2"/>
  <c r="A1025" i="2"/>
  <c r="C1025" i="2"/>
  <c r="D1025" i="2"/>
  <c r="F1025" i="2"/>
  <c r="AK1025" i="2"/>
  <c r="AO1025" i="2"/>
  <c r="AP1025" i="2"/>
  <c r="AQ1025" i="2"/>
  <c r="A1026" i="2"/>
  <c r="C1026" i="2"/>
  <c r="D1026" i="2"/>
  <c r="F1026" i="2"/>
  <c r="AK1026" i="2"/>
  <c r="AO1026" i="2"/>
  <c r="AP1026" i="2"/>
  <c r="AQ1026" i="2"/>
  <c r="A1027" i="2"/>
  <c r="C1027" i="2"/>
  <c r="D1027" i="2"/>
  <c r="F1027" i="2"/>
  <c r="AK1027" i="2"/>
  <c r="AO1027" i="2"/>
  <c r="AP1027" i="2"/>
  <c r="AQ1027" i="2"/>
  <c r="AM844" i="2"/>
  <c r="AN844" i="2"/>
  <c r="AM845" i="2"/>
  <c r="AN845" i="2"/>
  <c r="AM846" i="2"/>
  <c r="AN846" i="2"/>
  <c r="AM847" i="2"/>
  <c r="AN847" i="2"/>
  <c r="AM848" i="2"/>
  <c r="AN848" i="2"/>
  <c r="AM849" i="2"/>
  <c r="AN849" i="2"/>
  <c r="AM850" i="2"/>
  <c r="AN850" i="2"/>
  <c r="AM851" i="2"/>
  <c r="AN851" i="2"/>
  <c r="AM852" i="2"/>
  <c r="AN852" i="2"/>
  <c r="AM853" i="2"/>
  <c r="AN853" i="2"/>
  <c r="AM854" i="2"/>
  <c r="AN854" i="2"/>
  <c r="AM855" i="2"/>
  <c r="AN855" i="2"/>
  <c r="AM856" i="2"/>
  <c r="AN856" i="2"/>
  <c r="AM857" i="2"/>
  <c r="AN857" i="2"/>
  <c r="AM858" i="2"/>
  <c r="AN858" i="2"/>
  <c r="AM859" i="2"/>
  <c r="AN859" i="2"/>
  <c r="AM860" i="2"/>
  <c r="AN860" i="2"/>
  <c r="AM861" i="2"/>
  <c r="AN861" i="2"/>
  <c r="AM862" i="2"/>
  <c r="AN862" i="2"/>
  <c r="AM863" i="2"/>
  <c r="AN863" i="2"/>
  <c r="AM864" i="2"/>
  <c r="AN864" i="2"/>
  <c r="AM865" i="2"/>
  <c r="AN865" i="2"/>
  <c r="AM866" i="2"/>
  <c r="AN866" i="2"/>
  <c r="AM867" i="2"/>
  <c r="AN867" i="2"/>
  <c r="AM868" i="2"/>
  <c r="AN868" i="2"/>
  <c r="AM869" i="2"/>
  <c r="AN869" i="2"/>
  <c r="AM870" i="2"/>
  <c r="AN870" i="2"/>
  <c r="AM871" i="2"/>
  <c r="AN871" i="2"/>
  <c r="AM872" i="2"/>
  <c r="AN872" i="2"/>
  <c r="AM873" i="2"/>
  <c r="AN873" i="2"/>
  <c r="AM874" i="2"/>
  <c r="AN874" i="2"/>
  <c r="AM875" i="2"/>
  <c r="AN875" i="2"/>
  <c r="AM876" i="2"/>
  <c r="AN876" i="2"/>
  <c r="AM877" i="2"/>
  <c r="AN877" i="2"/>
  <c r="AM878" i="2"/>
  <c r="AN878" i="2"/>
  <c r="AM879" i="2"/>
  <c r="AN879" i="2"/>
  <c r="AM880" i="2"/>
  <c r="AN880" i="2"/>
  <c r="AM881" i="2"/>
  <c r="AN881" i="2"/>
  <c r="AM882" i="2"/>
  <c r="AN882" i="2"/>
  <c r="AM883" i="2"/>
  <c r="AN883" i="2"/>
  <c r="AM884" i="2"/>
  <c r="AN884" i="2"/>
  <c r="AM885" i="2"/>
  <c r="AN885" i="2"/>
  <c r="AM886" i="2"/>
  <c r="AN886" i="2"/>
  <c r="AM887" i="2"/>
  <c r="AN887" i="2"/>
  <c r="AM888" i="2"/>
  <c r="AN888" i="2"/>
  <c r="AM889" i="2"/>
  <c r="AN889" i="2"/>
  <c r="AM890" i="2"/>
  <c r="AN890" i="2"/>
  <c r="AM891" i="2"/>
  <c r="AN891" i="2"/>
  <c r="AM892" i="2"/>
  <c r="AN892" i="2"/>
  <c r="AM893" i="2"/>
  <c r="AN893" i="2"/>
  <c r="AM894" i="2"/>
  <c r="AN894" i="2"/>
  <c r="AM895" i="2"/>
  <c r="AN895" i="2"/>
  <c r="AM896" i="2"/>
  <c r="AN896" i="2"/>
  <c r="AM897" i="2"/>
  <c r="AN897" i="2"/>
  <c r="AM898" i="2"/>
  <c r="AN898" i="2"/>
  <c r="AM899" i="2"/>
  <c r="AN899" i="2"/>
  <c r="AM900" i="2"/>
  <c r="AN900" i="2"/>
  <c r="AM901" i="2"/>
  <c r="AN901" i="2"/>
  <c r="AM902" i="2"/>
  <c r="AN902" i="2"/>
  <c r="AM903" i="2"/>
  <c r="AN903" i="2"/>
  <c r="AN843" i="2"/>
  <c r="AM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F843" i="2"/>
  <c r="E5" i="30"/>
  <c r="F5" i="30"/>
  <c r="E6" i="30"/>
  <c r="AM907" i="2" s="1"/>
  <c r="F6" i="30"/>
  <c r="D34" i="52" s="1"/>
  <c r="E7" i="30"/>
  <c r="F7" i="30"/>
  <c r="AN908" i="2" s="1"/>
  <c r="E8" i="30"/>
  <c r="F8" i="30"/>
  <c r="E9" i="30"/>
  <c r="F9" i="30"/>
  <c r="E10" i="30"/>
  <c r="F10" i="30"/>
  <c r="AN911" i="2" s="1"/>
  <c r="E11" i="30"/>
  <c r="F11" i="30"/>
  <c r="E12" i="30"/>
  <c r="F12" i="30"/>
  <c r="AF12" i="30" s="1"/>
  <c r="E13" i="30"/>
  <c r="F13" i="30"/>
  <c r="AN914" i="2" s="1"/>
  <c r="E14" i="30"/>
  <c r="F14" i="30"/>
  <c r="E15" i="30"/>
  <c r="F15" i="30"/>
  <c r="E16" i="30"/>
  <c r="F16" i="30"/>
  <c r="AN917" i="2" s="1"/>
  <c r="E17" i="30"/>
  <c r="AM918" i="2" s="1"/>
  <c r="F17" i="30"/>
  <c r="E18" i="30"/>
  <c r="F18" i="30"/>
  <c r="AN919" i="2" s="1"/>
  <c r="E19" i="30"/>
  <c r="F19" i="30"/>
  <c r="AN920" i="2" s="1"/>
  <c r="E20" i="30"/>
  <c r="F20" i="30"/>
  <c r="E21" i="30"/>
  <c r="F21" i="30"/>
  <c r="E22" i="30"/>
  <c r="AM923" i="2" s="1"/>
  <c r="F22" i="30"/>
  <c r="AN923" i="2" s="1"/>
  <c r="E23" i="30"/>
  <c r="AM924" i="2" s="1"/>
  <c r="F23" i="30"/>
  <c r="E24" i="30"/>
  <c r="AM925" i="2" s="1"/>
  <c r="F24" i="30"/>
  <c r="E25" i="30"/>
  <c r="F25" i="30"/>
  <c r="E26" i="30"/>
  <c r="F26" i="30"/>
  <c r="E27" i="30"/>
  <c r="F27" i="30"/>
  <c r="E28" i="30"/>
  <c r="AM929" i="2" s="1"/>
  <c r="F28" i="30"/>
  <c r="AN929" i="2" s="1"/>
  <c r="E29" i="30"/>
  <c r="AM930" i="2" s="1"/>
  <c r="F29" i="30"/>
  <c r="E30" i="30"/>
  <c r="F30" i="30"/>
  <c r="AN931" i="2" s="1"/>
  <c r="E31" i="30"/>
  <c r="F31" i="30"/>
  <c r="AN932" i="2" s="1"/>
  <c r="E32" i="30"/>
  <c r="F32" i="30"/>
  <c r="AF32" i="30" s="1"/>
  <c r="E33" i="30"/>
  <c r="F33" i="30"/>
  <c r="E34" i="30"/>
  <c r="F34" i="30"/>
  <c r="AN935" i="2" s="1"/>
  <c r="E35" i="30"/>
  <c r="AM936" i="2" s="1"/>
  <c r="F35" i="30"/>
  <c r="E36" i="30"/>
  <c r="F36" i="30"/>
  <c r="AN937" i="2" s="1"/>
  <c r="E37" i="30"/>
  <c r="F37" i="30"/>
  <c r="E38" i="30"/>
  <c r="F38" i="30"/>
  <c r="E39" i="30"/>
  <c r="F39" i="30"/>
  <c r="E40" i="30"/>
  <c r="F40" i="30"/>
  <c r="E41" i="30"/>
  <c r="F41" i="30"/>
  <c r="E42" i="30"/>
  <c r="AM943" i="2" s="1"/>
  <c r="F42" i="30"/>
  <c r="E43" i="30"/>
  <c r="AM944" i="2" s="1"/>
  <c r="F43" i="30"/>
  <c r="AN944" i="2" s="1"/>
  <c r="E44" i="30"/>
  <c r="AM945" i="2" s="1"/>
  <c r="F44" i="30"/>
  <c r="E45" i="30"/>
  <c r="F45" i="30"/>
  <c r="E46" i="30"/>
  <c r="F46" i="30"/>
  <c r="AN947" i="2" s="1"/>
  <c r="E47" i="30"/>
  <c r="AM948" i="2" s="1"/>
  <c r="F47" i="30"/>
  <c r="E48" i="30"/>
  <c r="F48" i="30"/>
  <c r="E49" i="30"/>
  <c r="F49" i="30"/>
  <c r="E50" i="30"/>
  <c r="F50" i="30"/>
  <c r="AN951" i="2" s="1"/>
  <c r="E51" i="30"/>
  <c r="AM952" i="2" s="1"/>
  <c r="F51" i="30"/>
  <c r="E52" i="30"/>
  <c r="F52" i="30"/>
  <c r="E53" i="30"/>
  <c r="AM954" i="2" s="1"/>
  <c r="F53" i="30"/>
  <c r="E54" i="30"/>
  <c r="AM955" i="2" s="1"/>
  <c r="F54" i="30"/>
  <c r="E55" i="30"/>
  <c r="F55" i="30"/>
  <c r="AN956" i="2" s="1"/>
  <c r="E56" i="30"/>
  <c r="F56" i="30"/>
  <c r="E57" i="30"/>
  <c r="F57" i="30"/>
  <c r="E58" i="30"/>
  <c r="AM959" i="2" s="1"/>
  <c r="F58" i="30"/>
  <c r="AN959" i="2" s="1"/>
  <c r="E59" i="30"/>
  <c r="AM960" i="2" s="1"/>
  <c r="F59" i="30"/>
  <c r="E60" i="30"/>
  <c r="AM961" i="2" s="1"/>
  <c r="F60" i="30"/>
  <c r="E61" i="30"/>
  <c r="F61" i="30"/>
  <c r="AN962" i="2" s="1"/>
  <c r="E62" i="30"/>
  <c r="F62" i="30"/>
  <c r="E63" i="30"/>
  <c r="F63" i="30"/>
  <c r="E64" i="30"/>
  <c r="AM965" i="2" s="1"/>
  <c r="F64" i="30"/>
  <c r="AN965" i="2" s="1"/>
  <c r="F4" i="30"/>
  <c r="E4" i="30"/>
  <c r="I57" i="52"/>
  <c r="I56" i="52"/>
  <c r="I54" i="52"/>
  <c r="I53" i="52"/>
  <c r="I55" i="52"/>
  <c r="I52" i="52"/>
  <c r="I49" i="52"/>
  <c r="I51" i="52"/>
  <c r="I50" i="52"/>
  <c r="H59" i="52"/>
  <c r="G59" i="52"/>
  <c r="F59" i="52"/>
  <c r="E59" i="52"/>
  <c r="D59" i="52"/>
  <c r="C57" i="52"/>
  <c r="C50" i="52"/>
  <c r="AC65" i="30"/>
  <c r="AB65" i="30"/>
  <c r="AM904" i="2" s="1"/>
  <c r="I17" i="28"/>
  <c r="C10" i="52"/>
  <c r="B22" i="26"/>
  <c r="AM16" i="2" s="1"/>
  <c r="V7" i="34"/>
  <c r="D10" i="52"/>
  <c r="C22" i="26"/>
  <c r="AN16" i="2" s="1"/>
  <c r="I18" i="28"/>
  <c r="V8" i="34"/>
  <c r="I19" i="28"/>
  <c r="V9" i="34"/>
  <c r="G16" i="24"/>
  <c r="I20" i="28"/>
  <c r="V10" i="34"/>
  <c r="F5" i="49"/>
  <c r="V75" i="73"/>
  <c r="V72" i="73"/>
  <c r="V69" i="73"/>
  <c r="V66" i="73"/>
  <c r="V63" i="73"/>
  <c r="V51" i="73"/>
  <c r="C35" i="32"/>
  <c r="T26" i="46" s="1"/>
  <c r="T27" i="46" s="1"/>
  <c r="AH4" i="38"/>
  <c r="AH3" i="38"/>
  <c r="AH5" i="38"/>
  <c r="AH6" i="38"/>
  <c r="AH7" i="38"/>
  <c r="AH8" i="38"/>
  <c r="AH9" i="38"/>
  <c r="AH10" i="38"/>
  <c r="AH11" i="38"/>
  <c r="AH12" i="38"/>
  <c r="AH13"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38" i="38"/>
  <c r="AH39" i="38"/>
  <c r="AH40" i="38"/>
  <c r="AH41" i="38"/>
  <c r="AH42" i="38"/>
  <c r="AH43" i="38"/>
  <c r="AH44" i="38"/>
  <c r="AH45" i="38"/>
  <c r="AH46" i="38"/>
  <c r="AH47" i="38"/>
  <c r="AH48" i="38"/>
  <c r="AH49" i="38"/>
  <c r="AH50" i="38"/>
  <c r="AH51" i="38"/>
  <c r="AH52" i="38"/>
  <c r="AH53" i="38"/>
  <c r="AH54" i="38"/>
  <c r="AH55" i="38"/>
  <c r="AH56" i="38"/>
  <c r="AH57" i="38"/>
  <c r="AH58" i="38"/>
  <c r="AH59" i="38"/>
  <c r="AH60" i="38"/>
  <c r="AH61" i="38"/>
  <c r="AH62" i="38"/>
  <c r="AH63" i="38"/>
  <c r="AH64" i="38"/>
  <c r="AH65" i="38"/>
  <c r="AH66" i="38"/>
  <c r="AH67" i="38"/>
  <c r="AH68" i="38"/>
  <c r="AH69" i="38"/>
  <c r="AH70" i="38"/>
  <c r="AH71" i="38"/>
  <c r="AH72" i="38"/>
  <c r="AH73" i="38"/>
  <c r="AH74" i="38"/>
  <c r="AH75" i="38"/>
  <c r="AH76" i="38"/>
  <c r="AH77" i="38"/>
  <c r="AH78" i="38"/>
  <c r="AH79" i="38"/>
  <c r="AH80" i="38"/>
  <c r="AH81" i="38"/>
  <c r="AH82" i="38"/>
  <c r="AH83" i="38"/>
  <c r="AH84" i="38"/>
  <c r="AH85" i="38"/>
  <c r="AH86" i="38"/>
  <c r="AH87" i="38"/>
  <c r="AH88" i="38"/>
  <c r="AH89" i="38"/>
  <c r="AH90" i="38"/>
  <c r="AH91" i="38"/>
  <c r="AH92" i="38"/>
  <c r="AH93" i="38"/>
  <c r="AH94" i="38"/>
  <c r="AH95" i="38"/>
  <c r="AH96" i="38"/>
  <c r="AH97" i="38"/>
  <c r="AH98" i="38"/>
  <c r="AH99" i="38"/>
  <c r="AH100" i="38"/>
  <c r="AH101" i="38"/>
  <c r="AH102" i="38"/>
  <c r="AH103" i="38"/>
  <c r="AH104" i="38"/>
  <c r="AH105" i="38"/>
  <c r="AH106" i="38"/>
  <c r="AH107" i="38"/>
  <c r="AH108" i="38"/>
  <c r="AH109" i="38"/>
  <c r="AH110" i="38"/>
  <c r="AH111" i="38"/>
  <c r="AH112" i="38"/>
  <c r="AH113" i="38"/>
  <c r="AH114" i="38"/>
  <c r="AH115" i="38"/>
  <c r="AH116" i="38"/>
  <c r="AH117" i="38"/>
  <c r="AH118" i="38"/>
  <c r="AH119" i="38"/>
  <c r="AH120" i="38"/>
  <c r="AH121" i="38"/>
  <c r="AH122" i="38"/>
  <c r="AH123" i="38"/>
  <c r="AH124" i="38"/>
  <c r="AH125" i="38"/>
  <c r="AH126" i="38"/>
  <c r="AH127" i="38"/>
  <c r="AH128" i="38"/>
  <c r="AH129" i="38"/>
  <c r="AH130" i="38"/>
  <c r="AH131" i="38"/>
  <c r="AH132" i="38"/>
  <c r="AH133" i="38"/>
  <c r="AH134" i="38"/>
  <c r="AH135" i="38"/>
  <c r="AH136" i="38"/>
  <c r="AH137" i="38"/>
  <c r="AH138" i="38"/>
  <c r="AH139" i="38"/>
  <c r="AH140" i="38"/>
  <c r="AH141" i="38"/>
  <c r="AH142" i="38"/>
  <c r="AH143" i="38"/>
  <c r="AH144" i="38"/>
  <c r="AH145" i="38"/>
  <c r="AH146" i="38"/>
  <c r="AH147" i="38"/>
  <c r="AH148" i="38"/>
  <c r="AH149" i="38"/>
  <c r="AH150" i="38"/>
  <c r="AH151" i="38"/>
  <c r="AH152" i="38"/>
  <c r="AH153" i="38"/>
  <c r="AH154" i="38"/>
  <c r="AH155" i="38"/>
  <c r="AH156" i="38"/>
  <c r="AH157" i="38"/>
  <c r="AH158" i="38"/>
  <c r="AH159" i="38"/>
  <c r="AH160" i="38"/>
  <c r="AH161" i="38"/>
  <c r="AH162" i="38"/>
  <c r="AH163" i="38"/>
  <c r="AH164" i="38"/>
  <c r="AH165" i="38"/>
  <c r="AH166" i="38"/>
  <c r="AH167" i="38"/>
  <c r="AH168"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90" i="38"/>
  <c r="AH191" i="38"/>
  <c r="AH192" i="38"/>
  <c r="AH193" i="38"/>
  <c r="AH194" i="38"/>
  <c r="AH195" i="38"/>
  <c r="AH196" i="38"/>
  <c r="AH197" i="38"/>
  <c r="AH198" i="38"/>
  <c r="AH199" i="38"/>
  <c r="AH200" i="38"/>
  <c r="AH201" i="38"/>
  <c r="AH202" i="38"/>
  <c r="AH203" i="38"/>
  <c r="AH204" i="38"/>
  <c r="AH205" i="38"/>
  <c r="AH206" i="38"/>
  <c r="AH207" i="38"/>
  <c r="AH208" i="38"/>
  <c r="AH209" i="38"/>
  <c r="AH210" i="38"/>
  <c r="AH211" i="38"/>
  <c r="AH212" i="38"/>
  <c r="AH213" i="38"/>
  <c r="AH214" i="38"/>
  <c r="AH215" i="38"/>
  <c r="AH216" i="38"/>
  <c r="AH217" i="38"/>
  <c r="AH218" i="38"/>
  <c r="AH219" i="38"/>
  <c r="AH220" i="38"/>
  <c r="AH221" i="38"/>
  <c r="AH222" i="38"/>
  <c r="AH223" i="38"/>
  <c r="AH224" i="38"/>
  <c r="AH225" i="38"/>
  <c r="AH226" i="38"/>
  <c r="AH227" i="38"/>
  <c r="AH228" i="38"/>
  <c r="AH229" i="38"/>
  <c r="AH230" i="38"/>
  <c r="AH231" i="38"/>
  <c r="AH232" i="38"/>
  <c r="AH233" i="38"/>
  <c r="AH234" i="38"/>
  <c r="AH235" i="38"/>
  <c r="AH236" i="38"/>
  <c r="AH237" i="38"/>
  <c r="AH238" i="38"/>
  <c r="AH239" i="38"/>
  <c r="AH240" i="38"/>
  <c r="AH241" i="38"/>
  <c r="AH242" i="38"/>
  <c r="AH243" i="38"/>
  <c r="AH244" i="38"/>
  <c r="AH245" i="38"/>
  <c r="AH246" i="38"/>
  <c r="AH247" i="38"/>
  <c r="AH248" i="38"/>
  <c r="AH249" i="38"/>
  <c r="AH250" i="38"/>
  <c r="AH251" i="38"/>
  <c r="AH252" i="38"/>
  <c r="AH253" i="38"/>
  <c r="AH254" i="38"/>
  <c r="AH255" i="38"/>
  <c r="AH256" i="38"/>
  <c r="AH257" i="38"/>
  <c r="AH258" i="38"/>
  <c r="AH259" i="38"/>
  <c r="AH260" i="38"/>
  <c r="AH261" i="38"/>
  <c r="AH262" i="38"/>
  <c r="AH263" i="38"/>
  <c r="AH264" i="38"/>
  <c r="AH265" i="38"/>
  <c r="AH266" i="38"/>
  <c r="AH267" i="38"/>
  <c r="AH268" i="38"/>
  <c r="AH269" i="38"/>
  <c r="AH270"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312" i="38"/>
  <c r="AH313" i="38"/>
  <c r="AH314" i="38"/>
  <c r="AH315" i="38"/>
  <c r="AH316" i="38"/>
  <c r="AH317" i="38"/>
  <c r="AH318" i="38"/>
  <c r="AH319" i="38"/>
  <c r="AH320" i="38"/>
  <c r="AH321" i="38"/>
  <c r="AH322" i="38"/>
  <c r="AH323" i="38"/>
  <c r="AH324" i="38"/>
  <c r="AH325" i="38"/>
  <c r="AH326" i="38"/>
  <c r="AH327" i="38"/>
  <c r="AH328" i="38"/>
  <c r="AH329" i="38"/>
  <c r="AH330" i="38"/>
  <c r="AH331" i="38"/>
  <c r="AH332" i="38"/>
  <c r="AH333" i="38"/>
  <c r="AH334" i="38"/>
  <c r="AH335" i="38"/>
  <c r="AH336" i="38"/>
  <c r="AH337" i="38"/>
  <c r="AH338" i="38"/>
  <c r="AH339" i="38"/>
  <c r="AH340" i="38"/>
  <c r="AH341" i="38"/>
  <c r="AH342" i="38"/>
  <c r="AH343" i="38"/>
  <c r="AH344" i="38"/>
  <c r="AH345"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78" i="38"/>
  <c r="AH379" i="38"/>
  <c r="AH380" i="38"/>
  <c r="AH381" i="38"/>
  <c r="AH382" i="38"/>
  <c r="AH383" i="38"/>
  <c r="AH384" i="38"/>
  <c r="AH385" i="38"/>
  <c r="AH386" i="38"/>
  <c r="AH387" i="38"/>
  <c r="AH388" i="38"/>
  <c r="AH389" i="38"/>
  <c r="AH390" i="38"/>
  <c r="AH391" i="38"/>
  <c r="AH392" i="38"/>
  <c r="AH393" i="38"/>
  <c r="AH394" i="38"/>
  <c r="AH395" i="38"/>
  <c r="AH396" i="38"/>
  <c r="AH397" i="38"/>
  <c r="AH398" i="38"/>
  <c r="AH399" i="38"/>
  <c r="AH400" i="38"/>
  <c r="AH401" i="38"/>
  <c r="AH402" i="38"/>
  <c r="AH403" i="38"/>
  <c r="AH404" i="38"/>
  <c r="AH405" i="38"/>
  <c r="AH406" i="38"/>
  <c r="AH407" i="38"/>
  <c r="AH408" i="38"/>
  <c r="AH409" i="38"/>
  <c r="AH410" i="38"/>
  <c r="AH411" i="38"/>
  <c r="AH412" i="38"/>
  <c r="AH413" i="38"/>
  <c r="AH414" i="38"/>
  <c r="AH415" i="38"/>
  <c r="AH416" i="38"/>
  <c r="AH417" i="38"/>
  <c r="AH418" i="38"/>
  <c r="AH419" i="38"/>
  <c r="AH420" i="38"/>
  <c r="AH421" i="38"/>
  <c r="AH422" i="38"/>
  <c r="AH423" i="38"/>
  <c r="AH424" i="38"/>
  <c r="AH425" i="38"/>
  <c r="AH426" i="38"/>
  <c r="AH427" i="38"/>
  <c r="AH428" i="38"/>
  <c r="AH429" i="38"/>
  <c r="AH430" i="38"/>
  <c r="AH431" i="38"/>
  <c r="AH432" i="38"/>
  <c r="AH433" i="38"/>
  <c r="AH434" i="38"/>
  <c r="AH435" i="38"/>
  <c r="AH436" i="38"/>
  <c r="AH437" i="38"/>
  <c r="AH438" i="38"/>
  <c r="AH439" i="38"/>
  <c r="AH440" i="38"/>
  <c r="AH441" i="38"/>
  <c r="AH442" i="38"/>
  <c r="AH443" i="38"/>
  <c r="AH444" i="38"/>
  <c r="AH445" i="38"/>
  <c r="AH446" i="38"/>
  <c r="AH447" i="38"/>
  <c r="AH448" i="38"/>
  <c r="AH449" i="38"/>
  <c r="AH450" i="38"/>
  <c r="AH451" i="38"/>
  <c r="AH452" i="38"/>
  <c r="AH453" i="38"/>
  <c r="AH454" i="38"/>
  <c r="AH455" i="38"/>
  <c r="AH456" i="38"/>
  <c r="AH457" i="38"/>
  <c r="AH458" i="38"/>
  <c r="AH459" i="38"/>
  <c r="AH460" i="38"/>
  <c r="AH461" i="38"/>
  <c r="AH462" i="38"/>
  <c r="AH463" i="38"/>
  <c r="AH464" i="38"/>
  <c r="AH465" i="38"/>
  <c r="AH466" i="38"/>
  <c r="AH467" i="38"/>
  <c r="AH468" i="38"/>
  <c r="AH469" i="38"/>
  <c r="AH470" i="38"/>
  <c r="AH471" i="38"/>
  <c r="AH472" i="38"/>
  <c r="AH473" i="38"/>
  <c r="AH474" i="38"/>
  <c r="AH475" i="38"/>
  <c r="AH476" i="38"/>
  <c r="AH477" i="38"/>
  <c r="AH478" i="38"/>
  <c r="AH479" i="38"/>
  <c r="AH480" i="38"/>
  <c r="AH481" i="38"/>
  <c r="AH482" i="38"/>
  <c r="AH483" i="38"/>
  <c r="AH484" i="38"/>
  <c r="AH485" i="38"/>
  <c r="AH486" i="38"/>
  <c r="AH487" i="38"/>
  <c r="AH488" i="38"/>
  <c r="AH489" i="38"/>
  <c r="AH490" i="38"/>
  <c r="AH491" i="38"/>
  <c r="AH492" i="38"/>
  <c r="AH493" i="38"/>
  <c r="AH494" i="38"/>
  <c r="AH495" i="38"/>
  <c r="AH496" i="38"/>
  <c r="AH497" i="38"/>
  <c r="AH498" i="38"/>
  <c r="AH499" i="38"/>
  <c r="AH500" i="38"/>
  <c r="AH501" i="38"/>
  <c r="AH502" i="38"/>
  <c r="AH503" i="38"/>
  <c r="AH504" i="38"/>
  <c r="AH505" i="38"/>
  <c r="AH506" i="38"/>
  <c r="AH507" i="38"/>
  <c r="AH508" i="38"/>
  <c r="AH509" i="38"/>
  <c r="AH510" i="38"/>
  <c r="AH511" i="38"/>
  <c r="AH512" i="38"/>
  <c r="AH513" i="38"/>
  <c r="AH514" i="38"/>
  <c r="AH515" i="38"/>
  <c r="AH516" i="38"/>
  <c r="AH517" i="38"/>
  <c r="AH518" i="38"/>
  <c r="AH519" i="38"/>
  <c r="AH520" i="38"/>
  <c r="AH521" i="38"/>
  <c r="AH522" i="38"/>
  <c r="AH523" i="38"/>
  <c r="AH524" i="38"/>
  <c r="AH525" i="38"/>
  <c r="AH526" i="38"/>
  <c r="AH527" i="38"/>
  <c r="AH528" i="38"/>
  <c r="AH529" i="38"/>
  <c r="AH530" i="38"/>
  <c r="AH531" i="38"/>
  <c r="AH532" i="38"/>
  <c r="AH533" i="38"/>
  <c r="AH534" i="38"/>
  <c r="AH535" i="38"/>
  <c r="AH536" i="38"/>
  <c r="AH537" i="38"/>
  <c r="AH538" i="38"/>
  <c r="AH539" i="38"/>
  <c r="AH540" i="38"/>
  <c r="AH541" i="38"/>
  <c r="AH542" i="38"/>
  <c r="AH543" i="38"/>
  <c r="AH544" i="38"/>
  <c r="AH545" i="38"/>
  <c r="AH546" i="38"/>
  <c r="AH547" i="38"/>
  <c r="AH548" i="38"/>
  <c r="AH549" i="38"/>
  <c r="AH550" i="38"/>
  <c r="AH551" i="38"/>
  <c r="AH552" i="38"/>
  <c r="AH553" i="38"/>
  <c r="AH554" i="38"/>
  <c r="AH555" i="38"/>
  <c r="AH556" i="38"/>
  <c r="AH557" i="38"/>
  <c r="AH558" i="38"/>
  <c r="AH559" i="38"/>
  <c r="AH560" i="38"/>
  <c r="AH561" i="38"/>
  <c r="AH562" i="38"/>
  <c r="AH563" i="38"/>
  <c r="AH564" i="38"/>
  <c r="AH565" i="38"/>
  <c r="AH566" i="38"/>
  <c r="AH567" i="38"/>
  <c r="AH568" i="38"/>
  <c r="AH569" i="38"/>
  <c r="AH570" i="38"/>
  <c r="AH571" i="38"/>
  <c r="AH572" i="38"/>
  <c r="AH573" i="38"/>
  <c r="AH574" i="38"/>
  <c r="AH575" i="38"/>
  <c r="AH576" i="38"/>
  <c r="AH577" i="38"/>
  <c r="AH578" i="38"/>
  <c r="AH579" i="38"/>
  <c r="AH580" i="38"/>
  <c r="AH581" i="38"/>
  <c r="AH582" i="38"/>
  <c r="AH583" i="38"/>
  <c r="AH584" i="38"/>
  <c r="AH585" i="38"/>
  <c r="AH586" i="38"/>
  <c r="AH587" i="38"/>
  <c r="AH588" i="38"/>
  <c r="AH589" i="38"/>
  <c r="AH590" i="38"/>
  <c r="AH591" i="38"/>
  <c r="AH592" i="38"/>
  <c r="AH593" i="38"/>
  <c r="AH594" i="38"/>
  <c r="AH595" i="38"/>
  <c r="AH596" i="38"/>
  <c r="AH597" i="38"/>
  <c r="AH598" i="38"/>
  <c r="AH599" i="38"/>
  <c r="AH600" i="38"/>
  <c r="AH601" i="38"/>
  <c r="AH602" i="38"/>
  <c r="AH603" i="38"/>
  <c r="AH604" i="38"/>
  <c r="AH605" i="38"/>
  <c r="AH606" i="38"/>
  <c r="AH607" i="38"/>
  <c r="AH608" i="38"/>
  <c r="AH609" i="38"/>
  <c r="AH610" i="38"/>
  <c r="AH611" i="38"/>
  <c r="AH612" i="38"/>
  <c r="AH613" i="38"/>
  <c r="AH614" i="38"/>
  <c r="AH615" i="38"/>
  <c r="AH616" i="38"/>
  <c r="AH617" i="38"/>
  <c r="AH618" i="38"/>
  <c r="AH619" i="38"/>
  <c r="AH620" i="38"/>
  <c r="AH621" i="38"/>
  <c r="AH622" i="38"/>
  <c r="AH623" i="38"/>
  <c r="AH624" i="38"/>
  <c r="AH625" i="38"/>
  <c r="AH626" i="38"/>
  <c r="AH627" i="38"/>
  <c r="AH628" i="38"/>
  <c r="AH629" i="38"/>
  <c r="AH630" i="38"/>
  <c r="AH631" i="38"/>
  <c r="AH632" i="38"/>
  <c r="AH633" i="38"/>
  <c r="AH634" i="38"/>
  <c r="AH635" i="38"/>
  <c r="AH636" i="38"/>
  <c r="AH637" i="38"/>
  <c r="AH638" i="38"/>
  <c r="AH639" i="38"/>
  <c r="AH640" i="38"/>
  <c r="AH641" i="38"/>
  <c r="AH642" i="38"/>
  <c r="AH643" i="38"/>
  <c r="AH644" i="38"/>
  <c r="AH645" i="38"/>
  <c r="AH646" i="38"/>
  <c r="AH647" i="38"/>
  <c r="AH648" i="38"/>
  <c r="AH649" i="38"/>
  <c r="AH650" i="38"/>
  <c r="AH651" i="38"/>
  <c r="AH652" i="38"/>
  <c r="AH653" i="38"/>
  <c r="AH654" i="38"/>
  <c r="AH655" i="38"/>
  <c r="AH656" i="38"/>
  <c r="AH657" i="38"/>
  <c r="AH658" i="38"/>
  <c r="AH659" i="38"/>
  <c r="AH660" i="38"/>
  <c r="AH661" i="38"/>
  <c r="AH662" i="38"/>
  <c r="AH663" i="38"/>
  <c r="AH664" i="38"/>
  <c r="AH665" i="38"/>
  <c r="AH666" i="38"/>
  <c r="AH667" i="38"/>
  <c r="AH668" i="38"/>
  <c r="AH669" i="38"/>
  <c r="AH670" i="38"/>
  <c r="AH671" i="38"/>
  <c r="AH672" i="38"/>
  <c r="AH673" i="38"/>
  <c r="AH674" i="38"/>
  <c r="AH675" i="38"/>
  <c r="AH676" i="38"/>
  <c r="AH677" i="38"/>
  <c r="AH678" i="38"/>
  <c r="AH679" i="38"/>
  <c r="AH680" i="38"/>
  <c r="AH681" i="38"/>
  <c r="AH682" i="38"/>
  <c r="AH683" i="38"/>
  <c r="AH684" i="38"/>
  <c r="AH685" i="38"/>
  <c r="AH686" i="38"/>
  <c r="AH687" i="38"/>
  <c r="AH688" i="38"/>
  <c r="AH689" i="38"/>
  <c r="AH690" i="38"/>
  <c r="AH691" i="38"/>
  <c r="AH692" i="38"/>
  <c r="AH693" i="38"/>
  <c r="AH694" i="38"/>
  <c r="AH695" i="38"/>
  <c r="AH696" i="38"/>
  <c r="AH697" i="38"/>
  <c r="AH698" i="38"/>
  <c r="AH699" i="38"/>
  <c r="AH700" i="38"/>
  <c r="AH701" i="38"/>
  <c r="AH702" i="38"/>
  <c r="AH703" i="38"/>
  <c r="AH704" i="38"/>
  <c r="AH705" i="38"/>
  <c r="AH706" i="38"/>
  <c r="AH707" i="38"/>
  <c r="AH708" i="38"/>
  <c r="AH709" i="38"/>
  <c r="AH710" i="38"/>
  <c r="AH711" i="38"/>
  <c r="AH712" i="38"/>
  <c r="AH713" i="38"/>
  <c r="AH714" i="38"/>
  <c r="AH715" i="38"/>
  <c r="AH716" i="38"/>
  <c r="AH717" i="38"/>
  <c r="AH718" i="38"/>
  <c r="AH719" i="38"/>
  <c r="AH720" i="38"/>
  <c r="AH721" i="38"/>
  <c r="AH722" i="38"/>
  <c r="AH723" i="38"/>
  <c r="AH724" i="38"/>
  <c r="AH725" i="38"/>
  <c r="AH726" i="38"/>
  <c r="AH727" i="38"/>
  <c r="AH728" i="38"/>
  <c r="AH729" i="38"/>
  <c r="AH730" i="38"/>
  <c r="AH731" i="38"/>
  <c r="AH732" i="38"/>
  <c r="AH733" i="38"/>
  <c r="AH734" i="38"/>
  <c r="AH735" i="38"/>
  <c r="AH736" i="38"/>
  <c r="AH737" i="38"/>
  <c r="AH738" i="38"/>
  <c r="AH739" i="38"/>
  <c r="AH740" i="38"/>
  <c r="AH741" i="38"/>
  <c r="AH742" i="38"/>
  <c r="AH743" i="38"/>
  <c r="AH744" i="38"/>
  <c r="AH745" i="38"/>
  <c r="AH746" i="38"/>
  <c r="AH747" i="38"/>
  <c r="AH748" i="38"/>
  <c r="AH749" i="38"/>
  <c r="AH750" i="38"/>
  <c r="AH751" i="38"/>
  <c r="AH752" i="38"/>
  <c r="AH753" i="38"/>
  <c r="AH754" i="38"/>
  <c r="AH755" i="38"/>
  <c r="AH756" i="38"/>
  <c r="AH757" i="38"/>
  <c r="AH758" i="38"/>
  <c r="AH759" i="38"/>
  <c r="AH760" i="38"/>
  <c r="AH761" i="38"/>
  <c r="AH762" i="38"/>
  <c r="AH763" i="38"/>
  <c r="AH764" i="38"/>
  <c r="AH765" i="38"/>
  <c r="AH766" i="38"/>
  <c r="AH767" i="38"/>
  <c r="AH768" i="38"/>
  <c r="AH769" i="38"/>
  <c r="AH770" i="38"/>
  <c r="AH771" i="38"/>
  <c r="AH772" i="38"/>
  <c r="AH773" i="38"/>
  <c r="AH774" i="38"/>
  <c r="AH775" i="38"/>
  <c r="AH776" i="38"/>
  <c r="AH777" i="38"/>
  <c r="AH778" i="38"/>
  <c r="AH779" i="38"/>
  <c r="AH780" i="38"/>
  <c r="AH781" i="38"/>
  <c r="AH782" i="38"/>
  <c r="AH783" i="38"/>
  <c r="AH784" i="38"/>
  <c r="AH785" i="38"/>
  <c r="AH786" i="38"/>
  <c r="AH787" i="38"/>
  <c r="AH788" i="38"/>
  <c r="AH789" i="38"/>
  <c r="AH790" i="38"/>
  <c r="AH791" i="38"/>
  <c r="AH792" i="38"/>
  <c r="AH793" i="38"/>
  <c r="AH794" i="38"/>
  <c r="AH795" i="38"/>
  <c r="AH796" i="38"/>
  <c r="AH797" i="38"/>
  <c r="AH798" i="38"/>
  <c r="AH799" i="38"/>
  <c r="AH800" i="38"/>
  <c r="AH801" i="38"/>
  <c r="AH802" i="38"/>
  <c r="AH803" i="38"/>
  <c r="AH804" i="38"/>
  <c r="AH805" i="38"/>
  <c r="AH806" i="38"/>
  <c r="AH807" i="38"/>
  <c r="AH808" i="38"/>
  <c r="AH809" i="38"/>
  <c r="AH810" i="38"/>
  <c r="AH811" i="38"/>
  <c r="AH812" i="38"/>
  <c r="AH813" i="38"/>
  <c r="AH814" i="38"/>
  <c r="AH815" i="38"/>
  <c r="AH816" i="38"/>
  <c r="AH817" i="38"/>
  <c r="AH818" i="38"/>
  <c r="AH819" i="38"/>
  <c r="AH820" i="38"/>
  <c r="AH821" i="38"/>
  <c r="AH822" i="38"/>
  <c r="AH823" i="38"/>
  <c r="AH824" i="38"/>
  <c r="AH825" i="38"/>
  <c r="AH826" i="38"/>
  <c r="AH827" i="38"/>
  <c r="AH828" i="38"/>
  <c r="AH829" i="38"/>
  <c r="AH830" i="38"/>
  <c r="AH831" i="38"/>
  <c r="AH832" i="38"/>
  <c r="AH833" i="38"/>
  <c r="AH834" i="38"/>
  <c r="AH835" i="38"/>
  <c r="AH836" i="38"/>
  <c r="AH837" i="38"/>
  <c r="AH838" i="38"/>
  <c r="AH839" i="38"/>
  <c r="AH840" i="38"/>
  <c r="AH841" i="38"/>
  <c r="AH842" i="38"/>
  <c r="AH843" i="38"/>
  <c r="AH844" i="38"/>
  <c r="AH845" i="38"/>
  <c r="AH846" i="38"/>
  <c r="AH847" i="38"/>
  <c r="AH848" i="38"/>
  <c r="AH849" i="38"/>
  <c r="AH850" i="38"/>
  <c r="AH851" i="38"/>
  <c r="AH852" i="38"/>
  <c r="AH853" i="38"/>
  <c r="AH854" i="38"/>
  <c r="AH855" i="38"/>
  <c r="AH856" i="38"/>
  <c r="AH857" i="38"/>
  <c r="AH858" i="38"/>
  <c r="AH859" i="38"/>
  <c r="AH860" i="38"/>
  <c r="AH861" i="38"/>
  <c r="AH862" i="38"/>
  <c r="AH863" i="38"/>
  <c r="AH864" i="38"/>
  <c r="AH865" i="38"/>
  <c r="AH866" i="38"/>
  <c r="AH867" i="38"/>
  <c r="AH868" i="38"/>
  <c r="AH869" i="38"/>
  <c r="AH870" i="38"/>
  <c r="AH871" i="38"/>
  <c r="AH872" i="38"/>
  <c r="AH873" i="38"/>
  <c r="AH874" i="38"/>
  <c r="AH875" i="38"/>
  <c r="AH876" i="38"/>
  <c r="AH877" i="38"/>
  <c r="AH878" i="38"/>
  <c r="AH879" i="38"/>
  <c r="AH880" i="38"/>
  <c r="AH881" i="38"/>
  <c r="AH882" i="38"/>
  <c r="AH883" i="38"/>
  <c r="AH884" i="38"/>
  <c r="AH885" i="38"/>
  <c r="AH886" i="38"/>
  <c r="AH887" i="38"/>
  <c r="AH888" i="38"/>
  <c r="AH889" i="38"/>
  <c r="AH890" i="38"/>
  <c r="AH891" i="38"/>
  <c r="AH892" i="38"/>
  <c r="AH893" i="38"/>
  <c r="AH894" i="38"/>
  <c r="AH895" i="38"/>
  <c r="AH896" i="38"/>
  <c r="AH897" i="38"/>
  <c r="AH898" i="38"/>
  <c r="AH899" i="38"/>
  <c r="AH900" i="38"/>
  <c r="AH901" i="38"/>
  <c r="AH902" i="38"/>
  <c r="AH903" i="38"/>
  <c r="AH904" i="38"/>
  <c r="AH905" i="38"/>
  <c r="AH906" i="38"/>
  <c r="AH907" i="38"/>
  <c r="AH908" i="38"/>
  <c r="AH909" i="38"/>
  <c r="AH910" i="38"/>
  <c r="AH911" i="38"/>
  <c r="AH912" i="38"/>
  <c r="AH913" i="38"/>
  <c r="AH914" i="38"/>
  <c r="AH915" i="38"/>
  <c r="AH916" i="38"/>
  <c r="AH917" i="38"/>
  <c r="AH918" i="38"/>
  <c r="AH919" i="38"/>
  <c r="AH920" i="38"/>
  <c r="AH921" i="38"/>
  <c r="AH922" i="38"/>
  <c r="AH923" i="38"/>
  <c r="AH924" i="38"/>
  <c r="AH925" i="38"/>
  <c r="AH926" i="38"/>
  <c r="AH927" i="38"/>
  <c r="AH928" i="38"/>
  <c r="AH929" i="38"/>
  <c r="AH930" i="38"/>
  <c r="AH931" i="38"/>
  <c r="AH932" i="38"/>
  <c r="AH933" i="38"/>
  <c r="AH934" i="38"/>
  <c r="AH935" i="38"/>
  <c r="AH936" i="38"/>
  <c r="AH937" i="38"/>
  <c r="AH938" i="38"/>
  <c r="AH939" i="38"/>
  <c r="AH940" i="38"/>
  <c r="AH941" i="38"/>
  <c r="AH942" i="38"/>
  <c r="AH943" i="38"/>
  <c r="AH944" i="38"/>
  <c r="AH945" i="38"/>
  <c r="AH946" i="38"/>
  <c r="AH947" i="38"/>
  <c r="AH948" i="38"/>
  <c r="AH949" i="38"/>
  <c r="AH950" i="38"/>
  <c r="AH951" i="38"/>
  <c r="AH952" i="38"/>
  <c r="AH953" i="38"/>
  <c r="AH954" i="38"/>
  <c r="AH955" i="38"/>
  <c r="AH956" i="38"/>
  <c r="AH957" i="38"/>
  <c r="AH958" i="38"/>
  <c r="AH959" i="38"/>
  <c r="AH960" i="38"/>
  <c r="AH961" i="38"/>
  <c r="AH962" i="38"/>
  <c r="AH963" i="38"/>
  <c r="AH964" i="38"/>
  <c r="AH965" i="38"/>
  <c r="AH966" i="38"/>
  <c r="AH967" i="38"/>
  <c r="AH968" i="38"/>
  <c r="AH969" i="38"/>
  <c r="AH970" i="38"/>
  <c r="AH971" i="38"/>
  <c r="AH972" i="38"/>
  <c r="AH973" i="38"/>
  <c r="AH974" i="38"/>
  <c r="AH975" i="38"/>
  <c r="AH976" i="38"/>
  <c r="AH977" i="38"/>
  <c r="AH978" i="38"/>
  <c r="AH979" i="38"/>
  <c r="AH980" i="38"/>
  <c r="AH981" i="38"/>
  <c r="AH982" i="38"/>
  <c r="AH983" i="38"/>
  <c r="AH984" i="38"/>
  <c r="AH985" i="38"/>
  <c r="AH986" i="38"/>
  <c r="AH987" i="38"/>
  <c r="AH988" i="38"/>
  <c r="AH989" i="38"/>
  <c r="AH990" i="38"/>
  <c r="AH991" i="38"/>
  <c r="AH992" i="38"/>
  <c r="AH993" i="38"/>
  <c r="AH994" i="38"/>
  <c r="AH995" i="38"/>
  <c r="AH996" i="38"/>
  <c r="AH997" i="38"/>
  <c r="AH998" i="38"/>
  <c r="AH999" i="38"/>
  <c r="AH1000" i="38"/>
  <c r="AH1001" i="38"/>
  <c r="AH2" i="38"/>
  <c r="I21" i="28"/>
  <c r="I22" i="28"/>
  <c r="V11" i="34"/>
  <c r="I28" i="51"/>
  <c r="F28" i="51"/>
  <c r="I27" i="51"/>
  <c r="F27" i="51"/>
  <c r="I24" i="51"/>
  <c r="F24" i="51"/>
  <c r="I19" i="51"/>
  <c r="F19" i="51"/>
  <c r="I26" i="51"/>
  <c r="F26" i="51"/>
  <c r="I23" i="51"/>
  <c r="F23" i="51"/>
  <c r="G52" i="51"/>
  <c r="H52" i="51"/>
  <c r="F52" i="51"/>
  <c r="I18" i="51"/>
  <c r="F18" i="51"/>
  <c r="F11" i="51"/>
  <c r="F10" i="51"/>
  <c r="AJ1" i="1"/>
  <c r="AI1" i="1"/>
  <c r="AH1" i="1"/>
  <c r="AG1" i="1"/>
  <c r="AF1" i="1"/>
  <c r="AE1" i="1"/>
  <c r="AD1" i="1"/>
  <c r="AC1" i="1"/>
  <c r="AB1" i="1"/>
  <c r="AA1" i="1"/>
  <c r="Z1" i="1"/>
  <c r="Y1" i="1"/>
  <c r="X1" i="1"/>
  <c r="W1" i="1"/>
  <c r="V1" i="1"/>
  <c r="U1" i="1"/>
  <c r="T1" i="1"/>
  <c r="S1" i="1"/>
  <c r="R1" i="1"/>
  <c r="AO173" i="38" s="1"/>
  <c r="G47" i="40"/>
  <c r="G46" i="40"/>
  <c r="G45" i="40"/>
  <c r="G44" i="40"/>
  <c r="G43" i="40"/>
  <c r="G42" i="40"/>
  <c r="G41" i="40"/>
  <c r="G40" i="40"/>
  <c r="G39" i="40"/>
  <c r="G38" i="40"/>
  <c r="G37" i="40"/>
  <c r="G36" i="40"/>
  <c r="G35" i="40"/>
  <c r="G34" i="40"/>
  <c r="G33" i="40"/>
  <c r="G32" i="40"/>
  <c r="G31" i="40"/>
  <c r="G30" i="40"/>
  <c r="G26" i="40"/>
  <c r="G25" i="40"/>
  <c r="G24" i="40"/>
  <c r="G23" i="40"/>
  <c r="G22" i="40"/>
  <c r="G21" i="40"/>
  <c r="G20" i="40"/>
  <c r="G19" i="40"/>
  <c r="G18" i="40"/>
  <c r="G17" i="40"/>
  <c r="G16" i="40"/>
  <c r="G15" i="40"/>
  <c r="G14" i="40"/>
  <c r="G13" i="40"/>
  <c r="G12" i="40"/>
  <c r="G11" i="40"/>
  <c r="G10" i="40"/>
  <c r="G9" i="40"/>
  <c r="G8" i="40"/>
  <c r="T139" i="44"/>
  <c r="T138" i="44"/>
  <c r="T137" i="44"/>
  <c r="T136" i="44"/>
  <c r="T135" i="44"/>
  <c r="T134" i="44"/>
  <c r="T133" i="44"/>
  <c r="T132" i="44"/>
  <c r="T131" i="44"/>
  <c r="T130" i="44"/>
  <c r="T129" i="44"/>
  <c r="T128" i="44"/>
  <c r="T127" i="44"/>
  <c r="T126" i="44"/>
  <c r="T125" i="44"/>
  <c r="T124" i="44"/>
  <c r="T123" i="44"/>
  <c r="T122" i="44"/>
  <c r="T121" i="44"/>
  <c r="T120" i="44"/>
  <c r="T119" i="44"/>
  <c r="T118" i="44"/>
  <c r="T117" i="44"/>
  <c r="T116" i="44"/>
  <c r="T115" i="44"/>
  <c r="T114" i="44"/>
  <c r="T113" i="44"/>
  <c r="T112" i="44"/>
  <c r="T111" i="44"/>
  <c r="T110" i="44"/>
  <c r="T109" i="44"/>
  <c r="T108" i="44"/>
  <c r="T107" i="44"/>
  <c r="T106" i="44"/>
  <c r="T105" i="44"/>
  <c r="T104" i="44"/>
  <c r="T103" i="44"/>
  <c r="T102" i="44"/>
  <c r="T39" i="44"/>
  <c r="T14" i="44"/>
  <c r="T13" i="44"/>
  <c r="T12" i="44"/>
  <c r="T11" i="44"/>
  <c r="T10" i="44"/>
  <c r="T9" i="44"/>
  <c r="F12" i="60"/>
  <c r="F17" i="60"/>
  <c r="F16" i="60"/>
  <c r="F15" i="60"/>
  <c r="F14" i="60"/>
  <c r="F13" i="60"/>
  <c r="F10" i="60"/>
  <c r="AE68" i="2"/>
  <c r="AD68" i="2"/>
  <c r="AC68" i="2"/>
  <c r="AB68" i="2"/>
  <c r="AA68" i="2"/>
  <c r="Z68" i="2"/>
  <c r="Y68" i="2"/>
  <c r="X68" i="2"/>
  <c r="W68" i="2"/>
  <c r="V68" i="2"/>
  <c r="U68" i="2"/>
  <c r="T68" i="2"/>
  <c r="S68" i="2"/>
  <c r="R68" i="2"/>
  <c r="Q68" i="2"/>
  <c r="P68" i="2"/>
  <c r="O68" i="2"/>
  <c r="N68" i="2"/>
  <c r="M68" i="2"/>
  <c r="L68" i="2"/>
  <c r="K68" i="2"/>
  <c r="J68" i="2"/>
  <c r="I68" i="2"/>
  <c r="H68" i="2"/>
  <c r="G68" i="2"/>
  <c r="AE65" i="2"/>
  <c r="AD65" i="2"/>
  <c r="AC65" i="2"/>
  <c r="AB65" i="2"/>
  <c r="AA65" i="2"/>
  <c r="Z65" i="2"/>
  <c r="Y65" i="2"/>
  <c r="X65" i="2"/>
  <c r="W65" i="2"/>
  <c r="V65" i="2"/>
  <c r="U65" i="2"/>
  <c r="T65" i="2"/>
  <c r="S65" i="2"/>
  <c r="R65" i="2"/>
  <c r="Q65" i="2"/>
  <c r="P65" i="2"/>
  <c r="O65" i="2"/>
  <c r="N65" i="2"/>
  <c r="M65" i="2"/>
  <c r="L65" i="2"/>
  <c r="K65" i="2"/>
  <c r="J65" i="2"/>
  <c r="I65" i="2"/>
  <c r="H65" i="2"/>
  <c r="G65" i="2"/>
  <c r="AE63" i="2"/>
  <c r="AD63" i="2"/>
  <c r="AC63" i="2"/>
  <c r="AB63" i="2"/>
  <c r="AA63" i="2"/>
  <c r="Z63" i="2"/>
  <c r="Y63" i="2"/>
  <c r="X63" i="2"/>
  <c r="W63" i="2"/>
  <c r="V63" i="2"/>
  <c r="U63" i="2"/>
  <c r="T63" i="2"/>
  <c r="AE62" i="2"/>
  <c r="AD62" i="2"/>
  <c r="AC62" i="2"/>
  <c r="AB62" i="2"/>
  <c r="AA62" i="2"/>
  <c r="Z62" i="2"/>
  <c r="Y62" i="2"/>
  <c r="X62" i="2"/>
  <c r="W62" i="2"/>
  <c r="V62" i="2"/>
  <c r="U62" i="2"/>
  <c r="T62" i="2"/>
  <c r="AE61" i="2"/>
  <c r="AD61" i="2"/>
  <c r="AC61" i="2"/>
  <c r="AB61" i="2"/>
  <c r="AA61" i="2"/>
  <c r="Z61" i="2"/>
  <c r="Y61" i="2"/>
  <c r="X61" i="2"/>
  <c r="W61" i="2"/>
  <c r="V61" i="2"/>
  <c r="U61" i="2"/>
  <c r="T61" i="2"/>
  <c r="AE60" i="2"/>
  <c r="AD60" i="2"/>
  <c r="AC60" i="2"/>
  <c r="AB60" i="2"/>
  <c r="AA60" i="2"/>
  <c r="Z60" i="2"/>
  <c r="Y60" i="2"/>
  <c r="X60" i="2"/>
  <c r="W60" i="2"/>
  <c r="V60" i="2"/>
  <c r="U60" i="2"/>
  <c r="T60" i="2"/>
  <c r="S60" i="2"/>
  <c r="R60" i="2"/>
  <c r="Q60" i="2"/>
  <c r="P60" i="2"/>
  <c r="O60" i="2"/>
  <c r="N60" i="2"/>
  <c r="M60" i="2"/>
  <c r="L60" i="2"/>
  <c r="K60" i="2"/>
  <c r="J60" i="2"/>
  <c r="I60" i="2"/>
  <c r="H60" i="2"/>
  <c r="G60" i="2"/>
  <c r="AE59" i="2"/>
  <c r="AD59" i="2"/>
  <c r="AC59" i="2"/>
  <c r="AB59" i="2"/>
  <c r="AA59" i="2"/>
  <c r="Z59" i="2"/>
  <c r="Y59" i="2"/>
  <c r="X59" i="2"/>
  <c r="W59" i="2"/>
  <c r="V59" i="2"/>
  <c r="U59" i="2"/>
  <c r="T59" i="2"/>
  <c r="S59" i="2"/>
  <c r="R59" i="2"/>
  <c r="Q59" i="2"/>
  <c r="P59" i="2"/>
  <c r="O59" i="2"/>
  <c r="N59" i="2"/>
  <c r="M59" i="2"/>
  <c r="L59" i="2"/>
  <c r="K59" i="2"/>
  <c r="J59" i="2"/>
  <c r="I59" i="2"/>
  <c r="H59" i="2"/>
  <c r="G59" i="2"/>
  <c r="AE58" i="2"/>
  <c r="AD58" i="2"/>
  <c r="AC58" i="2"/>
  <c r="AB58" i="2"/>
  <c r="AA58" i="2"/>
  <c r="Z58" i="2"/>
  <c r="Y58" i="2"/>
  <c r="X58" i="2"/>
  <c r="W58" i="2"/>
  <c r="V58" i="2"/>
  <c r="U58" i="2"/>
  <c r="T58" i="2"/>
  <c r="S58" i="2"/>
  <c r="R58" i="2"/>
  <c r="Q58" i="2"/>
  <c r="P58" i="2"/>
  <c r="O58" i="2"/>
  <c r="N58" i="2"/>
  <c r="M58" i="2"/>
  <c r="L58" i="2"/>
  <c r="K58" i="2"/>
  <c r="J58" i="2"/>
  <c r="I58" i="2"/>
  <c r="H58" i="2"/>
  <c r="G58" i="2"/>
  <c r="AE36" i="2"/>
  <c r="AD36" i="2"/>
  <c r="AC36" i="2"/>
  <c r="AB36" i="2"/>
  <c r="AA36" i="2"/>
  <c r="Z36" i="2"/>
  <c r="Y36" i="2"/>
  <c r="X36" i="2"/>
  <c r="W36" i="2"/>
  <c r="V36" i="2"/>
  <c r="U36" i="2"/>
  <c r="T36" i="2"/>
  <c r="AE35" i="2"/>
  <c r="AD35" i="2"/>
  <c r="AC35" i="2"/>
  <c r="AB35" i="2"/>
  <c r="AA35" i="2"/>
  <c r="Z35" i="2"/>
  <c r="Y35" i="2"/>
  <c r="X35" i="2"/>
  <c r="W35" i="2"/>
  <c r="V35" i="2"/>
  <c r="U35" i="2"/>
  <c r="T35" i="2"/>
  <c r="AE34" i="2"/>
  <c r="AD34" i="2"/>
  <c r="AC34" i="2"/>
  <c r="AB34" i="2"/>
  <c r="AA34" i="2"/>
  <c r="Z34" i="2"/>
  <c r="Y34" i="2"/>
  <c r="X34" i="2"/>
  <c r="W34" i="2"/>
  <c r="V34" i="2"/>
  <c r="U34" i="2"/>
  <c r="T34" i="2"/>
  <c r="AE33" i="2"/>
  <c r="AD33" i="2"/>
  <c r="AC33" i="2"/>
  <c r="AB33" i="2"/>
  <c r="AA33" i="2"/>
  <c r="Z33" i="2"/>
  <c r="Y33" i="2"/>
  <c r="X33" i="2"/>
  <c r="W33" i="2"/>
  <c r="V33" i="2"/>
  <c r="U33" i="2"/>
  <c r="T33" i="2"/>
  <c r="AE32" i="2"/>
  <c r="AD32" i="2"/>
  <c r="AC32" i="2"/>
  <c r="AB32" i="2"/>
  <c r="AA32" i="2"/>
  <c r="Z32" i="2"/>
  <c r="Y32" i="2"/>
  <c r="X32" i="2"/>
  <c r="W32" i="2"/>
  <c r="V32" i="2"/>
  <c r="U32" i="2"/>
  <c r="T32" i="2"/>
  <c r="R32" i="2"/>
  <c r="Q32" i="2"/>
  <c r="P32" i="2"/>
  <c r="O32" i="2"/>
  <c r="N32" i="2"/>
  <c r="M32" i="2"/>
  <c r="L32" i="2"/>
  <c r="K32" i="2"/>
  <c r="J32" i="2"/>
  <c r="I32" i="2"/>
  <c r="H32" i="2"/>
  <c r="G32" i="2"/>
  <c r="U31" i="2"/>
  <c r="V31" i="2"/>
  <c r="W31" i="2"/>
  <c r="X31" i="2"/>
  <c r="Y31" i="2"/>
  <c r="Z31" i="2"/>
  <c r="AA31" i="2"/>
  <c r="AB31" i="2"/>
  <c r="AC31" i="2"/>
  <c r="AD31" i="2"/>
  <c r="AE31" i="2"/>
  <c r="T31" i="2"/>
  <c r="I23" i="28"/>
  <c r="V12" i="34"/>
  <c r="V13" i="34"/>
  <c r="I24" i="28"/>
  <c r="I25" i="28"/>
  <c r="V15" i="34"/>
  <c r="V14" i="34"/>
  <c r="I26" i="28"/>
  <c r="C37" i="32"/>
  <c r="AG63" i="2" s="1"/>
  <c r="C36" i="32"/>
  <c r="I27" i="28"/>
  <c r="V16" i="34"/>
  <c r="V17" i="34"/>
  <c r="F141" i="86"/>
  <c r="F140" i="86"/>
  <c r="F139" i="86"/>
  <c r="F138" i="86"/>
  <c r="F137" i="86"/>
  <c r="F136" i="86"/>
  <c r="F135" i="86"/>
  <c r="F134" i="86"/>
  <c r="W135" i="86"/>
  <c r="V135" i="86"/>
  <c r="W134" i="86"/>
  <c r="V134" i="86"/>
  <c r="H141" i="86"/>
  <c r="H140" i="86"/>
  <c r="H139" i="86"/>
  <c r="H138" i="86"/>
  <c r="H137" i="86"/>
  <c r="H136" i="86"/>
  <c r="G141" i="86"/>
  <c r="G140" i="86"/>
  <c r="G139" i="86"/>
  <c r="G138" i="86"/>
  <c r="G137" i="86"/>
  <c r="G136" i="86"/>
  <c r="C141" i="86"/>
  <c r="C140" i="86"/>
  <c r="C139" i="86"/>
  <c r="C138" i="86"/>
  <c r="C137" i="86"/>
  <c r="A141" i="86"/>
  <c r="A140" i="86"/>
  <c r="A139" i="86"/>
  <c r="A138" i="86"/>
  <c r="A137" i="86"/>
  <c r="A136" i="86"/>
  <c r="A135" i="86"/>
  <c r="C136" i="86"/>
  <c r="A134" i="86"/>
  <c r="C33" i="86"/>
  <c r="C56" i="86"/>
  <c r="C93" i="86"/>
  <c r="C133" i="86"/>
  <c r="C132" i="86"/>
  <c r="C131" i="86"/>
  <c r="C130" i="86"/>
  <c r="C129" i="86"/>
  <c r="C128" i="86"/>
  <c r="C127" i="86"/>
  <c r="C126" i="86"/>
  <c r="C125" i="86"/>
  <c r="C124" i="86"/>
  <c r="C123" i="86"/>
  <c r="C122" i="86"/>
  <c r="C121" i="86"/>
  <c r="C120" i="86"/>
  <c r="C119" i="86"/>
  <c r="C118" i="86"/>
  <c r="C117" i="86"/>
  <c r="C116" i="86"/>
  <c r="C115" i="86"/>
  <c r="C114" i="86"/>
  <c r="C113" i="86"/>
  <c r="C112" i="86"/>
  <c r="C111" i="86"/>
  <c r="C110" i="86"/>
  <c r="C109" i="86"/>
  <c r="C108" i="86"/>
  <c r="C107" i="86"/>
  <c r="C106" i="86"/>
  <c r="C105" i="86"/>
  <c r="C104" i="86"/>
  <c r="C103" i="86"/>
  <c r="C102" i="86"/>
  <c r="C101" i="86"/>
  <c r="C100" i="86"/>
  <c r="C99" i="86"/>
  <c r="C98" i="86"/>
  <c r="C97" i="86"/>
  <c r="C96" i="86"/>
  <c r="C95" i="86"/>
  <c r="C94" i="86"/>
  <c r="C92" i="86"/>
  <c r="C91" i="86"/>
  <c r="C90" i="86"/>
  <c r="C89" i="86"/>
  <c r="C88" i="86"/>
  <c r="C87" i="86"/>
  <c r="C86" i="86"/>
  <c r="C85" i="86"/>
  <c r="C84" i="86"/>
  <c r="C83" i="86"/>
  <c r="C82" i="86"/>
  <c r="C81" i="86"/>
  <c r="C80" i="86"/>
  <c r="C79" i="86"/>
  <c r="C78" i="86"/>
  <c r="C77" i="86"/>
  <c r="C76" i="86"/>
  <c r="C75" i="86"/>
  <c r="C74" i="86"/>
  <c r="C73" i="86"/>
  <c r="C72" i="86"/>
  <c r="C71" i="86"/>
  <c r="C70" i="86"/>
  <c r="C69" i="86"/>
  <c r="C68" i="86"/>
  <c r="C67" i="86"/>
  <c r="C66" i="86"/>
  <c r="C65" i="86"/>
  <c r="C64" i="86"/>
  <c r="C63" i="86"/>
  <c r="C62" i="86"/>
  <c r="C61" i="86"/>
  <c r="C60" i="86"/>
  <c r="C59" i="86"/>
  <c r="C58" i="86"/>
  <c r="C57" i="86"/>
  <c r="C55" i="86"/>
  <c r="C54" i="86"/>
  <c r="C53" i="86"/>
  <c r="C52" i="86"/>
  <c r="C51" i="86"/>
  <c r="C50" i="86"/>
  <c r="C49" i="86"/>
  <c r="C48" i="86"/>
  <c r="C47" i="86"/>
  <c r="C46" i="86"/>
  <c r="C45" i="86"/>
  <c r="C44" i="86"/>
  <c r="C43" i="86"/>
  <c r="C42" i="86"/>
  <c r="C41" i="86"/>
  <c r="C40" i="86"/>
  <c r="C39" i="86"/>
  <c r="C38" i="86"/>
  <c r="C37" i="86"/>
  <c r="C36" i="86"/>
  <c r="C35" i="86"/>
  <c r="C34" i="86"/>
  <c r="C32" i="86"/>
  <c r="C31" i="86"/>
  <c r="C30" i="86"/>
  <c r="C29" i="86"/>
  <c r="C28" i="86"/>
  <c r="C27" i="86"/>
  <c r="C26" i="86"/>
  <c r="C25" i="86"/>
  <c r="C24" i="86"/>
  <c r="C23" i="86"/>
  <c r="C22" i="86"/>
  <c r="C21" i="86"/>
  <c r="C20" i="86"/>
  <c r="C19" i="86"/>
  <c r="C18" i="86"/>
  <c r="C17" i="86"/>
  <c r="C16" i="86"/>
  <c r="C15" i="86"/>
  <c r="C14" i="86"/>
  <c r="C13" i="86"/>
  <c r="C12" i="86"/>
  <c r="C11" i="86"/>
  <c r="C10" i="86"/>
  <c r="C9" i="86"/>
  <c r="U133" i="86"/>
  <c r="T133" i="86"/>
  <c r="N133" i="86"/>
  <c r="F133" i="86"/>
  <c r="A133" i="86"/>
  <c r="U132" i="86"/>
  <c r="T132" i="86"/>
  <c r="R132" i="86"/>
  <c r="Q132" i="86"/>
  <c r="P132" i="86"/>
  <c r="O132" i="86"/>
  <c r="N132" i="86"/>
  <c r="M132" i="86"/>
  <c r="L132" i="86"/>
  <c r="K132" i="86"/>
  <c r="J132" i="86"/>
  <c r="I132" i="86"/>
  <c r="H132" i="86"/>
  <c r="F132" i="86"/>
  <c r="A132" i="86"/>
  <c r="U131" i="86"/>
  <c r="T131" i="86"/>
  <c r="R131" i="86"/>
  <c r="Q131" i="86"/>
  <c r="P131" i="86"/>
  <c r="O131" i="86"/>
  <c r="N131" i="86"/>
  <c r="M131" i="86"/>
  <c r="L131" i="86"/>
  <c r="K131" i="86"/>
  <c r="J131" i="86"/>
  <c r="I131" i="86"/>
  <c r="H131" i="86"/>
  <c r="F131" i="86"/>
  <c r="A131" i="86"/>
  <c r="U130" i="86"/>
  <c r="T130" i="86"/>
  <c r="R130" i="86"/>
  <c r="Q130" i="86"/>
  <c r="P130" i="86"/>
  <c r="O130" i="86"/>
  <c r="N130" i="86"/>
  <c r="M130" i="86"/>
  <c r="L130" i="86"/>
  <c r="K130" i="86"/>
  <c r="J130" i="86"/>
  <c r="I130" i="86"/>
  <c r="H130" i="86"/>
  <c r="F130" i="86"/>
  <c r="A130" i="86"/>
  <c r="U129" i="86"/>
  <c r="T129" i="86"/>
  <c r="R129" i="86"/>
  <c r="Q129" i="86"/>
  <c r="P129" i="86"/>
  <c r="O129" i="86"/>
  <c r="N129" i="86"/>
  <c r="M129" i="86"/>
  <c r="L129" i="86"/>
  <c r="K129" i="86"/>
  <c r="J129" i="86"/>
  <c r="I129" i="86"/>
  <c r="H129" i="86"/>
  <c r="F129" i="86"/>
  <c r="A129" i="86"/>
  <c r="U128" i="86"/>
  <c r="T128" i="86"/>
  <c r="R128" i="86"/>
  <c r="Q128" i="86"/>
  <c r="P128" i="86"/>
  <c r="O128" i="86"/>
  <c r="N128" i="86"/>
  <c r="M128" i="86"/>
  <c r="L128" i="86"/>
  <c r="K128" i="86"/>
  <c r="J128" i="86"/>
  <c r="I128" i="86"/>
  <c r="H128" i="86"/>
  <c r="F128" i="86"/>
  <c r="A128" i="86"/>
  <c r="U127" i="86"/>
  <c r="T127" i="86"/>
  <c r="R127" i="86"/>
  <c r="Q127" i="86"/>
  <c r="P127" i="86"/>
  <c r="O127" i="86"/>
  <c r="N127" i="86"/>
  <c r="M127" i="86"/>
  <c r="L127" i="86"/>
  <c r="K127" i="86"/>
  <c r="J127" i="86"/>
  <c r="I127" i="86"/>
  <c r="H127" i="86"/>
  <c r="F127" i="86"/>
  <c r="A127" i="86"/>
  <c r="U126" i="86"/>
  <c r="T126" i="86"/>
  <c r="R126" i="86"/>
  <c r="Q126" i="86"/>
  <c r="P126" i="86"/>
  <c r="O126" i="86"/>
  <c r="N126" i="86"/>
  <c r="M126" i="86"/>
  <c r="L126" i="86"/>
  <c r="K126" i="86"/>
  <c r="J126" i="86"/>
  <c r="I126" i="86"/>
  <c r="H126" i="86"/>
  <c r="F126" i="86"/>
  <c r="A126" i="86"/>
  <c r="U125" i="86"/>
  <c r="T125" i="86"/>
  <c r="R125" i="86"/>
  <c r="Q125" i="86"/>
  <c r="P125" i="86"/>
  <c r="O125" i="86"/>
  <c r="N125" i="86"/>
  <c r="M125" i="86"/>
  <c r="L125" i="86"/>
  <c r="K125" i="86"/>
  <c r="J125" i="86"/>
  <c r="I125" i="86"/>
  <c r="H125" i="86"/>
  <c r="F125" i="86"/>
  <c r="A125" i="86"/>
  <c r="U124" i="86"/>
  <c r="T124" i="86"/>
  <c r="R124" i="86"/>
  <c r="Q124" i="86"/>
  <c r="P124" i="86"/>
  <c r="O124" i="86"/>
  <c r="N124" i="86"/>
  <c r="M124" i="86"/>
  <c r="L124" i="86"/>
  <c r="K124" i="86"/>
  <c r="J124" i="86"/>
  <c r="I124" i="86"/>
  <c r="H124" i="86"/>
  <c r="F124" i="86"/>
  <c r="A124" i="86"/>
  <c r="U123" i="86"/>
  <c r="T123" i="86"/>
  <c r="R123" i="86"/>
  <c r="Q123" i="86"/>
  <c r="P123" i="86"/>
  <c r="O123" i="86"/>
  <c r="N123" i="86"/>
  <c r="M123" i="86"/>
  <c r="L123" i="86"/>
  <c r="K123" i="86"/>
  <c r="J123" i="86"/>
  <c r="I123" i="86"/>
  <c r="H123" i="86"/>
  <c r="F123" i="86"/>
  <c r="A123" i="86"/>
  <c r="U122" i="86"/>
  <c r="T122" i="86"/>
  <c r="R122" i="86"/>
  <c r="Q122" i="86"/>
  <c r="P122" i="86"/>
  <c r="O122" i="86"/>
  <c r="N122" i="86"/>
  <c r="M122" i="86"/>
  <c r="L122" i="86"/>
  <c r="K122" i="86"/>
  <c r="J122" i="86"/>
  <c r="I122" i="86"/>
  <c r="H122" i="86"/>
  <c r="F122" i="86"/>
  <c r="A122" i="86"/>
  <c r="U121" i="86"/>
  <c r="T121" i="86"/>
  <c r="R121" i="86"/>
  <c r="Q121" i="86"/>
  <c r="P121" i="86"/>
  <c r="O121" i="86"/>
  <c r="N121" i="86"/>
  <c r="M121" i="86"/>
  <c r="L121" i="86"/>
  <c r="K121" i="86"/>
  <c r="J121" i="86"/>
  <c r="I121" i="86"/>
  <c r="H121" i="86"/>
  <c r="F121" i="86"/>
  <c r="A121" i="86"/>
  <c r="U120" i="86"/>
  <c r="T120" i="86"/>
  <c r="R120" i="86"/>
  <c r="Q120" i="86"/>
  <c r="P120" i="86"/>
  <c r="O120" i="86"/>
  <c r="N120" i="86"/>
  <c r="M120" i="86"/>
  <c r="L120" i="86"/>
  <c r="K120" i="86"/>
  <c r="J120" i="86"/>
  <c r="I120" i="86"/>
  <c r="H120" i="86"/>
  <c r="F120" i="86"/>
  <c r="A120" i="86"/>
  <c r="U119" i="86"/>
  <c r="T119" i="86"/>
  <c r="R119" i="86"/>
  <c r="Q119" i="86"/>
  <c r="P119" i="86"/>
  <c r="O119" i="86"/>
  <c r="N119" i="86"/>
  <c r="M119" i="86"/>
  <c r="L119" i="86"/>
  <c r="K119" i="86"/>
  <c r="J119" i="86"/>
  <c r="I119" i="86"/>
  <c r="H119" i="86"/>
  <c r="F119" i="86"/>
  <c r="A119" i="86"/>
  <c r="U118" i="86"/>
  <c r="T118" i="86"/>
  <c r="R118" i="86"/>
  <c r="Q118" i="86"/>
  <c r="P118" i="86"/>
  <c r="O118" i="86"/>
  <c r="N118" i="86"/>
  <c r="M118" i="86"/>
  <c r="L118" i="86"/>
  <c r="K118" i="86"/>
  <c r="J118" i="86"/>
  <c r="I118" i="86"/>
  <c r="H118" i="86"/>
  <c r="F118" i="86"/>
  <c r="A118" i="86"/>
  <c r="U117" i="86"/>
  <c r="T117" i="86"/>
  <c r="R117" i="86"/>
  <c r="Q117" i="86"/>
  <c r="P117" i="86"/>
  <c r="O117" i="86"/>
  <c r="N117" i="86"/>
  <c r="M117" i="86"/>
  <c r="L117" i="86"/>
  <c r="K117" i="86"/>
  <c r="J117" i="86"/>
  <c r="I117" i="86"/>
  <c r="H117" i="86"/>
  <c r="F117" i="86"/>
  <c r="A117" i="86"/>
  <c r="U116" i="86"/>
  <c r="T116" i="86"/>
  <c r="R116" i="86"/>
  <c r="Q116" i="86"/>
  <c r="P116" i="86"/>
  <c r="O116" i="86"/>
  <c r="N116" i="86"/>
  <c r="M116" i="86"/>
  <c r="L116" i="86"/>
  <c r="K116" i="86"/>
  <c r="J116" i="86"/>
  <c r="I116" i="86"/>
  <c r="H116" i="86"/>
  <c r="F116" i="86"/>
  <c r="A116" i="86"/>
  <c r="U115" i="86"/>
  <c r="T115" i="86"/>
  <c r="R115" i="86"/>
  <c r="Q115" i="86"/>
  <c r="P115" i="86"/>
  <c r="O115" i="86"/>
  <c r="N115" i="86"/>
  <c r="M115" i="86"/>
  <c r="L115" i="86"/>
  <c r="K115" i="86"/>
  <c r="J115" i="86"/>
  <c r="I115" i="86"/>
  <c r="H115" i="86"/>
  <c r="F115" i="86"/>
  <c r="A115" i="86"/>
  <c r="U114" i="86"/>
  <c r="T114" i="86"/>
  <c r="R114" i="86"/>
  <c r="Q114" i="86"/>
  <c r="P114" i="86"/>
  <c r="O114" i="86"/>
  <c r="N114" i="86"/>
  <c r="M114" i="86"/>
  <c r="L114" i="86"/>
  <c r="K114" i="86"/>
  <c r="J114" i="86"/>
  <c r="I114" i="86"/>
  <c r="H114" i="86"/>
  <c r="F114" i="86"/>
  <c r="A114" i="86"/>
  <c r="U113" i="86"/>
  <c r="T113" i="86"/>
  <c r="R113" i="86"/>
  <c r="Q113" i="86"/>
  <c r="P113" i="86"/>
  <c r="O113" i="86"/>
  <c r="N113" i="86"/>
  <c r="M113" i="86"/>
  <c r="L113" i="86"/>
  <c r="K113" i="86"/>
  <c r="J113" i="86"/>
  <c r="I113" i="86"/>
  <c r="H113" i="86"/>
  <c r="F113" i="86"/>
  <c r="A113" i="86"/>
  <c r="U112" i="86"/>
  <c r="T112" i="86"/>
  <c r="R112" i="86"/>
  <c r="Q112" i="86"/>
  <c r="P112" i="86"/>
  <c r="O112" i="86"/>
  <c r="N112" i="86"/>
  <c r="M112" i="86"/>
  <c r="L112" i="86"/>
  <c r="K112" i="86"/>
  <c r="J112" i="86"/>
  <c r="I112" i="86"/>
  <c r="H112" i="86"/>
  <c r="F112" i="86"/>
  <c r="A112" i="86"/>
  <c r="U111" i="86"/>
  <c r="T111" i="86"/>
  <c r="R111" i="86"/>
  <c r="Q111" i="86"/>
  <c r="P111" i="86"/>
  <c r="O111" i="86"/>
  <c r="N111" i="86"/>
  <c r="M111" i="86"/>
  <c r="L111" i="86"/>
  <c r="K111" i="86"/>
  <c r="J111" i="86"/>
  <c r="I111" i="86"/>
  <c r="H111" i="86"/>
  <c r="F111" i="86"/>
  <c r="A111" i="86"/>
  <c r="U110" i="86"/>
  <c r="T110" i="86"/>
  <c r="R110" i="86"/>
  <c r="Q110" i="86"/>
  <c r="P110" i="86"/>
  <c r="O110" i="86"/>
  <c r="N110" i="86"/>
  <c r="M110" i="86"/>
  <c r="L110" i="86"/>
  <c r="K110" i="86"/>
  <c r="J110" i="86"/>
  <c r="I110" i="86"/>
  <c r="H110" i="86"/>
  <c r="F110" i="86"/>
  <c r="A110" i="86"/>
  <c r="U109" i="86"/>
  <c r="T109" i="86"/>
  <c r="R109" i="86"/>
  <c r="Q109" i="86"/>
  <c r="P109" i="86"/>
  <c r="O109" i="86"/>
  <c r="N109" i="86"/>
  <c r="M109" i="86"/>
  <c r="L109" i="86"/>
  <c r="K109" i="86"/>
  <c r="J109" i="86"/>
  <c r="I109" i="86"/>
  <c r="H109" i="86"/>
  <c r="F109" i="86"/>
  <c r="A109" i="86"/>
  <c r="U108" i="86"/>
  <c r="T108" i="86"/>
  <c r="R108" i="86"/>
  <c r="Q108" i="86"/>
  <c r="P108" i="86"/>
  <c r="O108" i="86"/>
  <c r="N108" i="86"/>
  <c r="M108" i="86"/>
  <c r="L108" i="86"/>
  <c r="K108" i="86"/>
  <c r="J108" i="86"/>
  <c r="I108" i="86"/>
  <c r="H108" i="86"/>
  <c r="F108" i="86"/>
  <c r="A108" i="86"/>
  <c r="U107" i="86"/>
  <c r="T107" i="86"/>
  <c r="R107" i="86"/>
  <c r="Q107" i="86"/>
  <c r="P107" i="86"/>
  <c r="O107" i="86"/>
  <c r="N107" i="86"/>
  <c r="M107" i="86"/>
  <c r="L107" i="86"/>
  <c r="K107" i="86"/>
  <c r="J107" i="86"/>
  <c r="I107" i="86"/>
  <c r="H107" i="86"/>
  <c r="F107" i="86"/>
  <c r="A107" i="86"/>
  <c r="U106" i="86"/>
  <c r="T106" i="86"/>
  <c r="R106" i="86"/>
  <c r="Q106" i="86"/>
  <c r="P106" i="86"/>
  <c r="O106" i="86"/>
  <c r="N106" i="86"/>
  <c r="M106" i="86"/>
  <c r="L106" i="86"/>
  <c r="K106" i="86"/>
  <c r="J106" i="86"/>
  <c r="I106" i="86"/>
  <c r="H106" i="86"/>
  <c r="F106" i="86"/>
  <c r="A106" i="86"/>
  <c r="U105" i="86"/>
  <c r="T105" i="86"/>
  <c r="R105" i="86"/>
  <c r="Q105" i="86"/>
  <c r="P105" i="86"/>
  <c r="O105" i="86"/>
  <c r="N105" i="86"/>
  <c r="M105" i="86"/>
  <c r="L105" i="86"/>
  <c r="K105" i="86"/>
  <c r="J105" i="86"/>
  <c r="I105" i="86"/>
  <c r="H105" i="86"/>
  <c r="F105" i="86"/>
  <c r="A105" i="86"/>
  <c r="U104" i="86"/>
  <c r="T104" i="86"/>
  <c r="R104" i="86"/>
  <c r="Q104" i="86"/>
  <c r="P104" i="86"/>
  <c r="O104" i="86"/>
  <c r="N104" i="86"/>
  <c r="M104" i="86"/>
  <c r="L104" i="86"/>
  <c r="K104" i="86"/>
  <c r="J104" i="86"/>
  <c r="I104" i="86"/>
  <c r="H104" i="86"/>
  <c r="F104" i="86"/>
  <c r="A104" i="86"/>
  <c r="U103" i="86"/>
  <c r="T103" i="86"/>
  <c r="R103" i="86"/>
  <c r="Q103" i="86"/>
  <c r="P103" i="86"/>
  <c r="O103" i="86"/>
  <c r="N103" i="86"/>
  <c r="M103" i="86"/>
  <c r="L103" i="86"/>
  <c r="K103" i="86"/>
  <c r="J103" i="86"/>
  <c r="I103" i="86"/>
  <c r="H103" i="86"/>
  <c r="F103" i="86"/>
  <c r="A103" i="86"/>
  <c r="U102" i="86"/>
  <c r="T102" i="86"/>
  <c r="R102" i="86"/>
  <c r="Q102" i="86"/>
  <c r="P102" i="86"/>
  <c r="O102" i="86"/>
  <c r="N102" i="86"/>
  <c r="M102" i="86"/>
  <c r="L102" i="86"/>
  <c r="K102" i="86"/>
  <c r="J102" i="86"/>
  <c r="I102" i="86"/>
  <c r="H102" i="86"/>
  <c r="F102" i="86"/>
  <c r="A102" i="86"/>
  <c r="U101" i="86"/>
  <c r="T101" i="86"/>
  <c r="R101" i="86"/>
  <c r="Q101" i="86"/>
  <c r="P101" i="86"/>
  <c r="O101" i="86"/>
  <c r="N101" i="86"/>
  <c r="M101" i="86"/>
  <c r="L101" i="86"/>
  <c r="K101" i="86"/>
  <c r="J101" i="86"/>
  <c r="I101" i="86"/>
  <c r="H101" i="86"/>
  <c r="F101" i="86"/>
  <c r="A101" i="86"/>
  <c r="U100" i="86"/>
  <c r="T100" i="86"/>
  <c r="R100" i="86"/>
  <c r="Q100" i="86"/>
  <c r="P100" i="86"/>
  <c r="O100" i="86"/>
  <c r="N100" i="86"/>
  <c r="M100" i="86"/>
  <c r="L100" i="86"/>
  <c r="K100" i="86"/>
  <c r="J100" i="86"/>
  <c r="I100" i="86"/>
  <c r="H100" i="86"/>
  <c r="F100" i="86"/>
  <c r="A100" i="86"/>
  <c r="U99" i="86"/>
  <c r="T99" i="86"/>
  <c r="R99" i="86"/>
  <c r="Q99" i="86"/>
  <c r="P99" i="86"/>
  <c r="O99" i="86"/>
  <c r="N99" i="86"/>
  <c r="M99" i="86"/>
  <c r="L99" i="86"/>
  <c r="K99" i="86"/>
  <c r="J99" i="86"/>
  <c r="I99" i="86"/>
  <c r="H99" i="86"/>
  <c r="F99" i="86"/>
  <c r="A99" i="86"/>
  <c r="U98" i="86"/>
  <c r="T98" i="86"/>
  <c r="R98" i="86"/>
  <c r="Q98" i="86"/>
  <c r="P98" i="86"/>
  <c r="O98" i="86"/>
  <c r="N98" i="86"/>
  <c r="M98" i="86"/>
  <c r="L98" i="86"/>
  <c r="K98" i="86"/>
  <c r="J98" i="86"/>
  <c r="I98" i="86"/>
  <c r="H98" i="86"/>
  <c r="F98" i="86"/>
  <c r="A98" i="86"/>
  <c r="U97" i="86"/>
  <c r="T97" i="86"/>
  <c r="R97" i="86"/>
  <c r="Q97" i="86"/>
  <c r="P97" i="86"/>
  <c r="O97" i="86"/>
  <c r="N97" i="86"/>
  <c r="M97" i="86"/>
  <c r="L97" i="86"/>
  <c r="K97" i="86"/>
  <c r="J97" i="86"/>
  <c r="I97" i="86"/>
  <c r="H97" i="86"/>
  <c r="F97" i="86"/>
  <c r="A97" i="86"/>
  <c r="U96" i="86"/>
  <c r="T96" i="86"/>
  <c r="R96" i="86"/>
  <c r="Q96" i="86"/>
  <c r="P96" i="86"/>
  <c r="O96" i="86"/>
  <c r="N96" i="86"/>
  <c r="M96" i="86"/>
  <c r="L96" i="86"/>
  <c r="K96" i="86"/>
  <c r="J96" i="86"/>
  <c r="I96" i="86"/>
  <c r="H96" i="86"/>
  <c r="F96" i="86"/>
  <c r="A96" i="86"/>
  <c r="U95" i="86"/>
  <c r="T95" i="86"/>
  <c r="R95" i="86"/>
  <c r="Q95" i="86"/>
  <c r="P95" i="86"/>
  <c r="O95" i="86"/>
  <c r="N95" i="86"/>
  <c r="M95" i="86"/>
  <c r="L95" i="86"/>
  <c r="K95" i="86"/>
  <c r="J95" i="86"/>
  <c r="I95" i="86"/>
  <c r="H95" i="86"/>
  <c r="F95" i="86"/>
  <c r="A95" i="86"/>
  <c r="U94" i="86"/>
  <c r="T94" i="86"/>
  <c r="S94" i="86"/>
  <c r="R94" i="86"/>
  <c r="Q94" i="86"/>
  <c r="P94" i="86"/>
  <c r="O94" i="86"/>
  <c r="N94" i="86"/>
  <c r="M94" i="86"/>
  <c r="L94" i="86"/>
  <c r="K94" i="86"/>
  <c r="J94" i="86"/>
  <c r="I94" i="86"/>
  <c r="H94" i="86"/>
  <c r="F94" i="86"/>
  <c r="A94" i="86"/>
  <c r="U93" i="86"/>
  <c r="T93" i="86"/>
  <c r="S93" i="86"/>
  <c r="R93" i="86"/>
  <c r="Q93" i="86"/>
  <c r="P93" i="86"/>
  <c r="O93" i="86"/>
  <c r="N93" i="86"/>
  <c r="M93" i="86"/>
  <c r="L93" i="86"/>
  <c r="K93" i="86"/>
  <c r="J93" i="86"/>
  <c r="I93" i="86"/>
  <c r="H93" i="86"/>
  <c r="F93" i="86"/>
  <c r="A93" i="86"/>
  <c r="U92" i="86"/>
  <c r="T92" i="86"/>
  <c r="N92" i="86"/>
  <c r="F92" i="86"/>
  <c r="A92" i="86"/>
  <c r="U91" i="86"/>
  <c r="T91" i="86"/>
  <c r="R91" i="86"/>
  <c r="Q91" i="86"/>
  <c r="P91" i="86"/>
  <c r="O91" i="86"/>
  <c r="N91" i="86"/>
  <c r="F91" i="86"/>
  <c r="A91" i="86"/>
  <c r="U90" i="86"/>
  <c r="T90" i="86"/>
  <c r="R90" i="86"/>
  <c r="Q90" i="86"/>
  <c r="P90" i="86"/>
  <c r="O90" i="86"/>
  <c r="N90" i="86"/>
  <c r="F90" i="86"/>
  <c r="A90" i="86"/>
  <c r="U89" i="86"/>
  <c r="T89" i="86"/>
  <c r="R89" i="86"/>
  <c r="Q89" i="86"/>
  <c r="P89" i="86"/>
  <c r="O89" i="86"/>
  <c r="N89" i="86"/>
  <c r="F89" i="86"/>
  <c r="A89" i="86"/>
  <c r="U88" i="86"/>
  <c r="T88" i="86"/>
  <c r="R88" i="86"/>
  <c r="Q88" i="86"/>
  <c r="P88" i="86"/>
  <c r="O88" i="86"/>
  <c r="N88" i="86"/>
  <c r="F88" i="86"/>
  <c r="A88" i="86"/>
  <c r="U87" i="86"/>
  <c r="T87" i="86"/>
  <c r="R87" i="86"/>
  <c r="Q87" i="86"/>
  <c r="P87" i="86"/>
  <c r="O87" i="86"/>
  <c r="N87" i="86"/>
  <c r="F87" i="86"/>
  <c r="A87" i="86"/>
  <c r="U86" i="86"/>
  <c r="T86" i="86"/>
  <c r="R86" i="86"/>
  <c r="Q86" i="86"/>
  <c r="P86" i="86"/>
  <c r="O86" i="86"/>
  <c r="N86" i="86"/>
  <c r="F86" i="86"/>
  <c r="A86" i="86"/>
  <c r="U85" i="86"/>
  <c r="T85" i="86"/>
  <c r="R85" i="86"/>
  <c r="Q85" i="86"/>
  <c r="P85" i="86"/>
  <c r="O85" i="86"/>
  <c r="N85" i="86"/>
  <c r="F85" i="86"/>
  <c r="A85" i="86"/>
  <c r="U84" i="86"/>
  <c r="T84" i="86"/>
  <c r="R84" i="86"/>
  <c r="Q84" i="86"/>
  <c r="P84" i="86"/>
  <c r="O84" i="86"/>
  <c r="N84" i="86"/>
  <c r="F84" i="86"/>
  <c r="A84" i="86"/>
  <c r="U83" i="86"/>
  <c r="T83" i="86"/>
  <c r="R83" i="86"/>
  <c r="Q83" i="86"/>
  <c r="P83" i="86"/>
  <c r="O83" i="86"/>
  <c r="N83" i="86"/>
  <c r="F83" i="86"/>
  <c r="A83" i="86"/>
  <c r="U82" i="86"/>
  <c r="T82" i="86"/>
  <c r="R82" i="86"/>
  <c r="Q82" i="86"/>
  <c r="P82" i="86"/>
  <c r="O82" i="86"/>
  <c r="N82" i="86"/>
  <c r="F82" i="86"/>
  <c r="A82" i="86"/>
  <c r="U81" i="86"/>
  <c r="T81" i="86"/>
  <c r="R81" i="86"/>
  <c r="Q81" i="86"/>
  <c r="P81" i="86"/>
  <c r="O81" i="86"/>
  <c r="N81" i="86"/>
  <c r="F81" i="86"/>
  <c r="A81" i="86"/>
  <c r="U80" i="86"/>
  <c r="T80" i="86"/>
  <c r="R80" i="86"/>
  <c r="Q80" i="86"/>
  <c r="P80" i="86"/>
  <c r="O80" i="86"/>
  <c r="N80" i="86"/>
  <c r="F80" i="86"/>
  <c r="A80" i="86"/>
  <c r="U79" i="86"/>
  <c r="T79" i="86"/>
  <c r="R79" i="86"/>
  <c r="Q79" i="86"/>
  <c r="P79" i="86"/>
  <c r="O79" i="86"/>
  <c r="N79" i="86"/>
  <c r="F79" i="86"/>
  <c r="A79" i="86"/>
  <c r="U78" i="86"/>
  <c r="T78" i="86"/>
  <c r="R78" i="86"/>
  <c r="Q78" i="86"/>
  <c r="P78" i="86"/>
  <c r="O78" i="86"/>
  <c r="N78" i="86"/>
  <c r="F78" i="86"/>
  <c r="A78" i="86"/>
  <c r="U77" i="86"/>
  <c r="T77" i="86"/>
  <c r="R77" i="86"/>
  <c r="Q77" i="86"/>
  <c r="P77" i="86"/>
  <c r="O77" i="86"/>
  <c r="N77" i="86"/>
  <c r="F77" i="86"/>
  <c r="A77" i="86"/>
  <c r="U76" i="86"/>
  <c r="T76" i="86"/>
  <c r="R76" i="86"/>
  <c r="Q76" i="86"/>
  <c r="P76" i="86"/>
  <c r="O76" i="86"/>
  <c r="N76" i="86"/>
  <c r="F76" i="86"/>
  <c r="A76" i="86"/>
  <c r="U75" i="86"/>
  <c r="T75" i="86"/>
  <c r="R75" i="86"/>
  <c r="Q75" i="86"/>
  <c r="P75" i="86"/>
  <c r="O75" i="86"/>
  <c r="N75" i="86"/>
  <c r="F75" i="86"/>
  <c r="A75" i="86"/>
  <c r="U74" i="86"/>
  <c r="T74" i="86"/>
  <c r="R74" i="86"/>
  <c r="Q74" i="86"/>
  <c r="P74" i="86"/>
  <c r="O74" i="86"/>
  <c r="N74" i="86"/>
  <c r="F74" i="86"/>
  <c r="A74" i="86"/>
  <c r="U73" i="86"/>
  <c r="T73" i="86"/>
  <c r="R73" i="86"/>
  <c r="Q73" i="86"/>
  <c r="P73" i="86"/>
  <c r="O73" i="86"/>
  <c r="N73" i="86"/>
  <c r="F73" i="86"/>
  <c r="A73" i="86"/>
  <c r="U72" i="86"/>
  <c r="T72" i="86"/>
  <c r="R72" i="86"/>
  <c r="Q72" i="86"/>
  <c r="P72" i="86"/>
  <c r="O72" i="86"/>
  <c r="N72" i="86"/>
  <c r="F72" i="86"/>
  <c r="A72" i="86"/>
  <c r="U71" i="86"/>
  <c r="T71" i="86"/>
  <c r="R71" i="86"/>
  <c r="Q71" i="86"/>
  <c r="P71" i="86"/>
  <c r="O71" i="86"/>
  <c r="N71" i="86"/>
  <c r="F71" i="86"/>
  <c r="A71" i="86"/>
  <c r="U70" i="86"/>
  <c r="T70" i="86"/>
  <c r="R70" i="86"/>
  <c r="Q70" i="86"/>
  <c r="P70" i="86"/>
  <c r="O70" i="86"/>
  <c r="N70" i="86"/>
  <c r="F70" i="86"/>
  <c r="A70" i="86"/>
  <c r="U69" i="86"/>
  <c r="T69" i="86"/>
  <c r="R69" i="86"/>
  <c r="Q69" i="86"/>
  <c r="P69" i="86"/>
  <c r="O69" i="86"/>
  <c r="N69" i="86"/>
  <c r="F69" i="86"/>
  <c r="A69" i="86"/>
  <c r="U68" i="86"/>
  <c r="T68" i="86"/>
  <c r="R68" i="86"/>
  <c r="Q68" i="86"/>
  <c r="P68" i="86"/>
  <c r="O68" i="86"/>
  <c r="N68" i="86"/>
  <c r="F68" i="86"/>
  <c r="A68" i="86"/>
  <c r="U67" i="86"/>
  <c r="T67" i="86"/>
  <c r="R67" i="86"/>
  <c r="Q67" i="86"/>
  <c r="P67" i="86"/>
  <c r="O67" i="86"/>
  <c r="N67" i="86"/>
  <c r="F67" i="86"/>
  <c r="A67" i="86"/>
  <c r="U66" i="86"/>
  <c r="T66" i="86"/>
  <c r="R66" i="86"/>
  <c r="Q66" i="86"/>
  <c r="P66" i="86"/>
  <c r="O66" i="86"/>
  <c r="N66" i="86"/>
  <c r="F66" i="86"/>
  <c r="A66" i="86"/>
  <c r="U65" i="86"/>
  <c r="T65" i="86"/>
  <c r="R65" i="86"/>
  <c r="Q65" i="86"/>
  <c r="P65" i="86"/>
  <c r="O65" i="86"/>
  <c r="N65" i="86"/>
  <c r="F65" i="86"/>
  <c r="A65" i="86"/>
  <c r="U64" i="86"/>
  <c r="T64" i="86"/>
  <c r="R64" i="86"/>
  <c r="Q64" i="86"/>
  <c r="P64" i="86"/>
  <c r="O64" i="86"/>
  <c r="N64" i="86"/>
  <c r="F64" i="86"/>
  <c r="A64" i="86"/>
  <c r="U63" i="86"/>
  <c r="T63" i="86"/>
  <c r="R63" i="86"/>
  <c r="Q63" i="86"/>
  <c r="P63" i="86"/>
  <c r="O63" i="86"/>
  <c r="N63" i="86"/>
  <c r="F63" i="86"/>
  <c r="A63" i="86"/>
  <c r="U62" i="86"/>
  <c r="T62" i="86"/>
  <c r="R62" i="86"/>
  <c r="Q62" i="86"/>
  <c r="P62" i="86"/>
  <c r="O62" i="86"/>
  <c r="N62" i="86"/>
  <c r="F62" i="86"/>
  <c r="A62" i="86"/>
  <c r="U61" i="86"/>
  <c r="T61" i="86"/>
  <c r="R61" i="86"/>
  <c r="Q61" i="86"/>
  <c r="P61" i="86"/>
  <c r="O61" i="86"/>
  <c r="N61" i="86"/>
  <c r="F61" i="86"/>
  <c r="A61" i="86"/>
  <c r="U60" i="86"/>
  <c r="T60" i="86"/>
  <c r="R60" i="86"/>
  <c r="Q60" i="86"/>
  <c r="P60" i="86"/>
  <c r="O60" i="86"/>
  <c r="N60" i="86"/>
  <c r="F60" i="86"/>
  <c r="A60" i="86"/>
  <c r="U59" i="86"/>
  <c r="T59" i="86"/>
  <c r="R59" i="86"/>
  <c r="Q59" i="86"/>
  <c r="P59" i="86"/>
  <c r="O59" i="86"/>
  <c r="N59" i="86"/>
  <c r="F59" i="86"/>
  <c r="A59" i="86"/>
  <c r="U58" i="86"/>
  <c r="T58" i="86"/>
  <c r="R58" i="86"/>
  <c r="Q58" i="86"/>
  <c r="P58" i="86"/>
  <c r="O58" i="86"/>
  <c r="N58" i="86"/>
  <c r="F58" i="86"/>
  <c r="A58" i="86"/>
  <c r="U57" i="86"/>
  <c r="T57" i="86"/>
  <c r="S57" i="86"/>
  <c r="R57" i="86"/>
  <c r="Q57" i="86"/>
  <c r="P57" i="86"/>
  <c r="O57" i="86"/>
  <c r="N57" i="86"/>
  <c r="M57" i="86"/>
  <c r="L57" i="86"/>
  <c r="K57" i="86"/>
  <c r="J57" i="86"/>
  <c r="I57" i="86"/>
  <c r="H57" i="86"/>
  <c r="F57" i="86"/>
  <c r="A57" i="86"/>
  <c r="U56" i="86"/>
  <c r="T56" i="86"/>
  <c r="S56" i="86"/>
  <c r="R56" i="86"/>
  <c r="Q56" i="86"/>
  <c r="P56" i="86"/>
  <c r="O56" i="86"/>
  <c r="N56" i="86"/>
  <c r="M56" i="86"/>
  <c r="L56" i="86"/>
  <c r="K56" i="86"/>
  <c r="J56" i="86"/>
  <c r="I56" i="86"/>
  <c r="H56" i="86"/>
  <c r="F56" i="86"/>
  <c r="A56" i="86"/>
  <c r="U55" i="86"/>
  <c r="T55" i="86"/>
  <c r="N55" i="86"/>
  <c r="M55" i="86"/>
  <c r="L55" i="86"/>
  <c r="F55" i="86"/>
  <c r="A55" i="86"/>
  <c r="U54" i="86"/>
  <c r="T54" i="86"/>
  <c r="R54" i="86"/>
  <c r="Q54" i="86"/>
  <c r="P54" i="86"/>
  <c r="O54" i="86"/>
  <c r="N54" i="86"/>
  <c r="M54" i="86"/>
  <c r="L54" i="86"/>
  <c r="K54" i="86"/>
  <c r="J54" i="86"/>
  <c r="I54" i="86"/>
  <c r="F54" i="86"/>
  <c r="A54" i="86"/>
  <c r="U53" i="86"/>
  <c r="T53" i="86"/>
  <c r="R53" i="86"/>
  <c r="Q53" i="86"/>
  <c r="P53" i="86"/>
  <c r="O53" i="86"/>
  <c r="N53" i="86"/>
  <c r="M53" i="86"/>
  <c r="L53" i="86"/>
  <c r="K53" i="86"/>
  <c r="J53" i="86"/>
  <c r="I53" i="86"/>
  <c r="F53" i="86"/>
  <c r="A53" i="86"/>
  <c r="U52" i="86"/>
  <c r="T52" i="86"/>
  <c r="R52" i="86"/>
  <c r="Q52" i="86"/>
  <c r="P52" i="86"/>
  <c r="O52" i="86"/>
  <c r="N52" i="86"/>
  <c r="M52" i="86"/>
  <c r="L52" i="86"/>
  <c r="K52" i="86"/>
  <c r="J52" i="86"/>
  <c r="I52" i="86"/>
  <c r="F52" i="86"/>
  <c r="A52" i="86"/>
  <c r="U51" i="86"/>
  <c r="T51" i="86"/>
  <c r="R51" i="86"/>
  <c r="Q51" i="86"/>
  <c r="P51" i="86"/>
  <c r="O51" i="86"/>
  <c r="N51" i="86"/>
  <c r="M51" i="86"/>
  <c r="L51" i="86"/>
  <c r="K51" i="86"/>
  <c r="J51" i="86"/>
  <c r="I51" i="86"/>
  <c r="F51" i="86"/>
  <c r="A51" i="86"/>
  <c r="U50" i="86"/>
  <c r="T50" i="86"/>
  <c r="R50" i="86"/>
  <c r="Q50" i="86"/>
  <c r="P50" i="86"/>
  <c r="O50" i="86"/>
  <c r="N50" i="86"/>
  <c r="M50" i="86"/>
  <c r="L50" i="86"/>
  <c r="K50" i="86"/>
  <c r="J50" i="86"/>
  <c r="I50" i="86"/>
  <c r="F50" i="86"/>
  <c r="A50" i="86"/>
  <c r="U49" i="86"/>
  <c r="T49" i="86"/>
  <c r="R49" i="86"/>
  <c r="Q49" i="86"/>
  <c r="P49" i="86"/>
  <c r="O49" i="86"/>
  <c r="N49" i="86"/>
  <c r="M49" i="86"/>
  <c r="L49" i="86"/>
  <c r="K49" i="86"/>
  <c r="J49" i="86"/>
  <c r="I49" i="86"/>
  <c r="F49" i="86"/>
  <c r="A49" i="86"/>
  <c r="U48" i="86"/>
  <c r="T48" i="86"/>
  <c r="R48" i="86"/>
  <c r="Q48" i="86"/>
  <c r="P48" i="86"/>
  <c r="O48" i="86"/>
  <c r="N48" i="86"/>
  <c r="M48" i="86"/>
  <c r="L48" i="86"/>
  <c r="K48" i="86"/>
  <c r="J48" i="86"/>
  <c r="I48" i="86"/>
  <c r="F48" i="86"/>
  <c r="A48" i="86"/>
  <c r="U47" i="86"/>
  <c r="T47" i="86"/>
  <c r="R47" i="86"/>
  <c r="Q47" i="86"/>
  <c r="P47" i="86"/>
  <c r="O47" i="86"/>
  <c r="N47" i="86"/>
  <c r="M47" i="86"/>
  <c r="L47" i="86"/>
  <c r="K47" i="86"/>
  <c r="J47" i="86"/>
  <c r="I47" i="86"/>
  <c r="F47" i="86"/>
  <c r="A47" i="86"/>
  <c r="U46" i="86"/>
  <c r="T46" i="86"/>
  <c r="R46" i="86"/>
  <c r="Q46" i="86"/>
  <c r="P46" i="86"/>
  <c r="O46" i="86"/>
  <c r="N46" i="86"/>
  <c r="M46" i="86"/>
  <c r="L46" i="86"/>
  <c r="K46" i="86"/>
  <c r="J46" i="86"/>
  <c r="I46" i="86"/>
  <c r="F46" i="86"/>
  <c r="A46" i="86"/>
  <c r="U45" i="86"/>
  <c r="T45" i="86"/>
  <c r="R45" i="86"/>
  <c r="Q45" i="86"/>
  <c r="P45" i="86"/>
  <c r="O45" i="86"/>
  <c r="N45" i="86"/>
  <c r="M45" i="86"/>
  <c r="L45" i="86"/>
  <c r="K45" i="86"/>
  <c r="J45" i="86"/>
  <c r="I45" i="86"/>
  <c r="F45" i="86"/>
  <c r="A45" i="86"/>
  <c r="U44" i="86"/>
  <c r="T44" i="86"/>
  <c r="R44" i="86"/>
  <c r="Q44" i="86"/>
  <c r="P44" i="86"/>
  <c r="O44" i="86"/>
  <c r="N44" i="86"/>
  <c r="M44" i="86"/>
  <c r="L44" i="86"/>
  <c r="K44" i="86"/>
  <c r="J44" i="86"/>
  <c r="I44" i="86"/>
  <c r="F44" i="86"/>
  <c r="A44" i="86"/>
  <c r="U43" i="86"/>
  <c r="T43" i="86"/>
  <c r="R43" i="86"/>
  <c r="Q43" i="86"/>
  <c r="P43" i="86"/>
  <c r="O43" i="86"/>
  <c r="N43" i="86"/>
  <c r="M43" i="86"/>
  <c r="L43" i="86"/>
  <c r="K43" i="86"/>
  <c r="J43" i="86"/>
  <c r="I43" i="86"/>
  <c r="F43" i="86"/>
  <c r="A43" i="86"/>
  <c r="U42" i="86"/>
  <c r="T42" i="86"/>
  <c r="R42" i="86"/>
  <c r="Q42" i="86"/>
  <c r="P42" i="86"/>
  <c r="O42" i="86"/>
  <c r="N42" i="86"/>
  <c r="M42" i="86"/>
  <c r="L42" i="86"/>
  <c r="K42" i="86"/>
  <c r="J42" i="86"/>
  <c r="I42" i="86"/>
  <c r="F42" i="86"/>
  <c r="A42" i="86"/>
  <c r="U41" i="86"/>
  <c r="T41" i="86"/>
  <c r="R41" i="86"/>
  <c r="Q41" i="86"/>
  <c r="P41" i="86"/>
  <c r="O41" i="86"/>
  <c r="N41" i="86"/>
  <c r="M41" i="86"/>
  <c r="L41" i="86"/>
  <c r="K41" i="86"/>
  <c r="J41" i="86"/>
  <c r="I41" i="86"/>
  <c r="F41" i="86"/>
  <c r="A41" i="86"/>
  <c r="U40" i="86"/>
  <c r="T40" i="86"/>
  <c r="R40" i="86"/>
  <c r="Q40" i="86"/>
  <c r="P40" i="86"/>
  <c r="O40" i="86"/>
  <c r="N40" i="86"/>
  <c r="M40" i="86"/>
  <c r="L40" i="86"/>
  <c r="K40" i="86"/>
  <c r="J40" i="86"/>
  <c r="I40" i="86"/>
  <c r="F40" i="86"/>
  <c r="A40" i="86"/>
  <c r="U39" i="86"/>
  <c r="T39" i="86"/>
  <c r="R39" i="86"/>
  <c r="Q39" i="86"/>
  <c r="P39" i="86"/>
  <c r="O39" i="86"/>
  <c r="N39" i="86"/>
  <c r="M39" i="86"/>
  <c r="L39" i="86"/>
  <c r="K39" i="86"/>
  <c r="J39" i="86"/>
  <c r="I39" i="86"/>
  <c r="F39" i="86"/>
  <c r="A39" i="86"/>
  <c r="U38" i="86"/>
  <c r="T38" i="86"/>
  <c r="R38" i="86"/>
  <c r="Q38" i="86"/>
  <c r="P38" i="86"/>
  <c r="O38" i="86"/>
  <c r="N38" i="86"/>
  <c r="M38" i="86"/>
  <c r="L38" i="86"/>
  <c r="K38" i="86"/>
  <c r="J38" i="86"/>
  <c r="I38" i="86"/>
  <c r="F38" i="86"/>
  <c r="A38" i="86"/>
  <c r="U37" i="86"/>
  <c r="T37" i="86"/>
  <c r="R37" i="86"/>
  <c r="Q37" i="86"/>
  <c r="P37" i="86"/>
  <c r="O37" i="86"/>
  <c r="N37" i="86"/>
  <c r="M37" i="86"/>
  <c r="L37" i="86"/>
  <c r="K37" i="86"/>
  <c r="J37" i="86"/>
  <c r="I37" i="86"/>
  <c r="F37" i="86"/>
  <c r="A37" i="86"/>
  <c r="U36" i="86"/>
  <c r="T36" i="86"/>
  <c r="R36" i="86"/>
  <c r="Q36" i="86"/>
  <c r="P36" i="86"/>
  <c r="O36" i="86"/>
  <c r="N36" i="86"/>
  <c r="M36" i="86"/>
  <c r="L36" i="86"/>
  <c r="K36" i="86"/>
  <c r="J36" i="86"/>
  <c r="I36" i="86"/>
  <c r="F36" i="86"/>
  <c r="A36" i="86"/>
  <c r="U35" i="86"/>
  <c r="T35" i="86"/>
  <c r="R35" i="86"/>
  <c r="Q35" i="86"/>
  <c r="P35" i="86"/>
  <c r="O35" i="86"/>
  <c r="N35" i="86"/>
  <c r="M35" i="86"/>
  <c r="L35" i="86"/>
  <c r="K35" i="86"/>
  <c r="J35" i="86"/>
  <c r="I35" i="86"/>
  <c r="F35" i="86"/>
  <c r="A35" i="86"/>
  <c r="U34" i="86"/>
  <c r="T34" i="86"/>
  <c r="S34" i="86"/>
  <c r="R34" i="86"/>
  <c r="Q34" i="86"/>
  <c r="P34" i="86"/>
  <c r="O34" i="86"/>
  <c r="N34" i="86"/>
  <c r="M34" i="86"/>
  <c r="L34" i="86"/>
  <c r="K34" i="86"/>
  <c r="J34" i="86"/>
  <c r="I34" i="86"/>
  <c r="H34" i="86"/>
  <c r="F34" i="86"/>
  <c r="A34" i="86"/>
  <c r="U33" i="86"/>
  <c r="T33" i="86"/>
  <c r="S33" i="86"/>
  <c r="R33" i="86"/>
  <c r="Q33" i="86"/>
  <c r="P33" i="86"/>
  <c r="O33" i="86"/>
  <c r="N33" i="86"/>
  <c r="M33" i="86"/>
  <c r="L33" i="86"/>
  <c r="K33" i="86"/>
  <c r="J33" i="86"/>
  <c r="I33" i="86"/>
  <c r="H33" i="86"/>
  <c r="F33" i="86"/>
  <c r="A33" i="86"/>
  <c r="U32" i="86"/>
  <c r="T32" i="86"/>
  <c r="R32" i="86"/>
  <c r="Q32" i="86"/>
  <c r="P32" i="86"/>
  <c r="O32" i="86"/>
  <c r="N32" i="86"/>
  <c r="M32" i="86"/>
  <c r="L32" i="86"/>
  <c r="K32" i="86"/>
  <c r="J32" i="86"/>
  <c r="I32" i="86"/>
  <c r="F32" i="86"/>
  <c r="A32" i="86"/>
  <c r="U31" i="86"/>
  <c r="T31" i="86"/>
  <c r="S31" i="86"/>
  <c r="R31" i="86"/>
  <c r="Q31" i="86"/>
  <c r="P31" i="86"/>
  <c r="O31" i="86"/>
  <c r="N31" i="86"/>
  <c r="M31" i="86"/>
  <c r="L31" i="86"/>
  <c r="K31" i="86"/>
  <c r="J31" i="86"/>
  <c r="I31" i="86"/>
  <c r="F31" i="86"/>
  <c r="A31" i="86"/>
  <c r="U30" i="86"/>
  <c r="T30" i="86"/>
  <c r="S30" i="86"/>
  <c r="R30" i="86"/>
  <c r="Q30" i="86"/>
  <c r="P30" i="86"/>
  <c r="O30" i="86"/>
  <c r="N30" i="86"/>
  <c r="M30" i="86"/>
  <c r="L30" i="86"/>
  <c r="K30" i="86"/>
  <c r="J30" i="86"/>
  <c r="I30" i="86"/>
  <c r="F30" i="86"/>
  <c r="A30" i="86"/>
  <c r="U29" i="86"/>
  <c r="T29" i="86"/>
  <c r="S29" i="86"/>
  <c r="R29" i="86"/>
  <c r="Q29" i="86"/>
  <c r="P29" i="86"/>
  <c r="O29" i="86"/>
  <c r="N29" i="86"/>
  <c r="M29" i="86"/>
  <c r="L29" i="86"/>
  <c r="K29" i="86"/>
  <c r="J29" i="86"/>
  <c r="I29" i="86"/>
  <c r="F29" i="86"/>
  <c r="A29" i="86"/>
  <c r="U28" i="86"/>
  <c r="T28" i="86"/>
  <c r="S28" i="86"/>
  <c r="R28" i="86"/>
  <c r="Q28" i="86"/>
  <c r="P28" i="86"/>
  <c r="O28" i="86"/>
  <c r="N28" i="86"/>
  <c r="M28" i="86"/>
  <c r="L28" i="86"/>
  <c r="K28" i="86"/>
  <c r="J28" i="86"/>
  <c r="I28" i="86"/>
  <c r="F28" i="86"/>
  <c r="A28" i="86"/>
  <c r="U27" i="86"/>
  <c r="T27" i="86"/>
  <c r="S27" i="86"/>
  <c r="R27" i="86"/>
  <c r="Q27" i="86"/>
  <c r="P27" i="86"/>
  <c r="O27" i="86"/>
  <c r="N27" i="86"/>
  <c r="M27" i="86"/>
  <c r="L27" i="86"/>
  <c r="K27" i="86"/>
  <c r="J27" i="86"/>
  <c r="I27" i="86"/>
  <c r="F27" i="86"/>
  <c r="A27" i="86"/>
  <c r="U26" i="86"/>
  <c r="T26" i="86"/>
  <c r="S26" i="86"/>
  <c r="R26" i="86"/>
  <c r="Q26" i="86"/>
  <c r="P26" i="86"/>
  <c r="O26" i="86"/>
  <c r="N26" i="86"/>
  <c r="M26" i="86"/>
  <c r="L26" i="86"/>
  <c r="K26" i="86"/>
  <c r="J26" i="86"/>
  <c r="I26" i="86"/>
  <c r="F26" i="86"/>
  <c r="A26" i="86"/>
  <c r="U25" i="86"/>
  <c r="T25" i="86"/>
  <c r="S25" i="86"/>
  <c r="R25" i="86"/>
  <c r="Q25" i="86"/>
  <c r="P25" i="86"/>
  <c r="O25" i="86"/>
  <c r="N25" i="86"/>
  <c r="M25" i="86"/>
  <c r="L25" i="86"/>
  <c r="K25" i="86"/>
  <c r="J25" i="86"/>
  <c r="I25" i="86"/>
  <c r="F25" i="86"/>
  <c r="A25" i="86"/>
  <c r="U24" i="86"/>
  <c r="T24" i="86"/>
  <c r="S24" i="86"/>
  <c r="R24" i="86"/>
  <c r="Q24" i="86"/>
  <c r="P24" i="86"/>
  <c r="O24" i="86"/>
  <c r="N24" i="86"/>
  <c r="M24" i="86"/>
  <c r="L24" i="86"/>
  <c r="K24" i="86"/>
  <c r="J24" i="86"/>
  <c r="I24" i="86"/>
  <c r="F24" i="86"/>
  <c r="A24" i="86"/>
  <c r="U23" i="86"/>
  <c r="T23" i="86"/>
  <c r="S23" i="86"/>
  <c r="R23" i="86"/>
  <c r="Q23" i="86"/>
  <c r="P23" i="86"/>
  <c r="O23" i="86"/>
  <c r="N23" i="86"/>
  <c r="M23" i="86"/>
  <c r="L23" i="86"/>
  <c r="K23" i="86"/>
  <c r="J23" i="86"/>
  <c r="I23" i="86"/>
  <c r="F23" i="86"/>
  <c r="A23" i="86"/>
  <c r="U22" i="86"/>
  <c r="T22" i="86"/>
  <c r="S22" i="86"/>
  <c r="R22" i="86"/>
  <c r="Q22" i="86"/>
  <c r="P22" i="86"/>
  <c r="O22" i="86"/>
  <c r="N22" i="86"/>
  <c r="M22" i="86"/>
  <c r="L22" i="86"/>
  <c r="K22" i="86"/>
  <c r="J22" i="86"/>
  <c r="I22" i="86"/>
  <c r="F22" i="86"/>
  <c r="A22" i="86"/>
  <c r="U21" i="86"/>
  <c r="T21" i="86"/>
  <c r="S21" i="86"/>
  <c r="R21" i="86"/>
  <c r="Q21" i="86"/>
  <c r="P21" i="86"/>
  <c r="O21" i="86"/>
  <c r="N21" i="86"/>
  <c r="M21" i="86"/>
  <c r="L21" i="86"/>
  <c r="K21" i="86"/>
  <c r="J21" i="86"/>
  <c r="I21" i="86"/>
  <c r="F21" i="86"/>
  <c r="A21" i="86"/>
  <c r="U20" i="86"/>
  <c r="T20" i="86"/>
  <c r="S20" i="86"/>
  <c r="R20" i="86"/>
  <c r="Q20" i="86"/>
  <c r="P20" i="86"/>
  <c r="O20" i="86"/>
  <c r="N20" i="86"/>
  <c r="M20" i="86"/>
  <c r="L20" i="86"/>
  <c r="K20" i="86"/>
  <c r="J20" i="86"/>
  <c r="I20" i="86"/>
  <c r="F20" i="86"/>
  <c r="A20" i="86"/>
  <c r="U19" i="86"/>
  <c r="T19" i="86"/>
  <c r="S19" i="86"/>
  <c r="R19" i="86"/>
  <c r="Q19" i="86"/>
  <c r="P19" i="86"/>
  <c r="O19" i="86"/>
  <c r="N19" i="86"/>
  <c r="M19" i="86"/>
  <c r="L19" i="86"/>
  <c r="K19" i="86"/>
  <c r="J19" i="86"/>
  <c r="I19" i="86"/>
  <c r="F19" i="86"/>
  <c r="A19" i="86"/>
  <c r="U18" i="86"/>
  <c r="T18" i="86"/>
  <c r="S18" i="86"/>
  <c r="R18" i="86"/>
  <c r="Q18" i="86"/>
  <c r="P18" i="86"/>
  <c r="O18" i="86"/>
  <c r="N18" i="86"/>
  <c r="M18" i="86"/>
  <c r="L18" i="86"/>
  <c r="K18" i="86"/>
  <c r="J18" i="86"/>
  <c r="I18" i="86"/>
  <c r="F18" i="86"/>
  <c r="A18" i="86"/>
  <c r="U17" i="86"/>
  <c r="T17" i="86"/>
  <c r="S17" i="86"/>
  <c r="R17" i="86"/>
  <c r="Q17" i="86"/>
  <c r="P17" i="86"/>
  <c r="O17" i="86"/>
  <c r="N17" i="86"/>
  <c r="M17" i="86"/>
  <c r="L17" i="86"/>
  <c r="K17" i="86"/>
  <c r="J17" i="86"/>
  <c r="I17" i="86"/>
  <c r="F17" i="86"/>
  <c r="A17" i="86"/>
  <c r="U16" i="86"/>
  <c r="T16" i="86"/>
  <c r="S16" i="86"/>
  <c r="R16" i="86"/>
  <c r="Q16" i="86"/>
  <c r="P16" i="86"/>
  <c r="O16" i="86"/>
  <c r="N16" i="86"/>
  <c r="M16" i="86"/>
  <c r="L16" i="86"/>
  <c r="K16" i="86"/>
  <c r="J16" i="86"/>
  <c r="I16" i="86"/>
  <c r="F16" i="86"/>
  <c r="A16" i="86"/>
  <c r="U15" i="86"/>
  <c r="T15" i="86"/>
  <c r="S15" i="86"/>
  <c r="R15" i="86"/>
  <c r="Q15" i="86"/>
  <c r="P15" i="86"/>
  <c r="O15" i="86"/>
  <c r="N15" i="86"/>
  <c r="M15" i="86"/>
  <c r="L15" i="86"/>
  <c r="K15" i="86"/>
  <c r="J15" i="86"/>
  <c r="I15" i="86"/>
  <c r="F15" i="86"/>
  <c r="A15" i="86"/>
  <c r="U14" i="86"/>
  <c r="T14" i="86"/>
  <c r="S14" i="86"/>
  <c r="R14" i="86"/>
  <c r="Q14" i="86"/>
  <c r="P14" i="86"/>
  <c r="O14" i="86"/>
  <c r="N14" i="86"/>
  <c r="M14" i="86"/>
  <c r="L14" i="86"/>
  <c r="K14" i="86"/>
  <c r="J14" i="86"/>
  <c r="I14" i="86"/>
  <c r="F14" i="86"/>
  <c r="A14" i="86"/>
  <c r="U13" i="86"/>
  <c r="T13" i="86"/>
  <c r="S13" i="86"/>
  <c r="R13" i="86"/>
  <c r="Q13" i="86"/>
  <c r="P13" i="86"/>
  <c r="O13" i="86"/>
  <c r="N13" i="86"/>
  <c r="M13" i="86"/>
  <c r="L13" i="86"/>
  <c r="K13" i="86"/>
  <c r="J13" i="86"/>
  <c r="I13" i="86"/>
  <c r="F13" i="86"/>
  <c r="A13" i="86"/>
  <c r="U12" i="86"/>
  <c r="T12" i="86"/>
  <c r="S12" i="86"/>
  <c r="R12" i="86"/>
  <c r="Q12" i="86"/>
  <c r="P12" i="86"/>
  <c r="O12" i="86"/>
  <c r="N12" i="86"/>
  <c r="M12" i="86"/>
  <c r="L12" i="86"/>
  <c r="K12" i="86"/>
  <c r="J12" i="86"/>
  <c r="I12" i="86"/>
  <c r="F12" i="86"/>
  <c r="A12" i="86"/>
  <c r="U11" i="86"/>
  <c r="T11" i="86"/>
  <c r="S11" i="86"/>
  <c r="R11" i="86"/>
  <c r="Q11" i="86"/>
  <c r="P11" i="86"/>
  <c r="O11" i="86"/>
  <c r="N11" i="86"/>
  <c r="M11" i="86"/>
  <c r="L11" i="86"/>
  <c r="K11" i="86"/>
  <c r="J11" i="86"/>
  <c r="I11" i="86"/>
  <c r="F11" i="86"/>
  <c r="A11" i="86"/>
  <c r="U10" i="86"/>
  <c r="T10" i="86"/>
  <c r="S10" i="86"/>
  <c r="R10" i="86"/>
  <c r="Q10" i="86"/>
  <c r="P10" i="86"/>
  <c r="O10" i="86"/>
  <c r="N10" i="86"/>
  <c r="M10" i="86"/>
  <c r="L10" i="86"/>
  <c r="K10" i="86"/>
  <c r="J10" i="86"/>
  <c r="I10" i="86"/>
  <c r="F10" i="86"/>
  <c r="A10" i="86"/>
  <c r="U9" i="86"/>
  <c r="T9" i="86"/>
  <c r="S9" i="86"/>
  <c r="R9" i="86"/>
  <c r="Q9" i="86"/>
  <c r="P9" i="86"/>
  <c r="O9" i="86"/>
  <c r="N9" i="86"/>
  <c r="M9" i="86"/>
  <c r="L9" i="86"/>
  <c r="K9" i="86"/>
  <c r="J9" i="86"/>
  <c r="I9" i="86"/>
  <c r="H9" i="86"/>
  <c r="F9" i="86"/>
  <c r="A9" i="86"/>
  <c r="U8" i="86"/>
  <c r="T8" i="86"/>
  <c r="S8" i="86"/>
  <c r="R8" i="86"/>
  <c r="Q8" i="86"/>
  <c r="P8" i="86"/>
  <c r="O8" i="86"/>
  <c r="N8" i="86"/>
  <c r="M8" i="86"/>
  <c r="L8" i="86"/>
  <c r="K8" i="86"/>
  <c r="J8" i="86"/>
  <c r="I8" i="86"/>
  <c r="H8" i="86"/>
  <c r="F8" i="86"/>
  <c r="C8" i="86"/>
  <c r="A8" i="86"/>
  <c r="U7" i="86"/>
  <c r="T7" i="86"/>
  <c r="R7" i="86"/>
  <c r="Q7" i="86"/>
  <c r="P7" i="86"/>
  <c r="O7" i="86"/>
  <c r="N7" i="86"/>
  <c r="M7" i="86"/>
  <c r="L7" i="86"/>
  <c r="K7" i="86"/>
  <c r="J7" i="86"/>
  <c r="I7" i="86"/>
  <c r="F7" i="86"/>
  <c r="C7" i="86"/>
  <c r="A7" i="86"/>
  <c r="U6" i="86"/>
  <c r="T6" i="86"/>
  <c r="S6" i="86"/>
  <c r="R6" i="86"/>
  <c r="Q6" i="86"/>
  <c r="P6" i="86"/>
  <c r="O6" i="86"/>
  <c r="N6" i="86"/>
  <c r="M6" i="86"/>
  <c r="L6" i="86"/>
  <c r="K6" i="86"/>
  <c r="J6" i="86"/>
  <c r="I6" i="86"/>
  <c r="H6" i="86"/>
  <c r="F6" i="86"/>
  <c r="C6" i="86"/>
  <c r="A6" i="86"/>
  <c r="U5" i="86"/>
  <c r="T5" i="86"/>
  <c r="S5" i="86"/>
  <c r="R5" i="86"/>
  <c r="Q5" i="86"/>
  <c r="P5" i="86"/>
  <c r="O5" i="86"/>
  <c r="N5" i="86"/>
  <c r="M5" i="86"/>
  <c r="L5" i="86"/>
  <c r="K5" i="86"/>
  <c r="J5" i="86"/>
  <c r="I5" i="86"/>
  <c r="H5" i="86"/>
  <c r="F5" i="86"/>
  <c r="C5" i="86"/>
  <c r="A5" i="86"/>
  <c r="U4" i="86"/>
  <c r="T4" i="86"/>
  <c r="S4" i="86"/>
  <c r="R4" i="86"/>
  <c r="Q4" i="86"/>
  <c r="P4" i="86"/>
  <c r="O4" i="86"/>
  <c r="N4" i="86"/>
  <c r="M4" i="86"/>
  <c r="L4" i="86"/>
  <c r="K4" i="86"/>
  <c r="J4" i="86"/>
  <c r="I4" i="86"/>
  <c r="H4" i="86"/>
  <c r="F4" i="86"/>
  <c r="C4" i="86"/>
  <c r="A4" i="86"/>
  <c r="U3" i="86"/>
  <c r="T3" i="86"/>
  <c r="S3" i="86"/>
  <c r="R3" i="86"/>
  <c r="Q3" i="86"/>
  <c r="P3" i="86"/>
  <c r="O3" i="86"/>
  <c r="N3" i="86"/>
  <c r="M3" i="86"/>
  <c r="L3" i="86"/>
  <c r="K3" i="86"/>
  <c r="J3" i="86"/>
  <c r="I3" i="86"/>
  <c r="H3" i="86"/>
  <c r="F3" i="86"/>
  <c r="C3" i="86"/>
  <c r="A3" i="86"/>
  <c r="F2" i="86"/>
  <c r="C2" i="86"/>
  <c r="U2" i="86"/>
  <c r="T2" i="86"/>
  <c r="S2" i="86"/>
  <c r="R2" i="86"/>
  <c r="Q2" i="86"/>
  <c r="P2" i="86"/>
  <c r="O2" i="86"/>
  <c r="N2" i="86"/>
  <c r="M2" i="86"/>
  <c r="L2" i="86"/>
  <c r="K2" i="86"/>
  <c r="J2" i="86"/>
  <c r="I2" i="86"/>
  <c r="H2" i="86"/>
  <c r="A2" i="86"/>
  <c r="AG1110" i="2"/>
  <c r="AH1110" i="2"/>
  <c r="AG1111" i="2"/>
  <c r="AH1111" i="2"/>
  <c r="AG1100" i="2"/>
  <c r="AH1100" i="2"/>
  <c r="AG1101" i="2"/>
  <c r="AH1101" i="2"/>
  <c r="AG1102" i="2"/>
  <c r="AH1102" i="2"/>
  <c r="AG1103" i="2"/>
  <c r="AH1103" i="2"/>
  <c r="AG1104" i="2"/>
  <c r="AH1104" i="2"/>
  <c r="AG1105" i="2"/>
  <c r="AH1105" i="2"/>
  <c r="AG1106" i="2"/>
  <c r="AH1106" i="2"/>
  <c r="AG1107" i="2"/>
  <c r="AH1107" i="2"/>
  <c r="AG1108" i="2"/>
  <c r="AH1108" i="2"/>
  <c r="AG1109" i="2"/>
  <c r="AH1109" i="2"/>
  <c r="AH1099" i="2"/>
  <c r="AG1099" i="2"/>
  <c r="G1079" i="2"/>
  <c r="H1079" i="2"/>
  <c r="I1079" i="2"/>
  <c r="J1079" i="2"/>
  <c r="K1079" i="2"/>
  <c r="L1079" i="2"/>
  <c r="M1079" i="2"/>
  <c r="N1079" i="2"/>
  <c r="O1079" i="2"/>
  <c r="P1079" i="2"/>
  <c r="Q1079" i="2"/>
  <c r="R1079" i="2"/>
  <c r="AG1079" i="2"/>
  <c r="G1080" i="2"/>
  <c r="H1080" i="2"/>
  <c r="I1080" i="2"/>
  <c r="J1080" i="2"/>
  <c r="K1080" i="2"/>
  <c r="L1080" i="2"/>
  <c r="M1080" i="2"/>
  <c r="N1080" i="2"/>
  <c r="O1080" i="2"/>
  <c r="P1080" i="2"/>
  <c r="Q1080" i="2"/>
  <c r="R1080" i="2"/>
  <c r="AG1080" i="2"/>
  <c r="G1081" i="2"/>
  <c r="H1081" i="2"/>
  <c r="I1081" i="2"/>
  <c r="J1081" i="2"/>
  <c r="K1081" i="2"/>
  <c r="L1081" i="2"/>
  <c r="M1081" i="2"/>
  <c r="N1081" i="2"/>
  <c r="O1081" i="2"/>
  <c r="P1081" i="2"/>
  <c r="Q1081" i="2"/>
  <c r="R1081" i="2"/>
  <c r="AG1081" i="2"/>
  <c r="G1082" i="2"/>
  <c r="H1082" i="2"/>
  <c r="I1082" i="2"/>
  <c r="J1082" i="2"/>
  <c r="K1082" i="2"/>
  <c r="L1082" i="2"/>
  <c r="M1082" i="2"/>
  <c r="N1082" i="2"/>
  <c r="O1082" i="2"/>
  <c r="P1082" i="2"/>
  <c r="Q1082" i="2"/>
  <c r="R1082" i="2"/>
  <c r="AG1082" i="2"/>
  <c r="G1083" i="2"/>
  <c r="H1083" i="2"/>
  <c r="I1083" i="2"/>
  <c r="J1083" i="2"/>
  <c r="K1083" i="2"/>
  <c r="L1083" i="2"/>
  <c r="M1083" i="2"/>
  <c r="N1083" i="2"/>
  <c r="O1083" i="2"/>
  <c r="P1083" i="2"/>
  <c r="Q1083" i="2"/>
  <c r="R1083" i="2"/>
  <c r="AG1083" i="2"/>
  <c r="G1084" i="2"/>
  <c r="H1084" i="2"/>
  <c r="I1084" i="2"/>
  <c r="J1084" i="2"/>
  <c r="K1084" i="2"/>
  <c r="L1084" i="2"/>
  <c r="M1084" i="2"/>
  <c r="N1084" i="2"/>
  <c r="O1084" i="2"/>
  <c r="P1084" i="2"/>
  <c r="Q1084" i="2"/>
  <c r="R1084" i="2"/>
  <c r="AG1084" i="2"/>
  <c r="G1085" i="2"/>
  <c r="H1085" i="2"/>
  <c r="I1085" i="2"/>
  <c r="J1085" i="2"/>
  <c r="K1085" i="2"/>
  <c r="L1085" i="2"/>
  <c r="M1085" i="2"/>
  <c r="N1085" i="2"/>
  <c r="O1085" i="2"/>
  <c r="P1085" i="2"/>
  <c r="Q1085" i="2"/>
  <c r="R1085" i="2"/>
  <c r="AG1085" i="2"/>
  <c r="G1086" i="2"/>
  <c r="H1086" i="2"/>
  <c r="I1086" i="2"/>
  <c r="J1086" i="2"/>
  <c r="K1086" i="2"/>
  <c r="L1086" i="2"/>
  <c r="M1086" i="2"/>
  <c r="N1086" i="2"/>
  <c r="O1086" i="2"/>
  <c r="P1086" i="2"/>
  <c r="Q1086" i="2"/>
  <c r="R1086" i="2"/>
  <c r="AG1086" i="2"/>
  <c r="G1087" i="2"/>
  <c r="H1087" i="2"/>
  <c r="I1087" i="2"/>
  <c r="J1087" i="2"/>
  <c r="K1087" i="2"/>
  <c r="L1087" i="2"/>
  <c r="M1087" i="2"/>
  <c r="N1087" i="2"/>
  <c r="O1087" i="2"/>
  <c r="P1087" i="2"/>
  <c r="Q1087" i="2"/>
  <c r="R1087" i="2"/>
  <c r="AG1087" i="2"/>
  <c r="G1088" i="2"/>
  <c r="H1088" i="2"/>
  <c r="I1088" i="2"/>
  <c r="J1088" i="2"/>
  <c r="K1088" i="2"/>
  <c r="L1088" i="2"/>
  <c r="M1088" i="2"/>
  <c r="N1088" i="2"/>
  <c r="O1088" i="2"/>
  <c r="P1088" i="2"/>
  <c r="Q1088" i="2"/>
  <c r="R1088" i="2"/>
  <c r="AG1088" i="2"/>
  <c r="G1089" i="2"/>
  <c r="AG1089" i="2"/>
  <c r="AG1090" i="2"/>
  <c r="AG1091" i="2"/>
  <c r="AG1092" i="2"/>
  <c r="AG1093" i="2"/>
  <c r="AG1094" i="2"/>
  <c r="AG1095" i="2"/>
  <c r="AG1096" i="2"/>
  <c r="AG1097" i="2"/>
  <c r="AG1098" i="2"/>
  <c r="D8" i="34"/>
  <c r="AH1079" i="2" s="1"/>
  <c r="D9" i="34"/>
  <c r="AH1080" i="2" s="1"/>
  <c r="D10" i="34"/>
  <c r="AH1081" i="2" s="1"/>
  <c r="D11" i="34"/>
  <c r="AH1082" i="2" s="1"/>
  <c r="D12" i="34"/>
  <c r="AH1083" i="2" s="1"/>
  <c r="D13" i="34"/>
  <c r="AH1084" i="2" s="1"/>
  <c r="D14" i="34"/>
  <c r="AH1085" i="2" s="1"/>
  <c r="D15" i="34"/>
  <c r="AH1086" i="2" s="1"/>
  <c r="D16" i="34"/>
  <c r="AH1087" i="2" s="1"/>
  <c r="D17" i="34"/>
  <c r="AH1088" i="2" s="1"/>
  <c r="D7" i="34"/>
  <c r="AH1078" i="2"/>
  <c r="AG1078" i="2"/>
  <c r="H1078" i="2"/>
  <c r="I1078" i="2"/>
  <c r="J1078" i="2"/>
  <c r="K1078" i="2"/>
  <c r="L1078" i="2"/>
  <c r="M1078" i="2"/>
  <c r="N1078" i="2"/>
  <c r="O1078" i="2"/>
  <c r="P1078" i="2"/>
  <c r="Q1078" i="2"/>
  <c r="R1078" i="2"/>
  <c r="G1078" i="2"/>
  <c r="A1108" i="2"/>
  <c r="C1108" i="2"/>
  <c r="A1109" i="2"/>
  <c r="C1109" i="2"/>
  <c r="A1110" i="2"/>
  <c r="C1110" i="2"/>
  <c r="A1111" i="2"/>
  <c r="C1111" i="2"/>
  <c r="F1108" i="2"/>
  <c r="F1109" i="2"/>
  <c r="F1110" i="2"/>
  <c r="F1111" i="2"/>
  <c r="C1100" i="2"/>
  <c r="C1101" i="2"/>
  <c r="C1102" i="2"/>
  <c r="C1103" i="2"/>
  <c r="C1104" i="2"/>
  <c r="C1105" i="2"/>
  <c r="C1106" i="2"/>
  <c r="C1107" i="2"/>
  <c r="C1099" i="2"/>
  <c r="A1092" i="2"/>
  <c r="C1092" i="2"/>
  <c r="F1092" i="2"/>
  <c r="A1093" i="2"/>
  <c r="C1093" i="2"/>
  <c r="F1093" i="2"/>
  <c r="A1094" i="2"/>
  <c r="C1094" i="2"/>
  <c r="F1094" i="2"/>
  <c r="A1095" i="2"/>
  <c r="C1095" i="2"/>
  <c r="F1095" i="2"/>
  <c r="A1096" i="2"/>
  <c r="C1096" i="2"/>
  <c r="F1096" i="2"/>
  <c r="A1097" i="2"/>
  <c r="C1097" i="2"/>
  <c r="F1097" i="2"/>
  <c r="A1098" i="2"/>
  <c r="C1098" i="2"/>
  <c r="F1098" i="2"/>
  <c r="A1099" i="2"/>
  <c r="F1099" i="2"/>
  <c r="A1100" i="2"/>
  <c r="F1100" i="2"/>
  <c r="A1101" i="2"/>
  <c r="F1101" i="2"/>
  <c r="A1102" i="2"/>
  <c r="F1102" i="2"/>
  <c r="A1103" i="2"/>
  <c r="F1103" i="2"/>
  <c r="A1104" i="2"/>
  <c r="F1104" i="2"/>
  <c r="A1105" i="2"/>
  <c r="F1105" i="2"/>
  <c r="A1106" i="2"/>
  <c r="F1106" i="2"/>
  <c r="A1107" i="2"/>
  <c r="F1107" i="2"/>
  <c r="A1079" i="2"/>
  <c r="C1079" i="2"/>
  <c r="F1079" i="2"/>
  <c r="A1080" i="2"/>
  <c r="C1080" i="2"/>
  <c r="F1080" i="2"/>
  <c r="A1081" i="2"/>
  <c r="C1081" i="2"/>
  <c r="F1081" i="2"/>
  <c r="A1082" i="2"/>
  <c r="C1082" i="2"/>
  <c r="F1082" i="2"/>
  <c r="A1083" i="2"/>
  <c r="C1083" i="2"/>
  <c r="F1083" i="2"/>
  <c r="A1084" i="2"/>
  <c r="C1084" i="2"/>
  <c r="F1084" i="2"/>
  <c r="A1085" i="2"/>
  <c r="C1085" i="2"/>
  <c r="F1085" i="2"/>
  <c r="A1086" i="2"/>
  <c r="C1086" i="2"/>
  <c r="F1086" i="2"/>
  <c r="A1087" i="2"/>
  <c r="C1087" i="2"/>
  <c r="F1087" i="2"/>
  <c r="A1088" i="2"/>
  <c r="C1088" i="2"/>
  <c r="F1088" i="2"/>
  <c r="A1089" i="2"/>
  <c r="C1089" i="2"/>
  <c r="F1089" i="2"/>
  <c r="A1090" i="2"/>
  <c r="C1090" i="2"/>
  <c r="F1090" i="2"/>
  <c r="A1091" i="2"/>
  <c r="C1091" i="2"/>
  <c r="F1091" i="2"/>
  <c r="F1078" i="2"/>
  <c r="C1078" i="2"/>
  <c r="AA11" i="73"/>
  <c r="AA10" i="73"/>
  <c r="AA9" i="73"/>
  <c r="AA8" i="73"/>
  <c r="AA7" i="73"/>
  <c r="AA6" i="73"/>
  <c r="AA5" i="73"/>
  <c r="AA4" i="73"/>
  <c r="Q5" i="73"/>
  <c r="Q6" i="73" s="1"/>
  <c r="I28" i="28"/>
  <c r="O7" i="46"/>
  <c r="B3" i="84"/>
  <c r="B4" i="84"/>
  <c r="B5" i="84"/>
  <c r="B6" i="84"/>
  <c r="B7" i="84"/>
  <c r="B8" i="84"/>
  <c r="B9" i="84"/>
  <c r="B10" i="84"/>
  <c r="B11" i="84"/>
  <c r="B12" i="84"/>
  <c r="B13" i="84"/>
  <c r="B14" i="84"/>
  <c r="B15" i="84"/>
  <c r="B16" i="84"/>
  <c r="B17" i="84"/>
  <c r="B18" i="84"/>
  <c r="B19" i="84"/>
  <c r="B20" i="84"/>
  <c r="B21" i="84"/>
  <c r="B22" i="84"/>
  <c r="B23" i="84"/>
  <c r="B24" i="84"/>
  <c r="B25" i="84"/>
  <c r="B26" i="84"/>
  <c r="B27" i="84"/>
  <c r="B28" i="84"/>
  <c r="B29" i="84"/>
  <c r="B30" i="84"/>
  <c r="B31" i="84"/>
  <c r="B32" i="84"/>
  <c r="B33" i="84"/>
  <c r="B34" i="84"/>
  <c r="B35" i="84"/>
  <c r="B36" i="84"/>
  <c r="B37" i="84"/>
  <c r="B38" i="84"/>
  <c r="B39" i="84"/>
  <c r="B40" i="84"/>
  <c r="B41" i="84"/>
  <c r="B42" i="84"/>
  <c r="B43" i="84"/>
  <c r="B44" i="84"/>
  <c r="B45" i="84"/>
  <c r="B46" i="84"/>
  <c r="B47" i="84"/>
  <c r="B48" i="84"/>
  <c r="B49" i="84"/>
  <c r="B50" i="84"/>
  <c r="B51" i="84"/>
  <c r="B52" i="84"/>
  <c r="B53" i="84"/>
  <c r="B54" i="84"/>
  <c r="B55" i="84"/>
  <c r="B56" i="84"/>
  <c r="B57" i="84"/>
  <c r="B58" i="84"/>
  <c r="B59" i="84"/>
  <c r="B60" i="84"/>
  <c r="B61" i="84"/>
  <c r="B62" i="84"/>
  <c r="B63" i="84"/>
  <c r="B64" i="84"/>
  <c r="B65" i="84"/>
  <c r="B66" i="84"/>
  <c r="B67" i="84"/>
  <c r="B68" i="84"/>
  <c r="B69" i="84"/>
  <c r="B70" i="84"/>
  <c r="B71" i="84"/>
  <c r="B72" i="84"/>
  <c r="B73" i="84"/>
  <c r="B74" i="84"/>
  <c r="B75" i="84"/>
  <c r="B76" i="84"/>
  <c r="B77" i="84"/>
  <c r="B78" i="84"/>
  <c r="B79" i="84"/>
  <c r="B80" i="84"/>
  <c r="B81" i="84"/>
  <c r="B82" i="84"/>
  <c r="B83" i="84"/>
  <c r="B84" i="84"/>
  <c r="B85" i="84"/>
  <c r="B86" i="84"/>
  <c r="B87" i="84"/>
  <c r="B88" i="84"/>
  <c r="B89" i="84"/>
  <c r="B90" i="84"/>
  <c r="B91" i="84"/>
  <c r="B92" i="84"/>
  <c r="B93" i="84"/>
  <c r="B94" i="84"/>
  <c r="B95" i="84"/>
  <c r="B96" i="84"/>
  <c r="B97" i="84"/>
  <c r="B98" i="84"/>
  <c r="B99" i="84"/>
  <c r="B100" i="84"/>
  <c r="B101" i="84"/>
  <c r="B102" i="84"/>
  <c r="B103" i="84"/>
  <c r="B104" i="84"/>
  <c r="B105" i="84"/>
  <c r="B106" i="84"/>
  <c r="B107" i="84"/>
  <c r="B108" i="84"/>
  <c r="B109" i="84"/>
  <c r="B110" i="84"/>
  <c r="B111" i="84"/>
  <c r="B112" i="84"/>
  <c r="B113" i="84"/>
  <c r="B114" i="84"/>
  <c r="B115" i="84"/>
  <c r="B116" i="84"/>
  <c r="B117" i="84"/>
  <c r="B118" i="84"/>
  <c r="B119" i="84"/>
  <c r="B120" i="84"/>
  <c r="B121" i="84"/>
  <c r="B122" i="84"/>
  <c r="B123" i="84"/>
  <c r="B124" i="84"/>
  <c r="B125" i="84"/>
  <c r="B126" i="84"/>
  <c r="B127" i="84"/>
  <c r="B128" i="84"/>
  <c r="B129" i="84"/>
  <c r="B130" i="84"/>
  <c r="B131" i="84"/>
  <c r="B132" i="84"/>
  <c r="B133" i="84"/>
  <c r="B134" i="84"/>
  <c r="B135" i="84"/>
  <c r="B136" i="84"/>
  <c r="B137" i="84"/>
  <c r="B138" i="84"/>
  <c r="B139" i="84"/>
  <c r="B140" i="84"/>
  <c r="B141" i="84"/>
  <c r="B142" i="84"/>
  <c r="B143" i="84"/>
  <c r="B144" i="84"/>
  <c r="B145" i="84"/>
  <c r="B146" i="84"/>
  <c r="B147" i="84"/>
  <c r="B148" i="84"/>
  <c r="B149" i="84"/>
  <c r="B150" i="84"/>
  <c r="B151" i="84"/>
  <c r="B152" i="84"/>
  <c r="B153" i="84"/>
  <c r="B154" i="84"/>
  <c r="B155" i="84"/>
  <c r="B156" i="84"/>
  <c r="B157" i="84"/>
  <c r="B158" i="84"/>
  <c r="B159" i="84"/>
  <c r="B160" i="84"/>
  <c r="B161" i="84"/>
  <c r="B162" i="84"/>
  <c r="B163" i="84"/>
  <c r="B164" i="84"/>
  <c r="B165" i="84"/>
  <c r="B166" i="84"/>
  <c r="B167" i="84"/>
  <c r="B168" i="84"/>
  <c r="B169" i="84"/>
  <c r="B170" i="84"/>
  <c r="B171" i="84"/>
  <c r="B172" i="84"/>
  <c r="B173" i="84"/>
  <c r="B174" i="84"/>
  <c r="B175" i="84"/>
  <c r="B176" i="84"/>
  <c r="B177" i="84"/>
  <c r="B178" i="84"/>
  <c r="B179" i="84"/>
  <c r="B180" i="84"/>
  <c r="B181" i="84"/>
  <c r="B182" i="84"/>
  <c r="B183" i="84"/>
  <c r="B184" i="84"/>
  <c r="B185" i="84"/>
  <c r="B186" i="84"/>
  <c r="B187" i="84"/>
  <c r="B188" i="84"/>
  <c r="B189" i="84"/>
  <c r="B190" i="84"/>
  <c r="B191" i="84"/>
  <c r="B192" i="84"/>
  <c r="B193" i="84"/>
  <c r="B194" i="84"/>
  <c r="B195" i="84"/>
  <c r="B196" i="84"/>
  <c r="B197" i="84"/>
  <c r="B198" i="84"/>
  <c r="B199" i="84"/>
  <c r="B200" i="84"/>
  <c r="B201" i="84"/>
  <c r="B202" i="84"/>
  <c r="B203" i="84"/>
  <c r="B204" i="84"/>
  <c r="B205" i="84"/>
  <c r="B206" i="84"/>
  <c r="B207" i="84"/>
  <c r="B208" i="84"/>
  <c r="B209" i="84"/>
  <c r="B210" i="84"/>
  <c r="B211" i="84"/>
  <c r="B212" i="84"/>
  <c r="B213" i="84"/>
  <c r="B214" i="84"/>
  <c r="B215" i="84"/>
  <c r="B216" i="84"/>
  <c r="B217" i="84"/>
  <c r="B218" i="84"/>
  <c r="B219" i="84"/>
  <c r="B220" i="84"/>
  <c r="B221" i="84"/>
  <c r="B222" i="84"/>
  <c r="B223" i="84"/>
  <c r="B224" i="84"/>
  <c r="B225" i="84"/>
  <c r="B226" i="84"/>
  <c r="B227" i="84"/>
  <c r="B228" i="84"/>
  <c r="B229" i="84"/>
  <c r="B230" i="84"/>
  <c r="B231" i="84"/>
  <c r="B232" i="84"/>
  <c r="B233" i="84"/>
  <c r="B234" i="84"/>
  <c r="B235" i="84"/>
  <c r="B236" i="84"/>
  <c r="B237" i="84"/>
  <c r="B238" i="84"/>
  <c r="B239" i="84"/>
  <c r="B240" i="84"/>
  <c r="B241" i="84"/>
  <c r="B242" i="84"/>
  <c r="B243" i="84"/>
  <c r="B244" i="84"/>
  <c r="B245" i="84"/>
  <c r="B246" i="84"/>
  <c r="B247" i="84"/>
  <c r="B248" i="84"/>
  <c r="B249" i="84"/>
  <c r="B250" i="84"/>
  <c r="B251" i="84"/>
  <c r="B252" i="84"/>
  <c r="B253" i="84"/>
  <c r="B254" i="84"/>
  <c r="B255" i="84"/>
  <c r="B256" i="84"/>
  <c r="B257" i="84"/>
  <c r="B258" i="84"/>
  <c r="B259" i="84"/>
  <c r="B260" i="84"/>
  <c r="B261" i="84"/>
  <c r="B262" i="84"/>
  <c r="B263" i="84"/>
  <c r="B264" i="84"/>
  <c r="B265" i="84"/>
  <c r="B266" i="84"/>
  <c r="B267" i="84"/>
  <c r="B268" i="84"/>
  <c r="B269" i="84"/>
  <c r="B270" i="84"/>
  <c r="B271" i="84"/>
  <c r="B272" i="84"/>
  <c r="B273" i="84"/>
  <c r="B274" i="84"/>
  <c r="B275" i="84"/>
  <c r="B276" i="84"/>
  <c r="B277" i="84"/>
  <c r="B278" i="84"/>
  <c r="B279" i="84"/>
  <c r="B280" i="84"/>
  <c r="B281" i="84"/>
  <c r="B282" i="84"/>
  <c r="B283" i="84"/>
  <c r="B284" i="84"/>
  <c r="B285" i="84"/>
  <c r="B286" i="84"/>
  <c r="B287" i="84"/>
  <c r="B288" i="84"/>
  <c r="B289" i="84"/>
  <c r="B290" i="84"/>
  <c r="B291" i="84"/>
  <c r="B292" i="84"/>
  <c r="B293" i="84"/>
  <c r="B294" i="84"/>
  <c r="B295" i="84"/>
  <c r="B296" i="84"/>
  <c r="B297" i="84"/>
  <c r="B298" i="84"/>
  <c r="B299" i="84"/>
  <c r="B300" i="84"/>
  <c r="B301" i="84"/>
  <c r="B302" i="84"/>
  <c r="B303" i="84"/>
  <c r="B304" i="84"/>
  <c r="B305" i="84"/>
  <c r="B306" i="84"/>
  <c r="B307" i="84"/>
  <c r="B308" i="84"/>
  <c r="B309" i="84"/>
  <c r="B310" i="84"/>
  <c r="B311" i="84"/>
  <c r="B312" i="84"/>
  <c r="B313" i="84"/>
  <c r="B314" i="84"/>
  <c r="B315" i="84"/>
  <c r="B316" i="84"/>
  <c r="B317" i="84"/>
  <c r="B318" i="84"/>
  <c r="B319" i="84"/>
  <c r="B320" i="84"/>
  <c r="B321" i="84"/>
  <c r="B322" i="84"/>
  <c r="B323" i="84"/>
  <c r="B324" i="84"/>
  <c r="B325" i="84"/>
  <c r="B326" i="84"/>
  <c r="B327" i="84"/>
  <c r="B328" i="84"/>
  <c r="B329" i="84"/>
  <c r="B330" i="84"/>
  <c r="B331" i="84"/>
  <c r="B332" i="84"/>
  <c r="B333" i="84"/>
  <c r="B334" i="84"/>
  <c r="B335" i="84"/>
  <c r="B336" i="84"/>
  <c r="B337" i="84"/>
  <c r="B338" i="84"/>
  <c r="B339" i="84"/>
  <c r="B340" i="84"/>
  <c r="B341" i="84"/>
  <c r="B342" i="84"/>
  <c r="B343" i="84"/>
  <c r="B344" i="84"/>
  <c r="B345" i="84"/>
  <c r="B346" i="84"/>
  <c r="B347" i="84"/>
  <c r="B348" i="84"/>
  <c r="B349" i="84"/>
  <c r="B350" i="84"/>
  <c r="B351" i="84"/>
  <c r="B352" i="84"/>
  <c r="B353" i="84"/>
  <c r="B354" i="84"/>
  <c r="B355" i="84"/>
  <c r="B356" i="84"/>
  <c r="B357" i="84"/>
  <c r="B358" i="84"/>
  <c r="B359" i="84"/>
  <c r="B360" i="84"/>
  <c r="B361" i="84"/>
  <c r="B362" i="84"/>
  <c r="B363" i="84"/>
  <c r="B364" i="84"/>
  <c r="B365" i="84"/>
  <c r="B366" i="84"/>
  <c r="B367" i="84"/>
  <c r="B368" i="84"/>
  <c r="B369" i="84"/>
  <c r="B370" i="84"/>
  <c r="B371" i="84"/>
  <c r="B372" i="84"/>
  <c r="B373" i="84"/>
  <c r="B374" i="84"/>
  <c r="B375" i="84"/>
  <c r="B376" i="84"/>
  <c r="B377" i="84"/>
  <c r="B378" i="84"/>
  <c r="B379" i="84"/>
  <c r="B380" i="84"/>
  <c r="B381" i="84"/>
  <c r="B382" i="84"/>
  <c r="B383" i="84"/>
  <c r="B384" i="84"/>
  <c r="B385" i="84"/>
  <c r="B386" i="84"/>
  <c r="B387" i="84"/>
  <c r="B388" i="84"/>
  <c r="B389" i="84"/>
  <c r="B390" i="84"/>
  <c r="B391" i="84"/>
  <c r="B392" i="84"/>
  <c r="B393" i="84"/>
  <c r="B394" i="84"/>
  <c r="B395" i="84"/>
  <c r="B396" i="84"/>
  <c r="B397" i="84"/>
  <c r="B398" i="84"/>
  <c r="B399" i="84"/>
  <c r="B400" i="84"/>
  <c r="B401" i="84"/>
  <c r="B402" i="84"/>
  <c r="B403" i="84"/>
  <c r="B404" i="84"/>
  <c r="B405" i="84"/>
  <c r="B406" i="84"/>
  <c r="B407" i="84"/>
  <c r="B408" i="84"/>
  <c r="B409" i="84"/>
  <c r="B410" i="84"/>
  <c r="B411" i="84"/>
  <c r="B412" i="84"/>
  <c r="B413" i="84"/>
  <c r="B414" i="84"/>
  <c r="B415" i="84"/>
  <c r="B416" i="84"/>
  <c r="B417" i="84"/>
  <c r="B418" i="84"/>
  <c r="B419" i="84"/>
  <c r="B420" i="84"/>
  <c r="B421" i="84"/>
  <c r="B422" i="84"/>
  <c r="B423" i="84"/>
  <c r="B424" i="84"/>
  <c r="B425" i="84"/>
  <c r="B426" i="84"/>
  <c r="B427" i="84"/>
  <c r="B428" i="84"/>
  <c r="B429" i="84"/>
  <c r="B430" i="84"/>
  <c r="B431" i="84"/>
  <c r="B432" i="84"/>
  <c r="B433" i="84"/>
  <c r="B434" i="84"/>
  <c r="B435" i="84"/>
  <c r="B436" i="84"/>
  <c r="B437" i="84"/>
  <c r="B438" i="84"/>
  <c r="B439" i="84"/>
  <c r="B440" i="84"/>
  <c r="B441" i="84"/>
  <c r="B442" i="84"/>
  <c r="B443" i="84"/>
  <c r="B444" i="84"/>
  <c r="B445" i="84"/>
  <c r="B446" i="84"/>
  <c r="B447" i="84"/>
  <c r="B448" i="84"/>
  <c r="B449" i="84"/>
  <c r="B450" i="84"/>
  <c r="B451" i="84"/>
  <c r="B452" i="84"/>
  <c r="B453" i="84"/>
  <c r="B454" i="84"/>
  <c r="B455" i="84"/>
  <c r="B456" i="84"/>
  <c r="B457" i="84"/>
  <c r="B458" i="84"/>
  <c r="B459" i="84"/>
  <c r="B460" i="84"/>
  <c r="B461" i="84"/>
  <c r="B462" i="84"/>
  <c r="B463" i="84"/>
  <c r="B464" i="84"/>
  <c r="B465" i="84"/>
  <c r="B466" i="84"/>
  <c r="B467" i="84"/>
  <c r="B468" i="84"/>
  <c r="B469" i="84"/>
  <c r="B470" i="84"/>
  <c r="B471" i="84"/>
  <c r="B472" i="84"/>
  <c r="B473" i="84"/>
  <c r="B474" i="84"/>
  <c r="B475" i="84"/>
  <c r="B476" i="84"/>
  <c r="B477" i="84"/>
  <c r="B478" i="84"/>
  <c r="B2" i="84"/>
  <c r="I29" i="28"/>
  <c r="H1089" i="2"/>
  <c r="O8" i="46"/>
  <c r="I30" i="28"/>
  <c r="H30" i="28"/>
  <c r="I1089" i="2"/>
  <c r="O139" i="44"/>
  <c r="S132" i="86" s="1"/>
  <c r="O138" i="44"/>
  <c r="S131" i="86" s="1"/>
  <c r="O137" i="44"/>
  <c r="S130" i="86" s="1"/>
  <c r="O136" i="44"/>
  <c r="S129" i="86" s="1"/>
  <c r="O135" i="44"/>
  <c r="S128" i="86" s="1"/>
  <c r="O134" i="44"/>
  <c r="S127" i="86" s="1"/>
  <c r="O133" i="44"/>
  <c r="S126" i="86" s="1"/>
  <c r="O132" i="44"/>
  <c r="S125" i="86" s="1"/>
  <c r="O131" i="44"/>
  <c r="S124" i="86" s="1"/>
  <c r="O130" i="44"/>
  <c r="S123" i="86" s="1"/>
  <c r="O129" i="44"/>
  <c r="S122" i="86" s="1"/>
  <c r="O128" i="44"/>
  <c r="S121" i="86" s="1"/>
  <c r="O127" i="44"/>
  <c r="S120" i="86" s="1"/>
  <c r="O126" i="44"/>
  <c r="S119" i="86" s="1"/>
  <c r="O125" i="44"/>
  <c r="S118" i="86" s="1"/>
  <c r="O124" i="44"/>
  <c r="S117" i="86" s="1"/>
  <c r="O123" i="44"/>
  <c r="S116" i="86" s="1"/>
  <c r="O122" i="44"/>
  <c r="S115" i="86" s="1"/>
  <c r="O121" i="44"/>
  <c r="S114" i="86" s="1"/>
  <c r="O120" i="44"/>
  <c r="S113" i="86" s="1"/>
  <c r="O119" i="44"/>
  <c r="S112" i="86" s="1"/>
  <c r="O118" i="44"/>
  <c r="S111" i="86" s="1"/>
  <c r="O117" i="44"/>
  <c r="S110" i="86" s="1"/>
  <c r="O116" i="44"/>
  <c r="S109" i="86" s="1"/>
  <c r="O115" i="44"/>
  <c r="S108" i="86" s="1"/>
  <c r="O114" i="44"/>
  <c r="S107" i="86" s="1"/>
  <c r="O113" i="44"/>
  <c r="S106" i="86" s="1"/>
  <c r="O112" i="44"/>
  <c r="S105" i="86" s="1"/>
  <c r="O111" i="44"/>
  <c r="S104" i="86" s="1"/>
  <c r="O110" i="44"/>
  <c r="S103" i="86" s="1"/>
  <c r="O109" i="44"/>
  <c r="S102" i="86" s="1"/>
  <c r="O108" i="44"/>
  <c r="S101" i="86" s="1"/>
  <c r="O107" i="44"/>
  <c r="S100" i="86" s="1"/>
  <c r="O106" i="44"/>
  <c r="S99" i="86" s="1"/>
  <c r="O105" i="44"/>
  <c r="S98" i="86" s="1"/>
  <c r="O104" i="44"/>
  <c r="S97" i="86" s="1"/>
  <c r="O103" i="44"/>
  <c r="S96" i="86" s="1"/>
  <c r="O102" i="44"/>
  <c r="S95" i="86" s="1"/>
  <c r="N99" i="44"/>
  <c r="F15" i="82" s="1"/>
  <c r="M99" i="44"/>
  <c r="Q92" i="86" s="1"/>
  <c r="L99" i="44"/>
  <c r="P92" i="86" s="1"/>
  <c r="O98" i="44"/>
  <c r="S91" i="86" s="1"/>
  <c r="O97" i="44"/>
  <c r="S90" i="86" s="1"/>
  <c r="O96" i="44"/>
  <c r="S89" i="86" s="1"/>
  <c r="O95" i="44"/>
  <c r="S88" i="86" s="1"/>
  <c r="O94" i="44"/>
  <c r="S87" i="86" s="1"/>
  <c r="O93" i="44"/>
  <c r="S86" i="86" s="1"/>
  <c r="O92" i="44"/>
  <c r="S85" i="86" s="1"/>
  <c r="O91" i="44"/>
  <c r="S84" i="86" s="1"/>
  <c r="O90" i="44"/>
  <c r="S83" i="86" s="1"/>
  <c r="O89" i="44"/>
  <c r="S82" i="86" s="1"/>
  <c r="O88" i="44"/>
  <c r="S81" i="86" s="1"/>
  <c r="O87" i="44"/>
  <c r="S80" i="86" s="1"/>
  <c r="O86" i="44"/>
  <c r="S79" i="86" s="1"/>
  <c r="O85" i="44"/>
  <c r="S78" i="86" s="1"/>
  <c r="O84" i="44"/>
  <c r="S77" i="86" s="1"/>
  <c r="O83" i="44"/>
  <c r="S76" i="86" s="1"/>
  <c r="O82" i="44"/>
  <c r="S75" i="86" s="1"/>
  <c r="O81" i="44"/>
  <c r="S74" i="86" s="1"/>
  <c r="O80" i="44"/>
  <c r="S73" i="86" s="1"/>
  <c r="O79" i="44"/>
  <c r="S72" i="86" s="1"/>
  <c r="O78" i="44"/>
  <c r="S71" i="86" s="1"/>
  <c r="O77" i="44"/>
  <c r="S70" i="86" s="1"/>
  <c r="O76" i="44"/>
  <c r="S69" i="86" s="1"/>
  <c r="O75" i="44"/>
  <c r="S68" i="86" s="1"/>
  <c r="O74" i="44"/>
  <c r="S67" i="86" s="1"/>
  <c r="O73" i="44"/>
  <c r="S66" i="86" s="1"/>
  <c r="O72" i="44"/>
  <c r="S65" i="86" s="1"/>
  <c r="O71" i="44"/>
  <c r="S64" i="86" s="1"/>
  <c r="O70" i="44"/>
  <c r="S63" i="86" s="1"/>
  <c r="O69" i="44"/>
  <c r="S62" i="86" s="1"/>
  <c r="O68" i="44"/>
  <c r="S61" i="86" s="1"/>
  <c r="O67" i="44"/>
  <c r="S60" i="86" s="1"/>
  <c r="O66" i="44"/>
  <c r="S59" i="86" s="1"/>
  <c r="O65" i="44"/>
  <c r="S58" i="86" s="1"/>
  <c r="O61" i="44"/>
  <c r="S54" i="86" s="1"/>
  <c r="O60" i="44"/>
  <c r="S53" i="86"/>
  <c r="O59" i="44"/>
  <c r="S52" i="86" s="1"/>
  <c r="O58" i="44"/>
  <c r="S51" i="86" s="1"/>
  <c r="O57" i="44"/>
  <c r="S50" i="86" s="1"/>
  <c r="O56" i="44"/>
  <c r="S49" i="86" s="1"/>
  <c r="O55" i="44"/>
  <c r="S48" i="86" s="1"/>
  <c r="O54" i="44"/>
  <c r="S47" i="86" s="1"/>
  <c r="O53" i="44"/>
  <c r="S46" i="86" s="1"/>
  <c r="O52" i="44"/>
  <c r="S45" i="86" s="1"/>
  <c r="O51" i="44"/>
  <c r="S44" i="86" s="1"/>
  <c r="O50" i="44"/>
  <c r="S43" i="86" s="1"/>
  <c r="O49" i="44"/>
  <c r="S42" i="86" s="1"/>
  <c r="O48" i="44"/>
  <c r="S41" i="86" s="1"/>
  <c r="O47" i="44"/>
  <c r="S40" i="86" s="1"/>
  <c r="O46" i="44"/>
  <c r="S39" i="86" s="1"/>
  <c r="O45" i="44"/>
  <c r="S38" i="86" s="1"/>
  <c r="O44" i="44"/>
  <c r="S37" i="86" s="1"/>
  <c r="O43" i="44"/>
  <c r="S36" i="86" s="1"/>
  <c r="O42" i="44"/>
  <c r="S35" i="86" s="1"/>
  <c r="O39" i="44"/>
  <c r="S32" i="86" s="1"/>
  <c r="O14" i="44"/>
  <c r="S7" i="86" s="1"/>
  <c r="AN964" i="2"/>
  <c r="AM964" i="2"/>
  <c r="AN963" i="2"/>
  <c r="AM963" i="2"/>
  <c r="AM962" i="2"/>
  <c r="AN961" i="2"/>
  <c r="AN960" i="2"/>
  <c r="AN958" i="2"/>
  <c r="AM958" i="2"/>
  <c r="AN957" i="2"/>
  <c r="AM957" i="2"/>
  <c r="AM956" i="2"/>
  <c r="AN955" i="2"/>
  <c r="AN954" i="2"/>
  <c r="AM953" i="2"/>
  <c r="AN952" i="2"/>
  <c r="AM951" i="2"/>
  <c r="AN950" i="2"/>
  <c r="AM950" i="2"/>
  <c r="AM949" i="2"/>
  <c r="AN948" i="2"/>
  <c r="AN946" i="2"/>
  <c r="AM946" i="2"/>
  <c r="AN945" i="2"/>
  <c r="AN942" i="2"/>
  <c r="AN941" i="2"/>
  <c r="AM941" i="2"/>
  <c r="AN940" i="2"/>
  <c r="AM940" i="2"/>
  <c r="AN939" i="2"/>
  <c r="AM939" i="2"/>
  <c r="AN938" i="2"/>
  <c r="AM938" i="2"/>
  <c r="AM937" i="2"/>
  <c r="AN936" i="2"/>
  <c r="AN934" i="2"/>
  <c r="AM934" i="2"/>
  <c r="AM933" i="2"/>
  <c r="AM932" i="2"/>
  <c r="AM931" i="2"/>
  <c r="AN930" i="2"/>
  <c r="AN928" i="2"/>
  <c r="AM928" i="2"/>
  <c r="AN927" i="2"/>
  <c r="AM927" i="2"/>
  <c r="AN926" i="2"/>
  <c r="AM926" i="2"/>
  <c r="AN924" i="2"/>
  <c r="AN922" i="2"/>
  <c r="AM922" i="2"/>
  <c r="AN921" i="2"/>
  <c r="AM921" i="2"/>
  <c r="AM920" i="2"/>
  <c r="AM919" i="2"/>
  <c r="AN918" i="2"/>
  <c r="AN916" i="2"/>
  <c r="AM916" i="2"/>
  <c r="AM914" i="2"/>
  <c r="AM911" i="2"/>
  <c r="AN910" i="2"/>
  <c r="AM910" i="2"/>
  <c r="AM909" i="2"/>
  <c r="AN907" i="2"/>
  <c r="AN906" i="2"/>
  <c r="F14" i="82"/>
  <c r="E14" i="82"/>
  <c r="D14" i="82"/>
  <c r="C14" i="82"/>
  <c r="D15" i="82"/>
  <c r="I31" i="28"/>
  <c r="H31" i="28"/>
  <c r="J1089" i="2"/>
  <c r="AN915" i="2"/>
  <c r="B18" i="26"/>
  <c r="C23" i="26"/>
  <c r="AN17" i="2" s="1"/>
  <c r="AM917" i="2"/>
  <c r="B23" i="26"/>
  <c r="AM915" i="2"/>
  <c r="AM913" i="2"/>
  <c r="B19" i="26"/>
  <c r="AN912" i="2"/>
  <c r="C18" i="26"/>
  <c r="AN12" i="2" s="1"/>
  <c r="AM908" i="2"/>
  <c r="B39" i="49"/>
  <c r="B40" i="49"/>
  <c r="B41" i="49"/>
  <c r="B42" i="49"/>
  <c r="B43" i="49"/>
  <c r="B44" i="49"/>
  <c r="B45" i="49"/>
  <c r="B46" i="49"/>
  <c r="B47" i="49"/>
  <c r="B48" i="49"/>
  <c r="D11" i="52"/>
  <c r="C11" i="52"/>
  <c r="I32" i="28"/>
  <c r="H32" i="28"/>
  <c r="K1089" i="2"/>
  <c r="I33" i="28"/>
  <c r="H33" i="28"/>
  <c r="L1089" i="2"/>
  <c r="AK1156" i="2"/>
  <c r="F1156" i="2"/>
  <c r="D1156" i="2"/>
  <c r="A1156" i="2"/>
  <c r="AK1155" i="2"/>
  <c r="F1155" i="2"/>
  <c r="D1155" i="2"/>
  <c r="A1155" i="2"/>
  <c r="AK1154" i="2"/>
  <c r="F1154" i="2"/>
  <c r="D1154" i="2"/>
  <c r="A1154" i="2"/>
  <c r="AK1153" i="2"/>
  <c r="S1153" i="2"/>
  <c r="F1153" i="2"/>
  <c r="D1153" i="2"/>
  <c r="A1153" i="2"/>
  <c r="AK1152" i="2"/>
  <c r="F1152" i="2"/>
  <c r="D1152" i="2"/>
  <c r="A1152" i="2"/>
  <c r="AK1151" i="2"/>
  <c r="S1151" i="2"/>
  <c r="F1151" i="2"/>
  <c r="D1151" i="2"/>
  <c r="A1151" i="2"/>
  <c r="AK1150" i="2"/>
  <c r="S1150" i="2"/>
  <c r="F1150" i="2"/>
  <c r="D1150" i="2"/>
  <c r="A1150" i="2"/>
  <c r="AK1149" i="2"/>
  <c r="S1149" i="2"/>
  <c r="F1149" i="2"/>
  <c r="D1149" i="2"/>
  <c r="A1149" i="2"/>
  <c r="AK1148" i="2"/>
  <c r="S1148" i="2"/>
  <c r="F1148" i="2"/>
  <c r="D1148" i="2"/>
  <c r="A1148" i="2"/>
  <c r="AK1147" i="2"/>
  <c r="S1147" i="2"/>
  <c r="F1147" i="2"/>
  <c r="D1147" i="2"/>
  <c r="A1147" i="2"/>
  <c r="AK1146" i="2"/>
  <c r="S1146" i="2"/>
  <c r="F1146" i="2"/>
  <c r="D1146" i="2"/>
  <c r="A1146" i="2"/>
  <c r="AK1145" i="2"/>
  <c r="S1145" i="2"/>
  <c r="F1145" i="2"/>
  <c r="D1145" i="2"/>
  <c r="A1145" i="2"/>
  <c r="AK1144" i="2"/>
  <c r="S1144" i="2"/>
  <c r="F1144" i="2"/>
  <c r="D1144" i="2"/>
  <c r="A1144" i="2"/>
  <c r="AK1143" i="2"/>
  <c r="S1143" i="2"/>
  <c r="F1143" i="2"/>
  <c r="D1143" i="2"/>
  <c r="A1143" i="2"/>
  <c r="AK1142" i="2"/>
  <c r="S1142" i="2"/>
  <c r="F1142" i="2"/>
  <c r="D1142" i="2"/>
  <c r="A1142" i="2"/>
  <c r="AK1141" i="2"/>
  <c r="S1141" i="2"/>
  <c r="F1141" i="2"/>
  <c r="D1141" i="2"/>
  <c r="A1141" i="2"/>
  <c r="AK1140" i="2"/>
  <c r="S1140" i="2"/>
  <c r="F1140" i="2"/>
  <c r="D1140" i="2"/>
  <c r="A1140" i="2"/>
  <c r="AK1139" i="2"/>
  <c r="S1139" i="2"/>
  <c r="F1139" i="2"/>
  <c r="D1139" i="2"/>
  <c r="A1139" i="2"/>
  <c r="AK1138" i="2"/>
  <c r="S1138" i="2"/>
  <c r="F1138" i="2"/>
  <c r="D1138" i="2"/>
  <c r="A1138" i="2"/>
  <c r="AK1137" i="2"/>
  <c r="S1137" i="2"/>
  <c r="F1137" i="2"/>
  <c r="D1137" i="2"/>
  <c r="A1137" i="2"/>
  <c r="AK1136" i="2"/>
  <c r="S1136" i="2"/>
  <c r="F1136" i="2"/>
  <c r="D1136" i="2"/>
  <c r="A1136" i="2"/>
  <c r="AK1135" i="2"/>
  <c r="S1135" i="2"/>
  <c r="F1135" i="2"/>
  <c r="D1135" i="2"/>
  <c r="A1135" i="2"/>
  <c r="AK1134" i="2"/>
  <c r="S1134" i="2"/>
  <c r="F1134" i="2"/>
  <c r="D1134" i="2"/>
  <c r="A1134" i="2"/>
  <c r="AK1133" i="2"/>
  <c r="S1133" i="2"/>
  <c r="F1133" i="2"/>
  <c r="D1133" i="2"/>
  <c r="A1133" i="2"/>
  <c r="AK1132" i="2"/>
  <c r="S1132" i="2"/>
  <c r="F1132" i="2"/>
  <c r="D1132" i="2"/>
  <c r="A1132" i="2"/>
  <c r="AK1131" i="2"/>
  <c r="F1131" i="2"/>
  <c r="D1131" i="2"/>
  <c r="A1131" i="2"/>
  <c r="AK1130" i="2"/>
  <c r="D1130" i="2"/>
  <c r="A1130" i="2"/>
  <c r="AK1129" i="2"/>
  <c r="D1129" i="2"/>
  <c r="A1129" i="2"/>
  <c r="AK1128" i="2"/>
  <c r="D1128" i="2"/>
  <c r="A1128" i="2"/>
  <c r="AK1127" i="2"/>
  <c r="D1127" i="2"/>
  <c r="A1127" i="2"/>
  <c r="AK1126" i="2"/>
  <c r="D1126" i="2"/>
  <c r="A1126" i="2"/>
  <c r="AK1125" i="2"/>
  <c r="D1125" i="2"/>
  <c r="A1125" i="2"/>
  <c r="AK1124" i="2"/>
  <c r="D1124" i="2"/>
  <c r="A1124" i="2"/>
  <c r="AK1123" i="2"/>
  <c r="D1123" i="2"/>
  <c r="A1123" i="2"/>
  <c r="AK1122" i="2"/>
  <c r="D1122" i="2"/>
  <c r="A1122" i="2"/>
  <c r="AK1121" i="2"/>
  <c r="D1121" i="2"/>
  <c r="A1121" i="2"/>
  <c r="AK1120" i="2"/>
  <c r="D1120" i="2"/>
  <c r="A1120" i="2"/>
  <c r="AK1119" i="2"/>
  <c r="D1119" i="2"/>
  <c r="A1119" i="2"/>
  <c r="AK1118" i="2"/>
  <c r="D1118" i="2"/>
  <c r="A1118" i="2"/>
  <c r="AK1117" i="2"/>
  <c r="D1117" i="2"/>
  <c r="A1117" i="2"/>
  <c r="AK1116" i="2"/>
  <c r="D1116" i="2"/>
  <c r="A1116" i="2"/>
  <c r="AK1115" i="2"/>
  <c r="D1115" i="2"/>
  <c r="A1115" i="2"/>
  <c r="AK1114" i="2"/>
  <c r="D1114" i="2"/>
  <c r="A1114" i="2"/>
  <c r="AK1113" i="2"/>
  <c r="D1113" i="2"/>
  <c r="A1113" i="2"/>
  <c r="AK1112" i="2"/>
  <c r="D1112" i="2"/>
  <c r="A1112" i="2"/>
  <c r="A1078" i="2"/>
  <c r="C1077" i="2"/>
  <c r="C1076" i="2"/>
  <c r="C1075" i="2"/>
  <c r="C1074" i="2"/>
  <c r="C1073" i="2"/>
  <c r="C1072" i="2"/>
  <c r="C1071" i="2"/>
  <c r="C1070" i="2"/>
  <c r="C1069" i="2"/>
  <c r="C1068" i="2"/>
  <c r="C1067" i="2"/>
  <c r="C1065" i="2"/>
  <c r="C1064" i="2"/>
  <c r="C1063" i="2"/>
  <c r="C1062" i="2"/>
  <c r="C1061" i="2"/>
  <c r="C1060" i="2"/>
  <c r="C1059" i="2"/>
  <c r="C1058" i="2"/>
  <c r="C1057" i="2"/>
  <c r="C1056" i="2"/>
  <c r="C1055" i="2"/>
  <c r="C1053" i="2"/>
  <c r="C1052" i="2"/>
  <c r="C1051" i="2"/>
  <c r="C1050" i="2"/>
  <c r="C1049" i="2"/>
  <c r="C1048" i="2"/>
  <c r="C1047" i="2"/>
  <c r="C1046" i="2"/>
  <c r="C1045" i="2"/>
  <c r="C1044" i="2"/>
  <c r="C1043" i="2"/>
  <c r="C1041" i="2"/>
  <c r="C1040" i="2"/>
  <c r="C1039" i="2"/>
  <c r="C1038" i="2"/>
  <c r="C1037" i="2"/>
  <c r="C1036" i="2"/>
  <c r="C1035" i="2"/>
  <c r="C1034" i="2"/>
  <c r="C1033" i="2"/>
  <c r="C1032" i="2"/>
  <c r="F1077" i="2"/>
  <c r="A1077" i="2"/>
  <c r="F1076" i="2"/>
  <c r="A1076" i="2"/>
  <c r="F1075" i="2"/>
  <c r="A1075" i="2"/>
  <c r="F1074" i="2"/>
  <c r="A1074" i="2"/>
  <c r="F1073" i="2"/>
  <c r="A1073" i="2"/>
  <c r="F1072" i="2"/>
  <c r="A1072" i="2"/>
  <c r="F1071" i="2"/>
  <c r="A1071" i="2"/>
  <c r="F1070" i="2"/>
  <c r="A1070" i="2"/>
  <c r="F1069" i="2"/>
  <c r="A1069" i="2"/>
  <c r="F1068" i="2"/>
  <c r="A1068" i="2"/>
  <c r="F1067" i="2"/>
  <c r="A1067" i="2"/>
  <c r="F1066" i="2"/>
  <c r="F1064" i="2"/>
  <c r="F1063" i="2"/>
  <c r="F1062" i="2"/>
  <c r="F1061" i="2"/>
  <c r="F1060" i="2"/>
  <c r="F1059" i="2"/>
  <c r="F1058" i="2"/>
  <c r="F1057" i="2"/>
  <c r="F1056" i="2"/>
  <c r="F1055" i="2"/>
  <c r="F1054" i="2"/>
  <c r="F1052" i="2"/>
  <c r="F1051" i="2"/>
  <c r="F1050" i="2"/>
  <c r="F1049" i="2"/>
  <c r="F1048" i="2"/>
  <c r="F1047" i="2"/>
  <c r="F1046" i="2"/>
  <c r="F1045" i="2"/>
  <c r="F1044" i="2"/>
  <c r="F1043" i="2"/>
  <c r="F1042" i="2"/>
  <c r="F1040" i="2"/>
  <c r="F1039" i="2"/>
  <c r="F1038" i="2"/>
  <c r="F1037" i="2"/>
  <c r="F1036" i="2"/>
  <c r="F1035" i="2"/>
  <c r="F1034" i="2"/>
  <c r="F1033" i="2"/>
  <c r="F1032" i="2"/>
  <c r="AH1066" i="2"/>
  <c r="AG1066" i="2"/>
  <c r="A1066" i="2"/>
  <c r="A1065" i="2"/>
  <c r="AH1064" i="2"/>
  <c r="AG1064" i="2"/>
  <c r="A1064" i="2"/>
  <c r="AH1063" i="2"/>
  <c r="AG1063" i="2"/>
  <c r="A1063" i="2"/>
  <c r="AH1062" i="2"/>
  <c r="AG1062" i="2"/>
  <c r="A1062" i="2"/>
  <c r="AH1061" i="2"/>
  <c r="AG1061" i="2"/>
  <c r="A1061" i="2"/>
  <c r="AH1060" i="2"/>
  <c r="AG1060" i="2"/>
  <c r="A1060" i="2"/>
  <c r="AH1059" i="2"/>
  <c r="AG1059" i="2"/>
  <c r="A1059" i="2"/>
  <c r="AH1058" i="2"/>
  <c r="AG1058" i="2"/>
  <c r="A1058" i="2"/>
  <c r="AH1057" i="2"/>
  <c r="AG1057" i="2"/>
  <c r="A1057" i="2"/>
  <c r="AH1056" i="2"/>
  <c r="AG1056" i="2"/>
  <c r="A1056" i="2"/>
  <c r="AH1055" i="2"/>
  <c r="AG1055" i="2"/>
  <c r="A1055" i="2"/>
  <c r="AH1054" i="2"/>
  <c r="AG1054" i="2"/>
  <c r="A1054" i="2"/>
  <c r="A1053" i="2"/>
  <c r="AH1052" i="2"/>
  <c r="AG1052" i="2"/>
  <c r="A1052" i="2"/>
  <c r="AH1051" i="2"/>
  <c r="AG1051" i="2"/>
  <c r="A1051" i="2"/>
  <c r="AH1050" i="2"/>
  <c r="AG1050" i="2"/>
  <c r="A1050" i="2"/>
  <c r="AH1049" i="2"/>
  <c r="AG1049" i="2"/>
  <c r="A1049" i="2"/>
  <c r="AH1048" i="2"/>
  <c r="AG1048" i="2"/>
  <c r="A1048" i="2"/>
  <c r="AH1047" i="2"/>
  <c r="AG1047" i="2"/>
  <c r="A1047" i="2"/>
  <c r="AH1046" i="2"/>
  <c r="AG1046" i="2"/>
  <c r="A1046" i="2"/>
  <c r="AH1045" i="2"/>
  <c r="AG1045" i="2"/>
  <c r="A1045" i="2"/>
  <c r="AH1044" i="2"/>
  <c r="AG1044" i="2"/>
  <c r="A1044" i="2"/>
  <c r="AH1043" i="2"/>
  <c r="AG1043" i="2"/>
  <c r="A1043" i="2"/>
  <c r="AH1042" i="2"/>
  <c r="AG1042" i="2"/>
  <c r="A1042" i="2"/>
  <c r="A1041" i="2"/>
  <c r="AH1040" i="2"/>
  <c r="AG1040" i="2"/>
  <c r="A1040" i="2"/>
  <c r="AH1039" i="2"/>
  <c r="AG1039" i="2"/>
  <c r="A1039" i="2"/>
  <c r="AH1038" i="2"/>
  <c r="AG1038" i="2"/>
  <c r="A1038" i="2"/>
  <c r="AH1037" i="2"/>
  <c r="AG1037" i="2"/>
  <c r="A1037" i="2"/>
  <c r="AH1036" i="2"/>
  <c r="AG1036" i="2"/>
  <c r="A1036" i="2"/>
  <c r="AH1035" i="2"/>
  <c r="AG1035" i="2"/>
  <c r="A1035" i="2"/>
  <c r="AH1034" i="2"/>
  <c r="AG1034" i="2"/>
  <c r="A1034" i="2"/>
  <c r="AH1033" i="2"/>
  <c r="AG1033" i="2"/>
  <c r="A1033" i="2"/>
  <c r="AH1032" i="2"/>
  <c r="AG1032" i="2"/>
  <c r="A1032" i="2"/>
  <c r="AQ976" i="2"/>
  <c r="AP976" i="2"/>
  <c r="AO976" i="2"/>
  <c r="AK976" i="2"/>
  <c r="F976" i="2"/>
  <c r="D976" i="2"/>
  <c r="C976" i="2"/>
  <c r="A976" i="2"/>
  <c r="AQ975" i="2"/>
  <c r="AP975" i="2"/>
  <c r="AO975" i="2"/>
  <c r="AK975" i="2"/>
  <c r="F975" i="2"/>
  <c r="D975" i="2"/>
  <c r="C975" i="2"/>
  <c r="A975" i="2"/>
  <c r="AQ974" i="2"/>
  <c r="AP974" i="2"/>
  <c r="AO974" i="2"/>
  <c r="AK974" i="2"/>
  <c r="F974" i="2"/>
  <c r="D974" i="2"/>
  <c r="C974" i="2"/>
  <c r="A974" i="2"/>
  <c r="AQ973" i="2"/>
  <c r="AP973" i="2"/>
  <c r="AO973" i="2"/>
  <c r="AK973" i="2"/>
  <c r="F973" i="2"/>
  <c r="D973" i="2"/>
  <c r="C973" i="2"/>
  <c r="A973" i="2"/>
  <c r="AQ972" i="2"/>
  <c r="AP972" i="2"/>
  <c r="AO972" i="2"/>
  <c r="AK972" i="2"/>
  <c r="F972" i="2"/>
  <c r="D972" i="2"/>
  <c r="C972" i="2"/>
  <c r="A972" i="2"/>
  <c r="AQ971" i="2"/>
  <c r="AP971" i="2"/>
  <c r="AO971" i="2"/>
  <c r="AK971" i="2"/>
  <c r="F971" i="2"/>
  <c r="D971" i="2"/>
  <c r="C971" i="2"/>
  <c r="A971" i="2"/>
  <c r="AQ970" i="2"/>
  <c r="AP970" i="2"/>
  <c r="AO970" i="2"/>
  <c r="AK970" i="2"/>
  <c r="F970" i="2"/>
  <c r="D970" i="2"/>
  <c r="C970" i="2"/>
  <c r="A970" i="2"/>
  <c r="AQ969" i="2"/>
  <c r="AP969" i="2"/>
  <c r="AO969" i="2"/>
  <c r="AK969" i="2"/>
  <c r="F969" i="2"/>
  <c r="D969" i="2"/>
  <c r="C969" i="2"/>
  <c r="A969" i="2"/>
  <c r="AQ968" i="2"/>
  <c r="AP968" i="2"/>
  <c r="AO968" i="2"/>
  <c r="AK968" i="2"/>
  <c r="F968" i="2"/>
  <c r="D968" i="2"/>
  <c r="C968" i="2"/>
  <c r="A968" i="2"/>
  <c r="AQ967" i="2"/>
  <c r="AP967" i="2"/>
  <c r="AO967" i="2"/>
  <c r="AK967" i="2"/>
  <c r="C967" i="2"/>
  <c r="D967" i="2"/>
  <c r="F967" i="2"/>
  <c r="A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N841" i="2"/>
  <c r="AM841" i="2"/>
  <c r="AN840" i="2"/>
  <c r="AM840" i="2"/>
  <c r="AN839" i="2"/>
  <c r="AM839" i="2"/>
  <c r="AN838" i="2"/>
  <c r="AM838" i="2"/>
  <c r="AN837" i="2"/>
  <c r="AM837" i="2"/>
  <c r="AN836" i="2"/>
  <c r="AM836" i="2"/>
  <c r="AN835" i="2"/>
  <c r="AM835" i="2"/>
  <c r="AN834" i="2"/>
  <c r="AM834" i="2"/>
  <c r="AN833" i="2"/>
  <c r="AM833" i="2"/>
  <c r="AN832" i="2"/>
  <c r="AM832" i="2"/>
  <c r="AN831" i="2"/>
  <c r="AM831" i="2"/>
  <c r="AN830" i="2"/>
  <c r="AM830" i="2"/>
  <c r="AN829" i="2"/>
  <c r="AM829" i="2"/>
  <c r="AN828" i="2"/>
  <c r="AM828" i="2"/>
  <c r="AN827" i="2"/>
  <c r="AM827" i="2"/>
  <c r="AN826" i="2"/>
  <c r="AM826" i="2"/>
  <c r="AN825" i="2"/>
  <c r="AM825" i="2"/>
  <c r="AN824" i="2"/>
  <c r="AM824" i="2"/>
  <c r="AN823" i="2"/>
  <c r="AM823" i="2"/>
  <c r="AN822" i="2"/>
  <c r="AM822" i="2"/>
  <c r="AN821" i="2"/>
  <c r="AM821" i="2"/>
  <c r="AN820" i="2"/>
  <c r="AM820" i="2"/>
  <c r="AN819" i="2"/>
  <c r="AM819" i="2"/>
  <c r="AN818" i="2"/>
  <c r="AM818" i="2"/>
  <c r="AN817" i="2"/>
  <c r="AM817" i="2"/>
  <c r="AN816" i="2"/>
  <c r="AM816" i="2"/>
  <c r="AN815" i="2"/>
  <c r="AM815" i="2"/>
  <c r="AN814" i="2"/>
  <c r="AM814" i="2"/>
  <c r="AN813" i="2"/>
  <c r="AM813" i="2"/>
  <c r="AN812" i="2"/>
  <c r="AM812" i="2"/>
  <c r="AN811" i="2"/>
  <c r="AM811" i="2"/>
  <c r="AN810" i="2"/>
  <c r="AM810" i="2"/>
  <c r="AN809" i="2"/>
  <c r="AM809" i="2"/>
  <c r="AN808" i="2"/>
  <c r="AM808" i="2"/>
  <c r="AN807" i="2"/>
  <c r="AM807" i="2"/>
  <c r="AN806" i="2"/>
  <c r="AM806" i="2"/>
  <c r="AN805" i="2"/>
  <c r="AM805" i="2"/>
  <c r="AN804" i="2"/>
  <c r="AM804" i="2"/>
  <c r="AN803" i="2"/>
  <c r="AM803" i="2"/>
  <c r="AN802" i="2"/>
  <c r="AM802" i="2"/>
  <c r="AN801" i="2"/>
  <c r="AM801" i="2"/>
  <c r="AN800" i="2"/>
  <c r="AM800" i="2"/>
  <c r="AN799" i="2"/>
  <c r="AM799" i="2"/>
  <c r="AN798" i="2"/>
  <c r="AM798" i="2"/>
  <c r="AN797" i="2"/>
  <c r="AM797" i="2"/>
  <c r="AN796" i="2"/>
  <c r="AM796" i="2"/>
  <c r="AN795" i="2"/>
  <c r="AM795" i="2"/>
  <c r="AN794" i="2"/>
  <c r="AM794" i="2"/>
  <c r="AN793" i="2"/>
  <c r="AM793" i="2"/>
  <c r="AN792" i="2"/>
  <c r="AM792" i="2"/>
  <c r="AN791" i="2"/>
  <c r="AM791" i="2"/>
  <c r="AN790" i="2"/>
  <c r="AM790" i="2"/>
  <c r="AN789" i="2"/>
  <c r="AM789" i="2"/>
  <c r="AN788" i="2"/>
  <c r="AM788" i="2"/>
  <c r="AN787" i="2"/>
  <c r="AM787" i="2"/>
  <c r="AN786" i="2"/>
  <c r="AM786" i="2"/>
  <c r="AN785" i="2"/>
  <c r="AM785" i="2"/>
  <c r="AN784" i="2"/>
  <c r="AM784" i="2"/>
  <c r="AN783" i="2"/>
  <c r="AM783" i="2"/>
  <c r="AN782" i="2"/>
  <c r="AM782" i="2"/>
  <c r="AN781" i="2"/>
  <c r="AM781" i="2"/>
  <c r="AN779" i="2"/>
  <c r="AM779" i="2"/>
  <c r="AN778" i="2"/>
  <c r="AM778" i="2"/>
  <c r="AN777" i="2"/>
  <c r="AM777" i="2"/>
  <c r="AN776" i="2"/>
  <c r="AM776" i="2"/>
  <c r="AN775" i="2"/>
  <c r="AM775" i="2"/>
  <c r="AN774" i="2"/>
  <c r="AM774" i="2"/>
  <c r="AN773" i="2"/>
  <c r="AM773" i="2"/>
  <c r="AN772" i="2"/>
  <c r="AM772" i="2"/>
  <c r="AN771" i="2"/>
  <c r="AM771" i="2"/>
  <c r="AN770" i="2"/>
  <c r="AM770" i="2"/>
  <c r="AN769" i="2"/>
  <c r="AM769" i="2"/>
  <c r="AN768" i="2"/>
  <c r="AM768" i="2"/>
  <c r="AN767" i="2"/>
  <c r="AM767" i="2"/>
  <c r="AN766" i="2"/>
  <c r="AM766" i="2"/>
  <c r="AN765" i="2"/>
  <c r="AM765" i="2"/>
  <c r="AN764" i="2"/>
  <c r="AM764" i="2"/>
  <c r="AN763" i="2"/>
  <c r="AM763" i="2"/>
  <c r="AN762" i="2"/>
  <c r="AM762" i="2"/>
  <c r="AN761" i="2"/>
  <c r="AM761" i="2"/>
  <c r="AN760" i="2"/>
  <c r="AM760" i="2"/>
  <c r="AN759" i="2"/>
  <c r="AM759" i="2"/>
  <c r="AN758" i="2"/>
  <c r="AM758" i="2"/>
  <c r="AN757" i="2"/>
  <c r="AM757" i="2"/>
  <c r="AN756" i="2"/>
  <c r="AM756" i="2"/>
  <c r="AN755" i="2"/>
  <c r="AM755" i="2"/>
  <c r="AN754" i="2"/>
  <c r="AM754" i="2"/>
  <c r="AN753" i="2"/>
  <c r="AM753" i="2"/>
  <c r="AN752" i="2"/>
  <c r="AM752" i="2"/>
  <c r="AN751" i="2"/>
  <c r="AM751" i="2"/>
  <c r="AN750" i="2"/>
  <c r="AM750" i="2"/>
  <c r="AN749" i="2"/>
  <c r="AM749" i="2"/>
  <c r="AN748" i="2"/>
  <c r="AM748" i="2"/>
  <c r="AN747" i="2"/>
  <c r="AM747" i="2"/>
  <c r="AN746" i="2"/>
  <c r="AM746" i="2"/>
  <c r="AN745" i="2"/>
  <c r="AM745" i="2"/>
  <c r="AN744" i="2"/>
  <c r="AM744" i="2"/>
  <c r="AN743" i="2"/>
  <c r="AM743" i="2"/>
  <c r="AN742" i="2"/>
  <c r="AM742" i="2"/>
  <c r="AN741" i="2"/>
  <c r="AM741" i="2"/>
  <c r="AN740" i="2"/>
  <c r="AM740" i="2"/>
  <c r="AN739" i="2"/>
  <c r="AM739" i="2"/>
  <c r="AN738" i="2"/>
  <c r="AM738" i="2"/>
  <c r="AN737" i="2"/>
  <c r="AM737" i="2"/>
  <c r="AN736" i="2"/>
  <c r="AM736" i="2"/>
  <c r="AN735" i="2"/>
  <c r="AM735" i="2"/>
  <c r="AN734" i="2"/>
  <c r="AM734" i="2"/>
  <c r="AN733" i="2"/>
  <c r="AM733" i="2"/>
  <c r="AN732" i="2"/>
  <c r="AM732" i="2"/>
  <c r="AN731" i="2"/>
  <c r="AM731" i="2"/>
  <c r="AN730" i="2"/>
  <c r="AM730" i="2"/>
  <c r="AN729" i="2"/>
  <c r="AM729" i="2"/>
  <c r="AN728" i="2"/>
  <c r="AM728" i="2"/>
  <c r="AN727" i="2"/>
  <c r="AM727" i="2"/>
  <c r="AN726" i="2"/>
  <c r="AM726" i="2"/>
  <c r="AN725" i="2"/>
  <c r="AM725" i="2"/>
  <c r="AN724" i="2"/>
  <c r="AM724" i="2"/>
  <c r="AN723" i="2"/>
  <c r="AM723" i="2"/>
  <c r="AN722" i="2"/>
  <c r="AM722" i="2"/>
  <c r="AN721" i="2"/>
  <c r="AM721" i="2"/>
  <c r="AN720" i="2"/>
  <c r="AM720" i="2"/>
  <c r="AN719" i="2"/>
  <c r="AM719" i="2"/>
  <c r="AN717" i="2"/>
  <c r="AM717" i="2"/>
  <c r="AN716" i="2"/>
  <c r="AM716" i="2"/>
  <c r="AN715" i="2"/>
  <c r="AM715" i="2"/>
  <c r="AN714" i="2"/>
  <c r="AM714" i="2"/>
  <c r="AN713" i="2"/>
  <c r="AM713" i="2"/>
  <c r="AN712" i="2"/>
  <c r="AM712" i="2"/>
  <c r="AN711" i="2"/>
  <c r="AM711" i="2"/>
  <c r="AN710" i="2"/>
  <c r="AM710" i="2"/>
  <c r="AN709" i="2"/>
  <c r="AM709" i="2"/>
  <c r="AN708" i="2"/>
  <c r="AM708" i="2"/>
  <c r="AN707" i="2"/>
  <c r="AM707" i="2"/>
  <c r="AN706" i="2"/>
  <c r="AM706" i="2"/>
  <c r="AN705" i="2"/>
  <c r="AM705" i="2"/>
  <c r="AN704" i="2"/>
  <c r="AM704" i="2"/>
  <c r="AN703" i="2"/>
  <c r="AM703" i="2"/>
  <c r="AN702" i="2"/>
  <c r="AM702" i="2"/>
  <c r="AN701" i="2"/>
  <c r="AM701" i="2"/>
  <c r="AN700" i="2"/>
  <c r="AM700" i="2"/>
  <c r="AN699" i="2"/>
  <c r="AM699" i="2"/>
  <c r="AN698" i="2"/>
  <c r="AM698" i="2"/>
  <c r="AN697" i="2"/>
  <c r="AM697" i="2"/>
  <c r="AN696" i="2"/>
  <c r="AM696" i="2"/>
  <c r="AN695" i="2"/>
  <c r="AM695" i="2"/>
  <c r="AN694" i="2"/>
  <c r="AM694" i="2"/>
  <c r="AN693" i="2"/>
  <c r="AM693" i="2"/>
  <c r="AN692" i="2"/>
  <c r="AM692" i="2"/>
  <c r="AN691" i="2"/>
  <c r="AM691" i="2"/>
  <c r="AN690" i="2"/>
  <c r="AM690" i="2"/>
  <c r="AN689" i="2"/>
  <c r="AM689" i="2"/>
  <c r="AN688" i="2"/>
  <c r="AM688" i="2"/>
  <c r="AN687" i="2"/>
  <c r="AM687" i="2"/>
  <c r="AN686" i="2"/>
  <c r="AM686" i="2"/>
  <c r="AN685" i="2"/>
  <c r="AM685" i="2"/>
  <c r="AN684" i="2"/>
  <c r="AM684" i="2"/>
  <c r="AN683" i="2"/>
  <c r="AM683" i="2"/>
  <c r="AN682" i="2"/>
  <c r="AM682" i="2"/>
  <c r="AN681" i="2"/>
  <c r="AM681" i="2"/>
  <c r="AN680" i="2"/>
  <c r="AM680" i="2"/>
  <c r="AN679" i="2"/>
  <c r="AM679" i="2"/>
  <c r="AN678" i="2"/>
  <c r="AM678" i="2"/>
  <c r="AN677" i="2"/>
  <c r="AM677" i="2"/>
  <c r="AN676" i="2"/>
  <c r="AM676" i="2"/>
  <c r="AN675" i="2"/>
  <c r="AM675" i="2"/>
  <c r="AN674" i="2"/>
  <c r="AM674" i="2"/>
  <c r="AN673" i="2"/>
  <c r="AM673" i="2"/>
  <c r="AN672" i="2"/>
  <c r="AM672" i="2"/>
  <c r="AN671" i="2"/>
  <c r="AM671" i="2"/>
  <c r="AN670" i="2"/>
  <c r="AM670" i="2"/>
  <c r="AN669" i="2"/>
  <c r="AM669" i="2"/>
  <c r="AN668" i="2"/>
  <c r="AM668" i="2"/>
  <c r="AN667" i="2"/>
  <c r="AM667" i="2"/>
  <c r="AN666" i="2"/>
  <c r="AM666" i="2"/>
  <c r="AN665" i="2"/>
  <c r="AM665" i="2"/>
  <c r="AN664" i="2"/>
  <c r="AM664" i="2"/>
  <c r="AN663" i="2"/>
  <c r="AM663" i="2"/>
  <c r="AN662" i="2"/>
  <c r="AM662" i="2"/>
  <c r="AN661" i="2"/>
  <c r="AM661" i="2"/>
  <c r="AN660" i="2"/>
  <c r="AM660" i="2"/>
  <c r="AN659" i="2"/>
  <c r="AM659" i="2"/>
  <c r="AN658" i="2"/>
  <c r="AM658" i="2"/>
  <c r="AN657" i="2"/>
  <c r="AM657" i="2"/>
  <c r="AN655" i="2"/>
  <c r="AM655" i="2"/>
  <c r="AN654" i="2"/>
  <c r="AM654" i="2"/>
  <c r="AN653" i="2"/>
  <c r="AM653" i="2"/>
  <c r="AN652" i="2"/>
  <c r="AM652" i="2"/>
  <c r="AN651" i="2"/>
  <c r="AM651" i="2"/>
  <c r="AN650" i="2"/>
  <c r="AM650" i="2"/>
  <c r="AN649" i="2"/>
  <c r="AM649" i="2"/>
  <c r="AN648" i="2"/>
  <c r="AM648" i="2"/>
  <c r="AN647" i="2"/>
  <c r="AM647" i="2"/>
  <c r="AN646" i="2"/>
  <c r="AM646" i="2"/>
  <c r="AN645" i="2"/>
  <c r="AM645" i="2"/>
  <c r="AN644" i="2"/>
  <c r="AM644" i="2"/>
  <c r="AN643" i="2"/>
  <c r="AM643" i="2"/>
  <c r="AN642" i="2"/>
  <c r="AM642" i="2"/>
  <c r="AN641" i="2"/>
  <c r="AM641" i="2"/>
  <c r="AN640" i="2"/>
  <c r="AM640" i="2"/>
  <c r="AN639" i="2"/>
  <c r="AM639" i="2"/>
  <c r="AN638" i="2"/>
  <c r="AM638" i="2"/>
  <c r="AN637" i="2"/>
  <c r="AM637" i="2"/>
  <c r="AN636" i="2"/>
  <c r="AM636" i="2"/>
  <c r="AN635" i="2"/>
  <c r="AM635" i="2"/>
  <c r="AN634" i="2"/>
  <c r="AM634" i="2"/>
  <c r="AN633" i="2"/>
  <c r="AM633" i="2"/>
  <c r="AN632" i="2"/>
  <c r="AM632" i="2"/>
  <c r="AN631" i="2"/>
  <c r="AM631" i="2"/>
  <c r="AN630" i="2"/>
  <c r="AM630" i="2"/>
  <c r="AN629" i="2"/>
  <c r="AM629" i="2"/>
  <c r="AN628" i="2"/>
  <c r="AM628" i="2"/>
  <c r="AN627" i="2"/>
  <c r="AM627" i="2"/>
  <c r="AN626" i="2"/>
  <c r="AM626" i="2"/>
  <c r="AN625" i="2"/>
  <c r="AM625" i="2"/>
  <c r="AN624" i="2"/>
  <c r="AM624" i="2"/>
  <c r="AN623" i="2"/>
  <c r="AM623" i="2"/>
  <c r="AN622" i="2"/>
  <c r="AM622" i="2"/>
  <c r="AN621" i="2"/>
  <c r="AM621" i="2"/>
  <c r="AN620" i="2"/>
  <c r="AM620" i="2"/>
  <c r="AN619" i="2"/>
  <c r="AM619" i="2"/>
  <c r="AN618" i="2"/>
  <c r="AM618" i="2"/>
  <c r="AN617" i="2"/>
  <c r="AM617" i="2"/>
  <c r="AN616" i="2"/>
  <c r="AM616" i="2"/>
  <c r="AN615" i="2"/>
  <c r="AM615" i="2"/>
  <c r="AN614" i="2"/>
  <c r="AM614" i="2"/>
  <c r="AN613" i="2"/>
  <c r="AM613" i="2"/>
  <c r="AN612" i="2"/>
  <c r="AM612" i="2"/>
  <c r="AN611" i="2"/>
  <c r="AM611" i="2"/>
  <c r="AN610" i="2"/>
  <c r="AM610" i="2"/>
  <c r="AN609" i="2"/>
  <c r="AM609" i="2"/>
  <c r="AN608" i="2"/>
  <c r="AM608" i="2"/>
  <c r="AN607" i="2"/>
  <c r="AM607" i="2"/>
  <c r="AN606" i="2"/>
  <c r="AM606" i="2"/>
  <c r="AN605" i="2"/>
  <c r="AM605" i="2"/>
  <c r="AN604" i="2"/>
  <c r="AM604" i="2"/>
  <c r="AN603" i="2"/>
  <c r="AM603" i="2"/>
  <c r="AN602" i="2"/>
  <c r="AM602" i="2"/>
  <c r="AN601" i="2"/>
  <c r="AM601" i="2"/>
  <c r="AN600" i="2"/>
  <c r="AM600" i="2"/>
  <c r="AN599" i="2"/>
  <c r="AM599" i="2"/>
  <c r="AN598" i="2"/>
  <c r="AM598" i="2"/>
  <c r="AN597" i="2"/>
  <c r="AM597" i="2"/>
  <c r="AN596" i="2"/>
  <c r="AM596" i="2"/>
  <c r="AN595" i="2"/>
  <c r="AM595" i="2"/>
  <c r="AN593" i="2"/>
  <c r="AM593" i="2"/>
  <c r="AN592" i="2"/>
  <c r="AM592" i="2"/>
  <c r="AN591" i="2"/>
  <c r="AM591" i="2"/>
  <c r="AN590" i="2"/>
  <c r="AM590" i="2"/>
  <c r="AN589" i="2"/>
  <c r="AM589" i="2"/>
  <c r="AN588" i="2"/>
  <c r="AM588" i="2"/>
  <c r="AN587" i="2"/>
  <c r="AM587" i="2"/>
  <c r="AN586" i="2"/>
  <c r="AM586" i="2"/>
  <c r="AN585" i="2"/>
  <c r="AM585" i="2"/>
  <c r="AN584" i="2"/>
  <c r="AM584" i="2"/>
  <c r="AN583" i="2"/>
  <c r="AM583" i="2"/>
  <c r="AN582" i="2"/>
  <c r="AM582" i="2"/>
  <c r="AN581" i="2"/>
  <c r="AM581" i="2"/>
  <c r="AN580" i="2"/>
  <c r="AM580" i="2"/>
  <c r="AN579" i="2"/>
  <c r="AM579" i="2"/>
  <c r="AN578" i="2"/>
  <c r="AM578" i="2"/>
  <c r="AN577" i="2"/>
  <c r="AM577" i="2"/>
  <c r="AN576" i="2"/>
  <c r="AM576" i="2"/>
  <c r="AN575" i="2"/>
  <c r="AM575" i="2"/>
  <c r="AN574" i="2"/>
  <c r="AM574" i="2"/>
  <c r="AN573" i="2"/>
  <c r="AM573" i="2"/>
  <c r="AN572" i="2"/>
  <c r="AM572" i="2"/>
  <c r="AN571" i="2"/>
  <c r="AM571" i="2"/>
  <c r="AN570" i="2"/>
  <c r="AM570" i="2"/>
  <c r="AN569" i="2"/>
  <c r="AM569" i="2"/>
  <c r="AN568" i="2"/>
  <c r="AM568" i="2"/>
  <c r="AN567" i="2"/>
  <c r="AM567" i="2"/>
  <c r="AN566" i="2"/>
  <c r="AM566" i="2"/>
  <c r="AN565" i="2"/>
  <c r="AM565" i="2"/>
  <c r="AN564" i="2"/>
  <c r="AM564" i="2"/>
  <c r="AN563" i="2"/>
  <c r="AM563" i="2"/>
  <c r="AN562" i="2"/>
  <c r="AM562" i="2"/>
  <c r="AN561" i="2"/>
  <c r="AM561" i="2"/>
  <c r="AN560" i="2"/>
  <c r="AM560" i="2"/>
  <c r="AN559" i="2"/>
  <c r="AM559" i="2"/>
  <c r="AN558" i="2"/>
  <c r="AM558" i="2"/>
  <c r="AN557" i="2"/>
  <c r="AM557" i="2"/>
  <c r="AN556" i="2"/>
  <c r="AM556" i="2"/>
  <c r="AN555" i="2"/>
  <c r="AM555" i="2"/>
  <c r="AN554" i="2"/>
  <c r="AM554" i="2"/>
  <c r="AN553" i="2"/>
  <c r="AM553" i="2"/>
  <c r="AN552" i="2"/>
  <c r="AM552" i="2"/>
  <c r="AN551" i="2"/>
  <c r="AM551" i="2"/>
  <c r="AN550" i="2"/>
  <c r="AM550" i="2"/>
  <c r="AN549" i="2"/>
  <c r="AM549" i="2"/>
  <c r="AN548" i="2"/>
  <c r="AM548" i="2"/>
  <c r="AN547" i="2"/>
  <c r="AM547" i="2"/>
  <c r="AN546" i="2"/>
  <c r="AM546" i="2"/>
  <c r="AN545" i="2"/>
  <c r="AM545" i="2"/>
  <c r="AN544" i="2"/>
  <c r="AM544" i="2"/>
  <c r="AN543" i="2"/>
  <c r="AM543" i="2"/>
  <c r="AN542" i="2"/>
  <c r="AM542" i="2"/>
  <c r="AN541" i="2"/>
  <c r="AM541" i="2"/>
  <c r="AN540" i="2"/>
  <c r="AM540" i="2"/>
  <c r="AN539" i="2"/>
  <c r="AM539" i="2"/>
  <c r="AN538" i="2"/>
  <c r="AM538" i="2"/>
  <c r="AN537" i="2"/>
  <c r="AM537" i="2"/>
  <c r="AN536" i="2"/>
  <c r="AM536" i="2"/>
  <c r="AN535" i="2"/>
  <c r="AM535" i="2"/>
  <c r="AN534" i="2"/>
  <c r="AM534" i="2"/>
  <c r="AN533" i="2"/>
  <c r="AM533" i="2"/>
  <c r="AN531" i="2"/>
  <c r="AM531" i="2"/>
  <c r="AN530" i="2"/>
  <c r="AM530" i="2"/>
  <c r="AN529" i="2"/>
  <c r="AM529" i="2"/>
  <c r="AN528" i="2"/>
  <c r="AM528" i="2"/>
  <c r="AN527" i="2"/>
  <c r="AM527" i="2"/>
  <c r="AN526" i="2"/>
  <c r="AM526" i="2"/>
  <c r="AN525" i="2"/>
  <c r="AM525" i="2"/>
  <c r="AN524" i="2"/>
  <c r="AM524" i="2"/>
  <c r="AN523" i="2"/>
  <c r="AM523" i="2"/>
  <c r="AN522" i="2"/>
  <c r="AM522" i="2"/>
  <c r="AN521" i="2"/>
  <c r="AM521" i="2"/>
  <c r="AN520" i="2"/>
  <c r="AM520" i="2"/>
  <c r="AN519" i="2"/>
  <c r="AM519" i="2"/>
  <c r="AN518" i="2"/>
  <c r="AM518" i="2"/>
  <c r="AN517" i="2"/>
  <c r="AM517" i="2"/>
  <c r="AN516" i="2"/>
  <c r="AM516" i="2"/>
  <c r="AN515" i="2"/>
  <c r="AM515" i="2"/>
  <c r="AN514" i="2"/>
  <c r="AM514" i="2"/>
  <c r="AN513" i="2"/>
  <c r="AM513" i="2"/>
  <c r="AN512" i="2"/>
  <c r="AM512" i="2"/>
  <c r="AN511" i="2"/>
  <c r="AM511" i="2"/>
  <c r="AN510" i="2"/>
  <c r="AM510" i="2"/>
  <c r="AN509" i="2"/>
  <c r="AM509" i="2"/>
  <c r="AN508" i="2"/>
  <c r="AM508" i="2"/>
  <c r="AN507" i="2"/>
  <c r="AM507" i="2"/>
  <c r="AN506" i="2"/>
  <c r="AM506" i="2"/>
  <c r="AN505" i="2"/>
  <c r="AM505" i="2"/>
  <c r="AN504" i="2"/>
  <c r="AM504" i="2"/>
  <c r="AN503" i="2"/>
  <c r="AM503" i="2"/>
  <c r="AN502" i="2"/>
  <c r="AM502" i="2"/>
  <c r="AN501" i="2"/>
  <c r="AM501" i="2"/>
  <c r="AN500" i="2"/>
  <c r="AM500" i="2"/>
  <c r="AN499" i="2"/>
  <c r="AM499" i="2"/>
  <c r="AN498" i="2"/>
  <c r="AM498" i="2"/>
  <c r="AN497" i="2"/>
  <c r="AM497" i="2"/>
  <c r="AN496" i="2"/>
  <c r="AM496" i="2"/>
  <c r="AN495" i="2"/>
  <c r="AM495" i="2"/>
  <c r="AN494" i="2"/>
  <c r="AM494" i="2"/>
  <c r="AN493" i="2"/>
  <c r="AM493" i="2"/>
  <c r="AN492" i="2"/>
  <c r="AM492" i="2"/>
  <c r="AN491" i="2"/>
  <c r="AM491" i="2"/>
  <c r="AN490" i="2"/>
  <c r="AM490" i="2"/>
  <c r="AN489" i="2"/>
  <c r="AM489" i="2"/>
  <c r="AN488" i="2"/>
  <c r="AM488" i="2"/>
  <c r="AN487" i="2"/>
  <c r="AM487" i="2"/>
  <c r="AN486" i="2"/>
  <c r="AM486" i="2"/>
  <c r="AN485" i="2"/>
  <c r="AM485" i="2"/>
  <c r="AN484" i="2"/>
  <c r="AM484" i="2"/>
  <c r="AN483" i="2"/>
  <c r="AM483" i="2"/>
  <c r="AN482" i="2"/>
  <c r="AM482" i="2"/>
  <c r="AN481" i="2"/>
  <c r="AM481" i="2"/>
  <c r="AN480" i="2"/>
  <c r="AM480" i="2"/>
  <c r="AN479" i="2"/>
  <c r="AM479" i="2"/>
  <c r="AN478" i="2"/>
  <c r="AM478" i="2"/>
  <c r="AN477" i="2"/>
  <c r="AM477" i="2"/>
  <c r="AN476" i="2"/>
  <c r="AM476" i="2"/>
  <c r="AN475" i="2"/>
  <c r="AM475" i="2"/>
  <c r="AN474" i="2"/>
  <c r="AM474" i="2"/>
  <c r="AN473" i="2"/>
  <c r="AM473" i="2"/>
  <c r="AN472" i="2"/>
  <c r="AM472" i="2"/>
  <c r="AN471" i="2"/>
  <c r="AM471" i="2"/>
  <c r="AN469" i="2"/>
  <c r="AM469" i="2"/>
  <c r="AN468" i="2"/>
  <c r="AM468" i="2"/>
  <c r="AN467" i="2"/>
  <c r="AM467" i="2"/>
  <c r="AN466" i="2"/>
  <c r="AM466" i="2"/>
  <c r="AN465" i="2"/>
  <c r="AM465" i="2"/>
  <c r="AN464" i="2"/>
  <c r="AM464" i="2"/>
  <c r="AN463" i="2"/>
  <c r="AM463" i="2"/>
  <c r="AN462" i="2"/>
  <c r="AM462" i="2"/>
  <c r="AN461" i="2"/>
  <c r="AM461" i="2"/>
  <c r="AN460" i="2"/>
  <c r="AM460" i="2"/>
  <c r="AN459" i="2"/>
  <c r="AM459" i="2"/>
  <c r="AN458" i="2"/>
  <c r="AM458" i="2"/>
  <c r="AN457" i="2"/>
  <c r="AM457" i="2"/>
  <c r="AN456" i="2"/>
  <c r="AM456" i="2"/>
  <c r="AN455" i="2"/>
  <c r="AM455" i="2"/>
  <c r="AN454" i="2"/>
  <c r="AM454" i="2"/>
  <c r="AN453" i="2"/>
  <c r="AM453" i="2"/>
  <c r="AN452" i="2"/>
  <c r="AM452" i="2"/>
  <c r="AN451" i="2"/>
  <c r="AM451" i="2"/>
  <c r="AN450" i="2"/>
  <c r="AM450" i="2"/>
  <c r="AN449" i="2"/>
  <c r="AM449" i="2"/>
  <c r="AN448" i="2"/>
  <c r="AM448" i="2"/>
  <c r="AN447" i="2"/>
  <c r="AM447" i="2"/>
  <c r="AN446" i="2"/>
  <c r="AM446" i="2"/>
  <c r="AN445" i="2"/>
  <c r="AM445" i="2"/>
  <c r="AN444" i="2"/>
  <c r="AM444" i="2"/>
  <c r="AN443" i="2"/>
  <c r="AM443" i="2"/>
  <c r="AN442" i="2"/>
  <c r="AM442" i="2"/>
  <c r="AN441" i="2"/>
  <c r="AM441" i="2"/>
  <c r="AN440" i="2"/>
  <c r="AM440" i="2"/>
  <c r="AN439" i="2"/>
  <c r="AM439" i="2"/>
  <c r="AN438" i="2"/>
  <c r="AM438" i="2"/>
  <c r="AN437" i="2"/>
  <c r="AM437" i="2"/>
  <c r="AN436" i="2"/>
  <c r="AM436" i="2"/>
  <c r="AN435" i="2"/>
  <c r="AM435" i="2"/>
  <c r="AN434" i="2"/>
  <c r="AM434" i="2"/>
  <c r="AN433" i="2"/>
  <c r="AM433" i="2"/>
  <c r="AN432" i="2"/>
  <c r="AM432" i="2"/>
  <c r="AN431" i="2"/>
  <c r="AM431" i="2"/>
  <c r="AN430" i="2"/>
  <c r="AM430" i="2"/>
  <c r="AN429" i="2"/>
  <c r="AM429" i="2"/>
  <c r="AN428" i="2"/>
  <c r="AM428" i="2"/>
  <c r="AN427" i="2"/>
  <c r="AM427" i="2"/>
  <c r="AN426" i="2"/>
  <c r="AM426" i="2"/>
  <c r="AN425" i="2"/>
  <c r="AM425" i="2"/>
  <c r="AN424" i="2"/>
  <c r="AM424" i="2"/>
  <c r="AN423" i="2"/>
  <c r="AM423" i="2"/>
  <c r="AN422" i="2"/>
  <c r="AM422" i="2"/>
  <c r="AN421" i="2"/>
  <c r="AM421" i="2"/>
  <c r="AN420" i="2"/>
  <c r="AM420" i="2"/>
  <c r="AN419" i="2"/>
  <c r="AM419" i="2"/>
  <c r="AN418" i="2"/>
  <c r="AM418" i="2"/>
  <c r="AN417" i="2"/>
  <c r="AM417" i="2"/>
  <c r="AN416" i="2"/>
  <c r="AM416" i="2"/>
  <c r="AN415" i="2"/>
  <c r="AM415" i="2"/>
  <c r="AN414" i="2"/>
  <c r="AM414" i="2"/>
  <c r="AN413" i="2"/>
  <c r="AM413" i="2"/>
  <c r="AN412" i="2"/>
  <c r="AM412" i="2"/>
  <c r="AN411" i="2"/>
  <c r="AM411" i="2"/>
  <c r="AN410" i="2"/>
  <c r="AM410" i="2"/>
  <c r="AN409" i="2"/>
  <c r="AM409" i="2"/>
  <c r="AN407" i="2"/>
  <c r="AM407" i="2"/>
  <c r="AN406" i="2"/>
  <c r="AM406" i="2"/>
  <c r="AN405" i="2"/>
  <c r="AM405" i="2"/>
  <c r="AN404" i="2"/>
  <c r="AM404" i="2"/>
  <c r="AN403" i="2"/>
  <c r="AM403" i="2"/>
  <c r="AN402" i="2"/>
  <c r="AM402" i="2"/>
  <c r="AN401" i="2"/>
  <c r="AM401" i="2"/>
  <c r="AN400" i="2"/>
  <c r="AM400" i="2"/>
  <c r="AN399" i="2"/>
  <c r="AM399" i="2"/>
  <c r="AN398" i="2"/>
  <c r="AM398" i="2"/>
  <c r="AN397" i="2"/>
  <c r="AM397" i="2"/>
  <c r="AN396" i="2"/>
  <c r="AM396" i="2"/>
  <c r="AN395" i="2"/>
  <c r="AM395" i="2"/>
  <c r="AN394" i="2"/>
  <c r="AM394" i="2"/>
  <c r="AN393" i="2"/>
  <c r="AM393" i="2"/>
  <c r="AN392" i="2"/>
  <c r="AM392" i="2"/>
  <c r="AN391" i="2"/>
  <c r="AM391" i="2"/>
  <c r="AN390" i="2"/>
  <c r="AM390" i="2"/>
  <c r="AN389" i="2"/>
  <c r="AM389" i="2"/>
  <c r="AN388" i="2"/>
  <c r="AM388" i="2"/>
  <c r="AN387" i="2"/>
  <c r="AM387" i="2"/>
  <c r="AN386" i="2"/>
  <c r="AM386" i="2"/>
  <c r="AN385" i="2"/>
  <c r="AM385" i="2"/>
  <c r="AN384" i="2"/>
  <c r="AM384" i="2"/>
  <c r="AN383" i="2"/>
  <c r="AM383" i="2"/>
  <c r="AN382" i="2"/>
  <c r="AM382" i="2"/>
  <c r="AN381" i="2"/>
  <c r="AM381" i="2"/>
  <c r="AN380" i="2"/>
  <c r="AM380" i="2"/>
  <c r="AN379" i="2"/>
  <c r="AM379" i="2"/>
  <c r="AN378" i="2"/>
  <c r="AM378" i="2"/>
  <c r="AN377" i="2"/>
  <c r="AM377" i="2"/>
  <c r="AN376" i="2"/>
  <c r="AM376" i="2"/>
  <c r="AN375" i="2"/>
  <c r="AM375" i="2"/>
  <c r="AN374" i="2"/>
  <c r="AM374" i="2"/>
  <c r="AN373" i="2"/>
  <c r="AM373" i="2"/>
  <c r="AN372" i="2"/>
  <c r="AM372" i="2"/>
  <c r="AN371" i="2"/>
  <c r="AM371" i="2"/>
  <c r="AN370" i="2"/>
  <c r="AM370" i="2"/>
  <c r="AN369" i="2"/>
  <c r="AM369" i="2"/>
  <c r="AN368" i="2"/>
  <c r="AM368" i="2"/>
  <c r="AN367" i="2"/>
  <c r="AM367" i="2"/>
  <c r="AN366" i="2"/>
  <c r="AM366" i="2"/>
  <c r="AN365" i="2"/>
  <c r="AM365" i="2"/>
  <c r="AN364" i="2"/>
  <c r="AM364" i="2"/>
  <c r="AN363" i="2"/>
  <c r="AM363" i="2"/>
  <c r="AN362" i="2"/>
  <c r="AM362" i="2"/>
  <c r="AN361" i="2"/>
  <c r="AM361" i="2"/>
  <c r="AN360" i="2"/>
  <c r="AM360" i="2"/>
  <c r="AN359" i="2"/>
  <c r="AM359" i="2"/>
  <c r="AN358" i="2"/>
  <c r="AM358" i="2"/>
  <c r="AN357" i="2"/>
  <c r="AM357" i="2"/>
  <c r="AN356" i="2"/>
  <c r="AM356" i="2"/>
  <c r="AN355" i="2"/>
  <c r="AM355" i="2"/>
  <c r="AN354" i="2"/>
  <c r="AM354" i="2"/>
  <c r="AN353" i="2"/>
  <c r="AM353" i="2"/>
  <c r="AN352" i="2"/>
  <c r="AM352" i="2"/>
  <c r="AN351" i="2"/>
  <c r="AM351" i="2"/>
  <c r="AN350" i="2"/>
  <c r="AM350" i="2"/>
  <c r="AN349" i="2"/>
  <c r="AM349" i="2"/>
  <c r="AN348" i="2"/>
  <c r="AM348" i="2"/>
  <c r="AN347" i="2"/>
  <c r="AM347" i="2"/>
  <c r="AN345" i="2"/>
  <c r="AM345" i="2"/>
  <c r="AN344" i="2"/>
  <c r="AM344" i="2"/>
  <c r="AN343" i="2"/>
  <c r="AM343" i="2"/>
  <c r="AN342" i="2"/>
  <c r="AM342" i="2"/>
  <c r="AN341" i="2"/>
  <c r="AM341" i="2"/>
  <c r="AN340" i="2"/>
  <c r="AM340" i="2"/>
  <c r="AN339" i="2"/>
  <c r="AM339" i="2"/>
  <c r="AN338" i="2"/>
  <c r="AM338" i="2"/>
  <c r="AN337" i="2"/>
  <c r="AM337" i="2"/>
  <c r="AN336" i="2"/>
  <c r="AM336" i="2"/>
  <c r="AN335" i="2"/>
  <c r="AM335" i="2"/>
  <c r="AN334" i="2"/>
  <c r="AM334" i="2"/>
  <c r="AN333" i="2"/>
  <c r="AM333" i="2"/>
  <c r="AN332" i="2"/>
  <c r="AM332" i="2"/>
  <c r="AN331" i="2"/>
  <c r="AM331" i="2"/>
  <c r="AN330" i="2"/>
  <c r="AM330" i="2"/>
  <c r="AN329" i="2"/>
  <c r="AM329" i="2"/>
  <c r="AN328" i="2"/>
  <c r="AM328" i="2"/>
  <c r="AN327" i="2"/>
  <c r="AM327" i="2"/>
  <c r="AN326" i="2"/>
  <c r="AM326" i="2"/>
  <c r="AN325" i="2"/>
  <c r="AM325" i="2"/>
  <c r="AN324" i="2"/>
  <c r="AM324" i="2"/>
  <c r="AN323" i="2"/>
  <c r="AM323" i="2"/>
  <c r="AN322" i="2"/>
  <c r="AM322" i="2"/>
  <c r="AN321" i="2"/>
  <c r="AM321" i="2"/>
  <c r="AN320" i="2"/>
  <c r="AM320" i="2"/>
  <c r="AN319" i="2"/>
  <c r="AM319" i="2"/>
  <c r="AN318" i="2"/>
  <c r="AM318" i="2"/>
  <c r="AN317" i="2"/>
  <c r="AM317" i="2"/>
  <c r="AN316" i="2"/>
  <c r="AM316" i="2"/>
  <c r="AN315" i="2"/>
  <c r="AM315" i="2"/>
  <c r="AN314" i="2"/>
  <c r="AM314" i="2"/>
  <c r="AN313" i="2"/>
  <c r="AM313" i="2"/>
  <c r="AN312" i="2"/>
  <c r="AM312" i="2"/>
  <c r="AN311" i="2"/>
  <c r="AM311" i="2"/>
  <c r="AN310" i="2"/>
  <c r="AM310" i="2"/>
  <c r="AN309" i="2"/>
  <c r="AM309" i="2"/>
  <c r="AN308" i="2"/>
  <c r="AM308" i="2"/>
  <c r="AN307" i="2"/>
  <c r="AM307" i="2"/>
  <c r="AN306" i="2"/>
  <c r="AM306" i="2"/>
  <c r="AN305" i="2"/>
  <c r="AM305" i="2"/>
  <c r="AN304" i="2"/>
  <c r="AM304" i="2"/>
  <c r="AN303" i="2"/>
  <c r="AM303" i="2"/>
  <c r="AN302" i="2"/>
  <c r="AM302" i="2"/>
  <c r="AN301" i="2"/>
  <c r="AM301" i="2"/>
  <c r="AN300" i="2"/>
  <c r="AM300" i="2"/>
  <c r="AN299" i="2"/>
  <c r="AM299" i="2"/>
  <c r="AN298" i="2"/>
  <c r="AM298" i="2"/>
  <c r="AN297" i="2"/>
  <c r="AM297" i="2"/>
  <c r="AN296" i="2"/>
  <c r="AM296" i="2"/>
  <c r="AN295" i="2"/>
  <c r="AM295" i="2"/>
  <c r="AN294" i="2"/>
  <c r="AM294" i="2"/>
  <c r="AN293" i="2"/>
  <c r="AM293" i="2"/>
  <c r="AN292" i="2"/>
  <c r="AM292" i="2"/>
  <c r="AN291" i="2"/>
  <c r="AM291" i="2"/>
  <c r="AN290" i="2"/>
  <c r="AM290" i="2"/>
  <c r="AN289" i="2"/>
  <c r="AM289" i="2"/>
  <c r="AN288" i="2"/>
  <c r="AM288" i="2"/>
  <c r="AN287" i="2"/>
  <c r="AM287" i="2"/>
  <c r="AN286" i="2"/>
  <c r="AM286" i="2"/>
  <c r="AN285" i="2"/>
  <c r="AM285" i="2"/>
  <c r="AN283" i="2"/>
  <c r="AM283" i="2"/>
  <c r="AN282" i="2"/>
  <c r="AM282" i="2"/>
  <c r="AN281" i="2"/>
  <c r="AM281" i="2"/>
  <c r="AN280" i="2"/>
  <c r="AM280" i="2"/>
  <c r="AN279" i="2"/>
  <c r="AM279" i="2"/>
  <c r="AN278" i="2"/>
  <c r="AM278" i="2"/>
  <c r="AN277" i="2"/>
  <c r="AM277" i="2"/>
  <c r="AN276" i="2"/>
  <c r="AM276" i="2"/>
  <c r="AN275" i="2"/>
  <c r="AM275" i="2"/>
  <c r="AN274" i="2"/>
  <c r="AM274" i="2"/>
  <c r="AN273" i="2"/>
  <c r="AM273" i="2"/>
  <c r="AN272" i="2"/>
  <c r="AM272" i="2"/>
  <c r="AN271" i="2"/>
  <c r="AM271" i="2"/>
  <c r="AN270" i="2"/>
  <c r="AM270" i="2"/>
  <c r="AN269" i="2"/>
  <c r="AM269" i="2"/>
  <c r="AN268" i="2"/>
  <c r="AM268" i="2"/>
  <c r="AN267" i="2"/>
  <c r="AM267" i="2"/>
  <c r="AN266" i="2"/>
  <c r="AM266" i="2"/>
  <c r="AN265" i="2"/>
  <c r="AM265" i="2"/>
  <c r="AN264" i="2"/>
  <c r="AM264" i="2"/>
  <c r="AN263" i="2"/>
  <c r="AM263" i="2"/>
  <c r="AN262" i="2"/>
  <c r="AM262" i="2"/>
  <c r="AN261" i="2"/>
  <c r="AM261" i="2"/>
  <c r="AN260" i="2"/>
  <c r="AM260" i="2"/>
  <c r="AN259" i="2"/>
  <c r="AM259" i="2"/>
  <c r="AN258" i="2"/>
  <c r="AM258" i="2"/>
  <c r="AN257" i="2"/>
  <c r="AM257" i="2"/>
  <c r="AN256" i="2"/>
  <c r="AM256" i="2"/>
  <c r="AN255" i="2"/>
  <c r="AM255" i="2"/>
  <c r="AN254" i="2"/>
  <c r="AM254" i="2"/>
  <c r="AN253" i="2"/>
  <c r="AM253" i="2"/>
  <c r="AN252" i="2"/>
  <c r="AM252" i="2"/>
  <c r="AN251" i="2"/>
  <c r="AM251" i="2"/>
  <c r="AN250" i="2"/>
  <c r="AM250" i="2"/>
  <c r="AN249" i="2"/>
  <c r="AM249" i="2"/>
  <c r="AN248" i="2"/>
  <c r="AM248" i="2"/>
  <c r="AN247" i="2"/>
  <c r="AM247" i="2"/>
  <c r="AN246" i="2"/>
  <c r="AM246" i="2"/>
  <c r="AN245" i="2"/>
  <c r="AM245" i="2"/>
  <c r="AN244" i="2"/>
  <c r="AM244" i="2"/>
  <c r="AN243" i="2"/>
  <c r="AM243" i="2"/>
  <c r="AN242" i="2"/>
  <c r="AM242" i="2"/>
  <c r="AN241" i="2"/>
  <c r="AM241" i="2"/>
  <c r="AN240" i="2"/>
  <c r="AM240" i="2"/>
  <c r="AN239" i="2"/>
  <c r="AM239" i="2"/>
  <c r="AN238" i="2"/>
  <c r="AM238" i="2"/>
  <c r="AN237" i="2"/>
  <c r="AM237" i="2"/>
  <c r="AN236" i="2"/>
  <c r="AM236" i="2"/>
  <c r="AN235" i="2"/>
  <c r="AM235" i="2"/>
  <c r="AN234" i="2"/>
  <c r="AM234" i="2"/>
  <c r="AN233" i="2"/>
  <c r="AM233" i="2"/>
  <c r="AN232" i="2"/>
  <c r="AM232" i="2"/>
  <c r="AN231" i="2"/>
  <c r="AM231" i="2"/>
  <c r="AN230" i="2"/>
  <c r="AM230" i="2"/>
  <c r="AN229" i="2"/>
  <c r="AM229" i="2"/>
  <c r="AN228" i="2"/>
  <c r="AM228" i="2"/>
  <c r="AN227" i="2"/>
  <c r="AM227" i="2"/>
  <c r="AN226" i="2"/>
  <c r="AM226" i="2"/>
  <c r="AN225" i="2"/>
  <c r="AM225" i="2"/>
  <c r="AN224" i="2"/>
  <c r="AM224" i="2"/>
  <c r="AN223" i="2"/>
  <c r="AM22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A347" i="2"/>
  <c r="A348" i="2"/>
  <c r="F347" i="2"/>
  <c r="F346" i="2"/>
  <c r="A346" i="2"/>
  <c r="F345" i="2"/>
  <c r="A345" i="2"/>
  <c r="F344" i="2"/>
  <c r="A344" i="2"/>
  <c r="F343" i="2"/>
  <c r="A343" i="2"/>
  <c r="F342" i="2"/>
  <c r="A342" i="2"/>
  <c r="F341" i="2"/>
  <c r="A341" i="2"/>
  <c r="F340" i="2"/>
  <c r="A340" i="2"/>
  <c r="F339" i="2"/>
  <c r="A339" i="2"/>
  <c r="F338" i="2"/>
  <c r="A338" i="2"/>
  <c r="F337" i="2"/>
  <c r="A337" i="2"/>
  <c r="F336" i="2"/>
  <c r="A336" i="2"/>
  <c r="F335" i="2"/>
  <c r="A335" i="2"/>
  <c r="F334" i="2"/>
  <c r="A334" i="2"/>
  <c r="F333" i="2"/>
  <c r="A333" i="2"/>
  <c r="F332" i="2"/>
  <c r="A332" i="2"/>
  <c r="F331" i="2"/>
  <c r="A331" i="2"/>
  <c r="F330" i="2"/>
  <c r="A330" i="2"/>
  <c r="F329" i="2"/>
  <c r="A329" i="2"/>
  <c r="F328" i="2"/>
  <c r="A328" i="2"/>
  <c r="F327" i="2"/>
  <c r="A327" i="2"/>
  <c r="F326" i="2"/>
  <c r="A326" i="2"/>
  <c r="F325" i="2"/>
  <c r="A325" i="2"/>
  <c r="F324" i="2"/>
  <c r="A324" i="2"/>
  <c r="F323" i="2"/>
  <c r="A323" i="2"/>
  <c r="F322" i="2"/>
  <c r="A322" i="2"/>
  <c r="F321" i="2"/>
  <c r="A321" i="2"/>
  <c r="F320" i="2"/>
  <c r="A320" i="2"/>
  <c r="F319" i="2"/>
  <c r="A319" i="2"/>
  <c r="F318" i="2"/>
  <c r="A318" i="2"/>
  <c r="F317" i="2"/>
  <c r="A317" i="2"/>
  <c r="F316" i="2"/>
  <c r="A316" i="2"/>
  <c r="F315" i="2"/>
  <c r="A315" i="2"/>
  <c r="F314" i="2"/>
  <c r="A314" i="2"/>
  <c r="F313" i="2"/>
  <c r="A313" i="2"/>
  <c r="F312" i="2"/>
  <c r="A312" i="2"/>
  <c r="F311" i="2"/>
  <c r="A311" i="2"/>
  <c r="F310" i="2"/>
  <c r="A310" i="2"/>
  <c r="F309" i="2"/>
  <c r="A309" i="2"/>
  <c r="F308" i="2"/>
  <c r="A308" i="2"/>
  <c r="F307" i="2"/>
  <c r="A307" i="2"/>
  <c r="F306" i="2"/>
  <c r="A306" i="2"/>
  <c r="F305" i="2"/>
  <c r="A305" i="2"/>
  <c r="F304" i="2"/>
  <c r="A304" i="2"/>
  <c r="F303" i="2"/>
  <c r="A303" i="2"/>
  <c r="F302" i="2"/>
  <c r="A302" i="2"/>
  <c r="F301" i="2"/>
  <c r="A301" i="2"/>
  <c r="F300" i="2"/>
  <c r="A300" i="2"/>
  <c r="F299" i="2"/>
  <c r="A299" i="2"/>
  <c r="F298" i="2"/>
  <c r="A298" i="2"/>
  <c r="F297" i="2"/>
  <c r="A297" i="2"/>
  <c r="F296" i="2"/>
  <c r="A296" i="2"/>
  <c r="F295" i="2"/>
  <c r="A295" i="2"/>
  <c r="F294" i="2"/>
  <c r="A294" i="2"/>
  <c r="F293" i="2"/>
  <c r="A293" i="2"/>
  <c r="F292" i="2"/>
  <c r="A292" i="2"/>
  <c r="F291" i="2"/>
  <c r="A291" i="2"/>
  <c r="F290" i="2"/>
  <c r="A290" i="2"/>
  <c r="F289" i="2"/>
  <c r="A289" i="2"/>
  <c r="F288" i="2"/>
  <c r="A288" i="2"/>
  <c r="F287" i="2"/>
  <c r="A287" i="2"/>
  <c r="F286" i="2"/>
  <c r="A286" i="2"/>
  <c r="A285" i="2"/>
  <c r="F284" i="2"/>
  <c r="D284" i="2"/>
  <c r="D346" i="2" s="1"/>
  <c r="D408" i="2" s="1"/>
  <c r="D470" i="2" s="1"/>
  <c r="D532" i="2" s="1"/>
  <c r="D594" i="2" s="1"/>
  <c r="D656" i="2" s="1"/>
  <c r="D718" i="2" s="1"/>
  <c r="D780" i="2" s="1"/>
  <c r="D842" i="2" s="1"/>
  <c r="D966" i="2" s="1"/>
  <c r="C284" i="2"/>
  <c r="C346" i="2" s="1"/>
  <c r="C408" i="2" s="1"/>
  <c r="C470" i="2" s="1"/>
  <c r="C532" i="2" s="1"/>
  <c r="C594" i="2" s="1"/>
  <c r="C656" i="2" s="1"/>
  <c r="C718" i="2" s="1"/>
  <c r="C780" i="2" s="1"/>
  <c r="C842" i="2" s="1"/>
  <c r="A284" i="2"/>
  <c r="F283" i="2"/>
  <c r="D283" i="2"/>
  <c r="D345" i="2" s="1"/>
  <c r="D407" i="2" s="1"/>
  <c r="D469" i="2" s="1"/>
  <c r="D531" i="2" s="1"/>
  <c r="D593" i="2" s="1"/>
  <c r="D655" i="2" s="1"/>
  <c r="D717" i="2" s="1"/>
  <c r="D779" i="2" s="1"/>
  <c r="D841" i="2" s="1"/>
  <c r="C283" i="2"/>
  <c r="C345" i="2" s="1"/>
  <c r="C407" i="2" s="1"/>
  <c r="C469" i="2" s="1"/>
  <c r="C531" i="2" s="1"/>
  <c r="C593" i="2" s="1"/>
  <c r="C655" i="2" s="1"/>
  <c r="C717" i="2" s="1"/>
  <c r="C779" i="2" s="1"/>
  <c r="C841" i="2" s="1"/>
  <c r="C903" i="2" s="1"/>
  <c r="A283" i="2"/>
  <c r="F282" i="2"/>
  <c r="D282" i="2"/>
  <c r="D344" i="2" s="1"/>
  <c r="D406" i="2" s="1"/>
  <c r="D468" i="2" s="1"/>
  <c r="D530" i="2" s="1"/>
  <c r="D592" i="2" s="1"/>
  <c r="D654" i="2" s="1"/>
  <c r="D716" i="2" s="1"/>
  <c r="D778" i="2" s="1"/>
  <c r="D840" i="2" s="1"/>
  <c r="C282" i="2"/>
  <c r="C344" i="2" s="1"/>
  <c r="C406" i="2" s="1"/>
  <c r="C468" i="2" s="1"/>
  <c r="C530" i="2" s="1"/>
  <c r="C592" i="2" s="1"/>
  <c r="C654" i="2" s="1"/>
  <c r="C716" i="2" s="1"/>
  <c r="C778" i="2" s="1"/>
  <c r="C840" i="2" s="1"/>
  <c r="C964" i="2" s="1"/>
  <c r="A282" i="2"/>
  <c r="F281" i="2"/>
  <c r="D281" i="2"/>
  <c r="D343" i="2" s="1"/>
  <c r="D405" i="2" s="1"/>
  <c r="D467" i="2" s="1"/>
  <c r="D529" i="2" s="1"/>
  <c r="D591" i="2" s="1"/>
  <c r="D653" i="2" s="1"/>
  <c r="D715" i="2" s="1"/>
  <c r="D777" i="2" s="1"/>
  <c r="D839" i="2" s="1"/>
  <c r="C281" i="2"/>
  <c r="C343" i="2" s="1"/>
  <c r="C405" i="2" s="1"/>
  <c r="C467" i="2" s="1"/>
  <c r="C529" i="2" s="1"/>
  <c r="C591" i="2" s="1"/>
  <c r="C653" i="2" s="1"/>
  <c r="C715" i="2" s="1"/>
  <c r="C777" i="2" s="1"/>
  <c r="C839" i="2" s="1"/>
  <c r="C963" i="2" s="1"/>
  <c r="A281" i="2"/>
  <c r="F280" i="2"/>
  <c r="D280" i="2"/>
  <c r="D342" i="2" s="1"/>
  <c r="D404" i="2" s="1"/>
  <c r="D466" i="2" s="1"/>
  <c r="D528" i="2" s="1"/>
  <c r="D590" i="2" s="1"/>
  <c r="D652" i="2" s="1"/>
  <c r="D714" i="2" s="1"/>
  <c r="D776" i="2" s="1"/>
  <c r="D838" i="2" s="1"/>
  <c r="C280" i="2"/>
  <c r="C342" i="2" s="1"/>
  <c r="C404" i="2" s="1"/>
  <c r="C466" i="2" s="1"/>
  <c r="C528" i="2" s="1"/>
  <c r="C590" i="2"/>
  <c r="C652" i="2" s="1"/>
  <c r="C714" i="2" s="1"/>
  <c r="C776" i="2" s="1"/>
  <c r="C838" i="2" s="1"/>
  <c r="A280" i="2"/>
  <c r="F279" i="2"/>
  <c r="D279" i="2"/>
  <c r="D341" i="2" s="1"/>
  <c r="D403" i="2"/>
  <c r="D465" i="2" s="1"/>
  <c r="D527" i="2" s="1"/>
  <c r="D589" i="2" s="1"/>
  <c r="D651" i="2" s="1"/>
  <c r="D713" i="2" s="1"/>
  <c r="D775" i="2" s="1"/>
  <c r="D837" i="2" s="1"/>
  <c r="C279" i="2"/>
  <c r="C341" i="2" s="1"/>
  <c r="C403" i="2" s="1"/>
  <c r="C465" i="2" s="1"/>
  <c r="C527" i="2" s="1"/>
  <c r="C589" i="2" s="1"/>
  <c r="C651" i="2" s="1"/>
  <c r="C713" i="2" s="1"/>
  <c r="C775" i="2" s="1"/>
  <c r="C837" i="2" s="1"/>
  <c r="A279" i="2"/>
  <c r="F278" i="2"/>
  <c r="D278" i="2"/>
  <c r="D340" i="2" s="1"/>
  <c r="D402" i="2" s="1"/>
  <c r="D464" i="2" s="1"/>
  <c r="D526" i="2" s="1"/>
  <c r="D588" i="2" s="1"/>
  <c r="D650" i="2" s="1"/>
  <c r="D712" i="2" s="1"/>
  <c r="D774" i="2" s="1"/>
  <c r="D836" i="2" s="1"/>
  <c r="D960" i="2" s="1"/>
  <c r="C278" i="2"/>
  <c r="C340" i="2" s="1"/>
  <c r="C402" i="2" s="1"/>
  <c r="C464" i="2" s="1"/>
  <c r="C526" i="2" s="1"/>
  <c r="C588" i="2" s="1"/>
  <c r="C650" i="2" s="1"/>
  <c r="C712" i="2" s="1"/>
  <c r="C774" i="2" s="1"/>
  <c r="C836" i="2" s="1"/>
  <c r="A278" i="2"/>
  <c r="F277" i="2"/>
  <c r="D277" i="2"/>
  <c r="D339" i="2" s="1"/>
  <c r="D401" i="2" s="1"/>
  <c r="D463" i="2" s="1"/>
  <c r="D525" i="2" s="1"/>
  <c r="D587" i="2" s="1"/>
  <c r="D649" i="2" s="1"/>
  <c r="D711" i="2" s="1"/>
  <c r="D773" i="2" s="1"/>
  <c r="D835" i="2" s="1"/>
  <c r="D897" i="2" s="1"/>
  <c r="C277" i="2"/>
  <c r="C339" i="2" s="1"/>
  <c r="C401" i="2" s="1"/>
  <c r="C463" i="2" s="1"/>
  <c r="C525" i="2" s="1"/>
  <c r="C587" i="2" s="1"/>
  <c r="C649" i="2" s="1"/>
  <c r="C711" i="2" s="1"/>
  <c r="C773" i="2" s="1"/>
  <c r="C835" i="2" s="1"/>
  <c r="C897" i="2" s="1"/>
  <c r="A277" i="2"/>
  <c r="F276" i="2"/>
  <c r="D276" i="2"/>
  <c r="D338" i="2" s="1"/>
  <c r="D400" i="2" s="1"/>
  <c r="D462" i="2" s="1"/>
  <c r="D524" i="2" s="1"/>
  <c r="D586" i="2" s="1"/>
  <c r="D648" i="2" s="1"/>
  <c r="D710" i="2" s="1"/>
  <c r="D772" i="2" s="1"/>
  <c r="D834" i="2" s="1"/>
  <c r="C276" i="2"/>
  <c r="C338" i="2" s="1"/>
  <c r="C400" i="2" s="1"/>
  <c r="C462" i="2" s="1"/>
  <c r="C524" i="2" s="1"/>
  <c r="C586" i="2" s="1"/>
  <c r="C648" i="2" s="1"/>
  <c r="C710" i="2" s="1"/>
  <c r="C772" i="2" s="1"/>
  <c r="C834" i="2" s="1"/>
  <c r="C958" i="2" s="1"/>
  <c r="A276" i="2"/>
  <c r="F275" i="2"/>
  <c r="D275" i="2"/>
  <c r="D337" i="2" s="1"/>
  <c r="D399" i="2" s="1"/>
  <c r="D461" i="2" s="1"/>
  <c r="D523" i="2" s="1"/>
  <c r="D585" i="2" s="1"/>
  <c r="D647" i="2" s="1"/>
  <c r="D709" i="2" s="1"/>
  <c r="D771" i="2" s="1"/>
  <c r="D833" i="2" s="1"/>
  <c r="C275" i="2"/>
  <c r="C337" i="2" s="1"/>
  <c r="C399" i="2" s="1"/>
  <c r="C461" i="2" s="1"/>
  <c r="C523" i="2" s="1"/>
  <c r="C585" i="2" s="1"/>
  <c r="C647" i="2" s="1"/>
  <c r="C709" i="2" s="1"/>
  <c r="C771" i="2" s="1"/>
  <c r="C833" i="2" s="1"/>
  <c r="A275" i="2"/>
  <c r="F274" i="2"/>
  <c r="D274" i="2"/>
  <c r="D336" i="2" s="1"/>
  <c r="D398" i="2" s="1"/>
  <c r="D460" i="2" s="1"/>
  <c r="D522" i="2" s="1"/>
  <c r="D584" i="2" s="1"/>
  <c r="D646" i="2" s="1"/>
  <c r="D708" i="2" s="1"/>
  <c r="D770" i="2" s="1"/>
  <c r="D832" i="2" s="1"/>
  <c r="C274" i="2"/>
  <c r="C336" i="2" s="1"/>
  <c r="C398" i="2" s="1"/>
  <c r="C460" i="2" s="1"/>
  <c r="C522" i="2" s="1"/>
  <c r="C584" i="2" s="1"/>
  <c r="C646" i="2" s="1"/>
  <c r="C708" i="2" s="1"/>
  <c r="C770" i="2" s="1"/>
  <c r="C832" i="2" s="1"/>
  <c r="A274" i="2"/>
  <c r="F273" i="2"/>
  <c r="D273" i="2"/>
  <c r="D335" i="2" s="1"/>
  <c r="D397" i="2" s="1"/>
  <c r="D459" i="2" s="1"/>
  <c r="D521" i="2" s="1"/>
  <c r="D583" i="2" s="1"/>
  <c r="D645" i="2" s="1"/>
  <c r="D707" i="2" s="1"/>
  <c r="D769" i="2" s="1"/>
  <c r="D831" i="2" s="1"/>
  <c r="C273" i="2"/>
  <c r="C335" i="2" s="1"/>
  <c r="C397" i="2" s="1"/>
  <c r="C459" i="2" s="1"/>
  <c r="C521" i="2" s="1"/>
  <c r="C583" i="2" s="1"/>
  <c r="C645" i="2" s="1"/>
  <c r="C707" i="2" s="1"/>
  <c r="C769" i="2" s="1"/>
  <c r="C831" i="2" s="1"/>
  <c r="A273" i="2"/>
  <c r="F272" i="2"/>
  <c r="D272" i="2"/>
  <c r="D334" i="2" s="1"/>
  <c r="D396" i="2" s="1"/>
  <c r="D458" i="2" s="1"/>
  <c r="D520" i="2" s="1"/>
  <c r="D582" i="2" s="1"/>
  <c r="D644" i="2" s="1"/>
  <c r="D706" i="2" s="1"/>
  <c r="D768" i="2" s="1"/>
  <c r="D830" i="2" s="1"/>
  <c r="C272" i="2"/>
  <c r="C334" i="2" s="1"/>
  <c r="C396" i="2" s="1"/>
  <c r="C458" i="2" s="1"/>
  <c r="C520" i="2" s="1"/>
  <c r="C582" i="2" s="1"/>
  <c r="C644" i="2" s="1"/>
  <c r="C706" i="2" s="1"/>
  <c r="C768" i="2" s="1"/>
  <c r="C830" i="2" s="1"/>
  <c r="C892" i="2" s="1"/>
  <c r="A272" i="2"/>
  <c r="F271" i="2"/>
  <c r="D271" i="2"/>
  <c r="D333" i="2" s="1"/>
  <c r="D395" i="2" s="1"/>
  <c r="D457" i="2" s="1"/>
  <c r="D519" i="2" s="1"/>
  <c r="D581" i="2" s="1"/>
  <c r="D643" i="2" s="1"/>
  <c r="D705" i="2" s="1"/>
  <c r="D767" i="2" s="1"/>
  <c r="D829" i="2" s="1"/>
  <c r="C271" i="2"/>
  <c r="C333" i="2" s="1"/>
  <c r="C395" i="2" s="1"/>
  <c r="C457" i="2" s="1"/>
  <c r="C519" i="2" s="1"/>
  <c r="C581" i="2" s="1"/>
  <c r="C643" i="2" s="1"/>
  <c r="C705" i="2" s="1"/>
  <c r="C767" i="2" s="1"/>
  <c r="C829" i="2" s="1"/>
  <c r="C891" i="2" s="1"/>
  <c r="A271" i="2"/>
  <c r="F270" i="2"/>
  <c r="D270" i="2"/>
  <c r="D332" i="2" s="1"/>
  <c r="D394" i="2" s="1"/>
  <c r="D456" i="2" s="1"/>
  <c r="D518" i="2" s="1"/>
  <c r="D580" i="2" s="1"/>
  <c r="D642" i="2" s="1"/>
  <c r="D704" i="2" s="1"/>
  <c r="D766" i="2" s="1"/>
  <c r="D828" i="2" s="1"/>
  <c r="D890" i="2" s="1"/>
  <c r="C270" i="2"/>
  <c r="C332" i="2" s="1"/>
  <c r="C394" i="2" s="1"/>
  <c r="C456" i="2" s="1"/>
  <c r="C518" i="2" s="1"/>
  <c r="C580" i="2" s="1"/>
  <c r="C642" i="2" s="1"/>
  <c r="C704" i="2" s="1"/>
  <c r="C766" i="2" s="1"/>
  <c r="C828" i="2" s="1"/>
  <c r="A270" i="2"/>
  <c r="F269" i="2"/>
  <c r="D269" i="2"/>
  <c r="D331" i="2" s="1"/>
  <c r="D393" i="2" s="1"/>
  <c r="D455" i="2" s="1"/>
  <c r="D517" i="2" s="1"/>
  <c r="D579" i="2" s="1"/>
  <c r="D641" i="2" s="1"/>
  <c r="D703" i="2" s="1"/>
  <c r="D765" i="2" s="1"/>
  <c r="D827" i="2" s="1"/>
  <c r="C269" i="2"/>
  <c r="C331" i="2" s="1"/>
  <c r="C393" i="2" s="1"/>
  <c r="C455" i="2" s="1"/>
  <c r="C517" i="2" s="1"/>
  <c r="C579" i="2" s="1"/>
  <c r="C641" i="2" s="1"/>
  <c r="C703" i="2" s="1"/>
  <c r="C765" i="2" s="1"/>
  <c r="C827" i="2" s="1"/>
  <c r="A269" i="2"/>
  <c r="F268" i="2"/>
  <c r="D268" i="2"/>
  <c r="D330" i="2" s="1"/>
  <c r="D392" i="2" s="1"/>
  <c r="D454" i="2" s="1"/>
  <c r="D516" i="2" s="1"/>
  <c r="D578" i="2" s="1"/>
  <c r="D640" i="2" s="1"/>
  <c r="D702" i="2" s="1"/>
  <c r="D764" i="2" s="1"/>
  <c r="D826" i="2" s="1"/>
  <c r="C268" i="2"/>
  <c r="C330" i="2" s="1"/>
  <c r="C392" i="2" s="1"/>
  <c r="C454" i="2" s="1"/>
  <c r="C516" i="2" s="1"/>
  <c r="C578" i="2" s="1"/>
  <c r="C640" i="2" s="1"/>
  <c r="C702" i="2" s="1"/>
  <c r="C764" i="2" s="1"/>
  <c r="C826" i="2" s="1"/>
  <c r="A268" i="2"/>
  <c r="F267" i="2"/>
  <c r="D267" i="2"/>
  <c r="D329" i="2" s="1"/>
  <c r="D391" i="2" s="1"/>
  <c r="D453" i="2" s="1"/>
  <c r="D515" i="2" s="1"/>
  <c r="D577" i="2" s="1"/>
  <c r="D639" i="2" s="1"/>
  <c r="D701" i="2" s="1"/>
  <c r="D763" i="2" s="1"/>
  <c r="D825" i="2" s="1"/>
  <c r="C267" i="2"/>
  <c r="C329" i="2" s="1"/>
  <c r="C391" i="2" s="1"/>
  <c r="C453" i="2" s="1"/>
  <c r="C515" i="2" s="1"/>
  <c r="C577" i="2" s="1"/>
  <c r="C639" i="2" s="1"/>
  <c r="C701" i="2" s="1"/>
  <c r="C763" i="2" s="1"/>
  <c r="C825" i="2" s="1"/>
  <c r="A267" i="2"/>
  <c r="F266" i="2"/>
  <c r="D266" i="2"/>
  <c r="D328" i="2" s="1"/>
  <c r="D390" i="2" s="1"/>
  <c r="D452" i="2" s="1"/>
  <c r="D514" i="2" s="1"/>
  <c r="D576" i="2" s="1"/>
  <c r="D638" i="2" s="1"/>
  <c r="D700" i="2" s="1"/>
  <c r="D762" i="2" s="1"/>
  <c r="D824" i="2" s="1"/>
  <c r="D886" i="2" s="1"/>
  <c r="C266" i="2"/>
  <c r="C328" i="2" s="1"/>
  <c r="C390" i="2" s="1"/>
  <c r="C452" i="2" s="1"/>
  <c r="C514" i="2" s="1"/>
  <c r="C576" i="2" s="1"/>
  <c r="C638" i="2" s="1"/>
  <c r="C700" i="2" s="1"/>
  <c r="C762" i="2" s="1"/>
  <c r="C824" i="2" s="1"/>
  <c r="A266" i="2"/>
  <c r="F265" i="2"/>
  <c r="D265" i="2"/>
  <c r="D327" i="2" s="1"/>
  <c r="D389" i="2" s="1"/>
  <c r="D451" i="2" s="1"/>
  <c r="D513" i="2" s="1"/>
  <c r="D575" i="2" s="1"/>
  <c r="D637" i="2" s="1"/>
  <c r="D699" i="2" s="1"/>
  <c r="D761" i="2" s="1"/>
  <c r="D823" i="2" s="1"/>
  <c r="C265" i="2"/>
  <c r="C327" i="2" s="1"/>
  <c r="C389" i="2" s="1"/>
  <c r="C451" i="2" s="1"/>
  <c r="C513" i="2" s="1"/>
  <c r="C575" i="2" s="1"/>
  <c r="C637" i="2" s="1"/>
  <c r="C699" i="2" s="1"/>
  <c r="C761" i="2" s="1"/>
  <c r="C823" i="2" s="1"/>
  <c r="A265" i="2"/>
  <c r="F264" i="2"/>
  <c r="D264" i="2"/>
  <c r="D326" i="2" s="1"/>
  <c r="D388" i="2" s="1"/>
  <c r="D450" i="2" s="1"/>
  <c r="D512" i="2" s="1"/>
  <c r="D574" i="2" s="1"/>
  <c r="D636" i="2" s="1"/>
  <c r="D698" i="2" s="1"/>
  <c r="D760" i="2" s="1"/>
  <c r="D822" i="2" s="1"/>
  <c r="C264" i="2"/>
  <c r="C326" i="2" s="1"/>
  <c r="C388" i="2" s="1"/>
  <c r="C450" i="2" s="1"/>
  <c r="C512" i="2" s="1"/>
  <c r="C574" i="2" s="1"/>
  <c r="C636" i="2" s="1"/>
  <c r="C698" i="2" s="1"/>
  <c r="C760" i="2" s="1"/>
  <c r="C822" i="2" s="1"/>
  <c r="A264" i="2"/>
  <c r="F263" i="2"/>
  <c r="D263" i="2"/>
  <c r="D325" i="2" s="1"/>
  <c r="D387" i="2" s="1"/>
  <c r="D449" i="2" s="1"/>
  <c r="D511" i="2" s="1"/>
  <c r="D573" i="2" s="1"/>
  <c r="D635" i="2" s="1"/>
  <c r="D697" i="2" s="1"/>
  <c r="D759" i="2" s="1"/>
  <c r="D821" i="2" s="1"/>
  <c r="C263" i="2"/>
  <c r="C325" i="2" s="1"/>
  <c r="C387" i="2" s="1"/>
  <c r="C449" i="2" s="1"/>
  <c r="C511" i="2" s="1"/>
  <c r="C573" i="2" s="1"/>
  <c r="C635" i="2" s="1"/>
  <c r="C697" i="2" s="1"/>
  <c r="C759" i="2" s="1"/>
  <c r="C821" i="2" s="1"/>
  <c r="A263" i="2"/>
  <c r="F262" i="2"/>
  <c r="D262" i="2"/>
  <c r="D324" i="2" s="1"/>
  <c r="D386" i="2" s="1"/>
  <c r="D448" i="2" s="1"/>
  <c r="D510" i="2" s="1"/>
  <c r="D572" i="2" s="1"/>
  <c r="D634" i="2" s="1"/>
  <c r="D696" i="2" s="1"/>
  <c r="D758" i="2" s="1"/>
  <c r="D820" i="2" s="1"/>
  <c r="C262" i="2"/>
  <c r="C324" i="2" s="1"/>
  <c r="C386" i="2" s="1"/>
  <c r="C448" i="2" s="1"/>
  <c r="C510" i="2" s="1"/>
  <c r="C572" i="2" s="1"/>
  <c r="C634" i="2" s="1"/>
  <c r="C696" i="2" s="1"/>
  <c r="C758" i="2" s="1"/>
  <c r="C820" i="2" s="1"/>
  <c r="A262" i="2"/>
  <c r="F261" i="2"/>
  <c r="D261" i="2"/>
  <c r="D323" i="2" s="1"/>
  <c r="D385" i="2" s="1"/>
  <c r="D447" i="2" s="1"/>
  <c r="D509" i="2" s="1"/>
  <c r="D571" i="2" s="1"/>
  <c r="D633" i="2" s="1"/>
  <c r="D695" i="2" s="1"/>
  <c r="D757" i="2" s="1"/>
  <c r="D819" i="2" s="1"/>
  <c r="C261" i="2"/>
  <c r="C323" i="2" s="1"/>
  <c r="C385" i="2" s="1"/>
  <c r="C447" i="2" s="1"/>
  <c r="C509" i="2" s="1"/>
  <c r="C571" i="2" s="1"/>
  <c r="C633" i="2" s="1"/>
  <c r="C695" i="2" s="1"/>
  <c r="C757" i="2" s="1"/>
  <c r="C819" i="2" s="1"/>
  <c r="A261" i="2"/>
  <c r="F260" i="2"/>
  <c r="D260" i="2"/>
  <c r="D322" i="2" s="1"/>
  <c r="D384" i="2" s="1"/>
  <c r="D446" i="2" s="1"/>
  <c r="D508" i="2" s="1"/>
  <c r="D570" i="2" s="1"/>
  <c r="D632" i="2" s="1"/>
  <c r="D694" i="2" s="1"/>
  <c r="D756" i="2" s="1"/>
  <c r="D818" i="2" s="1"/>
  <c r="C260" i="2"/>
  <c r="C322" i="2" s="1"/>
  <c r="C384" i="2" s="1"/>
  <c r="C446" i="2" s="1"/>
  <c r="C508" i="2" s="1"/>
  <c r="C570" i="2" s="1"/>
  <c r="C632" i="2" s="1"/>
  <c r="C694" i="2" s="1"/>
  <c r="C756" i="2" s="1"/>
  <c r="C818" i="2" s="1"/>
  <c r="A260" i="2"/>
  <c r="F259" i="2"/>
  <c r="D259" i="2"/>
  <c r="D321" i="2" s="1"/>
  <c r="D383" i="2" s="1"/>
  <c r="D445" i="2" s="1"/>
  <c r="D507" i="2" s="1"/>
  <c r="D569" i="2" s="1"/>
  <c r="D631" i="2" s="1"/>
  <c r="D693" i="2" s="1"/>
  <c r="D755" i="2" s="1"/>
  <c r="D817" i="2" s="1"/>
  <c r="C259" i="2"/>
  <c r="C321" i="2" s="1"/>
  <c r="C383" i="2" s="1"/>
  <c r="C445" i="2" s="1"/>
  <c r="C507" i="2" s="1"/>
  <c r="C569" i="2" s="1"/>
  <c r="C631" i="2" s="1"/>
  <c r="C693" i="2" s="1"/>
  <c r="C755" i="2" s="1"/>
  <c r="C817" i="2" s="1"/>
  <c r="A259" i="2"/>
  <c r="F258" i="2"/>
  <c r="D258" i="2"/>
  <c r="D320" i="2" s="1"/>
  <c r="D382" i="2" s="1"/>
  <c r="D444" i="2" s="1"/>
  <c r="D506" i="2" s="1"/>
  <c r="D568" i="2" s="1"/>
  <c r="D630" i="2" s="1"/>
  <c r="D692" i="2" s="1"/>
  <c r="D754" i="2" s="1"/>
  <c r="D816" i="2" s="1"/>
  <c r="D878" i="2" s="1"/>
  <c r="C258" i="2"/>
  <c r="C320" i="2" s="1"/>
  <c r="C382" i="2" s="1"/>
  <c r="C444" i="2" s="1"/>
  <c r="C506" i="2" s="1"/>
  <c r="C568" i="2" s="1"/>
  <c r="C630" i="2" s="1"/>
  <c r="C692" i="2" s="1"/>
  <c r="C754" i="2" s="1"/>
  <c r="C816" i="2" s="1"/>
  <c r="A258" i="2"/>
  <c r="F257" i="2"/>
  <c r="D257" i="2"/>
  <c r="D319" i="2" s="1"/>
  <c r="D381" i="2" s="1"/>
  <c r="D443" i="2" s="1"/>
  <c r="D505" i="2" s="1"/>
  <c r="D567" i="2" s="1"/>
  <c r="D629" i="2" s="1"/>
  <c r="D691" i="2" s="1"/>
  <c r="D753" i="2" s="1"/>
  <c r="D815" i="2" s="1"/>
  <c r="C257" i="2"/>
  <c r="C319" i="2" s="1"/>
  <c r="C381" i="2" s="1"/>
  <c r="C443" i="2" s="1"/>
  <c r="C505" i="2" s="1"/>
  <c r="C567" i="2" s="1"/>
  <c r="C629" i="2" s="1"/>
  <c r="C691" i="2" s="1"/>
  <c r="C753" i="2" s="1"/>
  <c r="C815" i="2" s="1"/>
  <c r="A257" i="2"/>
  <c r="F256" i="2"/>
  <c r="D256" i="2"/>
  <c r="D318" i="2" s="1"/>
  <c r="D380" i="2" s="1"/>
  <c r="D442" i="2" s="1"/>
  <c r="D504" i="2" s="1"/>
  <c r="D566" i="2" s="1"/>
  <c r="D628" i="2" s="1"/>
  <c r="D690" i="2" s="1"/>
  <c r="D752" i="2" s="1"/>
  <c r="D814" i="2" s="1"/>
  <c r="C256" i="2"/>
  <c r="C318" i="2" s="1"/>
  <c r="C380" i="2" s="1"/>
  <c r="C442" i="2" s="1"/>
  <c r="C504" i="2" s="1"/>
  <c r="C566" i="2" s="1"/>
  <c r="C628" i="2" s="1"/>
  <c r="C690" i="2" s="1"/>
  <c r="C752" i="2" s="1"/>
  <c r="C814" i="2" s="1"/>
  <c r="A256" i="2"/>
  <c r="F255" i="2"/>
  <c r="D255" i="2"/>
  <c r="D317" i="2" s="1"/>
  <c r="D379" i="2" s="1"/>
  <c r="D441" i="2" s="1"/>
  <c r="D503" i="2" s="1"/>
  <c r="D565" i="2" s="1"/>
  <c r="D627" i="2" s="1"/>
  <c r="D689" i="2" s="1"/>
  <c r="D751" i="2" s="1"/>
  <c r="D813" i="2" s="1"/>
  <c r="D937" i="2" s="1"/>
  <c r="C255" i="2"/>
  <c r="C317" i="2" s="1"/>
  <c r="C379" i="2" s="1"/>
  <c r="C441" i="2" s="1"/>
  <c r="C503" i="2" s="1"/>
  <c r="C565" i="2" s="1"/>
  <c r="C627" i="2" s="1"/>
  <c r="C689" i="2" s="1"/>
  <c r="C751" i="2" s="1"/>
  <c r="C813" i="2" s="1"/>
  <c r="A255" i="2"/>
  <c r="F254" i="2"/>
  <c r="D254" i="2"/>
  <c r="D316" i="2" s="1"/>
  <c r="D378" i="2" s="1"/>
  <c r="D440" i="2" s="1"/>
  <c r="D502" i="2" s="1"/>
  <c r="D564" i="2" s="1"/>
  <c r="D626" i="2" s="1"/>
  <c r="D688" i="2" s="1"/>
  <c r="D750" i="2" s="1"/>
  <c r="D812" i="2" s="1"/>
  <c r="D874" i="2" s="1"/>
  <c r="C254" i="2"/>
  <c r="C316" i="2" s="1"/>
  <c r="C378" i="2" s="1"/>
  <c r="C440" i="2" s="1"/>
  <c r="C502" i="2" s="1"/>
  <c r="C564" i="2" s="1"/>
  <c r="C626" i="2" s="1"/>
  <c r="C688" i="2" s="1"/>
  <c r="C750" i="2" s="1"/>
  <c r="C812" i="2" s="1"/>
  <c r="A254" i="2"/>
  <c r="F253" i="2"/>
  <c r="D253" i="2"/>
  <c r="D315" i="2" s="1"/>
  <c r="D377" i="2" s="1"/>
  <c r="D439" i="2" s="1"/>
  <c r="D501" i="2" s="1"/>
  <c r="D563" i="2" s="1"/>
  <c r="D625" i="2" s="1"/>
  <c r="D687" i="2" s="1"/>
  <c r="D749" i="2" s="1"/>
  <c r="D811" i="2" s="1"/>
  <c r="C253" i="2"/>
  <c r="C315" i="2" s="1"/>
  <c r="C377" i="2" s="1"/>
  <c r="C439" i="2" s="1"/>
  <c r="C501" i="2" s="1"/>
  <c r="C563" i="2" s="1"/>
  <c r="C625" i="2" s="1"/>
  <c r="C687" i="2" s="1"/>
  <c r="C749" i="2" s="1"/>
  <c r="C811" i="2" s="1"/>
  <c r="A253" i="2"/>
  <c r="F252" i="2"/>
  <c r="D252" i="2"/>
  <c r="D314" i="2" s="1"/>
  <c r="D376" i="2" s="1"/>
  <c r="D438" i="2" s="1"/>
  <c r="D500" i="2" s="1"/>
  <c r="D562" i="2" s="1"/>
  <c r="D624" i="2" s="1"/>
  <c r="D686" i="2" s="1"/>
  <c r="D748" i="2" s="1"/>
  <c r="D810" i="2" s="1"/>
  <c r="C252" i="2"/>
  <c r="C314" i="2" s="1"/>
  <c r="C376" i="2" s="1"/>
  <c r="C438" i="2" s="1"/>
  <c r="C500" i="2" s="1"/>
  <c r="C562" i="2" s="1"/>
  <c r="C624" i="2" s="1"/>
  <c r="C686" i="2" s="1"/>
  <c r="C748" i="2" s="1"/>
  <c r="C810" i="2" s="1"/>
  <c r="A252" i="2"/>
  <c r="F251" i="2"/>
  <c r="D251" i="2"/>
  <c r="D313" i="2" s="1"/>
  <c r="D375" i="2" s="1"/>
  <c r="D437" i="2" s="1"/>
  <c r="D499" i="2" s="1"/>
  <c r="D561" i="2" s="1"/>
  <c r="D623" i="2" s="1"/>
  <c r="D685" i="2" s="1"/>
  <c r="D747" i="2" s="1"/>
  <c r="D809" i="2" s="1"/>
  <c r="C251" i="2"/>
  <c r="C313" i="2" s="1"/>
  <c r="C375" i="2" s="1"/>
  <c r="C437" i="2" s="1"/>
  <c r="C499" i="2" s="1"/>
  <c r="C561" i="2" s="1"/>
  <c r="C623" i="2" s="1"/>
  <c r="C685" i="2" s="1"/>
  <c r="C747" i="2" s="1"/>
  <c r="C809" i="2" s="1"/>
  <c r="A251" i="2"/>
  <c r="F250" i="2"/>
  <c r="D250" i="2"/>
  <c r="D312" i="2" s="1"/>
  <c r="D374" i="2" s="1"/>
  <c r="D436" i="2" s="1"/>
  <c r="D498" i="2" s="1"/>
  <c r="D560" i="2" s="1"/>
  <c r="D622" i="2" s="1"/>
  <c r="D684" i="2" s="1"/>
  <c r="D746" i="2" s="1"/>
  <c r="D808" i="2" s="1"/>
  <c r="C250" i="2"/>
  <c r="C312" i="2" s="1"/>
  <c r="C374" i="2" s="1"/>
  <c r="C436" i="2" s="1"/>
  <c r="C498" i="2" s="1"/>
  <c r="C560" i="2" s="1"/>
  <c r="C622" i="2" s="1"/>
  <c r="C684" i="2" s="1"/>
  <c r="C746" i="2" s="1"/>
  <c r="C808" i="2" s="1"/>
  <c r="A250" i="2"/>
  <c r="F249" i="2"/>
  <c r="D249" i="2"/>
  <c r="D311" i="2" s="1"/>
  <c r="D373" i="2" s="1"/>
  <c r="D435" i="2" s="1"/>
  <c r="D497" i="2" s="1"/>
  <c r="D559" i="2" s="1"/>
  <c r="D621" i="2" s="1"/>
  <c r="D683" i="2" s="1"/>
  <c r="D745" i="2" s="1"/>
  <c r="D807" i="2" s="1"/>
  <c r="C249" i="2"/>
  <c r="C311" i="2" s="1"/>
  <c r="C373" i="2" s="1"/>
  <c r="C435" i="2" s="1"/>
  <c r="C497" i="2" s="1"/>
  <c r="C559" i="2" s="1"/>
  <c r="C621" i="2" s="1"/>
  <c r="C683" i="2" s="1"/>
  <c r="C745" i="2" s="1"/>
  <c r="C807" i="2" s="1"/>
  <c r="A249" i="2"/>
  <c r="F248" i="2"/>
  <c r="D248" i="2"/>
  <c r="D310" i="2"/>
  <c r="D372" i="2" s="1"/>
  <c r="D434" i="2" s="1"/>
  <c r="D496" i="2" s="1"/>
  <c r="D558" i="2" s="1"/>
  <c r="D620" i="2" s="1"/>
  <c r="D682" i="2" s="1"/>
  <c r="D744" i="2" s="1"/>
  <c r="D806" i="2" s="1"/>
  <c r="C248" i="2"/>
  <c r="C310" i="2" s="1"/>
  <c r="C372" i="2" s="1"/>
  <c r="C434" i="2" s="1"/>
  <c r="C496" i="2" s="1"/>
  <c r="C558" i="2" s="1"/>
  <c r="C620" i="2" s="1"/>
  <c r="C682" i="2" s="1"/>
  <c r="C744" i="2" s="1"/>
  <c r="C806" i="2" s="1"/>
  <c r="A248" i="2"/>
  <c r="F247" i="2"/>
  <c r="D247" i="2"/>
  <c r="D309" i="2" s="1"/>
  <c r="D371" i="2"/>
  <c r="D433" i="2" s="1"/>
  <c r="D495" i="2" s="1"/>
  <c r="D557" i="2" s="1"/>
  <c r="D619" i="2" s="1"/>
  <c r="D681" i="2" s="1"/>
  <c r="D743" i="2" s="1"/>
  <c r="D805" i="2" s="1"/>
  <c r="D867" i="2" s="1"/>
  <c r="C247" i="2"/>
  <c r="C309" i="2" s="1"/>
  <c r="C371" i="2" s="1"/>
  <c r="C433" i="2" s="1"/>
  <c r="C495" i="2" s="1"/>
  <c r="C557" i="2" s="1"/>
  <c r="C619" i="2" s="1"/>
  <c r="C681" i="2" s="1"/>
  <c r="C743" i="2" s="1"/>
  <c r="C805" i="2" s="1"/>
  <c r="A247" i="2"/>
  <c r="F246" i="2"/>
  <c r="D246" i="2"/>
  <c r="D308" i="2" s="1"/>
  <c r="D370" i="2" s="1"/>
  <c r="D432" i="2" s="1"/>
  <c r="D494" i="2" s="1"/>
  <c r="D556" i="2" s="1"/>
  <c r="D618" i="2" s="1"/>
  <c r="D680" i="2" s="1"/>
  <c r="D742" i="2" s="1"/>
  <c r="D804" i="2" s="1"/>
  <c r="D866" i="2" s="1"/>
  <c r="C246" i="2"/>
  <c r="C308" i="2" s="1"/>
  <c r="C370" i="2" s="1"/>
  <c r="C432" i="2" s="1"/>
  <c r="C494" i="2" s="1"/>
  <c r="C556" i="2" s="1"/>
  <c r="C618" i="2" s="1"/>
  <c r="C680" i="2" s="1"/>
  <c r="C742" i="2" s="1"/>
  <c r="C804" i="2" s="1"/>
  <c r="A246" i="2"/>
  <c r="F245" i="2"/>
  <c r="D245" i="2"/>
  <c r="D307" i="2" s="1"/>
  <c r="D369" i="2" s="1"/>
  <c r="D431" i="2" s="1"/>
  <c r="D493" i="2" s="1"/>
  <c r="D555" i="2" s="1"/>
  <c r="D617" i="2" s="1"/>
  <c r="D679" i="2" s="1"/>
  <c r="D741" i="2" s="1"/>
  <c r="D803" i="2" s="1"/>
  <c r="D927" i="2" s="1"/>
  <c r="C245" i="2"/>
  <c r="C307" i="2" s="1"/>
  <c r="C369" i="2" s="1"/>
  <c r="C431" i="2" s="1"/>
  <c r="C493" i="2" s="1"/>
  <c r="C555" i="2" s="1"/>
  <c r="C617" i="2" s="1"/>
  <c r="C679" i="2" s="1"/>
  <c r="C741" i="2" s="1"/>
  <c r="C803" i="2" s="1"/>
  <c r="A245" i="2"/>
  <c r="F244" i="2"/>
  <c r="D244" i="2"/>
  <c r="D306" i="2" s="1"/>
  <c r="D368" i="2" s="1"/>
  <c r="D430" i="2" s="1"/>
  <c r="D492" i="2" s="1"/>
  <c r="D554" i="2" s="1"/>
  <c r="D616" i="2" s="1"/>
  <c r="D678" i="2" s="1"/>
  <c r="D740" i="2" s="1"/>
  <c r="D802" i="2" s="1"/>
  <c r="C244" i="2"/>
  <c r="C306" i="2"/>
  <c r="C368" i="2" s="1"/>
  <c r="C430" i="2" s="1"/>
  <c r="C492" i="2" s="1"/>
  <c r="C554" i="2" s="1"/>
  <c r="C616" i="2" s="1"/>
  <c r="C678" i="2" s="1"/>
  <c r="C740" i="2" s="1"/>
  <c r="C802" i="2" s="1"/>
  <c r="A244" i="2"/>
  <c r="F243" i="2"/>
  <c r="D243" i="2"/>
  <c r="D305" i="2" s="1"/>
  <c r="D367" i="2" s="1"/>
  <c r="D429" i="2" s="1"/>
  <c r="D491" i="2" s="1"/>
  <c r="D553" i="2" s="1"/>
  <c r="D615" i="2" s="1"/>
  <c r="D677" i="2" s="1"/>
  <c r="D739" i="2" s="1"/>
  <c r="D801" i="2" s="1"/>
  <c r="C243" i="2"/>
  <c r="C305" i="2" s="1"/>
  <c r="C367" i="2" s="1"/>
  <c r="C429" i="2" s="1"/>
  <c r="C491" i="2" s="1"/>
  <c r="C553" i="2" s="1"/>
  <c r="C615" i="2" s="1"/>
  <c r="C677" i="2" s="1"/>
  <c r="C739" i="2" s="1"/>
  <c r="C801" i="2" s="1"/>
  <c r="A243" i="2"/>
  <c r="F242" i="2"/>
  <c r="D242" i="2"/>
  <c r="D304" i="2" s="1"/>
  <c r="D366" i="2" s="1"/>
  <c r="D428" i="2" s="1"/>
  <c r="D490" i="2" s="1"/>
  <c r="D552" i="2" s="1"/>
  <c r="D614" i="2" s="1"/>
  <c r="D676" i="2" s="1"/>
  <c r="D738" i="2" s="1"/>
  <c r="D800" i="2" s="1"/>
  <c r="C242" i="2"/>
  <c r="C304" i="2" s="1"/>
  <c r="C366" i="2" s="1"/>
  <c r="C428" i="2" s="1"/>
  <c r="C490" i="2" s="1"/>
  <c r="C552" i="2" s="1"/>
  <c r="C614" i="2" s="1"/>
  <c r="C676" i="2" s="1"/>
  <c r="C738" i="2" s="1"/>
  <c r="C800" i="2" s="1"/>
  <c r="A242" i="2"/>
  <c r="F241" i="2"/>
  <c r="D241" i="2"/>
  <c r="D303" i="2" s="1"/>
  <c r="D365" i="2" s="1"/>
  <c r="D427" i="2" s="1"/>
  <c r="D489" i="2" s="1"/>
  <c r="D551" i="2" s="1"/>
  <c r="D613" i="2" s="1"/>
  <c r="D675" i="2" s="1"/>
  <c r="D737" i="2" s="1"/>
  <c r="D799" i="2" s="1"/>
  <c r="C241" i="2"/>
  <c r="C303" i="2" s="1"/>
  <c r="C365" i="2" s="1"/>
  <c r="C427" i="2" s="1"/>
  <c r="C489" i="2" s="1"/>
  <c r="C551" i="2" s="1"/>
  <c r="C613" i="2" s="1"/>
  <c r="C675" i="2" s="1"/>
  <c r="C737" i="2" s="1"/>
  <c r="C799" i="2" s="1"/>
  <c r="A241" i="2"/>
  <c r="F240" i="2"/>
  <c r="D240" i="2"/>
  <c r="D302" i="2" s="1"/>
  <c r="D364" i="2" s="1"/>
  <c r="D426" i="2" s="1"/>
  <c r="D488" i="2" s="1"/>
  <c r="D550" i="2" s="1"/>
  <c r="D612" i="2" s="1"/>
  <c r="D674" i="2" s="1"/>
  <c r="D736" i="2" s="1"/>
  <c r="D798" i="2" s="1"/>
  <c r="C240" i="2"/>
  <c r="C302" i="2"/>
  <c r="C364" i="2" s="1"/>
  <c r="C426" i="2" s="1"/>
  <c r="C488" i="2" s="1"/>
  <c r="C550" i="2" s="1"/>
  <c r="C612" i="2" s="1"/>
  <c r="C674" i="2" s="1"/>
  <c r="C736" i="2" s="1"/>
  <c r="C798" i="2" s="1"/>
  <c r="A240" i="2"/>
  <c r="F239" i="2"/>
  <c r="D239" i="2"/>
  <c r="D301" i="2" s="1"/>
  <c r="D363" i="2" s="1"/>
  <c r="D425" i="2" s="1"/>
  <c r="D487" i="2" s="1"/>
  <c r="D549" i="2" s="1"/>
  <c r="D611" i="2" s="1"/>
  <c r="D673" i="2" s="1"/>
  <c r="D735" i="2" s="1"/>
  <c r="D797" i="2" s="1"/>
  <c r="C239" i="2"/>
  <c r="C301" i="2" s="1"/>
  <c r="C363" i="2" s="1"/>
  <c r="C425" i="2" s="1"/>
  <c r="C487" i="2" s="1"/>
  <c r="C549" i="2" s="1"/>
  <c r="C611" i="2" s="1"/>
  <c r="C673" i="2" s="1"/>
  <c r="C735" i="2" s="1"/>
  <c r="C797" i="2" s="1"/>
  <c r="A239" i="2"/>
  <c r="F238" i="2"/>
  <c r="D238" i="2"/>
  <c r="D300" i="2" s="1"/>
  <c r="D362" i="2" s="1"/>
  <c r="D424" i="2" s="1"/>
  <c r="D486" i="2" s="1"/>
  <c r="D548" i="2" s="1"/>
  <c r="D610" i="2" s="1"/>
  <c r="D672" i="2" s="1"/>
  <c r="D734" i="2" s="1"/>
  <c r="D796" i="2" s="1"/>
  <c r="D858" i="2" s="1"/>
  <c r="C238" i="2"/>
  <c r="C300" i="2" s="1"/>
  <c r="C362" i="2" s="1"/>
  <c r="C424" i="2" s="1"/>
  <c r="C486" i="2" s="1"/>
  <c r="C548" i="2" s="1"/>
  <c r="C610" i="2" s="1"/>
  <c r="C672" i="2" s="1"/>
  <c r="C734" i="2" s="1"/>
  <c r="C796" i="2" s="1"/>
  <c r="A238" i="2"/>
  <c r="F237" i="2"/>
  <c r="D237" i="2"/>
  <c r="D299" i="2" s="1"/>
  <c r="D361" i="2" s="1"/>
  <c r="D423" i="2" s="1"/>
  <c r="D485" i="2" s="1"/>
  <c r="D547" i="2" s="1"/>
  <c r="D609" i="2" s="1"/>
  <c r="D671" i="2" s="1"/>
  <c r="D733" i="2" s="1"/>
  <c r="D795" i="2" s="1"/>
  <c r="C237" i="2"/>
  <c r="C299" i="2" s="1"/>
  <c r="C361" i="2" s="1"/>
  <c r="C423" i="2" s="1"/>
  <c r="C485" i="2" s="1"/>
  <c r="C547" i="2" s="1"/>
  <c r="C609" i="2" s="1"/>
  <c r="C671" i="2" s="1"/>
  <c r="C733" i="2" s="1"/>
  <c r="C795" i="2" s="1"/>
  <c r="A237" i="2"/>
  <c r="F236" i="2"/>
  <c r="D236" i="2"/>
  <c r="D298" i="2" s="1"/>
  <c r="D360" i="2" s="1"/>
  <c r="D422" i="2" s="1"/>
  <c r="D484" i="2" s="1"/>
  <c r="D546" i="2" s="1"/>
  <c r="D608" i="2" s="1"/>
  <c r="D670" i="2" s="1"/>
  <c r="D732" i="2" s="1"/>
  <c r="D794" i="2" s="1"/>
  <c r="C236" i="2"/>
  <c r="C298" i="2" s="1"/>
  <c r="C360" i="2" s="1"/>
  <c r="C422" i="2" s="1"/>
  <c r="C484" i="2" s="1"/>
  <c r="C546" i="2" s="1"/>
  <c r="C608" i="2" s="1"/>
  <c r="C670" i="2" s="1"/>
  <c r="C732" i="2" s="1"/>
  <c r="C794" i="2" s="1"/>
  <c r="A236" i="2"/>
  <c r="F235" i="2"/>
  <c r="D235" i="2"/>
  <c r="D297" i="2" s="1"/>
  <c r="D359" i="2" s="1"/>
  <c r="D421" i="2" s="1"/>
  <c r="D483" i="2" s="1"/>
  <c r="D545" i="2" s="1"/>
  <c r="D607" i="2" s="1"/>
  <c r="D669" i="2" s="1"/>
  <c r="D731" i="2" s="1"/>
  <c r="D793" i="2" s="1"/>
  <c r="C235" i="2"/>
  <c r="C297" i="2" s="1"/>
  <c r="C359" i="2" s="1"/>
  <c r="C421" i="2" s="1"/>
  <c r="C483" i="2" s="1"/>
  <c r="C545" i="2" s="1"/>
  <c r="C607" i="2" s="1"/>
  <c r="C669" i="2" s="1"/>
  <c r="C731" i="2" s="1"/>
  <c r="C793" i="2" s="1"/>
  <c r="A235" i="2"/>
  <c r="F234" i="2"/>
  <c r="D234" i="2"/>
  <c r="D296" i="2" s="1"/>
  <c r="D358" i="2" s="1"/>
  <c r="D420" i="2" s="1"/>
  <c r="D482" i="2" s="1"/>
  <c r="D544" i="2" s="1"/>
  <c r="D606" i="2" s="1"/>
  <c r="D668" i="2" s="1"/>
  <c r="D730" i="2" s="1"/>
  <c r="D792" i="2" s="1"/>
  <c r="C234" i="2"/>
  <c r="C296" i="2" s="1"/>
  <c r="C358" i="2" s="1"/>
  <c r="C420" i="2" s="1"/>
  <c r="C482" i="2" s="1"/>
  <c r="C544" i="2" s="1"/>
  <c r="C606" i="2" s="1"/>
  <c r="C668" i="2" s="1"/>
  <c r="C730" i="2" s="1"/>
  <c r="C792" i="2" s="1"/>
  <c r="A234" i="2"/>
  <c r="F233" i="2"/>
  <c r="D233" i="2"/>
  <c r="D295" i="2" s="1"/>
  <c r="D357" i="2" s="1"/>
  <c r="D419" i="2" s="1"/>
  <c r="D481" i="2" s="1"/>
  <c r="D543" i="2" s="1"/>
  <c r="D605" i="2" s="1"/>
  <c r="D667" i="2" s="1"/>
  <c r="D729" i="2" s="1"/>
  <c r="D791" i="2" s="1"/>
  <c r="C233" i="2"/>
  <c r="C295" i="2" s="1"/>
  <c r="C357" i="2" s="1"/>
  <c r="C419" i="2" s="1"/>
  <c r="C481" i="2" s="1"/>
  <c r="C543" i="2" s="1"/>
  <c r="C605" i="2" s="1"/>
  <c r="C667" i="2" s="1"/>
  <c r="C729" i="2" s="1"/>
  <c r="C791" i="2" s="1"/>
  <c r="A233" i="2"/>
  <c r="F232" i="2"/>
  <c r="D232" i="2"/>
  <c r="D294" i="2" s="1"/>
  <c r="D356" i="2" s="1"/>
  <c r="D418" i="2" s="1"/>
  <c r="D480" i="2" s="1"/>
  <c r="D542" i="2" s="1"/>
  <c r="D604" i="2" s="1"/>
  <c r="D666" i="2" s="1"/>
  <c r="D728" i="2" s="1"/>
  <c r="D790" i="2" s="1"/>
  <c r="C232" i="2"/>
  <c r="C294" i="2" s="1"/>
  <c r="C356" i="2" s="1"/>
  <c r="C418" i="2" s="1"/>
  <c r="C480" i="2" s="1"/>
  <c r="C542" i="2" s="1"/>
  <c r="C604" i="2" s="1"/>
  <c r="C666" i="2" s="1"/>
  <c r="C728" i="2" s="1"/>
  <c r="C790" i="2" s="1"/>
  <c r="A232" i="2"/>
  <c r="F231" i="2"/>
  <c r="D231" i="2"/>
  <c r="D293" i="2" s="1"/>
  <c r="D355" i="2" s="1"/>
  <c r="D417" i="2" s="1"/>
  <c r="D479" i="2" s="1"/>
  <c r="D541" i="2" s="1"/>
  <c r="D603" i="2" s="1"/>
  <c r="D665" i="2" s="1"/>
  <c r="D727" i="2" s="1"/>
  <c r="D789" i="2" s="1"/>
  <c r="C231" i="2"/>
  <c r="C293" i="2" s="1"/>
  <c r="C355" i="2" s="1"/>
  <c r="C417" i="2" s="1"/>
  <c r="C479" i="2" s="1"/>
  <c r="C541" i="2" s="1"/>
  <c r="C603" i="2" s="1"/>
  <c r="C665" i="2" s="1"/>
  <c r="C727" i="2" s="1"/>
  <c r="C789" i="2" s="1"/>
  <c r="C851" i="2" s="1"/>
  <c r="A231" i="2"/>
  <c r="F230" i="2"/>
  <c r="D230" i="2"/>
  <c r="D292" i="2" s="1"/>
  <c r="D354" i="2" s="1"/>
  <c r="D416" i="2" s="1"/>
  <c r="D478" i="2" s="1"/>
  <c r="D540" i="2" s="1"/>
  <c r="D602" i="2" s="1"/>
  <c r="D664" i="2" s="1"/>
  <c r="D726" i="2" s="1"/>
  <c r="D788" i="2" s="1"/>
  <c r="C230" i="2"/>
  <c r="C292" i="2" s="1"/>
  <c r="C354" i="2" s="1"/>
  <c r="C416" i="2" s="1"/>
  <c r="C478" i="2" s="1"/>
  <c r="C540" i="2" s="1"/>
  <c r="C602" i="2" s="1"/>
  <c r="C664" i="2" s="1"/>
  <c r="C726" i="2" s="1"/>
  <c r="C788" i="2" s="1"/>
  <c r="C912" i="2" s="1"/>
  <c r="A230" i="2"/>
  <c r="F229" i="2"/>
  <c r="D229" i="2"/>
  <c r="D291" i="2" s="1"/>
  <c r="D353" i="2" s="1"/>
  <c r="D415" i="2" s="1"/>
  <c r="D477" i="2" s="1"/>
  <c r="D539" i="2" s="1"/>
  <c r="D601" i="2" s="1"/>
  <c r="D663" i="2" s="1"/>
  <c r="D725" i="2" s="1"/>
  <c r="D787" i="2" s="1"/>
  <c r="C229" i="2"/>
  <c r="C291" i="2" s="1"/>
  <c r="C353" i="2" s="1"/>
  <c r="C415" i="2" s="1"/>
  <c r="C477" i="2" s="1"/>
  <c r="C539" i="2" s="1"/>
  <c r="C601" i="2" s="1"/>
  <c r="C663" i="2" s="1"/>
  <c r="C725" i="2" s="1"/>
  <c r="C787" i="2" s="1"/>
  <c r="A229" i="2"/>
  <c r="F228" i="2"/>
  <c r="D228" i="2"/>
  <c r="D290" i="2" s="1"/>
  <c r="D352" i="2" s="1"/>
  <c r="D414" i="2" s="1"/>
  <c r="D476" i="2" s="1"/>
  <c r="D538" i="2" s="1"/>
  <c r="D600" i="2" s="1"/>
  <c r="D662" i="2" s="1"/>
  <c r="D724" i="2" s="1"/>
  <c r="D786" i="2" s="1"/>
  <c r="C228" i="2"/>
  <c r="C290" i="2" s="1"/>
  <c r="C352" i="2" s="1"/>
  <c r="C414" i="2" s="1"/>
  <c r="C476" i="2" s="1"/>
  <c r="C538" i="2" s="1"/>
  <c r="C600" i="2" s="1"/>
  <c r="C662" i="2" s="1"/>
  <c r="C724" i="2" s="1"/>
  <c r="C786" i="2" s="1"/>
  <c r="A228" i="2"/>
  <c r="F227" i="2"/>
  <c r="D227" i="2"/>
  <c r="D289" i="2" s="1"/>
  <c r="D351" i="2" s="1"/>
  <c r="D413" i="2" s="1"/>
  <c r="D475" i="2" s="1"/>
  <c r="D537" i="2" s="1"/>
  <c r="D599" i="2" s="1"/>
  <c r="D661" i="2" s="1"/>
  <c r="D723" i="2" s="1"/>
  <c r="D785" i="2" s="1"/>
  <c r="C227" i="2"/>
  <c r="C289" i="2" s="1"/>
  <c r="C351" i="2" s="1"/>
  <c r="C413" i="2" s="1"/>
  <c r="C475" i="2" s="1"/>
  <c r="C537" i="2" s="1"/>
  <c r="C599" i="2" s="1"/>
  <c r="C661" i="2" s="1"/>
  <c r="C723" i="2" s="1"/>
  <c r="C785" i="2" s="1"/>
  <c r="C847" i="2" s="1"/>
  <c r="A227" i="2"/>
  <c r="F226" i="2"/>
  <c r="D226" i="2"/>
  <c r="D288" i="2" s="1"/>
  <c r="D350" i="2" s="1"/>
  <c r="D412" i="2" s="1"/>
  <c r="D474" i="2" s="1"/>
  <c r="D536" i="2" s="1"/>
  <c r="D598" i="2" s="1"/>
  <c r="D660" i="2" s="1"/>
  <c r="D722" i="2" s="1"/>
  <c r="D784" i="2" s="1"/>
  <c r="C226" i="2"/>
  <c r="C288" i="2" s="1"/>
  <c r="C350" i="2" s="1"/>
  <c r="C412" i="2" s="1"/>
  <c r="C474" i="2" s="1"/>
  <c r="C536" i="2" s="1"/>
  <c r="C598" i="2" s="1"/>
  <c r="C660" i="2" s="1"/>
  <c r="C722" i="2" s="1"/>
  <c r="C784" i="2" s="1"/>
  <c r="A226" i="2"/>
  <c r="F225" i="2"/>
  <c r="D225" i="2"/>
  <c r="D287" i="2" s="1"/>
  <c r="D349" i="2" s="1"/>
  <c r="D411" i="2" s="1"/>
  <c r="D473" i="2" s="1"/>
  <c r="D535" i="2" s="1"/>
  <c r="D597" i="2" s="1"/>
  <c r="D659" i="2" s="1"/>
  <c r="D721" i="2" s="1"/>
  <c r="D783" i="2" s="1"/>
  <c r="D845" i="2" s="1"/>
  <c r="C225" i="2"/>
  <c r="C287" i="2" s="1"/>
  <c r="C349" i="2" s="1"/>
  <c r="C411" i="2" s="1"/>
  <c r="C473" i="2" s="1"/>
  <c r="C535" i="2" s="1"/>
  <c r="C597" i="2" s="1"/>
  <c r="C659" i="2" s="1"/>
  <c r="C721" i="2" s="1"/>
  <c r="C783" i="2" s="1"/>
  <c r="A225" i="2"/>
  <c r="F224" i="2"/>
  <c r="D224" i="2"/>
  <c r="D286" i="2" s="1"/>
  <c r="D348" i="2" s="1"/>
  <c r="D410" i="2" s="1"/>
  <c r="D472" i="2" s="1"/>
  <c r="D534" i="2" s="1"/>
  <c r="D596" i="2" s="1"/>
  <c r="D658" i="2" s="1"/>
  <c r="D720" i="2" s="1"/>
  <c r="D782" i="2" s="1"/>
  <c r="D906" i="2" s="1"/>
  <c r="C224" i="2"/>
  <c r="C286" i="2" s="1"/>
  <c r="C348" i="2" s="1"/>
  <c r="C410" i="2" s="1"/>
  <c r="C472" i="2" s="1"/>
  <c r="C534" i="2" s="1"/>
  <c r="C596" i="2" s="1"/>
  <c r="C658" i="2" s="1"/>
  <c r="C720" i="2" s="1"/>
  <c r="C782" i="2" s="1"/>
  <c r="A224" i="2"/>
  <c r="C223" i="2"/>
  <c r="C285" i="2" s="1"/>
  <c r="C347" i="2" s="1"/>
  <c r="C409" i="2" s="1"/>
  <c r="C471" i="2" s="1"/>
  <c r="C533" i="2" s="1"/>
  <c r="C595" i="2" s="1"/>
  <c r="C657" i="2" s="1"/>
  <c r="C719" i="2" s="1"/>
  <c r="C781" i="2" s="1"/>
  <c r="C843" i="2" s="1"/>
  <c r="D223" i="2"/>
  <c r="D285" i="2"/>
  <c r="D347" i="2" s="1"/>
  <c r="D409" i="2" s="1"/>
  <c r="D471" i="2" s="1"/>
  <c r="D533" i="2" s="1"/>
  <c r="D595" i="2" s="1"/>
  <c r="D657" i="2" s="1"/>
  <c r="D719" i="2" s="1"/>
  <c r="D781" i="2" s="1"/>
  <c r="F223" i="2"/>
  <c r="F285" i="2" s="1"/>
  <c r="A223" i="2"/>
  <c r="I34" i="28"/>
  <c r="H34" i="28"/>
  <c r="M1089" i="2"/>
  <c r="C850" i="2"/>
  <c r="D904" i="2"/>
  <c r="F222" i="2"/>
  <c r="C222" i="2"/>
  <c r="A222" i="2"/>
  <c r="AN221" i="2"/>
  <c r="AM221" i="2"/>
  <c r="S221" i="2"/>
  <c r="F221" i="2"/>
  <c r="C221" i="2"/>
  <c r="A221" i="2"/>
  <c r="AN220" i="2"/>
  <c r="AM220" i="2"/>
  <c r="S220" i="2"/>
  <c r="F220" i="2"/>
  <c r="C220" i="2"/>
  <c r="A220" i="2"/>
  <c r="F219" i="2"/>
  <c r="C219" i="2"/>
  <c r="A219" i="2"/>
  <c r="AN213" i="2"/>
  <c r="AM213" i="2"/>
  <c r="F213" i="2"/>
  <c r="C213" i="2"/>
  <c r="A213" i="2"/>
  <c r="AN212" i="2"/>
  <c r="AM212" i="2"/>
  <c r="F212" i="2"/>
  <c r="C212" i="2"/>
  <c r="A212" i="2"/>
  <c r="AN211" i="2"/>
  <c r="AM211" i="2"/>
  <c r="F211" i="2"/>
  <c r="C211" i="2"/>
  <c r="A211" i="2"/>
  <c r="AN210" i="2"/>
  <c r="AM210" i="2"/>
  <c r="F210" i="2"/>
  <c r="C210" i="2"/>
  <c r="A210" i="2"/>
  <c r="AN209" i="2"/>
  <c r="AM209" i="2"/>
  <c r="F209" i="2"/>
  <c r="C209" i="2"/>
  <c r="A209" i="2"/>
  <c r="AN208" i="2"/>
  <c r="AM208" i="2"/>
  <c r="F208" i="2"/>
  <c r="C208" i="2"/>
  <c r="A208" i="2"/>
  <c r="AN207" i="2"/>
  <c r="AM207" i="2"/>
  <c r="F207" i="2"/>
  <c r="C207" i="2"/>
  <c r="A207" i="2"/>
  <c r="AN206" i="2"/>
  <c r="AM206" i="2"/>
  <c r="F206" i="2"/>
  <c r="C206" i="2"/>
  <c r="A206" i="2"/>
  <c r="AN205" i="2"/>
  <c r="AM205" i="2"/>
  <c r="F205" i="2"/>
  <c r="C205" i="2"/>
  <c r="A205" i="2"/>
  <c r="AN204" i="2"/>
  <c r="AM204" i="2"/>
  <c r="F204" i="2"/>
  <c r="C204" i="2"/>
  <c r="A204" i="2"/>
  <c r="AN203" i="2"/>
  <c r="AM203" i="2"/>
  <c r="S203" i="2"/>
  <c r="F203" i="2"/>
  <c r="C203" i="2"/>
  <c r="A203" i="2"/>
  <c r="AN202" i="2"/>
  <c r="AM202" i="2"/>
  <c r="S202" i="2"/>
  <c r="F202" i="2"/>
  <c r="C202" i="2"/>
  <c r="A202" i="2"/>
  <c r="AN201" i="2"/>
  <c r="AM201" i="2"/>
  <c r="F201" i="2"/>
  <c r="C201" i="2"/>
  <c r="A201" i="2"/>
  <c r="AN182" i="2"/>
  <c r="AM182" i="2"/>
  <c r="F182" i="2"/>
  <c r="C182" i="2"/>
  <c r="A182" i="2"/>
  <c r="AN181" i="2"/>
  <c r="AM181" i="2"/>
  <c r="F181" i="2"/>
  <c r="C181" i="2"/>
  <c r="A181" i="2"/>
  <c r="AN180" i="2"/>
  <c r="AM180" i="2"/>
  <c r="F180" i="2"/>
  <c r="C180" i="2"/>
  <c r="A180" i="2"/>
  <c r="AN179" i="2"/>
  <c r="AM179" i="2"/>
  <c r="F179" i="2"/>
  <c r="C179" i="2"/>
  <c r="A179" i="2"/>
  <c r="AN178" i="2"/>
  <c r="AM178" i="2"/>
  <c r="F178" i="2"/>
  <c r="C178" i="2"/>
  <c r="A178" i="2"/>
  <c r="AN177" i="2"/>
  <c r="AM177" i="2"/>
  <c r="F177" i="2"/>
  <c r="C177" i="2"/>
  <c r="A177" i="2"/>
  <c r="AN176" i="2"/>
  <c r="AM176" i="2"/>
  <c r="F176" i="2"/>
  <c r="C176" i="2"/>
  <c r="A176" i="2"/>
  <c r="AN175" i="2"/>
  <c r="AM175" i="2"/>
  <c r="F175" i="2"/>
  <c r="C175" i="2"/>
  <c r="A175" i="2"/>
  <c r="AN174" i="2"/>
  <c r="AM174" i="2"/>
  <c r="F174" i="2"/>
  <c r="C174" i="2"/>
  <c r="A174" i="2"/>
  <c r="AN173" i="2"/>
  <c r="AM173" i="2"/>
  <c r="F173" i="2"/>
  <c r="C173" i="2"/>
  <c r="A173" i="2"/>
  <c r="AN172" i="2"/>
  <c r="AM172" i="2"/>
  <c r="F172" i="2"/>
  <c r="C172" i="2"/>
  <c r="A172" i="2"/>
  <c r="AN171" i="2"/>
  <c r="AM171" i="2"/>
  <c r="F171" i="2"/>
  <c r="C171" i="2"/>
  <c r="A171" i="2"/>
  <c r="AN170" i="2"/>
  <c r="AM170" i="2"/>
  <c r="F170" i="2"/>
  <c r="C170" i="2"/>
  <c r="A170" i="2"/>
  <c r="AN169" i="2"/>
  <c r="AM169" i="2"/>
  <c r="F169" i="2"/>
  <c r="C169" i="2"/>
  <c r="A169" i="2"/>
  <c r="AN168" i="2"/>
  <c r="AM168" i="2"/>
  <c r="F168" i="2"/>
  <c r="C168" i="2"/>
  <c r="A168" i="2"/>
  <c r="AN167" i="2"/>
  <c r="AM167" i="2"/>
  <c r="F167" i="2"/>
  <c r="C167" i="2"/>
  <c r="A167" i="2"/>
  <c r="AN166" i="2"/>
  <c r="AM166" i="2"/>
  <c r="F166" i="2"/>
  <c r="C166" i="2"/>
  <c r="A166" i="2"/>
  <c r="AN165" i="2"/>
  <c r="AM165" i="2"/>
  <c r="S165" i="2"/>
  <c r="F165" i="2"/>
  <c r="C165" i="2"/>
  <c r="A165" i="2"/>
  <c r="AN164" i="2"/>
  <c r="AM164" i="2"/>
  <c r="S164" i="2"/>
  <c r="F164" i="2"/>
  <c r="C164" i="2"/>
  <c r="A164" i="2"/>
  <c r="AN163" i="2"/>
  <c r="AM163" i="2"/>
  <c r="S163" i="2"/>
  <c r="F163" i="2"/>
  <c r="C163" i="2"/>
  <c r="A163" i="2"/>
  <c r="AN162" i="2"/>
  <c r="AM162" i="2"/>
  <c r="S162" i="2"/>
  <c r="F162" i="2"/>
  <c r="C162" i="2"/>
  <c r="A162" i="2"/>
  <c r="AN161" i="2"/>
  <c r="AM161" i="2"/>
  <c r="S161" i="2"/>
  <c r="F161" i="2"/>
  <c r="C161" i="2"/>
  <c r="A161" i="2"/>
  <c r="AN160" i="2"/>
  <c r="AM160" i="2"/>
  <c r="S160" i="2"/>
  <c r="F160" i="2"/>
  <c r="C160" i="2"/>
  <c r="A160" i="2"/>
  <c r="AN159" i="2"/>
  <c r="AM159" i="2"/>
  <c r="S159" i="2"/>
  <c r="F159" i="2"/>
  <c r="C159" i="2"/>
  <c r="A159" i="2"/>
  <c r="AN158" i="2"/>
  <c r="AM158" i="2"/>
  <c r="S158" i="2"/>
  <c r="F158" i="2"/>
  <c r="C158" i="2"/>
  <c r="A158" i="2"/>
  <c r="AN157" i="2"/>
  <c r="AM157" i="2"/>
  <c r="S157" i="2"/>
  <c r="F157" i="2"/>
  <c r="C157" i="2"/>
  <c r="A157" i="2"/>
  <c r="AN156" i="2"/>
  <c r="AM156" i="2"/>
  <c r="S156" i="2"/>
  <c r="F156" i="2"/>
  <c r="C156" i="2"/>
  <c r="A156" i="2"/>
  <c r="AN155" i="2"/>
  <c r="AM155" i="2"/>
  <c r="S155" i="2"/>
  <c r="F155" i="2"/>
  <c r="C155" i="2"/>
  <c r="A155" i="2"/>
  <c r="AN154" i="2"/>
  <c r="AM154" i="2"/>
  <c r="S154" i="2"/>
  <c r="F154" i="2"/>
  <c r="C154" i="2"/>
  <c r="A154" i="2"/>
  <c r="AN153" i="2"/>
  <c r="AM153" i="2"/>
  <c r="S153" i="2"/>
  <c r="F153" i="2"/>
  <c r="C153" i="2"/>
  <c r="A153" i="2"/>
  <c r="AN152" i="2"/>
  <c r="AM152" i="2"/>
  <c r="S152" i="2"/>
  <c r="F152" i="2"/>
  <c r="C152" i="2"/>
  <c r="A152" i="2"/>
  <c r="AN151" i="2"/>
  <c r="AM151" i="2"/>
  <c r="S151" i="2"/>
  <c r="F151" i="2"/>
  <c r="C151" i="2"/>
  <c r="A151" i="2"/>
  <c r="AN150" i="2"/>
  <c r="AM150" i="2"/>
  <c r="S150" i="2"/>
  <c r="F150" i="2"/>
  <c r="C150" i="2"/>
  <c r="A150" i="2"/>
  <c r="AN149" i="2"/>
  <c r="AM149" i="2"/>
  <c r="S149" i="2"/>
  <c r="F149" i="2"/>
  <c r="C149" i="2"/>
  <c r="A149" i="2"/>
  <c r="AN148" i="2"/>
  <c r="AM148" i="2"/>
  <c r="S148" i="2"/>
  <c r="F148" i="2"/>
  <c r="C148" i="2"/>
  <c r="A148" i="2"/>
  <c r="AN147" i="2"/>
  <c r="AM147" i="2"/>
  <c r="S147" i="2"/>
  <c r="F147" i="2"/>
  <c r="C147" i="2"/>
  <c r="A147" i="2"/>
  <c r="AN146" i="2"/>
  <c r="AM146" i="2"/>
  <c r="S146" i="2"/>
  <c r="F146" i="2"/>
  <c r="C146" i="2"/>
  <c r="A146" i="2"/>
  <c r="AN145" i="2"/>
  <c r="AM145" i="2"/>
  <c r="S145" i="2"/>
  <c r="F145" i="2"/>
  <c r="C145" i="2"/>
  <c r="A145" i="2"/>
  <c r="AN144" i="2"/>
  <c r="AM144" i="2"/>
  <c r="F144" i="2"/>
  <c r="C144" i="2"/>
  <c r="A144" i="2"/>
  <c r="AN143" i="2"/>
  <c r="AM143" i="2"/>
  <c r="S143" i="2"/>
  <c r="F143" i="2"/>
  <c r="C143" i="2"/>
  <c r="A143" i="2"/>
  <c r="AN142" i="2"/>
  <c r="AM142" i="2"/>
  <c r="S142" i="2"/>
  <c r="F142" i="2"/>
  <c r="C142" i="2"/>
  <c r="A142" i="2"/>
  <c r="AN141" i="2"/>
  <c r="AM141" i="2"/>
  <c r="S141" i="2"/>
  <c r="F141" i="2"/>
  <c r="C141" i="2"/>
  <c r="A141" i="2"/>
  <c r="AN140" i="2"/>
  <c r="AM140" i="2"/>
  <c r="S140" i="2"/>
  <c r="F140" i="2"/>
  <c r="C140" i="2"/>
  <c r="A140" i="2"/>
  <c r="AN139" i="2"/>
  <c r="AM139" i="2"/>
  <c r="S139" i="2"/>
  <c r="F139" i="2"/>
  <c r="C139" i="2"/>
  <c r="A139" i="2"/>
  <c r="AN138" i="2"/>
  <c r="AM138" i="2"/>
  <c r="S138" i="2"/>
  <c r="F138" i="2"/>
  <c r="C138" i="2"/>
  <c r="A138" i="2"/>
  <c r="AN137" i="2"/>
  <c r="AM137" i="2"/>
  <c r="S137" i="2"/>
  <c r="F137" i="2"/>
  <c r="C137" i="2"/>
  <c r="A137" i="2"/>
  <c r="AN136" i="2"/>
  <c r="AM136" i="2"/>
  <c r="S136" i="2"/>
  <c r="F136" i="2"/>
  <c r="C136" i="2"/>
  <c r="A136" i="2"/>
  <c r="F135" i="2"/>
  <c r="C135" i="2"/>
  <c r="A135" i="2"/>
  <c r="S134" i="2"/>
  <c r="F134" i="2"/>
  <c r="C134" i="2"/>
  <c r="A134" i="2"/>
  <c r="S133" i="2"/>
  <c r="F133" i="2"/>
  <c r="C133" i="2"/>
  <c r="A133" i="2"/>
  <c r="S132" i="2"/>
  <c r="F132" i="2"/>
  <c r="C132" i="2"/>
  <c r="A132" i="2"/>
  <c r="S131" i="2"/>
  <c r="F131" i="2"/>
  <c r="C131" i="2"/>
  <c r="A131" i="2"/>
  <c r="S130" i="2"/>
  <c r="F130" i="2"/>
  <c r="C130" i="2"/>
  <c r="A130" i="2"/>
  <c r="S129" i="2"/>
  <c r="F129" i="2"/>
  <c r="C129" i="2"/>
  <c r="A129" i="2"/>
  <c r="S128" i="2"/>
  <c r="F128" i="2"/>
  <c r="C128" i="2"/>
  <c r="A128" i="2"/>
  <c r="S127" i="2"/>
  <c r="F127" i="2"/>
  <c r="C127" i="2"/>
  <c r="A127" i="2"/>
  <c r="S126" i="2"/>
  <c r="F126" i="2"/>
  <c r="C126" i="2"/>
  <c r="A126" i="2"/>
  <c r="S125" i="2"/>
  <c r="F125" i="2"/>
  <c r="C125" i="2"/>
  <c r="A125" i="2"/>
  <c r="S124" i="2"/>
  <c r="F124" i="2"/>
  <c r="C124" i="2"/>
  <c r="A124" i="2"/>
  <c r="S123" i="2"/>
  <c r="F123" i="2"/>
  <c r="C123" i="2"/>
  <c r="A123" i="2"/>
  <c r="S122" i="2"/>
  <c r="F122" i="2"/>
  <c r="C122" i="2"/>
  <c r="A122" i="2"/>
  <c r="S121" i="2"/>
  <c r="F121" i="2"/>
  <c r="C121" i="2"/>
  <c r="A121" i="2"/>
  <c r="S120" i="2"/>
  <c r="F120" i="2"/>
  <c r="C120" i="2"/>
  <c r="A120" i="2"/>
  <c r="S119" i="2"/>
  <c r="F119" i="2"/>
  <c r="C119" i="2"/>
  <c r="A119" i="2"/>
  <c r="S118" i="2"/>
  <c r="F118" i="2"/>
  <c r="C118" i="2"/>
  <c r="A118" i="2"/>
  <c r="S117" i="2"/>
  <c r="F117" i="2"/>
  <c r="C117" i="2"/>
  <c r="A117" i="2"/>
  <c r="S116" i="2"/>
  <c r="F116" i="2"/>
  <c r="C116" i="2"/>
  <c r="A116" i="2"/>
  <c r="S115" i="2"/>
  <c r="F115" i="2"/>
  <c r="C115" i="2"/>
  <c r="A115" i="2"/>
  <c r="S114" i="2"/>
  <c r="F114" i="2"/>
  <c r="C114" i="2"/>
  <c r="A114" i="2"/>
  <c r="F113" i="2"/>
  <c r="C113" i="2"/>
  <c r="A113" i="2"/>
  <c r="F112" i="2"/>
  <c r="C112" i="2"/>
  <c r="A112" i="2"/>
  <c r="S111" i="2"/>
  <c r="F111" i="2"/>
  <c r="C111" i="2"/>
  <c r="A111" i="2"/>
  <c r="S110" i="2"/>
  <c r="F110" i="2"/>
  <c r="C110" i="2"/>
  <c r="A110" i="2"/>
  <c r="S101" i="2"/>
  <c r="F101" i="2"/>
  <c r="C101" i="2"/>
  <c r="A101" i="2"/>
  <c r="S100" i="2"/>
  <c r="F100" i="2"/>
  <c r="C100" i="2"/>
  <c r="A100" i="2"/>
  <c r="S99" i="2"/>
  <c r="F99" i="2"/>
  <c r="C99" i="2"/>
  <c r="A99" i="2"/>
  <c r="S98" i="2"/>
  <c r="F98" i="2"/>
  <c r="C98" i="2"/>
  <c r="A98" i="2"/>
  <c r="S97" i="2"/>
  <c r="F97" i="2"/>
  <c r="C97" i="2"/>
  <c r="A97" i="2"/>
  <c r="S96" i="2"/>
  <c r="F96" i="2"/>
  <c r="C96" i="2"/>
  <c r="A96" i="2"/>
  <c r="S95" i="2"/>
  <c r="F95" i="2"/>
  <c r="C95" i="2"/>
  <c r="A95" i="2"/>
  <c r="S94" i="2"/>
  <c r="F94" i="2"/>
  <c r="C94" i="2"/>
  <c r="A94" i="2"/>
  <c r="S93" i="2"/>
  <c r="F93" i="2"/>
  <c r="C93" i="2"/>
  <c r="A93" i="2"/>
  <c r="S92" i="2"/>
  <c r="F92" i="2"/>
  <c r="C92" i="2"/>
  <c r="A92" i="2"/>
  <c r="S91" i="2"/>
  <c r="F91" i="2"/>
  <c r="C91" i="2"/>
  <c r="A91" i="2"/>
  <c r="S90" i="2"/>
  <c r="F90" i="2"/>
  <c r="C90" i="2"/>
  <c r="A90" i="2"/>
  <c r="S89" i="2"/>
  <c r="F89" i="2"/>
  <c r="C89" i="2"/>
  <c r="A89" i="2"/>
  <c r="S88" i="2"/>
  <c r="F88" i="2"/>
  <c r="C88" i="2"/>
  <c r="A88" i="2"/>
  <c r="S87" i="2"/>
  <c r="F87" i="2"/>
  <c r="C87" i="2"/>
  <c r="A87" i="2"/>
  <c r="S86" i="2"/>
  <c r="F86" i="2"/>
  <c r="C86" i="2"/>
  <c r="A86" i="2"/>
  <c r="S85" i="2"/>
  <c r="F85" i="2"/>
  <c r="C85" i="2"/>
  <c r="A85" i="2"/>
  <c r="S84" i="2"/>
  <c r="F84" i="2"/>
  <c r="C84" i="2"/>
  <c r="A84" i="2"/>
  <c r="S83" i="2"/>
  <c r="F83" i="2"/>
  <c r="C83" i="2"/>
  <c r="A83" i="2"/>
  <c r="S82" i="2"/>
  <c r="F82" i="2"/>
  <c r="C82" i="2"/>
  <c r="A82" i="2"/>
  <c r="S81" i="2"/>
  <c r="F81" i="2"/>
  <c r="C81" i="2"/>
  <c r="A81" i="2"/>
  <c r="S80" i="2"/>
  <c r="F80" i="2"/>
  <c r="C80" i="2"/>
  <c r="A80" i="2"/>
  <c r="S79" i="2"/>
  <c r="F79" i="2"/>
  <c r="C79" i="2"/>
  <c r="A79" i="2"/>
  <c r="S78" i="2"/>
  <c r="F78" i="2"/>
  <c r="C78" i="2"/>
  <c r="A78" i="2"/>
  <c r="S77" i="2"/>
  <c r="F77" i="2"/>
  <c r="C77" i="2"/>
  <c r="A77" i="2"/>
  <c r="S76" i="2"/>
  <c r="F76" i="2"/>
  <c r="C76" i="2"/>
  <c r="A76" i="2"/>
  <c r="S75" i="2"/>
  <c r="F75" i="2"/>
  <c r="C75" i="2"/>
  <c r="A75" i="2"/>
  <c r="S74" i="2"/>
  <c r="F74" i="2"/>
  <c r="C74" i="2"/>
  <c r="A74" i="2"/>
  <c r="S73" i="2"/>
  <c r="F73" i="2"/>
  <c r="C73" i="2"/>
  <c r="A73" i="2"/>
  <c r="S72" i="2"/>
  <c r="F72" i="2"/>
  <c r="C72" i="2"/>
  <c r="A72" i="2"/>
  <c r="S71" i="2"/>
  <c r="F71" i="2"/>
  <c r="C71" i="2"/>
  <c r="A71" i="2"/>
  <c r="S70" i="2"/>
  <c r="F70" i="2"/>
  <c r="C70" i="2"/>
  <c r="A70" i="2"/>
  <c r="F69" i="2"/>
  <c r="C69" i="2"/>
  <c r="A69" i="2"/>
  <c r="AJ68" i="2"/>
  <c r="AI68" i="2"/>
  <c r="AH68" i="2"/>
  <c r="AG68" i="2"/>
  <c r="AJ65" i="2"/>
  <c r="AI65" i="2"/>
  <c r="AH65" i="2"/>
  <c r="AG65" i="2"/>
  <c r="AJ63" i="2"/>
  <c r="AI63" i="2"/>
  <c r="AJ62" i="2"/>
  <c r="AI62" i="2"/>
  <c r="AG62" i="2"/>
  <c r="AJ61" i="2"/>
  <c r="AI61" i="2"/>
  <c r="AJ60" i="2"/>
  <c r="AI60" i="2"/>
  <c r="AH60" i="2"/>
  <c r="AG60" i="2"/>
  <c r="AJ59" i="2"/>
  <c r="AI59" i="2"/>
  <c r="AH59" i="2"/>
  <c r="AG59" i="2"/>
  <c r="AJ58" i="2"/>
  <c r="AI58" i="2"/>
  <c r="AH58" i="2"/>
  <c r="AG58" i="2"/>
  <c r="AJ36" i="2"/>
  <c r="AI36" i="2"/>
  <c r="AJ35" i="2"/>
  <c r="AI35" i="2"/>
  <c r="AJ34" i="2"/>
  <c r="AI34" i="2"/>
  <c r="AJ33" i="2"/>
  <c r="AI33" i="2"/>
  <c r="AJ32" i="2"/>
  <c r="AI32" i="2"/>
  <c r="AJ31" i="2"/>
  <c r="AI31" i="2"/>
  <c r="C57" i="2"/>
  <c r="C56" i="2"/>
  <c r="C55" i="2"/>
  <c r="C54" i="2"/>
  <c r="C53" i="2"/>
  <c r="C52" i="2"/>
  <c r="C51" i="2"/>
  <c r="C50" i="2"/>
  <c r="C49" i="2"/>
  <c r="C48" i="2"/>
  <c r="C47" i="2"/>
  <c r="C46" i="2"/>
  <c r="C45" i="2"/>
  <c r="C44" i="2"/>
  <c r="C43" i="2"/>
  <c r="C42" i="2"/>
  <c r="C41" i="2"/>
  <c r="C40" i="2"/>
  <c r="C39" i="2"/>
  <c r="C38" i="2"/>
  <c r="C37" i="2"/>
  <c r="C36" i="2"/>
  <c r="C35" i="2"/>
  <c r="C34" i="2"/>
  <c r="C33" i="2"/>
  <c r="C32" i="2"/>
  <c r="C31"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A31" i="2"/>
  <c r="F30" i="2"/>
  <c r="B30" i="2"/>
  <c r="A30" i="2"/>
  <c r="AT29" i="2"/>
  <c r="AS29" i="2"/>
  <c r="AR29" i="2"/>
  <c r="AN29" i="2"/>
  <c r="AM29" i="2"/>
  <c r="F29" i="2"/>
  <c r="B29" i="2"/>
  <c r="A29" i="2"/>
  <c r="F28" i="2"/>
  <c r="B28" i="2"/>
  <c r="A28" i="2"/>
  <c r="AT27" i="2"/>
  <c r="AS27" i="2"/>
  <c r="AR27" i="2"/>
  <c r="F27" i="2"/>
  <c r="B27" i="2"/>
  <c r="A27" i="2"/>
  <c r="AT26" i="2"/>
  <c r="AS26" i="2"/>
  <c r="AR26" i="2"/>
  <c r="F26" i="2"/>
  <c r="B26" i="2"/>
  <c r="A26" i="2"/>
  <c r="AT25" i="2"/>
  <c r="AS25" i="2"/>
  <c r="AR25" i="2"/>
  <c r="F25" i="2"/>
  <c r="B25" i="2"/>
  <c r="A25" i="2"/>
  <c r="AT24" i="2"/>
  <c r="AS24" i="2"/>
  <c r="AR24" i="2"/>
  <c r="F24" i="2"/>
  <c r="B24" i="2"/>
  <c r="A24" i="2"/>
  <c r="AT23" i="2"/>
  <c r="AS23" i="2"/>
  <c r="AR23" i="2"/>
  <c r="F23" i="2"/>
  <c r="B23" i="2"/>
  <c r="A23" i="2"/>
  <c r="AT22" i="2"/>
  <c r="AS22" i="2"/>
  <c r="AR22" i="2"/>
  <c r="AN22" i="2"/>
  <c r="AM22" i="2"/>
  <c r="F22" i="2"/>
  <c r="B22" i="2"/>
  <c r="A22" i="2"/>
  <c r="AT21" i="2"/>
  <c r="AS21" i="2"/>
  <c r="AR21" i="2"/>
  <c r="AN21" i="2"/>
  <c r="AM21" i="2"/>
  <c r="F21" i="2"/>
  <c r="B21" i="2"/>
  <c r="A21" i="2"/>
  <c r="F20" i="2"/>
  <c r="B20" i="2"/>
  <c r="A20" i="2"/>
  <c r="AT19" i="2"/>
  <c r="AS19" i="2"/>
  <c r="AR19" i="2"/>
  <c r="AN19" i="2"/>
  <c r="AM19" i="2"/>
  <c r="F19" i="2"/>
  <c r="B19" i="2"/>
  <c r="A19" i="2"/>
  <c r="F18" i="2"/>
  <c r="B18" i="2"/>
  <c r="A18" i="2"/>
  <c r="AT17" i="2"/>
  <c r="AS17" i="2"/>
  <c r="AR17" i="2"/>
  <c r="F17" i="2"/>
  <c r="B17" i="2"/>
  <c r="A17" i="2"/>
  <c r="AT16" i="2"/>
  <c r="AS16" i="2"/>
  <c r="AR16" i="2"/>
  <c r="F16" i="2"/>
  <c r="B16" i="2"/>
  <c r="A16" i="2"/>
  <c r="AT15" i="2"/>
  <c r="AS15" i="2"/>
  <c r="AR15" i="2"/>
  <c r="F15" i="2"/>
  <c r="B15" i="2"/>
  <c r="A15" i="2"/>
  <c r="AT14" i="2"/>
  <c r="AS14" i="2"/>
  <c r="AR14" i="2"/>
  <c r="F14" i="2"/>
  <c r="B14" i="2"/>
  <c r="A14" i="2"/>
  <c r="AT13" i="2"/>
  <c r="AS13" i="2"/>
  <c r="AR13" i="2"/>
  <c r="F13" i="2"/>
  <c r="B13" i="2"/>
  <c r="A13" i="2"/>
  <c r="AT12" i="2"/>
  <c r="AS12" i="2"/>
  <c r="AR12" i="2"/>
  <c r="F12" i="2"/>
  <c r="B12" i="2"/>
  <c r="A12" i="2"/>
  <c r="AT11" i="2"/>
  <c r="AS11" i="2"/>
  <c r="AR11" i="2"/>
  <c r="F11" i="2"/>
  <c r="B11" i="2"/>
  <c r="A11" i="2"/>
  <c r="AT10" i="2"/>
  <c r="AS10" i="2"/>
  <c r="AR10" i="2"/>
  <c r="AN10" i="2"/>
  <c r="AM10" i="2"/>
  <c r="F10" i="2"/>
  <c r="B10" i="2"/>
  <c r="A10" i="2"/>
  <c r="AT9" i="2"/>
  <c r="AS9" i="2"/>
  <c r="AR9" i="2"/>
  <c r="AN9" i="2"/>
  <c r="AM9" i="2"/>
  <c r="F9" i="2"/>
  <c r="B9" i="2"/>
  <c r="A9" i="2"/>
  <c r="F8" i="2"/>
  <c r="B8" i="2"/>
  <c r="A8" i="2"/>
  <c r="AT7" i="2"/>
  <c r="AS7" i="2"/>
  <c r="AR7" i="2"/>
  <c r="F7" i="2"/>
  <c r="B7" i="2"/>
  <c r="A7" i="2"/>
  <c r="AT6" i="2"/>
  <c r="AS6" i="2"/>
  <c r="AR6" i="2"/>
  <c r="F6" i="2"/>
  <c r="B6" i="2"/>
  <c r="A6" i="2"/>
  <c r="AT5" i="2"/>
  <c r="AS5" i="2"/>
  <c r="AR5" i="2"/>
  <c r="F5" i="2"/>
  <c r="B5" i="2"/>
  <c r="A5" i="2"/>
  <c r="AT4" i="2"/>
  <c r="AS4" i="2"/>
  <c r="AR4" i="2"/>
  <c r="AN4" i="2"/>
  <c r="AM4" i="2"/>
  <c r="F4" i="2"/>
  <c r="B4" i="2"/>
  <c r="A4" i="2"/>
  <c r="AT3" i="2"/>
  <c r="AS3" i="2"/>
  <c r="AR3" i="2"/>
  <c r="AN3" i="2"/>
  <c r="AM3" i="2"/>
  <c r="F3" i="2"/>
  <c r="B3" i="2"/>
  <c r="A3" i="2"/>
  <c r="F2" i="2"/>
  <c r="B2" i="2"/>
  <c r="A2" i="2"/>
  <c r="I35" i="28"/>
  <c r="H35" i="28"/>
  <c r="N1089" i="2"/>
  <c r="AL1001" i="38"/>
  <c r="AL1000" i="38"/>
  <c r="AL999" i="38"/>
  <c r="AL998" i="38"/>
  <c r="AL997" i="38"/>
  <c r="AL996" i="38"/>
  <c r="AL995" i="38"/>
  <c r="AL994" i="38"/>
  <c r="AL993" i="38"/>
  <c r="AL992" i="38"/>
  <c r="AL991" i="38"/>
  <c r="AL990" i="38"/>
  <c r="AL989" i="38"/>
  <c r="AL988" i="38"/>
  <c r="AL987" i="38"/>
  <c r="AL986" i="38"/>
  <c r="AL985" i="38"/>
  <c r="AL984" i="38"/>
  <c r="AL983" i="38"/>
  <c r="AL982" i="38"/>
  <c r="AL981" i="38"/>
  <c r="AL980" i="38"/>
  <c r="AL979" i="38"/>
  <c r="AL978" i="38"/>
  <c r="AL977" i="38"/>
  <c r="AL976" i="38"/>
  <c r="AL975" i="38"/>
  <c r="AL974" i="38"/>
  <c r="AL973" i="38"/>
  <c r="AL972" i="38"/>
  <c r="AL971" i="38"/>
  <c r="AL970" i="38"/>
  <c r="AL969" i="38"/>
  <c r="AL968" i="38"/>
  <c r="AL967" i="38"/>
  <c r="AL966" i="38"/>
  <c r="AL965" i="38"/>
  <c r="AL964" i="38"/>
  <c r="AL963" i="38"/>
  <c r="AL962" i="38"/>
  <c r="AL961" i="38"/>
  <c r="AL960" i="38"/>
  <c r="AL959" i="38"/>
  <c r="AL958" i="38"/>
  <c r="AL957" i="38"/>
  <c r="AL956" i="38"/>
  <c r="AL955" i="38"/>
  <c r="AL954" i="38"/>
  <c r="AL953" i="38"/>
  <c r="AL952" i="38"/>
  <c r="AL951" i="38"/>
  <c r="AL950" i="38"/>
  <c r="AL949" i="38"/>
  <c r="AL948" i="38"/>
  <c r="AL947" i="38"/>
  <c r="AL946" i="38"/>
  <c r="AL945" i="38"/>
  <c r="AL944" i="38"/>
  <c r="AL943" i="38"/>
  <c r="AL942" i="38"/>
  <c r="AL941" i="38"/>
  <c r="AL940" i="38"/>
  <c r="AL939" i="38"/>
  <c r="AL938" i="38"/>
  <c r="AL937" i="38"/>
  <c r="AL936" i="38"/>
  <c r="AL935" i="38"/>
  <c r="AL934" i="38"/>
  <c r="AL933" i="38"/>
  <c r="AL932" i="38"/>
  <c r="AL931" i="38"/>
  <c r="AL930" i="38"/>
  <c r="AL929" i="38"/>
  <c r="AL928" i="38"/>
  <c r="AL927" i="38"/>
  <c r="AL926" i="38"/>
  <c r="AL925" i="38"/>
  <c r="AL924" i="38"/>
  <c r="AL923" i="38"/>
  <c r="AL922" i="38"/>
  <c r="AL921" i="38"/>
  <c r="AL920" i="38"/>
  <c r="AL919" i="38"/>
  <c r="AL918" i="38"/>
  <c r="AL917" i="38"/>
  <c r="AL916" i="38"/>
  <c r="AL915" i="38"/>
  <c r="AL914" i="38"/>
  <c r="AL913" i="38"/>
  <c r="AL912" i="38"/>
  <c r="AL911" i="38"/>
  <c r="AL910" i="38"/>
  <c r="AL909" i="38"/>
  <c r="AL908" i="38"/>
  <c r="AL907" i="38"/>
  <c r="AL906" i="38"/>
  <c r="AL905" i="38"/>
  <c r="AL904" i="38"/>
  <c r="AL903" i="38"/>
  <c r="AL902" i="38"/>
  <c r="AL901" i="38"/>
  <c r="AL900" i="38"/>
  <c r="AL899" i="38"/>
  <c r="AL898" i="38"/>
  <c r="AL897" i="38"/>
  <c r="AL896" i="38"/>
  <c r="AL895" i="38"/>
  <c r="AL894" i="38"/>
  <c r="AL893" i="38"/>
  <c r="AL892" i="38"/>
  <c r="AL891" i="38"/>
  <c r="AL890" i="38"/>
  <c r="AL889" i="38"/>
  <c r="AL888" i="38"/>
  <c r="AL887" i="38"/>
  <c r="AL886" i="38"/>
  <c r="AL885" i="38"/>
  <c r="AL884" i="38"/>
  <c r="AL883" i="38"/>
  <c r="AL882" i="38"/>
  <c r="AL881" i="38"/>
  <c r="AL880" i="38"/>
  <c r="AL879" i="38"/>
  <c r="AL878" i="38"/>
  <c r="AL877" i="38"/>
  <c r="AL876" i="38"/>
  <c r="AL875" i="38"/>
  <c r="AL874" i="38"/>
  <c r="AL873" i="38"/>
  <c r="AL872" i="38"/>
  <c r="AL871" i="38"/>
  <c r="AL870" i="38"/>
  <c r="AL869" i="38"/>
  <c r="AL868" i="38"/>
  <c r="AL867" i="38"/>
  <c r="AL866" i="38"/>
  <c r="AL865" i="38"/>
  <c r="AL864" i="38"/>
  <c r="AL863" i="38"/>
  <c r="AL862" i="38"/>
  <c r="AL861" i="38"/>
  <c r="AL860" i="38"/>
  <c r="AL859" i="38"/>
  <c r="AL858" i="38"/>
  <c r="AL857" i="38"/>
  <c r="AL856" i="38"/>
  <c r="AL855" i="38"/>
  <c r="AL854" i="38"/>
  <c r="AL853" i="38"/>
  <c r="AL852" i="38"/>
  <c r="AL851" i="38"/>
  <c r="AL850" i="38"/>
  <c r="AL849" i="38"/>
  <c r="AL848" i="38"/>
  <c r="AL847" i="38"/>
  <c r="AL846" i="38"/>
  <c r="AL845" i="38"/>
  <c r="AL844" i="38"/>
  <c r="AL843" i="38"/>
  <c r="AL842" i="38"/>
  <c r="AL841" i="38"/>
  <c r="AL840" i="38"/>
  <c r="AL839" i="38"/>
  <c r="AL838" i="38"/>
  <c r="AL837" i="38"/>
  <c r="AL836" i="38"/>
  <c r="AL835" i="38"/>
  <c r="AL834" i="38"/>
  <c r="AL833" i="38"/>
  <c r="AL832" i="38"/>
  <c r="AL831" i="38"/>
  <c r="AL830" i="38"/>
  <c r="AL829" i="38"/>
  <c r="AL828" i="38"/>
  <c r="AL827" i="38"/>
  <c r="AL826" i="38"/>
  <c r="AL825" i="38"/>
  <c r="AL824" i="38"/>
  <c r="AL823" i="38"/>
  <c r="AL822" i="38"/>
  <c r="AL821" i="38"/>
  <c r="AL820" i="38"/>
  <c r="AL819" i="38"/>
  <c r="AL818" i="38"/>
  <c r="AL817" i="38"/>
  <c r="AL816" i="38"/>
  <c r="AL815" i="38"/>
  <c r="AL814" i="38"/>
  <c r="AL813" i="38"/>
  <c r="AL812" i="38"/>
  <c r="AL811" i="38"/>
  <c r="AL810" i="38"/>
  <c r="AL809" i="38"/>
  <c r="AL808" i="38"/>
  <c r="AL807" i="38"/>
  <c r="AL806" i="38"/>
  <c r="AL805" i="38"/>
  <c r="AL804" i="38"/>
  <c r="AL803" i="38"/>
  <c r="AL802" i="38"/>
  <c r="AL801" i="38"/>
  <c r="AL800" i="38"/>
  <c r="AL799" i="38"/>
  <c r="AL798" i="38"/>
  <c r="AL797" i="38"/>
  <c r="AL796" i="38"/>
  <c r="AL795" i="38"/>
  <c r="AL794" i="38"/>
  <c r="AL793" i="38"/>
  <c r="AL792" i="38"/>
  <c r="AL791" i="38"/>
  <c r="AL790" i="38"/>
  <c r="AL789" i="38"/>
  <c r="AL788" i="38"/>
  <c r="AL787" i="38"/>
  <c r="AL786" i="38"/>
  <c r="AL785" i="38"/>
  <c r="AL784" i="38"/>
  <c r="AL783" i="38"/>
  <c r="AL782" i="38"/>
  <c r="AL781" i="38"/>
  <c r="AL780" i="38"/>
  <c r="AL779" i="38"/>
  <c r="AL778" i="38"/>
  <c r="AL777" i="38"/>
  <c r="AL776" i="38"/>
  <c r="AL775" i="38"/>
  <c r="AL774" i="38"/>
  <c r="AL773" i="38"/>
  <c r="AL772" i="38"/>
  <c r="AL771" i="38"/>
  <c r="AL770" i="38"/>
  <c r="AL769" i="38"/>
  <c r="AL768" i="38"/>
  <c r="AL767" i="38"/>
  <c r="AL766" i="38"/>
  <c r="AL765" i="38"/>
  <c r="AL764" i="38"/>
  <c r="AL763" i="38"/>
  <c r="AL762" i="38"/>
  <c r="AL761" i="38"/>
  <c r="AL760" i="38"/>
  <c r="AL759" i="38"/>
  <c r="AL758" i="38"/>
  <c r="AL757" i="38"/>
  <c r="AL756" i="38"/>
  <c r="AL755" i="38"/>
  <c r="AL754" i="38"/>
  <c r="AL753" i="38"/>
  <c r="AL752" i="38"/>
  <c r="AL751" i="38"/>
  <c r="AL750" i="38"/>
  <c r="AL749" i="38"/>
  <c r="AL748" i="38"/>
  <c r="AL747" i="38"/>
  <c r="AL746" i="38"/>
  <c r="AL745" i="38"/>
  <c r="AL744" i="38"/>
  <c r="AL743" i="38"/>
  <c r="AL742" i="38"/>
  <c r="AL741" i="38"/>
  <c r="AL740" i="38"/>
  <c r="AL739" i="38"/>
  <c r="AL738" i="38"/>
  <c r="AL737" i="38"/>
  <c r="AL736" i="38"/>
  <c r="AL735" i="38"/>
  <c r="AL734" i="38"/>
  <c r="AL733" i="38"/>
  <c r="AL732" i="38"/>
  <c r="AL731" i="38"/>
  <c r="AL730" i="38"/>
  <c r="AL729" i="38"/>
  <c r="AL728" i="38"/>
  <c r="AL727" i="38"/>
  <c r="AL726" i="38"/>
  <c r="AL725" i="38"/>
  <c r="AL724" i="38"/>
  <c r="AL723" i="38"/>
  <c r="AL722" i="38"/>
  <c r="AL721" i="38"/>
  <c r="AL720" i="38"/>
  <c r="AL719" i="38"/>
  <c r="AL718" i="38"/>
  <c r="AL717" i="38"/>
  <c r="AL716" i="38"/>
  <c r="AL715" i="38"/>
  <c r="AL714" i="38"/>
  <c r="AL713" i="38"/>
  <c r="AL712" i="38"/>
  <c r="AL711" i="38"/>
  <c r="AL710" i="38"/>
  <c r="AL709" i="38"/>
  <c r="AL708" i="38"/>
  <c r="AL707" i="38"/>
  <c r="AL706" i="38"/>
  <c r="AL705" i="38"/>
  <c r="AL704" i="38"/>
  <c r="AL703" i="38"/>
  <c r="AL702" i="38"/>
  <c r="AL701" i="38"/>
  <c r="AL700" i="38"/>
  <c r="AL699" i="38"/>
  <c r="AL698" i="38"/>
  <c r="AL697" i="38"/>
  <c r="AL696" i="38"/>
  <c r="AL695" i="38"/>
  <c r="AL694" i="38"/>
  <c r="AL693" i="38"/>
  <c r="AL692" i="38"/>
  <c r="AL691" i="38"/>
  <c r="AL690" i="38"/>
  <c r="AL689" i="38"/>
  <c r="AL688" i="38"/>
  <c r="AL687" i="38"/>
  <c r="AL686" i="38"/>
  <c r="AL685" i="38"/>
  <c r="AL684" i="38"/>
  <c r="AL683" i="38"/>
  <c r="AL682" i="38"/>
  <c r="AL681" i="38"/>
  <c r="AL680" i="38"/>
  <c r="AL679" i="38"/>
  <c r="AL678" i="38"/>
  <c r="AL677" i="38"/>
  <c r="AL676" i="38"/>
  <c r="AL675" i="38"/>
  <c r="AL674" i="38"/>
  <c r="AL673" i="38"/>
  <c r="AL672" i="38"/>
  <c r="AL671" i="38"/>
  <c r="AL670" i="38"/>
  <c r="AL669" i="38"/>
  <c r="AL668" i="38"/>
  <c r="AL667" i="38"/>
  <c r="AL666" i="38"/>
  <c r="AL665" i="38"/>
  <c r="AL664" i="38"/>
  <c r="AL663" i="38"/>
  <c r="AL662" i="38"/>
  <c r="AL661" i="38"/>
  <c r="AL660" i="38"/>
  <c r="AL659" i="38"/>
  <c r="AL658" i="38"/>
  <c r="AL657" i="38"/>
  <c r="AL656" i="38"/>
  <c r="AL655" i="38"/>
  <c r="AL654" i="38"/>
  <c r="AL653" i="38"/>
  <c r="AL652" i="38"/>
  <c r="AL651" i="38"/>
  <c r="AL650" i="38"/>
  <c r="AL649" i="38"/>
  <c r="AL648" i="38"/>
  <c r="AL647" i="38"/>
  <c r="AL646" i="38"/>
  <c r="AL645" i="38"/>
  <c r="AL644" i="38"/>
  <c r="AL643" i="38"/>
  <c r="AL642" i="38"/>
  <c r="AL641" i="38"/>
  <c r="AL640" i="38"/>
  <c r="AL639" i="38"/>
  <c r="AL638" i="38"/>
  <c r="AL637" i="38"/>
  <c r="AL636" i="38"/>
  <c r="AL635" i="38"/>
  <c r="AL634" i="38"/>
  <c r="AL633" i="38"/>
  <c r="AL632" i="38"/>
  <c r="AL631" i="38"/>
  <c r="AL630" i="38"/>
  <c r="AL629" i="38"/>
  <c r="AL628" i="38"/>
  <c r="AL627" i="38"/>
  <c r="AL626" i="38"/>
  <c r="AL625" i="38"/>
  <c r="AL624" i="38"/>
  <c r="AL623" i="38"/>
  <c r="AL622" i="38"/>
  <c r="AL621" i="38"/>
  <c r="AL620" i="38"/>
  <c r="AL619" i="38"/>
  <c r="AL618" i="38"/>
  <c r="AL617" i="38"/>
  <c r="AL616" i="38"/>
  <c r="AL615" i="38"/>
  <c r="AL614" i="38"/>
  <c r="AL613" i="38"/>
  <c r="AL612" i="38"/>
  <c r="AL611" i="38"/>
  <c r="AL610" i="38"/>
  <c r="AL609" i="38"/>
  <c r="AL608" i="38"/>
  <c r="AL607" i="38"/>
  <c r="AL606" i="38"/>
  <c r="AL605" i="38"/>
  <c r="AL604" i="38"/>
  <c r="AL603" i="38"/>
  <c r="AL602" i="38"/>
  <c r="AL601" i="38"/>
  <c r="AL600" i="38"/>
  <c r="AL599" i="38"/>
  <c r="AL598" i="38"/>
  <c r="AL597" i="38"/>
  <c r="AL596" i="38"/>
  <c r="AL595" i="38"/>
  <c r="AL594" i="38"/>
  <c r="AL593" i="38"/>
  <c r="AL592" i="38"/>
  <c r="AL591" i="38"/>
  <c r="AL590" i="38"/>
  <c r="AL589" i="38"/>
  <c r="AL588" i="38"/>
  <c r="AL587" i="38"/>
  <c r="AL586" i="38"/>
  <c r="AL585" i="38"/>
  <c r="AL584" i="38"/>
  <c r="AL583" i="38"/>
  <c r="AL582" i="38"/>
  <c r="AL581" i="38"/>
  <c r="AL580" i="38"/>
  <c r="AL579" i="38"/>
  <c r="AL578" i="38"/>
  <c r="AL577" i="38"/>
  <c r="AL576" i="38"/>
  <c r="AL575" i="38"/>
  <c r="AL574" i="38"/>
  <c r="AL573" i="38"/>
  <c r="AL572" i="38"/>
  <c r="AL571" i="38"/>
  <c r="AL570" i="38"/>
  <c r="AL569" i="38"/>
  <c r="AL568" i="38"/>
  <c r="AL567" i="38"/>
  <c r="AL566" i="38"/>
  <c r="AL565" i="38"/>
  <c r="AL564" i="38"/>
  <c r="AL563" i="38"/>
  <c r="AL562" i="38"/>
  <c r="AL561" i="38"/>
  <c r="AL560" i="38"/>
  <c r="AL559" i="38"/>
  <c r="AL558" i="38"/>
  <c r="AL557" i="38"/>
  <c r="AL556" i="38"/>
  <c r="AL555" i="38"/>
  <c r="AL554" i="38"/>
  <c r="AL553" i="38"/>
  <c r="AL552" i="38"/>
  <c r="AL551" i="38"/>
  <c r="AL550" i="38"/>
  <c r="AL549" i="38"/>
  <c r="AL548" i="38"/>
  <c r="AL547" i="38"/>
  <c r="AL546" i="38"/>
  <c r="AL545" i="38"/>
  <c r="AL544" i="38"/>
  <c r="AL543" i="38"/>
  <c r="AL542" i="38"/>
  <c r="AL541" i="38"/>
  <c r="AL540" i="38"/>
  <c r="AL539" i="38"/>
  <c r="AL538" i="38"/>
  <c r="AL537" i="38"/>
  <c r="AL536" i="38"/>
  <c r="AL535" i="38"/>
  <c r="AL534" i="38"/>
  <c r="AL533" i="38"/>
  <c r="AL532" i="38"/>
  <c r="AL531" i="38"/>
  <c r="AL530" i="38"/>
  <c r="AL529" i="38"/>
  <c r="AL528" i="38"/>
  <c r="AL527" i="38"/>
  <c r="AL526" i="38"/>
  <c r="AL525" i="38"/>
  <c r="AL524" i="38"/>
  <c r="AL523" i="38"/>
  <c r="AL522" i="38"/>
  <c r="AL521" i="38"/>
  <c r="AL520" i="38"/>
  <c r="AL519" i="38"/>
  <c r="AL518" i="38"/>
  <c r="AL517" i="38"/>
  <c r="AL516" i="38"/>
  <c r="AL515" i="38"/>
  <c r="AL514" i="38"/>
  <c r="AL513" i="38"/>
  <c r="AL512" i="38"/>
  <c r="AL511" i="38"/>
  <c r="AL510" i="38"/>
  <c r="AL509" i="38"/>
  <c r="AL508" i="38"/>
  <c r="AL507" i="38"/>
  <c r="AL506" i="38"/>
  <c r="AL505" i="38"/>
  <c r="AL504" i="38"/>
  <c r="AL503" i="38"/>
  <c r="AL502" i="38"/>
  <c r="AL501" i="38"/>
  <c r="AL500" i="38"/>
  <c r="AL499" i="38"/>
  <c r="AL498" i="38"/>
  <c r="AL497" i="38"/>
  <c r="AL496" i="38"/>
  <c r="AL495" i="38"/>
  <c r="AL494" i="38"/>
  <c r="AL493" i="38"/>
  <c r="AL492" i="38"/>
  <c r="AL491" i="38"/>
  <c r="AL490" i="38"/>
  <c r="AL489" i="38"/>
  <c r="AL488" i="38"/>
  <c r="AL487" i="38"/>
  <c r="AL486" i="38"/>
  <c r="AL485" i="38"/>
  <c r="AL484" i="38"/>
  <c r="AL483" i="38"/>
  <c r="AL482" i="38"/>
  <c r="AL481" i="38"/>
  <c r="AL480" i="38"/>
  <c r="AL479" i="38"/>
  <c r="AL478" i="38"/>
  <c r="AL477" i="38"/>
  <c r="AL476" i="38"/>
  <c r="AL475" i="38"/>
  <c r="AL474" i="38"/>
  <c r="AL473" i="38"/>
  <c r="AL472" i="38"/>
  <c r="AL471" i="38"/>
  <c r="AL470" i="38"/>
  <c r="AL469" i="38"/>
  <c r="AL468" i="38"/>
  <c r="AL467" i="38"/>
  <c r="AL466" i="38"/>
  <c r="AL465" i="38"/>
  <c r="AL464" i="38"/>
  <c r="AL463" i="38"/>
  <c r="AL462" i="38"/>
  <c r="AL461" i="38"/>
  <c r="AL460" i="38"/>
  <c r="AL459" i="38"/>
  <c r="AL458" i="38"/>
  <c r="AL457" i="38"/>
  <c r="AL456" i="38"/>
  <c r="AL455" i="38"/>
  <c r="AL454" i="38"/>
  <c r="AL453" i="38"/>
  <c r="AL452" i="38"/>
  <c r="AL451" i="38"/>
  <c r="AL450" i="38"/>
  <c r="AL449" i="38"/>
  <c r="AL448" i="38"/>
  <c r="AL447" i="38"/>
  <c r="AL446" i="38"/>
  <c r="AL445" i="38"/>
  <c r="AL444" i="38"/>
  <c r="AL443" i="38"/>
  <c r="AL442" i="38"/>
  <c r="AL441" i="38"/>
  <c r="AL440" i="38"/>
  <c r="AL439" i="38"/>
  <c r="AL438" i="38"/>
  <c r="AL437" i="38"/>
  <c r="AL436" i="38"/>
  <c r="AL435" i="38"/>
  <c r="AL434" i="38"/>
  <c r="AL433" i="38"/>
  <c r="AL432" i="38"/>
  <c r="AL431" i="38"/>
  <c r="AL430" i="38"/>
  <c r="AL429" i="38"/>
  <c r="AL428" i="38"/>
  <c r="AL427" i="38"/>
  <c r="AL426" i="38"/>
  <c r="AL425" i="38"/>
  <c r="AL424" i="38"/>
  <c r="AL423" i="38"/>
  <c r="AL422" i="38"/>
  <c r="AL421" i="38"/>
  <c r="AL420" i="38"/>
  <c r="AL419" i="38"/>
  <c r="AL418" i="38"/>
  <c r="AL417" i="38"/>
  <c r="AL416" i="38"/>
  <c r="AL415" i="38"/>
  <c r="AL414" i="38"/>
  <c r="AL413" i="38"/>
  <c r="AL412" i="38"/>
  <c r="AL411" i="38"/>
  <c r="AL410" i="38"/>
  <c r="AL409" i="38"/>
  <c r="AL408" i="38"/>
  <c r="AL407" i="38"/>
  <c r="AL406" i="38"/>
  <c r="AL405" i="38"/>
  <c r="AL404" i="38"/>
  <c r="AL403" i="38"/>
  <c r="AL402" i="38"/>
  <c r="AL401" i="38"/>
  <c r="AL400" i="38"/>
  <c r="AL399" i="38"/>
  <c r="AL398" i="38"/>
  <c r="AL397" i="38"/>
  <c r="AL396" i="38"/>
  <c r="AL395" i="38"/>
  <c r="AL394" i="38"/>
  <c r="AL393" i="38"/>
  <c r="AL392" i="38"/>
  <c r="AL391" i="38"/>
  <c r="AL390" i="38"/>
  <c r="AL389" i="38"/>
  <c r="AL388" i="38"/>
  <c r="AL387" i="38"/>
  <c r="AL386" i="38"/>
  <c r="AL385" i="38"/>
  <c r="AL384" i="38"/>
  <c r="AL383" i="38"/>
  <c r="AL382" i="38"/>
  <c r="AL381" i="38"/>
  <c r="AL380" i="38"/>
  <c r="AL379" i="38"/>
  <c r="AL378" i="38"/>
  <c r="AL377" i="38"/>
  <c r="AL376" i="38"/>
  <c r="AL375" i="38"/>
  <c r="AL374" i="38"/>
  <c r="AL373" i="38"/>
  <c r="AL372" i="38"/>
  <c r="AL371" i="38"/>
  <c r="AL370" i="38"/>
  <c r="AL369" i="38"/>
  <c r="AL368" i="38"/>
  <c r="AL367" i="38"/>
  <c r="AL366" i="38"/>
  <c r="AL365" i="38"/>
  <c r="AL364" i="38"/>
  <c r="AL363" i="38"/>
  <c r="AL362" i="38"/>
  <c r="AL361" i="38"/>
  <c r="AL360" i="38"/>
  <c r="AL359" i="38"/>
  <c r="AL358" i="38"/>
  <c r="AL357" i="38"/>
  <c r="AL356" i="38"/>
  <c r="AL355" i="38"/>
  <c r="AL354" i="38"/>
  <c r="AL353" i="38"/>
  <c r="AL352" i="38"/>
  <c r="AL351" i="38"/>
  <c r="AL350" i="38"/>
  <c r="AL349" i="38"/>
  <c r="AL348" i="38"/>
  <c r="AL347" i="38"/>
  <c r="AL346" i="38"/>
  <c r="AL345" i="38"/>
  <c r="AL344" i="38"/>
  <c r="AL343" i="38"/>
  <c r="AL342" i="38"/>
  <c r="AL341" i="38"/>
  <c r="AL340" i="38"/>
  <c r="AL339" i="38"/>
  <c r="AL338" i="38"/>
  <c r="AL337" i="38"/>
  <c r="AL336" i="38"/>
  <c r="AL335" i="38"/>
  <c r="AL334" i="38"/>
  <c r="AL333" i="38"/>
  <c r="AL332" i="38"/>
  <c r="AL331" i="38"/>
  <c r="AL330" i="38"/>
  <c r="AL329" i="38"/>
  <c r="AL328" i="38"/>
  <c r="AL327" i="38"/>
  <c r="AL326" i="38"/>
  <c r="AL325" i="38"/>
  <c r="AL324" i="38"/>
  <c r="AL323" i="38"/>
  <c r="AL322" i="38"/>
  <c r="AL321" i="38"/>
  <c r="AL320" i="38"/>
  <c r="AL319" i="38"/>
  <c r="AL318" i="38"/>
  <c r="AL317" i="38"/>
  <c r="AL316" i="38"/>
  <c r="AL315" i="38"/>
  <c r="AL314" i="38"/>
  <c r="AL313" i="38"/>
  <c r="AL312" i="38"/>
  <c r="AL311" i="38"/>
  <c r="AL310" i="38"/>
  <c r="AL309" i="38"/>
  <c r="AL308" i="38"/>
  <c r="AL307" i="38"/>
  <c r="AL306" i="38"/>
  <c r="AL305" i="38"/>
  <c r="AL304" i="38"/>
  <c r="AL303" i="38"/>
  <c r="AL302" i="38"/>
  <c r="AL301" i="38"/>
  <c r="AL300" i="38"/>
  <c r="AL299" i="38"/>
  <c r="AL298" i="38"/>
  <c r="AL297" i="38"/>
  <c r="AL296" i="38"/>
  <c r="AL295" i="38"/>
  <c r="AL294" i="38"/>
  <c r="AL293" i="38"/>
  <c r="AL292" i="38"/>
  <c r="AL291" i="38"/>
  <c r="AL290" i="38"/>
  <c r="AL289" i="38"/>
  <c r="AL288" i="38"/>
  <c r="AL287" i="38"/>
  <c r="AL286" i="38"/>
  <c r="AL285" i="38"/>
  <c r="AL284" i="38"/>
  <c r="AL283" i="38"/>
  <c r="AL282" i="38"/>
  <c r="AL281" i="38"/>
  <c r="AL280" i="38"/>
  <c r="AL279" i="38"/>
  <c r="AL278" i="38"/>
  <c r="AL277" i="38"/>
  <c r="AL276" i="38"/>
  <c r="AL275" i="38"/>
  <c r="AL274" i="38"/>
  <c r="AL273" i="38"/>
  <c r="AL272" i="38"/>
  <c r="AL271" i="38"/>
  <c r="AL270" i="38"/>
  <c r="AL269" i="38"/>
  <c r="AL268" i="38"/>
  <c r="AL267" i="38"/>
  <c r="AL266" i="38"/>
  <c r="AL265" i="38"/>
  <c r="AL264" i="38"/>
  <c r="AL263" i="38"/>
  <c r="AL262" i="38"/>
  <c r="AL261" i="38"/>
  <c r="AL260" i="38"/>
  <c r="AL259" i="38"/>
  <c r="AL258" i="38"/>
  <c r="AL257" i="38"/>
  <c r="AL256" i="38"/>
  <c r="AL255" i="38"/>
  <c r="AL254" i="38"/>
  <c r="AL253" i="38"/>
  <c r="AL252" i="38"/>
  <c r="AL251" i="38"/>
  <c r="AL250" i="38"/>
  <c r="AL249" i="38"/>
  <c r="AL248" i="38"/>
  <c r="AL247" i="38"/>
  <c r="AL246" i="38"/>
  <c r="AL245" i="38"/>
  <c r="AL244" i="38"/>
  <c r="AL243" i="38"/>
  <c r="AL242" i="38"/>
  <c r="AL241" i="38"/>
  <c r="AL240" i="38"/>
  <c r="AL239" i="38"/>
  <c r="AL238" i="38"/>
  <c r="AL237" i="38"/>
  <c r="AL236" i="38"/>
  <c r="AL235" i="38"/>
  <c r="AL234" i="38"/>
  <c r="AL233" i="38"/>
  <c r="AL232" i="38"/>
  <c r="AL231" i="38"/>
  <c r="AL230" i="38"/>
  <c r="AL229" i="38"/>
  <c r="AL228" i="38"/>
  <c r="AL227" i="38"/>
  <c r="AL226" i="38"/>
  <c r="AL225" i="38"/>
  <c r="AL224" i="38"/>
  <c r="AL223" i="38"/>
  <c r="AL222" i="38"/>
  <c r="AL221" i="38"/>
  <c r="AL220" i="38"/>
  <c r="AL219" i="38"/>
  <c r="AL218" i="38"/>
  <c r="AL217" i="38"/>
  <c r="AL216" i="38"/>
  <c r="AL215" i="38"/>
  <c r="AL214" i="38"/>
  <c r="AL213" i="38"/>
  <c r="AL212" i="38"/>
  <c r="AL211" i="38"/>
  <c r="AL210" i="38"/>
  <c r="AL209" i="38"/>
  <c r="AL208" i="38"/>
  <c r="AL207" i="38"/>
  <c r="AL206" i="38"/>
  <c r="AL205" i="38"/>
  <c r="AL204" i="38"/>
  <c r="AL203" i="38"/>
  <c r="AL202" i="38"/>
  <c r="AL201" i="38"/>
  <c r="AL200" i="38"/>
  <c r="AL199" i="38"/>
  <c r="AL198" i="38"/>
  <c r="AL197" i="38"/>
  <c r="AL196" i="38"/>
  <c r="AL195" i="38"/>
  <c r="AL194" i="38"/>
  <c r="AL193" i="38"/>
  <c r="AL192" i="38"/>
  <c r="AL191" i="38"/>
  <c r="AL190" i="38"/>
  <c r="AL189" i="38"/>
  <c r="AL188" i="38"/>
  <c r="AL187" i="38"/>
  <c r="AL186" i="38"/>
  <c r="AL185" i="38"/>
  <c r="AL184" i="38"/>
  <c r="AL183" i="38"/>
  <c r="AL182" i="38"/>
  <c r="AL181" i="38"/>
  <c r="AL180" i="38"/>
  <c r="AL179" i="38"/>
  <c r="AL178" i="38"/>
  <c r="AL177" i="38"/>
  <c r="AL176" i="38"/>
  <c r="AL175" i="38"/>
  <c r="AL174" i="38"/>
  <c r="AL173" i="38"/>
  <c r="AL172" i="38"/>
  <c r="AL171" i="38"/>
  <c r="AL170" i="38"/>
  <c r="AL169" i="38"/>
  <c r="AL168" i="38"/>
  <c r="AL167" i="38"/>
  <c r="AL166" i="38"/>
  <c r="AL165" i="38"/>
  <c r="AL164" i="38"/>
  <c r="AL163" i="38"/>
  <c r="AL162" i="38"/>
  <c r="AL161" i="38"/>
  <c r="AL160" i="38"/>
  <c r="AL159" i="38"/>
  <c r="AL158" i="38"/>
  <c r="AL157" i="38"/>
  <c r="AL156" i="38"/>
  <c r="AL155" i="38"/>
  <c r="AL154" i="38"/>
  <c r="AL153" i="38"/>
  <c r="AL152" i="38"/>
  <c r="AL151" i="38"/>
  <c r="AL150" i="38"/>
  <c r="AL149" i="38"/>
  <c r="AL148" i="38"/>
  <c r="AL147" i="38"/>
  <c r="AL146" i="38"/>
  <c r="AL145" i="38"/>
  <c r="AL144" i="38"/>
  <c r="AL143" i="38"/>
  <c r="AL142" i="38"/>
  <c r="AL141" i="38"/>
  <c r="AL140" i="38"/>
  <c r="AL139" i="38"/>
  <c r="AL138" i="38"/>
  <c r="AL137" i="38"/>
  <c r="AL136" i="38"/>
  <c r="AL135" i="38"/>
  <c r="AL134" i="38"/>
  <c r="AL133" i="38"/>
  <c r="AL132" i="38"/>
  <c r="AL131" i="38"/>
  <c r="AL130" i="38"/>
  <c r="AL129" i="38"/>
  <c r="AL128" i="38"/>
  <c r="AL127" i="38"/>
  <c r="AL126" i="38"/>
  <c r="AL125" i="38"/>
  <c r="AL124" i="38"/>
  <c r="AL123" i="38"/>
  <c r="AL122" i="38"/>
  <c r="AL121" i="38"/>
  <c r="AL120" i="38"/>
  <c r="AL119" i="38"/>
  <c r="AL118" i="38"/>
  <c r="AL117" i="38"/>
  <c r="AL116" i="38"/>
  <c r="AL115" i="38"/>
  <c r="AL114" i="38"/>
  <c r="AL113" i="38"/>
  <c r="AL112" i="38"/>
  <c r="AL111" i="38"/>
  <c r="AL110" i="38"/>
  <c r="AL109" i="38"/>
  <c r="AL108" i="38"/>
  <c r="AL107" i="38"/>
  <c r="AL106" i="38"/>
  <c r="AL105" i="38"/>
  <c r="AL104" i="38"/>
  <c r="AL103" i="38"/>
  <c r="AL102" i="38"/>
  <c r="AL101" i="38"/>
  <c r="AL100" i="38"/>
  <c r="AL99" i="38"/>
  <c r="AL98" i="38"/>
  <c r="AL97" i="38"/>
  <c r="AL96" i="38"/>
  <c r="AL95" i="38"/>
  <c r="AL94" i="38"/>
  <c r="AL93" i="38"/>
  <c r="AL92" i="38"/>
  <c r="AL91" i="38"/>
  <c r="AL90" i="38"/>
  <c r="AL89" i="38"/>
  <c r="AL88" i="38"/>
  <c r="AL87" i="38"/>
  <c r="AL86" i="38"/>
  <c r="AL85" i="38"/>
  <c r="AL84" i="38"/>
  <c r="AL83" i="38"/>
  <c r="AL82" i="38"/>
  <c r="AL81" i="38"/>
  <c r="AL80" i="38"/>
  <c r="AL79" i="38"/>
  <c r="AL78" i="38"/>
  <c r="AL77" i="38"/>
  <c r="AL76" i="38"/>
  <c r="AL75" i="38"/>
  <c r="AL74" i="38"/>
  <c r="AL73" i="38"/>
  <c r="AL72" i="38"/>
  <c r="AL71" i="38"/>
  <c r="AL70" i="38"/>
  <c r="AL69" i="38"/>
  <c r="AL68" i="38"/>
  <c r="AL67" i="38"/>
  <c r="AL66" i="38"/>
  <c r="AL65" i="38"/>
  <c r="AL64" i="38"/>
  <c r="AL63" i="38"/>
  <c r="AL62" i="38"/>
  <c r="AL61" i="38"/>
  <c r="AL60" i="38"/>
  <c r="AL59" i="38"/>
  <c r="AL58" i="38"/>
  <c r="AL57" i="38"/>
  <c r="AL56" i="38"/>
  <c r="AL55" i="38"/>
  <c r="AL54" i="38"/>
  <c r="AL53" i="38"/>
  <c r="AL52" i="38"/>
  <c r="AL51" i="38"/>
  <c r="AL50" i="38"/>
  <c r="AL49" i="38"/>
  <c r="AL48" i="38"/>
  <c r="AL47" i="38"/>
  <c r="AL46" i="38"/>
  <c r="AL45" i="38"/>
  <c r="AL44" i="38"/>
  <c r="AL43" i="38"/>
  <c r="AL42" i="38"/>
  <c r="AL41" i="38"/>
  <c r="AL40" i="38"/>
  <c r="AL39" i="38"/>
  <c r="AL38" i="38"/>
  <c r="AL37" i="38"/>
  <c r="AL36" i="38"/>
  <c r="AL35" i="38"/>
  <c r="AL34" i="38"/>
  <c r="AL33" i="38"/>
  <c r="AL32" i="38"/>
  <c r="AL31" i="38"/>
  <c r="AL30" i="38"/>
  <c r="AL29" i="38"/>
  <c r="AL28" i="38"/>
  <c r="AL27" i="38"/>
  <c r="AL26" i="38"/>
  <c r="AL25" i="38"/>
  <c r="AL24" i="38"/>
  <c r="AL23" i="38"/>
  <c r="AL22" i="38"/>
  <c r="AL21" i="38"/>
  <c r="AL20" i="38"/>
  <c r="AL19" i="38"/>
  <c r="AL18" i="38"/>
  <c r="AL17" i="38"/>
  <c r="AL16" i="38"/>
  <c r="AL15" i="38"/>
  <c r="AL14" i="38"/>
  <c r="AL13" i="38"/>
  <c r="AL12" i="38"/>
  <c r="AL11" i="38"/>
  <c r="AL10" i="38"/>
  <c r="AL9" i="38"/>
  <c r="AL8" i="38"/>
  <c r="AL7" i="38"/>
  <c r="AL6" i="38"/>
  <c r="AL5" i="38"/>
  <c r="AL4" i="38"/>
  <c r="AL3" i="38"/>
  <c r="AJ1001" i="38"/>
  <c r="AJ1000" i="38"/>
  <c r="AJ999" i="38"/>
  <c r="AJ998" i="38"/>
  <c r="AJ997" i="38"/>
  <c r="AJ996" i="38"/>
  <c r="AJ995" i="38"/>
  <c r="AJ994" i="38"/>
  <c r="AJ993" i="38"/>
  <c r="AJ992" i="38"/>
  <c r="AJ991" i="38"/>
  <c r="AJ990" i="38"/>
  <c r="AJ989" i="38"/>
  <c r="AJ988" i="38"/>
  <c r="AJ987" i="38"/>
  <c r="AJ986" i="38"/>
  <c r="AJ985" i="38"/>
  <c r="AJ984" i="38"/>
  <c r="AJ983" i="38"/>
  <c r="AJ982" i="38"/>
  <c r="AJ981" i="38"/>
  <c r="AJ980" i="38"/>
  <c r="AJ979" i="38"/>
  <c r="AJ978" i="38"/>
  <c r="AJ977" i="38"/>
  <c r="AJ976" i="38"/>
  <c r="AJ975" i="38"/>
  <c r="AJ974" i="38"/>
  <c r="AJ973" i="38"/>
  <c r="AJ972" i="38"/>
  <c r="AJ971" i="38"/>
  <c r="AJ970" i="38"/>
  <c r="AJ969" i="38"/>
  <c r="AJ968" i="38"/>
  <c r="AJ967" i="38"/>
  <c r="AJ966" i="38"/>
  <c r="AJ965" i="38"/>
  <c r="AJ964" i="38"/>
  <c r="AJ963" i="38"/>
  <c r="AJ962" i="38"/>
  <c r="AJ961" i="38"/>
  <c r="AJ960" i="38"/>
  <c r="AJ959" i="38"/>
  <c r="AJ958" i="38"/>
  <c r="AJ957" i="38"/>
  <c r="AJ956" i="38"/>
  <c r="AJ955" i="38"/>
  <c r="AJ954" i="38"/>
  <c r="AJ953" i="38"/>
  <c r="AJ952" i="38"/>
  <c r="AJ951" i="38"/>
  <c r="AJ950" i="38"/>
  <c r="AJ949" i="38"/>
  <c r="AJ948" i="38"/>
  <c r="AJ947" i="38"/>
  <c r="AJ946" i="38"/>
  <c r="AJ945" i="38"/>
  <c r="AJ944" i="38"/>
  <c r="AJ943" i="38"/>
  <c r="AJ942" i="38"/>
  <c r="AJ941" i="38"/>
  <c r="AJ940" i="38"/>
  <c r="AJ939" i="38"/>
  <c r="AJ938" i="38"/>
  <c r="AJ937" i="38"/>
  <c r="AJ936" i="38"/>
  <c r="AJ935" i="38"/>
  <c r="AJ934" i="38"/>
  <c r="AJ933" i="38"/>
  <c r="AJ932" i="38"/>
  <c r="AJ931" i="38"/>
  <c r="AJ930" i="38"/>
  <c r="AJ929" i="38"/>
  <c r="AJ928" i="38"/>
  <c r="AJ927" i="38"/>
  <c r="AJ926" i="38"/>
  <c r="AJ925" i="38"/>
  <c r="AJ924" i="38"/>
  <c r="AJ923" i="38"/>
  <c r="AJ922" i="38"/>
  <c r="AJ921" i="38"/>
  <c r="AJ920" i="38"/>
  <c r="AJ919" i="38"/>
  <c r="AJ918" i="38"/>
  <c r="AJ917" i="38"/>
  <c r="AJ916" i="38"/>
  <c r="AJ915" i="38"/>
  <c r="AJ914" i="38"/>
  <c r="AJ913" i="38"/>
  <c r="AJ912" i="38"/>
  <c r="AJ911" i="38"/>
  <c r="AJ910" i="38"/>
  <c r="AJ909" i="38"/>
  <c r="AJ908" i="38"/>
  <c r="AJ907" i="38"/>
  <c r="AJ906" i="38"/>
  <c r="AJ905" i="38"/>
  <c r="AJ904" i="38"/>
  <c r="AJ903" i="38"/>
  <c r="AJ902" i="38"/>
  <c r="AJ901" i="38"/>
  <c r="AJ900" i="38"/>
  <c r="AJ899" i="38"/>
  <c r="AJ898" i="38"/>
  <c r="AJ897" i="38"/>
  <c r="AJ896" i="38"/>
  <c r="AJ895" i="38"/>
  <c r="AJ894" i="38"/>
  <c r="AJ893" i="38"/>
  <c r="AJ892" i="38"/>
  <c r="AJ891" i="38"/>
  <c r="AJ890" i="38"/>
  <c r="AJ889" i="38"/>
  <c r="AJ888" i="38"/>
  <c r="AJ887" i="38"/>
  <c r="AJ886" i="38"/>
  <c r="AJ885" i="38"/>
  <c r="AJ884" i="38"/>
  <c r="AJ883" i="38"/>
  <c r="AJ882" i="38"/>
  <c r="AJ881" i="38"/>
  <c r="AJ880" i="38"/>
  <c r="AJ879" i="38"/>
  <c r="AJ878" i="38"/>
  <c r="AJ877" i="38"/>
  <c r="AJ876" i="38"/>
  <c r="AJ875" i="38"/>
  <c r="AJ874" i="38"/>
  <c r="AJ873" i="38"/>
  <c r="AJ872" i="38"/>
  <c r="AJ871" i="38"/>
  <c r="AJ870" i="38"/>
  <c r="AJ869" i="38"/>
  <c r="AJ868" i="38"/>
  <c r="AJ867" i="38"/>
  <c r="AJ866" i="38"/>
  <c r="AJ865" i="38"/>
  <c r="AJ864" i="38"/>
  <c r="AJ863" i="38"/>
  <c r="AJ862" i="38"/>
  <c r="AJ861" i="38"/>
  <c r="AJ860" i="38"/>
  <c r="AJ859" i="38"/>
  <c r="AJ858" i="38"/>
  <c r="AJ857" i="38"/>
  <c r="AJ856" i="38"/>
  <c r="AJ855" i="38"/>
  <c r="AJ854" i="38"/>
  <c r="AJ853" i="38"/>
  <c r="AJ852" i="38"/>
  <c r="AJ851" i="38"/>
  <c r="AJ850" i="38"/>
  <c r="AJ849" i="38"/>
  <c r="AJ848" i="38"/>
  <c r="AJ847" i="38"/>
  <c r="AJ846" i="38"/>
  <c r="AJ845" i="38"/>
  <c r="AJ844" i="38"/>
  <c r="AJ843" i="38"/>
  <c r="AJ842" i="38"/>
  <c r="AJ841" i="38"/>
  <c r="AJ840" i="38"/>
  <c r="AJ839" i="38"/>
  <c r="AJ838" i="38"/>
  <c r="AJ837" i="38"/>
  <c r="AJ836" i="38"/>
  <c r="AJ835" i="38"/>
  <c r="AJ834" i="38"/>
  <c r="AJ833" i="38"/>
  <c r="AJ832" i="38"/>
  <c r="AJ831" i="38"/>
  <c r="AJ830" i="38"/>
  <c r="AJ829" i="38"/>
  <c r="AJ828" i="38"/>
  <c r="AJ827" i="38"/>
  <c r="AJ826" i="38"/>
  <c r="AJ825" i="38"/>
  <c r="AJ824" i="38"/>
  <c r="AJ823" i="38"/>
  <c r="AJ822" i="38"/>
  <c r="AJ821" i="38"/>
  <c r="AJ820" i="38"/>
  <c r="AJ819" i="38"/>
  <c r="AJ818" i="38"/>
  <c r="AJ817" i="38"/>
  <c r="AJ816" i="38"/>
  <c r="AJ815" i="38"/>
  <c r="AJ814" i="38"/>
  <c r="AJ813" i="38"/>
  <c r="AJ812" i="38"/>
  <c r="AJ811" i="38"/>
  <c r="AJ810" i="38"/>
  <c r="AJ809" i="38"/>
  <c r="AJ808" i="38"/>
  <c r="AJ807" i="38"/>
  <c r="AJ806" i="38"/>
  <c r="AJ805" i="38"/>
  <c r="AJ804" i="38"/>
  <c r="AJ803" i="38"/>
  <c r="AJ802" i="38"/>
  <c r="AJ801" i="38"/>
  <c r="AJ800" i="38"/>
  <c r="AJ799" i="38"/>
  <c r="AJ798" i="38"/>
  <c r="AJ797" i="38"/>
  <c r="AJ796" i="38"/>
  <c r="AJ795" i="38"/>
  <c r="AJ794" i="38"/>
  <c r="AJ793" i="38"/>
  <c r="AJ792" i="38"/>
  <c r="AJ791" i="38"/>
  <c r="AJ790" i="38"/>
  <c r="AJ789" i="38"/>
  <c r="AJ788" i="38"/>
  <c r="AJ787" i="38"/>
  <c r="AJ786" i="38"/>
  <c r="AJ785" i="38"/>
  <c r="AJ784" i="38"/>
  <c r="AJ783" i="38"/>
  <c r="AJ782" i="38"/>
  <c r="AJ781" i="38"/>
  <c r="AJ780" i="38"/>
  <c r="AJ779" i="38"/>
  <c r="AJ778" i="38"/>
  <c r="AJ777" i="38"/>
  <c r="AJ776" i="38"/>
  <c r="AJ775" i="38"/>
  <c r="AJ774" i="38"/>
  <c r="AJ773" i="38"/>
  <c r="AJ772" i="38"/>
  <c r="AJ771" i="38"/>
  <c r="AJ770" i="38"/>
  <c r="AJ769" i="38"/>
  <c r="AJ768" i="38"/>
  <c r="AJ767" i="38"/>
  <c r="AJ766" i="38"/>
  <c r="AJ765" i="38"/>
  <c r="AJ764" i="38"/>
  <c r="AJ763" i="38"/>
  <c r="AJ762" i="38"/>
  <c r="AJ761" i="38"/>
  <c r="AJ760" i="38"/>
  <c r="AJ759" i="38"/>
  <c r="AJ758" i="38"/>
  <c r="AJ757" i="38"/>
  <c r="AJ756" i="38"/>
  <c r="AJ755" i="38"/>
  <c r="AJ754" i="38"/>
  <c r="AJ753" i="38"/>
  <c r="AJ752" i="38"/>
  <c r="AJ751" i="38"/>
  <c r="AJ750" i="38"/>
  <c r="AJ749" i="38"/>
  <c r="AJ748" i="38"/>
  <c r="AJ747" i="38"/>
  <c r="AJ746" i="38"/>
  <c r="AJ745" i="38"/>
  <c r="AJ744" i="38"/>
  <c r="AJ743" i="38"/>
  <c r="AJ742" i="38"/>
  <c r="AJ741" i="38"/>
  <c r="AJ740" i="38"/>
  <c r="AJ739" i="38"/>
  <c r="AJ738" i="38"/>
  <c r="AJ737" i="38"/>
  <c r="AJ736" i="38"/>
  <c r="AJ735" i="38"/>
  <c r="AJ734" i="38"/>
  <c r="AJ733" i="38"/>
  <c r="AJ732" i="38"/>
  <c r="AJ731" i="38"/>
  <c r="AJ730" i="38"/>
  <c r="AJ729" i="38"/>
  <c r="AJ728" i="38"/>
  <c r="AJ727" i="38"/>
  <c r="AJ726" i="38"/>
  <c r="AJ725" i="38"/>
  <c r="AJ724" i="38"/>
  <c r="AJ723" i="38"/>
  <c r="AJ722" i="38"/>
  <c r="AJ721" i="38"/>
  <c r="AJ720" i="38"/>
  <c r="AJ719" i="38"/>
  <c r="AJ718" i="38"/>
  <c r="AJ717" i="38"/>
  <c r="AJ716" i="38"/>
  <c r="AJ715" i="38"/>
  <c r="AJ714" i="38"/>
  <c r="AJ713" i="38"/>
  <c r="AJ712" i="38"/>
  <c r="AJ711" i="38"/>
  <c r="AJ710" i="38"/>
  <c r="AJ709" i="38"/>
  <c r="AJ708" i="38"/>
  <c r="AJ707" i="38"/>
  <c r="AJ706" i="38"/>
  <c r="AJ705" i="38"/>
  <c r="AJ704" i="38"/>
  <c r="AJ703" i="38"/>
  <c r="AJ702" i="38"/>
  <c r="AJ701" i="38"/>
  <c r="AJ700" i="38"/>
  <c r="AJ699" i="38"/>
  <c r="AJ698" i="38"/>
  <c r="AJ697" i="38"/>
  <c r="AJ696" i="38"/>
  <c r="AJ695" i="38"/>
  <c r="AJ694" i="38"/>
  <c r="AJ693" i="38"/>
  <c r="AJ692" i="38"/>
  <c r="AJ691" i="38"/>
  <c r="AJ690" i="38"/>
  <c r="AJ689" i="38"/>
  <c r="AJ688" i="38"/>
  <c r="AJ687" i="38"/>
  <c r="AJ686" i="38"/>
  <c r="AJ685" i="38"/>
  <c r="AJ684" i="38"/>
  <c r="AJ683" i="38"/>
  <c r="AJ682" i="38"/>
  <c r="AJ681" i="38"/>
  <c r="AJ680" i="38"/>
  <c r="AJ679" i="38"/>
  <c r="AJ678" i="38"/>
  <c r="AJ677" i="38"/>
  <c r="AJ676" i="38"/>
  <c r="AJ675" i="38"/>
  <c r="AJ674" i="38"/>
  <c r="AJ673" i="38"/>
  <c r="AJ672" i="38"/>
  <c r="AJ671" i="38"/>
  <c r="AJ670" i="38"/>
  <c r="AJ669" i="38"/>
  <c r="AJ668" i="38"/>
  <c r="AJ667" i="38"/>
  <c r="AJ666" i="38"/>
  <c r="AJ665" i="38"/>
  <c r="AJ664" i="38"/>
  <c r="AJ663" i="38"/>
  <c r="AJ662" i="38"/>
  <c r="AJ661" i="38"/>
  <c r="AJ660" i="38"/>
  <c r="AJ659" i="38"/>
  <c r="AJ658" i="38"/>
  <c r="AJ657" i="38"/>
  <c r="AJ656" i="38"/>
  <c r="AJ655" i="38"/>
  <c r="AJ654" i="38"/>
  <c r="AJ653" i="38"/>
  <c r="AJ652" i="38"/>
  <c r="AJ651" i="38"/>
  <c r="AJ650" i="38"/>
  <c r="AJ649" i="38"/>
  <c r="AJ648" i="38"/>
  <c r="AJ647" i="38"/>
  <c r="AJ646" i="38"/>
  <c r="AJ645" i="38"/>
  <c r="AJ644" i="38"/>
  <c r="AJ643" i="38"/>
  <c r="AJ642" i="38"/>
  <c r="AJ641" i="38"/>
  <c r="AJ640" i="38"/>
  <c r="AJ639" i="38"/>
  <c r="AJ638" i="38"/>
  <c r="AJ637" i="38"/>
  <c r="AJ636" i="38"/>
  <c r="AJ635" i="38"/>
  <c r="AJ634" i="38"/>
  <c r="AJ633" i="38"/>
  <c r="AJ632" i="38"/>
  <c r="AJ631" i="38"/>
  <c r="AJ630" i="38"/>
  <c r="AJ629" i="38"/>
  <c r="AJ628" i="38"/>
  <c r="AJ627" i="38"/>
  <c r="AJ626" i="38"/>
  <c r="AJ625" i="38"/>
  <c r="AJ624" i="38"/>
  <c r="AJ623" i="38"/>
  <c r="AJ622" i="38"/>
  <c r="AJ621" i="38"/>
  <c r="AJ620" i="38"/>
  <c r="AJ619" i="38"/>
  <c r="AJ618" i="38"/>
  <c r="AJ617" i="38"/>
  <c r="AJ616" i="38"/>
  <c r="AJ615" i="38"/>
  <c r="AJ614" i="38"/>
  <c r="AJ613" i="38"/>
  <c r="AJ612" i="38"/>
  <c r="AJ611" i="38"/>
  <c r="AJ610" i="38"/>
  <c r="AJ609" i="38"/>
  <c r="AJ608" i="38"/>
  <c r="AJ607" i="38"/>
  <c r="AJ606" i="38"/>
  <c r="AJ605" i="38"/>
  <c r="AJ604" i="38"/>
  <c r="AJ603" i="38"/>
  <c r="AJ602" i="38"/>
  <c r="AJ601" i="38"/>
  <c r="AJ600" i="38"/>
  <c r="AJ599" i="38"/>
  <c r="AJ598" i="38"/>
  <c r="AJ597" i="38"/>
  <c r="AJ596" i="38"/>
  <c r="AJ595" i="38"/>
  <c r="AJ594" i="38"/>
  <c r="AJ593" i="38"/>
  <c r="AJ592" i="38"/>
  <c r="AJ591" i="38"/>
  <c r="AJ590" i="38"/>
  <c r="AJ589" i="38"/>
  <c r="AJ588" i="38"/>
  <c r="AJ587" i="38"/>
  <c r="AJ586" i="38"/>
  <c r="AJ585" i="38"/>
  <c r="AJ584" i="38"/>
  <c r="AJ583" i="38"/>
  <c r="AJ582" i="38"/>
  <c r="AJ581" i="38"/>
  <c r="AJ580" i="38"/>
  <c r="AJ579" i="38"/>
  <c r="AJ578" i="38"/>
  <c r="AJ577" i="38"/>
  <c r="AJ576" i="38"/>
  <c r="AJ575" i="38"/>
  <c r="AJ574" i="38"/>
  <c r="AJ573" i="38"/>
  <c r="AJ572" i="38"/>
  <c r="AJ571" i="38"/>
  <c r="AJ570" i="38"/>
  <c r="AJ569" i="38"/>
  <c r="AJ568" i="38"/>
  <c r="AJ567" i="38"/>
  <c r="AJ566" i="38"/>
  <c r="AJ565" i="38"/>
  <c r="AJ564" i="38"/>
  <c r="AJ563" i="38"/>
  <c r="AJ562" i="38"/>
  <c r="AJ561" i="38"/>
  <c r="AJ560" i="38"/>
  <c r="AJ559" i="38"/>
  <c r="AJ558" i="38"/>
  <c r="AJ557" i="38"/>
  <c r="AJ556" i="38"/>
  <c r="AJ555" i="38"/>
  <c r="AJ554" i="38"/>
  <c r="AJ553" i="38"/>
  <c r="AJ552" i="38"/>
  <c r="AJ551" i="38"/>
  <c r="AJ550" i="38"/>
  <c r="AJ549" i="38"/>
  <c r="AJ548" i="38"/>
  <c r="AJ547" i="38"/>
  <c r="AJ546" i="38"/>
  <c r="AJ545" i="38"/>
  <c r="AJ544" i="38"/>
  <c r="AJ543" i="38"/>
  <c r="AJ542" i="38"/>
  <c r="AJ541" i="38"/>
  <c r="AJ540" i="38"/>
  <c r="AJ539" i="38"/>
  <c r="AJ538" i="38"/>
  <c r="AJ537" i="38"/>
  <c r="AJ536" i="38"/>
  <c r="AJ535" i="38"/>
  <c r="AJ534" i="38"/>
  <c r="AJ533" i="38"/>
  <c r="AJ532" i="38"/>
  <c r="AJ531" i="38"/>
  <c r="AJ530" i="38"/>
  <c r="AJ529" i="38"/>
  <c r="AJ528" i="38"/>
  <c r="AJ527" i="38"/>
  <c r="AJ526" i="38"/>
  <c r="AJ525" i="38"/>
  <c r="AJ524" i="38"/>
  <c r="AJ523" i="38"/>
  <c r="AJ522" i="38"/>
  <c r="AJ521" i="38"/>
  <c r="AJ520" i="38"/>
  <c r="AJ519" i="38"/>
  <c r="AJ518" i="38"/>
  <c r="AJ517" i="38"/>
  <c r="AJ516" i="38"/>
  <c r="AJ515" i="38"/>
  <c r="AJ514" i="38"/>
  <c r="AJ513" i="38"/>
  <c r="AJ512" i="38"/>
  <c r="AJ511" i="38"/>
  <c r="AJ510" i="38"/>
  <c r="AJ509" i="38"/>
  <c r="AJ508" i="38"/>
  <c r="AJ507" i="38"/>
  <c r="AJ506" i="38"/>
  <c r="AJ505" i="38"/>
  <c r="AJ504" i="38"/>
  <c r="AJ503" i="38"/>
  <c r="AJ502" i="38"/>
  <c r="AJ501" i="38"/>
  <c r="AJ500" i="38"/>
  <c r="AJ499" i="38"/>
  <c r="AJ498" i="38"/>
  <c r="AJ497" i="38"/>
  <c r="AJ496" i="38"/>
  <c r="AJ495" i="38"/>
  <c r="AJ494" i="38"/>
  <c r="AJ493" i="38"/>
  <c r="AJ492" i="38"/>
  <c r="AJ491" i="38"/>
  <c r="AJ490" i="38"/>
  <c r="AJ489" i="38"/>
  <c r="AJ488" i="38"/>
  <c r="AJ487" i="38"/>
  <c r="AJ486" i="38"/>
  <c r="AJ485" i="38"/>
  <c r="AJ484" i="38"/>
  <c r="AJ483" i="38"/>
  <c r="AJ482" i="38"/>
  <c r="AJ481" i="38"/>
  <c r="AJ480" i="38"/>
  <c r="AJ479" i="38"/>
  <c r="AJ478" i="38"/>
  <c r="AJ477" i="38"/>
  <c r="AJ476" i="38"/>
  <c r="AJ475" i="38"/>
  <c r="AJ474" i="38"/>
  <c r="AJ473" i="38"/>
  <c r="AJ472" i="38"/>
  <c r="AJ471" i="38"/>
  <c r="AJ470" i="38"/>
  <c r="AJ469" i="38"/>
  <c r="AJ468" i="38"/>
  <c r="AJ467" i="38"/>
  <c r="AJ466" i="38"/>
  <c r="AJ465" i="38"/>
  <c r="AJ464" i="38"/>
  <c r="AJ463" i="38"/>
  <c r="AJ462" i="38"/>
  <c r="AJ461" i="38"/>
  <c r="AJ460" i="38"/>
  <c r="AJ459" i="38"/>
  <c r="AJ458" i="38"/>
  <c r="AJ457" i="38"/>
  <c r="AJ456" i="38"/>
  <c r="AJ455" i="38"/>
  <c r="AJ454" i="38"/>
  <c r="AJ453" i="38"/>
  <c r="AJ452" i="38"/>
  <c r="AJ451" i="38"/>
  <c r="AJ450" i="38"/>
  <c r="AJ449" i="38"/>
  <c r="AJ448" i="38"/>
  <c r="AJ447" i="38"/>
  <c r="AJ446" i="38"/>
  <c r="AJ445" i="38"/>
  <c r="AJ444" i="38"/>
  <c r="AJ443" i="38"/>
  <c r="AJ442" i="38"/>
  <c r="AJ441" i="38"/>
  <c r="AJ440" i="38"/>
  <c r="AJ439" i="38"/>
  <c r="AJ438" i="38"/>
  <c r="AJ437" i="38"/>
  <c r="AJ436" i="38"/>
  <c r="AJ435" i="38"/>
  <c r="AJ434" i="38"/>
  <c r="AJ433" i="38"/>
  <c r="AJ432" i="38"/>
  <c r="AJ431" i="38"/>
  <c r="AJ430" i="38"/>
  <c r="AJ429" i="38"/>
  <c r="AJ428" i="38"/>
  <c r="AJ427" i="38"/>
  <c r="AJ426" i="38"/>
  <c r="AJ425" i="38"/>
  <c r="AJ424" i="38"/>
  <c r="AJ423" i="38"/>
  <c r="AJ422" i="38"/>
  <c r="AJ421" i="38"/>
  <c r="AJ420" i="38"/>
  <c r="AJ419" i="38"/>
  <c r="AJ418" i="38"/>
  <c r="AJ417" i="38"/>
  <c r="AJ416" i="38"/>
  <c r="AJ415" i="38"/>
  <c r="AJ414" i="38"/>
  <c r="AJ413" i="38"/>
  <c r="AJ412" i="38"/>
  <c r="AJ411" i="38"/>
  <c r="AJ410" i="38"/>
  <c r="AJ409" i="38"/>
  <c r="AJ408" i="38"/>
  <c r="AJ407" i="38"/>
  <c r="AJ406" i="38"/>
  <c r="AJ405" i="38"/>
  <c r="AJ404" i="38"/>
  <c r="AJ403" i="38"/>
  <c r="AJ402" i="38"/>
  <c r="AJ401" i="38"/>
  <c r="AJ400" i="38"/>
  <c r="AJ399" i="38"/>
  <c r="AJ398" i="38"/>
  <c r="AJ397" i="38"/>
  <c r="AJ396" i="38"/>
  <c r="AJ395" i="38"/>
  <c r="AJ394" i="38"/>
  <c r="AJ393" i="38"/>
  <c r="AJ392" i="38"/>
  <c r="AJ391" i="38"/>
  <c r="AJ390" i="38"/>
  <c r="AJ389" i="38"/>
  <c r="AJ388" i="38"/>
  <c r="AJ387" i="38"/>
  <c r="AJ386" i="38"/>
  <c r="AJ385" i="38"/>
  <c r="AJ384" i="38"/>
  <c r="AJ383" i="38"/>
  <c r="AJ382" i="38"/>
  <c r="AJ381" i="38"/>
  <c r="AJ380" i="38"/>
  <c r="AJ379" i="38"/>
  <c r="AJ378" i="38"/>
  <c r="AJ377" i="38"/>
  <c r="AJ376" i="38"/>
  <c r="AJ375" i="38"/>
  <c r="AJ374" i="38"/>
  <c r="AJ373" i="38"/>
  <c r="AJ372" i="38"/>
  <c r="AJ371" i="38"/>
  <c r="AJ370" i="38"/>
  <c r="AJ369" i="38"/>
  <c r="AJ368" i="38"/>
  <c r="AJ367" i="38"/>
  <c r="AJ366" i="38"/>
  <c r="AJ365" i="38"/>
  <c r="AJ364" i="38"/>
  <c r="AJ363" i="38"/>
  <c r="AJ362" i="38"/>
  <c r="AJ361" i="38"/>
  <c r="AJ360" i="38"/>
  <c r="AJ359" i="38"/>
  <c r="AJ358" i="38"/>
  <c r="AJ357" i="38"/>
  <c r="AJ356" i="38"/>
  <c r="AJ355" i="38"/>
  <c r="AJ354" i="38"/>
  <c r="AJ353" i="38"/>
  <c r="AJ352" i="38"/>
  <c r="AJ351" i="38"/>
  <c r="AJ350" i="38"/>
  <c r="AJ349" i="38"/>
  <c r="AJ348" i="38"/>
  <c r="AJ347" i="38"/>
  <c r="AJ346" i="38"/>
  <c r="AJ345" i="38"/>
  <c r="AJ344" i="38"/>
  <c r="AJ343" i="38"/>
  <c r="AJ342" i="38"/>
  <c r="AJ341" i="38"/>
  <c r="AJ340" i="38"/>
  <c r="AJ339" i="38"/>
  <c r="AJ338" i="38"/>
  <c r="AJ337" i="38"/>
  <c r="AJ336" i="38"/>
  <c r="AJ335" i="38"/>
  <c r="AJ334" i="38"/>
  <c r="AJ333" i="38"/>
  <c r="AJ332" i="38"/>
  <c r="AJ331" i="38"/>
  <c r="AJ330" i="38"/>
  <c r="AJ329" i="38"/>
  <c r="AJ328" i="38"/>
  <c r="AJ327" i="38"/>
  <c r="AJ326" i="38"/>
  <c r="AJ325" i="38"/>
  <c r="AJ324" i="38"/>
  <c r="AJ323" i="38"/>
  <c r="AJ322" i="38"/>
  <c r="AJ321" i="38"/>
  <c r="AJ320" i="38"/>
  <c r="AJ319" i="38"/>
  <c r="AJ318" i="38"/>
  <c r="AJ317" i="38"/>
  <c r="AJ316" i="38"/>
  <c r="AJ315" i="38"/>
  <c r="AJ314" i="38"/>
  <c r="AJ313" i="38"/>
  <c r="AJ312" i="38"/>
  <c r="AJ311" i="38"/>
  <c r="AJ310" i="38"/>
  <c r="AJ309" i="38"/>
  <c r="AJ308" i="38"/>
  <c r="AJ307" i="38"/>
  <c r="AJ306" i="38"/>
  <c r="AJ305" i="38"/>
  <c r="AJ304" i="38"/>
  <c r="AJ303" i="38"/>
  <c r="AJ302" i="38"/>
  <c r="AJ301" i="38"/>
  <c r="AJ300" i="38"/>
  <c r="AJ299" i="38"/>
  <c r="AJ298" i="38"/>
  <c r="AJ297" i="38"/>
  <c r="AJ296" i="38"/>
  <c r="AJ295" i="38"/>
  <c r="AJ294" i="38"/>
  <c r="AJ293" i="38"/>
  <c r="AJ292" i="38"/>
  <c r="AJ291" i="38"/>
  <c r="AJ290" i="38"/>
  <c r="AJ289" i="38"/>
  <c r="AJ288" i="38"/>
  <c r="AJ287" i="38"/>
  <c r="AJ286" i="38"/>
  <c r="AJ285" i="38"/>
  <c r="AJ284" i="38"/>
  <c r="AJ283" i="38"/>
  <c r="AJ282" i="38"/>
  <c r="AJ281" i="38"/>
  <c r="AJ280" i="38"/>
  <c r="AJ279" i="38"/>
  <c r="AJ278" i="38"/>
  <c r="AJ277" i="38"/>
  <c r="AJ276" i="38"/>
  <c r="AJ275" i="38"/>
  <c r="AJ274" i="38"/>
  <c r="AJ273" i="38"/>
  <c r="AJ272" i="38"/>
  <c r="AJ271" i="38"/>
  <c r="AJ270" i="38"/>
  <c r="AJ269" i="38"/>
  <c r="AJ268" i="38"/>
  <c r="AJ267" i="38"/>
  <c r="AJ266" i="38"/>
  <c r="AJ265" i="38"/>
  <c r="AJ264" i="38"/>
  <c r="AJ263" i="38"/>
  <c r="AJ262" i="38"/>
  <c r="AJ261" i="38"/>
  <c r="AJ260" i="38"/>
  <c r="AJ259" i="38"/>
  <c r="AJ258" i="38"/>
  <c r="AJ257" i="38"/>
  <c r="AJ256" i="38"/>
  <c r="AJ255" i="38"/>
  <c r="AJ254" i="38"/>
  <c r="AJ253" i="38"/>
  <c r="AJ252" i="38"/>
  <c r="AJ251" i="38"/>
  <c r="AJ250" i="38"/>
  <c r="AJ249" i="38"/>
  <c r="AJ248" i="38"/>
  <c r="AJ247" i="38"/>
  <c r="AJ246" i="38"/>
  <c r="AJ245" i="38"/>
  <c r="AJ244" i="38"/>
  <c r="AJ243" i="38"/>
  <c r="AJ242" i="38"/>
  <c r="AJ241" i="38"/>
  <c r="AJ240" i="38"/>
  <c r="AJ239" i="38"/>
  <c r="AJ238" i="38"/>
  <c r="AJ237" i="38"/>
  <c r="AJ236" i="38"/>
  <c r="AJ235" i="38"/>
  <c r="AJ234" i="38"/>
  <c r="AJ233" i="38"/>
  <c r="AJ232" i="38"/>
  <c r="AJ231" i="38"/>
  <c r="AJ230" i="38"/>
  <c r="AJ229" i="38"/>
  <c r="AJ228" i="38"/>
  <c r="AJ227" i="38"/>
  <c r="AJ226" i="38"/>
  <c r="AJ225" i="38"/>
  <c r="AJ224" i="38"/>
  <c r="AJ223" i="38"/>
  <c r="AJ222" i="38"/>
  <c r="AJ221" i="38"/>
  <c r="AJ220" i="38"/>
  <c r="AJ219" i="38"/>
  <c r="AJ218" i="38"/>
  <c r="AJ217" i="38"/>
  <c r="AJ216" i="38"/>
  <c r="AJ215" i="38"/>
  <c r="AJ214" i="38"/>
  <c r="AJ213" i="38"/>
  <c r="AJ212" i="38"/>
  <c r="AJ211" i="38"/>
  <c r="AJ210" i="38"/>
  <c r="AJ209" i="38"/>
  <c r="AJ208" i="38"/>
  <c r="AJ207" i="38"/>
  <c r="AJ206" i="38"/>
  <c r="AJ205" i="38"/>
  <c r="AJ204" i="38"/>
  <c r="AJ203" i="38"/>
  <c r="AJ202" i="38"/>
  <c r="AJ201" i="38"/>
  <c r="AJ200" i="38"/>
  <c r="AJ199" i="38"/>
  <c r="AJ198" i="38"/>
  <c r="AJ197" i="38"/>
  <c r="AJ196" i="38"/>
  <c r="AJ195" i="38"/>
  <c r="AJ194" i="38"/>
  <c r="AJ193" i="38"/>
  <c r="AJ192" i="38"/>
  <c r="AJ191" i="38"/>
  <c r="AJ190" i="38"/>
  <c r="AJ189" i="38"/>
  <c r="AJ188" i="38"/>
  <c r="AJ187" i="38"/>
  <c r="AJ186" i="38"/>
  <c r="AJ185" i="38"/>
  <c r="AJ184" i="38"/>
  <c r="AJ183" i="38"/>
  <c r="AJ182" i="38"/>
  <c r="AJ181" i="38"/>
  <c r="AJ180" i="38"/>
  <c r="AJ179" i="38"/>
  <c r="AJ178" i="38"/>
  <c r="AJ177" i="38"/>
  <c r="AJ176" i="38"/>
  <c r="AJ175" i="38"/>
  <c r="AJ174" i="38"/>
  <c r="AJ173" i="38"/>
  <c r="AJ172" i="38"/>
  <c r="AJ171" i="38"/>
  <c r="AJ170" i="38"/>
  <c r="AJ169" i="38"/>
  <c r="AJ168" i="38"/>
  <c r="AJ167" i="38"/>
  <c r="AJ166" i="38"/>
  <c r="AJ165" i="38"/>
  <c r="AJ164" i="38"/>
  <c r="AJ163" i="38"/>
  <c r="AJ162" i="38"/>
  <c r="AJ161" i="38"/>
  <c r="AJ160" i="38"/>
  <c r="AJ159" i="38"/>
  <c r="AJ158" i="38"/>
  <c r="AJ157" i="38"/>
  <c r="AJ156" i="38"/>
  <c r="AJ155" i="38"/>
  <c r="AJ154" i="38"/>
  <c r="AJ153" i="38"/>
  <c r="AJ152" i="38"/>
  <c r="AJ151" i="38"/>
  <c r="AJ150" i="38"/>
  <c r="AJ149" i="38"/>
  <c r="AJ148" i="38"/>
  <c r="AJ147" i="38"/>
  <c r="AJ146" i="38"/>
  <c r="AJ145" i="38"/>
  <c r="AJ144" i="38"/>
  <c r="AJ143" i="38"/>
  <c r="AJ142" i="38"/>
  <c r="AJ141" i="38"/>
  <c r="AJ140" i="38"/>
  <c r="AJ139" i="38"/>
  <c r="AJ138" i="38"/>
  <c r="AJ137" i="38"/>
  <c r="AJ136" i="38"/>
  <c r="AJ135" i="38"/>
  <c r="AJ134" i="38"/>
  <c r="AJ133" i="38"/>
  <c r="AJ132" i="38"/>
  <c r="AJ131" i="38"/>
  <c r="AJ130" i="38"/>
  <c r="AJ129" i="38"/>
  <c r="AJ128" i="38"/>
  <c r="AJ127" i="38"/>
  <c r="AJ126" i="38"/>
  <c r="AJ125" i="38"/>
  <c r="AJ124" i="38"/>
  <c r="AJ123" i="38"/>
  <c r="AJ122" i="38"/>
  <c r="AJ121" i="38"/>
  <c r="AJ120" i="38"/>
  <c r="AJ119" i="38"/>
  <c r="AJ118" i="38"/>
  <c r="AJ117" i="38"/>
  <c r="AJ116" i="38"/>
  <c r="AJ115" i="38"/>
  <c r="AJ114" i="38"/>
  <c r="AJ113" i="38"/>
  <c r="AJ112" i="38"/>
  <c r="AJ111" i="38"/>
  <c r="AJ110" i="38"/>
  <c r="AJ109" i="38"/>
  <c r="AJ108" i="38"/>
  <c r="AJ107" i="38"/>
  <c r="AJ106" i="38"/>
  <c r="AJ105" i="38"/>
  <c r="AJ104" i="38"/>
  <c r="AJ103" i="38"/>
  <c r="AJ102" i="38"/>
  <c r="AJ101" i="38"/>
  <c r="AJ100" i="38"/>
  <c r="AJ99" i="38"/>
  <c r="AJ98" i="38"/>
  <c r="AJ97" i="38"/>
  <c r="AJ96" i="38"/>
  <c r="AJ95" i="38"/>
  <c r="AJ94" i="38"/>
  <c r="AJ93" i="38"/>
  <c r="AJ92" i="38"/>
  <c r="AJ91" i="38"/>
  <c r="AJ90" i="38"/>
  <c r="AJ89" i="38"/>
  <c r="AJ88" i="38"/>
  <c r="AJ87" i="38"/>
  <c r="AJ86" i="38"/>
  <c r="AJ85" i="38"/>
  <c r="AJ84" i="38"/>
  <c r="AJ83" i="38"/>
  <c r="AJ82" i="38"/>
  <c r="AJ81" i="38"/>
  <c r="AJ80" i="38"/>
  <c r="AJ79" i="38"/>
  <c r="AJ78" i="38"/>
  <c r="AJ77" i="38"/>
  <c r="AJ76" i="38"/>
  <c r="AJ75" i="38"/>
  <c r="AJ74" i="38"/>
  <c r="AJ73" i="38"/>
  <c r="AJ72" i="38"/>
  <c r="AJ71" i="38"/>
  <c r="AJ70" i="38"/>
  <c r="AJ69" i="38"/>
  <c r="AJ68" i="38"/>
  <c r="AJ67" i="38"/>
  <c r="AJ66" i="38"/>
  <c r="AJ65" i="38"/>
  <c r="AJ64" i="38"/>
  <c r="AJ63" i="38"/>
  <c r="AJ62" i="38"/>
  <c r="AJ61" i="38"/>
  <c r="AJ60" i="38"/>
  <c r="AJ59" i="38"/>
  <c r="AJ58" i="38"/>
  <c r="AJ57" i="38"/>
  <c r="AJ56" i="38"/>
  <c r="AJ55" i="38"/>
  <c r="AJ54" i="38"/>
  <c r="AJ53" i="38"/>
  <c r="AJ52" i="38"/>
  <c r="AJ51" i="38"/>
  <c r="AJ50" i="38"/>
  <c r="AJ49" i="38"/>
  <c r="AJ48" i="38"/>
  <c r="AJ47" i="38"/>
  <c r="AJ46" i="38"/>
  <c r="AJ45" i="38"/>
  <c r="AJ44" i="38"/>
  <c r="AJ43" i="38"/>
  <c r="AJ42" i="38"/>
  <c r="AJ41" i="38"/>
  <c r="AJ40" i="38"/>
  <c r="AJ39" i="38"/>
  <c r="AJ38" i="38"/>
  <c r="AJ37" i="38"/>
  <c r="AJ36" i="38"/>
  <c r="AJ35" i="38"/>
  <c r="AJ34" i="38"/>
  <c r="AJ33" i="38"/>
  <c r="AJ32" i="38"/>
  <c r="AJ31" i="38"/>
  <c r="AJ30" i="38"/>
  <c r="AJ29" i="38"/>
  <c r="AJ28" i="38"/>
  <c r="AJ27" i="38"/>
  <c r="AJ26" i="38"/>
  <c r="AJ25" i="38"/>
  <c r="AJ24" i="38"/>
  <c r="AJ23" i="38"/>
  <c r="AJ22" i="38"/>
  <c r="AJ21" i="38"/>
  <c r="AJ20" i="38"/>
  <c r="AJ19" i="38"/>
  <c r="AJ18" i="38"/>
  <c r="AJ17" i="38"/>
  <c r="I36" i="28"/>
  <c r="H36" i="28"/>
  <c r="S166" i="2"/>
  <c r="O1089" i="2"/>
  <c r="AL2" i="38"/>
  <c r="I37" i="28"/>
  <c r="H37" i="28"/>
  <c r="S167" i="2"/>
  <c r="P1089" i="2"/>
  <c r="H50" i="52"/>
  <c r="H34" i="26"/>
  <c r="AT28" i="2" s="1"/>
  <c r="F34" i="26"/>
  <c r="AS28" i="2" s="1"/>
  <c r="E34" i="26"/>
  <c r="AR28" i="2" s="1"/>
  <c r="H24" i="26"/>
  <c r="AT18" i="2" s="1"/>
  <c r="F24" i="26"/>
  <c r="AS18" i="2" s="1"/>
  <c r="E24" i="26"/>
  <c r="H14" i="26"/>
  <c r="AT8" i="2" s="1"/>
  <c r="F14" i="26"/>
  <c r="AS8" i="2" s="1"/>
  <c r="E14" i="26"/>
  <c r="AR8" i="2" s="1"/>
  <c r="AV7" i="69"/>
  <c r="AV11" i="69" s="1"/>
  <c r="AU7" i="69"/>
  <c r="AU11" i="69" s="1"/>
  <c r="AT7" i="69"/>
  <c r="AT11" i="69" s="1"/>
  <c r="AS7" i="69"/>
  <c r="AS11" i="69" s="1"/>
  <c r="AR7" i="69"/>
  <c r="AR11" i="69" s="1"/>
  <c r="AQ7" i="69"/>
  <c r="AQ11" i="69" s="1"/>
  <c r="AP7" i="69"/>
  <c r="AP11" i="69" s="1"/>
  <c r="AO7" i="69"/>
  <c r="AO11" i="69" s="1"/>
  <c r="AN7" i="69"/>
  <c r="AN11" i="69" s="1"/>
  <c r="AM7" i="69"/>
  <c r="AM11" i="69" s="1"/>
  <c r="AL7" i="69"/>
  <c r="AL11" i="69" s="1"/>
  <c r="AJ7" i="69"/>
  <c r="AJ11" i="69" s="1"/>
  <c r="AI7" i="69"/>
  <c r="AI11" i="69" s="1"/>
  <c r="AH7" i="69"/>
  <c r="AH11" i="69" s="1"/>
  <c r="AG7" i="69"/>
  <c r="AG11" i="69" s="1"/>
  <c r="AF7" i="69"/>
  <c r="AF11" i="69" s="1"/>
  <c r="AE7" i="69"/>
  <c r="AE11" i="69" s="1"/>
  <c r="AD7" i="69"/>
  <c r="AD11" i="69" s="1"/>
  <c r="AC7" i="69"/>
  <c r="AC11" i="69" s="1"/>
  <c r="AB7" i="69"/>
  <c r="AB11" i="69" s="1"/>
  <c r="AA7" i="69"/>
  <c r="AA11" i="69" s="1"/>
  <c r="Z7" i="69"/>
  <c r="Z11" i="69" s="1"/>
  <c r="X7" i="69"/>
  <c r="X11" i="69" s="1"/>
  <c r="W7" i="69"/>
  <c r="W11" i="69" s="1"/>
  <c r="V7" i="69"/>
  <c r="V11" i="69" s="1"/>
  <c r="U7" i="69"/>
  <c r="U11" i="69" s="1"/>
  <c r="T7" i="69"/>
  <c r="T11" i="69" s="1"/>
  <c r="S7" i="69"/>
  <c r="S11" i="69" s="1"/>
  <c r="R7" i="69"/>
  <c r="R11" i="69" s="1"/>
  <c r="Q7" i="69"/>
  <c r="Q11" i="69" s="1"/>
  <c r="P7" i="69"/>
  <c r="P11" i="69" s="1"/>
  <c r="O7" i="69"/>
  <c r="O11" i="69" s="1"/>
  <c r="N7" i="69"/>
  <c r="N11" i="69" s="1"/>
  <c r="L7" i="69"/>
  <c r="L11" i="69" s="1"/>
  <c r="K7" i="69"/>
  <c r="K11" i="69" s="1"/>
  <c r="J7" i="69"/>
  <c r="J11" i="69" s="1"/>
  <c r="I7" i="69"/>
  <c r="I11" i="69" s="1"/>
  <c r="H7" i="69"/>
  <c r="H11" i="69" s="1"/>
  <c r="G7" i="69"/>
  <c r="G11" i="69" s="1"/>
  <c r="F7" i="69"/>
  <c r="F11" i="69" s="1"/>
  <c r="E7" i="69"/>
  <c r="E11" i="69" s="1"/>
  <c r="D7" i="69"/>
  <c r="D11" i="69" s="1"/>
  <c r="C7" i="69"/>
  <c r="C11" i="69" s="1"/>
  <c r="B7" i="69"/>
  <c r="B11" i="69" s="1"/>
  <c r="I29" i="80"/>
  <c r="I28" i="80"/>
  <c r="I27" i="80"/>
  <c r="I26" i="80"/>
  <c r="I25" i="80"/>
  <c r="I24" i="80"/>
  <c r="I23" i="80"/>
  <c r="I22" i="80"/>
  <c r="I21" i="80"/>
  <c r="I20" i="80"/>
  <c r="I19" i="80"/>
  <c r="I18" i="80"/>
  <c r="I17" i="80"/>
  <c r="I16" i="80"/>
  <c r="I15" i="80"/>
  <c r="I14" i="80"/>
  <c r="I13" i="80"/>
  <c r="I12" i="80"/>
  <c r="I11" i="80"/>
  <c r="I10" i="80"/>
  <c r="I9" i="80"/>
  <c r="I8" i="80"/>
  <c r="I7" i="80"/>
  <c r="I6" i="80"/>
  <c r="I5" i="80"/>
  <c r="I4" i="80"/>
  <c r="I3" i="80"/>
  <c r="I2" i="80"/>
  <c r="C12" i="26"/>
  <c r="B12" i="26"/>
  <c r="AM6" i="2" s="1"/>
  <c r="C11" i="26"/>
  <c r="AN5" i="2" s="1"/>
  <c r="B11" i="26"/>
  <c r="I38" i="28"/>
  <c r="H38" i="28"/>
  <c r="S168" i="2"/>
  <c r="D18" i="34"/>
  <c r="U18" i="34" s="1"/>
  <c r="Q1089" i="2"/>
  <c r="I39" i="28"/>
  <c r="H39" i="28"/>
  <c r="S169" i="2"/>
  <c r="R1089" i="2"/>
  <c r="V18" i="34"/>
  <c r="B3" i="69"/>
  <c r="I40" i="28"/>
  <c r="H40" i="28"/>
  <c r="S170" i="2"/>
  <c r="G1090" i="2"/>
  <c r="D45" i="24"/>
  <c r="D49" i="36"/>
  <c r="AH1076" i="2" s="1"/>
  <c r="C49" i="36"/>
  <c r="AG1076" i="2" s="1"/>
  <c r="I41" i="28"/>
  <c r="H41" i="28"/>
  <c r="S171" i="2"/>
  <c r="H1090" i="2"/>
  <c r="S112" i="2"/>
  <c r="F14" i="49"/>
  <c r="C6" i="32"/>
  <c r="C9" i="32"/>
  <c r="C78" i="28" s="1"/>
  <c r="I78" i="28" s="1"/>
  <c r="C5" i="32"/>
  <c r="AG31" i="2" s="1"/>
  <c r="C8" i="32"/>
  <c r="C10" i="32"/>
  <c r="C7" i="32"/>
  <c r="C75" i="28" s="1"/>
  <c r="H57" i="52"/>
  <c r="G57" i="52"/>
  <c r="F57" i="52"/>
  <c r="E57" i="52"/>
  <c r="D57" i="52"/>
  <c r="H56" i="52"/>
  <c r="G56" i="52"/>
  <c r="F56" i="52"/>
  <c r="E56" i="52"/>
  <c r="D56" i="52"/>
  <c r="H54" i="52"/>
  <c r="G54" i="52"/>
  <c r="F54" i="52"/>
  <c r="E54" i="52"/>
  <c r="D54" i="52"/>
  <c r="H53" i="52"/>
  <c r="G53" i="52"/>
  <c r="F53" i="52"/>
  <c r="E53" i="52"/>
  <c r="D53" i="52"/>
  <c r="H48" i="52"/>
  <c r="G48" i="52"/>
  <c r="F48" i="52"/>
  <c r="E48" i="52"/>
  <c r="H55" i="52"/>
  <c r="G55" i="52"/>
  <c r="F55" i="52"/>
  <c r="E55" i="52"/>
  <c r="D55" i="52"/>
  <c r="H52" i="52"/>
  <c r="G52" i="52"/>
  <c r="F52" i="52"/>
  <c r="E52" i="52"/>
  <c r="D52" i="52"/>
  <c r="H49" i="52"/>
  <c r="G49" i="52"/>
  <c r="F49" i="52"/>
  <c r="E49" i="52"/>
  <c r="D49" i="52"/>
  <c r="H51" i="52"/>
  <c r="G51" i="52"/>
  <c r="F51" i="52"/>
  <c r="E51" i="52"/>
  <c r="D51" i="52"/>
  <c r="G50" i="52"/>
  <c r="F50" i="52"/>
  <c r="E50" i="52"/>
  <c r="D50" i="52"/>
  <c r="C56" i="52"/>
  <c r="C54" i="52"/>
  <c r="C53" i="52"/>
  <c r="C48" i="52"/>
  <c r="C55" i="52"/>
  <c r="C52" i="52"/>
  <c r="C49" i="52"/>
  <c r="C51" i="52"/>
  <c r="A3" i="76"/>
  <c r="D44" i="52"/>
  <c r="D42" i="52"/>
  <c r="C42" i="52"/>
  <c r="D41" i="52"/>
  <c r="C41" i="52"/>
  <c r="D40" i="52"/>
  <c r="C40" i="52"/>
  <c r="C39" i="52"/>
  <c r="D38" i="52"/>
  <c r="C38" i="52"/>
  <c r="D37" i="52"/>
  <c r="C37" i="52"/>
  <c r="D36" i="52"/>
  <c r="C36" i="52"/>
  <c r="D35" i="52"/>
  <c r="C35" i="52"/>
  <c r="C34" i="52"/>
  <c r="D7" i="52"/>
  <c r="D6" i="52"/>
  <c r="C7" i="52"/>
  <c r="C6" i="52"/>
  <c r="H51" i="51"/>
  <c r="G51" i="51"/>
  <c r="H50" i="51"/>
  <c r="G50" i="51"/>
  <c r="F51" i="51"/>
  <c r="F50" i="51"/>
  <c r="H49" i="51"/>
  <c r="H48" i="51"/>
  <c r="G48" i="51"/>
  <c r="F49" i="51"/>
  <c r="F48" i="51"/>
  <c r="H47" i="51"/>
  <c r="G47" i="51"/>
  <c r="F47" i="51"/>
  <c r="F9" i="51"/>
  <c r="F6" i="51"/>
  <c r="I10" i="51"/>
  <c r="C33" i="26" s="1"/>
  <c r="H10" i="51"/>
  <c r="B33" i="26" s="1"/>
  <c r="AM27" i="2" s="1"/>
  <c r="G10" i="51"/>
  <c r="G9" i="51"/>
  <c r="I42" i="28"/>
  <c r="H42" i="28"/>
  <c r="S172" i="2"/>
  <c r="I1090" i="2"/>
  <c r="I43" i="28"/>
  <c r="H43" i="28"/>
  <c r="S173" i="2"/>
  <c r="J1090" i="2"/>
  <c r="I44" i="28"/>
  <c r="H44" i="28"/>
  <c r="S174" i="2"/>
  <c r="K1090" i="2"/>
  <c r="I45" i="28"/>
  <c r="H45" i="28"/>
  <c r="S175" i="2"/>
  <c r="L1090" i="2"/>
  <c r="S38" i="32"/>
  <c r="AE64" i="2" s="1"/>
  <c r="R38" i="32"/>
  <c r="AD64" i="2" s="1"/>
  <c r="Q38" i="32"/>
  <c r="AC64" i="2" s="1"/>
  <c r="P38" i="32"/>
  <c r="O38" i="32"/>
  <c r="AA64" i="2" s="1"/>
  <c r="N38" i="32"/>
  <c r="Z64" i="2" s="1"/>
  <c r="M38" i="32"/>
  <c r="Y64" i="2" s="1"/>
  <c r="L38" i="32"/>
  <c r="X64" i="2" s="1"/>
  <c r="K38" i="32"/>
  <c r="J38" i="32"/>
  <c r="V64" i="2" s="1"/>
  <c r="I38" i="32"/>
  <c r="H38" i="32"/>
  <c r="T64" i="2" s="1"/>
  <c r="F38" i="32"/>
  <c r="AJ64" i="2" s="1"/>
  <c r="E38" i="32"/>
  <c r="AI64" i="2" s="1"/>
  <c r="AD5" i="73"/>
  <c r="AD6" i="73"/>
  <c r="AD7" i="73"/>
  <c r="AD8" i="73"/>
  <c r="AD9" i="73"/>
  <c r="AD10" i="73"/>
  <c r="AD11" i="73"/>
  <c r="AD4" i="73"/>
  <c r="Z10" i="73"/>
  <c r="Z11" i="73"/>
  <c r="Z5" i="73"/>
  <c r="Z6" i="73"/>
  <c r="Z7" i="73"/>
  <c r="Z8" i="73"/>
  <c r="Z9" i="73"/>
  <c r="Z4" i="73"/>
  <c r="U69" i="73"/>
  <c r="U66" i="73"/>
  <c r="U63" i="73"/>
  <c r="U72" i="73"/>
  <c r="U75" i="73"/>
  <c r="U51" i="73"/>
  <c r="I46" i="28"/>
  <c r="H46" i="28"/>
  <c r="S176" i="2"/>
  <c r="M1090" i="2"/>
  <c r="I47" i="28"/>
  <c r="H47" i="28"/>
  <c r="S177" i="2"/>
  <c r="N1090" i="2"/>
  <c r="I48" i="28"/>
  <c r="H48" i="28"/>
  <c r="S178" i="2"/>
  <c r="O1090" i="2"/>
  <c r="C14" i="36"/>
  <c r="AG1041" i="2" s="1"/>
  <c r="I49" i="28"/>
  <c r="H49" i="28"/>
  <c r="S179" i="2"/>
  <c r="P1090" i="2"/>
  <c r="I50" i="28"/>
  <c r="H50" i="28"/>
  <c r="S180" i="2"/>
  <c r="D19" i="34"/>
  <c r="AH1090" i="2" s="1"/>
  <c r="Q1090" i="2"/>
  <c r="I51" i="28"/>
  <c r="H51" i="28"/>
  <c r="S181" i="2"/>
  <c r="R1090" i="2"/>
  <c r="V19" i="34"/>
  <c r="D14" i="36"/>
  <c r="D48" i="36"/>
  <c r="AH1075" i="2" s="1"/>
  <c r="C48" i="36"/>
  <c r="AG1075" i="2" s="1"/>
  <c r="D47" i="36"/>
  <c r="AH1074" i="2" s="1"/>
  <c r="C47" i="36"/>
  <c r="AG1074" i="2" s="1"/>
  <c r="D46" i="36"/>
  <c r="AH1073" i="2" s="1"/>
  <c r="C46" i="36"/>
  <c r="AG1073" i="2" s="1"/>
  <c r="D45" i="36"/>
  <c r="AH1072" i="2" s="1"/>
  <c r="C45" i="36"/>
  <c r="AG1072" i="2" s="1"/>
  <c r="D44" i="36"/>
  <c r="AH1071" i="2" s="1"/>
  <c r="C44" i="36"/>
  <c r="AG1071" i="2" s="1"/>
  <c r="D43" i="36"/>
  <c r="AH1070" i="2" s="1"/>
  <c r="C43" i="36"/>
  <c r="D42" i="36"/>
  <c r="AH1069" i="2" s="1"/>
  <c r="C42" i="36"/>
  <c r="AG1069" i="2" s="1"/>
  <c r="D41" i="36"/>
  <c r="AH1068" i="2" s="1"/>
  <c r="C41" i="36"/>
  <c r="AG1068" i="2" s="1"/>
  <c r="I52" i="28"/>
  <c r="H52" i="28"/>
  <c r="S182" i="2"/>
  <c r="G1091" i="2"/>
  <c r="I53" i="28"/>
  <c r="H53" i="28"/>
  <c r="S183" i="2"/>
  <c r="H1091" i="2"/>
  <c r="I54" i="28"/>
  <c r="H54" i="28"/>
  <c r="S184" i="2"/>
  <c r="I75" i="28"/>
  <c r="S205" i="2"/>
  <c r="I1091" i="2"/>
  <c r="I55" i="28"/>
  <c r="H55" i="28"/>
  <c r="S185" i="2"/>
  <c r="J1091" i="2"/>
  <c r="I56" i="28"/>
  <c r="H56" i="28"/>
  <c r="S186" i="2"/>
  <c r="K1091" i="2"/>
  <c r="I57" i="28"/>
  <c r="H57" i="28"/>
  <c r="S187" i="2"/>
  <c r="H78" i="28"/>
  <c r="S208" i="2"/>
  <c r="L1091" i="2"/>
  <c r="I58" i="28"/>
  <c r="H58" i="28"/>
  <c r="S188" i="2"/>
  <c r="I79" i="28"/>
  <c r="H79" i="28"/>
  <c r="S209" i="2"/>
  <c r="M1091" i="2"/>
  <c r="AT30" i="32"/>
  <c r="AS30" i="32"/>
  <c r="AR30" i="32"/>
  <c r="AQ30" i="32"/>
  <c r="AP30" i="32"/>
  <c r="AO30" i="32"/>
  <c r="AN30" i="32"/>
  <c r="AM30" i="32"/>
  <c r="AL30" i="32"/>
  <c r="AK30" i="32"/>
  <c r="AJ30" i="32"/>
  <c r="AI30" i="32"/>
  <c r="AU29" i="32"/>
  <c r="AU28" i="32"/>
  <c r="AU27" i="32"/>
  <c r="AU26" i="32"/>
  <c r="AU25" i="32"/>
  <c r="AU24" i="32"/>
  <c r="AU23" i="32"/>
  <c r="AU22" i="32"/>
  <c r="AU21" i="32"/>
  <c r="AU20" i="32"/>
  <c r="AU19" i="32"/>
  <c r="AU18" i="32"/>
  <c r="AU17" i="32"/>
  <c r="AU16" i="32"/>
  <c r="AU15" i="32"/>
  <c r="AU14" i="32"/>
  <c r="AU13" i="32"/>
  <c r="AU12" i="32"/>
  <c r="AT11" i="32"/>
  <c r="AS11" i="32"/>
  <c r="AR11" i="32"/>
  <c r="AQ11" i="32"/>
  <c r="AP11" i="32"/>
  <c r="AO11" i="32"/>
  <c r="AN11" i="32"/>
  <c r="AM11" i="32"/>
  <c r="AL11" i="32"/>
  <c r="AK11" i="32"/>
  <c r="AJ11" i="32"/>
  <c r="AI11" i="32"/>
  <c r="AU10" i="32"/>
  <c r="AU9" i="32"/>
  <c r="AU8" i="32"/>
  <c r="AU7" i="32"/>
  <c r="AU6" i="32"/>
  <c r="AU5" i="32"/>
  <c r="I59" i="28"/>
  <c r="H59" i="28"/>
  <c r="S189" i="2"/>
  <c r="I80" i="28"/>
  <c r="H80" i="28"/>
  <c r="S210" i="2"/>
  <c r="N1091" i="2"/>
  <c r="S11" i="32"/>
  <c r="AE37" i="2" s="1"/>
  <c r="R11" i="32"/>
  <c r="BH6" i="69" s="1"/>
  <c r="BH8" i="69" s="1"/>
  <c r="Q11" i="32"/>
  <c r="AC37" i="2" s="1"/>
  <c r="P11" i="32"/>
  <c r="BF6" i="69" s="1"/>
  <c r="BF8" i="69" s="1"/>
  <c r="O11" i="32"/>
  <c r="N11" i="32"/>
  <c r="M11" i="32"/>
  <c r="L11" i="32"/>
  <c r="BB6" i="69" s="1"/>
  <c r="BB8" i="69" s="1"/>
  <c r="K11" i="32"/>
  <c r="BA6" i="69" s="1"/>
  <c r="BA8" i="69" s="1"/>
  <c r="J11" i="32"/>
  <c r="I11" i="32"/>
  <c r="AY6" i="69" s="1"/>
  <c r="AY8" i="69" s="1"/>
  <c r="H11" i="32"/>
  <c r="AX6" i="69" s="1"/>
  <c r="AX8" i="69" s="1"/>
  <c r="B1001" i="38"/>
  <c r="B1000" i="38"/>
  <c r="B999" i="38"/>
  <c r="B998" i="38"/>
  <c r="B997" i="38"/>
  <c r="B996" i="38"/>
  <c r="B995" i="38"/>
  <c r="B994" i="38"/>
  <c r="B993" i="38"/>
  <c r="B992" i="38"/>
  <c r="B991" i="38"/>
  <c r="B990" i="38"/>
  <c r="B989" i="38"/>
  <c r="B988" i="38"/>
  <c r="B987" i="38"/>
  <c r="B986" i="38"/>
  <c r="B985" i="38"/>
  <c r="B984" i="38"/>
  <c r="B983" i="38"/>
  <c r="B982" i="38"/>
  <c r="B981" i="38"/>
  <c r="B980" i="38"/>
  <c r="B979" i="38"/>
  <c r="B978" i="38"/>
  <c r="B977" i="38"/>
  <c r="B976" i="38"/>
  <c r="B975" i="38"/>
  <c r="B974" i="38"/>
  <c r="B973" i="38"/>
  <c r="B972" i="38"/>
  <c r="B971" i="38"/>
  <c r="B970" i="38"/>
  <c r="B969" i="38"/>
  <c r="B968" i="38"/>
  <c r="B967" i="38"/>
  <c r="B966" i="38"/>
  <c r="B965" i="38"/>
  <c r="B964" i="38"/>
  <c r="B963" i="38"/>
  <c r="B962" i="38"/>
  <c r="B961" i="38"/>
  <c r="B960" i="38"/>
  <c r="B959" i="38"/>
  <c r="B958" i="38"/>
  <c r="B957" i="38"/>
  <c r="B956" i="38"/>
  <c r="B955" i="38"/>
  <c r="B954" i="38"/>
  <c r="B953" i="38"/>
  <c r="B952" i="38"/>
  <c r="B951" i="38"/>
  <c r="B950" i="38"/>
  <c r="B949" i="38"/>
  <c r="B948" i="38"/>
  <c r="B947" i="38"/>
  <c r="B946" i="38"/>
  <c r="B945" i="38"/>
  <c r="B944" i="38"/>
  <c r="B943" i="38"/>
  <c r="B942" i="38"/>
  <c r="B941" i="38"/>
  <c r="B940" i="38"/>
  <c r="B939" i="38"/>
  <c r="B938" i="38"/>
  <c r="B937" i="38"/>
  <c r="B936" i="38"/>
  <c r="B935" i="38"/>
  <c r="B934" i="38"/>
  <c r="B933" i="38"/>
  <c r="B932" i="38"/>
  <c r="B931" i="38"/>
  <c r="B930" i="38"/>
  <c r="B929" i="38"/>
  <c r="B928" i="38"/>
  <c r="B927" i="38"/>
  <c r="B926" i="38"/>
  <c r="B925" i="38"/>
  <c r="B924" i="38"/>
  <c r="B923" i="38"/>
  <c r="B922" i="38"/>
  <c r="B921" i="38"/>
  <c r="B920" i="38"/>
  <c r="B919" i="38"/>
  <c r="B918" i="38"/>
  <c r="B917" i="38"/>
  <c r="B916" i="38"/>
  <c r="B915" i="38"/>
  <c r="B914" i="38"/>
  <c r="B913" i="38"/>
  <c r="B912" i="38"/>
  <c r="B911" i="38"/>
  <c r="B910" i="38"/>
  <c r="B909" i="38"/>
  <c r="B908" i="38"/>
  <c r="B907" i="38"/>
  <c r="B906" i="38"/>
  <c r="B905" i="38"/>
  <c r="B904" i="38"/>
  <c r="B903" i="38"/>
  <c r="B902" i="38"/>
  <c r="B901" i="38"/>
  <c r="B900" i="38"/>
  <c r="B899" i="38"/>
  <c r="B898" i="38"/>
  <c r="B897" i="38"/>
  <c r="B896" i="38"/>
  <c r="B895" i="38"/>
  <c r="B894" i="38"/>
  <c r="B893" i="38"/>
  <c r="B892" i="38"/>
  <c r="B891" i="38"/>
  <c r="B890" i="38"/>
  <c r="B889" i="38"/>
  <c r="B888" i="38"/>
  <c r="B887" i="38"/>
  <c r="B886" i="38"/>
  <c r="B885" i="38"/>
  <c r="B884" i="38"/>
  <c r="B883" i="38"/>
  <c r="B882" i="38"/>
  <c r="B881" i="38"/>
  <c r="B880" i="38"/>
  <c r="B879" i="38"/>
  <c r="B878" i="38"/>
  <c r="B877" i="38"/>
  <c r="B876" i="38"/>
  <c r="B875" i="38"/>
  <c r="B874" i="38"/>
  <c r="B873" i="38"/>
  <c r="B872" i="38"/>
  <c r="B871" i="38"/>
  <c r="B870" i="38"/>
  <c r="B869" i="38"/>
  <c r="B868" i="38"/>
  <c r="B867" i="38"/>
  <c r="B866" i="38"/>
  <c r="B865" i="38"/>
  <c r="B864" i="38"/>
  <c r="B863" i="38"/>
  <c r="B862" i="38"/>
  <c r="B861" i="38"/>
  <c r="B860" i="38"/>
  <c r="B859" i="38"/>
  <c r="B858" i="38"/>
  <c r="B857" i="38"/>
  <c r="B856" i="38"/>
  <c r="B855" i="38"/>
  <c r="B854" i="38"/>
  <c r="B853" i="38"/>
  <c r="B852" i="38"/>
  <c r="B851" i="38"/>
  <c r="B850" i="38"/>
  <c r="B849" i="38"/>
  <c r="B848" i="38"/>
  <c r="B847" i="38"/>
  <c r="B846" i="38"/>
  <c r="B845" i="38"/>
  <c r="B844" i="38"/>
  <c r="B843" i="38"/>
  <c r="B842" i="38"/>
  <c r="B841" i="38"/>
  <c r="B840" i="38"/>
  <c r="B839" i="38"/>
  <c r="B838" i="38"/>
  <c r="B837" i="38"/>
  <c r="B836" i="38"/>
  <c r="B835" i="38"/>
  <c r="B834" i="38"/>
  <c r="B833" i="38"/>
  <c r="B832" i="38"/>
  <c r="B831" i="38"/>
  <c r="B830" i="38"/>
  <c r="B829" i="38"/>
  <c r="B828" i="38"/>
  <c r="B827" i="38"/>
  <c r="B826" i="38"/>
  <c r="B825" i="38"/>
  <c r="B824" i="38"/>
  <c r="B823" i="38"/>
  <c r="B822" i="38"/>
  <c r="B821" i="38"/>
  <c r="B820" i="38"/>
  <c r="B819" i="38"/>
  <c r="B818" i="38"/>
  <c r="B817" i="38"/>
  <c r="B816" i="38"/>
  <c r="B815" i="38"/>
  <c r="B814" i="38"/>
  <c r="B813" i="38"/>
  <c r="B812" i="38"/>
  <c r="B811" i="38"/>
  <c r="B810" i="38"/>
  <c r="B809" i="38"/>
  <c r="B808" i="38"/>
  <c r="B807" i="38"/>
  <c r="B806" i="38"/>
  <c r="B805" i="38"/>
  <c r="B804" i="38"/>
  <c r="B803" i="38"/>
  <c r="B802" i="38"/>
  <c r="B801" i="38"/>
  <c r="B800" i="38"/>
  <c r="B799" i="38"/>
  <c r="B798" i="38"/>
  <c r="B797" i="38"/>
  <c r="B796" i="38"/>
  <c r="B795" i="38"/>
  <c r="B794" i="38"/>
  <c r="B793" i="38"/>
  <c r="B792" i="38"/>
  <c r="B791" i="38"/>
  <c r="B790" i="38"/>
  <c r="B789" i="38"/>
  <c r="B788" i="38"/>
  <c r="B787" i="38"/>
  <c r="B786" i="38"/>
  <c r="B785" i="38"/>
  <c r="B784" i="38"/>
  <c r="B783" i="38"/>
  <c r="B782" i="38"/>
  <c r="B781" i="38"/>
  <c r="B780" i="38"/>
  <c r="B779" i="38"/>
  <c r="B778" i="38"/>
  <c r="B777" i="38"/>
  <c r="B776" i="38"/>
  <c r="B775" i="38"/>
  <c r="B774" i="38"/>
  <c r="B773" i="38"/>
  <c r="B772" i="38"/>
  <c r="B771" i="38"/>
  <c r="B770" i="38"/>
  <c r="B769" i="38"/>
  <c r="B768" i="38"/>
  <c r="B767" i="38"/>
  <c r="B766" i="38"/>
  <c r="B765" i="38"/>
  <c r="B764" i="38"/>
  <c r="B763" i="38"/>
  <c r="B762" i="38"/>
  <c r="B761" i="38"/>
  <c r="B760" i="38"/>
  <c r="B759" i="38"/>
  <c r="B758" i="38"/>
  <c r="B757" i="38"/>
  <c r="B756" i="38"/>
  <c r="B755" i="38"/>
  <c r="B754" i="38"/>
  <c r="B753" i="38"/>
  <c r="B752" i="38"/>
  <c r="B751" i="38"/>
  <c r="B750" i="38"/>
  <c r="B749" i="38"/>
  <c r="B748" i="38"/>
  <c r="B747" i="38"/>
  <c r="B746" i="38"/>
  <c r="B745" i="38"/>
  <c r="B744" i="38"/>
  <c r="B743" i="38"/>
  <c r="B742" i="38"/>
  <c r="B741" i="38"/>
  <c r="B740" i="38"/>
  <c r="B739" i="38"/>
  <c r="B738" i="38"/>
  <c r="B737" i="38"/>
  <c r="B736" i="38"/>
  <c r="B735" i="38"/>
  <c r="B734" i="38"/>
  <c r="B733" i="38"/>
  <c r="B732" i="38"/>
  <c r="B731" i="38"/>
  <c r="B730" i="38"/>
  <c r="B729" i="38"/>
  <c r="B728" i="38"/>
  <c r="B727" i="38"/>
  <c r="B726" i="38"/>
  <c r="B725" i="38"/>
  <c r="B724" i="38"/>
  <c r="B723" i="38"/>
  <c r="B722" i="38"/>
  <c r="B721" i="38"/>
  <c r="B720" i="38"/>
  <c r="B719" i="38"/>
  <c r="B718" i="38"/>
  <c r="B717" i="38"/>
  <c r="B716" i="38"/>
  <c r="B715" i="38"/>
  <c r="B714" i="38"/>
  <c r="B713" i="38"/>
  <c r="B712" i="38"/>
  <c r="B711" i="38"/>
  <c r="B710" i="38"/>
  <c r="B709" i="38"/>
  <c r="B708" i="38"/>
  <c r="B707" i="38"/>
  <c r="B706" i="38"/>
  <c r="B705" i="38"/>
  <c r="B704" i="38"/>
  <c r="B703" i="38"/>
  <c r="B702" i="38"/>
  <c r="B701" i="38"/>
  <c r="B700" i="38"/>
  <c r="B699" i="38"/>
  <c r="B698" i="38"/>
  <c r="B697" i="38"/>
  <c r="B696" i="38"/>
  <c r="B695" i="38"/>
  <c r="B694" i="38"/>
  <c r="B693" i="38"/>
  <c r="B692" i="38"/>
  <c r="B691" i="38"/>
  <c r="B690" i="38"/>
  <c r="B689" i="38"/>
  <c r="B688" i="38"/>
  <c r="B687" i="38"/>
  <c r="B686" i="38"/>
  <c r="B685" i="38"/>
  <c r="B684" i="38"/>
  <c r="B683" i="38"/>
  <c r="B682" i="38"/>
  <c r="B681" i="38"/>
  <c r="B680" i="38"/>
  <c r="B679" i="38"/>
  <c r="B678" i="38"/>
  <c r="B677" i="38"/>
  <c r="B676" i="38"/>
  <c r="B675" i="38"/>
  <c r="B674" i="38"/>
  <c r="B673" i="38"/>
  <c r="B672" i="38"/>
  <c r="B671" i="38"/>
  <c r="B670" i="38"/>
  <c r="B669" i="38"/>
  <c r="B668" i="38"/>
  <c r="B667" i="38"/>
  <c r="B666" i="38"/>
  <c r="B665" i="38"/>
  <c r="B664" i="38"/>
  <c r="B663" i="38"/>
  <c r="B662" i="38"/>
  <c r="B661" i="38"/>
  <c r="B660" i="38"/>
  <c r="B659" i="38"/>
  <c r="B658" i="38"/>
  <c r="B657" i="38"/>
  <c r="B656" i="38"/>
  <c r="B655" i="38"/>
  <c r="B654" i="38"/>
  <c r="B653" i="38"/>
  <c r="B652" i="38"/>
  <c r="B651" i="38"/>
  <c r="B650" i="38"/>
  <c r="B649" i="38"/>
  <c r="B648" i="38"/>
  <c r="B647" i="38"/>
  <c r="B646" i="38"/>
  <c r="B645" i="38"/>
  <c r="B644" i="38"/>
  <c r="B643" i="38"/>
  <c r="B642" i="38"/>
  <c r="B641" i="38"/>
  <c r="B640" i="38"/>
  <c r="B639" i="38"/>
  <c r="B638" i="38"/>
  <c r="B637" i="38"/>
  <c r="B636" i="38"/>
  <c r="B635" i="38"/>
  <c r="B634" i="38"/>
  <c r="B633" i="38"/>
  <c r="B632" i="38"/>
  <c r="B631" i="38"/>
  <c r="B630" i="38"/>
  <c r="B629" i="38"/>
  <c r="B628" i="38"/>
  <c r="B627" i="38"/>
  <c r="B626" i="38"/>
  <c r="B625" i="38"/>
  <c r="B624" i="38"/>
  <c r="B623" i="38"/>
  <c r="B622" i="38"/>
  <c r="B621" i="38"/>
  <c r="B620" i="38"/>
  <c r="B619" i="38"/>
  <c r="B618" i="38"/>
  <c r="B617" i="38"/>
  <c r="B616" i="38"/>
  <c r="B615" i="38"/>
  <c r="B614" i="38"/>
  <c r="B613" i="38"/>
  <c r="B612" i="38"/>
  <c r="B611" i="38"/>
  <c r="B610" i="38"/>
  <c r="B609" i="38"/>
  <c r="B608" i="38"/>
  <c r="B607" i="38"/>
  <c r="B606" i="38"/>
  <c r="B605" i="38"/>
  <c r="B604" i="38"/>
  <c r="B603" i="38"/>
  <c r="B602" i="38"/>
  <c r="B601" i="38"/>
  <c r="B600" i="38"/>
  <c r="B599" i="38"/>
  <c r="B598" i="38"/>
  <c r="B597" i="38"/>
  <c r="B596" i="38"/>
  <c r="B595" i="38"/>
  <c r="B594" i="38"/>
  <c r="B593" i="38"/>
  <c r="B592" i="38"/>
  <c r="B591" i="38"/>
  <c r="B590" i="38"/>
  <c r="B589" i="38"/>
  <c r="B588" i="38"/>
  <c r="B587" i="38"/>
  <c r="B586" i="38"/>
  <c r="B585" i="38"/>
  <c r="B584" i="38"/>
  <c r="B583" i="38"/>
  <c r="B582" i="38"/>
  <c r="B581" i="38"/>
  <c r="B580" i="38"/>
  <c r="B579" i="38"/>
  <c r="B578" i="38"/>
  <c r="B577" i="38"/>
  <c r="B576" i="38"/>
  <c r="B575" i="38"/>
  <c r="B574" i="38"/>
  <c r="B573" i="38"/>
  <c r="B572" i="38"/>
  <c r="B571" i="38"/>
  <c r="B570" i="38"/>
  <c r="B569" i="38"/>
  <c r="B568" i="38"/>
  <c r="B567" i="38"/>
  <c r="B566" i="38"/>
  <c r="B565" i="38"/>
  <c r="B564" i="38"/>
  <c r="B563" i="38"/>
  <c r="B562" i="38"/>
  <c r="B561" i="38"/>
  <c r="B560" i="38"/>
  <c r="B559" i="38"/>
  <c r="B558" i="38"/>
  <c r="B557" i="38"/>
  <c r="B556" i="38"/>
  <c r="B555" i="38"/>
  <c r="B554" i="38"/>
  <c r="B553" i="38"/>
  <c r="B552" i="38"/>
  <c r="B551" i="38"/>
  <c r="B550" i="38"/>
  <c r="B549" i="38"/>
  <c r="B548" i="38"/>
  <c r="B547" i="38"/>
  <c r="B546" i="38"/>
  <c r="B545" i="38"/>
  <c r="B544" i="38"/>
  <c r="B543" i="38"/>
  <c r="B542" i="38"/>
  <c r="B541" i="38"/>
  <c r="B540" i="38"/>
  <c r="B539" i="38"/>
  <c r="B538" i="38"/>
  <c r="B537" i="38"/>
  <c r="B536" i="38"/>
  <c r="B535" i="38"/>
  <c r="B534" i="38"/>
  <c r="B533" i="38"/>
  <c r="B532" i="38"/>
  <c r="B531" i="38"/>
  <c r="B530" i="38"/>
  <c r="B529" i="38"/>
  <c r="B528" i="38"/>
  <c r="B527" i="38"/>
  <c r="B526" i="38"/>
  <c r="B525" i="38"/>
  <c r="B524" i="38"/>
  <c r="B523" i="38"/>
  <c r="B522" i="38"/>
  <c r="B521" i="38"/>
  <c r="B520" i="38"/>
  <c r="B519" i="38"/>
  <c r="B518" i="38"/>
  <c r="B517" i="38"/>
  <c r="B516" i="38"/>
  <c r="B515" i="38"/>
  <c r="B514" i="38"/>
  <c r="B513" i="38"/>
  <c r="B512" i="38"/>
  <c r="B511" i="38"/>
  <c r="B510" i="38"/>
  <c r="B509" i="38"/>
  <c r="B508" i="38"/>
  <c r="B507" i="38"/>
  <c r="B506" i="38"/>
  <c r="B505" i="38"/>
  <c r="B504" i="38"/>
  <c r="B503" i="38"/>
  <c r="B502" i="38"/>
  <c r="B501" i="38"/>
  <c r="B500" i="38"/>
  <c r="B499" i="38"/>
  <c r="B498" i="38"/>
  <c r="B497" i="38"/>
  <c r="B496" i="38"/>
  <c r="B495" i="38"/>
  <c r="B494" i="38"/>
  <c r="B493" i="38"/>
  <c r="B492" i="38"/>
  <c r="B491" i="38"/>
  <c r="B490" i="38"/>
  <c r="B489" i="38"/>
  <c r="B488" i="38"/>
  <c r="B487" i="38"/>
  <c r="B486" i="38"/>
  <c r="B485" i="38"/>
  <c r="B484" i="38"/>
  <c r="B483" i="38"/>
  <c r="B482" i="38"/>
  <c r="B481" i="38"/>
  <c r="B480" i="38"/>
  <c r="B479" i="38"/>
  <c r="B478" i="38"/>
  <c r="B477" i="38"/>
  <c r="B476" i="38"/>
  <c r="B475" i="38"/>
  <c r="B474" i="38"/>
  <c r="B473" i="38"/>
  <c r="B472" i="38"/>
  <c r="B471" i="38"/>
  <c r="B470" i="38"/>
  <c r="B469" i="38"/>
  <c r="B468" i="38"/>
  <c r="B467" i="38"/>
  <c r="B466" i="38"/>
  <c r="B465" i="38"/>
  <c r="B464" i="38"/>
  <c r="B463" i="38"/>
  <c r="B462" i="38"/>
  <c r="B461" i="38"/>
  <c r="B460" i="38"/>
  <c r="B459" i="38"/>
  <c r="B458" i="38"/>
  <c r="B457" i="38"/>
  <c r="B456" i="38"/>
  <c r="B455" i="38"/>
  <c r="B454" i="38"/>
  <c r="B453" i="38"/>
  <c r="B452" i="38"/>
  <c r="B451" i="38"/>
  <c r="B450" i="38"/>
  <c r="B449" i="38"/>
  <c r="B448" i="38"/>
  <c r="B447" i="38"/>
  <c r="B446" i="38"/>
  <c r="B445" i="38"/>
  <c r="B444" i="38"/>
  <c r="B443" i="38"/>
  <c r="B442" i="38"/>
  <c r="B441" i="38"/>
  <c r="B440" i="38"/>
  <c r="B439" i="38"/>
  <c r="B438" i="38"/>
  <c r="B437" i="38"/>
  <c r="B436" i="38"/>
  <c r="B435" i="38"/>
  <c r="B434" i="38"/>
  <c r="B433" i="38"/>
  <c r="B432" i="38"/>
  <c r="B431" i="38"/>
  <c r="B430" i="38"/>
  <c r="B429" i="38"/>
  <c r="B428" i="38"/>
  <c r="B427" i="38"/>
  <c r="B426" i="38"/>
  <c r="B425" i="38"/>
  <c r="B424" i="38"/>
  <c r="B423" i="38"/>
  <c r="B422" i="38"/>
  <c r="B421" i="38"/>
  <c r="B420" i="38"/>
  <c r="B419" i="38"/>
  <c r="B418" i="38"/>
  <c r="B417" i="38"/>
  <c r="B416" i="38"/>
  <c r="B415" i="38"/>
  <c r="B414" i="38"/>
  <c r="B413" i="38"/>
  <c r="B412" i="38"/>
  <c r="B411" i="38"/>
  <c r="B410" i="38"/>
  <c r="B409" i="38"/>
  <c r="B408" i="38"/>
  <c r="B407" i="38"/>
  <c r="B406" i="38"/>
  <c r="B405" i="38"/>
  <c r="B404" i="38"/>
  <c r="B403" i="38"/>
  <c r="B402" i="38"/>
  <c r="B401" i="38"/>
  <c r="B400" i="38"/>
  <c r="B399" i="38"/>
  <c r="B398" i="38"/>
  <c r="B397" i="38"/>
  <c r="B396" i="38"/>
  <c r="B395" i="38"/>
  <c r="B394" i="38"/>
  <c r="B393" i="38"/>
  <c r="B392" i="38"/>
  <c r="B391" i="38"/>
  <c r="B390" i="38"/>
  <c r="B389" i="38"/>
  <c r="B388" i="38"/>
  <c r="B387" i="38"/>
  <c r="B386" i="38"/>
  <c r="B385" i="38"/>
  <c r="B384" i="38"/>
  <c r="B383" i="38"/>
  <c r="B382" i="38"/>
  <c r="B381" i="38"/>
  <c r="B380" i="38"/>
  <c r="B379" i="38"/>
  <c r="B378" i="38"/>
  <c r="B377" i="38"/>
  <c r="B376" i="38"/>
  <c r="B375" i="38"/>
  <c r="B374" i="38"/>
  <c r="B373" i="38"/>
  <c r="B372" i="38"/>
  <c r="B371" i="38"/>
  <c r="B370" i="38"/>
  <c r="B369" i="38"/>
  <c r="B368" i="38"/>
  <c r="B367" i="38"/>
  <c r="B366" i="38"/>
  <c r="B365" i="38"/>
  <c r="B364" i="38"/>
  <c r="B363" i="38"/>
  <c r="B362" i="38"/>
  <c r="B361" i="38"/>
  <c r="B360" i="38"/>
  <c r="B359" i="38"/>
  <c r="B358" i="38"/>
  <c r="B357" i="38"/>
  <c r="B356" i="38"/>
  <c r="B355" i="38"/>
  <c r="B354" i="38"/>
  <c r="B353" i="38"/>
  <c r="B352" i="38"/>
  <c r="B351" i="38"/>
  <c r="B350" i="38"/>
  <c r="B349" i="38"/>
  <c r="B348" i="38"/>
  <c r="B347" i="38"/>
  <c r="B346" i="38"/>
  <c r="B345" i="38"/>
  <c r="B344" i="38"/>
  <c r="B343" i="38"/>
  <c r="B342" i="38"/>
  <c r="B341" i="38"/>
  <c r="B340" i="38"/>
  <c r="B339" i="38"/>
  <c r="B338" i="38"/>
  <c r="B337" i="38"/>
  <c r="B336" i="38"/>
  <c r="B335" i="38"/>
  <c r="B334" i="38"/>
  <c r="B333" i="38"/>
  <c r="B332" i="38"/>
  <c r="B331" i="38"/>
  <c r="B330" i="38"/>
  <c r="B329" i="38"/>
  <c r="B328" i="38"/>
  <c r="B327" i="38"/>
  <c r="B326" i="38"/>
  <c r="B325" i="38"/>
  <c r="B324" i="38"/>
  <c r="B323" i="38"/>
  <c r="B322" i="38"/>
  <c r="B321" i="38"/>
  <c r="B320" i="38"/>
  <c r="B319" i="38"/>
  <c r="B318" i="38"/>
  <c r="B317" i="38"/>
  <c r="B316" i="38"/>
  <c r="B315" i="38"/>
  <c r="B314" i="38"/>
  <c r="B313" i="38"/>
  <c r="B312" i="38"/>
  <c r="B311" i="38"/>
  <c r="B310" i="38"/>
  <c r="B309" i="38"/>
  <c r="B308" i="38"/>
  <c r="B307" i="38"/>
  <c r="B306" i="38"/>
  <c r="B305" i="38"/>
  <c r="B304" i="38"/>
  <c r="B303" i="38"/>
  <c r="B302" i="38"/>
  <c r="B301" i="38"/>
  <c r="B300" i="38"/>
  <c r="B299" i="38"/>
  <c r="B298" i="38"/>
  <c r="B297" i="38"/>
  <c r="B296" i="38"/>
  <c r="B295" i="38"/>
  <c r="B294" i="38"/>
  <c r="B293" i="38"/>
  <c r="B292" i="38"/>
  <c r="B291" i="38"/>
  <c r="B290" i="38"/>
  <c r="B289" i="38"/>
  <c r="B288" i="38"/>
  <c r="B287" i="38"/>
  <c r="B286" i="38"/>
  <c r="B285" i="38"/>
  <c r="B284" i="38"/>
  <c r="B283" i="38"/>
  <c r="B282" i="38"/>
  <c r="B281" i="38"/>
  <c r="B280" i="38"/>
  <c r="B279" i="38"/>
  <c r="B278" i="38"/>
  <c r="B277" i="38"/>
  <c r="B276" i="38"/>
  <c r="B275" i="38"/>
  <c r="B274" i="38"/>
  <c r="B273" i="38"/>
  <c r="B272" i="38"/>
  <c r="B271" i="38"/>
  <c r="B270" i="38"/>
  <c r="B269" i="38"/>
  <c r="B268" i="38"/>
  <c r="B267" i="38"/>
  <c r="B266" i="38"/>
  <c r="B265" i="38"/>
  <c r="B264" i="38"/>
  <c r="B263" i="38"/>
  <c r="B262" i="38"/>
  <c r="B261" i="38"/>
  <c r="B260" i="38"/>
  <c r="B259" i="38"/>
  <c r="B258" i="38"/>
  <c r="B257" i="38"/>
  <c r="B256" i="38"/>
  <c r="B255" i="38"/>
  <c r="B254" i="38"/>
  <c r="B253" i="38"/>
  <c r="B252" i="38"/>
  <c r="B251" i="38"/>
  <c r="B250" i="38"/>
  <c r="B249" i="38"/>
  <c r="B248" i="38"/>
  <c r="B247" i="38"/>
  <c r="B246" i="38"/>
  <c r="B245" i="38"/>
  <c r="B244" i="38"/>
  <c r="B243" i="38"/>
  <c r="B242" i="38"/>
  <c r="B241" i="38"/>
  <c r="B240" i="38"/>
  <c r="B239" i="38"/>
  <c r="B238" i="38"/>
  <c r="B237" i="38"/>
  <c r="B236" i="38"/>
  <c r="B235" i="38"/>
  <c r="B234" i="38"/>
  <c r="B233" i="38"/>
  <c r="B232" i="38"/>
  <c r="B231" i="38"/>
  <c r="B230" i="38"/>
  <c r="B229" i="38"/>
  <c r="B228" i="38"/>
  <c r="B227" i="38"/>
  <c r="B226" i="38"/>
  <c r="B225" i="38"/>
  <c r="B224" i="38"/>
  <c r="B223" i="38"/>
  <c r="B222" i="38"/>
  <c r="B221" i="38"/>
  <c r="B220" i="38"/>
  <c r="B219" i="38"/>
  <c r="B218" i="38"/>
  <c r="B217" i="38"/>
  <c r="B216" i="38"/>
  <c r="B215" i="38"/>
  <c r="B214" i="38"/>
  <c r="B213" i="38"/>
  <c r="B212" i="38"/>
  <c r="B211" i="38"/>
  <c r="B210" i="38"/>
  <c r="B209" i="38"/>
  <c r="B208" i="38"/>
  <c r="B207" i="38"/>
  <c r="B206" i="38"/>
  <c r="B205" i="38"/>
  <c r="B204" i="38"/>
  <c r="B203" i="38"/>
  <c r="B202" i="38"/>
  <c r="B201" i="38"/>
  <c r="B200" i="38"/>
  <c r="B199" i="38"/>
  <c r="B198" i="38"/>
  <c r="B197" i="38"/>
  <c r="B196" i="38"/>
  <c r="B195" i="38"/>
  <c r="B194" i="38"/>
  <c r="B193" i="38"/>
  <c r="B192" i="38"/>
  <c r="B191" i="38"/>
  <c r="B190" i="38"/>
  <c r="B189" i="38"/>
  <c r="B188" i="38"/>
  <c r="B187" i="38"/>
  <c r="B186" i="38"/>
  <c r="B185" i="38"/>
  <c r="B184" i="38"/>
  <c r="B183" i="38"/>
  <c r="B182" i="38"/>
  <c r="B181" i="38"/>
  <c r="B180" i="38"/>
  <c r="B179" i="38"/>
  <c r="B178" i="38"/>
  <c r="B177" i="38"/>
  <c r="B176" i="38"/>
  <c r="B175" i="38"/>
  <c r="B174" i="38"/>
  <c r="B173" i="38"/>
  <c r="B172" i="38"/>
  <c r="B171" i="38"/>
  <c r="B170" i="38"/>
  <c r="B169" i="38"/>
  <c r="B168" i="38"/>
  <c r="B167" i="38"/>
  <c r="B166" i="38"/>
  <c r="B165" i="38"/>
  <c r="B164" i="38"/>
  <c r="B163" i="38"/>
  <c r="B162" i="38"/>
  <c r="B161" i="38"/>
  <c r="B160" i="38"/>
  <c r="B159" i="38"/>
  <c r="B158" i="38"/>
  <c r="B157" i="38"/>
  <c r="B156" i="38"/>
  <c r="B155" i="38"/>
  <c r="B154" i="38"/>
  <c r="B153" i="38"/>
  <c r="B152" i="38"/>
  <c r="B151" i="38"/>
  <c r="B150" i="38"/>
  <c r="B149" i="38"/>
  <c r="B148" i="38"/>
  <c r="B147" i="38"/>
  <c r="B146" i="38"/>
  <c r="B145" i="38"/>
  <c r="B144" i="38"/>
  <c r="B143" i="38"/>
  <c r="B142" i="38"/>
  <c r="B141" i="38"/>
  <c r="B140" i="38"/>
  <c r="B139" i="38"/>
  <c r="B138" i="38"/>
  <c r="B137" i="38"/>
  <c r="B136" i="38"/>
  <c r="B135" i="38"/>
  <c r="B134" i="38"/>
  <c r="B133" i="38"/>
  <c r="B132"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7" i="38"/>
  <c r="B106" i="38"/>
  <c r="B105" i="38"/>
  <c r="B104" i="38"/>
  <c r="B103" i="38"/>
  <c r="B102" i="38"/>
  <c r="B101"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B20" i="38"/>
  <c r="B19" i="38"/>
  <c r="B18" i="38"/>
  <c r="B17" i="38"/>
  <c r="B16" i="38"/>
  <c r="B15" i="38"/>
  <c r="B14" i="38"/>
  <c r="B13" i="38"/>
  <c r="G41" i="51" s="1"/>
  <c r="B12" i="38"/>
  <c r="B11" i="38"/>
  <c r="B10" i="38"/>
  <c r="B9" i="38"/>
  <c r="B8" i="38"/>
  <c r="B7" i="38"/>
  <c r="B6" i="38"/>
  <c r="B5" i="38"/>
  <c r="B4" i="38"/>
  <c r="B3" i="38"/>
  <c r="B2" i="38"/>
  <c r="I60" i="28"/>
  <c r="H60" i="28"/>
  <c r="S190" i="2"/>
  <c r="I81" i="28"/>
  <c r="H81" i="28"/>
  <c r="S211" i="2"/>
  <c r="O1091" i="2"/>
  <c r="X37" i="2"/>
  <c r="Y37" i="2"/>
  <c r="AG33" i="2"/>
  <c r="BC6" i="69"/>
  <c r="BC8" i="69" s="1"/>
  <c r="N62" i="44"/>
  <c r="R55" i="86" s="1"/>
  <c r="D62" i="44"/>
  <c r="D9" i="82" s="1"/>
  <c r="E62" i="44"/>
  <c r="J55" i="86" s="1"/>
  <c r="F62" i="44"/>
  <c r="K62" i="44"/>
  <c r="O55" i="86" s="1"/>
  <c r="L62" i="44"/>
  <c r="P55" i="86" s="1"/>
  <c r="M62" i="44"/>
  <c r="Q55" i="86" s="1"/>
  <c r="C140" i="44"/>
  <c r="D140" i="44"/>
  <c r="D8" i="82" s="1"/>
  <c r="E140" i="44"/>
  <c r="J133" i="86" s="1"/>
  <c r="F140" i="44"/>
  <c r="K133" i="86" s="1"/>
  <c r="G140" i="44"/>
  <c r="L133" i="86" s="1"/>
  <c r="H140" i="44"/>
  <c r="M133" i="86" s="1"/>
  <c r="K140" i="44"/>
  <c r="O133" i="86" s="1"/>
  <c r="L140" i="44"/>
  <c r="P133" i="86" s="1"/>
  <c r="M140" i="44"/>
  <c r="Q133" i="86" s="1"/>
  <c r="N140" i="44"/>
  <c r="R133" i="86" s="1"/>
  <c r="K99" i="44"/>
  <c r="T17" i="44"/>
  <c r="H10" i="86"/>
  <c r="I61" i="28"/>
  <c r="H61" i="28"/>
  <c r="S191" i="2"/>
  <c r="I82" i="28"/>
  <c r="H82" i="28"/>
  <c r="S212" i="2"/>
  <c r="P1091" i="2"/>
  <c r="E17" i="82"/>
  <c r="H7" i="86"/>
  <c r="C5" i="82"/>
  <c r="T18" i="44"/>
  <c r="H11" i="86"/>
  <c r="I62" i="28"/>
  <c r="H62" i="28"/>
  <c r="S192" i="2"/>
  <c r="I83" i="28"/>
  <c r="H83" i="28"/>
  <c r="S213" i="2"/>
  <c r="D20" i="34"/>
  <c r="AH1091" i="2" s="1"/>
  <c r="Q1091" i="2"/>
  <c r="T19" i="44"/>
  <c r="H12" i="86"/>
  <c r="I84" i="28"/>
  <c r="H84" i="28"/>
  <c r="S214" i="2"/>
  <c r="R1091" i="2"/>
  <c r="V20" i="34"/>
  <c r="AA65" i="30"/>
  <c r="AN842" i="2" s="1"/>
  <c r="Z65" i="30"/>
  <c r="Y65" i="30"/>
  <c r="X65" i="30"/>
  <c r="W65" i="30"/>
  <c r="D23" i="52" s="1"/>
  <c r="V65" i="30"/>
  <c r="U65" i="30"/>
  <c r="AN656" i="2" s="1"/>
  <c r="T65" i="30"/>
  <c r="S65" i="30"/>
  <c r="AN594" i="2" s="1"/>
  <c r="R65" i="30"/>
  <c r="AM594" i="2" s="1"/>
  <c r="Q65" i="30"/>
  <c r="AN532" i="2" s="1"/>
  <c r="P65" i="30"/>
  <c r="O65" i="30"/>
  <c r="AN470" i="2" s="1"/>
  <c r="N65" i="30"/>
  <c r="AM470" i="2" s="1"/>
  <c r="M65" i="30"/>
  <c r="D18" i="52" s="1"/>
  <c r="L65" i="30"/>
  <c r="C18" i="52" s="1"/>
  <c r="D25" i="49" s="1"/>
  <c r="K65" i="30"/>
  <c r="AN346" i="2" s="1"/>
  <c r="J65" i="30"/>
  <c r="I65" i="30"/>
  <c r="AN284" i="2" s="1"/>
  <c r="H65" i="30"/>
  <c r="AG6" i="32"/>
  <c r="D6" i="32" s="1"/>
  <c r="T20" i="44"/>
  <c r="H13" i="86"/>
  <c r="I85" i="28"/>
  <c r="H85" i="28"/>
  <c r="S215" i="2"/>
  <c r="G1092" i="2"/>
  <c r="AI38" i="2"/>
  <c r="AN718" i="2"/>
  <c r="T21" i="44"/>
  <c r="H14" i="86"/>
  <c r="I86" i="28"/>
  <c r="H86" i="28"/>
  <c r="S216" i="2"/>
  <c r="H1092" i="2"/>
  <c r="AJ38" i="2"/>
  <c r="T22" i="44"/>
  <c r="H15" i="86"/>
  <c r="I87" i="28"/>
  <c r="H87" i="28"/>
  <c r="S217" i="2"/>
  <c r="I1092" i="2"/>
  <c r="T38" i="2"/>
  <c r="AX14" i="69"/>
  <c r="A6" i="30"/>
  <c r="A7" i="30"/>
  <c r="T23" i="44"/>
  <c r="H16" i="86"/>
  <c r="S218" i="2"/>
  <c r="I88" i="28"/>
  <c r="H88" i="28"/>
  <c r="J1092" i="2"/>
  <c r="U38" i="2"/>
  <c r="AY14" i="69"/>
  <c r="C14" i="28"/>
  <c r="T24" i="44"/>
  <c r="H17" i="86"/>
  <c r="K1092" i="2"/>
  <c r="V38" i="2"/>
  <c r="AZ14" i="69"/>
  <c r="T25" i="44"/>
  <c r="H18" i="86"/>
  <c r="L1092" i="2"/>
  <c r="W38" i="2"/>
  <c r="BA14" i="69"/>
  <c r="T26" i="44"/>
  <c r="H19" i="86"/>
  <c r="M1092" i="2"/>
  <c r="X38" i="2"/>
  <c r="BB14" i="69"/>
  <c r="T27" i="44"/>
  <c r="H20" i="86"/>
  <c r="N1092" i="2"/>
  <c r="Y38" i="2"/>
  <c r="BC14" i="69"/>
  <c r="A3" i="38"/>
  <c r="A4" i="38" s="1"/>
  <c r="A5" i="38" s="1"/>
  <c r="A6" i="38" s="1"/>
  <c r="A7" i="38" s="1"/>
  <c r="A8" i="38" s="1"/>
  <c r="A9" i="38" s="1"/>
  <c r="A10" i="38" s="1"/>
  <c r="A11" i="38" s="1"/>
  <c r="A12" i="38" s="1"/>
  <c r="A13" i="38" s="1"/>
  <c r="A14" i="38" s="1"/>
  <c r="A15" i="38" s="1"/>
  <c r="A16" i="38" s="1"/>
  <c r="A17" i="38" s="1"/>
  <c r="A18" i="38" s="1"/>
  <c r="A19" i="38" s="1"/>
  <c r="A20" i="38" s="1"/>
  <c r="A21" i="38" s="1"/>
  <c r="A22" i="38" s="1"/>
  <c r="A23" i="38" s="1"/>
  <c r="A24" i="38" s="1"/>
  <c r="A25" i="38" s="1"/>
  <c r="A26" i="38" s="1"/>
  <c r="A27" i="38" s="1"/>
  <c r="A28" i="38" s="1"/>
  <c r="A29" i="38" s="1"/>
  <c r="A30" i="38" s="1"/>
  <c r="A31" i="38" s="1"/>
  <c r="A32" i="38" s="1"/>
  <c r="A33" i="38" s="1"/>
  <c r="A34" i="38" s="1"/>
  <c r="A35" i="38" s="1"/>
  <c r="A36" i="38" s="1"/>
  <c r="A37" i="38" s="1"/>
  <c r="A38" i="38" s="1"/>
  <c r="A39" i="38" s="1"/>
  <c r="A40" i="38" s="1"/>
  <c r="A41" i="38" s="1"/>
  <c r="A42" i="38" s="1"/>
  <c r="A43" i="38" s="1"/>
  <c r="A44" i="38" s="1"/>
  <c r="A45" i="38" s="1"/>
  <c r="A46" i="38" s="1"/>
  <c r="A47" i="38" s="1"/>
  <c r="A48" i="38" s="1"/>
  <c r="A49" i="38" s="1"/>
  <c r="A50" i="38" s="1"/>
  <c r="A51" i="38" s="1"/>
  <c r="A52" i="38" s="1"/>
  <c r="A53" i="38" s="1"/>
  <c r="A54" i="38" s="1"/>
  <c r="A55" i="38" s="1"/>
  <c r="A56" i="38" s="1"/>
  <c r="A57" i="38" s="1"/>
  <c r="A58" i="38" s="1"/>
  <c r="A59" i="38" s="1"/>
  <c r="A60" i="38" s="1"/>
  <c r="A61" i="38" s="1"/>
  <c r="A62" i="38" s="1"/>
  <c r="A63" i="38" s="1"/>
  <c r="A64" i="38" s="1"/>
  <c r="A65" i="38" s="1"/>
  <c r="A66" i="38" s="1"/>
  <c r="A67" i="38" s="1"/>
  <c r="A68" i="38" s="1"/>
  <c r="A69" i="38" s="1"/>
  <c r="A70" i="38" s="1"/>
  <c r="A71" i="38" s="1"/>
  <c r="A72" i="38" s="1"/>
  <c r="A73" i="38" s="1"/>
  <c r="A74" i="38" s="1"/>
  <c r="A75" i="38" s="1"/>
  <c r="A76" i="38" s="1"/>
  <c r="A77" i="38" s="1"/>
  <c r="A78" i="38" s="1"/>
  <c r="A79" i="38" s="1"/>
  <c r="A80" i="38" s="1"/>
  <c r="A81" i="38" s="1"/>
  <c r="A82" i="38" s="1"/>
  <c r="A83" i="38" s="1"/>
  <c r="A84" i="38" s="1"/>
  <c r="A85" i="38" s="1"/>
  <c r="A86" i="38" s="1"/>
  <c r="A87" i="38" s="1"/>
  <c r="A88" i="38" s="1"/>
  <c r="A89" i="38" s="1"/>
  <c r="A90" i="38" s="1"/>
  <c r="A91" i="38" s="1"/>
  <c r="A92" i="38" s="1"/>
  <c r="A93" i="38" s="1"/>
  <c r="A94" i="38" s="1"/>
  <c r="A95" i="38" s="1"/>
  <c r="A96" i="38" s="1"/>
  <c r="A97" i="38" s="1"/>
  <c r="A98" i="38" s="1"/>
  <c r="A99" i="38" s="1"/>
  <c r="A100" i="38" s="1"/>
  <c r="A101" i="38" s="1"/>
  <c r="A102" i="38" s="1"/>
  <c r="A103" i="38" s="1"/>
  <c r="A104" i="38" s="1"/>
  <c r="A105" i="38" s="1"/>
  <c r="A106" i="38" s="1"/>
  <c r="A107" i="38" s="1"/>
  <c r="A108" i="38" s="1"/>
  <c r="A109" i="38" s="1"/>
  <c r="A110" i="38" s="1"/>
  <c r="A111" i="38" s="1"/>
  <c r="A112" i="38" s="1"/>
  <c r="A113" i="38" s="1"/>
  <c r="A114" i="38" s="1"/>
  <c r="A115" i="38" s="1"/>
  <c r="A116" i="38" s="1"/>
  <c r="A117" i="38" s="1"/>
  <c r="A118" i="38" s="1"/>
  <c r="A119" i="38" s="1"/>
  <c r="A120" i="38" s="1"/>
  <c r="A121" i="38" s="1"/>
  <c r="A122" i="38" s="1"/>
  <c r="A123" i="38" s="1"/>
  <c r="A124" i="38" s="1"/>
  <c r="A125" i="38" s="1"/>
  <c r="A126" i="38" s="1"/>
  <c r="A127" i="38" s="1"/>
  <c r="A128" i="38" s="1"/>
  <c r="A129" i="38" s="1"/>
  <c r="A130" i="38" s="1"/>
  <c r="A131" i="38" s="1"/>
  <c r="A132" i="38" s="1"/>
  <c r="A133" i="38" s="1"/>
  <c r="A134" i="38" s="1"/>
  <c r="A135" i="38" s="1"/>
  <c r="A136" i="38" s="1"/>
  <c r="A137" i="38" s="1"/>
  <c r="A138" i="38" s="1"/>
  <c r="A139" i="38" s="1"/>
  <c r="A140" i="38" s="1"/>
  <c r="A141" i="38" s="1"/>
  <c r="A142" i="38" s="1"/>
  <c r="A143" i="38" s="1"/>
  <c r="A144" i="38" s="1"/>
  <c r="A145" i="38" s="1"/>
  <c r="A146" i="38" s="1"/>
  <c r="A147" i="38" s="1"/>
  <c r="A148" i="38" s="1"/>
  <c r="A149" i="38" s="1"/>
  <c r="A150" i="38" s="1"/>
  <c r="A151" i="38" s="1"/>
  <c r="A152" i="38" s="1"/>
  <c r="A153" i="38" s="1"/>
  <c r="A154" i="38" s="1"/>
  <c r="A155" i="38" s="1"/>
  <c r="A156" i="38" s="1"/>
  <c r="A157" i="38" s="1"/>
  <c r="A158" i="38" s="1"/>
  <c r="A159" i="38" s="1"/>
  <c r="A160" i="38" s="1"/>
  <c r="A161" i="38" s="1"/>
  <c r="A162" i="38" s="1"/>
  <c r="A163" i="38" s="1"/>
  <c r="A164" i="38" s="1"/>
  <c r="A165" i="38" s="1"/>
  <c r="A166" i="38" s="1"/>
  <c r="A167" i="38" s="1"/>
  <c r="A168" i="38" s="1"/>
  <c r="A169" i="38" s="1"/>
  <c r="A170" i="38" s="1"/>
  <c r="A171" i="38" s="1"/>
  <c r="A172" i="38" s="1"/>
  <c r="A173" i="38" s="1"/>
  <c r="A174" i="38" s="1"/>
  <c r="A175" i="38" s="1"/>
  <c r="A176" i="38" s="1"/>
  <c r="A177" i="38" s="1"/>
  <c r="A178" i="38" s="1"/>
  <c r="A179" i="38" s="1"/>
  <c r="A180" i="38" s="1"/>
  <c r="A181" i="38" s="1"/>
  <c r="A182" i="38" s="1"/>
  <c r="A183" i="38" s="1"/>
  <c r="A184" i="38" s="1"/>
  <c r="A185" i="38" s="1"/>
  <c r="A186" i="38" s="1"/>
  <c r="A187" i="38" s="1"/>
  <c r="A188" i="38" s="1"/>
  <c r="A189" i="38" s="1"/>
  <c r="A190" i="38" s="1"/>
  <c r="A191" i="38" s="1"/>
  <c r="A192" i="38" s="1"/>
  <c r="A193" i="38" s="1"/>
  <c r="A194" i="38" s="1"/>
  <c r="A195" i="38" s="1"/>
  <c r="A196" i="38" s="1"/>
  <c r="A197" i="38" s="1"/>
  <c r="A198" i="38" s="1"/>
  <c r="A199" i="38" s="1"/>
  <c r="A200" i="38" s="1"/>
  <c r="A201" i="38" s="1"/>
  <c r="A202" i="38" s="1"/>
  <c r="A203" i="38" s="1"/>
  <c r="A204" i="38" s="1"/>
  <c r="A205" i="38" s="1"/>
  <c r="A206" i="38" s="1"/>
  <c r="A207" i="38" s="1"/>
  <c r="A208" i="38" s="1"/>
  <c r="A209" i="38" s="1"/>
  <c r="A210" i="38" s="1"/>
  <c r="A211" i="38" s="1"/>
  <c r="A212" i="38" s="1"/>
  <c r="A213" i="38" s="1"/>
  <c r="A214" i="38" s="1"/>
  <c r="A215" i="38" s="1"/>
  <c r="A216" i="38" s="1"/>
  <c r="A217" i="38" s="1"/>
  <c r="A218" i="38" s="1"/>
  <c r="A219" i="38" s="1"/>
  <c r="A220" i="38" s="1"/>
  <c r="A221" i="38" s="1"/>
  <c r="A222" i="38" s="1"/>
  <c r="A223" i="38" s="1"/>
  <c r="A224" i="38" s="1"/>
  <c r="A225" i="38" s="1"/>
  <c r="A226" i="38" s="1"/>
  <c r="A227" i="38" s="1"/>
  <c r="A228" i="38" s="1"/>
  <c r="A229" i="38" s="1"/>
  <c r="A230" i="38" s="1"/>
  <c r="A231" i="38" s="1"/>
  <c r="A232" i="38" s="1"/>
  <c r="A233" i="38" s="1"/>
  <c r="A234" i="38" s="1"/>
  <c r="A235" i="38" s="1"/>
  <c r="A236" i="38" s="1"/>
  <c r="A237" i="38" s="1"/>
  <c r="A238" i="38" s="1"/>
  <c r="A239" i="38" s="1"/>
  <c r="A240" i="38" s="1"/>
  <c r="A241" i="38" s="1"/>
  <c r="A242" i="38" s="1"/>
  <c r="A243" i="38" s="1"/>
  <c r="A244" i="38" s="1"/>
  <c r="A245" i="38" s="1"/>
  <c r="A246" i="38" s="1"/>
  <c r="A247" i="38" s="1"/>
  <c r="A248" i="38" s="1"/>
  <c r="A249" i="38" s="1"/>
  <c r="A250" i="38" s="1"/>
  <c r="A251" i="38" s="1"/>
  <c r="A252" i="38" s="1"/>
  <c r="A253" i="38" s="1"/>
  <c r="A254" i="38" s="1"/>
  <c r="A255" i="38" s="1"/>
  <c r="A256" i="38" s="1"/>
  <c r="A257" i="38" s="1"/>
  <c r="A258" i="38" s="1"/>
  <c r="A259" i="38" s="1"/>
  <c r="A260" i="38" s="1"/>
  <c r="A261" i="38" s="1"/>
  <c r="A262" i="38" s="1"/>
  <c r="A263" i="38" s="1"/>
  <c r="A264" i="38" s="1"/>
  <c r="A265" i="38" s="1"/>
  <c r="A266" i="38" s="1"/>
  <c r="A267" i="38" s="1"/>
  <c r="A268" i="38" s="1"/>
  <c r="A269" i="38" s="1"/>
  <c r="A270" i="38" s="1"/>
  <c r="A271" i="38" s="1"/>
  <c r="A272" i="38" s="1"/>
  <c r="A273" i="38" s="1"/>
  <c r="A274" i="38" s="1"/>
  <c r="A275" i="38" s="1"/>
  <c r="A276" i="38" s="1"/>
  <c r="A277" i="38" s="1"/>
  <c r="A278" i="38" s="1"/>
  <c r="A279" i="38" s="1"/>
  <c r="A280" i="38" s="1"/>
  <c r="A281" i="38" s="1"/>
  <c r="A282" i="38" s="1"/>
  <c r="A283" i="38" s="1"/>
  <c r="A284" i="38" s="1"/>
  <c r="A285" i="38" s="1"/>
  <c r="A286" i="38" s="1"/>
  <c r="A287" i="38" s="1"/>
  <c r="A288" i="38" s="1"/>
  <c r="A289" i="38" s="1"/>
  <c r="A290" i="38" s="1"/>
  <c r="A291" i="38" s="1"/>
  <c r="A292" i="38" s="1"/>
  <c r="A293" i="38" s="1"/>
  <c r="A294" i="38" s="1"/>
  <c r="A295" i="38" s="1"/>
  <c r="A296" i="38" s="1"/>
  <c r="A297" i="38" s="1"/>
  <c r="A298" i="38" s="1"/>
  <c r="A299" i="38" s="1"/>
  <c r="A300" i="38" s="1"/>
  <c r="A301" i="38" s="1"/>
  <c r="A302" i="38" s="1"/>
  <c r="A303" i="38" s="1"/>
  <c r="A304" i="38" s="1"/>
  <c r="A305" i="38" s="1"/>
  <c r="A306" i="38" s="1"/>
  <c r="A307" i="38" s="1"/>
  <c r="A308" i="38" s="1"/>
  <c r="A309" i="38" s="1"/>
  <c r="A310" i="38" s="1"/>
  <c r="A311" i="38" s="1"/>
  <c r="A312" i="38" s="1"/>
  <c r="A313" i="38" s="1"/>
  <c r="A314" i="38" s="1"/>
  <c r="A315" i="38" s="1"/>
  <c r="A316" i="38" s="1"/>
  <c r="A317" i="38" s="1"/>
  <c r="A318" i="38" s="1"/>
  <c r="A319" i="38" s="1"/>
  <c r="A320" i="38" s="1"/>
  <c r="A321" i="38" s="1"/>
  <c r="A322" i="38" s="1"/>
  <c r="A323" i="38" s="1"/>
  <c r="A324" i="38" s="1"/>
  <c r="A325" i="38" s="1"/>
  <c r="A326" i="38" s="1"/>
  <c r="A327" i="38" s="1"/>
  <c r="A328" i="38" s="1"/>
  <c r="A329" i="38" s="1"/>
  <c r="A330" i="38" s="1"/>
  <c r="A331" i="38" s="1"/>
  <c r="A332" i="38" s="1"/>
  <c r="A333" i="38" s="1"/>
  <c r="A334" i="38" s="1"/>
  <c r="A335" i="38" s="1"/>
  <c r="A336" i="38" s="1"/>
  <c r="A337" i="38" s="1"/>
  <c r="A338" i="38" s="1"/>
  <c r="A339" i="38" s="1"/>
  <c r="A340" i="38" s="1"/>
  <c r="A341" i="38" s="1"/>
  <c r="A342" i="38" s="1"/>
  <c r="A343" i="38" s="1"/>
  <c r="A344" i="38" s="1"/>
  <c r="A345" i="38" s="1"/>
  <c r="A346" i="38" s="1"/>
  <c r="A347" i="38" s="1"/>
  <c r="A348" i="38" s="1"/>
  <c r="A349" i="38" s="1"/>
  <c r="A350" i="38" s="1"/>
  <c r="A351" i="38" s="1"/>
  <c r="A352" i="38" s="1"/>
  <c r="A353" i="38" s="1"/>
  <c r="A354" i="38" s="1"/>
  <c r="A355" i="38" s="1"/>
  <c r="A356" i="38" s="1"/>
  <c r="A357" i="38" s="1"/>
  <c r="A358" i="38" s="1"/>
  <c r="A359" i="38" s="1"/>
  <c r="A360" i="38" s="1"/>
  <c r="A361" i="38" s="1"/>
  <c r="A362" i="38" s="1"/>
  <c r="A363" i="38" s="1"/>
  <c r="A364" i="38" s="1"/>
  <c r="A365" i="38" s="1"/>
  <c r="A366" i="38" s="1"/>
  <c r="A367" i="38" s="1"/>
  <c r="A368" i="38" s="1"/>
  <c r="A369" i="38" s="1"/>
  <c r="A370" i="38" s="1"/>
  <c r="A371" i="38" s="1"/>
  <c r="A372" i="38" s="1"/>
  <c r="A373" i="38" s="1"/>
  <c r="A374" i="38" s="1"/>
  <c r="A375" i="38" s="1"/>
  <c r="A376" i="38" s="1"/>
  <c r="A377" i="38" s="1"/>
  <c r="A378" i="38" s="1"/>
  <c r="A379" i="38" s="1"/>
  <c r="A380" i="38" s="1"/>
  <c r="A381" i="38" s="1"/>
  <c r="A382" i="38" s="1"/>
  <c r="A383" i="38" s="1"/>
  <c r="A384" i="38" s="1"/>
  <c r="A385" i="38" s="1"/>
  <c r="A386" i="38" s="1"/>
  <c r="A387" i="38" s="1"/>
  <c r="A388" i="38" s="1"/>
  <c r="A389" i="38" s="1"/>
  <c r="A390" i="38" s="1"/>
  <c r="A391" i="38" s="1"/>
  <c r="A392" i="38" s="1"/>
  <c r="A393" i="38" s="1"/>
  <c r="A394" i="38" s="1"/>
  <c r="A395" i="38" s="1"/>
  <c r="A396" i="38" s="1"/>
  <c r="A397" i="38" s="1"/>
  <c r="A398" i="38" s="1"/>
  <c r="A399" i="38" s="1"/>
  <c r="A400" i="38" s="1"/>
  <c r="A401" i="38" s="1"/>
  <c r="A402" i="38" s="1"/>
  <c r="A403" i="38" s="1"/>
  <c r="A404" i="38" s="1"/>
  <c r="A405" i="38" s="1"/>
  <c r="A406" i="38" s="1"/>
  <c r="A407" i="38" s="1"/>
  <c r="A408" i="38" s="1"/>
  <c r="A409" i="38" s="1"/>
  <c r="A410" i="38" s="1"/>
  <c r="A411" i="38" s="1"/>
  <c r="A412" i="38" s="1"/>
  <c r="A413" i="38" s="1"/>
  <c r="A414" i="38" s="1"/>
  <c r="A415" i="38" s="1"/>
  <c r="A416" i="38" s="1"/>
  <c r="A417" i="38" s="1"/>
  <c r="A418" i="38" s="1"/>
  <c r="A419" i="38" s="1"/>
  <c r="A420" i="38" s="1"/>
  <c r="A421" i="38" s="1"/>
  <c r="A422" i="38" s="1"/>
  <c r="A423" i="38" s="1"/>
  <c r="A424" i="38" s="1"/>
  <c r="A425" i="38" s="1"/>
  <c r="A426" i="38" s="1"/>
  <c r="A427" i="38" s="1"/>
  <c r="A428" i="38" s="1"/>
  <c r="A429" i="38" s="1"/>
  <c r="A430" i="38" s="1"/>
  <c r="A431" i="38" s="1"/>
  <c r="A432" i="38" s="1"/>
  <c r="A433" i="38" s="1"/>
  <c r="A434" i="38" s="1"/>
  <c r="A435" i="38" s="1"/>
  <c r="A436" i="38" s="1"/>
  <c r="A437" i="38" s="1"/>
  <c r="A438" i="38" s="1"/>
  <c r="A439" i="38" s="1"/>
  <c r="A440" i="38" s="1"/>
  <c r="A441" i="38" s="1"/>
  <c r="A442" i="38" s="1"/>
  <c r="A443" i="38" s="1"/>
  <c r="A444" i="38" s="1"/>
  <c r="A445" i="38" s="1"/>
  <c r="A446" i="38" s="1"/>
  <c r="A447" i="38" s="1"/>
  <c r="A448" i="38" s="1"/>
  <c r="A449" i="38" s="1"/>
  <c r="A450" i="38" s="1"/>
  <c r="A451" i="38" s="1"/>
  <c r="A452" i="38" s="1"/>
  <c r="A453" i="38" s="1"/>
  <c r="A454" i="38" s="1"/>
  <c r="A455" i="38" s="1"/>
  <c r="A456" i="38" s="1"/>
  <c r="A457" i="38" s="1"/>
  <c r="A458" i="38" s="1"/>
  <c r="A459" i="38" s="1"/>
  <c r="A460" i="38" s="1"/>
  <c r="A461" i="38" s="1"/>
  <c r="A462" i="38" s="1"/>
  <c r="A463" i="38" s="1"/>
  <c r="A464" i="38" s="1"/>
  <c r="A465" i="38" s="1"/>
  <c r="A466" i="38" s="1"/>
  <c r="A467" i="38" s="1"/>
  <c r="A468" i="38" s="1"/>
  <c r="A469" i="38" s="1"/>
  <c r="A470" i="38" s="1"/>
  <c r="A471" i="38" s="1"/>
  <c r="A472" i="38" s="1"/>
  <c r="A473" i="38" s="1"/>
  <c r="A474" i="38" s="1"/>
  <c r="A475" i="38" s="1"/>
  <c r="A476" i="38" s="1"/>
  <c r="A477" i="38" s="1"/>
  <c r="A478" i="38" s="1"/>
  <c r="A479" i="38" s="1"/>
  <c r="A480" i="38" s="1"/>
  <c r="A481" i="38" s="1"/>
  <c r="A482" i="38" s="1"/>
  <c r="A483" i="38" s="1"/>
  <c r="A484" i="38" s="1"/>
  <c r="A485" i="38" s="1"/>
  <c r="A486" i="38" s="1"/>
  <c r="A487" i="38" s="1"/>
  <c r="A488" i="38" s="1"/>
  <c r="A489" i="38" s="1"/>
  <c r="A490" i="38" s="1"/>
  <c r="A491" i="38" s="1"/>
  <c r="A492" i="38" s="1"/>
  <c r="A493" i="38" s="1"/>
  <c r="A494" i="38" s="1"/>
  <c r="A495" i="38" s="1"/>
  <c r="A496" i="38" s="1"/>
  <c r="A497" i="38" s="1"/>
  <c r="A498" i="38" s="1"/>
  <c r="A499" i="38" s="1"/>
  <c r="A500" i="38" s="1"/>
  <c r="A501" i="38" s="1"/>
  <c r="A502" i="38" s="1"/>
  <c r="A503" i="38" s="1"/>
  <c r="A504" i="38" s="1"/>
  <c r="A505" i="38" s="1"/>
  <c r="A506" i="38" s="1"/>
  <c r="A507" i="38" s="1"/>
  <c r="A508" i="38" s="1"/>
  <c r="A509" i="38" s="1"/>
  <c r="A510" i="38" s="1"/>
  <c r="A511" i="38" s="1"/>
  <c r="A512" i="38" s="1"/>
  <c r="A513" i="38" s="1"/>
  <c r="A514" i="38" s="1"/>
  <c r="A515" i="38" s="1"/>
  <c r="A516" i="38" s="1"/>
  <c r="A517" i="38" s="1"/>
  <c r="A518" i="38" s="1"/>
  <c r="A519" i="38" s="1"/>
  <c r="A520" i="38" s="1"/>
  <c r="A521" i="38" s="1"/>
  <c r="A522" i="38" s="1"/>
  <c r="A523" i="38" s="1"/>
  <c r="A524" i="38" s="1"/>
  <c r="A525" i="38" s="1"/>
  <c r="A526" i="38" s="1"/>
  <c r="A527" i="38" s="1"/>
  <c r="A528" i="38" s="1"/>
  <c r="A529" i="38" s="1"/>
  <c r="A530" i="38" s="1"/>
  <c r="A531" i="38" s="1"/>
  <c r="A532" i="38" s="1"/>
  <c r="A533" i="38" s="1"/>
  <c r="A534" i="38" s="1"/>
  <c r="A535" i="38" s="1"/>
  <c r="A536" i="38" s="1"/>
  <c r="A537" i="38" s="1"/>
  <c r="A538" i="38" s="1"/>
  <c r="A539" i="38" s="1"/>
  <c r="A540" i="38" s="1"/>
  <c r="A541" i="38" s="1"/>
  <c r="A542" i="38" s="1"/>
  <c r="A543" i="38" s="1"/>
  <c r="A544" i="38" s="1"/>
  <c r="A545" i="38" s="1"/>
  <c r="A546" i="38" s="1"/>
  <c r="A547" i="38" s="1"/>
  <c r="A548" i="38" s="1"/>
  <c r="A549" i="38" s="1"/>
  <c r="A550" i="38" s="1"/>
  <c r="A551" i="38" s="1"/>
  <c r="A552" i="38" s="1"/>
  <c r="A553" i="38" s="1"/>
  <c r="A554" i="38" s="1"/>
  <c r="A555" i="38" s="1"/>
  <c r="A556" i="38" s="1"/>
  <c r="A557" i="38" s="1"/>
  <c r="A558" i="38" s="1"/>
  <c r="A559" i="38" s="1"/>
  <c r="A560" i="38" s="1"/>
  <c r="A561" i="38" s="1"/>
  <c r="A562" i="38" s="1"/>
  <c r="A563" i="38" s="1"/>
  <c r="A564" i="38" s="1"/>
  <c r="A565" i="38" s="1"/>
  <c r="A566" i="38" s="1"/>
  <c r="A567" i="38" s="1"/>
  <c r="A568" i="38" s="1"/>
  <c r="A569" i="38" s="1"/>
  <c r="A570" i="38" s="1"/>
  <c r="A571" i="38" s="1"/>
  <c r="A572" i="38" s="1"/>
  <c r="A573" i="38" s="1"/>
  <c r="A574" i="38" s="1"/>
  <c r="A575" i="38" s="1"/>
  <c r="A576" i="38" s="1"/>
  <c r="A577" i="38" s="1"/>
  <c r="A578" i="38" s="1"/>
  <c r="A579" i="38" s="1"/>
  <c r="A580" i="38" s="1"/>
  <c r="A581" i="38" s="1"/>
  <c r="A582" i="38" s="1"/>
  <c r="A583" i="38" s="1"/>
  <c r="A584" i="38" s="1"/>
  <c r="A585" i="38" s="1"/>
  <c r="A586" i="38" s="1"/>
  <c r="A587" i="38" s="1"/>
  <c r="A588" i="38" s="1"/>
  <c r="A589" i="38" s="1"/>
  <c r="A590" i="38" s="1"/>
  <c r="A591" i="38" s="1"/>
  <c r="A592" i="38" s="1"/>
  <c r="A593" i="38" s="1"/>
  <c r="A594" i="38" s="1"/>
  <c r="A595" i="38" s="1"/>
  <c r="A596" i="38" s="1"/>
  <c r="A597" i="38" s="1"/>
  <c r="A598" i="38" s="1"/>
  <c r="A599" i="38" s="1"/>
  <c r="A600" i="38" s="1"/>
  <c r="A601" i="38" s="1"/>
  <c r="A602" i="38" s="1"/>
  <c r="A603" i="38" s="1"/>
  <c r="A604" i="38" s="1"/>
  <c r="A605" i="38" s="1"/>
  <c r="A606" i="38" s="1"/>
  <c r="A607" i="38" s="1"/>
  <c r="A608" i="38" s="1"/>
  <c r="A609" i="38" s="1"/>
  <c r="A610" i="38" s="1"/>
  <c r="A611" i="38" s="1"/>
  <c r="A612" i="38" s="1"/>
  <c r="A613" i="38" s="1"/>
  <c r="A614" i="38" s="1"/>
  <c r="A615" i="38" s="1"/>
  <c r="A616" i="38" s="1"/>
  <c r="A617" i="38" s="1"/>
  <c r="A618" i="38" s="1"/>
  <c r="A619" i="38" s="1"/>
  <c r="A620" i="38" s="1"/>
  <c r="A621" i="38" s="1"/>
  <c r="A622" i="38" s="1"/>
  <c r="A623" i="38" s="1"/>
  <c r="A624" i="38" s="1"/>
  <c r="A625" i="38" s="1"/>
  <c r="A626" i="38" s="1"/>
  <c r="A627" i="38" s="1"/>
  <c r="A628" i="38" s="1"/>
  <c r="A629" i="38" s="1"/>
  <c r="A630" i="38" s="1"/>
  <c r="A631" i="38" s="1"/>
  <c r="A632" i="38" s="1"/>
  <c r="A633" i="38" s="1"/>
  <c r="A634" i="38" s="1"/>
  <c r="A635" i="38" s="1"/>
  <c r="A636" i="38" s="1"/>
  <c r="A637" i="38" s="1"/>
  <c r="A638" i="38" s="1"/>
  <c r="A639" i="38" s="1"/>
  <c r="A640" i="38" s="1"/>
  <c r="A641" i="38" s="1"/>
  <c r="A642" i="38" s="1"/>
  <c r="A643" i="38" s="1"/>
  <c r="A644" i="38" s="1"/>
  <c r="A645" i="38" s="1"/>
  <c r="A646" i="38" s="1"/>
  <c r="A647" i="38" s="1"/>
  <c r="A648" i="38" s="1"/>
  <c r="A649" i="38" s="1"/>
  <c r="A650" i="38" s="1"/>
  <c r="A651" i="38" s="1"/>
  <c r="A652" i="38" s="1"/>
  <c r="A653" i="38" s="1"/>
  <c r="A654" i="38" s="1"/>
  <c r="A655" i="38" s="1"/>
  <c r="A656" i="38" s="1"/>
  <c r="A657" i="38" s="1"/>
  <c r="A658" i="38" s="1"/>
  <c r="A659" i="38" s="1"/>
  <c r="A660" i="38" s="1"/>
  <c r="A661" i="38" s="1"/>
  <c r="A662" i="38" s="1"/>
  <c r="A663" i="38" s="1"/>
  <c r="A664" i="38" s="1"/>
  <c r="A665" i="38" s="1"/>
  <c r="A666" i="38" s="1"/>
  <c r="A667" i="38" s="1"/>
  <c r="A668" i="38" s="1"/>
  <c r="A669" i="38" s="1"/>
  <c r="A670" i="38" s="1"/>
  <c r="A671" i="38" s="1"/>
  <c r="A672" i="38" s="1"/>
  <c r="A673" i="38" s="1"/>
  <c r="A674" i="38" s="1"/>
  <c r="A675" i="38" s="1"/>
  <c r="A676" i="38" s="1"/>
  <c r="A677" i="38" s="1"/>
  <c r="A678" i="38" s="1"/>
  <c r="A679" i="38" s="1"/>
  <c r="A680" i="38" s="1"/>
  <c r="A681" i="38" s="1"/>
  <c r="A682" i="38" s="1"/>
  <c r="A683" i="38" s="1"/>
  <c r="A684" i="38" s="1"/>
  <c r="A685" i="38" s="1"/>
  <c r="A686" i="38" s="1"/>
  <c r="A687" i="38" s="1"/>
  <c r="A688" i="38" s="1"/>
  <c r="A689" i="38" s="1"/>
  <c r="A690" i="38" s="1"/>
  <c r="A691" i="38" s="1"/>
  <c r="A692" i="38" s="1"/>
  <c r="A693" i="38" s="1"/>
  <c r="A694" i="38" s="1"/>
  <c r="A695" i="38" s="1"/>
  <c r="A696" i="38" s="1"/>
  <c r="A697" i="38" s="1"/>
  <c r="A698" i="38" s="1"/>
  <c r="A699" i="38" s="1"/>
  <c r="A700" i="38" s="1"/>
  <c r="A701" i="38" s="1"/>
  <c r="A702" i="38" s="1"/>
  <c r="A703" i="38" s="1"/>
  <c r="A704" i="38" s="1"/>
  <c r="A705" i="38" s="1"/>
  <c r="A706" i="38" s="1"/>
  <c r="A707" i="38" s="1"/>
  <c r="A708" i="38" s="1"/>
  <c r="A709" i="38" s="1"/>
  <c r="A710" i="38" s="1"/>
  <c r="A711" i="38" s="1"/>
  <c r="A712" i="38" s="1"/>
  <c r="A713" i="38" s="1"/>
  <c r="A714" i="38" s="1"/>
  <c r="A715" i="38" s="1"/>
  <c r="A716" i="38" s="1"/>
  <c r="A717" i="38" s="1"/>
  <c r="A718" i="38" s="1"/>
  <c r="A719" i="38" s="1"/>
  <c r="A720" i="38" s="1"/>
  <c r="A721" i="38" s="1"/>
  <c r="A722" i="38" s="1"/>
  <c r="A723" i="38" s="1"/>
  <c r="A724" i="38" s="1"/>
  <c r="A725" i="38" s="1"/>
  <c r="A726" i="38" s="1"/>
  <c r="A727" i="38" s="1"/>
  <c r="A728" i="38" s="1"/>
  <c r="A729" i="38" s="1"/>
  <c r="A730" i="38" s="1"/>
  <c r="A731" i="38" s="1"/>
  <c r="A732" i="38" s="1"/>
  <c r="A733" i="38" s="1"/>
  <c r="A734" i="38" s="1"/>
  <c r="A735" i="38" s="1"/>
  <c r="A736" i="38" s="1"/>
  <c r="A737" i="38" s="1"/>
  <c r="A738" i="38" s="1"/>
  <c r="A739" i="38" s="1"/>
  <c r="A740" i="38" s="1"/>
  <c r="A741" i="38" s="1"/>
  <c r="A742" i="38" s="1"/>
  <c r="A743" i="38" s="1"/>
  <c r="A744" i="38" s="1"/>
  <c r="A745" i="38" s="1"/>
  <c r="A746" i="38" s="1"/>
  <c r="A747" i="38" s="1"/>
  <c r="A748" i="38" s="1"/>
  <c r="A749" i="38" s="1"/>
  <c r="A750" i="38" s="1"/>
  <c r="A751" i="38" s="1"/>
  <c r="A752" i="38" s="1"/>
  <c r="A753" i="38" s="1"/>
  <c r="A754" i="38" s="1"/>
  <c r="A755" i="38" s="1"/>
  <c r="A756" i="38" s="1"/>
  <c r="A757" i="38" s="1"/>
  <c r="A758" i="38" s="1"/>
  <c r="A759" i="38" s="1"/>
  <c r="A760" i="38" s="1"/>
  <c r="A761" i="38" s="1"/>
  <c r="A762" i="38" s="1"/>
  <c r="A763" i="38" s="1"/>
  <c r="A764" i="38" s="1"/>
  <c r="A765" i="38" s="1"/>
  <c r="A766" i="38" s="1"/>
  <c r="A767" i="38" s="1"/>
  <c r="A768" i="38" s="1"/>
  <c r="A769" i="38" s="1"/>
  <c r="A770" i="38" s="1"/>
  <c r="A771" i="38" s="1"/>
  <c r="A772" i="38" s="1"/>
  <c r="A773" i="38" s="1"/>
  <c r="A774" i="38" s="1"/>
  <c r="A775" i="38" s="1"/>
  <c r="A776" i="38" s="1"/>
  <c r="A777" i="38" s="1"/>
  <c r="A778" i="38" s="1"/>
  <c r="A779" i="38" s="1"/>
  <c r="A780" i="38" s="1"/>
  <c r="A781" i="38" s="1"/>
  <c r="A782" i="38" s="1"/>
  <c r="A783" i="38" s="1"/>
  <c r="A784" i="38" s="1"/>
  <c r="A785" i="38" s="1"/>
  <c r="A786" i="38" s="1"/>
  <c r="A787" i="38" s="1"/>
  <c r="A788" i="38" s="1"/>
  <c r="A789" i="38" s="1"/>
  <c r="A790" i="38" s="1"/>
  <c r="A791" i="38" s="1"/>
  <c r="A792" i="38" s="1"/>
  <c r="A793" i="38" s="1"/>
  <c r="A794" i="38" s="1"/>
  <c r="A795" i="38" s="1"/>
  <c r="A796" i="38" s="1"/>
  <c r="A797" i="38" s="1"/>
  <c r="A798" i="38" s="1"/>
  <c r="A799" i="38" s="1"/>
  <c r="A800" i="38" s="1"/>
  <c r="A801" i="38" s="1"/>
  <c r="A802" i="38" s="1"/>
  <c r="A803" i="38" s="1"/>
  <c r="A804" i="38" s="1"/>
  <c r="A805" i="38" s="1"/>
  <c r="A806" i="38" s="1"/>
  <c r="A807" i="38" s="1"/>
  <c r="A808" i="38" s="1"/>
  <c r="A809" i="38" s="1"/>
  <c r="A810" i="38" s="1"/>
  <c r="A811" i="38" s="1"/>
  <c r="A812" i="38" s="1"/>
  <c r="A813" i="38" s="1"/>
  <c r="A814" i="38" s="1"/>
  <c r="A815" i="38" s="1"/>
  <c r="A816" i="38" s="1"/>
  <c r="A817" i="38" s="1"/>
  <c r="A818" i="38" s="1"/>
  <c r="A819" i="38" s="1"/>
  <c r="A820" i="38" s="1"/>
  <c r="A821" i="38" s="1"/>
  <c r="A822" i="38" s="1"/>
  <c r="A823" i="38" s="1"/>
  <c r="A824" i="38" s="1"/>
  <c r="A825" i="38" s="1"/>
  <c r="A826" i="38" s="1"/>
  <c r="A827" i="38" s="1"/>
  <c r="A828" i="38" s="1"/>
  <c r="A829" i="38" s="1"/>
  <c r="A830" i="38" s="1"/>
  <c r="A831" i="38" s="1"/>
  <c r="A832" i="38" s="1"/>
  <c r="A833" i="38" s="1"/>
  <c r="A834" i="38" s="1"/>
  <c r="A835" i="38" s="1"/>
  <c r="A836" i="38" s="1"/>
  <c r="A837" i="38" s="1"/>
  <c r="A838" i="38" s="1"/>
  <c r="A839" i="38" s="1"/>
  <c r="A840" i="38" s="1"/>
  <c r="A841" i="38" s="1"/>
  <c r="A842" i="38" s="1"/>
  <c r="A843" i="38" s="1"/>
  <c r="A844" i="38" s="1"/>
  <c r="A845" i="38" s="1"/>
  <c r="A846" i="38" s="1"/>
  <c r="A847" i="38" s="1"/>
  <c r="A848" i="38" s="1"/>
  <c r="A849" i="38" s="1"/>
  <c r="A850" i="38" s="1"/>
  <c r="A851" i="38" s="1"/>
  <c r="A852" i="38" s="1"/>
  <c r="A853" i="38" s="1"/>
  <c r="A854" i="38" s="1"/>
  <c r="A855" i="38" s="1"/>
  <c r="A856" i="38" s="1"/>
  <c r="A857" i="38" s="1"/>
  <c r="A858" i="38" s="1"/>
  <c r="A859" i="38" s="1"/>
  <c r="A860" i="38" s="1"/>
  <c r="A861" i="38" s="1"/>
  <c r="A862" i="38" s="1"/>
  <c r="A863" i="38" s="1"/>
  <c r="A864" i="38" s="1"/>
  <c r="A865" i="38" s="1"/>
  <c r="A866" i="38" s="1"/>
  <c r="A867" i="38" s="1"/>
  <c r="A868" i="38" s="1"/>
  <c r="A869" i="38" s="1"/>
  <c r="A870" i="38" s="1"/>
  <c r="A871" i="38" s="1"/>
  <c r="A872" i="38" s="1"/>
  <c r="A873" i="38" s="1"/>
  <c r="A874" i="38" s="1"/>
  <c r="A875" i="38" s="1"/>
  <c r="A876" i="38" s="1"/>
  <c r="A877" i="38" s="1"/>
  <c r="A878" i="38" s="1"/>
  <c r="A879" i="38" s="1"/>
  <c r="A880" i="38" s="1"/>
  <c r="A881" i="38" s="1"/>
  <c r="A882" i="38" s="1"/>
  <c r="A883" i="38" s="1"/>
  <c r="A884" i="38" s="1"/>
  <c r="A885" i="38" s="1"/>
  <c r="A886" i="38" s="1"/>
  <c r="A887" i="38" s="1"/>
  <c r="A888" i="38" s="1"/>
  <c r="A889" i="38" s="1"/>
  <c r="A890" i="38" s="1"/>
  <c r="A891" i="38" s="1"/>
  <c r="A892" i="38" s="1"/>
  <c r="A893" i="38" s="1"/>
  <c r="A894" i="38" s="1"/>
  <c r="A895" i="38" s="1"/>
  <c r="A896" i="38" s="1"/>
  <c r="A897" i="38" s="1"/>
  <c r="A898" i="38" s="1"/>
  <c r="A899" i="38" s="1"/>
  <c r="A900" i="38" s="1"/>
  <c r="A901" i="38" s="1"/>
  <c r="A902" i="38" s="1"/>
  <c r="A903" i="38" s="1"/>
  <c r="A904" i="38" s="1"/>
  <c r="A905" i="38" s="1"/>
  <c r="A906" i="38" s="1"/>
  <c r="A907" i="38" s="1"/>
  <c r="A908" i="38" s="1"/>
  <c r="A909" i="38" s="1"/>
  <c r="A910" i="38" s="1"/>
  <c r="A911" i="38" s="1"/>
  <c r="A912" i="38" s="1"/>
  <c r="A913" i="38" s="1"/>
  <c r="A914" i="38" s="1"/>
  <c r="A915" i="38" s="1"/>
  <c r="A916" i="38" s="1"/>
  <c r="A917" i="38" s="1"/>
  <c r="A918" i="38" s="1"/>
  <c r="A919" i="38" s="1"/>
  <c r="A920" i="38" s="1"/>
  <c r="A921" i="38" s="1"/>
  <c r="A922" i="38" s="1"/>
  <c r="A923" i="38" s="1"/>
  <c r="A924" i="38" s="1"/>
  <c r="A925" i="38" s="1"/>
  <c r="A926" i="38" s="1"/>
  <c r="A927" i="38" s="1"/>
  <c r="A928" i="38" s="1"/>
  <c r="A929" i="38" s="1"/>
  <c r="A930" i="38" s="1"/>
  <c r="A931" i="38" s="1"/>
  <c r="A932" i="38" s="1"/>
  <c r="A933" i="38" s="1"/>
  <c r="A934" i="38" s="1"/>
  <c r="A935" i="38" s="1"/>
  <c r="A936" i="38" s="1"/>
  <c r="A937" i="38" s="1"/>
  <c r="A938" i="38" s="1"/>
  <c r="A939" i="38" s="1"/>
  <c r="A940" i="38" s="1"/>
  <c r="A941" i="38" s="1"/>
  <c r="A942" i="38" s="1"/>
  <c r="A943" i="38" s="1"/>
  <c r="A944" i="38" s="1"/>
  <c r="A945" i="38" s="1"/>
  <c r="A946" i="38" s="1"/>
  <c r="A947" i="38" s="1"/>
  <c r="A948" i="38" s="1"/>
  <c r="A949" i="38" s="1"/>
  <c r="A950" i="38" s="1"/>
  <c r="A951" i="38" s="1"/>
  <c r="A952" i="38" s="1"/>
  <c r="A953" i="38" s="1"/>
  <c r="A954" i="38" s="1"/>
  <c r="A955" i="38" s="1"/>
  <c r="A956" i="38" s="1"/>
  <c r="A957" i="38" s="1"/>
  <c r="A958" i="38" s="1"/>
  <c r="A959" i="38" s="1"/>
  <c r="A960" i="38" s="1"/>
  <c r="A961" i="38" s="1"/>
  <c r="A962" i="38" s="1"/>
  <c r="A963" i="38" s="1"/>
  <c r="A964" i="38" s="1"/>
  <c r="A965" i="38" s="1"/>
  <c r="A966" i="38" s="1"/>
  <c r="A967" i="38" s="1"/>
  <c r="A968" i="38" s="1"/>
  <c r="A969" i="38" s="1"/>
  <c r="A970" i="38" s="1"/>
  <c r="A971" i="38" s="1"/>
  <c r="A972" i="38" s="1"/>
  <c r="A973" i="38" s="1"/>
  <c r="A974" i="38" s="1"/>
  <c r="A975" i="38" s="1"/>
  <c r="A976" i="38" s="1"/>
  <c r="A977" i="38" s="1"/>
  <c r="A978" i="38" s="1"/>
  <c r="A979" i="38" s="1"/>
  <c r="A980" i="38" s="1"/>
  <c r="A981" i="38" s="1"/>
  <c r="A982" i="38" s="1"/>
  <c r="A983" i="38" s="1"/>
  <c r="A984" i="38" s="1"/>
  <c r="A985" i="38" s="1"/>
  <c r="A986" i="38" s="1"/>
  <c r="A987" i="38" s="1"/>
  <c r="A988" i="38" s="1"/>
  <c r="A989" i="38" s="1"/>
  <c r="A990" i="38" s="1"/>
  <c r="A991" i="38" s="1"/>
  <c r="A992" i="38" s="1"/>
  <c r="A993" i="38" s="1"/>
  <c r="A994" i="38" s="1"/>
  <c r="A995" i="38" s="1"/>
  <c r="A996" i="38" s="1"/>
  <c r="A997" i="38" s="1"/>
  <c r="A998" i="38" s="1"/>
  <c r="A999" i="38" s="1"/>
  <c r="A1000" i="38" s="1"/>
  <c r="A1001" i="38" s="1"/>
  <c r="T28" i="44"/>
  <c r="H21" i="86"/>
  <c r="O1092" i="2"/>
  <c r="Z38" i="2"/>
  <c r="BD14" i="69"/>
  <c r="T29" i="44"/>
  <c r="H22" i="86"/>
  <c r="P1092" i="2"/>
  <c r="AA38" i="2"/>
  <c r="BE14" i="69"/>
  <c r="T30" i="44"/>
  <c r="H23" i="86"/>
  <c r="D21" i="34"/>
  <c r="Q1092" i="2"/>
  <c r="AB38" i="2"/>
  <c r="BF14" i="69"/>
  <c r="T31" i="44"/>
  <c r="H24" i="86"/>
  <c r="R1092" i="2"/>
  <c r="V21" i="34"/>
  <c r="AC38" i="2"/>
  <c r="BG14" i="69"/>
  <c r="T32" i="44"/>
  <c r="H25" i="86"/>
  <c r="G1093" i="2"/>
  <c r="AD38" i="2"/>
  <c r="BH14" i="69"/>
  <c r="T33" i="44"/>
  <c r="H26" i="86"/>
  <c r="H1093" i="2"/>
  <c r="AE38" i="2"/>
  <c r="BI14" i="69"/>
  <c r="C12" i="32"/>
  <c r="T34" i="44"/>
  <c r="H27" i="86"/>
  <c r="I1093" i="2"/>
  <c r="G38" i="2"/>
  <c r="BJ14" i="69"/>
  <c r="T35" i="44"/>
  <c r="H28" i="86"/>
  <c r="J1093" i="2"/>
  <c r="H38" i="2"/>
  <c r="BK14" i="69"/>
  <c r="T36" i="44"/>
  <c r="H29" i="86"/>
  <c r="K1093" i="2"/>
  <c r="I38" i="2"/>
  <c r="BL14" i="69"/>
  <c r="T37" i="44"/>
  <c r="H30" i="86"/>
  <c r="L1093" i="2"/>
  <c r="J38" i="2"/>
  <c r="BM14" i="69"/>
  <c r="T38" i="44"/>
  <c r="H31" i="86"/>
  <c r="C39" i="44"/>
  <c r="M1093" i="2"/>
  <c r="K38" i="2"/>
  <c r="BN14" i="69"/>
  <c r="N1093" i="2"/>
  <c r="L38" i="2"/>
  <c r="BO14" i="69"/>
  <c r="T42" i="44"/>
  <c r="H35" i="86"/>
  <c r="O1093" i="2"/>
  <c r="M38" i="2"/>
  <c r="BP14" i="69"/>
  <c r="T43" i="44"/>
  <c r="H36" i="86"/>
  <c r="P1093" i="2"/>
  <c r="N38" i="2"/>
  <c r="BQ14" i="69"/>
  <c r="T44" i="44"/>
  <c r="H37" i="86"/>
  <c r="D22" i="34"/>
  <c r="Q1093" i="2"/>
  <c r="O38" i="2"/>
  <c r="BR14" i="69"/>
  <c r="T45" i="44"/>
  <c r="H38" i="86"/>
  <c r="R1093" i="2"/>
  <c r="V22" i="34"/>
  <c r="P38" i="2"/>
  <c r="BS14" i="69"/>
  <c r="T46" i="44"/>
  <c r="H39" i="86"/>
  <c r="G1094" i="2"/>
  <c r="Q38" i="2"/>
  <c r="BT14" i="69"/>
  <c r="T47" i="44"/>
  <c r="H40" i="86"/>
  <c r="H1094" i="2"/>
  <c r="R38" i="2"/>
  <c r="BU14" i="69"/>
  <c r="AG12" i="32"/>
  <c r="S38" i="2" s="1"/>
  <c r="T48" i="44"/>
  <c r="H41" i="86"/>
  <c r="I1094" i="2"/>
  <c r="AI39" i="2"/>
  <c r="T49" i="44"/>
  <c r="H42" i="86"/>
  <c r="J1094" i="2"/>
  <c r="AJ39" i="2"/>
  <c r="T50" i="44"/>
  <c r="H43" i="86"/>
  <c r="K1094" i="2"/>
  <c r="T39" i="2"/>
  <c r="AX15" i="69"/>
  <c r="T51" i="44"/>
  <c r="H44" i="86"/>
  <c r="L1094" i="2"/>
  <c r="U39" i="2"/>
  <c r="AY15" i="69"/>
  <c r="T52" i="44"/>
  <c r="H45" i="86"/>
  <c r="M1094" i="2"/>
  <c r="V39" i="2"/>
  <c r="AZ15" i="69"/>
  <c r="T53" i="44"/>
  <c r="H46" i="86"/>
  <c r="N1094" i="2"/>
  <c r="W39" i="2"/>
  <c r="BA15" i="69"/>
  <c r="T54" i="44"/>
  <c r="H47" i="86"/>
  <c r="O1094" i="2"/>
  <c r="X39" i="2"/>
  <c r="BB15" i="69"/>
  <c r="T55" i="44"/>
  <c r="H48" i="86"/>
  <c r="P1094" i="2"/>
  <c r="Y39" i="2"/>
  <c r="BC15" i="69"/>
  <c r="T56" i="44"/>
  <c r="H49" i="86"/>
  <c r="D23" i="34"/>
  <c r="Q1094" i="2"/>
  <c r="Z39" i="2"/>
  <c r="BD15" i="69"/>
  <c r="T57" i="44"/>
  <c r="H50" i="86"/>
  <c r="R1094" i="2"/>
  <c r="V23" i="34"/>
  <c r="AA39" i="2"/>
  <c r="BE15" i="69"/>
  <c r="T58" i="44"/>
  <c r="H51" i="86"/>
  <c r="G1095" i="2"/>
  <c r="AB39" i="2"/>
  <c r="BF15" i="69"/>
  <c r="A55" i="30"/>
  <c r="A59" i="30"/>
  <c r="A63" i="30"/>
  <c r="A57" i="30"/>
  <c r="A24" i="30"/>
  <c r="A28" i="30"/>
  <c r="A26" i="30"/>
  <c r="A30" i="30"/>
  <c r="A25" i="30"/>
  <c r="A27" i="30"/>
  <c r="A29" i="30"/>
  <c r="A31" i="30"/>
  <c r="A53" i="30"/>
  <c r="A61" i="30"/>
  <c r="A54" i="30"/>
  <c r="A56" i="30"/>
  <c r="A58" i="30"/>
  <c r="A60" i="30"/>
  <c r="A62" i="30"/>
  <c r="A64" i="30"/>
  <c r="T59" i="44"/>
  <c r="H52" i="86"/>
  <c r="H1095" i="2"/>
  <c r="AC39" i="2"/>
  <c r="BG15" i="69"/>
  <c r="T60" i="44"/>
  <c r="H53" i="86"/>
  <c r="I1095" i="2"/>
  <c r="AD39" i="2"/>
  <c r="BH15" i="69"/>
  <c r="T61" i="44"/>
  <c r="H54" i="86"/>
  <c r="C62" i="44"/>
  <c r="J1095" i="2"/>
  <c r="AE39" i="2"/>
  <c r="BI15" i="69"/>
  <c r="C13" i="32"/>
  <c r="AM905" i="2"/>
  <c r="C43" i="52"/>
  <c r="A17" i="30"/>
  <c r="A21" i="30"/>
  <c r="A33" i="30"/>
  <c r="A37" i="30"/>
  <c r="A14" i="30"/>
  <c r="A16" i="30"/>
  <c r="A18" i="30"/>
  <c r="A20" i="30"/>
  <c r="A22" i="30"/>
  <c r="A32" i="30"/>
  <c r="A34" i="30"/>
  <c r="A36" i="30"/>
  <c r="A38" i="30"/>
  <c r="A19" i="30"/>
  <c r="A23" i="30"/>
  <c r="A35" i="30"/>
  <c r="A12" i="30"/>
  <c r="A13" i="30"/>
  <c r="A15" i="30"/>
  <c r="A9" i="30"/>
  <c r="A11" i="30"/>
  <c r="A8" i="30"/>
  <c r="A10" i="30"/>
  <c r="F11" i="32"/>
  <c r="D40" i="36"/>
  <c r="AH1067" i="2" s="1"/>
  <c r="K1095" i="2"/>
  <c r="H58" i="86"/>
  <c r="L1095" i="2"/>
  <c r="I58" i="86"/>
  <c r="H59" i="86"/>
  <c r="M1095" i="2"/>
  <c r="I59" i="86"/>
  <c r="H60" i="86"/>
  <c r="J58" i="86"/>
  <c r="T65" i="44"/>
  <c r="N1095" i="2"/>
  <c r="K58" i="86"/>
  <c r="H61" i="86"/>
  <c r="J59" i="86"/>
  <c r="T66" i="44"/>
  <c r="I60" i="86"/>
  <c r="O1095" i="2"/>
  <c r="C40" i="36"/>
  <c r="AG1067" i="2" s="1"/>
  <c r="I61" i="86"/>
  <c r="J60" i="86"/>
  <c r="L58" i="86"/>
  <c r="H62" i="86"/>
  <c r="T67" i="44"/>
  <c r="K59" i="86"/>
  <c r="P1095" i="2"/>
  <c r="I62" i="86"/>
  <c r="L59" i="86"/>
  <c r="K60" i="86"/>
  <c r="H63" i="86"/>
  <c r="M58" i="86"/>
  <c r="J61" i="86"/>
  <c r="D24" i="34"/>
  <c r="Q1095" i="2"/>
  <c r="AE4" i="30"/>
  <c r="E19" i="36"/>
  <c r="E18" i="36"/>
  <c r="E17" i="36"/>
  <c r="E6" i="36"/>
  <c r="E5" i="36"/>
  <c r="M59" i="86"/>
  <c r="L60" i="86"/>
  <c r="J62" i="86"/>
  <c r="T69" i="44"/>
  <c r="H64" i="86"/>
  <c r="K61" i="86"/>
  <c r="T68" i="44"/>
  <c r="I63" i="86"/>
  <c r="R1095" i="2"/>
  <c r="V24" i="34"/>
  <c r="E7" i="36"/>
  <c r="D48" i="40"/>
  <c r="S1152" i="2" s="1"/>
  <c r="D27" i="40"/>
  <c r="S1131" i="2" s="1"/>
  <c r="L61" i="86"/>
  <c r="K62" i="86"/>
  <c r="J63" i="86"/>
  <c r="T70" i="44"/>
  <c r="I64" i="86"/>
  <c r="H65" i="86"/>
  <c r="M60" i="86"/>
  <c r="G1096" i="2"/>
  <c r="A40" i="30"/>
  <c r="A42" i="30"/>
  <c r="A44" i="30"/>
  <c r="A46" i="30"/>
  <c r="A39" i="30"/>
  <c r="A41" i="30"/>
  <c r="A43" i="30"/>
  <c r="A45" i="30"/>
  <c r="A47" i="30"/>
  <c r="A50" i="30"/>
  <c r="A52" i="30"/>
  <c r="A49" i="30"/>
  <c r="A51" i="30"/>
  <c r="A48" i="30"/>
  <c r="E20" i="36"/>
  <c r="E8" i="36"/>
  <c r="B38" i="36"/>
  <c r="F1065" i="2" s="1"/>
  <c r="B26" i="36"/>
  <c r="F1053" i="2" s="1"/>
  <c r="B14" i="36"/>
  <c r="F1041" i="2" s="1"/>
  <c r="M61" i="86"/>
  <c r="H66" i="86"/>
  <c r="K63" i="86"/>
  <c r="J64" i="86"/>
  <c r="T71" i="44"/>
  <c r="I65" i="86"/>
  <c r="L62" i="86"/>
  <c r="H1096" i="2"/>
  <c r="E11" i="36"/>
  <c r="E10" i="36"/>
  <c r="E9" i="36"/>
  <c r="K64" i="86"/>
  <c r="H67" i="86"/>
  <c r="J65" i="86"/>
  <c r="T72" i="44"/>
  <c r="L63" i="86"/>
  <c r="I66" i="86"/>
  <c r="M62" i="86"/>
  <c r="I1096" i="2"/>
  <c r="E12" i="36"/>
  <c r="M63" i="86"/>
  <c r="H68" i="86"/>
  <c r="I67" i="86"/>
  <c r="J66" i="86"/>
  <c r="L64" i="86"/>
  <c r="K65" i="86"/>
  <c r="J1096" i="2"/>
  <c r="E13" i="36"/>
  <c r="L65" i="86"/>
  <c r="I68" i="86"/>
  <c r="H69" i="86"/>
  <c r="K66" i="86"/>
  <c r="T73" i="44"/>
  <c r="J67" i="86"/>
  <c r="T74" i="44"/>
  <c r="M64" i="86"/>
  <c r="K1096" i="2"/>
  <c r="AI40" i="2"/>
  <c r="E41" i="32"/>
  <c r="E21" i="36"/>
  <c r="H70" i="86"/>
  <c r="K67" i="86"/>
  <c r="L66" i="86"/>
  <c r="M65" i="86"/>
  <c r="J68" i="86"/>
  <c r="T75" i="44"/>
  <c r="I69" i="86"/>
  <c r="L1096" i="2"/>
  <c r="AJ40" i="2"/>
  <c r="F41" i="32"/>
  <c r="M66" i="86"/>
  <c r="K68" i="86"/>
  <c r="J69" i="86"/>
  <c r="L67" i="86"/>
  <c r="I70" i="86"/>
  <c r="H71" i="86"/>
  <c r="M1096" i="2"/>
  <c r="T40" i="2"/>
  <c r="H41" i="32"/>
  <c r="T67" i="2" s="1"/>
  <c r="AX10" i="69"/>
  <c r="AX12" i="69" s="1"/>
  <c r="K69" i="86"/>
  <c r="I71" i="86"/>
  <c r="J70" i="86"/>
  <c r="M67" i="86"/>
  <c r="T76" i="44"/>
  <c r="H72" i="86"/>
  <c r="L68" i="86"/>
  <c r="T77" i="44"/>
  <c r="N1096" i="2"/>
  <c r="U40" i="2"/>
  <c r="I41" i="32"/>
  <c r="U67" i="2" s="1"/>
  <c r="AY10" i="69"/>
  <c r="AY12" i="69" s="1"/>
  <c r="M68" i="86"/>
  <c r="I72" i="86"/>
  <c r="H73" i="86"/>
  <c r="L69" i="86"/>
  <c r="J71" i="86"/>
  <c r="T78" i="44"/>
  <c r="K70" i="86"/>
  <c r="O1096" i="2"/>
  <c r="V40" i="2"/>
  <c r="J41" i="32"/>
  <c r="AZ10" i="69"/>
  <c r="AZ12" i="69" s="1"/>
  <c r="E22" i="36"/>
  <c r="L70" i="86"/>
  <c r="I73" i="86"/>
  <c r="J72" i="86"/>
  <c r="T79" i="44"/>
  <c r="K71" i="86"/>
  <c r="H74" i="86"/>
  <c r="M69" i="86"/>
  <c r="P1096" i="2"/>
  <c r="W40" i="2"/>
  <c r="K41" i="32"/>
  <c r="W67" i="2" s="1"/>
  <c r="BA10" i="69"/>
  <c r="BA12" i="69" s="1"/>
  <c r="I74" i="86"/>
  <c r="H75" i="86"/>
  <c r="K72" i="86"/>
  <c r="M70" i="86"/>
  <c r="J73" i="86"/>
  <c r="T80" i="44"/>
  <c r="L71" i="86"/>
  <c r="D25" i="34"/>
  <c r="U25" i="34" s="1"/>
  <c r="Q1096" i="2"/>
  <c r="X40" i="2"/>
  <c r="L41" i="32"/>
  <c r="X67" i="2" s="1"/>
  <c r="BB10" i="69"/>
  <c r="BB12" i="69" s="1"/>
  <c r="H76" i="86"/>
  <c r="M71" i="86"/>
  <c r="J74" i="86"/>
  <c r="T81" i="44"/>
  <c r="K73" i="86"/>
  <c r="L72" i="86"/>
  <c r="I75" i="86"/>
  <c r="R1096" i="2"/>
  <c r="V25" i="34"/>
  <c r="Y40" i="2"/>
  <c r="M41" i="32"/>
  <c r="Y67" i="2" s="1"/>
  <c r="BC10" i="69"/>
  <c r="BC12" i="69" s="1"/>
  <c r="M72" i="86"/>
  <c r="L73" i="86"/>
  <c r="J75" i="86"/>
  <c r="I76" i="86"/>
  <c r="T82" i="44"/>
  <c r="K74" i="86"/>
  <c r="H77" i="86"/>
  <c r="G1097" i="2"/>
  <c r="Z40" i="2"/>
  <c r="N41" i="32"/>
  <c r="Z67" i="2" s="1"/>
  <c r="BD10" i="69"/>
  <c r="BD12" i="69" s="1"/>
  <c r="K75" i="86"/>
  <c r="J76" i="86"/>
  <c r="M73" i="86"/>
  <c r="L74" i="86"/>
  <c r="H78" i="86"/>
  <c r="I77" i="86"/>
  <c r="T83" i="44"/>
  <c r="H1097" i="2"/>
  <c r="AA40" i="2"/>
  <c r="O41" i="32"/>
  <c r="AA67" i="2" s="1"/>
  <c r="BE10" i="69"/>
  <c r="BE12" i="69" s="1"/>
  <c r="E23" i="36"/>
  <c r="I78" i="86"/>
  <c r="L75" i="86"/>
  <c r="J77" i="86"/>
  <c r="H79" i="86"/>
  <c r="M74" i="86"/>
  <c r="T84" i="44"/>
  <c r="K76" i="86"/>
  <c r="I1097" i="2"/>
  <c r="AB40" i="2"/>
  <c r="P41" i="32"/>
  <c r="AB67" i="2" s="1"/>
  <c r="BF10" i="69"/>
  <c r="BF12" i="69" s="1"/>
  <c r="L76" i="86"/>
  <c r="M75" i="86"/>
  <c r="K77" i="86"/>
  <c r="H80" i="86"/>
  <c r="J78" i="86"/>
  <c r="I79" i="86"/>
  <c r="J1097" i="2"/>
  <c r="AC40" i="2"/>
  <c r="Q41" i="32"/>
  <c r="BG10" i="69"/>
  <c r="BG12" i="69" s="1"/>
  <c r="I80" i="86"/>
  <c r="H81" i="86"/>
  <c r="M76" i="86"/>
  <c r="J79" i="86"/>
  <c r="K78" i="86"/>
  <c r="T85" i="44"/>
  <c r="L77" i="86"/>
  <c r="K1097" i="2"/>
  <c r="AD40" i="2"/>
  <c r="R41" i="32"/>
  <c r="AD67" i="2" s="1"/>
  <c r="BH10" i="69"/>
  <c r="BH12" i="69"/>
  <c r="J80" i="86"/>
  <c r="T87" i="44"/>
  <c r="K79" i="86"/>
  <c r="H82" i="86"/>
  <c r="L78" i="86"/>
  <c r="T86" i="44"/>
  <c r="M77" i="86"/>
  <c r="I81" i="86"/>
  <c r="L1097" i="2"/>
  <c r="AE40" i="2"/>
  <c r="S41" i="32"/>
  <c r="AE67" i="2" s="1"/>
  <c r="BI10" i="69"/>
  <c r="BI12" i="69" s="1"/>
  <c r="C14" i="32"/>
  <c r="C26" i="49" s="1"/>
  <c r="E24" i="36"/>
  <c r="M78" i="86"/>
  <c r="T88" i="44"/>
  <c r="K80" i="86"/>
  <c r="H83" i="86"/>
  <c r="I82" i="86"/>
  <c r="L79" i="86"/>
  <c r="J81" i="86"/>
  <c r="M1097" i="2"/>
  <c r="AG40" i="2"/>
  <c r="S40" i="32"/>
  <c r="AE66" i="2" s="1"/>
  <c r="L80" i="86"/>
  <c r="H84" i="86"/>
  <c r="M79" i="86"/>
  <c r="T89" i="44"/>
  <c r="K81" i="86"/>
  <c r="J82" i="86"/>
  <c r="I83" i="86"/>
  <c r="N1097" i="2"/>
  <c r="J83" i="86"/>
  <c r="M80" i="86"/>
  <c r="L81" i="86"/>
  <c r="H85" i="86"/>
  <c r="I84" i="86"/>
  <c r="T90" i="44"/>
  <c r="K82" i="86"/>
  <c r="O1097" i="2"/>
  <c r="H86" i="86"/>
  <c r="M81" i="86"/>
  <c r="I85" i="86"/>
  <c r="K83" i="86"/>
  <c r="L82" i="86"/>
  <c r="J84" i="86"/>
  <c r="P1097" i="2"/>
  <c r="E25" i="36"/>
  <c r="M82" i="86"/>
  <c r="J85" i="86"/>
  <c r="L83" i="86"/>
  <c r="I86" i="86"/>
  <c r="K84" i="86"/>
  <c r="T91" i="44"/>
  <c r="H87" i="86"/>
  <c r="D26" i="34"/>
  <c r="U26" i="34" s="1"/>
  <c r="Q1097" i="2"/>
  <c r="C26" i="36"/>
  <c r="AG1053" i="2" s="1"/>
  <c r="I87" i="86"/>
  <c r="K85" i="86"/>
  <c r="J86" i="86"/>
  <c r="H88" i="86"/>
  <c r="L84" i="86"/>
  <c r="T92" i="44"/>
  <c r="M83" i="86"/>
  <c r="R1097" i="2"/>
  <c r="V26" i="34"/>
  <c r="D26" i="36"/>
  <c r="K86" i="86"/>
  <c r="T93" i="44"/>
  <c r="L85" i="86"/>
  <c r="H89" i="86"/>
  <c r="M84" i="86"/>
  <c r="J87" i="86"/>
  <c r="I88" i="86"/>
  <c r="G1098" i="2"/>
  <c r="H90" i="86"/>
  <c r="J88" i="86"/>
  <c r="K87" i="86"/>
  <c r="I89" i="86"/>
  <c r="M85" i="86"/>
  <c r="L86" i="86"/>
  <c r="T94" i="44"/>
  <c r="H1098" i="2"/>
  <c r="J89" i="86"/>
  <c r="M86" i="86"/>
  <c r="T96" i="44"/>
  <c r="K88" i="86"/>
  <c r="T95" i="44"/>
  <c r="L87" i="86"/>
  <c r="I90" i="86"/>
  <c r="H91" i="86"/>
  <c r="C99" i="44"/>
  <c r="I1098" i="2"/>
  <c r="M87" i="86"/>
  <c r="T97" i="44"/>
  <c r="K89" i="86"/>
  <c r="I91" i="86"/>
  <c r="D99" i="44"/>
  <c r="L88" i="86"/>
  <c r="J90" i="86"/>
  <c r="J1098" i="2"/>
  <c r="E29" i="36"/>
  <c r="L89" i="86"/>
  <c r="K90" i="86"/>
  <c r="J91" i="86"/>
  <c r="E99" i="44"/>
  <c r="E7" i="82" s="1"/>
  <c r="M88" i="86"/>
  <c r="K1098" i="2"/>
  <c r="E30" i="36"/>
  <c r="K91" i="86"/>
  <c r="F99" i="44"/>
  <c r="L90" i="86"/>
  <c r="M89" i="86"/>
  <c r="T98" i="44"/>
  <c r="L1098" i="2"/>
  <c r="E31" i="36"/>
  <c r="L91" i="86"/>
  <c r="G99" i="44"/>
  <c r="L92" i="86" s="1"/>
  <c r="M90" i="86"/>
  <c r="M1098" i="2"/>
  <c r="AI41" i="2"/>
  <c r="E32" i="36"/>
  <c r="M91" i="86"/>
  <c r="H99" i="44"/>
  <c r="M92" i="86" s="1"/>
  <c r="N1098" i="2"/>
  <c r="AJ41" i="2"/>
  <c r="O1098" i="2"/>
  <c r="T41" i="2"/>
  <c r="AX16" i="69"/>
  <c r="E33" i="36"/>
  <c r="P1098" i="2"/>
  <c r="U41" i="2"/>
  <c r="AY16" i="69"/>
  <c r="E34" i="36"/>
  <c r="D27" i="34"/>
  <c r="U27" i="34" s="1"/>
  <c r="Q1098" i="2"/>
  <c r="V41" i="2"/>
  <c r="AZ16" i="69"/>
  <c r="E35" i="36"/>
  <c r="R1098" i="2"/>
  <c r="V27" i="34"/>
  <c r="W41" i="2"/>
  <c r="BA16" i="69"/>
  <c r="E36" i="36"/>
  <c r="X41" i="2"/>
  <c r="BB16" i="69"/>
  <c r="E37" i="36"/>
  <c r="Y41" i="2"/>
  <c r="BC16" i="69"/>
  <c r="C38" i="36"/>
  <c r="Z41" i="2"/>
  <c r="BD16" i="69"/>
  <c r="D38" i="36"/>
  <c r="AA41" i="2"/>
  <c r="BE16" i="69"/>
  <c r="AB41" i="2"/>
  <c r="BF16" i="69"/>
  <c r="AC41" i="2"/>
  <c r="BG16" i="69"/>
  <c r="AD41" i="2"/>
  <c r="BH16" i="69"/>
  <c r="AE41" i="2"/>
  <c r="BI16" i="69"/>
  <c r="C15" i="32"/>
  <c r="AG41" i="2" s="1"/>
  <c r="C4" i="6"/>
  <c r="D4" i="6" s="1"/>
  <c r="C27" i="49"/>
  <c r="V52" i="73"/>
  <c r="V53" i="73" s="1"/>
  <c r="V54" i="73" s="1"/>
  <c r="V55" i="73" s="1"/>
  <c r="V56" i="73" s="1"/>
  <c r="V57" i="73" s="1"/>
  <c r="V58" i="73" s="1"/>
  <c r="V59" i="73" s="1"/>
  <c r="V60" i="73" s="1"/>
  <c r="V61" i="73" s="1"/>
  <c r="V62" i="73" s="1"/>
  <c r="AI42" i="2"/>
  <c r="AJ42" i="2"/>
  <c r="T42" i="2"/>
  <c r="AX17" i="69"/>
  <c r="U42" i="2"/>
  <c r="AY17" i="69"/>
  <c r="V42" i="2"/>
  <c r="AZ17" i="69"/>
  <c r="W42" i="2"/>
  <c r="BA17" i="69"/>
  <c r="X42" i="2"/>
  <c r="BB17" i="69"/>
  <c r="Y42" i="2"/>
  <c r="BC17" i="69"/>
  <c r="Z42" i="2"/>
  <c r="BD17" i="69"/>
  <c r="AA42" i="2"/>
  <c r="BE17" i="69"/>
  <c r="AB42" i="2"/>
  <c r="BF17" i="69"/>
  <c r="AC42" i="2"/>
  <c r="BG17" i="69"/>
  <c r="AD42" i="2"/>
  <c r="BH17" i="69"/>
  <c r="AE42" i="2"/>
  <c r="BI17" i="69"/>
  <c r="C16" i="32"/>
  <c r="AG42" i="2" s="1"/>
  <c r="C28" i="49"/>
  <c r="I67" i="52" s="1"/>
  <c r="AI43" i="2"/>
  <c r="AJ43" i="2"/>
  <c r="E11" i="32"/>
  <c r="AI37" i="2" s="1"/>
  <c r="T43" i="2"/>
  <c r="AX18" i="69"/>
  <c r="U43" i="2"/>
  <c r="AY18" i="69"/>
  <c r="V43" i="2"/>
  <c r="AZ18" i="69"/>
  <c r="W43" i="2"/>
  <c r="BA18" i="69"/>
  <c r="X43" i="2"/>
  <c r="BB18" i="69"/>
  <c r="Y43" i="2"/>
  <c r="BC18" i="69"/>
  <c r="Z43" i="2"/>
  <c r="BD18" i="69"/>
  <c r="AA43" i="2"/>
  <c r="BE18" i="69"/>
  <c r="AB43" i="2"/>
  <c r="BF18" i="69"/>
  <c r="AC43" i="2"/>
  <c r="BG18" i="69"/>
  <c r="AD43" i="2"/>
  <c r="BH18" i="69"/>
  <c r="AE43" i="2"/>
  <c r="BI18" i="69"/>
  <c r="C17" i="32"/>
  <c r="C3" i="6"/>
  <c r="D3" i="6" s="1"/>
  <c r="AI44" i="2"/>
  <c r="AJ44" i="2"/>
  <c r="T44" i="2"/>
  <c r="AX19" i="69"/>
  <c r="U44" i="2"/>
  <c r="AY19" i="69"/>
  <c r="V44" i="2"/>
  <c r="AZ19" i="69"/>
  <c r="W44" i="2"/>
  <c r="BA19" i="69"/>
  <c r="A5" i="30"/>
  <c r="X44" i="2"/>
  <c r="BB19" i="69"/>
  <c r="Y44" i="2"/>
  <c r="BC19" i="69"/>
  <c r="Z44" i="2"/>
  <c r="BD19" i="69"/>
  <c r="AA44" i="2"/>
  <c r="BE19" i="69"/>
  <c r="AD3" i="38"/>
  <c r="I3" i="38" s="1"/>
  <c r="J3" i="38" s="1"/>
  <c r="AD4" i="38"/>
  <c r="AD5" i="38"/>
  <c r="I5" i="38" s="1"/>
  <c r="J5" i="38" s="1"/>
  <c r="AI5" i="38" s="1"/>
  <c r="AD6" i="38"/>
  <c r="I6" i="38" s="1"/>
  <c r="F8" i="51"/>
  <c r="AD7" i="38"/>
  <c r="I7" i="38" s="1"/>
  <c r="AD8" i="38"/>
  <c r="I8" i="38" s="1"/>
  <c r="J8" i="38" s="1"/>
  <c r="AD9" i="38"/>
  <c r="I9" i="38" s="1"/>
  <c r="AD10" i="38"/>
  <c r="I10" i="38" s="1"/>
  <c r="AE10" i="38" s="1"/>
  <c r="AD11" i="38"/>
  <c r="I11" i="38" s="1"/>
  <c r="AD12" i="38"/>
  <c r="AD13" i="38"/>
  <c r="I13" i="38" s="1"/>
  <c r="AG13" i="38" s="1"/>
  <c r="AD14" i="38"/>
  <c r="I14" i="38" s="1"/>
  <c r="J14" i="38" s="1"/>
  <c r="AJ14" i="38" s="1"/>
  <c r="AD16" i="38"/>
  <c r="I16" i="38" s="1"/>
  <c r="J16" i="38" s="1"/>
  <c r="AJ16" i="38" s="1"/>
  <c r="AD17" i="38"/>
  <c r="I17" i="38" s="1"/>
  <c r="AG17" i="38" s="1"/>
  <c r="AD18" i="38"/>
  <c r="I18" i="38" s="1"/>
  <c r="AE18" i="38" s="1"/>
  <c r="AD19" i="38"/>
  <c r="I19" i="38" s="1"/>
  <c r="AD20" i="38"/>
  <c r="I20" i="38" s="1"/>
  <c r="AG20" i="38" s="1"/>
  <c r="AD21" i="38"/>
  <c r="I21" i="38" s="1"/>
  <c r="AD22" i="38"/>
  <c r="I22" i="38" s="1"/>
  <c r="AG22" i="38" s="1"/>
  <c r="AD23" i="38"/>
  <c r="I23" i="38" s="1"/>
  <c r="AE23" i="38" s="1"/>
  <c r="F21" i="51"/>
  <c r="F7" i="51"/>
  <c r="AB44" i="2"/>
  <c r="BF19" i="69"/>
  <c r="I12" i="38"/>
  <c r="AC44" i="2"/>
  <c r="BG19" i="69"/>
  <c r="AI23" i="38"/>
  <c r="AD44" i="2"/>
  <c r="BH19" i="69"/>
  <c r="AE44" i="2"/>
  <c r="BI19" i="69"/>
  <c r="C18" i="32"/>
  <c r="G44" i="2"/>
  <c r="BJ19" i="69"/>
  <c r="H44" i="2"/>
  <c r="BK19" i="69"/>
  <c r="I44" i="2"/>
  <c r="BL19" i="69"/>
  <c r="J44" i="2"/>
  <c r="BM19" i="69"/>
  <c r="K44" i="2"/>
  <c r="BN19" i="69"/>
  <c r="L44" i="2"/>
  <c r="BO19" i="69"/>
  <c r="M44" i="2"/>
  <c r="BP19" i="69"/>
  <c r="N44" i="2"/>
  <c r="BQ19" i="69"/>
  <c r="O44" i="2"/>
  <c r="BR19" i="69"/>
  <c r="P44" i="2"/>
  <c r="BS19" i="69"/>
  <c r="Q44" i="2"/>
  <c r="BT19" i="69"/>
  <c r="R44" i="2"/>
  <c r="BU19" i="69"/>
  <c r="AG18" i="32"/>
  <c r="D18" i="32" s="1"/>
  <c r="AI45" i="2"/>
  <c r="AJ45" i="2"/>
  <c r="T45" i="2"/>
  <c r="AX20" i="69"/>
  <c r="U45" i="2"/>
  <c r="AY20" i="69"/>
  <c r="V45" i="2"/>
  <c r="AZ20" i="69"/>
  <c r="W45" i="2"/>
  <c r="BA20" i="69"/>
  <c r="AD24" i="38"/>
  <c r="I24" i="38" s="1"/>
  <c r="X45" i="2"/>
  <c r="BB20" i="69"/>
  <c r="Y45" i="2"/>
  <c r="BC20" i="69"/>
  <c r="Z45" i="2"/>
  <c r="BD20" i="69"/>
  <c r="AA45" i="2"/>
  <c r="BE20" i="69"/>
  <c r="AB45" i="2"/>
  <c r="BF20" i="69"/>
  <c r="AC45" i="2"/>
  <c r="BG20" i="69"/>
  <c r="AD45" i="2"/>
  <c r="BH20" i="69"/>
  <c r="AE45" i="2"/>
  <c r="BI20" i="69"/>
  <c r="C19" i="32"/>
  <c r="C31" i="49" s="1"/>
  <c r="I70" i="52" s="1"/>
  <c r="AI46" i="2"/>
  <c r="AJ46" i="2"/>
  <c r="T46" i="2"/>
  <c r="U46" i="2"/>
  <c r="AD25" i="38"/>
  <c r="I25" i="38" s="1"/>
  <c r="V46" i="2"/>
  <c r="W46" i="2"/>
  <c r="X46" i="2"/>
  <c r="Y46" i="2"/>
  <c r="Z46" i="2"/>
  <c r="AA46" i="2"/>
  <c r="AB46" i="2"/>
  <c r="AC46" i="2"/>
  <c r="AD46" i="2"/>
  <c r="AE46" i="2"/>
  <c r="C20" i="32"/>
  <c r="C32" i="49" s="1"/>
  <c r="G46" i="2"/>
  <c r="H46" i="2"/>
  <c r="I46" i="2"/>
  <c r="J46" i="2"/>
  <c r="K46" i="2"/>
  <c r="L46" i="2"/>
  <c r="M46" i="2"/>
  <c r="N46" i="2"/>
  <c r="O46" i="2"/>
  <c r="P46" i="2"/>
  <c r="Q46" i="2"/>
  <c r="R46" i="2"/>
  <c r="AG20" i="32"/>
  <c r="D20" i="32" s="1"/>
  <c r="AI47" i="2"/>
  <c r="AJ47" i="2"/>
  <c r="AD26" i="38"/>
  <c r="I26" i="38" s="1"/>
  <c r="T47" i="2"/>
  <c r="U47" i="2"/>
  <c r="V47" i="2"/>
  <c r="W47" i="2"/>
  <c r="X47" i="2"/>
  <c r="Y47" i="2"/>
  <c r="Z47" i="2"/>
  <c r="AA47" i="2"/>
  <c r="AB47" i="2"/>
  <c r="AC47" i="2"/>
  <c r="AD47" i="2"/>
  <c r="AE47" i="2"/>
  <c r="C21" i="32"/>
  <c r="G47" i="2"/>
  <c r="H47" i="2"/>
  <c r="I47" i="2"/>
  <c r="J47" i="2"/>
  <c r="K47" i="2"/>
  <c r="L47" i="2"/>
  <c r="M47" i="2"/>
  <c r="N47" i="2"/>
  <c r="O47" i="2"/>
  <c r="P47" i="2"/>
  <c r="Q47" i="2"/>
  <c r="R47" i="2"/>
  <c r="AG21" i="32"/>
  <c r="H33" i="49" s="1"/>
  <c r="AD27" i="38"/>
  <c r="AI48" i="2"/>
  <c r="I27" i="38"/>
  <c r="AI27" i="38" s="1"/>
  <c r="AJ48" i="2"/>
  <c r="T48" i="2"/>
  <c r="U48" i="2"/>
  <c r="V48" i="2"/>
  <c r="W48" i="2"/>
  <c r="X48" i="2"/>
  <c r="Y48" i="2"/>
  <c r="Z48" i="2"/>
  <c r="AA48" i="2"/>
  <c r="AB48" i="2"/>
  <c r="AC48" i="2"/>
  <c r="AD48" i="2"/>
  <c r="AE48" i="2"/>
  <c r="C22" i="32"/>
  <c r="AG48" i="2" s="1"/>
  <c r="G48" i="2"/>
  <c r="H48" i="2"/>
  <c r="I48" i="2"/>
  <c r="J48" i="2"/>
  <c r="K48" i="2"/>
  <c r="L48" i="2"/>
  <c r="M48" i="2"/>
  <c r="N48" i="2"/>
  <c r="O48" i="2"/>
  <c r="P48" i="2"/>
  <c r="AD28" i="38"/>
  <c r="I28" i="38" s="1"/>
  <c r="Q48" i="2"/>
  <c r="R48" i="2"/>
  <c r="AG22" i="32"/>
  <c r="S48" i="2" s="1"/>
  <c r="AI49" i="2"/>
  <c r="AJ49" i="2"/>
  <c r="T49" i="2"/>
  <c r="U49" i="2"/>
  <c r="V49" i="2"/>
  <c r="W49" i="2"/>
  <c r="X49" i="2"/>
  <c r="Y49" i="2"/>
  <c r="Z49" i="2"/>
  <c r="AA49" i="2"/>
  <c r="AB49" i="2"/>
  <c r="AC49" i="2"/>
  <c r="AD49" i="2"/>
  <c r="AE49" i="2"/>
  <c r="C23" i="32"/>
  <c r="AG49" i="2" s="1"/>
  <c r="G49" i="2"/>
  <c r="H49" i="2"/>
  <c r="I49" i="2"/>
  <c r="J49" i="2"/>
  <c r="K49" i="2"/>
  <c r="L49" i="2"/>
  <c r="M49" i="2"/>
  <c r="N49" i="2"/>
  <c r="AD29" i="38"/>
  <c r="I29" i="38" s="1"/>
  <c r="O49" i="2"/>
  <c r="P49" i="2"/>
  <c r="Q49" i="2"/>
  <c r="R49" i="2"/>
  <c r="AG23" i="32"/>
  <c r="D23" i="32" s="1"/>
  <c r="AI50" i="2"/>
  <c r="AJ50" i="2"/>
  <c r="T50" i="2"/>
  <c r="U50" i="2"/>
  <c r="V50" i="2"/>
  <c r="W50" i="2"/>
  <c r="X50" i="2"/>
  <c r="Y50" i="2"/>
  <c r="Z50" i="2"/>
  <c r="AA50" i="2"/>
  <c r="AB50" i="2"/>
  <c r="AC50" i="2"/>
  <c r="AD50" i="2"/>
  <c r="AE50" i="2"/>
  <c r="C24" i="32"/>
  <c r="AG50" i="2" s="1"/>
  <c r="G50" i="2"/>
  <c r="H50" i="2"/>
  <c r="I50" i="2"/>
  <c r="J50" i="2"/>
  <c r="K50" i="2"/>
  <c r="L50" i="2"/>
  <c r="AD30" i="38"/>
  <c r="I30" i="38" s="1"/>
  <c r="AE30" i="38" s="1"/>
  <c r="M50" i="2"/>
  <c r="N50" i="2"/>
  <c r="O50" i="2"/>
  <c r="P50" i="2"/>
  <c r="Q50" i="2"/>
  <c r="R50" i="2"/>
  <c r="AG24" i="32"/>
  <c r="D24" i="32" s="1"/>
  <c r="AI51" i="2"/>
  <c r="AJ51" i="2"/>
  <c r="T51" i="2"/>
  <c r="U51" i="2"/>
  <c r="V51" i="2"/>
  <c r="W51" i="2"/>
  <c r="X51" i="2"/>
  <c r="Y51" i="2"/>
  <c r="Z51" i="2"/>
  <c r="AA51" i="2"/>
  <c r="AB51" i="2"/>
  <c r="AC51" i="2"/>
  <c r="AD51" i="2"/>
  <c r="AE51" i="2"/>
  <c r="C25" i="32"/>
  <c r="AG51" i="2" s="1"/>
  <c r="G51" i="2"/>
  <c r="H51" i="2"/>
  <c r="I51" i="2"/>
  <c r="J51" i="2"/>
  <c r="AD31" i="38"/>
  <c r="I31" i="38" s="1"/>
  <c r="K51" i="2"/>
  <c r="L51" i="2"/>
  <c r="M51" i="2"/>
  <c r="N51" i="2"/>
  <c r="O51" i="2"/>
  <c r="P51" i="2"/>
  <c r="Q51" i="2"/>
  <c r="R51" i="2"/>
  <c r="AG25" i="32"/>
  <c r="D25" i="32" s="1"/>
  <c r="AI52" i="2"/>
  <c r="AJ52" i="2"/>
  <c r="T52" i="2"/>
  <c r="U52" i="2"/>
  <c r="V52" i="2"/>
  <c r="W52" i="2"/>
  <c r="X52" i="2"/>
  <c r="Y52" i="2"/>
  <c r="Z52" i="2"/>
  <c r="AA52" i="2"/>
  <c r="AB52" i="2"/>
  <c r="AC52" i="2"/>
  <c r="AD52" i="2"/>
  <c r="AE52" i="2"/>
  <c r="C26" i="32"/>
  <c r="AG52" i="2" s="1"/>
  <c r="G52" i="2"/>
  <c r="H52" i="2"/>
  <c r="AD32" i="38"/>
  <c r="I32" i="38" s="1"/>
  <c r="AE32" i="38" s="1"/>
  <c r="I52" i="2"/>
  <c r="J52" i="2"/>
  <c r="K52" i="2"/>
  <c r="L52" i="2"/>
  <c r="M52" i="2"/>
  <c r="N52" i="2"/>
  <c r="O52" i="2"/>
  <c r="P52" i="2"/>
  <c r="Q52" i="2"/>
  <c r="R52" i="2"/>
  <c r="AG26" i="32"/>
  <c r="S52" i="2" s="1"/>
  <c r="AI53" i="2"/>
  <c r="AJ53" i="2"/>
  <c r="T53" i="2"/>
  <c r="U53" i="2"/>
  <c r="V53" i="2"/>
  <c r="W53" i="2"/>
  <c r="X53" i="2"/>
  <c r="Y53" i="2"/>
  <c r="Z53" i="2"/>
  <c r="AA53" i="2"/>
  <c r="AB53" i="2"/>
  <c r="AC53" i="2"/>
  <c r="AD53" i="2"/>
  <c r="AE53" i="2"/>
  <c r="C27" i="32"/>
  <c r="AG53" i="2" s="1"/>
  <c r="AD33" i="38"/>
  <c r="I33" i="38" s="1"/>
  <c r="AE33" i="38" s="1"/>
  <c r="G53" i="2"/>
  <c r="H53" i="2"/>
  <c r="I53" i="2"/>
  <c r="J53" i="2"/>
  <c r="K53" i="2"/>
  <c r="L53" i="2"/>
  <c r="M53" i="2"/>
  <c r="N53" i="2"/>
  <c r="O53" i="2"/>
  <c r="P53" i="2"/>
  <c r="Q53" i="2"/>
  <c r="R53" i="2"/>
  <c r="AG27" i="32"/>
  <c r="D27" i="32" s="1"/>
  <c r="AI54" i="2"/>
  <c r="AJ54" i="2"/>
  <c r="T54" i="2"/>
  <c r="U54" i="2"/>
  <c r="V54" i="2"/>
  <c r="W54" i="2"/>
  <c r="X54" i="2"/>
  <c r="Y54" i="2"/>
  <c r="Z54" i="2"/>
  <c r="AA54" i="2"/>
  <c r="AB54" i="2"/>
  <c r="AC54" i="2"/>
  <c r="AD34" i="38"/>
  <c r="I34" i="38" s="1"/>
  <c r="AD54" i="2"/>
  <c r="AE54" i="2"/>
  <c r="C28" i="32"/>
  <c r="AG54" i="2" s="1"/>
  <c r="G54" i="2"/>
  <c r="H54" i="2"/>
  <c r="I54" i="2"/>
  <c r="J54" i="2"/>
  <c r="K54" i="2"/>
  <c r="L54" i="2"/>
  <c r="M54" i="2"/>
  <c r="N54" i="2"/>
  <c r="O54" i="2"/>
  <c r="P54" i="2"/>
  <c r="Q54" i="2"/>
  <c r="R54" i="2"/>
  <c r="AG28" i="32"/>
  <c r="S54" i="2" s="1"/>
  <c r="AI55" i="2"/>
  <c r="AJ55" i="2"/>
  <c r="F30" i="32"/>
  <c r="AJ56" i="2" s="1"/>
  <c r="T55" i="2"/>
  <c r="H30" i="32"/>
  <c r="U55" i="2"/>
  <c r="I30" i="32"/>
  <c r="V55" i="2"/>
  <c r="J30" i="32"/>
  <c r="V56" i="2" s="1"/>
  <c r="W55" i="2"/>
  <c r="K30" i="32"/>
  <c r="X55" i="2"/>
  <c r="L30" i="32"/>
  <c r="X56" i="2" s="1"/>
  <c r="Y55" i="2"/>
  <c r="M30" i="32"/>
  <c r="Z55" i="2"/>
  <c r="N30" i="32"/>
  <c r="AA55" i="2"/>
  <c r="O30" i="32"/>
  <c r="AD35" i="38"/>
  <c r="I35" i="38" s="1"/>
  <c r="AA56" i="2"/>
  <c r="AB55" i="2"/>
  <c r="P30" i="32"/>
  <c r="AB56" i="2" s="1"/>
  <c r="AC55" i="2"/>
  <c r="Q30" i="32"/>
  <c r="AD55" i="2"/>
  <c r="R30" i="32"/>
  <c r="AD56" i="2" s="1"/>
  <c r="AE55" i="2"/>
  <c r="S30" i="32"/>
  <c r="C29" i="32"/>
  <c r="AG55" i="2" s="1"/>
  <c r="G55" i="2"/>
  <c r="H55" i="2"/>
  <c r="I55" i="2"/>
  <c r="J55" i="2"/>
  <c r="K55" i="2"/>
  <c r="L55" i="2"/>
  <c r="M55" i="2"/>
  <c r="N55" i="2"/>
  <c r="O55" i="2"/>
  <c r="P55" i="2"/>
  <c r="Q55" i="2"/>
  <c r="R55" i="2"/>
  <c r="AG29" i="32"/>
  <c r="D29" i="32" s="1"/>
  <c r="AD36" i="38"/>
  <c r="I36" i="38" s="1"/>
  <c r="AI36" i="38" s="1"/>
  <c r="AD37" i="38"/>
  <c r="I37" i="38" s="1"/>
  <c r="AD38" i="38"/>
  <c r="I38" i="38" s="1"/>
  <c r="AD39" i="38"/>
  <c r="I39" i="38" s="1"/>
  <c r="AG39" i="38" s="1"/>
  <c r="AD40" i="38"/>
  <c r="I40" i="38" s="1"/>
  <c r="AI40" i="38" s="1"/>
  <c r="AD41" i="38"/>
  <c r="I41" i="38" s="1"/>
  <c r="AE41" i="38" s="1"/>
  <c r="AD42" i="38"/>
  <c r="I42" i="38" s="1"/>
  <c r="AD43" i="38"/>
  <c r="I43" i="38"/>
  <c r="AD44" i="38"/>
  <c r="I44" i="38" s="1"/>
  <c r="AD45" i="38"/>
  <c r="I45" i="38" s="1"/>
  <c r="AG45" i="38" s="1"/>
  <c r="AD46" i="38"/>
  <c r="I46" i="38" s="1"/>
  <c r="AI46" i="38" s="1"/>
  <c r="AD47" i="38"/>
  <c r="I47" i="38"/>
  <c r="AD48" i="38"/>
  <c r="I48" i="38" s="1"/>
  <c r="G23" i="51"/>
  <c r="E28" i="49"/>
  <c r="H23" i="51"/>
  <c r="AD49" i="38"/>
  <c r="I49" i="38" s="1"/>
  <c r="AI49" i="38" s="1"/>
  <c r="G26" i="51"/>
  <c r="E31" i="49"/>
  <c r="E46" i="49" s="1"/>
  <c r="H26" i="51"/>
  <c r="AD50" i="38"/>
  <c r="I50" i="38" s="1"/>
  <c r="AI50" i="38" s="1"/>
  <c r="E24" i="49"/>
  <c r="H19" i="51"/>
  <c r="AD51" i="38"/>
  <c r="I51" i="38" s="1"/>
  <c r="E29" i="49"/>
  <c r="H24" i="51"/>
  <c r="AD52" i="38"/>
  <c r="I52" i="38" s="1"/>
  <c r="H25" i="51"/>
  <c r="E30" i="49"/>
  <c r="AD53" i="38"/>
  <c r="I53" i="38"/>
  <c r="AE53" i="38" s="1"/>
  <c r="E32" i="49"/>
  <c r="H27" i="51"/>
  <c r="AD54" i="38"/>
  <c r="I54" i="38" s="1"/>
  <c r="AG54" i="38" s="1"/>
  <c r="H28" i="51"/>
  <c r="AD55" i="38"/>
  <c r="I55" i="38" s="1"/>
  <c r="G18" i="51"/>
  <c r="G11" i="51"/>
  <c r="G19" i="51"/>
  <c r="G24" i="51"/>
  <c r="G25" i="51"/>
  <c r="G27" i="51"/>
  <c r="G28" i="51"/>
  <c r="H11" i="51"/>
  <c r="H18" i="51"/>
  <c r="E5" i="49" s="1"/>
  <c r="E33" i="49"/>
  <c r="H38" i="51"/>
  <c r="AD56" i="38"/>
  <c r="I56" i="38" s="1"/>
  <c r="AE56" i="38" s="1"/>
  <c r="AD57" i="38"/>
  <c r="I57" i="38" s="1"/>
  <c r="AI57" i="38" s="1"/>
  <c r="AD58" i="38"/>
  <c r="I58" i="38" s="1"/>
  <c r="AG58" i="38" s="1"/>
  <c r="AD59" i="38"/>
  <c r="I59" i="38" s="1"/>
  <c r="AI59" i="38" s="1"/>
  <c r="AD60" i="38"/>
  <c r="I60" i="38" s="1"/>
  <c r="AI60" i="38" s="1"/>
  <c r="AD61" i="38"/>
  <c r="I61" i="38" s="1"/>
  <c r="AE61" i="38" s="1"/>
  <c r="AD62" i="38"/>
  <c r="I62" i="38" s="1"/>
  <c r="AG62" i="38" s="1"/>
  <c r="AD63" i="38"/>
  <c r="I63" i="38" s="1"/>
  <c r="AG63" i="38" s="1"/>
  <c r="AD64" i="38"/>
  <c r="I64" i="38" s="1"/>
  <c r="AD65" i="38"/>
  <c r="I65" i="38" s="1"/>
  <c r="AE65" i="38" s="1"/>
  <c r="AD66" i="38"/>
  <c r="I66" i="38" s="1"/>
  <c r="AI66" i="38" s="1"/>
  <c r="AD67" i="38"/>
  <c r="I67" i="38"/>
  <c r="AG67" i="38" s="1"/>
  <c r="AD68" i="38"/>
  <c r="I68" i="38" s="1"/>
  <c r="AD69" i="38"/>
  <c r="I69" i="38" s="1"/>
  <c r="AE69" i="38" s="1"/>
  <c r="AD70" i="38"/>
  <c r="I70" i="38" s="1"/>
  <c r="AE70" i="38" s="1"/>
  <c r="AD71" i="38"/>
  <c r="I71" i="38" s="1"/>
  <c r="AE71" i="38" s="1"/>
  <c r="AD72" i="38"/>
  <c r="I72" i="38" s="1"/>
  <c r="AD73" i="38"/>
  <c r="I73" i="38" s="1"/>
  <c r="AE73" i="38" s="1"/>
  <c r="AD74" i="38"/>
  <c r="I74" i="38" s="1"/>
  <c r="AD75" i="38"/>
  <c r="I75" i="38" s="1"/>
  <c r="AD76" i="38"/>
  <c r="I76" i="38" s="1"/>
  <c r="AE76" i="38" s="1"/>
  <c r="AD77" i="38"/>
  <c r="I77" i="38" s="1"/>
  <c r="AG77" i="38" s="1"/>
  <c r="AD78" i="38"/>
  <c r="I78" i="38" s="1"/>
  <c r="AE78" i="38" s="1"/>
  <c r="AD79" i="38"/>
  <c r="I79" i="38" s="1"/>
  <c r="AE79" i="38" s="1"/>
  <c r="AD80" i="38"/>
  <c r="I80" i="38" s="1"/>
  <c r="AD81" i="38"/>
  <c r="I81" i="38" s="1"/>
  <c r="AE81" i="38" s="1"/>
  <c r="AD82" i="38"/>
  <c r="I82" i="38" s="1"/>
  <c r="AD83" i="38"/>
  <c r="I83" i="38" s="1"/>
  <c r="AD84" i="38"/>
  <c r="I84" i="38" s="1"/>
  <c r="AE84" i="38" s="1"/>
  <c r="AI84" i="38"/>
  <c r="AD85" i="38"/>
  <c r="I85" i="38" s="1"/>
  <c r="AG85" i="38" s="1"/>
  <c r="AD86" i="38"/>
  <c r="I86" i="38" s="1"/>
  <c r="AE86" i="38" s="1"/>
  <c r="AD87" i="38"/>
  <c r="I87" i="38" s="1"/>
  <c r="AE87" i="38" s="1"/>
  <c r="AD88" i="38"/>
  <c r="I88" i="38" s="1"/>
  <c r="AD89" i="38"/>
  <c r="I89" i="38" s="1"/>
  <c r="AE89" i="38" s="1"/>
  <c r="AD90" i="38"/>
  <c r="I90" i="38" s="1"/>
  <c r="AD91" i="38"/>
  <c r="I91" i="38" s="1"/>
  <c r="AD92" i="38"/>
  <c r="I92" i="38" s="1"/>
  <c r="AG92" i="38" s="1"/>
  <c r="AD93" i="38"/>
  <c r="I93" i="38" s="1"/>
  <c r="AG93" i="38" s="1"/>
  <c r="AD94" i="38"/>
  <c r="I94" i="38" s="1"/>
  <c r="AE94" i="38"/>
  <c r="AD95" i="38"/>
  <c r="I95" i="38" s="1"/>
  <c r="AE95" i="38" s="1"/>
  <c r="AD96" i="38"/>
  <c r="I96" i="38" s="1"/>
  <c r="AD97" i="38"/>
  <c r="I97" i="38" s="1"/>
  <c r="AE97" i="38" s="1"/>
  <c r="AD98" i="38"/>
  <c r="I98" i="38" s="1"/>
  <c r="AD99" i="38"/>
  <c r="I99" i="38" s="1"/>
  <c r="AD100" i="38"/>
  <c r="I100" i="38" s="1"/>
  <c r="AI100" i="38" s="1"/>
  <c r="AD101" i="38"/>
  <c r="I101" i="38" s="1"/>
  <c r="AG101" i="38" s="1"/>
  <c r="AD102" i="38"/>
  <c r="I102" i="38" s="1"/>
  <c r="AE102" i="38" s="1"/>
  <c r="AD103" i="38"/>
  <c r="I103" i="38" s="1"/>
  <c r="AE103" i="38" s="1"/>
  <c r="AD104" i="38"/>
  <c r="I104" i="38" s="1"/>
  <c r="AD105" i="38"/>
  <c r="I105" i="38" s="1"/>
  <c r="AE105" i="38" s="1"/>
  <c r="AD106" i="38"/>
  <c r="I106" i="38" s="1"/>
  <c r="AD107" i="38"/>
  <c r="I107" i="38" s="1"/>
  <c r="AD108" i="38"/>
  <c r="I108" i="38" s="1"/>
  <c r="AI108" i="38" s="1"/>
  <c r="AD109" i="38"/>
  <c r="I109" i="38" s="1"/>
  <c r="AG109" i="38" s="1"/>
  <c r="AD110" i="38"/>
  <c r="I110" i="38" s="1"/>
  <c r="AE110" i="38" s="1"/>
  <c r="AD111" i="38"/>
  <c r="I111" i="38" s="1"/>
  <c r="AE111" i="38" s="1"/>
  <c r="AD112" i="38"/>
  <c r="I112" i="38" s="1"/>
  <c r="AD113" i="38"/>
  <c r="I113" i="38" s="1"/>
  <c r="AE113" i="38" s="1"/>
  <c r="AD114" i="38"/>
  <c r="I114" i="38" s="1"/>
  <c r="AG114" i="38" s="1"/>
  <c r="AD115" i="38"/>
  <c r="I115" i="38" s="1"/>
  <c r="AG115" i="38" s="1"/>
  <c r="AD116" i="38"/>
  <c r="I116" i="38" s="1"/>
  <c r="AD117" i="38"/>
  <c r="I117" i="38" s="1"/>
  <c r="AD118" i="38"/>
  <c r="I118" i="38" s="1"/>
  <c r="AD119" i="38"/>
  <c r="I119" i="38" s="1"/>
  <c r="AG119" i="38" s="1"/>
  <c r="AD120" i="38"/>
  <c r="I120" i="38" s="1"/>
  <c r="AG120" i="38" s="1"/>
  <c r="AD121" i="38"/>
  <c r="I121" i="38" s="1"/>
  <c r="AE121" i="38" s="1"/>
  <c r="AD122" i="38"/>
  <c r="I122" i="38" s="1"/>
  <c r="AE122" i="38" s="1"/>
  <c r="AD123" i="38"/>
  <c r="I123" i="38" s="1"/>
  <c r="AD124" i="38"/>
  <c r="I124" i="38" s="1"/>
  <c r="AI124" i="38" s="1"/>
  <c r="AD125" i="38"/>
  <c r="I125" i="38"/>
  <c r="AG125" i="38" s="1"/>
  <c r="AD126" i="38"/>
  <c r="I126" i="38" s="1"/>
  <c r="AD127" i="38"/>
  <c r="I127" i="38" s="1"/>
  <c r="AI127" i="38" s="1"/>
  <c r="AD128" i="38"/>
  <c r="I128" i="38" s="1"/>
  <c r="AG128" i="38" s="1"/>
  <c r="AD129" i="38"/>
  <c r="I129" i="38" s="1"/>
  <c r="AE129" i="38" s="1"/>
  <c r="AD130" i="38"/>
  <c r="I130" i="38" s="1"/>
  <c r="AE130" i="38" s="1"/>
  <c r="AD131" i="38"/>
  <c r="I131" i="38" s="1"/>
  <c r="AD132" i="38"/>
  <c r="I132" i="38" s="1"/>
  <c r="AI132" i="38" s="1"/>
  <c r="AD133" i="38"/>
  <c r="I133" i="38"/>
  <c r="AD134" i="38"/>
  <c r="I134" i="38" s="1"/>
  <c r="AD135" i="38"/>
  <c r="I135" i="38"/>
  <c r="AG135" i="38" s="1"/>
  <c r="AD136" i="38"/>
  <c r="I136" i="38" s="1"/>
  <c r="AG136" i="38" s="1"/>
  <c r="AD137" i="38"/>
  <c r="I137" i="38" s="1"/>
  <c r="AE137" i="38" s="1"/>
  <c r="AD138" i="38"/>
  <c r="I138" i="38" s="1"/>
  <c r="AE138" i="38" s="1"/>
  <c r="AD139" i="38"/>
  <c r="I139" i="38" s="1"/>
  <c r="AD140" i="38"/>
  <c r="I140" i="38" s="1"/>
  <c r="AI140" i="38" s="1"/>
  <c r="AD141" i="38"/>
  <c r="I141" i="38"/>
  <c r="AI141" i="38" s="1"/>
  <c r="AD142" i="38"/>
  <c r="I142" i="38" s="1"/>
  <c r="AD143" i="38"/>
  <c r="I143" i="38" s="1"/>
  <c r="AI143" i="38" s="1"/>
  <c r="AD144" i="38"/>
  <c r="I144" i="38" s="1"/>
  <c r="AG144" i="38" s="1"/>
  <c r="AD145" i="38"/>
  <c r="I145" i="38" s="1"/>
  <c r="AE145" i="38" s="1"/>
  <c r="AD146" i="38"/>
  <c r="I146" i="38" s="1"/>
  <c r="AE146" i="38" s="1"/>
  <c r="AD147" i="38"/>
  <c r="I147" i="38" s="1"/>
  <c r="AD148" i="38"/>
  <c r="I148" i="38" s="1"/>
  <c r="AD149" i="38"/>
  <c r="I149" i="38" s="1"/>
  <c r="AD150" i="38"/>
  <c r="I150" i="38"/>
  <c r="AD151" i="38"/>
  <c r="I151" i="38"/>
  <c r="AG151" i="38" s="1"/>
  <c r="AD152" i="38"/>
  <c r="I152" i="38" s="1"/>
  <c r="AG152" i="38" s="1"/>
  <c r="AD153" i="38"/>
  <c r="I153" i="38" s="1"/>
  <c r="AE153" i="38" s="1"/>
  <c r="AD154" i="38"/>
  <c r="I154" i="38" s="1"/>
  <c r="AE154" i="38" s="1"/>
  <c r="AD155" i="38"/>
  <c r="I155" i="38" s="1"/>
  <c r="AD156" i="38"/>
  <c r="I156" i="38" s="1"/>
  <c r="AI156" i="38" s="1"/>
  <c r="AD157" i="38"/>
  <c r="I157" i="38" s="1"/>
  <c r="AD158" i="38"/>
  <c r="I158" i="38" s="1"/>
  <c r="AD159" i="38"/>
  <c r="I159" i="38" s="1"/>
  <c r="AD160" i="38"/>
  <c r="I160" i="38" s="1"/>
  <c r="AG160" i="38" s="1"/>
  <c r="AD161" i="38"/>
  <c r="I161" i="38" s="1"/>
  <c r="AE161" i="38" s="1"/>
  <c r="AD162" i="38"/>
  <c r="I162" i="38" s="1"/>
  <c r="AE162" i="38" s="1"/>
  <c r="AD163" i="38"/>
  <c r="I163" i="38" s="1"/>
  <c r="AD164" i="38"/>
  <c r="I164" i="38" s="1"/>
  <c r="AI164" i="38" s="1"/>
  <c r="AD165" i="38"/>
  <c r="I165" i="38" s="1"/>
  <c r="AI165" i="38" s="1"/>
  <c r="AD166" i="38"/>
  <c r="I166" i="38" s="1"/>
  <c r="AD167" i="38"/>
  <c r="I167" i="38" s="1"/>
  <c r="AG167" i="38" s="1"/>
  <c r="AD168" i="38"/>
  <c r="I168" i="38" s="1"/>
  <c r="AG168" i="38" s="1"/>
  <c r="AD169" i="38"/>
  <c r="I169" i="38" s="1"/>
  <c r="AE169" i="38" s="1"/>
  <c r="AD170" i="38"/>
  <c r="I170" i="38" s="1"/>
  <c r="AD171" i="38"/>
  <c r="I171" i="38" s="1"/>
  <c r="AD172" i="38"/>
  <c r="I172" i="38" s="1"/>
  <c r="AI172" i="38" s="1"/>
  <c r="AD173" i="38"/>
  <c r="I173" i="38" s="1"/>
  <c r="AG173" i="38" s="1"/>
  <c r="AD174" i="38"/>
  <c r="I174" i="38" s="1"/>
  <c r="AD175" i="38"/>
  <c r="I175" i="38" s="1"/>
  <c r="AG175" i="38" s="1"/>
  <c r="AD176" i="38"/>
  <c r="I176" i="38" s="1"/>
  <c r="AG176" i="38" s="1"/>
  <c r="AD177" i="38"/>
  <c r="I177" i="38" s="1"/>
  <c r="AD178" i="38"/>
  <c r="I178" i="38" s="1"/>
  <c r="AE178" i="38" s="1"/>
  <c r="AD179" i="38"/>
  <c r="I179" i="38" s="1"/>
  <c r="AD180" i="38"/>
  <c r="I180" i="38" s="1"/>
  <c r="AD181" i="38"/>
  <c r="I181" i="38" s="1"/>
  <c r="AI181" i="38" s="1"/>
  <c r="AD182" i="38"/>
  <c r="I182" i="38" s="1"/>
  <c r="AD183" i="38"/>
  <c r="I183" i="38" s="1"/>
  <c r="AD184" i="38"/>
  <c r="I184" i="38" s="1"/>
  <c r="AD185" i="38"/>
  <c r="I185" i="38" s="1"/>
  <c r="AE185" i="38" s="1"/>
  <c r="AD186" i="38"/>
  <c r="I186" i="38" s="1"/>
  <c r="AE186" i="38" s="1"/>
  <c r="AD187" i="38"/>
  <c r="I187" i="38" s="1"/>
  <c r="AD188" i="38"/>
  <c r="I188" i="38" s="1"/>
  <c r="AD189" i="38"/>
  <c r="I189" i="38" s="1"/>
  <c r="AI189" i="38" s="1"/>
  <c r="AD190" i="38"/>
  <c r="I190" i="38" s="1"/>
  <c r="AD191" i="38"/>
  <c r="I191" i="38" s="1"/>
  <c r="AD192" i="38"/>
  <c r="I192" i="38" s="1"/>
  <c r="AG192" i="38" s="1"/>
  <c r="AD193" i="38"/>
  <c r="I193" i="38" s="1"/>
  <c r="AE193" i="38" s="1"/>
  <c r="AD194" i="38"/>
  <c r="I194" i="38" s="1"/>
  <c r="AI194" i="38" s="1"/>
  <c r="AD195" i="38"/>
  <c r="I195" i="38" s="1"/>
  <c r="AD196" i="38"/>
  <c r="I196" i="38"/>
  <c r="AD197" i="38"/>
  <c r="I197" i="38" s="1"/>
  <c r="AD198" i="38"/>
  <c r="I198" i="38" s="1"/>
  <c r="AD199" i="38"/>
  <c r="I199" i="38" s="1"/>
  <c r="AD200" i="38"/>
  <c r="I200" i="38" s="1"/>
  <c r="AG200" i="38" s="1"/>
  <c r="AD201" i="38"/>
  <c r="I201" i="38" s="1"/>
  <c r="AE201" i="38" s="1"/>
  <c r="AD202" i="38"/>
  <c r="I202" i="38" s="1"/>
  <c r="AD203" i="38"/>
  <c r="I203" i="38" s="1"/>
  <c r="AD204" i="38"/>
  <c r="I204" i="38" s="1"/>
  <c r="AD205" i="38"/>
  <c r="I205" i="38" s="1"/>
  <c r="AI205" i="38" s="1"/>
  <c r="AD206" i="38"/>
  <c r="I206" i="38" s="1"/>
  <c r="AE206" i="38" s="1"/>
  <c r="AD207" i="38"/>
  <c r="I207" i="38" s="1"/>
  <c r="AE207" i="38" s="1"/>
  <c r="AD208" i="38"/>
  <c r="I208" i="38" s="1"/>
  <c r="AD209" i="38"/>
  <c r="I209" i="38" s="1"/>
  <c r="AD210" i="38"/>
  <c r="I210" i="38" s="1"/>
  <c r="AE210" i="38" s="1"/>
  <c r="AD211" i="38"/>
  <c r="I211" i="38" s="1"/>
  <c r="AD212" i="38"/>
  <c r="I212" i="38" s="1"/>
  <c r="AD213" i="38"/>
  <c r="I213" i="38" s="1"/>
  <c r="AI213" i="38" s="1"/>
  <c r="AD214" i="38"/>
  <c r="I214" i="38" s="1"/>
  <c r="AD215" i="38"/>
  <c r="I215" i="38" s="1"/>
  <c r="AG215" i="38" s="1"/>
  <c r="AD216" i="38"/>
  <c r="I216" i="38" s="1"/>
  <c r="AG216" i="38" s="1"/>
  <c r="AD217" i="38"/>
  <c r="I217" i="38" s="1"/>
  <c r="AI217" i="38" s="1"/>
  <c r="AD218" i="38"/>
  <c r="I218" i="38" s="1"/>
  <c r="AD219" i="38"/>
  <c r="I219" i="38" s="1"/>
  <c r="AD220" i="38"/>
  <c r="I220" i="38" s="1"/>
  <c r="AE220" i="38" s="1"/>
  <c r="AD221" i="38"/>
  <c r="I221" i="38" s="1"/>
  <c r="AG221" i="38"/>
  <c r="AD222" i="38"/>
  <c r="I222" i="38" s="1"/>
  <c r="AE222" i="38" s="1"/>
  <c r="AD223" i="38"/>
  <c r="I223" i="38" s="1"/>
  <c r="AI223" i="38" s="1"/>
  <c r="AG223" i="38"/>
  <c r="AD224" i="38"/>
  <c r="I224" i="38" s="1"/>
  <c r="AG224" i="38" s="1"/>
  <c r="AD225" i="38"/>
  <c r="I225" i="38" s="1"/>
  <c r="AD226" i="38"/>
  <c r="I226" i="38" s="1"/>
  <c r="AG226" i="38" s="1"/>
  <c r="AD227" i="38"/>
  <c r="I227" i="38" s="1"/>
  <c r="AI227" i="38" s="1"/>
  <c r="AD228" i="38"/>
  <c r="I228" i="38" s="1"/>
  <c r="AE228" i="38" s="1"/>
  <c r="AD229" i="38"/>
  <c r="I229" i="38" s="1"/>
  <c r="AG229" i="38" s="1"/>
  <c r="AD230" i="38"/>
  <c r="I230" i="38" s="1"/>
  <c r="AD231" i="38"/>
  <c r="I231" i="38"/>
  <c r="AI231" i="38" s="1"/>
  <c r="AD232" i="38"/>
  <c r="I232" i="38" s="1"/>
  <c r="AE232" i="38" s="1"/>
  <c r="AD233" i="38"/>
  <c r="I233" i="38" s="1"/>
  <c r="AG233" i="38" s="1"/>
  <c r="AD234" i="38"/>
  <c r="I234" i="38" s="1"/>
  <c r="AD235" i="38"/>
  <c r="I235" i="38" s="1"/>
  <c r="AD236" i="38"/>
  <c r="I236" i="38" s="1"/>
  <c r="AG236" i="38" s="1"/>
  <c r="AD237" i="38"/>
  <c r="I237" i="38" s="1"/>
  <c r="AI237" i="38" s="1"/>
  <c r="AD238" i="38"/>
  <c r="I238" i="38" s="1"/>
  <c r="AI238" i="38" s="1"/>
  <c r="AD239" i="38"/>
  <c r="I239" i="38" s="1"/>
  <c r="AE239" i="38" s="1"/>
  <c r="AG239" i="38"/>
  <c r="AD240" i="38"/>
  <c r="I240" i="38" s="1"/>
  <c r="AI240" i="38" s="1"/>
  <c r="AD241" i="38"/>
  <c r="I241" i="38" s="1"/>
  <c r="AI241" i="38" s="1"/>
  <c r="AD242" i="38"/>
  <c r="I242" i="38" s="1"/>
  <c r="AG242" i="38"/>
  <c r="AD243" i="38"/>
  <c r="I243" i="38" s="1"/>
  <c r="AI243" i="38" s="1"/>
  <c r="AD244" i="38"/>
  <c r="I244" i="38" s="1"/>
  <c r="AD245" i="38"/>
  <c r="I245" i="38" s="1"/>
  <c r="AI245" i="38" s="1"/>
  <c r="AD246" i="38"/>
  <c r="I246" i="38" s="1"/>
  <c r="AD247" i="38"/>
  <c r="I247" i="38" s="1"/>
  <c r="AD248" i="38"/>
  <c r="I248" i="38" s="1"/>
  <c r="AD249" i="38"/>
  <c r="I249" i="38" s="1"/>
  <c r="AG249" i="38" s="1"/>
  <c r="AD250" i="38"/>
  <c r="I250" i="38" s="1"/>
  <c r="AG250" i="38" s="1"/>
  <c r="AD251" i="38"/>
  <c r="I251" i="38" s="1"/>
  <c r="AG251" i="38" s="1"/>
  <c r="AD252" i="38"/>
  <c r="I252" i="38" s="1"/>
  <c r="AD253" i="38"/>
  <c r="I253" i="38" s="1"/>
  <c r="AG253" i="38" s="1"/>
  <c r="AD254" i="38"/>
  <c r="I254" i="38" s="1"/>
  <c r="AD255" i="38"/>
  <c r="I255" i="38" s="1"/>
  <c r="AG255" i="38" s="1"/>
  <c r="AD256" i="38"/>
  <c r="I256" i="38" s="1"/>
  <c r="AI256" i="38" s="1"/>
  <c r="AD257" i="38"/>
  <c r="I257" i="38" s="1"/>
  <c r="AD258" i="38"/>
  <c r="I258" i="38" s="1"/>
  <c r="AD259" i="38"/>
  <c r="I259" i="38" s="1"/>
  <c r="AI259" i="38" s="1"/>
  <c r="AD260" i="38"/>
  <c r="I260" i="38" s="1"/>
  <c r="AE260" i="38" s="1"/>
  <c r="AD261" i="38"/>
  <c r="I261" i="38" s="1"/>
  <c r="AD262" i="38"/>
  <c r="I262" i="38" s="1"/>
  <c r="AG262" i="38" s="1"/>
  <c r="AD263" i="38"/>
  <c r="I263" i="38" s="1"/>
  <c r="AG263" i="38" s="1"/>
  <c r="AD264" i="38"/>
  <c r="I264" i="38" s="1"/>
  <c r="AE264" i="38" s="1"/>
  <c r="AD265" i="38"/>
  <c r="I265" i="38" s="1"/>
  <c r="AG265" i="38" s="1"/>
  <c r="AI265" i="38"/>
  <c r="AD266" i="38"/>
  <c r="I266" i="38" s="1"/>
  <c r="AE266" i="38" s="1"/>
  <c r="AI266" i="38"/>
  <c r="AG266" i="38"/>
  <c r="AD267" i="38"/>
  <c r="I267" i="38" s="1"/>
  <c r="AG267" i="38" s="1"/>
  <c r="AD268" i="38"/>
  <c r="I268" i="38" s="1"/>
  <c r="AG268" i="38" s="1"/>
  <c r="AD269" i="38"/>
  <c r="I269" i="38" s="1"/>
  <c r="AI269" i="38" s="1"/>
  <c r="AD270" i="38"/>
  <c r="I270" i="38" s="1"/>
  <c r="AD271" i="38"/>
  <c r="I271" i="38" s="1"/>
  <c r="AD272" i="38"/>
  <c r="I272" i="38" s="1"/>
  <c r="AI272" i="38" s="1"/>
  <c r="AE272" i="38"/>
  <c r="AD273" i="38"/>
  <c r="I273" i="38" s="1"/>
  <c r="AD274" i="38"/>
  <c r="I274" i="38" s="1"/>
  <c r="AD275" i="38"/>
  <c r="I275" i="38" s="1"/>
  <c r="AD276" i="38"/>
  <c r="I276" i="38" s="1"/>
  <c r="AE276" i="38" s="1"/>
  <c r="AD277" i="38"/>
  <c r="I277" i="38" s="1"/>
  <c r="AG277" i="38" s="1"/>
  <c r="AD278" i="38"/>
  <c r="I278" i="38" s="1"/>
  <c r="AI278" i="38" s="1"/>
  <c r="AD279" i="38"/>
  <c r="I279" i="38" s="1"/>
  <c r="AG279" i="38" s="1"/>
  <c r="AD280" i="38"/>
  <c r="I280" i="38" s="1"/>
  <c r="AI280" i="38" s="1"/>
  <c r="AD281" i="38"/>
  <c r="I281" i="38" s="1"/>
  <c r="AG281" i="38" s="1"/>
  <c r="AD282" i="38"/>
  <c r="I282" i="38" s="1"/>
  <c r="AE282" i="38"/>
  <c r="AD283" i="38"/>
  <c r="I283" i="38" s="1"/>
  <c r="AG283" i="38" s="1"/>
  <c r="AD284" i="38"/>
  <c r="I284" i="38" s="1"/>
  <c r="AD285" i="38"/>
  <c r="I285" i="38" s="1"/>
  <c r="AD286" i="38"/>
  <c r="I286" i="38" s="1"/>
  <c r="AI286" i="38" s="1"/>
  <c r="AD287" i="38"/>
  <c r="I287" i="38" s="1"/>
  <c r="AD288" i="38"/>
  <c r="I288" i="38" s="1"/>
  <c r="AD289" i="38"/>
  <c r="I289" i="38" s="1"/>
  <c r="AG289" i="38" s="1"/>
  <c r="AD290" i="38"/>
  <c r="I290" i="38" s="1"/>
  <c r="AD291" i="38"/>
  <c r="I291" i="38" s="1"/>
  <c r="AI291" i="38" s="1"/>
  <c r="AD292" i="38"/>
  <c r="I292" i="38" s="1"/>
  <c r="AE292" i="38" s="1"/>
  <c r="AI292" i="38"/>
  <c r="AG292" i="38"/>
  <c r="AD293" i="38"/>
  <c r="I293" i="38" s="1"/>
  <c r="AG293" i="38" s="1"/>
  <c r="AD294" i="38"/>
  <c r="I294" i="38" s="1"/>
  <c r="AD295" i="38"/>
  <c r="I295" i="38" s="1"/>
  <c r="AD296" i="38"/>
  <c r="I296" i="38" s="1"/>
  <c r="AG296" i="38" s="1"/>
  <c r="AD297" i="38"/>
  <c r="I297" i="38" s="1"/>
  <c r="AG297" i="38" s="1"/>
  <c r="AD298" i="38"/>
  <c r="I298" i="38" s="1"/>
  <c r="AG298" i="38" s="1"/>
  <c r="AD299" i="38"/>
  <c r="I299" i="38" s="1"/>
  <c r="AD300" i="38"/>
  <c r="I300" i="38" s="1"/>
  <c r="AE300" i="38" s="1"/>
  <c r="AD301" i="38"/>
  <c r="I301" i="38" s="1"/>
  <c r="AD302" i="38"/>
  <c r="I302" i="38" s="1"/>
  <c r="AD303" i="38"/>
  <c r="I303" i="38" s="1"/>
  <c r="AD304" i="38"/>
  <c r="I304" i="38" s="1"/>
  <c r="AI304" i="38" s="1"/>
  <c r="AD305" i="38"/>
  <c r="I305" i="38" s="1"/>
  <c r="AD306" i="38"/>
  <c r="I306" i="38" s="1"/>
  <c r="AD307" i="38"/>
  <c r="I307" i="38" s="1"/>
  <c r="AI307" i="38" s="1"/>
  <c r="AD308" i="38"/>
  <c r="I308" i="38" s="1"/>
  <c r="AD309" i="38"/>
  <c r="I309" i="38" s="1"/>
  <c r="AG309" i="38" s="1"/>
  <c r="AD310" i="38"/>
  <c r="I310" i="38" s="1"/>
  <c r="AD311" i="38"/>
  <c r="I311" i="38" s="1"/>
  <c r="AD312" i="38"/>
  <c r="I312" i="38" s="1"/>
  <c r="AI312" i="38" s="1"/>
  <c r="AD313" i="38"/>
  <c r="I313" i="38" s="1"/>
  <c r="AG313" i="38" s="1"/>
  <c r="AD314" i="38"/>
  <c r="I314" i="38" s="1"/>
  <c r="AE314" i="38" s="1"/>
  <c r="AD315" i="38"/>
  <c r="I315" i="38" s="1"/>
  <c r="AE315" i="38" s="1"/>
  <c r="AD316" i="38"/>
  <c r="I316" i="38" s="1"/>
  <c r="AG316" i="38" s="1"/>
  <c r="AD317" i="38"/>
  <c r="I317" i="38" s="1"/>
  <c r="AD318" i="38"/>
  <c r="I318" i="38" s="1"/>
  <c r="AI318" i="38" s="1"/>
  <c r="AD319" i="38"/>
  <c r="I319" i="38" s="1"/>
  <c r="AD320" i="38"/>
  <c r="I320" i="38" s="1"/>
  <c r="AD321" i="38"/>
  <c r="I321" i="38" s="1"/>
  <c r="AI321" i="38" s="1"/>
  <c r="AD322" i="38"/>
  <c r="I322" i="38" s="1"/>
  <c r="AD323" i="38"/>
  <c r="I323" i="38" s="1"/>
  <c r="AI323" i="38" s="1"/>
  <c r="AD324" i="38"/>
  <c r="I324" i="38" s="1"/>
  <c r="AD325" i="38"/>
  <c r="I325" i="38" s="1"/>
  <c r="AD326" i="38"/>
  <c r="I326" i="38" s="1"/>
  <c r="AD327" i="38"/>
  <c r="I327" i="38" s="1"/>
  <c r="AD328" i="38"/>
  <c r="I328" i="38" s="1"/>
  <c r="AI328" i="38" s="1"/>
  <c r="AD329" i="38"/>
  <c r="I329" i="38" s="1"/>
  <c r="AG329" i="38" s="1"/>
  <c r="AD330" i="38"/>
  <c r="I330" i="38" s="1"/>
  <c r="AE330" i="38" s="1"/>
  <c r="AD331" i="38"/>
  <c r="I331" i="38" s="1"/>
  <c r="AD332" i="38"/>
  <c r="I332" i="38" s="1"/>
  <c r="AI332" i="38" s="1"/>
  <c r="AD333" i="38"/>
  <c r="I333" i="38" s="1"/>
  <c r="AD334" i="38"/>
  <c r="I334" i="38" s="1"/>
  <c r="AD335" i="38"/>
  <c r="I335" i="38" s="1"/>
  <c r="AD336" i="38"/>
  <c r="I336" i="38" s="1"/>
  <c r="AD337" i="38"/>
  <c r="I337" i="38" s="1"/>
  <c r="AE337" i="38" s="1"/>
  <c r="AD338" i="38"/>
  <c r="I338" i="38" s="1"/>
  <c r="AG338" i="38" s="1"/>
  <c r="AD339" i="38"/>
  <c r="I339" i="38" s="1"/>
  <c r="AD340" i="38"/>
  <c r="I340" i="38" s="1"/>
  <c r="AE340" i="38"/>
  <c r="AD341" i="38"/>
  <c r="I341" i="38" s="1"/>
  <c r="AG341" i="38" s="1"/>
  <c r="AD342" i="38"/>
  <c r="I342" i="38" s="1"/>
  <c r="AI342" i="38" s="1"/>
  <c r="AD343" i="38"/>
  <c r="I343" i="38" s="1"/>
  <c r="AD344" i="38"/>
  <c r="I344" i="38"/>
  <c r="AD345" i="38"/>
  <c r="I345" i="38" s="1"/>
  <c r="AE345" i="38" s="1"/>
  <c r="AD346" i="38"/>
  <c r="I346" i="38" s="1"/>
  <c r="AD347" i="38"/>
  <c r="I347" i="38" s="1"/>
  <c r="AI347" i="38" s="1"/>
  <c r="AD348" i="38"/>
  <c r="I348" i="38" s="1"/>
  <c r="AD349" i="38"/>
  <c r="I349" i="38" s="1"/>
  <c r="AD350" i="38"/>
  <c r="I350" i="38" s="1"/>
  <c r="AE350" i="38" s="1"/>
  <c r="AD351" i="38"/>
  <c r="I351" i="38" s="1"/>
  <c r="AD352" i="38"/>
  <c r="I352" i="38" s="1"/>
  <c r="AD353" i="38"/>
  <c r="I353" i="38" s="1"/>
  <c r="AE353" i="38" s="1"/>
  <c r="AD354" i="38"/>
  <c r="I354" i="38" s="1"/>
  <c r="AG354" i="38" s="1"/>
  <c r="AD355" i="38"/>
  <c r="I355" i="38" s="1"/>
  <c r="AD356" i="38"/>
  <c r="I356" i="38" s="1"/>
  <c r="AD357" i="38"/>
  <c r="I357" i="38" s="1"/>
  <c r="AD358" i="38"/>
  <c r="I358" i="38" s="1"/>
  <c r="AI358" i="38" s="1"/>
  <c r="AD359" i="38"/>
  <c r="I359" i="38" s="1"/>
  <c r="AD360" i="38"/>
  <c r="I360" i="38" s="1"/>
  <c r="AD361" i="38"/>
  <c r="I361" i="38" s="1"/>
  <c r="AD362" i="38"/>
  <c r="I362" i="38" s="1"/>
  <c r="AD363" i="38"/>
  <c r="I363" i="38" s="1"/>
  <c r="AI363" i="38" s="1"/>
  <c r="AD364" i="38"/>
  <c r="I364" i="38" s="1"/>
  <c r="AG364" i="38" s="1"/>
  <c r="AD365" i="38"/>
  <c r="I365" i="38" s="1"/>
  <c r="AD366" i="38"/>
  <c r="I366" i="38" s="1"/>
  <c r="AE366" i="38" s="1"/>
  <c r="AD367" i="38"/>
  <c r="I367" i="38"/>
  <c r="AD368" i="38"/>
  <c r="I368" i="38" s="1"/>
  <c r="AD369" i="38"/>
  <c r="I369" i="38" s="1"/>
  <c r="AD370" i="38"/>
  <c r="I370" i="38" s="1"/>
  <c r="AG370" i="38" s="1"/>
  <c r="AD371" i="38"/>
  <c r="I371" i="38" s="1"/>
  <c r="AD372" i="38"/>
  <c r="I372" i="38" s="1"/>
  <c r="AD373" i="38"/>
  <c r="I373" i="38" s="1"/>
  <c r="AD374" i="38"/>
  <c r="I374" i="38" s="1"/>
  <c r="AD375" i="38"/>
  <c r="I375" i="38" s="1"/>
  <c r="AD376" i="38"/>
  <c r="I376" i="38" s="1"/>
  <c r="AD377" i="38"/>
  <c r="I377" i="38" s="1"/>
  <c r="AD378" i="38"/>
  <c r="I378" i="38" s="1"/>
  <c r="AD379" i="38"/>
  <c r="I379" i="38" s="1"/>
  <c r="AI379" i="38" s="1"/>
  <c r="AD380" i="38"/>
  <c r="I380" i="38" s="1"/>
  <c r="AI380" i="38" s="1"/>
  <c r="AD381" i="38"/>
  <c r="I381" i="38" s="1"/>
  <c r="AD382" i="38"/>
  <c r="I382" i="38" s="1"/>
  <c r="AD383" i="38"/>
  <c r="I383" i="38" s="1"/>
  <c r="AD384" i="38"/>
  <c r="I384" i="38" s="1"/>
  <c r="AD385" i="38"/>
  <c r="I385" i="38" s="1"/>
  <c r="AG385" i="38" s="1"/>
  <c r="AD386" i="38"/>
  <c r="I386" i="38" s="1"/>
  <c r="AG386" i="38" s="1"/>
  <c r="AD387" i="38"/>
  <c r="I387" i="38" s="1"/>
  <c r="AD388" i="38"/>
  <c r="I388" i="38" s="1"/>
  <c r="AG388" i="38" s="1"/>
  <c r="AD389" i="38"/>
  <c r="I389" i="38" s="1"/>
  <c r="AD390" i="38"/>
  <c r="I390" i="38" s="1"/>
  <c r="AD391" i="38"/>
  <c r="I391" i="38" s="1"/>
  <c r="AD392" i="38"/>
  <c r="I392" i="38" s="1"/>
  <c r="AD393" i="38"/>
  <c r="I393" i="38" s="1"/>
  <c r="AI393" i="38" s="1"/>
  <c r="AD394" i="38"/>
  <c r="I394" i="38" s="1"/>
  <c r="AD395" i="38"/>
  <c r="I395" i="38" s="1"/>
  <c r="AD396" i="38"/>
  <c r="I396" i="38" s="1"/>
  <c r="AD397" i="38"/>
  <c r="I397" i="38" s="1"/>
  <c r="AD398" i="38"/>
  <c r="I398" i="38" s="1"/>
  <c r="AD399" i="38"/>
  <c r="I399" i="38" s="1"/>
  <c r="AD400" i="38"/>
  <c r="I400" i="38" s="1"/>
  <c r="AD401" i="38"/>
  <c r="I401" i="38" s="1"/>
  <c r="AI401" i="38" s="1"/>
  <c r="AD402" i="38"/>
  <c r="I402" i="38" s="1"/>
  <c r="AD403" i="38"/>
  <c r="I403" i="38" s="1"/>
  <c r="AD404" i="38"/>
  <c r="I404" i="38" s="1"/>
  <c r="AD405" i="38"/>
  <c r="I405" i="38" s="1"/>
  <c r="AD406" i="38"/>
  <c r="I406" i="38" s="1"/>
  <c r="AI406" i="38" s="1"/>
  <c r="AD407" i="38"/>
  <c r="I407" i="38" s="1"/>
  <c r="AD408" i="38"/>
  <c r="I408" i="38" s="1"/>
  <c r="AD409" i="38"/>
  <c r="I409" i="38" s="1"/>
  <c r="AI409" i="38" s="1"/>
  <c r="AD410" i="38"/>
  <c r="I410" i="38"/>
  <c r="AD411" i="38"/>
  <c r="I411" i="38" s="1"/>
  <c r="AD412" i="38"/>
  <c r="I412" i="38" s="1"/>
  <c r="AD413" i="38"/>
  <c r="I413" i="38" s="1"/>
  <c r="AD414" i="38"/>
  <c r="I414" i="38" s="1"/>
  <c r="AD415" i="38"/>
  <c r="I415" i="38" s="1"/>
  <c r="AD416" i="38"/>
  <c r="I416" i="38" s="1"/>
  <c r="AD417" i="38"/>
  <c r="I417" i="38" s="1"/>
  <c r="AI417" i="38" s="1"/>
  <c r="AD418" i="38"/>
  <c r="I418" i="38" s="1"/>
  <c r="AE418" i="38" s="1"/>
  <c r="AI418" i="38"/>
  <c r="AD419" i="38"/>
  <c r="I419" i="38" s="1"/>
  <c r="AD420" i="38"/>
  <c r="I420" i="38" s="1"/>
  <c r="AG420" i="38" s="1"/>
  <c r="AD421" i="38"/>
  <c r="I421" i="38" s="1"/>
  <c r="AG421" i="38" s="1"/>
  <c r="AD422" i="38"/>
  <c r="I422" i="38"/>
  <c r="AD423" i="38"/>
  <c r="I423" i="38" s="1"/>
  <c r="AE423" i="38"/>
  <c r="AD424" i="38"/>
  <c r="I424" i="38" s="1"/>
  <c r="AD425" i="38"/>
  <c r="I425" i="38" s="1"/>
  <c r="AI425" i="38" s="1"/>
  <c r="AD426" i="38"/>
  <c r="I426" i="38" s="1"/>
  <c r="AD427" i="38"/>
  <c r="I427" i="38" s="1"/>
  <c r="AD428" i="38"/>
  <c r="I428" i="38" s="1"/>
  <c r="AG428" i="38" s="1"/>
  <c r="AD429" i="38"/>
  <c r="I429" i="38" s="1"/>
  <c r="AG429" i="38" s="1"/>
  <c r="AD430" i="38"/>
  <c r="I430" i="38" s="1"/>
  <c r="AD431" i="38"/>
  <c r="I431" i="38" s="1"/>
  <c r="AE431" i="38" s="1"/>
  <c r="AD432" i="38"/>
  <c r="I432" i="38" s="1"/>
  <c r="AD433" i="38"/>
  <c r="I433" i="38" s="1"/>
  <c r="AI433" i="38"/>
  <c r="AD434" i="38"/>
  <c r="I434" i="38" s="1"/>
  <c r="AE434" i="38" s="1"/>
  <c r="AD435" i="38"/>
  <c r="I435" i="38"/>
  <c r="AD436" i="38"/>
  <c r="I436" i="38" s="1"/>
  <c r="AG436" i="38" s="1"/>
  <c r="AD437" i="38"/>
  <c r="I437" i="38" s="1"/>
  <c r="AG437" i="38" s="1"/>
  <c r="AD438" i="38"/>
  <c r="I438" i="38" s="1"/>
  <c r="AI438" i="38" s="1"/>
  <c r="AD439" i="38"/>
  <c r="I439" i="38" s="1"/>
  <c r="AE439" i="38" s="1"/>
  <c r="AD440" i="38"/>
  <c r="I440" i="38" s="1"/>
  <c r="AD441" i="38"/>
  <c r="I441" i="38" s="1"/>
  <c r="AD442" i="38"/>
  <c r="I442" i="38" s="1"/>
  <c r="AD443" i="38"/>
  <c r="I443" i="38" s="1"/>
  <c r="AD444" i="38"/>
  <c r="I444" i="38" s="1"/>
  <c r="AD445" i="38"/>
  <c r="I445" i="38" s="1"/>
  <c r="AG445" i="38" s="1"/>
  <c r="AD446" i="38"/>
  <c r="I446" i="38" s="1"/>
  <c r="AD447" i="38"/>
  <c r="I447" i="38" s="1"/>
  <c r="AE447" i="38" s="1"/>
  <c r="AD448" i="38"/>
  <c r="I448" i="38" s="1"/>
  <c r="AD449" i="38"/>
  <c r="I449" i="38" s="1"/>
  <c r="AI449" i="38" s="1"/>
  <c r="AD450" i="38"/>
  <c r="I450" i="38" s="1"/>
  <c r="AE450" i="38" s="1"/>
  <c r="AD451" i="38"/>
  <c r="I451" i="38" s="1"/>
  <c r="AD452" i="38"/>
  <c r="I452" i="38" s="1"/>
  <c r="AG452" i="38" s="1"/>
  <c r="AD453" i="38"/>
  <c r="I453" i="38" s="1"/>
  <c r="AG453" i="38" s="1"/>
  <c r="AD454" i="38"/>
  <c r="I454" i="38" s="1"/>
  <c r="AD455" i="38"/>
  <c r="I455" i="38" s="1"/>
  <c r="AE455" i="38" s="1"/>
  <c r="AD456" i="38"/>
  <c r="I456" i="38" s="1"/>
  <c r="AD457" i="38"/>
  <c r="I457" i="38" s="1"/>
  <c r="AI457" i="38" s="1"/>
  <c r="AD458" i="38"/>
  <c r="I458" i="38" s="1"/>
  <c r="AD459" i="38"/>
  <c r="I459" i="38" s="1"/>
  <c r="AG459" i="38" s="1"/>
  <c r="AD460" i="38"/>
  <c r="I460" i="38" s="1"/>
  <c r="AE460" i="38" s="1"/>
  <c r="AD461" i="38"/>
  <c r="I461" i="38" s="1"/>
  <c r="AD462" i="38"/>
  <c r="I462" i="38" s="1"/>
  <c r="AE462" i="38" s="1"/>
  <c r="AD463" i="38"/>
  <c r="I463" i="38" s="1"/>
  <c r="AD464" i="38"/>
  <c r="I464" i="38" s="1"/>
  <c r="AI464" i="38" s="1"/>
  <c r="AD465" i="38"/>
  <c r="I465" i="38" s="1"/>
  <c r="AG465" i="38" s="1"/>
  <c r="AD466" i="38"/>
  <c r="I466" i="38" s="1"/>
  <c r="AI466" i="38" s="1"/>
  <c r="AD467" i="38"/>
  <c r="I467" i="38" s="1"/>
  <c r="AG467" i="38" s="1"/>
  <c r="AD468" i="38"/>
  <c r="I468" i="38" s="1"/>
  <c r="AE468" i="38" s="1"/>
  <c r="AD469" i="38"/>
  <c r="I469" i="38" s="1"/>
  <c r="AD470" i="38"/>
  <c r="I470" i="38" s="1"/>
  <c r="AE470" i="38" s="1"/>
  <c r="AD471" i="38"/>
  <c r="I471" i="38" s="1"/>
  <c r="AE471" i="38" s="1"/>
  <c r="AD472" i="38"/>
  <c r="I472" i="38" s="1"/>
  <c r="AI472" i="38" s="1"/>
  <c r="AD473" i="38"/>
  <c r="I473" i="38" s="1"/>
  <c r="AD474" i="38"/>
  <c r="I474" i="38" s="1"/>
  <c r="AG474" i="38" s="1"/>
  <c r="AD475" i="38"/>
  <c r="I475" i="38" s="1"/>
  <c r="AG475" i="38" s="1"/>
  <c r="AD476" i="38"/>
  <c r="I476" i="38" s="1"/>
  <c r="AE476" i="38" s="1"/>
  <c r="AD477" i="38"/>
  <c r="I477" i="38" s="1"/>
  <c r="AD478" i="38"/>
  <c r="I478" i="38" s="1"/>
  <c r="AE478" i="38" s="1"/>
  <c r="AD479" i="38"/>
  <c r="I479" i="38" s="1"/>
  <c r="AI479" i="38" s="1"/>
  <c r="AD480" i="38"/>
  <c r="I480" i="38" s="1"/>
  <c r="AI480" i="38" s="1"/>
  <c r="AD481" i="38"/>
  <c r="I481" i="38" s="1"/>
  <c r="AG481" i="38" s="1"/>
  <c r="AD482" i="38"/>
  <c r="I482" i="38" s="1"/>
  <c r="AI482" i="38" s="1"/>
  <c r="AD483" i="38"/>
  <c r="I483" i="38" s="1"/>
  <c r="AG483" i="38" s="1"/>
  <c r="AD484" i="38"/>
  <c r="I484" i="38" s="1"/>
  <c r="AE484" i="38" s="1"/>
  <c r="AD485" i="38"/>
  <c r="I485" i="38" s="1"/>
  <c r="AD486" i="38"/>
  <c r="I486" i="38" s="1"/>
  <c r="AE486" i="38" s="1"/>
  <c r="AD487" i="38"/>
  <c r="I487" i="38" s="1"/>
  <c r="AE487" i="38" s="1"/>
  <c r="AD488" i="38"/>
  <c r="I488" i="38" s="1"/>
  <c r="AI488" i="38" s="1"/>
  <c r="AD489" i="38"/>
  <c r="I489" i="38" s="1"/>
  <c r="AD490" i="38"/>
  <c r="I490" i="38" s="1"/>
  <c r="AG490" i="38" s="1"/>
  <c r="AD491" i="38"/>
  <c r="I491" i="38" s="1"/>
  <c r="AG491" i="38" s="1"/>
  <c r="AD492" i="38"/>
  <c r="I492" i="38" s="1"/>
  <c r="AD493" i="38"/>
  <c r="I493" i="38" s="1"/>
  <c r="AD494" i="38"/>
  <c r="I494" i="38" s="1"/>
  <c r="AE494" i="38" s="1"/>
  <c r="AD495" i="38"/>
  <c r="I495" i="38" s="1"/>
  <c r="AD496" i="38"/>
  <c r="I496" i="38" s="1"/>
  <c r="AI496" i="38" s="1"/>
  <c r="AD497" i="38"/>
  <c r="I497" i="38" s="1"/>
  <c r="AE497" i="38" s="1"/>
  <c r="AD498" i="38"/>
  <c r="I498" i="38" s="1"/>
  <c r="AI498" i="38" s="1"/>
  <c r="AD499" i="38"/>
  <c r="I499" i="38" s="1"/>
  <c r="AG499" i="38" s="1"/>
  <c r="AD500" i="38"/>
  <c r="I500" i="38" s="1"/>
  <c r="AD501" i="38"/>
  <c r="I501" i="38" s="1"/>
  <c r="AD502" i="38"/>
  <c r="I502" i="38" s="1"/>
  <c r="AE502" i="38" s="1"/>
  <c r="AD503" i="38"/>
  <c r="I503" i="38" s="1"/>
  <c r="AD504" i="38"/>
  <c r="I504" i="38" s="1"/>
  <c r="AI504" i="38" s="1"/>
  <c r="AD505" i="38"/>
  <c r="I505" i="38" s="1"/>
  <c r="AG505" i="38" s="1"/>
  <c r="AD506" i="38"/>
  <c r="I506" i="38" s="1"/>
  <c r="AG506" i="38" s="1"/>
  <c r="AD507" i="38"/>
  <c r="I507" i="38" s="1"/>
  <c r="AG507" i="38" s="1"/>
  <c r="AD508" i="38"/>
  <c r="I508" i="38" s="1"/>
  <c r="AD509" i="38"/>
  <c r="I509" i="38" s="1"/>
  <c r="AD510" i="38"/>
  <c r="I510" i="38" s="1"/>
  <c r="AE510" i="38" s="1"/>
  <c r="AD511" i="38"/>
  <c r="I511" i="38" s="1"/>
  <c r="AD512" i="38"/>
  <c r="I512" i="38" s="1"/>
  <c r="AI512" i="38" s="1"/>
  <c r="AD513" i="38"/>
  <c r="I513" i="38" s="1"/>
  <c r="AD514" i="38"/>
  <c r="I514" i="38" s="1"/>
  <c r="AI514" i="38" s="1"/>
  <c r="AD515" i="38"/>
  <c r="I515" i="38" s="1"/>
  <c r="AG515" i="38" s="1"/>
  <c r="AD516" i="38"/>
  <c r="I516" i="38" s="1"/>
  <c r="AD517" i="38"/>
  <c r="I517" i="38" s="1"/>
  <c r="AD518" i="38"/>
  <c r="I518" i="38" s="1"/>
  <c r="AD519" i="38"/>
  <c r="I519" i="38" s="1"/>
  <c r="AD520" i="38"/>
  <c r="I520" i="38" s="1"/>
  <c r="AE520" i="38" s="1"/>
  <c r="AD521" i="38"/>
  <c r="I521" i="38" s="1"/>
  <c r="AD522" i="38"/>
  <c r="I522" i="38" s="1"/>
  <c r="AD523" i="38"/>
  <c r="I523" i="38" s="1"/>
  <c r="AD524" i="38"/>
  <c r="I524" i="38" s="1"/>
  <c r="AD525" i="38"/>
  <c r="I525" i="38" s="1"/>
  <c r="AI525" i="38" s="1"/>
  <c r="AD526" i="38"/>
  <c r="I526" i="38" s="1"/>
  <c r="AD527" i="38"/>
  <c r="I527" i="38" s="1"/>
  <c r="AD528" i="38"/>
  <c r="I528" i="38" s="1"/>
  <c r="AE528" i="38" s="1"/>
  <c r="AD529" i="38"/>
  <c r="I529" i="38" s="1"/>
  <c r="AD530" i="38"/>
  <c r="I530" i="38" s="1"/>
  <c r="AG530" i="38" s="1"/>
  <c r="AD531" i="38"/>
  <c r="I531" i="38" s="1"/>
  <c r="AD532" i="38"/>
  <c r="I532" i="38" s="1"/>
  <c r="AE532" i="38" s="1"/>
  <c r="AD533" i="38"/>
  <c r="I533" i="38" s="1"/>
  <c r="AI533" i="38" s="1"/>
  <c r="AD534" i="38"/>
  <c r="I534" i="38" s="1"/>
  <c r="AD535" i="38"/>
  <c r="I535" i="38"/>
  <c r="AD536" i="38"/>
  <c r="I536" i="38" s="1"/>
  <c r="AD537" i="38"/>
  <c r="I537" i="38" s="1"/>
  <c r="AD538" i="38"/>
  <c r="I538" i="38" s="1"/>
  <c r="AD539" i="38"/>
  <c r="I539" i="38" s="1"/>
  <c r="AD540" i="38"/>
  <c r="I540" i="38" s="1"/>
  <c r="AD541" i="38"/>
  <c r="I541" i="38" s="1"/>
  <c r="AD542" i="38"/>
  <c r="I542" i="38" s="1"/>
  <c r="AI542" i="38" s="1"/>
  <c r="AD543" i="38"/>
  <c r="I543" i="38" s="1"/>
  <c r="AD544" i="38"/>
  <c r="I544" i="38" s="1"/>
  <c r="AE544" i="38" s="1"/>
  <c r="AD545" i="38"/>
  <c r="I545" i="38" s="1"/>
  <c r="AD546" i="38"/>
  <c r="I546" i="38" s="1"/>
  <c r="AD547" i="38"/>
  <c r="I547" i="38" s="1"/>
  <c r="AD548" i="38"/>
  <c r="I548" i="38" s="1"/>
  <c r="AI548" i="38" s="1"/>
  <c r="AD549" i="38"/>
  <c r="I549" i="38" s="1"/>
  <c r="AI549" i="38" s="1"/>
  <c r="AD550" i="38"/>
  <c r="I550" i="38" s="1"/>
  <c r="AE550" i="38" s="1"/>
  <c r="AD551" i="38"/>
  <c r="I551" i="38" s="1"/>
  <c r="AD552" i="38"/>
  <c r="I552" i="38"/>
  <c r="AI552" i="38" s="1"/>
  <c r="AD553" i="38"/>
  <c r="I553" i="38" s="1"/>
  <c r="AE553" i="38" s="1"/>
  <c r="AD554" i="38"/>
  <c r="I554" i="38" s="1"/>
  <c r="AD555" i="38"/>
  <c r="I555" i="38" s="1"/>
  <c r="AD556" i="38"/>
  <c r="I556" i="38" s="1"/>
  <c r="AI556" i="38" s="1"/>
  <c r="AD557" i="38"/>
  <c r="I557" i="38" s="1"/>
  <c r="AE557" i="38" s="1"/>
  <c r="AD558" i="38"/>
  <c r="I558" i="38" s="1"/>
  <c r="AE558" i="38" s="1"/>
  <c r="AD559" i="38"/>
  <c r="I559" i="38" s="1"/>
  <c r="AD560" i="38"/>
  <c r="I560" i="38" s="1"/>
  <c r="AI560" i="38" s="1"/>
  <c r="AD561" i="38"/>
  <c r="I561" i="38" s="1"/>
  <c r="AE561" i="38" s="1"/>
  <c r="AD562" i="38"/>
  <c r="I562" i="38" s="1"/>
  <c r="AE562" i="38" s="1"/>
  <c r="AD563" i="38"/>
  <c r="I563" i="38" s="1"/>
  <c r="AD564" i="38"/>
  <c r="I564" i="38" s="1"/>
  <c r="AI564" i="38" s="1"/>
  <c r="AD565" i="38"/>
  <c r="I565" i="38" s="1"/>
  <c r="AE565" i="38" s="1"/>
  <c r="AD566" i="38"/>
  <c r="I566" i="38" s="1"/>
  <c r="AE566" i="38" s="1"/>
  <c r="AD567" i="38"/>
  <c r="I567" i="38" s="1"/>
  <c r="AD568" i="38"/>
  <c r="I568" i="38" s="1"/>
  <c r="AI568" i="38" s="1"/>
  <c r="AD569" i="38"/>
  <c r="I569" i="38" s="1"/>
  <c r="AE569" i="38" s="1"/>
  <c r="AD570" i="38"/>
  <c r="I570" i="38" s="1"/>
  <c r="AD571" i="38"/>
  <c r="I571" i="38" s="1"/>
  <c r="AD572" i="38"/>
  <c r="I572" i="38" s="1"/>
  <c r="AI572" i="38" s="1"/>
  <c r="AD573" i="38"/>
  <c r="I573" i="38" s="1"/>
  <c r="AE573" i="38" s="1"/>
  <c r="AD574" i="38"/>
  <c r="I574" i="38" s="1"/>
  <c r="AE574" i="38" s="1"/>
  <c r="AD575" i="38"/>
  <c r="I575" i="38" s="1"/>
  <c r="AD576" i="38"/>
  <c r="I576" i="38" s="1"/>
  <c r="AI576" i="38" s="1"/>
  <c r="AD577" i="38"/>
  <c r="I577" i="38" s="1"/>
  <c r="AI577" i="38" s="1"/>
  <c r="AD578" i="38"/>
  <c r="I578" i="38" s="1"/>
  <c r="AE578" i="38" s="1"/>
  <c r="AD579" i="38"/>
  <c r="I579" i="38" s="1"/>
  <c r="AD580" i="38"/>
  <c r="I580" i="38" s="1"/>
  <c r="AI580" i="38" s="1"/>
  <c r="AD581" i="38"/>
  <c r="I581" i="38" s="1"/>
  <c r="AI581" i="38" s="1"/>
  <c r="AD582" i="38"/>
  <c r="I582" i="38" s="1"/>
  <c r="AE582" i="38" s="1"/>
  <c r="AD583" i="38"/>
  <c r="I583" i="38" s="1"/>
  <c r="AD584" i="38"/>
  <c r="I584" i="38" s="1"/>
  <c r="AI584" i="38" s="1"/>
  <c r="AD585" i="38"/>
  <c r="I585" i="38" s="1"/>
  <c r="AI585" i="38" s="1"/>
  <c r="AD586" i="38"/>
  <c r="I586" i="38" s="1"/>
  <c r="AE586" i="38" s="1"/>
  <c r="AD587" i="38"/>
  <c r="I587" i="38" s="1"/>
  <c r="AD588" i="38"/>
  <c r="I588" i="38" s="1"/>
  <c r="AI588" i="38" s="1"/>
  <c r="AD589" i="38"/>
  <c r="I589" i="38" s="1"/>
  <c r="AD590" i="38"/>
  <c r="I590" i="38" s="1"/>
  <c r="AE590" i="38" s="1"/>
  <c r="AD591" i="38"/>
  <c r="I591" i="38" s="1"/>
  <c r="AD592" i="38"/>
  <c r="I592" i="38"/>
  <c r="AI592" i="38" s="1"/>
  <c r="AD593" i="38"/>
  <c r="I593" i="38" s="1"/>
  <c r="AI593" i="38" s="1"/>
  <c r="AD594" i="38"/>
  <c r="I594" i="38" s="1"/>
  <c r="AE594" i="38" s="1"/>
  <c r="AD595" i="38"/>
  <c r="I595" i="38" s="1"/>
  <c r="AD596" i="38"/>
  <c r="I596" i="38" s="1"/>
  <c r="AI596" i="38" s="1"/>
  <c r="AD597" i="38"/>
  <c r="I597" i="38" s="1"/>
  <c r="AI597" i="38" s="1"/>
  <c r="AD598" i="38"/>
  <c r="I598" i="38" s="1"/>
  <c r="AE598" i="38" s="1"/>
  <c r="AD599" i="38"/>
  <c r="I599" i="38" s="1"/>
  <c r="AD600" i="38"/>
  <c r="I600" i="38" s="1"/>
  <c r="AI600" i="38" s="1"/>
  <c r="AD601" i="38"/>
  <c r="I601" i="38" s="1"/>
  <c r="AI601" i="38" s="1"/>
  <c r="AD602" i="38"/>
  <c r="I602" i="38" s="1"/>
  <c r="AE602" i="38" s="1"/>
  <c r="AD603" i="38"/>
  <c r="I603" i="38" s="1"/>
  <c r="AD604" i="38"/>
  <c r="I604" i="38" s="1"/>
  <c r="AI604" i="38" s="1"/>
  <c r="AD605" i="38"/>
  <c r="I605" i="38" s="1"/>
  <c r="AD606" i="38"/>
  <c r="I606" i="38" s="1"/>
  <c r="AE606" i="38" s="1"/>
  <c r="AD607" i="38"/>
  <c r="I607" i="38" s="1"/>
  <c r="AD608" i="38"/>
  <c r="I608" i="38" s="1"/>
  <c r="AI608" i="38" s="1"/>
  <c r="AD609" i="38"/>
  <c r="I609" i="38" s="1"/>
  <c r="AI609" i="38" s="1"/>
  <c r="AD610" i="38"/>
  <c r="I610" i="38" s="1"/>
  <c r="AE610" i="38" s="1"/>
  <c r="AD611" i="38"/>
  <c r="I611" i="38" s="1"/>
  <c r="AD612" i="38"/>
  <c r="I612" i="38" s="1"/>
  <c r="AI612" i="38" s="1"/>
  <c r="AD613" i="38"/>
  <c r="I613" i="38" s="1"/>
  <c r="AD614" i="38"/>
  <c r="I614" i="38" s="1"/>
  <c r="AE614" i="38" s="1"/>
  <c r="AD615" i="38"/>
  <c r="I615" i="38" s="1"/>
  <c r="AD616" i="38"/>
  <c r="I616" i="38" s="1"/>
  <c r="AI616" i="38" s="1"/>
  <c r="AD617" i="38"/>
  <c r="I617" i="38" s="1"/>
  <c r="AI617" i="38" s="1"/>
  <c r="AD618" i="38"/>
  <c r="I618" i="38" s="1"/>
  <c r="AE618" i="38" s="1"/>
  <c r="AD619" i="38"/>
  <c r="I619" i="38" s="1"/>
  <c r="AD620" i="38"/>
  <c r="I620" i="38" s="1"/>
  <c r="AI620" i="38" s="1"/>
  <c r="AD621" i="38"/>
  <c r="I621" i="38" s="1"/>
  <c r="AI621" i="38" s="1"/>
  <c r="AD622" i="38"/>
  <c r="I622" i="38" s="1"/>
  <c r="AE622" i="38" s="1"/>
  <c r="AD623" i="38"/>
  <c r="I623" i="38" s="1"/>
  <c r="AD624" i="38"/>
  <c r="I624" i="38" s="1"/>
  <c r="AD625" i="38"/>
  <c r="I625" i="38" s="1"/>
  <c r="AI625" i="38" s="1"/>
  <c r="AD626" i="38"/>
  <c r="I626" i="38" s="1"/>
  <c r="AE626" i="38" s="1"/>
  <c r="AD627" i="38"/>
  <c r="I627" i="38" s="1"/>
  <c r="AD628" i="38"/>
  <c r="I628" i="38" s="1"/>
  <c r="AI628" i="38" s="1"/>
  <c r="AD629" i="38"/>
  <c r="I629" i="38" s="1"/>
  <c r="AE629" i="38" s="1"/>
  <c r="AD630" i="38"/>
  <c r="I630" i="38" s="1"/>
  <c r="AE630" i="38" s="1"/>
  <c r="AD631" i="38"/>
  <c r="I631" i="38" s="1"/>
  <c r="AI631" i="38" s="1"/>
  <c r="AD632" i="38"/>
  <c r="I632" i="38" s="1"/>
  <c r="AI632" i="38" s="1"/>
  <c r="AD633" i="38"/>
  <c r="I633" i="38" s="1"/>
  <c r="AD634" i="38"/>
  <c r="I634" i="38" s="1"/>
  <c r="AE634" i="38" s="1"/>
  <c r="AD635" i="38"/>
  <c r="I635" i="38" s="1"/>
  <c r="AD636" i="38"/>
  <c r="I636" i="38" s="1"/>
  <c r="AI636" i="38" s="1"/>
  <c r="AD637" i="38"/>
  <c r="I637" i="38" s="1"/>
  <c r="AD638" i="38"/>
  <c r="I638" i="38" s="1"/>
  <c r="AE638" i="38" s="1"/>
  <c r="AD639" i="38"/>
  <c r="I639" i="38" s="1"/>
  <c r="AD640" i="38"/>
  <c r="I640" i="38"/>
  <c r="AD641" i="38"/>
  <c r="I641" i="38" s="1"/>
  <c r="AD642" i="38"/>
  <c r="I642" i="38" s="1"/>
  <c r="AE642" i="38" s="1"/>
  <c r="AD643" i="38"/>
  <c r="I643" i="38" s="1"/>
  <c r="AD644" i="38"/>
  <c r="I644" i="38" s="1"/>
  <c r="AI644" i="38" s="1"/>
  <c r="AD645" i="38"/>
  <c r="I645" i="38" s="1"/>
  <c r="AE645" i="38" s="1"/>
  <c r="AD646" i="38"/>
  <c r="I646" i="38" s="1"/>
  <c r="AD647" i="38"/>
  <c r="I647" i="38" s="1"/>
  <c r="AD648" i="38"/>
  <c r="I648" i="38" s="1"/>
  <c r="AE648" i="38" s="1"/>
  <c r="AD649" i="38"/>
  <c r="I649" i="38" s="1"/>
  <c r="AG649" i="38" s="1"/>
  <c r="AD650" i="38"/>
  <c r="I650" i="38" s="1"/>
  <c r="AD651" i="38"/>
  <c r="I651" i="38" s="1"/>
  <c r="AE651" i="38" s="1"/>
  <c r="AD652" i="38"/>
  <c r="I652" i="38" s="1"/>
  <c r="AD653" i="38"/>
  <c r="I653" i="38" s="1"/>
  <c r="AE653" i="38" s="1"/>
  <c r="AD654" i="38"/>
  <c r="I654" i="38"/>
  <c r="AD655" i="38"/>
  <c r="I655" i="38" s="1"/>
  <c r="AD656" i="38"/>
  <c r="I656" i="38" s="1"/>
  <c r="AD657" i="38"/>
  <c r="I657" i="38" s="1"/>
  <c r="AG657" i="38" s="1"/>
  <c r="AD658" i="38"/>
  <c r="I658" i="38" s="1"/>
  <c r="AD659" i="38"/>
  <c r="I659" i="38" s="1"/>
  <c r="AE659" i="38" s="1"/>
  <c r="AD660" i="38"/>
  <c r="I660" i="38" s="1"/>
  <c r="AD661" i="38"/>
  <c r="I661" i="38" s="1"/>
  <c r="AE661" i="38" s="1"/>
  <c r="AD662" i="38"/>
  <c r="I662" i="38" s="1"/>
  <c r="AD663" i="38"/>
  <c r="I663" i="38" s="1"/>
  <c r="AD664" i="38"/>
  <c r="I664" i="38" s="1"/>
  <c r="AE664" i="38" s="1"/>
  <c r="AI664" i="38"/>
  <c r="AD665" i="38"/>
  <c r="I665" i="38" s="1"/>
  <c r="AG665" i="38" s="1"/>
  <c r="AD666" i="38"/>
  <c r="I666" i="38" s="1"/>
  <c r="AD667" i="38"/>
  <c r="I667" i="38" s="1"/>
  <c r="AE667" i="38" s="1"/>
  <c r="AD668" i="38"/>
  <c r="I668" i="38" s="1"/>
  <c r="AD669" i="38"/>
  <c r="I669" i="38" s="1"/>
  <c r="AE669" i="38" s="1"/>
  <c r="AD670" i="38"/>
  <c r="I670" i="38" s="1"/>
  <c r="AG670" i="38" s="1"/>
  <c r="AD671" i="38"/>
  <c r="I671" i="38" s="1"/>
  <c r="AD672" i="38"/>
  <c r="I672" i="38" s="1"/>
  <c r="AI672" i="38" s="1"/>
  <c r="AE672" i="38"/>
  <c r="AD673" i="38"/>
  <c r="I673" i="38" s="1"/>
  <c r="AG673" i="38" s="1"/>
  <c r="AD674" i="38"/>
  <c r="I674" i="38" s="1"/>
  <c r="AD675" i="38"/>
  <c r="I675" i="38" s="1"/>
  <c r="AE675" i="38" s="1"/>
  <c r="AD676" i="38"/>
  <c r="I676" i="38" s="1"/>
  <c r="AD677" i="38"/>
  <c r="I677" i="38" s="1"/>
  <c r="AE677" i="38" s="1"/>
  <c r="AD678" i="38"/>
  <c r="I678" i="38" s="1"/>
  <c r="AD679" i="38"/>
  <c r="I679" i="38" s="1"/>
  <c r="AD680" i="38"/>
  <c r="I680" i="38" s="1"/>
  <c r="AG680" i="38" s="1"/>
  <c r="AD681" i="38"/>
  <c r="I681" i="38" s="1"/>
  <c r="AG681" i="38" s="1"/>
  <c r="AD682" i="38"/>
  <c r="I682" i="38" s="1"/>
  <c r="AD683" i="38"/>
  <c r="I683" i="38" s="1"/>
  <c r="AE683" i="38" s="1"/>
  <c r="AD684" i="38"/>
  <c r="I684" i="38" s="1"/>
  <c r="AD685" i="38"/>
  <c r="I685" i="38" s="1"/>
  <c r="AE685" i="38" s="1"/>
  <c r="AD686" i="38"/>
  <c r="I686" i="38" s="1"/>
  <c r="AD687" i="38"/>
  <c r="I687" i="38" s="1"/>
  <c r="AD688" i="38"/>
  <c r="I688" i="38" s="1"/>
  <c r="AE688" i="38" s="1"/>
  <c r="AD689" i="38"/>
  <c r="I689" i="38" s="1"/>
  <c r="AG689" i="38" s="1"/>
  <c r="AD690" i="38"/>
  <c r="I690" i="38" s="1"/>
  <c r="AD691" i="38"/>
  <c r="I691" i="38" s="1"/>
  <c r="AE691" i="38" s="1"/>
  <c r="AD692" i="38"/>
  <c r="I692" i="38" s="1"/>
  <c r="AD693" i="38"/>
  <c r="I693" i="38" s="1"/>
  <c r="AE693" i="38" s="1"/>
  <c r="AD694" i="38"/>
  <c r="I694" i="38" s="1"/>
  <c r="AI694" i="38" s="1"/>
  <c r="AD695" i="38"/>
  <c r="I695" i="38" s="1"/>
  <c r="AD696" i="38"/>
  <c r="I696" i="38" s="1"/>
  <c r="AG696" i="38" s="1"/>
  <c r="AD697" i="38"/>
  <c r="I697" i="38" s="1"/>
  <c r="AG697" i="38" s="1"/>
  <c r="AD698" i="38"/>
  <c r="I698" i="38" s="1"/>
  <c r="AD699" i="38"/>
  <c r="I699" i="38" s="1"/>
  <c r="AE699" i="38" s="1"/>
  <c r="AD700" i="38"/>
  <c r="I700" i="38" s="1"/>
  <c r="AD701" i="38"/>
  <c r="I701" i="38" s="1"/>
  <c r="AE701" i="38" s="1"/>
  <c r="AD702" i="38"/>
  <c r="I702" i="38" s="1"/>
  <c r="AG702" i="38" s="1"/>
  <c r="AD703" i="38"/>
  <c r="I703" i="38" s="1"/>
  <c r="AD704" i="38"/>
  <c r="I704" i="38" s="1"/>
  <c r="AI704" i="38" s="1"/>
  <c r="AG704" i="38"/>
  <c r="AD705" i="38"/>
  <c r="I705" i="38" s="1"/>
  <c r="AG705" i="38" s="1"/>
  <c r="AD706" i="38"/>
  <c r="I706" i="38" s="1"/>
  <c r="AD707" i="38"/>
  <c r="I707" i="38" s="1"/>
  <c r="AE707" i="38" s="1"/>
  <c r="AD708" i="38"/>
  <c r="I708" i="38" s="1"/>
  <c r="AD709" i="38"/>
  <c r="I709" i="38" s="1"/>
  <c r="AE709" i="38" s="1"/>
  <c r="AD710" i="38"/>
  <c r="I710" i="38" s="1"/>
  <c r="AI710" i="38" s="1"/>
  <c r="AD711" i="38"/>
  <c r="I711" i="38" s="1"/>
  <c r="AD712" i="38"/>
  <c r="I712" i="38" s="1"/>
  <c r="AE712" i="38" s="1"/>
  <c r="AI712" i="38"/>
  <c r="AD713" i="38"/>
  <c r="I713" i="38" s="1"/>
  <c r="AG713" i="38" s="1"/>
  <c r="AD714" i="38"/>
  <c r="I714" i="38" s="1"/>
  <c r="AD715" i="38"/>
  <c r="I715" i="38" s="1"/>
  <c r="AE715" i="38" s="1"/>
  <c r="AD716" i="38"/>
  <c r="I716" i="38" s="1"/>
  <c r="AD717" i="38"/>
  <c r="I717" i="38" s="1"/>
  <c r="AE717" i="38" s="1"/>
  <c r="AD718" i="38"/>
  <c r="I718" i="38" s="1"/>
  <c r="AG718" i="38" s="1"/>
  <c r="AD719" i="38"/>
  <c r="I719" i="38" s="1"/>
  <c r="AD720" i="38"/>
  <c r="I720" i="38" s="1"/>
  <c r="AD721" i="38"/>
  <c r="I721" i="38" s="1"/>
  <c r="AG721" i="38" s="1"/>
  <c r="AD722" i="38"/>
  <c r="I722" i="38" s="1"/>
  <c r="AD723" i="38"/>
  <c r="I723" i="38" s="1"/>
  <c r="AE723" i="38" s="1"/>
  <c r="AD724" i="38"/>
  <c r="I724" i="38" s="1"/>
  <c r="AD725" i="38"/>
  <c r="I725" i="38" s="1"/>
  <c r="AE725" i="38" s="1"/>
  <c r="AD726" i="38"/>
  <c r="I726" i="38" s="1"/>
  <c r="AI726" i="38" s="1"/>
  <c r="AD727" i="38"/>
  <c r="I727" i="38" s="1"/>
  <c r="AD728" i="38"/>
  <c r="I728" i="38" s="1"/>
  <c r="AD729" i="38"/>
  <c r="I729" i="38" s="1"/>
  <c r="AG729" i="38" s="1"/>
  <c r="AD730" i="38"/>
  <c r="I730" i="38" s="1"/>
  <c r="AD731" i="38"/>
  <c r="I731" i="38" s="1"/>
  <c r="AE731" i="38" s="1"/>
  <c r="AD732" i="38"/>
  <c r="I732" i="38" s="1"/>
  <c r="AD733" i="38"/>
  <c r="I733" i="38"/>
  <c r="AE733" i="38" s="1"/>
  <c r="AD734" i="38"/>
  <c r="I734" i="38" s="1"/>
  <c r="AG734" i="38" s="1"/>
  <c r="AD735" i="38"/>
  <c r="I735" i="38" s="1"/>
  <c r="AD736" i="38"/>
  <c r="I736" i="38" s="1"/>
  <c r="AG736" i="38" s="1"/>
  <c r="AD737" i="38"/>
  <c r="I737" i="38" s="1"/>
  <c r="AG737" i="38" s="1"/>
  <c r="AD738" i="38"/>
  <c r="I738" i="38" s="1"/>
  <c r="AD739" i="38"/>
  <c r="I739" i="38" s="1"/>
  <c r="AE739" i="38" s="1"/>
  <c r="AD740" i="38"/>
  <c r="I740" i="38" s="1"/>
  <c r="AD741" i="38"/>
  <c r="I741" i="38" s="1"/>
  <c r="AE741" i="38" s="1"/>
  <c r="AD742" i="38"/>
  <c r="I742" i="38" s="1"/>
  <c r="AI742" i="38" s="1"/>
  <c r="AD743" i="38"/>
  <c r="I743" i="38" s="1"/>
  <c r="AD744" i="38"/>
  <c r="I744" i="38" s="1"/>
  <c r="AD745" i="38"/>
  <c r="I745" i="38" s="1"/>
  <c r="AG745" i="38" s="1"/>
  <c r="AD746" i="38"/>
  <c r="I746" i="38" s="1"/>
  <c r="AD747" i="38"/>
  <c r="I747" i="38" s="1"/>
  <c r="AE747" i="38" s="1"/>
  <c r="AD748" i="38"/>
  <c r="I748" i="38" s="1"/>
  <c r="AD749" i="38"/>
  <c r="I749" i="38" s="1"/>
  <c r="AE749" i="38" s="1"/>
  <c r="AD750" i="38"/>
  <c r="I750" i="38" s="1"/>
  <c r="AG750" i="38" s="1"/>
  <c r="AD751" i="38"/>
  <c r="I751" i="38" s="1"/>
  <c r="AD752" i="38"/>
  <c r="I752" i="38" s="1"/>
  <c r="AD753" i="38"/>
  <c r="I753" i="38" s="1"/>
  <c r="AG753" i="38" s="1"/>
  <c r="AD754" i="38"/>
  <c r="I754" i="38" s="1"/>
  <c r="AD755" i="38"/>
  <c r="I755" i="38" s="1"/>
  <c r="AE755" i="38" s="1"/>
  <c r="AD756" i="38"/>
  <c r="I756" i="38" s="1"/>
  <c r="AD757" i="38"/>
  <c r="I757" i="38" s="1"/>
  <c r="AE757" i="38" s="1"/>
  <c r="AD758" i="38"/>
  <c r="I758" i="38" s="1"/>
  <c r="AI758" i="38" s="1"/>
  <c r="AD759" i="38"/>
  <c r="I759" i="38" s="1"/>
  <c r="AD760" i="38"/>
  <c r="I760" i="38" s="1"/>
  <c r="AI760" i="38" s="1"/>
  <c r="AD761" i="38"/>
  <c r="I761" i="38" s="1"/>
  <c r="AG761" i="38" s="1"/>
  <c r="AD762" i="38"/>
  <c r="I762" i="38" s="1"/>
  <c r="AD763" i="38"/>
  <c r="I763" i="38" s="1"/>
  <c r="AE763" i="38" s="1"/>
  <c r="AD764" i="38"/>
  <c r="I764" i="38" s="1"/>
  <c r="AD765" i="38"/>
  <c r="I765" i="38" s="1"/>
  <c r="AE765" i="38" s="1"/>
  <c r="AD766" i="38"/>
  <c r="I766" i="38" s="1"/>
  <c r="AG766" i="38" s="1"/>
  <c r="AD767" i="38"/>
  <c r="I767" i="38" s="1"/>
  <c r="AD768" i="38"/>
  <c r="I768" i="38" s="1"/>
  <c r="AG768" i="38"/>
  <c r="AD769" i="38"/>
  <c r="I769" i="38" s="1"/>
  <c r="AG769" i="38" s="1"/>
  <c r="AD770" i="38"/>
  <c r="I770" i="38" s="1"/>
  <c r="AD771" i="38"/>
  <c r="I771" i="38"/>
  <c r="AE771" i="38" s="1"/>
  <c r="AD772" i="38"/>
  <c r="I772" i="38" s="1"/>
  <c r="AD773" i="38"/>
  <c r="I773" i="38" s="1"/>
  <c r="AE773" i="38" s="1"/>
  <c r="AD774" i="38"/>
  <c r="I774" i="38" s="1"/>
  <c r="AI774" i="38" s="1"/>
  <c r="AD775" i="38"/>
  <c r="I775" i="38" s="1"/>
  <c r="AD776" i="38"/>
  <c r="I776" i="38" s="1"/>
  <c r="AI776" i="38" s="1"/>
  <c r="AE776" i="38"/>
  <c r="AD777" i="38"/>
  <c r="I777" i="38" s="1"/>
  <c r="AG777" i="38" s="1"/>
  <c r="AD778" i="38"/>
  <c r="I778" i="38" s="1"/>
  <c r="AD779" i="38"/>
  <c r="I779" i="38" s="1"/>
  <c r="AE779" i="38" s="1"/>
  <c r="AD780" i="38"/>
  <c r="I780" i="38" s="1"/>
  <c r="AD781" i="38"/>
  <c r="I781" i="38" s="1"/>
  <c r="AE781" i="38" s="1"/>
  <c r="AD782" i="38"/>
  <c r="I782" i="38" s="1"/>
  <c r="AG782" i="38" s="1"/>
  <c r="AD783" i="38"/>
  <c r="I783" i="38" s="1"/>
  <c r="AD784" i="38"/>
  <c r="I784" i="38" s="1"/>
  <c r="AD785" i="38"/>
  <c r="I785" i="38" s="1"/>
  <c r="AG785" i="38" s="1"/>
  <c r="AD786" i="38"/>
  <c r="I786" i="38" s="1"/>
  <c r="AD787" i="38"/>
  <c r="I787" i="38" s="1"/>
  <c r="AE787" i="38" s="1"/>
  <c r="AD788" i="38"/>
  <c r="I788" i="38" s="1"/>
  <c r="AD789" i="38"/>
  <c r="I789" i="38" s="1"/>
  <c r="AE789" i="38" s="1"/>
  <c r="AD790" i="38"/>
  <c r="I790" i="38" s="1"/>
  <c r="AI790" i="38" s="1"/>
  <c r="AD791" i="38"/>
  <c r="I791" i="38" s="1"/>
  <c r="AD792" i="38"/>
  <c r="I792" i="38" s="1"/>
  <c r="AG792" i="38" s="1"/>
  <c r="AE792" i="38"/>
  <c r="AD793" i="38"/>
  <c r="I793" i="38" s="1"/>
  <c r="AG793" i="38" s="1"/>
  <c r="AD794" i="38"/>
  <c r="I794" i="38" s="1"/>
  <c r="AD795" i="38"/>
  <c r="I795" i="38" s="1"/>
  <c r="AE795" i="38" s="1"/>
  <c r="AD796" i="38"/>
  <c r="I796" i="38" s="1"/>
  <c r="AD797" i="38"/>
  <c r="I797" i="38" s="1"/>
  <c r="AE797" i="38" s="1"/>
  <c r="AD798" i="38"/>
  <c r="I798" i="38" s="1"/>
  <c r="AG798" i="38" s="1"/>
  <c r="AD799" i="38"/>
  <c r="I799" i="38" s="1"/>
  <c r="AD800" i="38"/>
  <c r="I800" i="38" s="1"/>
  <c r="AD801" i="38"/>
  <c r="I801" i="38" s="1"/>
  <c r="AG801" i="38" s="1"/>
  <c r="AD802" i="38"/>
  <c r="I802" i="38" s="1"/>
  <c r="AD803" i="38"/>
  <c r="I803" i="38" s="1"/>
  <c r="AE803" i="38" s="1"/>
  <c r="AD804" i="38"/>
  <c r="I804" i="38" s="1"/>
  <c r="AD805" i="38"/>
  <c r="I805" i="38" s="1"/>
  <c r="AE805" i="38" s="1"/>
  <c r="AD806" i="38"/>
  <c r="I806" i="38" s="1"/>
  <c r="AI806" i="38" s="1"/>
  <c r="AD807" i="38"/>
  <c r="I807" i="38" s="1"/>
  <c r="AD808" i="38"/>
  <c r="I808" i="38" s="1"/>
  <c r="AI808" i="38" s="1"/>
  <c r="AD809" i="38"/>
  <c r="I809" i="38" s="1"/>
  <c r="AG809" i="38" s="1"/>
  <c r="AD810" i="38"/>
  <c r="I810" i="38" s="1"/>
  <c r="AD811" i="38"/>
  <c r="I811" i="38" s="1"/>
  <c r="AE811" i="38" s="1"/>
  <c r="AD812" i="38"/>
  <c r="I812" i="38" s="1"/>
  <c r="AD813" i="38"/>
  <c r="I813" i="38" s="1"/>
  <c r="AE813" i="38" s="1"/>
  <c r="AD814" i="38"/>
  <c r="I814" i="38" s="1"/>
  <c r="AG814" i="38" s="1"/>
  <c r="AD815" i="38"/>
  <c r="I815" i="38" s="1"/>
  <c r="AD816" i="38"/>
  <c r="I816" i="38" s="1"/>
  <c r="AE816" i="38" s="1"/>
  <c r="AG816" i="38"/>
  <c r="AD817" i="38"/>
  <c r="I817" i="38" s="1"/>
  <c r="AG817" i="38" s="1"/>
  <c r="AD818" i="38"/>
  <c r="I818" i="38" s="1"/>
  <c r="AD819" i="38"/>
  <c r="I819" i="38" s="1"/>
  <c r="AE819" i="38" s="1"/>
  <c r="AD820" i="38"/>
  <c r="I820" i="38" s="1"/>
  <c r="AD821" i="38"/>
  <c r="I821" i="38" s="1"/>
  <c r="AE821" i="38" s="1"/>
  <c r="AD822" i="38"/>
  <c r="I822" i="38" s="1"/>
  <c r="AI822" i="38" s="1"/>
  <c r="AD823" i="38"/>
  <c r="I823" i="38" s="1"/>
  <c r="AD824" i="38"/>
  <c r="I824" i="38" s="1"/>
  <c r="AI824" i="38" s="1"/>
  <c r="AD825" i="38"/>
  <c r="I825" i="38" s="1"/>
  <c r="AG825" i="38" s="1"/>
  <c r="AD826" i="38"/>
  <c r="I826" i="38" s="1"/>
  <c r="AD827" i="38"/>
  <c r="I827" i="38" s="1"/>
  <c r="AE827" i="38" s="1"/>
  <c r="AD828" i="38"/>
  <c r="I828" i="38" s="1"/>
  <c r="AD829" i="38"/>
  <c r="I829" i="38" s="1"/>
  <c r="AE829" i="38" s="1"/>
  <c r="AD830" i="38"/>
  <c r="I830" i="38" s="1"/>
  <c r="AG830" i="38" s="1"/>
  <c r="AD831" i="38"/>
  <c r="I831" i="38" s="1"/>
  <c r="AD832" i="38"/>
  <c r="I832" i="38" s="1"/>
  <c r="AD833" i="38"/>
  <c r="I833" i="38" s="1"/>
  <c r="AE833" i="38" s="1"/>
  <c r="AD834" i="38"/>
  <c r="I834" i="38" s="1"/>
  <c r="AG834" i="38" s="1"/>
  <c r="AD835" i="38"/>
  <c r="I835" i="38" s="1"/>
  <c r="AD836" i="38"/>
  <c r="I836" i="38" s="1"/>
  <c r="AD837" i="38"/>
  <c r="I837" i="38" s="1"/>
  <c r="AD838" i="38"/>
  <c r="I838" i="38" s="1"/>
  <c r="AE838" i="38" s="1"/>
  <c r="AD839" i="38"/>
  <c r="I839" i="38" s="1"/>
  <c r="AD840" i="38"/>
  <c r="I840" i="38" s="1"/>
  <c r="AD841" i="38"/>
  <c r="I841" i="38" s="1"/>
  <c r="AD842" i="38"/>
  <c r="I842" i="38" s="1"/>
  <c r="AD843" i="38"/>
  <c r="I843" i="38" s="1"/>
  <c r="AD844" i="38"/>
  <c r="I844" i="38" s="1"/>
  <c r="AD845" i="38"/>
  <c r="I845" i="38" s="1"/>
  <c r="AD846" i="38"/>
  <c r="I846" i="38" s="1"/>
  <c r="AE846" i="38" s="1"/>
  <c r="AD847" i="38"/>
  <c r="I847" i="38" s="1"/>
  <c r="AD848" i="38"/>
  <c r="I848" i="38" s="1"/>
  <c r="AD849" i="38"/>
  <c r="I849" i="38" s="1"/>
  <c r="AD850" i="38"/>
  <c r="I850" i="38" s="1"/>
  <c r="AD851" i="38"/>
  <c r="I851" i="38" s="1"/>
  <c r="AD852" i="38"/>
  <c r="I852" i="38" s="1"/>
  <c r="AD853" i="38"/>
  <c r="I853" i="38" s="1"/>
  <c r="AG853" i="38" s="1"/>
  <c r="AD854" i="38"/>
  <c r="I854" i="38" s="1"/>
  <c r="AE854" i="38" s="1"/>
  <c r="AD855" i="38"/>
  <c r="I855" i="38" s="1"/>
  <c r="AD856" i="38"/>
  <c r="I856" i="38" s="1"/>
  <c r="AD857" i="38"/>
  <c r="I857" i="38" s="1"/>
  <c r="AD858" i="38"/>
  <c r="I858" i="38" s="1"/>
  <c r="AD859" i="38"/>
  <c r="I859" i="38" s="1"/>
  <c r="AD860" i="38"/>
  <c r="I860" i="38" s="1"/>
  <c r="AD861" i="38"/>
  <c r="I861" i="38" s="1"/>
  <c r="AD862" i="38"/>
  <c r="I862" i="38" s="1"/>
  <c r="AE862" i="38" s="1"/>
  <c r="AD863" i="38"/>
  <c r="I863" i="38" s="1"/>
  <c r="AD864" i="38"/>
  <c r="I864" i="38" s="1"/>
  <c r="AD865" i="38"/>
  <c r="I865" i="38" s="1"/>
  <c r="AD866" i="38"/>
  <c r="I866" i="38" s="1"/>
  <c r="AD867" i="38"/>
  <c r="I867" i="38" s="1"/>
  <c r="AD868" i="38"/>
  <c r="I868" i="38" s="1"/>
  <c r="AD869" i="38"/>
  <c r="I869" i="38" s="1"/>
  <c r="AD870" i="38"/>
  <c r="I870" i="38" s="1"/>
  <c r="AE870" i="38" s="1"/>
  <c r="AD871" i="38"/>
  <c r="I871" i="38" s="1"/>
  <c r="AD872" i="38"/>
  <c r="I872" i="38" s="1"/>
  <c r="AD873" i="38"/>
  <c r="I873" i="38" s="1"/>
  <c r="AD874" i="38"/>
  <c r="I874" i="38" s="1"/>
  <c r="AD875" i="38"/>
  <c r="I875" i="38" s="1"/>
  <c r="AD876" i="38"/>
  <c r="I876" i="38" s="1"/>
  <c r="AD877" i="38"/>
  <c r="I877" i="38" s="1"/>
  <c r="AD878" i="38"/>
  <c r="I878" i="38" s="1"/>
  <c r="AE878" i="38" s="1"/>
  <c r="AD879" i="38"/>
  <c r="I879" i="38" s="1"/>
  <c r="AD880" i="38"/>
  <c r="I880" i="38" s="1"/>
  <c r="AD881" i="38"/>
  <c r="I881" i="38" s="1"/>
  <c r="AD882" i="38"/>
  <c r="I882" i="38" s="1"/>
  <c r="AD883" i="38"/>
  <c r="I883" i="38" s="1"/>
  <c r="AD884" i="38"/>
  <c r="I884" i="38" s="1"/>
  <c r="AD885" i="38"/>
  <c r="I885" i="38" s="1"/>
  <c r="AG885" i="38" s="1"/>
  <c r="AD886" i="38"/>
  <c r="I886" i="38" s="1"/>
  <c r="AE886" i="38" s="1"/>
  <c r="AD887" i="38"/>
  <c r="I887" i="38" s="1"/>
  <c r="AD888" i="38"/>
  <c r="I888" i="38" s="1"/>
  <c r="AD889" i="38"/>
  <c r="I889" i="38" s="1"/>
  <c r="AD890" i="38"/>
  <c r="I890" i="38" s="1"/>
  <c r="AD891" i="38"/>
  <c r="I891" i="38" s="1"/>
  <c r="AD892" i="38"/>
  <c r="I892" i="38" s="1"/>
  <c r="AD893" i="38"/>
  <c r="I893" i="38" s="1"/>
  <c r="AD894" i="38"/>
  <c r="I894" i="38" s="1"/>
  <c r="AE894" i="38" s="1"/>
  <c r="AD895" i="38"/>
  <c r="I895" i="38" s="1"/>
  <c r="AD896" i="38"/>
  <c r="I896" i="38" s="1"/>
  <c r="AD897" i="38"/>
  <c r="I897" i="38" s="1"/>
  <c r="AD898" i="38"/>
  <c r="I898" i="38" s="1"/>
  <c r="AD899" i="38"/>
  <c r="I899" i="38" s="1"/>
  <c r="AD900" i="38"/>
  <c r="I900" i="38" s="1"/>
  <c r="AD901" i="38"/>
  <c r="I901" i="38" s="1"/>
  <c r="AD902" i="38"/>
  <c r="I902" i="38" s="1"/>
  <c r="AE902" i="38" s="1"/>
  <c r="AD903" i="38"/>
  <c r="I903" i="38" s="1"/>
  <c r="AD904" i="38"/>
  <c r="I904" i="38" s="1"/>
  <c r="AD905" i="38"/>
  <c r="I905" i="38" s="1"/>
  <c r="AD906" i="38"/>
  <c r="I906" i="38" s="1"/>
  <c r="AD907" i="38"/>
  <c r="I907" i="38" s="1"/>
  <c r="AD908" i="38"/>
  <c r="I908" i="38" s="1"/>
  <c r="AD909" i="38"/>
  <c r="I909" i="38" s="1"/>
  <c r="AD910" i="38"/>
  <c r="I910" i="38" s="1"/>
  <c r="AE910" i="38" s="1"/>
  <c r="AD911" i="38"/>
  <c r="I911" i="38" s="1"/>
  <c r="AD912" i="38"/>
  <c r="I912" i="38" s="1"/>
  <c r="AD913" i="38"/>
  <c r="I913" i="38" s="1"/>
  <c r="AD914" i="38"/>
  <c r="I914" i="38" s="1"/>
  <c r="AD915" i="38"/>
  <c r="I915" i="38" s="1"/>
  <c r="AD916" i="38"/>
  <c r="I916" i="38" s="1"/>
  <c r="AD917" i="38"/>
  <c r="I917" i="38" s="1"/>
  <c r="AG917" i="38" s="1"/>
  <c r="AD918" i="38"/>
  <c r="I918" i="38" s="1"/>
  <c r="AE918" i="38" s="1"/>
  <c r="AD919" i="38"/>
  <c r="I919" i="38" s="1"/>
  <c r="AD920" i="38"/>
  <c r="I920" i="38" s="1"/>
  <c r="AD921" i="38"/>
  <c r="I921" i="38" s="1"/>
  <c r="AD922" i="38"/>
  <c r="I922" i="38" s="1"/>
  <c r="AD923" i="38"/>
  <c r="I923" i="38" s="1"/>
  <c r="AD924" i="38"/>
  <c r="I924" i="38" s="1"/>
  <c r="AD925" i="38"/>
  <c r="I925" i="38" s="1"/>
  <c r="AD926" i="38"/>
  <c r="I926" i="38" s="1"/>
  <c r="AE926" i="38" s="1"/>
  <c r="AD927" i="38"/>
  <c r="I927" i="38" s="1"/>
  <c r="AD928" i="38"/>
  <c r="I928" i="38" s="1"/>
  <c r="AD929" i="38"/>
  <c r="I929" i="38" s="1"/>
  <c r="AD930" i="38"/>
  <c r="I930" i="38" s="1"/>
  <c r="AD931" i="38"/>
  <c r="I931" i="38" s="1"/>
  <c r="AD932" i="38"/>
  <c r="I932" i="38" s="1"/>
  <c r="AD933" i="38"/>
  <c r="I933" i="38" s="1"/>
  <c r="AD934" i="38"/>
  <c r="I934" i="38" s="1"/>
  <c r="AE934" i="38" s="1"/>
  <c r="AD935" i="38"/>
  <c r="I935" i="38" s="1"/>
  <c r="AD936" i="38"/>
  <c r="I936" i="38" s="1"/>
  <c r="AD937" i="38"/>
  <c r="I937" i="38" s="1"/>
  <c r="AD938" i="38"/>
  <c r="I938" i="38" s="1"/>
  <c r="AD939" i="38"/>
  <c r="I939" i="38" s="1"/>
  <c r="AD940" i="38"/>
  <c r="I940" i="38" s="1"/>
  <c r="AD941" i="38"/>
  <c r="I941" i="38" s="1"/>
  <c r="AD942" i="38"/>
  <c r="I942" i="38" s="1"/>
  <c r="AE942" i="38" s="1"/>
  <c r="AD943" i="38"/>
  <c r="I943" i="38" s="1"/>
  <c r="AD944" i="38"/>
  <c r="I944" i="38" s="1"/>
  <c r="AD945" i="38"/>
  <c r="I945" i="38" s="1"/>
  <c r="AD946" i="38"/>
  <c r="I946" i="38" s="1"/>
  <c r="AD947" i="38"/>
  <c r="I947" i="38" s="1"/>
  <c r="AD948" i="38"/>
  <c r="I948" i="38" s="1"/>
  <c r="AD949" i="38"/>
  <c r="I949" i="38" s="1"/>
  <c r="AG949" i="38" s="1"/>
  <c r="AD950" i="38"/>
  <c r="I950" i="38" s="1"/>
  <c r="AE950" i="38" s="1"/>
  <c r="AD951" i="38"/>
  <c r="I951" i="38" s="1"/>
  <c r="AD952" i="38"/>
  <c r="I952" i="38" s="1"/>
  <c r="AD953" i="38"/>
  <c r="I953" i="38" s="1"/>
  <c r="AD954" i="38"/>
  <c r="I954" i="38" s="1"/>
  <c r="AD955" i="38"/>
  <c r="I955" i="38" s="1"/>
  <c r="AD956" i="38"/>
  <c r="I956" i="38" s="1"/>
  <c r="AD957" i="38"/>
  <c r="I957" i="38" s="1"/>
  <c r="AD958" i="38"/>
  <c r="I958" i="38" s="1"/>
  <c r="AE958" i="38" s="1"/>
  <c r="AD959" i="38"/>
  <c r="I959" i="38" s="1"/>
  <c r="AD960" i="38"/>
  <c r="I960" i="38" s="1"/>
  <c r="AD961" i="38"/>
  <c r="I961" i="38" s="1"/>
  <c r="AD962" i="38"/>
  <c r="I962" i="38" s="1"/>
  <c r="AD963" i="38"/>
  <c r="I963" i="38" s="1"/>
  <c r="AD964" i="38"/>
  <c r="I964" i="38" s="1"/>
  <c r="AD965" i="38"/>
  <c r="I965" i="38" s="1"/>
  <c r="AD966" i="38"/>
  <c r="I966" i="38" s="1"/>
  <c r="AE966" i="38" s="1"/>
  <c r="AD967" i="38"/>
  <c r="I967" i="38" s="1"/>
  <c r="AD968" i="38"/>
  <c r="I968" i="38" s="1"/>
  <c r="AD969" i="38"/>
  <c r="I969" i="38" s="1"/>
  <c r="AD970" i="38"/>
  <c r="I970" i="38" s="1"/>
  <c r="AD971" i="38"/>
  <c r="I971" i="38" s="1"/>
  <c r="AD972" i="38"/>
  <c r="I972" i="38" s="1"/>
  <c r="AD973" i="38"/>
  <c r="I973" i="38" s="1"/>
  <c r="AD974" i="38"/>
  <c r="I974" i="38" s="1"/>
  <c r="AE974" i="38" s="1"/>
  <c r="AD975" i="38"/>
  <c r="I975" i="38" s="1"/>
  <c r="AD976" i="38"/>
  <c r="I976" i="38" s="1"/>
  <c r="AD977" i="38"/>
  <c r="I977" i="38" s="1"/>
  <c r="AD978" i="38"/>
  <c r="I978" i="38" s="1"/>
  <c r="AD979" i="38"/>
  <c r="I979" i="38" s="1"/>
  <c r="AD980" i="38"/>
  <c r="I980" i="38" s="1"/>
  <c r="AD981" i="38"/>
  <c r="I981" i="38" s="1"/>
  <c r="AG981" i="38" s="1"/>
  <c r="AD982" i="38"/>
  <c r="I982" i="38" s="1"/>
  <c r="AE982" i="38" s="1"/>
  <c r="AD983" i="38"/>
  <c r="I983" i="38" s="1"/>
  <c r="AD984" i="38"/>
  <c r="I984" i="38" s="1"/>
  <c r="AD985" i="38"/>
  <c r="I985" i="38" s="1"/>
  <c r="AD986" i="38"/>
  <c r="I986" i="38" s="1"/>
  <c r="AD987" i="38"/>
  <c r="I987" i="38" s="1"/>
  <c r="AD988" i="38"/>
  <c r="I988" i="38" s="1"/>
  <c r="AD989" i="38"/>
  <c r="I989" i="38" s="1"/>
  <c r="AD990" i="38"/>
  <c r="I990" i="38" s="1"/>
  <c r="AE990" i="38" s="1"/>
  <c r="AD991" i="38"/>
  <c r="I991" i="38" s="1"/>
  <c r="AD992" i="38"/>
  <c r="I992" i="38" s="1"/>
  <c r="AD993" i="38"/>
  <c r="I993" i="38" s="1"/>
  <c r="AD994" i="38"/>
  <c r="I994" i="38" s="1"/>
  <c r="AD995" i="38"/>
  <c r="I995" i="38" s="1"/>
  <c r="AD996" i="38"/>
  <c r="I996" i="38" s="1"/>
  <c r="AD997" i="38"/>
  <c r="I997" i="38" s="1"/>
  <c r="AD998" i="38"/>
  <c r="I998" i="38" s="1"/>
  <c r="AE998" i="38" s="1"/>
  <c r="AD999" i="38"/>
  <c r="I999" i="38" s="1"/>
  <c r="AD1000" i="38"/>
  <c r="I1000" i="38" s="1"/>
  <c r="AD1001" i="38"/>
  <c r="I1001" i="38" s="1"/>
  <c r="AF636" i="38"/>
  <c r="AF633" i="38"/>
  <c r="AF635" i="38"/>
  <c r="AF634" i="38"/>
  <c r="AF637" i="38"/>
  <c r="AF638" i="38"/>
  <c r="AF639" i="38"/>
  <c r="AF640" i="38"/>
  <c r="AF641" i="38"/>
  <c r="AF642" i="38"/>
  <c r="AF643" i="38"/>
  <c r="AF644" i="38"/>
  <c r="AF645" i="38"/>
  <c r="AF646" i="38"/>
  <c r="AF647" i="38"/>
  <c r="AF648" i="38"/>
  <c r="AF649" i="38"/>
  <c r="AF650" i="38"/>
  <c r="AF651" i="38"/>
  <c r="AF652" i="38"/>
  <c r="AF653" i="38"/>
  <c r="AF654" i="38"/>
  <c r="AF655" i="38"/>
  <c r="AF656" i="38"/>
  <c r="AF657" i="38"/>
  <c r="AF658" i="38"/>
  <c r="AF659" i="38"/>
  <c r="AF660" i="38"/>
  <c r="AF661" i="38"/>
  <c r="AF662" i="38"/>
  <c r="AF663" i="38"/>
  <c r="AF664" i="38"/>
  <c r="AF665" i="38"/>
  <c r="AF666" i="38"/>
  <c r="AF667" i="38"/>
  <c r="AF668" i="38"/>
  <c r="AF669" i="38"/>
  <c r="AF670" i="38"/>
  <c r="AF671" i="38"/>
  <c r="AF672" i="38"/>
  <c r="AF673" i="38"/>
  <c r="AF674" i="38"/>
  <c r="AF675" i="38"/>
  <c r="AF676" i="38"/>
  <c r="AF677" i="38"/>
  <c r="AF678" i="38"/>
  <c r="AF679" i="38"/>
  <c r="AF680" i="38"/>
  <c r="AF681" i="38"/>
  <c r="AF682" i="38"/>
  <c r="AF683" i="38"/>
  <c r="AF684" i="38"/>
  <c r="AF685" i="38"/>
  <c r="AF686" i="38"/>
  <c r="AF687" i="38"/>
  <c r="AF688" i="38"/>
  <c r="AF689" i="38"/>
  <c r="AF690" i="38"/>
  <c r="AF691" i="38"/>
  <c r="AF692" i="38"/>
  <c r="AF693" i="38"/>
  <c r="AF694" i="38"/>
  <c r="AF695" i="38"/>
  <c r="AF696" i="38"/>
  <c r="AF697" i="38"/>
  <c r="AF698" i="38"/>
  <c r="AF699" i="38"/>
  <c r="AF700" i="38"/>
  <c r="AF701" i="38"/>
  <c r="AF702" i="38"/>
  <c r="AF703" i="38"/>
  <c r="AF704" i="38"/>
  <c r="AF705" i="38"/>
  <c r="AF706" i="38"/>
  <c r="AF707" i="38"/>
  <c r="AF708" i="38"/>
  <c r="AF709" i="38"/>
  <c r="AF710" i="38"/>
  <c r="AF711" i="38"/>
  <c r="AF712" i="38"/>
  <c r="AF713" i="38"/>
  <c r="AF714" i="38"/>
  <c r="AF715" i="38"/>
  <c r="AF716" i="38"/>
  <c r="AF717" i="38"/>
  <c r="AF718" i="38"/>
  <c r="AF719" i="38"/>
  <c r="AF720" i="38"/>
  <c r="AF721" i="38"/>
  <c r="AF722" i="38"/>
  <c r="AF723" i="38"/>
  <c r="AF724" i="38"/>
  <c r="AF725" i="38"/>
  <c r="AF726" i="38"/>
  <c r="AF727" i="38"/>
  <c r="AF728" i="38"/>
  <c r="AF729" i="38"/>
  <c r="AF730" i="38"/>
  <c r="AF731" i="38"/>
  <c r="AF732" i="38"/>
  <c r="AF733" i="38"/>
  <c r="AF734" i="38"/>
  <c r="AF735" i="38"/>
  <c r="AF736" i="38"/>
  <c r="AF737" i="38"/>
  <c r="AF738" i="38"/>
  <c r="AF739" i="38"/>
  <c r="AF740" i="38"/>
  <c r="AF741" i="38"/>
  <c r="AF742" i="38"/>
  <c r="AF743" i="38"/>
  <c r="AF744" i="38"/>
  <c r="AF745" i="38"/>
  <c r="AF746" i="38"/>
  <c r="AF747" i="38"/>
  <c r="AF748" i="38"/>
  <c r="AF749" i="38"/>
  <c r="AF750" i="38"/>
  <c r="AF751" i="38"/>
  <c r="AF752" i="38"/>
  <c r="AF753" i="38"/>
  <c r="AF754" i="38"/>
  <c r="AF755" i="38"/>
  <c r="AF756" i="38"/>
  <c r="AF757" i="38"/>
  <c r="AF758" i="38"/>
  <c r="AF759" i="38"/>
  <c r="AF760" i="38"/>
  <c r="AF761" i="38"/>
  <c r="AF762" i="38"/>
  <c r="AF763" i="38"/>
  <c r="AF764" i="38"/>
  <c r="AF765" i="38"/>
  <c r="AF766" i="38"/>
  <c r="AF767" i="38"/>
  <c r="AF768" i="38"/>
  <c r="AF769" i="38"/>
  <c r="AF770" i="38"/>
  <c r="AF771" i="38"/>
  <c r="AF772" i="38"/>
  <c r="AF773" i="38"/>
  <c r="AF774" i="38"/>
  <c r="AF775" i="38"/>
  <c r="AF776" i="38"/>
  <c r="AF777" i="38"/>
  <c r="AF778" i="38"/>
  <c r="AF779" i="38"/>
  <c r="AF780" i="38"/>
  <c r="AF781" i="38"/>
  <c r="AF782" i="38"/>
  <c r="AF783" i="38"/>
  <c r="AF784" i="38"/>
  <c r="AF785" i="38"/>
  <c r="AF786" i="38"/>
  <c r="AF787" i="38"/>
  <c r="AF788" i="38"/>
  <c r="AF789" i="38"/>
  <c r="AF790" i="38"/>
  <c r="AF791" i="38"/>
  <c r="AF792" i="38"/>
  <c r="AF793" i="38"/>
  <c r="AF794" i="38"/>
  <c r="AF795" i="38"/>
  <c r="AF796" i="38"/>
  <c r="AF797" i="38"/>
  <c r="AF798" i="38"/>
  <c r="AF799" i="38"/>
  <c r="AF800" i="38"/>
  <c r="AF801" i="38"/>
  <c r="AF802" i="38"/>
  <c r="AF803" i="38"/>
  <c r="AF804" i="38"/>
  <c r="AF805" i="38"/>
  <c r="AF806" i="38"/>
  <c r="AF807" i="38"/>
  <c r="AF808" i="38"/>
  <c r="AF809" i="38"/>
  <c r="AF810" i="38"/>
  <c r="AF811" i="38"/>
  <c r="AF812" i="38"/>
  <c r="AF813" i="38"/>
  <c r="AF814" i="38"/>
  <c r="AF815" i="38"/>
  <c r="AF816" i="38"/>
  <c r="AF817" i="38"/>
  <c r="AF818" i="38"/>
  <c r="AF819" i="38"/>
  <c r="AF820" i="38"/>
  <c r="AF821" i="38"/>
  <c r="AF822" i="38"/>
  <c r="AF823" i="38"/>
  <c r="AF824" i="38"/>
  <c r="AF825" i="38"/>
  <c r="AF826" i="38"/>
  <c r="AF827" i="38"/>
  <c r="AF828" i="38"/>
  <c r="AF829" i="38"/>
  <c r="AF830" i="38"/>
  <c r="AF831" i="38"/>
  <c r="AF832" i="38"/>
  <c r="AF833" i="38"/>
  <c r="AF834" i="38"/>
  <c r="AF835" i="38"/>
  <c r="AF836" i="38"/>
  <c r="AF837" i="38"/>
  <c r="AF838" i="38"/>
  <c r="AF839" i="38"/>
  <c r="AF840" i="38"/>
  <c r="AF841" i="38"/>
  <c r="AF842" i="38"/>
  <c r="AF843" i="38"/>
  <c r="AF844" i="38"/>
  <c r="AF845" i="38"/>
  <c r="AF846" i="38"/>
  <c r="AF847" i="38"/>
  <c r="AF848" i="38"/>
  <c r="AF849" i="38"/>
  <c r="AF850" i="38"/>
  <c r="AF851" i="38"/>
  <c r="AF852" i="38"/>
  <c r="AF853" i="38"/>
  <c r="AF854" i="38"/>
  <c r="AF855" i="38"/>
  <c r="AF856" i="38"/>
  <c r="AF857" i="38"/>
  <c r="AF858" i="38"/>
  <c r="AF859" i="38"/>
  <c r="AF860" i="38"/>
  <c r="AF861" i="38"/>
  <c r="AF862" i="38"/>
  <c r="AF863" i="38"/>
  <c r="AF864" i="38"/>
  <c r="AF865" i="38"/>
  <c r="AF866" i="38"/>
  <c r="AF867" i="38"/>
  <c r="AF868" i="38"/>
  <c r="AF869" i="38"/>
  <c r="AF870" i="38"/>
  <c r="AF871" i="38"/>
  <c r="AF872" i="38"/>
  <c r="AF873" i="38"/>
  <c r="AF874" i="38"/>
  <c r="AF875" i="38"/>
  <c r="AF876" i="38"/>
  <c r="AF877" i="38"/>
  <c r="AF878" i="38"/>
  <c r="AF879" i="38"/>
  <c r="AF880" i="38"/>
  <c r="AF881" i="38"/>
  <c r="AF882" i="38"/>
  <c r="AF883" i="38"/>
  <c r="AF884" i="38"/>
  <c r="AF885" i="38"/>
  <c r="AF886" i="38"/>
  <c r="AF887" i="38"/>
  <c r="AF888" i="38"/>
  <c r="AF889" i="38"/>
  <c r="AF890" i="38"/>
  <c r="AF891" i="38"/>
  <c r="AF892" i="38"/>
  <c r="AF893" i="38"/>
  <c r="AF894" i="38"/>
  <c r="AF895" i="38"/>
  <c r="AF896" i="38"/>
  <c r="AF897" i="38"/>
  <c r="AF898" i="38"/>
  <c r="AF899" i="38"/>
  <c r="AF900" i="38"/>
  <c r="AF901" i="38"/>
  <c r="AF902" i="38"/>
  <c r="AF903" i="38"/>
  <c r="AF904" i="38"/>
  <c r="AF905" i="38"/>
  <c r="AF906" i="38"/>
  <c r="AF907" i="38"/>
  <c r="AF908" i="38"/>
  <c r="AF909" i="38"/>
  <c r="AF910" i="38"/>
  <c r="AF911" i="38"/>
  <c r="AF912" i="38"/>
  <c r="AF913" i="38"/>
  <c r="AF914" i="38"/>
  <c r="AF915" i="38"/>
  <c r="AF916" i="38"/>
  <c r="AF917" i="38"/>
  <c r="AF918" i="38"/>
  <c r="AF919" i="38"/>
  <c r="AF920" i="38"/>
  <c r="AF921" i="38"/>
  <c r="AF922" i="38"/>
  <c r="AF923" i="38"/>
  <c r="AF924" i="38"/>
  <c r="AF925" i="38"/>
  <c r="AF926" i="38"/>
  <c r="AF927" i="38"/>
  <c r="AF928" i="38"/>
  <c r="AF929" i="38"/>
  <c r="AF930" i="38"/>
  <c r="AF931" i="38"/>
  <c r="AF932" i="38"/>
  <c r="AF933" i="38"/>
  <c r="AF934" i="38"/>
  <c r="AF935" i="38"/>
  <c r="AF936" i="38"/>
  <c r="AF937" i="38"/>
  <c r="AF938" i="38"/>
  <c r="AF939" i="38"/>
  <c r="AF940" i="38"/>
  <c r="AF941" i="38"/>
  <c r="AF942" i="38"/>
  <c r="AF943" i="38"/>
  <c r="AF944" i="38"/>
  <c r="AF945" i="38"/>
  <c r="AF946" i="38"/>
  <c r="AF947" i="38"/>
  <c r="AF948" i="38"/>
  <c r="AF949" i="38"/>
  <c r="AF950" i="38"/>
  <c r="AF951" i="38"/>
  <c r="AF952" i="38"/>
  <c r="AF953" i="38"/>
  <c r="AF954" i="38"/>
  <c r="AF955" i="38"/>
  <c r="AF956" i="38"/>
  <c r="AF957" i="38"/>
  <c r="AF958" i="38"/>
  <c r="AF959" i="38"/>
  <c r="AF960" i="38"/>
  <c r="AF961" i="38"/>
  <c r="AF962" i="38"/>
  <c r="AF963" i="38"/>
  <c r="AF964" i="38"/>
  <c r="AF965" i="38"/>
  <c r="AF966" i="38"/>
  <c r="AF967" i="38"/>
  <c r="AF968" i="38"/>
  <c r="AF969" i="38"/>
  <c r="AF970" i="38"/>
  <c r="AF971" i="38"/>
  <c r="AF972" i="38"/>
  <c r="AF973" i="38"/>
  <c r="AF974" i="38"/>
  <c r="AF975" i="38"/>
  <c r="AF976" i="38"/>
  <c r="AF977" i="38"/>
  <c r="AF978" i="38"/>
  <c r="AF979" i="38"/>
  <c r="AF980" i="38"/>
  <c r="AF981" i="38"/>
  <c r="AF982" i="38"/>
  <c r="AF983" i="38"/>
  <c r="AF984" i="38"/>
  <c r="AF985" i="38"/>
  <c r="AF986" i="38"/>
  <c r="AF987" i="38"/>
  <c r="AF988" i="38"/>
  <c r="AF989" i="38"/>
  <c r="AF990" i="38"/>
  <c r="AF991" i="38"/>
  <c r="AF992" i="38"/>
  <c r="AF993" i="38"/>
  <c r="AF994" i="38"/>
  <c r="AF995" i="38"/>
  <c r="AF996" i="38"/>
  <c r="AF997" i="38"/>
  <c r="AF998" i="38"/>
  <c r="AF999" i="38"/>
  <c r="AF1000" i="38"/>
  <c r="AF1001" i="38"/>
  <c r="AF13" i="38"/>
  <c r="AF10" i="38"/>
  <c r="AF20" i="38"/>
  <c r="AF14" i="38"/>
  <c r="AF6" i="38"/>
  <c r="AF24" i="38"/>
  <c r="AF5" i="38"/>
  <c r="AF22" i="38"/>
  <c r="AF18" i="38"/>
  <c r="AF17" i="38"/>
  <c r="AF7" i="38"/>
  <c r="AF23" i="38"/>
  <c r="AF15" i="38"/>
  <c r="AF11" i="38"/>
  <c r="AF12" i="38"/>
  <c r="AF19" i="38"/>
  <c r="AF8" i="38"/>
  <c r="AF9" i="38"/>
  <c r="AF16" i="38"/>
  <c r="AF4" i="38"/>
  <c r="AF21" i="38"/>
  <c r="AF25" i="38"/>
  <c r="AF26" i="38"/>
  <c r="AF27" i="38"/>
  <c r="AF28" i="38"/>
  <c r="AF29" i="38"/>
  <c r="AF30" i="38"/>
  <c r="AF31" i="38"/>
  <c r="AF32" i="38"/>
  <c r="AF33" i="38"/>
  <c r="AF34" i="38"/>
  <c r="AF35" i="38"/>
  <c r="AF36" i="38"/>
  <c r="AF37" i="38"/>
  <c r="AF38" i="38"/>
  <c r="AF39" i="38"/>
  <c r="AF40" i="38"/>
  <c r="AF41" i="38"/>
  <c r="AF42" i="38"/>
  <c r="AF43" i="38"/>
  <c r="AF44" i="38"/>
  <c r="AF45" i="38"/>
  <c r="AF46" i="38"/>
  <c r="AF47" i="38"/>
  <c r="AF48" i="38"/>
  <c r="AF49" i="38"/>
  <c r="AF50" i="38"/>
  <c r="AF51" i="38"/>
  <c r="AF52" i="38"/>
  <c r="AF53" i="38"/>
  <c r="AF54" i="38"/>
  <c r="AF55" i="38"/>
  <c r="AF56" i="38"/>
  <c r="AF57" i="38"/>
  <c r="AF58" i="38"/>
  <c r="AF59" i="38"/>
  <c r="AF60" i="38"/>
  <c r="AF61" i="38"/>
  <c r="AF62" i="38"/>
  <c r="AF63" i="38"/>
  <c r="AF64" i="38"/>
  <c r="AF65" i="38"/>
  <c r="AF66" i="38"/>
  <c r="AF67" i="38"/>
  <c r="AF68" i="38"/>
  <c r="AF69" i="38"/>
  <c r="AF70" i="38"/>
  <c r="AF71" i="38"/>
  <c r="AF72" i="38"/>
  <c r="AF73" i="38"/>
  <c r="AF74" i="38"/>
  <c r="AF75" i="38"/>
  <c r="AF76" i="38"/>
  <c r="AF77" i="38"/>
  <c r="AF78" i="38"/>
  <c r="AF79" i="38"/>
  <c r="AF80" i="38"/>
  <c r="AF81" i="38"/>
  <c r="AF82" i="38"/>
  <c r="AF83" i="38"/>
  <c r="AF84" i="38"/>
  <c r="AF85" i="38"/>
  <c r="AF86" i="38"/>
  <c r="AF87" i="38"/>
  <c r="AF88" i="38"/>
  <c r="AF89" i="38"/>
  <c r="AF90" i="38"/>
  <c r="AF91" i="38"/>
  <c r="AF92" i="38"/>
  <c r="AF93" i="38"/>
  <c r="AF94" i="38"/>
  <c r="AF95" i="38"/>
  <c r="AF96" i="38"/>
  <c r="AF97" i="38"/>
  <c r="AF98" i="38"/>
  <c r="AF99" i="38"/>
  <c r="AF100" i="38"/>
  <c r="AF101" i="38"/>
  <c r="AF102" i="38"/>
  <c r="AF103" i="38"/>
  <c r="AF104" i="38"/>
  <c r="AF105" i="38"/>
  <c r="AF106" i="38"/>
  <c r="AF107" i="38"/>
  <c r="AF108" i="38"/>
  <c r="AF109" i="38"/>
  <c r="AF110" i="38"/>
  <c r="AF111" i="38"/>
  <c r="AF112" i="38"/>
  <c r="AF113" i="38"/>
  <c r="AF114" i="38"/>
  <c r="AF115" i="38"/>
  <c r="AF116" i="38"/>
  <c r="AF117" i="38"/>
  <c r="AF118" i="38"/>
  <c r="AF119" i="38"/>
  <c r="AF120" i="38"/>
  <c r="AF121" i="38"/>
  <c r="AF122" i="38"/>
  <c r="AF123" i="38"/>
  <c r="AF124" i="38"/>
  <c r="AF125" i="38"/>
  <c r="AF126" i="38"/>
  <c r="AF127" i="38"/>
  <c r="AF128" i="38"/>
  <c r="AF129" i="38"/>
  <c r="AF130" i="38"/>
  <c r="AF131" i="38"/>
  <c r="AF132" i="38"/>
  <c r="AF133" i="38"/>
  <c r="AF134" i="38"/>
  <c r="AF135" i="38"/>
  <c r="AF136" i="38"/>
  <c r="AF137" i="38"/>
  <c r="AF138" i="38"/>
  <c r="AF139" i="38"/>
  <c r="AF140" i="38"/>
  <c r="AF141" i="38"/>
  <c r="AF142" i="38"/>
  <c r="AF143" i="38"/>
  <c r="AF144" i="38"/>
  <c r="AF145" i="38"/>
  <c r="AF146" i="38"/>
  <c r="AF147" i="38"/>
  <c r="AF148" i="38"/>
  <c r="AF149" i="38"/>
  <c r="AF150" i="38"/>
  <c r="AF151" i="38"/>
  <c r="AF152" i="38"/>
  <c r="AF153" i="38"/>
  <c r="AF154" i="38"/>
  <c r="AF155" i="38"/>
  <c r="AF156" i="38"/>
  <c r="AF157" i="38"/>
  <c r="AF158" i="38"/>
  <c r="AF159" i="38"/>
  <c r="AF160" i="38"/>
  <c r="AF161" i="38"/>
  <c r="AF162" i="38"/>
  <c r="AF163" i="38"/>
  <c r="AF164" i="38"/>
  <c r="AF165" i="38"/>
  <c r="AF166" i="38"/>
  <c r="AF167" i="38"/>
  <c r="AF168" i="38"/>
  <c r="AF169" i="38"/>
  <c r="AF170" i="38"/>
  <c r="AF171" i="38"/>
  <c r="AF172" i="38"/>
  <c r="AF173" i="38"/>
  <c r="AF174" i="38"/>
  <c r="AF175" i="38"/>
  <c r="AF176" i="38"/>
  <c r="AF177" i="38"/>
  <c r="AF178" i="38"/>
  <c r="AF179" i="38"/>
  <c r="AF180" i="38"/>
  <c r="AF181" i="38"/>
  <c r="AF182" i="38"/>
  <c r="AF183" i="38"/>
  <c r="AF184" i="38"/>
  <c r="AF185" i="38"/>
  <c r="AF186" i="38"/>
  <c r="AF187" i="38"/>
  <c r="AF188" i="38"/>
  <c r="AF189" i="38"/>
  <c r="AF190" i="38"/>
  <c r="AF191" i="38"/>
  <c r="AF192" i="38"/>
  <c r="AF193" i="38"/>
  <c r="AF194" i="38"/>
  <c r="AF195" i="38"/>
  <c r="AF196" i="38"/>
  <c r="AF197" i="38"/>
  <c r="AF198" i="38"/>
  <c r="AF199" i="38"/>
  <c r="AF200" i="38"/>
  <c r="AF201" i="38"/>
  <c r="AF202" i="38"/>
  <c r="AF203" i="38"/>
  <c r="AF204" i="38"/>
  <c r="AF205" i="38"/>
  <c r="AF206" i="38"/>
  <c r="AF207" i="38"/>
  <c r="AF208" i="38"/>
  <c r="AF209" i="38"/>
  <c r="AF210" i="38"/>
  <c r="AF211" i="38"/>
  <c r="AF212" i="38"/>
  <c r="AF213" i="38"/>
  <c r="AF214" i="38"/>
  <c r="AF215" i="38"/>
  <c r="AF216" i="38"/>
  <c r="AF217" i="38"/>
  <c r="AF218" i="38"/>
  <c r="AF219" i="38"/>
  <c r="AF220" i="38"/>
  <c r="AF221" i="38"/>
  <c r="AF222" i="38"/>
  <c r="AF223" i="38"/>
  <c r="AF224" i="38"/>
  <c r="AF225" i="38"/>
  <c r="AF226" i="38"/>
  <c r="AF227" i="38"/>
  <c r="AF228" i="38"/>
  <c r="AF229" i="38"/>
  <c r="AF230" i="38"/>
  <c r="AF231" i="38"/>
  <c r="AF232" i="38"/>
  <c r="AF233" i="38"/>
  <c r="AF234" i="38"/>
  <c r="AF235" i="38"/>
  <c r="AF236" i="38"/>
  <c r="AF237" i="38"/>
  <c r="AF238" i="38"/>
  <c r="AF239" i="38"/>
  <c r="AF240" i="38"/>
  <c r="AF241" i="38"/>
  <c r="AF242" i="38"/>
  <c r="AF243" i="38"/>
  <c r="AF244" i="38"/>
  <c r="AF245" i="38"/>
  <c r="AF246" i="38"/>
  <c r="AF247" i="38"/>
  <c r="AF248" i="38"/>
  <c r="AF249" i="38"/>
  <c r="AF250" i="38"/>
  <c r="AF251" i="38"/>
  <c r="AF252" i="38"/>
  <c r="AF253" i="38"/>
  <c r="AF254" i="38"/>
  <c r="AF255" i="38"/>
  <c r="AF256" i="38"/>
  <c r="AF257" i="38"/>
  <c r="AF258" i="38"/>
  <c r="AF259" i="38"/>
  <c r="AF260" i="38"/>
  <c r="AF261" i="38"/>
  <c r="AF262" i="38"/>
  <c r="AF263" i="38"/>
  <c r="AF264" i="38"/>
  <c r="AF265" i="38"/>
  <c r="AF266" i="38"/>
  <c r="AF267" i="38"/>
  <c r="AF268" i="38"/>
  <c r="AF269" i="38"/>
  <c r="AF270" i="38"/>
  <c r="AF271" i="38"/>
  <c r="AF272" i="38"/>
  <c r="AF273" i="38"/>
  <c r="AF274" i="38"/>
  <c r="AF275" i="38"/>
  <c r="AF276" i="38"/>
  <c r="AF277" i="38"/>
  <c r="AF278" i="38"/>
  <c r="AF279" i="38"/>
  <c r="AF280" i="38"/>
  <c r="AF281" i="38"/>
  <c r="AF282" i="38"/>
  <c r="AF283" i="38"/>
  <c r="AF284" i="38"/>
  <c r="AF285" i="38"/>
  <c r="AF286" i="38"/>
  <c r="AF287" i="38"/>
  <c r="AF288" i="38"/>
  <c r="AF289" i="38"/>
  <c r="AF290" i="38"/>
  <c r="AF291" i="38"/>
  <c r="AF292" i="38"/>
  <c r="AF293" i="38"/>
  <c r="AF294" i="38"/>
  <c r="AF295" i="38"/>
  <c r="AF296" i="38"/>
  <c r="AF297" i="38"/>
  <c r="AF298" i="38"/>
  <c r="AF299" i="38"/>
  <c r="AF300" i="38"/>
  <c r="AF301" i="38"/>
  <c r="AF302" i="38"/>
  <c r="AF303" i="38"/>
  <c r="AF304" i="38"/>
  <c r="AF305" i="38"/>
  <c r="AF306" i="38"/>
  <c r="AF307" i="38"/>
  <c r="AF308" i="38"/>
  <c r="AF309" i="38"/>
  <c r="AF310" i="38"/>
  <c r="AF311" i="38"/>
  <c r="AF312" i="38"/>
  <c r="AF313" i="38"/>
  <c r="AF314" i="38"/>
  <c r="AF315" i="38"/>
  <c r="AF316" i="38"/>
  <c r="AF317" i="38"/>
  <c r="AF318" i="38"/>
  <c r="AF319" i="38"/>
  <c r="AF320" i="38"/>
  <c r="AF321" i="38"/>
  <c r="AF322" i="38"/>
  <c r="AF323" i="38"/>
  <c r="AF324" i="38"/>
  <c r="AF325" i="38"/>
  <c r="AF326" i="38"/>
  <c r="AF327" i="38"/>
  <c r="AF328" i="38"/>
  <c r="AF329" i="38"/>
  <c r="AF330" i="38"/>
  <c r="AF331" i="38"/>
  <c r="AF332" i="38"/>
  <c r="AF333" i="38"/>
  <c r="AF334" i="38"/>
  <c r="AF335" i="38"/>
  <c r="AF336" i="38"/>
  <c r="AF337" i="38"/>
  <c r="AF338" i="38"/>
  <c r="AF339" i="38"/>
  <c r="AF340" i="38"/>
  <c r="AF341" i="38"/>
  <c r="AF342" i="38"/>
  <c r="AF343" i="38"/>
  <c r="AF344" i="38"/>
  <c r="AF345" i="38"/>
  <c r="AF346" i="38"/>
  <c r="AF347" i="38"/>
  <c r="AF348" i="38"/>
  <c r="AF349" i="38"/>
  <c r="AF350" i="38"/>
  <c r="AF351" i="38"/>
  <c r="AF352" i="38"/>
  <c r="AF353" i="38"/>
  <c r="AF354" i="38"/>
  <c r="AF355" i="38"/>
  <c r="AF356" i="38"/>
  <c r="AF357" i="38"/>
  <c r="AF358" i="38"/>
  <c r="AF359" i="38"/>
  <c r="AF360" i="38"/>
  <c r="AF361" i="38"/>
  <c r="AF362" i="38"/>
  <c r="AF363" i="38"/>
  <c r="AF364" i="38"/>
  <c r="AF365" i="38"/>
  <c r="AF366" i="38"/>
  <c r="AF367" i="38"/>
  <c r="AF368" i="38"/>
  <c r="AF369" i="38"/>
  <c r="AF370" i="38"/>
  <c r="AF371" i="38"/>
  <c r="AF372" i="38"/>
  <c r="AF373" i="38"/>
  <c r="AF374" i="38"/>
  <c r="AF375" i="38"/>
  <c r="AF376" i="38"/>
  <c r="AF377" i="38"/>
  <c r="AF378" i="38"/>
  <c r="AF379" i="38"/>
  <c r="AF380" i="38"/>
  <c r="AF381" i="38"/>
  <c r="AF382" i="38"/>
  <c r="AF383" i="38"/>
  <c r="AF384" i="38"/>
  <c r="AF385" i="38"/>
  <c r="AF386" i="38"/>
  <c r="AF387" i="38"/>
  <c r="AF388" i="38"/>
  <c r="AF389" i="38"/>
  <c r="AF390" i="38"/>
  <c r="AF391" i="38"/>
  <c r="AF392" i="38"/>
  <c r="AF393" i="38"/>
  <c r="AF394" i="38"/>
  <c r="AF395" i="38"/>
  <c r="AF396" i="38"/>
  <c r="AF397" i="38"/>
  <c r="AF398" i="38"/>
  <c r="AF399" i="38"/>
  <c r="AF400" i="38"/>
  <c r="AF401" i="38"/>
  <c r="AF402" i="38"/>
  <c r="AF403" i="38"/>
  <c r="AF404" i="38"/>
  <c r="AF405" i="38"/>
  <c r="AF406" i="38"/>
  <c r="AF407" i="38"/>
  <c r="AF408" i="38"/>
  <c r="AF409" i="38"/>
  <c r="AF410" i="38"/>
  <c r="AF411" i="38"/>
  <c r="AF412" i="38"/>
  <c r="AF413" i="38"/>
  <c r="AF414" i="38"/>
  <c r="AF415" i="38"/>
  <c r="AF416" i="38"/>
  <c r="AF417" i="38"/>
  <c r="AF418" i="38"/>
  <c r="AF419" i="38"/>
  <c r="AF420" i="38"/>
  <c r="AF421" i="38"/>
  <c r="AF422" i="38"/>
  <c r="AF423" i="38"/>
  <c r="AF424" i="38"/>
  <c r="AF425" i="38"/>
  <c r="AF426" i="38"/>
  <c r="AF427" i="38"/>
  <c r="AF428" i="38"/>
  <c r="AF429" i="38"/>
  <c r="AF430" i="38"/>
  <c r="AF431" i="38"/>
  <c r="AF432" i="38"/>
  <c r="AF433" i="38"/>
  <c r="AF434" i="38"/>
  <c r="AF435" i="38"/>
  <c r="AF436" i="38"/>
  <c r="AF437" i="38"/>
  <c r="AF438" i="38"/>
  <c r="AF439" i="38"/>
  <c r="AF440" i="38"/>
  <c r="AF441" i="38"/>
  <c r="AF442" i="38"/>
  <c r="AF443" i="38"/>
  <c r="AF444" i="38"/>
  <c r="AF445" i="38"/>
  <c r="AF446" i="38"/>
  <c r="AF447" i="38"/>
  <c r="AF448" i="38"/>
  <c r="AF449" i="38"/>
  <c r="AF450" i="38"/>
  <c r="AF451" i="38"/>
  <c r="AF452" i="38"/>
  <c r="AF453" i="38"/>
  <c r="AF454" i="38"/>
  <c r="AF455" i="38"/>
  <c r="AF456" i="38"/>
  <c r="AF457" i="38"/>
  <c r="AF458" i="38"/>
  <c r="AF459" i="38"/>
  <c r="AF460" i="38"/>
  <c r="AF461" i="38"/>
  <c r="AF462" i="38"/>
  <c r="AF463" i="38"/>
  <c r="AF464" i="38"/>
  <c r="AF465" i="38"/>
  <c r="AF466" i="38"/>
  <c r="AF467" i="38"/>
  <c r="AF468" i="38"/>
  <c r="AF469" i="38"/>
  <c r="AF470" i="38"/>
  <c r="AF471" i="38"/>
  <c r="AF472" i="38"/>
  <c r="AF473" i="38"/>
  <c r="AF474" i="38"/>
  <c r="AF475" i="38"/>
  <c r="AF476" i="38"/>
  <c r="AF477" i="38"/>
  <c r="AF478" i="38"/>
  <c r="AF479" i="38"/>
  <c r="AF480" i="38"/>
  <c r="AF481" i="38"/>
  <c r="AF482" i="38"/>
  <c r="AF483" i="38"/>
  <c r="AF484" i="38"/>
  <c r="AF485" i="38"/>
  <c r="AF486" i="38"/>
  <c r="AF487" i="38"/>
  <c r="AF488" i="38"/>
  <c r="AF489" i="38"/>
  <c r="AF490" i="38"/>
  <c r="AF491" i="38"/>
  <c r="AF492" i="38"/>
  <c r="AF493" i="38"/>
  <c r="AF494" i="38"/>
  <c r="AF495" i="38"/>
  <c r="AF496" i="38"/>
  <c r="AF497" i="38"/>
  <c r="AF498" i="38"/>
  <c r="AF499" i="38"/>
  <c r="AF500" i="38"/>
  <c r="AF501" i="38"/>
  <c r="AF502" i="38"/>
  <c r="AF503" i="38"/>
  <c r="AF504" i="38"/>
  <c r="AF505" i="38"/>
  <c r="AF506" i="38"/>
  <c r="AF507" i="38"/>
  <c r="AF508" i="38"/>
  <c r="AF509" i="38"/>
  <c r="AF510" i="38"/>
  <c r="AF511" i="38"/>
  <c r="AF512" i="38"/>
  <c r="AF513" i="38"/>
  <c r="AF514" i="38"/>
  <c r="AF515" i="38"/>
  <c r="AF516" i="38"/>
  <c r="AF517" i="38"/>
  <c r="AF518" i="38"/>
  <c r="AF519" i="38"/>
  <c r="AF520" i="38"/>
  <c r="AF521" i="38"/>
  <c r="AF522" i="38"/>
  <c r="AF523" i="38"/>
  <c r="AF524" i="38"/>
  <c r="AF525" i="38"/>
  <c r="AF526" i="38"/>
  <c r="AF527" i="38"/>
  <c r="AF528" i="38"/>
  <c r="AF529" i="38"/>
  <c r="AF530" i="38"/>
  <c r="AF531" i="38"/>
  <c r="AF532" i="38"/>
  <c r="AF533" i="38"/>
  <c r="AF534" i="38"/>
  <c r="AF535" i="38"/>
  <c r="AF536" i="38"/>
  <c r="AF537" i="38"/>
  <c r="AF538" i="38"/>
  <c r="AF539" i="38"/>
  <c r="AF540" i="38"/>
  <c r="AF541" i="38"/>
  <c r="AF542" i="38"/>
  <c r="AF543" i="38"/>
  <c r="AF544" i="38"/>
  <c r="AF545" i="38"/>
  <c r="AF546" i="38"/>
  <c r="AF547" i="38"/>
  <c r="AF548" i="38"/>
  <c r="AF549" i="38"/>
  <c r="AF550" i="38"/>
  <c r="AF551" i="38"/>
  <c r="AF552" i="38"/>
  <c r="AF553" i="38"/>
  <c r="AF554" i="38"/>
  <c r="AF555" i="38"/>
  <c r="AF556" i="38"/>
  <c r="AF557" i="38"/>
  <c r="AF558" i="38"/>
  <c r="AF559" i="38"/>
  <c r="AF560" i="38"/>
  <c r="AF561" i="38"/>
  <c r="AF562" i="38"/>
  <c r="AF563" i="38"/>
  <c r="AF564" i="38"/>
  <c r="AF565" i="38"/>
  <c r="AF566" i="38"/>
  <c r="AF567" i="38"/>
  <c r="AF568" i="38"/>
  <c r="AF569" i="38"/>
  <c r="AF570" i="38"/>
  <c r="AF571" i="38"/>
  <c r="AF572" i="38"/>
  <c r="AF573" i="38"/>
  <c r="AF574" i="38"/>
  <c r="AF575" i="38"/>
  <c r="AF576" i="38"/>
  <c r="AF577" i="38"/>
  <c r="AF578" i="38"/>
  <c r="AF579" i="38"/>
  <c r="AF580" i="38"/>
  <c r="AF581" i="38"/>
  <c r="AF582" i="38"/>
  <c r="AF583" i="38"/>
  <c r="AF584" i="38"/>
  <c r="AF585" i="38"/>
  <c r="AF586" i="38"/>
  <c r="AF587" i="38"/>
  <c r="AF588" i="38"/>
  <c r="AF589" i="38"/>
  <c r="AF590" i="38"/>
  <c r="AF591" i="38"/>
  <c r="AF592" i="38"/>
  <c r="AF593" i="38"/>
  <c r="AF594" i="38"/>
  <c r="AF595" i="38"/>
  <c r="AF596" i="38"/>
  <c r="AF597" i="38"/>
  <c r="AF598" i="38"/>
  <c r="AF599" i="38"/>
  <c r="AF600" i="38"/>
  <c r="AF601" i="38"/>
  <c r="AF602" i="38"/>
  <c r="AF603" i="38"/>
  <c r="AF604" i="38"/>
  <c r="AF605" i="38"/>
  <c r="AF606" i="38"/>
  <c r="AF607" i="38"/>
  <c r="AF608" i="38"/>
  <c r="AF609" i="38"/>
  <c r="AF610" i="38"/>
  <c r="AF611" i="38"/>
  <c r="AF612" i="38"/>
  <c r="AF613" i="38"/>
  <c r="AF614" i="38"/>
  <c r="AF615" i="38"/>
  <c r="AF616" i="38"/>
  <c r="AF617" i="38"/>
  <c r="AF618" i="38"/>
  <c r="AF619" i="38"/>
  <c r="AF620" i="38"/>
  <c r="AF621" i="38"/>
  <c r="AF622" i="38"/>
  <c r="AF623" i="38"/>
  <c r="AF624" i="38"/>
  <c r="AF625" i="38"/>
  <c r="AF626" i="38"/>
  <c r="AF627" i="38"/>
  <c r="AF628" i="38"/>
  <c r="AF629" i="38"/>
  <c r="AF630" i="38"/>
  <c r="AF631" i="38"/>
  <c r="AF632" i="38"/>
  <c r="C38" i="6"/>
  <c r="D38" i="6" s="1"/>
  <c r="E30" i="32"/>
  <c r="AI56" i="2" s="1"/>
  <c r="S135" i="2"/>
  <c r="S40" i="73"/>
  <c r="R22" i="73"/>
  <c r="R52" i="73"/>
  <c r="R46" i="73"/>
  <c r="S47" i="73"/>
  <c r="R38" i="73"/>
  <c r="S43" i="73"/>
  <c r="S4" i="73"/>
  <c r="P50" i="46"/>
  <c r="R19" i="73"/>
  <c r="R48" i="73"/>
  <c r="R21" i="73"/>
  <c r="S45" i="73"/>
  <c r="R18" i="73"/>
  <c r="P24" i="46"/>
  <c r="R27" i="73"/>
  <c r="R41" i="73"/>
  <c r="S26" i="73"/>
  <c r="S39" i="73"/>
  <c r="R45" i="73"/>
  <c r="P42" i="46"/>
  <c r="R40" i="73"/>
  <c r="S19" i="73"/>
  <c r="P46" i="46"/>
  <c r="S23" i="73"/>
  <c r="P32" i="46"/>
  <c r="P44" i="46"/>
  <c r="S38" i="73"/>
  <c r="S37" i="73"/>
  <c r="P55" i="46"/>
  <c r="P25" i="46"/>
  <c r="P41" i="46"/>
  <c r="R34" i="73"/>
  <c r="S50" i="73"/>
  <c r="P6" i="46"/>
  <c r="S55" i="73"/>
  <c r="R51" i="73"/>
  <c r="S36" i="73"/>
  <c r="P18" i="46"/>
  <c r="R37" i="73"/>
  <c r="S44" i="73"/>
  <c r="P49" i="46"/>
  <c r="P48" i="46"/>
  <c r="S42" i="73"/>
  <c r="P21" i="46"/>
  <c r="R32" i="73"/>
  <c r="R49" i="73"/>
  <c r="S16" i="73"/>
  <c r="P47" i="46"/>
  <c r="S41" i="73"/>
  <c r="S22" i="73"/>
  <c r="P23" i="46"/>
  <c r="P43" i="46"/>
  <c r="P20" i="46"/>
  <c r="AI10" i="69"/>
  <c r="R53" i="73"/>
  <c r="C20" i="69"/>
  <c r="P36" i="46"/>
  <c r="X20" i="69"/>
  <c r="R20" i="73"/>
  <c r="S31" i="73"/>
  <c r="P34" i="46"/>
  <c r="AE10" i="69"/>
  <c r="J18" i="69"/>
  <c r="S18" i="69"/>
  <c r="E15" i="69"/>
  <c r="F20" i="69"/>
  <c r="M18" i="69"/>
  <c r="AR14" i="69"/>
  <c r="J20" i="69"/>
  <c r="AO20" i="69"/>
  <c r="R28" i="73"/>
  <c r="E6" i="69"/>
  <c r="Z19" i="69"/>
  <c r="S25" i="73"/>
  <c r="J6" i="69"/>
  <c r="P56" i="46"/>
  <c r="S24" i="73"/>
  <c r="P54" i="46"/>
  <c r="P7" i="46"/>
  <c r="P29" i="46"/>
  <c r="P39" i="46"/>
  <c r="P53" i="46"/>
  <c r="R16" i="73"/>
  <c r="P37" i="46"/>
  <c r="S28" i="73"/>
  <c r="P28" i="46"/>
  <c r="AH19" i="69"/>
  <c r="AV20" i="69"/>
  <c r="AB15" i="69"/>
  <c r="S49" i="73"/>
  <c r="S27" i="73"/>
  <c r="P17" i="69"/>
  <c r="X15" i="69"/>
  <c r="K20" i="69"/>
  <c r="AT6" i="69"/>
  <c r="AA19" i="69"/>
  <c r="Q19" i="69"/>
  <c r="M14" i="69"/>
  <c r="AB18" i="69"/>
  <c r="R44" i="73"/>
  <c r="S21" i="73"/>
  <c r="P31" i="46"/>
  <c r="AO14" i="69"/>
  <c r="AJ20" i="69"/>
  <c r="AN18" i="69"/>
  <c r="R29" i="73"/>
  <c r="P27" i="46"/>
  <c r="P19" i="46"/>
  <c r="AM20" i="69"/>
  <c r="R39" i="73"/>
  <c r="R5" i="73"/>
  <c r="S20" i="69"/>
  <c r="L6" i="69"/>
  <c r="S33" i="73"/>
  <c r="S17" i="73"/>
  <c r="X14" i="69"/>
  <c r="AV6" i="69"/>
  <c r="B10" i="69"/>
  <c r="Z10" i="69"/>
  <c r="S15" i="69"/>
  <c r="AL10" i="69"/>
  <c r="K14" i="69"/>
  <c r="AU20" i="69"/>
  <c r="B17" i="69"/>
  <c r="P33" i="46"/>
  <c r="AM16" i="69"/>
  <c r="AF16" i="69"/>
  <c r="AA15" i="69"/>
  <c r="S32" i="73"/>
  <c r="S29" i="73"/>
  <c r="S54" i="73"/>
  <c r="R30" i="73"/>
  <c r="P51" i="46"/>
  <c r="P57" i="46"/>
  <c r="R36" i="73"/>
  <c r="P52" i="46"/>
  <c r="P40" i="46"/>
  <c r="P26" i="46"/>
  <c r="R25" i="73"/>
  <c r="S52" i="73"/>
  <c r="P22" i="46"/>
  <c r="S18" i="73"/>
  <c r="Y18" i="69"/>
  <c r="X17" i="69"/>
  <c r="R4" i="73"/>
  <c r="R26" i="73"/>
  <c r="AA14" i="69"/>
  <c r="AC15" i="69"/>
  <c r="W14" i="69"/>
  <c r="P58" i="46"/>
  <c r="P30" i="46"/>
  <c r="AH18" i="69"/>
  <c r="AE18" i="69"/>
  <c r="AF17" i="69"/>
  <c r="S35" i="73"/>
  <c r="L14" i="69"/>
  <c r="I20" i="69"/>
  <c r="AM19" i="69"/>
  <c r="S34" i="73"/>
  <c r="S48" i="73"/>
  <c r="AW20" i="69"/>
  <c r="AS14" i="69"/>
  <c r="AV18" i="69"/>
  <c r="N15" i="69"/>
  <c r="R47" i="73"/>
  <c r="R33" i="73"/>
  <c r="S19" i="69"/>
  <c r="AW14" i="69"/>
  <c r="R24" i="73"/>
  <c r="AW18" i="69"/>
  <c r="X18" i="69"/>
  <c r="U10" i="69"/>
  <c r="W6" i="69"/>
  <c r="AL20" i="69"/>
  <c r="AB10" i="69"/>
  <c r="R54" i="73"/>
  <c r="S51" i="73"/>
  <c r="K6" i="69"/>
  <c r="X16" i="69"/>
  <c r="AS15" i="69"/>
  <c r="AR19" i="69"/>
  <c r="AW10" i="69"/>
  <c r="Q14" i="69"/>
  <c r="N14" i="69"/>
  <c r="P19" i="69"/>
  <c r="P16" i="69"/>
  <c r="Q16" i="69"/>
  <c r="J17" i="69"/>
  <c r="X19" i="69"/>
  <c r="AG17" i="69"/>
  <c r="P45" i="46"/>
  <c r="AR15" i="69"/>
  <c r="G14" i="69"/>
  <c r="R42" i="73"/>
  <c r="AG19" i="69"/>
  <c r="M20" i="69"/>
  <c r="S14" i="69"/>
  <c r="AK19" i="69"/>
  <c r="L20" i="69"/>
  <c r="AT14" i="69"/>
  <c r="AK15" i="69"/>
  <c r="S53" i="73"/>
  <c r="AV10" i="69"/>
  <c r="O18" i="69"/>
  <c r="AI14" i="69"/>
  <c r="K15" i="69"/>
  <c r="AE15" i="69"/>
  <c r="H18" i="69"/>
  <c r="AS6" i="69"/>
  <c r="AD18" i="69"/>
  <c r="L19" i="69"/>
  <c r="P35" i="46"/>
  <c r="U16" i="69"/>
  <c r="K17" i="69"/>
  <c r="R35" i="73"/>
  <c r="AE6" i="69"/>
  <c r="AO16" i="69"/>
  <c r="R50" i="73"/>
  <c r="P6" i="69"/>
  <c r="R17" i="73"/>
  <c r="AI16" i="69"/>
  <c r="AP14" i="69"/>
  <c r="AF15" i="69"/>
  <c r="G17" i="69"/>
  <c r="C18" i="69"/>
  <c r="AE19" i="69"/>
  <c r="AM14" i="69"/>
  <c r="M17" i="69"/>
  <c r="S30" i="73"/>
  <c r="R23" i="73"/>
  <c r="P38" i="46"/>
  <c r="S46" i="73"/>
  <c r="C10" i="69"/>
  <c r="B18" i="69"/>
  <c r="N6" i="69"/>
  <c r="B20" i="69"/>
  <c r="AQ16" i="69"/>
  <c r="AG20" i="69"/>
  <c r="R55" i="73"/>
  <c r="S20" i="73"/>
  <c r="R31" i="73"/>
  <c r="K10" i="69"/>
  <c r="U20" i="69"/>
  <c r="R43" i="73"/>
  <c r="AO19" i="69"/>
  <c r="Q7" i="73" l="1"/>
  <c r="AF48" i="30"/>
  <c r="AN949" i="2"/>
  <c r="C21" i="26"/>
  <c r="AN15" i="2" s="1"/>
  <c r="AA2" i="38"/>
  <c r="AD15" i="38"/>
  <c r="I15" i="38" s="1"/>
  <c r="AA37" i="2"/>
  <c r="O31" i="32"/>
  <c r="AA57" i="2" s="1"/>
  <c r="BE6" i="69"/>
  <c r="BE8" i="69" s="1"/>
  <c r="AF4" i="30"/>
  <c r="A4" i="30"/>
  <c r="AN905" i="2"/>
  <c r="D43" i="52"/>
  <c r="B21" i="26"/>
  <c r="AM15" i="2" s="1"/>
  <c r="C9" i="52"/>
  <c r="AM912" i="2"/>
  <c r="B20" i="26"/>
  <c r="AM14" i="2" s="1"/>
  <c r="B17" i="26"/>
  <c r="AM906" i="2"/>
  <c r="C44" i="52"/>
  <c r="C5" i="52"/>
  <c r="AO801" i="38"/>
  <c r="AO909" i="38"/>
  <c r="AI42" i="38"/>
  <c r="AG42" i="38"/>
  <c r="AO310" i="38"/>
  <c r="AI641" i="38"/>
  <c r="AE641" i="38"/>
  <c r="AQ641" i="38" s="1"/>
  <c r="C895" i="2"/>
  <c r="C957" i="2"/>
  <c r="AI247" i="38"/>
  <c r="AE247" i="38"/>
  <c r="AI696" i="38"/>
  <c r="AE274" i="38"/>
  <c r="AI274" i="38"/>
  <c r="AI340" i="38"/>
  <c r="AG340" i="38"/>
  <c r="F19" i="60"/>
  <c r="L50" i="51"/>
  <c r="Z21" i="46"/>
  <c r="AE372" i="38"/>
  <c r="AI372" i="38"/>
  <c r="AG372" i="38"/>
  <c r="O9" i="46"/>
  <c r="O10" i="46" s="1"/>
  <c r="AB2" i="38"/>
  <c r="AD21" i="46" s="1"/>
  <c r="P49" i="51"/>
  <c r="AF40" i="30"/>
  <c r="AO640" i="38"/>
  <c r="AE704" i="38"/>
  <c r="AI528" i="38"/>
  <c r="S31" i="32"/>
  <c r="AE57" i="2" s="1"/>
  <c r="AG35" i="2"/>
  <c r="C19" i="26"/>
  <c r="AN13" i="2" s="1"/>
  <c r="BG6" i="69"/>
  <c r="BG8" i="69" s="1"/>
  <c r="AO12" i="38"/>
  <c r="U2" i="38"/>
  <c r="I50" i="51" s="1"/>
  <c r="I53" i="51" s="1"/>
  <c r="AI481" i="38"/>
  <c r="AQ481" i="38" s="1"/>
  <c r="AE332" i="38"/>
  <c r="H39" i="51"/>
  <c r="AP31" i="32"/>
  <c r="C8" i="52"/>
  <c r="G49" i="51"/>
  <c r="AG61" i="2"/>
  <c r="AI30" i="38"/>
  <c r="C38" i="32"/>
  <c r="AG64" i="2" s="1"/>
  <c r="AN933" i="2"/>
  <c r="AE410" i="38"/>
  <c r="AI410" i="38"/>
  <c r="AG356" i="38"/>
  <c r="AE356" i="38"/>
  <c r="AI290" i="38"/>
  <c r="AE290" i="38"/>
  <c r="AG290" i="38"/>
  <c r="AE252" i="38"/>
  <c r="AG252" i="38"/>
  <c r="AI800" i="38"/>
  <c r="AE800" i="38"/>
  <c r="AG800" i="38"/>
  <c r="AG373" i="38"/>
  <c r="AI373" i="38"/>
  <c r="AI656" i="38"/>
  <c r="AQ656" i="38" s="1"/>
  <c r="AE656" i="38"/>
  <c r="AG656" i="38"/>
  <c r="AI545" i="38"/>
  <c r="AE545" i="38"/>
  <c r="AG258" i="38"/>
  <c r="AE258" i="38"/>
  <c r="AI258" i="38"/>
  <c r="AI47" i="38"/>
  <c r="AE47" i="38"/>
  <c r="N50" i="51"/>
  <c r="AB21" i="46"/>
  <c r="AE334" i="38"/>
  <c r="AG334" i="38"/>
  <c r="AE752" i="38"/>
  <c r="AG752" i="38"/>
  <c r="AG225" i="38"/>
  <c r="AE225" i="38"/>
  <c r="AI225" i="38"/>
  <c r="L40" i="32"/>
  <c r="X66" i="2" s="1"/>
  <c r="I6" i="51"/>
  <c r="W37" i="2"/>
  <c r="AO164" i="38"/>
  <c r="AO579" i="38"/>
  <c r="G6" i="51"/>
  <c r="AG641" i="38"/>
  <c r="AG84" i="38"/>
  <c r="K31" i="32"/>
  <c r="W57" i="2" s="1"/>
  <c r="U37" i="2"/>
  <c r="D898" i="2"/>
  <c r="AO692" i="38"/>
  <c r="AO908" i="38"/>
  <c r="AF57" i="30"/>
  <c r="AF15" i="30"/>
  <c r="AO11" i="38"/>
  <c r="AO397" i="38"/>
  <c r="AE549" i="38"/>
  <c r="AE481" i="38"/>
  <c r="AI239" i="38"/>
  <c r="AQ239" i="38" s="1"/>
  <c r="G38" i="51"/>
  <c r="H36" i="51"/>
  <c r="J31" i="32"/>
  <c r="V57" i="2" s="1"/>
  <c r="C896" i="2"/>
  <c r="AO978" i="38"/>
  <c r="AO982" i="38"/>
  <c r="AG776" i="38"/>
  <c r="AQ776" i="38" s="1"/>
  <c r="AI353" i="38"/>
  <c r="AE223" i="38"/>
  <c r="AQ223" i="38" s="1"/>
  <c r="AE42" i="38"/>
  <c r="AG45" i="2"/>
  <c r="AG23" i="38"/>
  <c r="AL31" i="32"/>
  <c r="AO9" i="38"/>
  <c r="AO604" i="38"/>
  <c r="AF31" i="30"/>
  <c r="AF7" i="30"/>
  <c r="AO101" i="38"/>
  <c r="AO185" i="38"/>
  <c r="O49" i="51"/>
  <c r="AH1096" i="2"/>
  <c r="AI736" i="38"/>
  <c r="AG228" i="38"/>
  <c r="G39" i="51"/>
  <c r="G22" i="51"/>
  <c r="J92" i="86"/>
  <c r="C953" i="2"/>
  <c r="AO57" i="38"/>
  <c r="AO7" i="38"/>
  <c r="AO487" i="38"/>
  <c r="AJ5" i="38"/>
  <c r="D929" i="2"/>
  <c r="AE736" i="38"/>
  <c r="AQ736" i="38" s="1"/>
  <c r="AE342" i="38"/>
  <c r="AI228" i="38"/>
  <c r="AG5" i="38"/>
  <c r="AN408" i="2"/>
  <c r="F17" i="82"/>
  <c r="AO409" i="38"/>
  <c r="AO191" i="38"/>
  <c r="AO10" i="38"/>
  <c r="AO307" i="38"/>
  <c r="AO34" i="38"/>
  <c r="AO468" i="38"/>
  <c r="AF35" i="30"/>
  <c r="AF11" i="30"/>
  <c r="AF5" i="30"/>
  <c r="AO45" i="38"/>
  <c r="H6" i="51"/>
  <c r="AI792" i="38"/>
  <c r="AG712" i="38"/>
  <c r="AQ712" i="38" s="1"/>
  <c r="AE525" i="38"/>
  <c r="AE358" i="38"/>
  <c r="AI233" i="38"/>
  <c r="AE5" i="38"/>
  <c r="F40" i="32"/>
  <c r="AJ66" i="2" s="1"/>
  <c r="AO324" i="38"/>
  <c r="AF64" i="30"/>
  <c r="AF58" i="30"/>
  <c r="AF28" i="30"/>
  <c r="AF16" i="30"/>
  <c r="M40" i="32"/>
  <c r="Y66" i="2" s="1"/>
  <c r="AI538" i="38"/>
  <c r="AE538" i="38"/>
  <c r="AI832" i="38"/>
  <c r="AE832" i="38"/>
  <c r="AG832" i="38"/>
  <c r="AE744" i="38"/>
  <c r="AG744" i="38"/>
  <c r="AG720" i="38"/>
  <c r="AI720" i="38"/>
  <c r="AE271" i="38"/>
  <c r="AG271" i="38"/>
  <c r="AI271" i="38"/>
  <c r="AM842" i="2"/>
  <c r="C26" i="52"/>
  <c r="D33" i="49" s="1"/>
  <c r="AG1065" i="2"/>
  <c r="C47" i="6"/>
  <c r="AG686" i="38"/>
  <c r="AE686" i="38"/>
  <c r="AG513" i="38"/>
  <c r="AQ513" i="38" s="1"/>
  <c r="AE513" i="38"/>
  <c r="AI513" i="38"/>
  <c r="AG473" i="38"/>
  <c r="AI473" i="38"/>
  <c r="AE473" i="38"/>
  <c r="F35" i="51"/>
  <c r="G40" i="51"/>
  <c r="H37" i="51"/>
  <c r="F39" i="51"/>
  <c r="G37" i="51"/>
  <c r="I34" i="51"/>
  <c r="AI306" i="38"/>
  <c r="AQ306" i="38" s="1"/>
  <c r="AE306" i="38"/>
  <c r="AG306" i="38"/>
  <c r="AI288" i="38"/>
  <c r="AG288" i="38"/>
  <c r="AI230" i="38"/>
  <c r="AE230" i="38"/>
  <c r="AG230" i="38"/>
  <c r="AQ230" i="38" s="1"/>
  <c r="AI191" i="38"/>
  <c r="AE191" i="38"/>
  <c r="G36" i="51"/>
  <c r="C33" i="49"/>
  <c r="C72" i="52" s="1"/>
  <c r="AG47" i="2"/>
  <c r="AI541" i="38"/>
  <c r="AE541" i="38"/>
  <c r="AI522" i="38"/>
  <c r="AE522" i="38"/>
  <c r="AI495" i="38"/>
  <c r="AE495" i="38"/>
  <c r="AG495" i="38"/>
  <c r="AG287" i="38"/>
  <c r="AQ287" i="38" s="1"/>
  <c r="AI287" i="38"/>
  <c r="AE287" i="38"/>
  <c r="AI270" i="38"/>
  <c r="AE270" i="38"/>
  <c r="AI262" i="38"/>
  <c r="AE262" i="38"/>
  <c r="AQ262" i="38" s="1"/>
  <c r="AE975" i="38"/>
  <c r="AG975" i="38"/>
  <c r="AE943" i="38"/>
  <c r="AG943" i="38"/>
  <c r="AE911" i="38"/>
  <c r="AG911" i="38"/>
  <c r="AE879" i="38"/>
  <c r="AG879" i="38"/>
  <c r="AE847" i="38"/>
  <c r="AG847" i="38"/>
  <c r="AE808" i="38"/>
  <c r="AG808" i="38"/>
  <c r="AQ808" i="38" s="1"/>
  <c r="AG760" i="38"/>
  <c r="AE760" i="38"/>
  <c r="AG654" i="38"/>
  <c r="AE654" i="38"/>
  <c r="AI537" i="38"/>
  <c r="AE537" i="38"/>
  <c r="AI521" i="38"/>
  <c r="AE521" i="38"/>
  <c r="AI503" i="38"/>
  <c r="AE503" i="38"/>
  <c r="AG325" i="38"/>
  <c r="AE325" i="38"/>
  <c r="AE221" i="38"/>
  <c r="AI221" i="38"/>
  <c r="AI199" i="38"/>
  <c r="AG199" i="38"/>
  <c r="AE199" i="38"/>
  <c r="U64" i="2"/>
  <c r="I40" i="32"/>
  <c r="U66" i="2" s="1"/>
  <c r="AI422" i="38"/>
  <c r="AE422" i="38"/>
  <c r="AE396" i="38"/>
  <c r="AG396" i="38"/>
  <c r="AI294" i="38"/>
  <c r="AG294" i="38"/>
  <c r="AE294" i="38"/>
  <c r="E31" i="32"/>
  <c r="AI57" i="2" s="1"/>
  <c r="AQ290" i="38"/>
  <c r="AQ266" i="38"/>
  <c r="AQ42" i="38"/>
  <c r="AE981" i="38"/>
  <c r="AI981" i="38"/>
  <c r="AE949" i="38"/>
  <c r="AI949" i="38"/>
  <c r="AQ949" i="38" s="1"/>
  <c r="AE917" i="38"/>
  <c r="AI917" i="38"/>
  <c r="AE885" i="38"/>
  <c r="AI885" i="38"/>
  <c r="AQ885" i="38" s="1"/>
  <c r="AE853" i="38"/>
  <c r="AI853" i="38"/>
  <c r="AG824" i="38"/>
  <c r="AE824" i="38"/>
  <c r="AQ824" i="38" s="1"/>
  <c r="AE784" i="38"/>
  <c r="AQ784" i="38" s="1"/>
  <c r="AG784" i="38"/>
  <c r="AI768" i="38"/>
  <c r="AE768" i="38"/>
  <c r="AE728" i="38"/>
  <c r="AG728" i="38"/>
  <c r="AE637" i="38"/>
  <c r="AG637" i="38"/>
  <c r="AI613" i="38"/>
  <c r="AE613" i="38"/>
  <c r="AI605" i="38"/>
  <c r="AE605" i="38"/>
  <c r="AG489" i="38"/>
  <c r="AI489" i="38"/>
  <c r="AE489" i="38"/>
  <c r="AE426" i="38"/>
  <c r="AI426" i="38"/>
  <c r="AE382" i="38"/>
  <c r="AG382" i="38"/>
  <c r="AE364" i="38"/>
  <c r="AQ364" i="38" s="1"/>
  <c r="AI364" i="38"/>
  <c r="AG348" i="38"/>
  <c r="AI348" i="38"/>
  <c r="AE226" i="38"/>
  <c r="AI226" i="38"/>
  <c r="AG43" i="38"/>
  <c r="AE43" i="38"/>
  <c r="AC56" i="2"/>
  <c r="Q31" i="32"/>
  <c r="AC57" i="2" s="1"/>
  <c r="H92" i="86"/>
  <c r="C7" i="82"/>
  <c r="AH1097" i="2"/>
  <c r="C8" i="82"/>
  <c r="H133" i="86"/>
  <c r="D883" i="2"/>
  <c r="D945" i="2"/>
  <c r="D946" i="2"/>
  <c r="D884" i="2"/>
  <c r="AQ704" i="38"/>
  <c r="AI589" i="38"/>
  <c r="AE589" i="38"/>
  <c r="AI471" i="38"/>
  <c r="AG471" i="38"/>
  <c r="AE242" i="38"/>
  <c r="AQ242" i="38" s="1"/>
  <c r="AI242" i="38"/>
  <c r="AI232" i="38"/>
  <c r="AG232" i="38"/>
  <c r="AG18" i="38"/>
  <c r="AQ18" i="38" s="1"/>
  <c r="AI18" i="38"/>
  <c r="AH1094" i="2"/>
  <c r="U23" i="34"/>
  <c r="AG672" i="38"/>
  <c r="AQ672" i="38" s="1"/>
  <c r="AI529" i="38"/>
  <c r="AE529" i="38"/>
  <c r="AI356" i="38"/>
  <c r="AG305" i="38"/>
  <c r="AE305" i="38"/>
  <c r="AI282" i="38"/>
  <c r="AG282" i="38"/>
  <c r="AG274" i="38"/>
  <c r="AQ274" i="38" s="1"/>
  <c r="AI264" i="38"/>
  <c r="AG264" i="38"/>
  <c r="AG247" i="38"/>
  <c r="AQ247" i="38" s="1"/>
  <c r="AQ225" i="38"/>
  <c r="AG47" i="38"/>
  <c r="AQ47" i="38" s="1"/>
  <c r="AQ23" i="38"/>
  <c r="E40" i="32"/>
  <c r="AI66" i="2" s="1"/>
  <c r="H41" i="51"/>
  <c r="AJ31" i="32"/>
  <c r="AN31" i="32"/>
  <c r="AR31" i="32"/>
  <c r="AT31" i="32"/>
  <c r="C74" i="28"/>
  <c r="AG32" i="2"/>
  <c r="C899" i="2"/>
  <c r="C961" i="2"/>
  <c r="I92" i="86"/>
  <c r="D7" i="82"/>
  <c r="D10" i="82" s="1"/>
  <c r="H40" i="32"/>
  <c r="T66" i="2" s="1"/>
  <c r="F31" i="32"/>
  <c r="AJ57" i="2" s="1"/>
  <c r="BI6" i="69"/>
  <c r="BI8" i="69" s="1"/>
  <c r="D956" i="2"/>
  <c r="D894" i="2"/>
  <c r="C900" i="2"/>
  <c r="C962" i="2"/>
  <c r="H31" i="32"/>
  <c r="T57" i="2" s="1"/>
  <c r="AK31" i="32"/>
  <c r="AO31" i="32"/>
  <c r="AO818" i="38"/>
  <c r="AO106" i="38"/>
  <c r="AO538" i="38"/>
  <c r="AO36" i="38"/>
  <c r="AO353" i="38"/>
  <c r="AO396" i="38"/>
  <c r="AO158" i="38"/>
  <c r="AO986" i="38"/>
  <c r="AO103" i="38"/>
  <c r="AO700" i="38"/>
  <c r="AO272" i="38"/>
  <c r="AO536" i="38"/>
  <c r="AO976" i="38"/>
  <c r="AO467" i="38"/>
  <c r="AO716" i="38"/>
  <c r="AO749" i="38"/>
  <c r="AO806" i="38"/>
  <c r="AO831" i="38"/>
  <c r="C27" i="52"/>
  <c r="AF62" i="30"/>
  <c r="AF34" i="30"/>
  <c r="AF10" i="30"/>
  <c r="AM15" i="38"/>
  <c r="C42" i="6" s="1"/>
  <c r="D42" i="6" s="1"/>
  <c r="AO41" i="38"/>
  <c r="AO345" i="38"/>
  <c r="AO178" i="38"/>
  <c r="AO762" i="38"/>
  <c r="AO92" i="38"/>
  <c r="AO481" i="38"/>
  <c r="AO569" i="38"/>
  <c r="AO222" i="38"/>
  <c r="AO127" i="38"/>
  <c r="AO802" i="38"/>
  <c r="AO288" i="38"/>
  <c r="AO552" i="38"/>
  <c r="AO721" i="38"/>
  <c r="AO483" i="38"/>
  <c r="AO780" i="38"/>
  <c r="AO805" i="38"/>
  <c r="AO838" i="38"/>
  <c r="AO871" i="38"/>
  <c r="AF59" i="30"/>
  <c r="AF53" i="30"/>
  <c r="C954" i="2"/>
  <c r="AO995" i="38"/>
  <c r="AO113" i="38"/>
  <c r="AO537" i="38"/>
  <c r="AO90" i="38"/>
  <c r="AO474" i="38"/>
  <c r="AO20" i="38"/>
  <c r="AO308" i="38"/>
  <c r="AO29" i="38"/>
  <c r="AO332" i="38"/>
  <c r="AO142" i="38"/>
  <c r="AO794" i="38"/>
  <c r="AO271" i="38"/>
  <c r="AO56" i="38"/>
  <c r="AO938" i="38"/>
  <c r="AO760" i="38"/>
  <c r="AO929" i="38"/>
  <c r="AO707" i="38"/>
  <c r="AO422" i="38"/>
  <c r="AC10" i="73"/>
  <c r="AC11" i="73"/>
  <c r="U73" i="73"/>
  <c r="V70" i="73"/>
  <c r="V71" i="73" s="1"/>
  <c r="U67" i="73"/>
  <c r="U68" i="73" s="1"/>
  <c r="AC4" i="73"/>
  <c r="AC6" i="73"/>
  <c r="AC5" i="73"/>
  <c r="V64" i="73"/>
  <c r="V65" i="73" s="1"/>
  <c r="AC7" i="73"/>
  <c r="AC9" i="73"/>
  <c r="V73" i="73"/>
  <c r="V74" i="73" s="1"/>
  <c r="AE967" i="38"/>
  <c r="AG967" i="38"/>
  <c r="AE941" i="38"/>
  <c r="AG941" i="38"/>
  <c r="AI941" i="38"/>
  <c r="AE839" i="38"/>
  <c r="AG839" i="38"/>
  <c r="AG546" i="38"/>
  <c r="AE546" i="38"/>
  <c r="AE536" i="38"/>
  <c r="AI536" i="38"/>
  <c r="AI390" i="38"/>
  <c r="AE390" i="38"/>
  <c r="AE959" i="38"/>
  <c r="AG959" i="38"/>
  <c r="AE951" i="38"/>
  <c r="AG951" i="38"/>
  <c r="AE933" i="38"/>
  <c r="AI933" i="38"/>
  <c r="AG933" i="38"/>
  <c r="AE925" i="38"/>
  <c r="AI925" i="38"/>
  <c r="AG925" i="38"/>
  <c r="AE540" i="38"/>
  <c r="AI540" i="38"/>
  <c r="AE412" i="38"/>
  <c r="AG412" i="38"/>
  <c r="AG357" i="38"/>
  <c r="AI357" i="38"/>
  <c r="AE303" i="38"/>
  <c r="AI303" i="38"/>
  <c r="AG303" i="38"/>
  <c r="AE901" i="38"/>
  <c r="AI901" i="38"/>
  <c r="AG901" i="38"/>
  <c r="AE999" i="38"/>
  <c r="AG999" i="38"/>
  <c r="AE973" i="38"/>
  <c r="AG973" i="38"/>
  <c r="AI973" i="38"/>
  <c r="AE871" i="38"/>
  <c r="AG871" i="38"/>
  <c r="AE845" i="38"/>
  <c r="AG845" i="38"/>
  <c r="AI845" i="38"/>
  <c r="AI646" i="38"/>
  <c r="AE646" i="38"/>
  <c r="AE524" i="38"/>
  <c r="AI524" i="38"/>
  <c r="AE285" i="38"/>
  <c r="AG285" i="38"/>
  <c r="AI285" i="38"/>
  <c r="AE991" i="38"/>
  <c r="AG991" i="38"/>
  <c r="AE983" i="38"/>
  <c r="AG983" i="38"/>
  <c r="AE965" i="38"/>
  <c r="AI965" i="38"/>
  <c r="AG965" i="38"/>
  <c r="AE957" i="38"/>
  <c r="AI957" i="38"/>
  <c r="AG957" i="38"/>
  <c r="AE863" i="38"/>
  <c r="AG863" i="38"/>
  <c r="AE855" i="38"/>
  <c r="AG855" i="38"/>
  <c r="AE837" i="38"/>
  <c r="AI837" i="38"/>
  <c r="AG837" i="38"/>
  <c r="AG534" i="38"/>
  <c r="AE534" i="38"/>
  <c r="AE361" i="38"/>
  <c r="AG361" i="38"/>
  <c r="AI319" i="38"/>
  <c r="AE319" i="38"/>
  <c r="AE301" i="38"/>
  <c r="AG301" i="38"/>
  <c r="AI301" i="38"/>
  <c r="AE117" i="38"/>
  <c r="AI117" i="38"/>
  <c r="AG117" i="38"/>
  <c r="AE919" i="38"/>
  <c r="AG919" i="38"/>
  <c r="AE893" i="38"/>
  <c r="AI893" i="38"/>
  <c r="AG893" i="38"/>
  <c r="AE903" i="38"/>
  <c r="AG903" i="38"/>
  <c r="AE877" i="38"/>
  <c r="AG877" i="38"/>
  <c r="AI877" i="38"/>
  <c r="AI662" i="38"/>
  <c r="AE662" i="38"/>
  <c r="AI635" i="38"/>
  <c r="AG635" i="38"/>
  <c r="AG381" i="38"/>
  <c r="AE381" i="38"/>
  <c r="AI374" i="38"/>
  <c r="AE374" i="38"/>
  <c r="AE19" i="38"/>
  <c r="AI19" i="38"/>
  <c r="AG19" i="38"/>
  <c r="AE997" i="38"/>
  <c r="AI997" i="38"/>
  <c r="AG997" i="38"/>
  <c r="AE989" i="38"/>
  <c r="AI989" i="38"/>
  <c r="AG989" i="38"/>
  <c r="AE895" i="38"/>
  <c r="AG895" i="38"/>
  <c r="AE887" i="38"/>
  <c r="AG887" i="38"/>
  <c r="AE869" i="38"/>
  <c r="AI869" i="38"/>
  <c r="AG869" i="38"/>
  <c r="AE861" i="38"/>
  <c r="AI861" i="38"/>
  <c r="AG861" i="38"/>
  <c r="AE927" i="38"/>
  <c r="AG927" i="38"/>
  <c r="AI526" i="38"/>
  <c r="AE526" i="38"/>
  <c r="AG333" i="38"/>
  <c r="AE333" i="38"/>
  <c r="AE157" i="38"/>
  <c r="AI157" i="38"/>
  <c r="AG157" i="38"/>
  <c r="AE935" i="38"/>
  <c r="AG935" i="38"/>
  <c r="AE909" i="38"/>
  <c r="AG909" i="38"/>
  <c r="AI909" i="38"/>
  <c r="AI678" i="38"/>
  <c r="AE678" i="38"/>
  <c r="AI446" i="38"/>
  <c r="AE446" i="38"/>
  <c r="AI511" i="38"/>
  <c r="AE511" i="38"/>
  <c r="AI463" i="38"/>
  <c r="AE463" i="38"/>
  <c r="AE458" i="38"/>
  <c r="AG458" i="38"/>
  <c r="AE402" i="38"/>
  <c r="AI402" i="38"/>
  <c r="AE377" i="38"/>
  <c r="AG377" i="38"/>
  <c r="AG327" i="38"/>
  <c r="AE327" i="38"/>
  <c r="AG295" i="38"/>
  <c r="AE295" i="38"/>
  <c r="AI295" i="38"/>
  <c r="AG273" i="38"/>
  <c r="AE273" i="38"/>
  <c r="AG234" i="38"/>
  <c r="AE234" i="38"/>
  <c r="AE149" i="38"/>
  <c r="AI149" i="38"/>
  <c r="AG48" i="38"/>
  <c r="AE48" i="38"/>
  <c r="AI48" i="38"/>
  <c r="G8" i="51"/>
  <c r="D900" i="2"/>
  <c r="D962" i="2"/>
  <c r="AQ473" i="38"/>
  <c r="AI744" i="38"/>
  <c r="AE720" i="38"/>
  <c r="AE696" i="38"/>
  <c r="AQ696" i="38" s="1"/>
  <c r="AE597" i="38"/>
  <c r="AE542" i="38"/>
  <c r="AI532" i="38"/>
  <c r="AE406" i="38"/>
  <c r="AE348" i="38"/>
  <c r="AG317" i="38"/>
  <c r="AE317" i="38"/>
  <c r="AE261" i="38"/>
  <c r="AI261" i="38"/>
  <c r="AQ261" i="38" s="1"/>
  <c r="AG261" i="38"/>
  <c r="AI254" i="38"/>
  <c r="AG254" i="38"/>
  <c r="AE165" i="38"/>
  <c r="AQ165" i="38" s="1"/>
  <c r="AG165" i="38"/>
  <c r="AE116" i="38"/>
  <c r="AI116" i="38"/>
  <c r="AI37" i="38"/>
  <c r="AE37" i="38"/>
  <c r="AG37" i="38"/>
  <c r="AQ760" i="38"/>
  <c r="AQ720" i="38"/>
  <c r="AE442" i="38"/>
  <c r="AI442" i="38"/>
  <c r="AE385" i="38"/>
  <c r="AQ385" i="38" s="1"/>
  <c r="AI385" i="38"/>
  <c r="AE331" i="38"/>
  <c r="AI331" i="38"/>
  <c r="AI250" i="38"/>
  <c r="AE250" i="38"/>
  <c r="AE237" i="38"/>
  <c r="AG237" i="38"/>
  <c r="AG186" i="38"/>
  <c r="AI186" i="38"/>
  <c r="AE181" i="38"/>
  <c r="AG181" i="38"/>
  <c r="AE141" i="38"/>
  <c r="AG141" i="38"/>
  <c r="AE58" i="38"/>
  <c r="AI58" i="38"/>
  <c r="AI816" i="38"/>
  <c r="AQ816" i="38" s="1"/>
  <c r="AI784" i="38"/>
  <c r="AI752" i="38"/>
  <c r="AQ752" i="38" s="1"/>
  <c r="AI728" i="38"/>
  <c r="AG648" i="38"/>
  <c r="AI637" i="38"/>
  <c r="AI505" i="38"/>
  <c r="AI487" i="38"/>
  <c r="AG487" i="38"/>
  <c r="AQ487" i="38" s="1"/>
  <c r="AI465" i="38"/>
  <c r="AI414" i="38"/>
  <c r="AE414" i="38"/>
  <c r="AG389" i="38"/>
  <c r="AI389" i="38"/>
  <c r="AG380" i="38"/>
  <c r="AI316" i="38"/>
  <c r="AE316" i="38"/>
  <c r="AI298" i="38"/>
  <c r="AE298" i="38"/>
  <c r="AE279" i="38"/>
  <c r="AI279" i="38"/>
  <c r="AG260" i="38"/>
  <c r="AE245" i="38"/>
  <c r="AG245" i="38"/>
  <c r="AI62" i="38"/>
  <c r="AE62" i="38"/>
  <c r="AQ768" i="38"/>
  <c r="AG311" i="38"/>
  <c r="AE311" i="38"/>
  <c r="AE197" i="38"/>
  <c r="AG197" i="38"/>
  <c r="AI197" i="38"/>
  <c r="G20" i="51"/>
  <c r="AE694" i="38"/>
  <c r="AI680" i="38"/>
  <c r="AI648" i="38"/>
  <c r="AG625" i="38"/>
  <c r="AE621" i="38"/>
  <c r="AE505" i="38"/>
  <c r="AG479" i="38"/>
  <c r="AE465" i="38"/>
  <c r="AE404" i="38"/>
  <c r="AG404" i="38"/>
  <c r="AE394" i="38"/>
  <c r="AI394" i="38"/>
  <c r="AI388" i="38"/>
  <c r="AE380" i="38"/>
  <c r="AQ380" i="38" s="1"/>
  <c r="AG366" i="38"/>
  <c r="AG350" i="38"/>
  <c r="AI320" i="38"/>
  <c r="AG320" i="38"/>
  <c r="AE320" i="38"/>
  <c r="AG315" i="38"/>
  <c r="AE309" i="38"/>
  <c r="AI297" i="38"/>
  <c r="AE263" i="38"/>
  <c r="AI263" i="38"/>
  <c r="AI260" i="38"/>
  <c r="AG256" i="38"/>
  <c r="AE253" i="38"/>
  <c r="AI253" i="38"/>
  <c r="AQ253" i="38" s="1"/>
  <c r="AE125" i="38"/>
  <c r="AQ125" i="38" s="1"/>
  <c r="AI125" i="38"/>
  <c r="AE57" i="38"/>
  <c r="AG57" i="38"/>
  <c r="AE51" i="38"/>
  <c r="AG51" i="38"/>
  <c r="M31" i="32"/>
  <c r="Y57" i="2" s="1"/>
  <c r="Y56" i="2"/>
  <c r="AQ792" i="38"/>
  <c r="AG688" i="38"/>
  <c r="AE680" i="38"/>
  <c r="AE670" i="38"/>
  <c r="AG633" i="38"/>
  <c r="AI633" i="38"/>
  <c r="AE625" i="38"/>
  <c r="AI544" i="38"/>
  <c r="AE530" i="38"/>
  <c r="AI520" i="38"/>
  <c r="AE479" i="38"/>
  <c r="AQ479" i="38" s="1"/>
  <c r="AI450" i="38"/>
  <c r="AI398" i="38"/>
  <c r="AE398" i="38"/>
  <c r="AE388" i="38"/>
  <c r="AG345" i="38"/>
  <c r="AI341" i="38"/>
  <c r="AE329" i="38"/>
  <c r="AG286" i="38"/>
  <c r="AG244" i="38"/>
  <c r="AE244" i="38"/>
  <c r="AE236" i="38"/>
  <c r="AQ236" i="38" s="1"/>
  <c r="AI236" i="38"/>
  <c r="AE205" i="38"/>
  <c r="AG205" i="38"/>
  <c r="AI183" i="38"/>
  <c r="AE183" i="38"/>
  <c r="AG76" i="38"/>
  <c r="AI76" i="38"/>
  <c r="AG66" i="38"/>
  <c r="AE66" i="38"/>
  <c r="AG53" i="38"/>
  <c r="AI53" i="38"/>
  <c r="AG49" i="38"/>
  <c r="AE49" i="38"/>
  <c r="AQ58" i="38"/>
  <c r="AQ372" i="38"/>
  <c r="AQ340" i="38"/>
  <c r="AQ292" i="38"/>
  <c r="AQ228" i="38"/>
  <c r="AQ84" i="38"/>
  <c r="G21" i="51"/>
  <c r="AI688" i="38"/>
  <c r="AG497" i="38"/>
  <c r="AI497" i="38"/>
  <c r="AG454" i="38"/>
  <c r="AE454" i="38"/>
  <c r="AI430" i="38"/>
  <c r="AE430" i="38"/>
  <c r="AG365" i="38"/>
  <c r="AE365" i="38"/>
  <c r="AG349" i="38"/>
  <c r="AE349" i="38"/>
  <c r="AG337" i="38"/>
  <c r="AI268" i="38"/>
  <c r="AG231" i="38"/>
  <c r="AE229" i="38"/>
  <c r="AI229" i="38"/>
  <c r="AG209" i="38"/>
  <c r="AE209" i="38"/>
  <c r="AE189" i="38"/>
  <c r="AG189" i="38"/>
  <c r="AE173" i="38"/>
  <c r="AI173" i="38"/>
  <c r="AG100" i="38"/>
  <c r="AG56" i="38"/>
  <c r="AQ56" i="38" s="1"/>
  <c r="AI56" i="38"/>
  <c r="I4" i="38"/>
  <c r="AQ728" i="38"/>
  <c r="AG664" i="38"/>
  <c r="AQ664" i="38" s="1"/>
  <c r="AE581" i="38"/>
  <c r="AE533" i="38"/>
  <c r="AG511" i="38"/>
  <c r="AQ511" i="38" s="1"/>
  <c r="AG503" i="38"/>
  <c r="AG463" i="38"/>
  <c r="AE438" i="38"/>
  <c r="AI434" i="38"/>
  <c r="AE369" i="38"/>
  <c r="AQ369" i="38" s="1"/>
  <c r="AG369" i="38"/>
  <c r="AI369" i="38"/>
  <c r="AG353" i="38"/>
  <c r="AQ353" i="38" s="1"/>
  <c r="AI337" i="38"/>
  <c r="AG332" i="38"/>
  <c r="AQ332" i="38" s="1"/>
  <c r="AE313" i="38"/>
  <c r="AI296" i="38"/>
  <c r="AE296" i="38"/>
  <c r="AQ296" i="38" s="1"/>
  <c r="AE293" i="38"/>
  <c r="AI293" i="38"/>
  <c r="AE281" i="38"/>
  <c r="AE277" i="38"/>
  <c r="AQ277" i="38" s="1"/>
  <c r="AI277" i="38"/>
  <c r="AI273" i="38"/>
  <c r="AE268" i="38"/>
  <c r="AI255" i="38"/>
  <c r="AE255" i="38"/>
  <c r="AI234" i="38"/>
  <c r="AE231" i="38"/>
  <c r="AG149" i="38"/>
  <c r="AE133" i="38"/>
  <c r="AI133" i="38"/>
  <c r="AG133" i="38"/>
  <c r="AE100" i="38"/>
  <c r="D938" i="2"/>
  <c r="D876" i="2"/>
  <c r="AG34" i="38"/>
  <c r="AE34" i="38"/>
  <c r="AI34" i="38"/>
  <c r="C30" i="49"/>
  <c r="C69" i="52" s="1"/>
  <c r="AG44" i="2"/>
  <c r="C956" i="2"/>
  <c r="C894" i="2"/>
  <c r="D899" i="2"/>
  <c r="D961" i="2"/>
  <c r="C76" i="28"/>
  <c r="AG34" i="2"/>
  <c r="AE213" i="38"/>
  <c r="AG213" i="38"/>
  <c r="AE56" i="2"/>
  <c r="T56" i="2"/>
  <c r="D857" i="2"/>
  <c r="D919" i="2"/>
  <c r="D880" i="2"/>
  <c r="D942" i="2"/>
  <c r="D951" i="2"/>
  <c r="D889" i="2"/>
  <c r="J15" i="38"/>
  <c r="AG15" i="38"/>
  <c r="AE15" i="38"/>
  <c r="AG9" i="38"/>
  <c r="J9" i="38"/>
  <c r="AJ9" i="38" s="1"/>
  <c r="AE9" i="38"/>
  <c r="C856" i="2"/>
  <c r="C918" i="2"/>
  <c r="D859" i="2"/>
  <c r="D921" i="2"/>
  <c r="AE307" i="38"/>
  <c r="AQ307" i="38" s="1"/>
  <c r="AG307" i="38"/>
  <c r="AE269" i="38"/>
  <c r="AQ269" i="38" s="1"/>
  <c r="AG269" i="38"/>
  <c r="AG108" i="38"/>
  <c r="AE108" i="38"/>
  <c r="AQ108" i="38" s="1"/>
  <c r="AE92" i="38"/>
  <c r="AI92" i="38"/>
  <c r="P31" i="32"/>
  <c r="AB57" i="2" s="1"/>
  <c r="Y10" i="73"/>
  <c r="E43" i="49"/>
  <c r="AG29" i="38"/>
  <c r="AI29" i="38"/>
  <c r="AH1098" i="2"/>
  <c r="D869" i="2"/>
  <c r="D931" i="2"/>
  <c r="C875" i="2"/>
  <c r="C937" i="2"/>
  <c r="D879" i="2"/>
  <c r="D941" i="2"/>
  <c r="E45" i="49"/>
  <c r="AI26" i="38"/>
  <c r="AE26" i="38"/>
  <c r="AE20" i="38"/>
  <c r="AI20" i="38"/>
  <c r="O40" i="32"/>
  <c r="AA66" i="2" s="1"/>
  <c r="AJ37" i="2"/>
  <c r="AH1092" i="2"/>
  <c r="U21" i="34"/>
  <c r="I35" i="51"/>
  <c r="U74" i="73"/>
  <c r="R40" i="32"/>
  <c r="AD66" i="2" s="1"/>
  <c r="D936" i="2"/>
  <c r="C955" i="2"/>
  <c r="C893" i="2"/>
  <c r="AU30" i="32"/>
  <c r="I74" i="28"/>
  <c r="S204" i="2"/>
  <c r="D888" i="2"/>
  <c r="D950" i="2"/>
  <c r="D891" i="2"/>
  <c r="D953" i="2"/>
  <c r="AH1093" i="2"/>
  <c r="U22" i="34"/>
  <c r="AM718" i="2"/>
  <c r="C23" i="52"/>
  <c r="D30" i="49" s="1"/>
  <c r="D45" i="49" s="1"/>
  <c r="F38" i="51"/>
  <c r="H40" i="51"/>
  <c r="I40" i="51"/>
  <c r="I38" i="51"/>
  <c r="V37" i="2"/>
  <c r="AZ6" i="69"/>
  <c r="AZ8" i="69" s="1"/>
  <c r="AD37" i="2"/>
  <c r="R31" i="32"/>
  <c r="AD57" i="2" s="1"/>
  <c r="H53" i="51"/>
  <c r="D912" i="2"/>
  <c r="D850" i="2"/>
  <c r="AE323" i="38"/>
  <c r="AG323" i="38"/>
  <c r="AG241" i="38"/>
  <c r="AE241" i="38"/>
  <c r="C21" i="52"/>
  <c r="D28" i="49" s="1"/>
  <c r="D43" i="49" s="1"/>
  <c r="C849" i="2"/>
  <c r="C911" i="2"/>
  <c r="D947" i="2"/>
  <c r="D885" i="2"/>
  <c r="AN780" i="2"/>
  <c r="D25" i="52"/>
  <c r="C77" i="28"/>
  <c r="X10" i="32" s="1"/>
  <c r="J36" i="2" s="1"/>
  <c r="AG36" i="2"/>
  <c r="I12" i="26"/>
  <c r="F36" i="51"/>
  <c r="AC8" i="73"/>
  <c r="C965" i="2"/>
  <c r="AO991" i="38"/>
  <c r="AO927" i="38"/>
  <c r="AO863" i="38"/>
  <c r="AO799" i="38"/>
  <c r="AO735" i="38"/>
  <c r="AO671" i="38"/>
  <c r="AO607" i="38"/>
  <c r="AO543" i="38"/>
  <c r="AO479" i="38"/>
  <c r="AO415" i="38"/>
  <c r="AO351" i="38"/>
  <c r="AO987" i="38"/>
  <c r="AO983" i="38"/>
  <c r="AO919" i="38"/>
  <c r="AO855" i="38"/>
  <c r="AO791" i="38"/>
  <c r="AO727" i="38"/>
  <c r="AO663" i="38"/>
  <c r="AO599" i="38"/>
  <c r="AO535" i="38"/>
  <c r="AO471" i="38"/>
  <c r="AO407" i="38"/>
  <c r="AO343" i="38"/>
  <c r="AO979" i="38"/>
  <c r="AO915" i="38"/>
  <c r="AO959" i="38"/>
  <c r="AO879" i="38"/>
  <c r="AO783" i="38"/>
  <c r="AO703" i="38"/>
  <c r="AO623" i="38"/>
  <c r="AO527" i="38"/>
  <c r="AO447" i="38"/>
  <c r="AO367" i="38"/>
  <c r="AO942" i="38"/>
  <c r="AO862" i="38"/>
  <c r="AO782" i="38"/>
  <c r="AO686" i="38"/>
  <c r="AO606" i="38"/>
  <c r="AO526" i="38"/>
  <c r="AO430" i="38"/>
  <c r="AO350" i="38"/>
  <c r="AO941" i="38"/>
  <c r="AO845" i="38"/>
  <c r="AO765" i="38"/>
  <c r="AO685" i="38"/>
  <c r="AO589" i="38"/>
  <c r="AO509" i="38"/>
  <c r="AO429" i="38"/>
  <c r="AO333" i="38"/>
  <c r="AO932" i="38"/>
  <c r="AO852" i="38"/>
  <c r="AO756" i="38"/>
  <c r="AO955" i="38"/>
  <c r="AO883" i="38"/>
  <c r="AO819" i="38"/>
  <c r="AO755" i="38"/>
  <c r="AO691" i="38"/>
  <c r="AO627" i="38"/>
  <c r="AO563" i="38"/>
  <c r="AO499" i="38"/>
  <c r="AO435" i="38"/>
  <c r="AO371" i="38"/>
  <c r="AO985" i="38"/>
  <c r="AO921" i="38"/>
  <c r="AO857" i="38"/>
  <c r="AO793" i="38"/>
  <c r="AO729" i="38"/>
  <c r="AO944" i="38"/>
  <c r="AO880" i="38"/>
  <c r="AO816" i="38"/>
  <c r="AO752" i="38"/>
  <c r="AO688" i="38"/>
  <c r="AO624" i="38"/>
  <c r="AO560" i="38"/>
  <c r="AO496" i="38"/>
  <c r="AO432" i="38"/>
  <c r="AO368" i="38"/>
  <c r="AO874" i="38"/>
  <c r="AO596" i="38"/>
  <c r="AO426" i="38"/>
  <c r="AO296" i="38"/>
  <c r="AO232" i="38"/>
  <c r="AO168" i="38"/>
  <c r="AO104" i="38"/>
  <c r="AO40" i="38"/>
  <c r="AO14" i="38"/>
  <c r="AO975" i="38"/>
  <c r="AO887" i="38"/>
  <c r="AO775" i="38"/>
  <c r="AO687" i="38"/>
  <c r="AO583" i="38"/>
  <c r="AO495" i="38"/>
  <c r="AO391" i="38"/>
  <c r="AO974" i="38"/>
  <c r="AO870" i="38"/>
  <c r="AO774" i="38"/>
  <c r="AO670" i="38"/>
  <c r="AO582" i="38"/>
  <c r="AO478" i="38"/>
  <c r="AO390" i="38"/>
  <c r="AO957" i="38"/>
  <c r="AO869" i="38"/>
  <c r="AO757" i="38"/>
  <c r="AO653" i="38"/>
  <c r="AO565" i="38"/>
  <c r="AO461" i="38"/>
  <c r="AO373" i="38"/>
  <c r="AO948" i="38"/>
  <c r="AO860" i="38"/>
  <c r="AO748" i="38"/>
  <c r="AO939" i="38"/>
  <c r="AO859" i="38"/>
  <c r="AO787" i="38"/>
  <c r="AO715" i="38"/>
  <c r="AO643" i="38"/>
  <c r="AO571" i="38"/>
  <c r="AO491" i="38"/>
  <c r="AO419" i="38"/>
  <c r="AO347" i="38"/>
  <c r="AO953" i="38"/>
  <c r="AO881" i="38"/>
  <c r="AO809" i="38"/>
  <c r="AO737" i="38"/>
  <c r="AO936" i="38"/>
  <c r="AO864" i="38"/>
  <c r="AO792" i="38"/>
  <c r="AO720" i="38"/>
  <c r="AO648" i="38"/>
  <c r="AO576" i="38"/>
  <c r="AO504" i="38"/>
  <c r="AO424" i="38"/>
  <c r="AO352" i="38"/>
  <c r="AO705" i="38"/>
  <c r="AO513" i="38"/>
  <c r="AO321" i="38"/>
  <c r="AO248" i="38"/>
  <c r="AO176" i="38"/>
  <c r="AO96" i="38"/>
  <c r="AO24" i="38"/>
  <c r="AO498" i="38"/>
  <c r="AO994" i="38"/>
  <c r="AO636" i="38"/>
  <c r="AO466" i="38"/>
  <c r="AO311" i="38"/>
  <c r="AO247" i="38"/>
  <c r="AO183" i="38"/>
  <c r="AO119" i="38"/>
  <c r="AO55" i="38"/>
  <c r="AO54" i="38"/>
  <c r="AO283" i="38"/>
  <c r="AO858" i="38"/>
  <c r="AO593" i="38"/>
  <c r="AO420" i="38"/>
  <c r="AO294" i="38"/>
  <c r="AO230" i="38"/>
  <c r="AO166" i="38"/>
  <c r="AO102" i="38"/>
  <c r="AO412" i="38"/>
  <c r="AO914" i="38"/>
  <c r="AO610" i="38"/>
  <c r="AO441" i="38"/>
  <c r="AO301" i="38"/>
  <c r="AO951" i="38"/>
  <c r="AO847" i="38"/>
  <c r="AO759" i="38"/>
  <c r="AO655" i="38"/>
  <c r="AO567" i="38"/>
  <c r="AO463" i="38"/>
  <c r="AO375" i="38"/>
  <c r="AO934" i="38"/>
  <c r="AO846" i="38"/>
  <c r="AO742" i="38"/>
  <c r="AO654" i="38"/>
  <c r="AO550" i="38"/>
  <c r="AO462" i="38"/>
  <c r="AO358" i="38"/>
  <c r="AO933" i="38"/>
  <c r="AO829" i="38"/>
  <c r="AO741" i="38"/>
  <c r="AO637" i="38"/>
  <c r="AO549" i="38"/>
  <c r="AO445" i="38"/>
  <c r="AO357" i="38"/>
  <c r="AO924" i="38"/>
  <c r="AO820" i="38"/>
  <c r="AO732" i="38"/>
  <c r="AO923" i="38"/>
  <c r="AO843" i="38"/>
  <c r="AO771" i="38"/>
  <c r="AO699" i="38"/>
  <c r="AO619" i="38"/>
  <c r="AO903" i="38"/>
  <c r="AO815" i="38"/>
  <c r="AO711" i="38"/>
  <c r="AO615" i="38"/>
  <c r="AO511" i="38"/>
  <c r="AO423" i="38"/>
  <c r="AO990" i="38"/>
  <c r="AO902" i="38"/>
  <c r="AO798" i="38"/>
  <c r="AO710" i="38"/>
  <c r="AO598" i="38"/>
  <c r="AO494" i="38"/>
  <c r="AO406" i="38"/>
  <c r="AO973" i="38"/>
  <c r="AO885" i="38"/>
  <c r="AO781" i="38"/>
  <c r="AO693" i="38"/>
  <c r="AO581" i="38"/>
  <c r="AO493" i="38"/>
  <c r="AO389" i="38"/>
  <c r="AO980" i="38"/>
  <c r="AO876" i="38"/>
  <c r="AO788" i="38"/>
  <c r="AO963" i="38"/>
  <c r="AO875" i="38"/>
  <c r="AO803" i="38"/>
  <c r="AO731" i="38"/>
  <c r="AO659" i="38"/>
  <c r="AO587" i="38"/>
  <c r="AO515" i="38"/>
  <c r="AO443" i="38"/>
  <c r="AO363" i="38"/>
  <c r="AO969" i="38"/>
  <c r="AO897" i="38"/>
  <c r="AO825" i="38"/>
  <c r="AO753" i="38"/>
  <c r="AO960" i="38"/>
  <c r="AO888" i="38"/>
  <c r="AO808" i="38"/>
  <c r="AO736" i="38"/>
  <c r="AO664" i="38"/>
  <c r="AO592" i="38"/>
  <c r="AO520" i="38"/>
  <c r="AO448" i="38"/>
  <c r="AO376" i="38"/>
  <c r="AO810" i="38"/>
  <c r="AO554" i="38"/>
  <c r="AO362" i="38"/>
  <c r="AO264" i="38"/>
  <c r="AO192" i="38"/>
  <c r="AO120" i="38"/>
  <c r="AO48" i="38"/>
  <c r="AO898" i="38"/>
  <c r="AO123" i="38"/>
  <c r="AO681" i="38"/>
  <c r="AO508" i="38"/>
  <c r="AO895" i="38"/>
  <c r="AO743" i="38"/>
  <c r="AO575" i="38"/>
  <c r="AO431" i="38"/>
  <c r="AO926" i="38"/>
  <c r="AO790" i="38"/>
  <c r="AO622" i="38"/>
  <c r="AO470" i="38"/>
  <c r="AO326" i="38"/>
  <c r="AO821" i="38"/>
  <c r="AO677" i="38"/>
  <c r="AO517" i="38"/>
  <c r="AO365" i="38"/>
  <c r="AO884" i="38"/>
  <c r="AO724" i="38"/>
  <c r="AO867" i="38"/>
  <c r="AO747" i="38"/>
  <c r="AO635" i="38"/>
  <c r="AO531" i="38"/>
  <c r="AO427" i="38"/>
  <c r="AO331" i="38"/>
  <c r="AO913" i="38"/>
  <c r="AO817" i="38"/>
  <c r="AO992" i="38"/>
  <c r="AO904" i="38"/>
  <c r="AO800" i="38"/>
  <c r="AO704" i="38"/>
  <c r="AO608" i="38"/>
  <c r="AO512" i="38"/>
  <c r="AO408" i="38"/>
  <c r="AO320" i="38"/>
  <c r="AO532" i="38"/>
  <c r="AO304" i="38"/>
  <c r="AO208" i="38"/>
  <c r="AO112" i="38"/>
  <c r="AO8" i="38"/>
  <c r="AO211" i="38"/>
  <c r="AO658" i="38"/>
  <c r="AO425" i="38"/>
  <c r="AO287" i="38"/>
  <c r="AO215" i="38"/>
  <c r="AO143" i="38"/>
  <c r="AO71" i="38"/>
  <c r="AO86" i="38"/>
  <c r="AO235" i="38"/>
  <c r="AO730" i="38"/>
  <c r="AO529" i="38"/>
  <c r="AO337" i="38"/>
  <c r="AO254" i="38"/>
  <c r="AO182" i="38"/>
  <c r="AO110" i="38"/>
  <c r="AO299" i="38"/>
  <c r="AO786" i="38"/>
  <c r="AO546" i="38"/>
  <c r="AO354" i="38"/>
  <c r="AO261" i="38"/>
  <c r="AO197" i="38"/>
  <c r="AO133" i="38"/>
  <c r="AO69" i="38"/>
  <c r="AO834" i="38"/>
  <c r="AO107" i="38"/>
  <c r="AO673" i="38"/>
  <c r="AO500" i="38"/>
  <c r="AO330" i="38"/>
  <c r="AO260" i="38"/>
  <c r="AO196" i="38"/>
  <c r="AO132" i="38"/>
  <c r="AO68" i="38"/>
  <c r="AO770" i="38"/>
  <c r="AO155" i="38"/>
  <c r="AO689" i="38"/>
  <c r="AO516" i="38"/>
  <c r="AO346" i="38"/>
  <c r="AO266" i="38"/>
  <c r="AO202" i="38"/>
  <c r="AO138" i="38"/>
  <c r="AO74" i="38"/>
  <c r="AO754" i="38"/>
  <c r="AO556" i="38"/>
  <c r="AO386" i="38"/>
  <c r="AO281" i="38"/>
  <c r="AO217" i="38"/>
  <c r="AO153" i="38"/>
  <c r="AO89" i="38"/>
  <c r="AO25" i="38"/>
  <c r="AO6" i="38"/>
  <c r="AO823" i="38"/>
  <c r="AO639" i="38"/>
  <c r="AO455" i="38"/>
  <c r="AO966" i="38"/>
  <c r="AO750" i="38"/>
  <c r="AO590" i="38"/>
  <c r="AO414" i="38"/>
  <c r="AO901" i="38"/>
  <c r="AO717" i="38"/>
  <c r="AO557" i="38"/>
  <c r="AO381" i="38"/>
  <c r="AO868" i="38"/>
  <c r="AO971" i="38"/>
  <c r="AO827" i="38"/>
  <c r="AO683" i="38"/>
  <c r="AO555" i="38"/>
  <c r="AO459" i="38"/>
  <c r="AO339" i="38"/>
  <c r="AO905" i="38"/>
  <c r="AO785" i="38"/>
  <c r="AO968" i="38"/>
  <c r="AO848" i="38"/>
  <c r="AO744" i="38"/>
  <c r="AO632" i="38"/>
  <c r="AO528" i="38"/>
  <c r="AO400" i="38"/>
  <c r="AO746" i="38"/>
  <c r="AO449" i="38"/>
  <c r="AO256" i="38"/>
  <c r="AO144" i="38"/>
  <c r="AO32" i="38"/>
  <c r="AO267" i="38"/>
  <c r="AO617" i="38"/>
  <c r="AO380" i="38"/>
  <c r="AO263" i="38"/>
  <c r="AO175" i="38"/>
  <c r="AO95" i="38"/>
  <c r="AO15" i="38"/>
  <c r="AO329" i="38"/>
  <c r="AO698" i="38"/>
  <c r="AO484" i="38"/>
  <c r="AO302" i="38"/>
  <c r="AO214" i="38"/>
  <c r="AO134" i="38"/>
  <c r="AO690" i="38"/>
  <c r="AO850" i="38"/>
  <c r="AO524" i="38"/>
  <c r="AO317" i="38"/>
  <c r="AO237" i="38"/>
  <c r="AO165" i="38"/>
  <c r="AO93" i="38"/>
  <c r="AO21" i="38"/>
  <c r="AO163" i="38"/>
  <c r="AO650" i="38"/>
  <c r="AO458" i="38"/>
  <c r="AO300" i="38"/>
  <c r="AO228" i="38"/>
  <c r="AO156" i="38"/>
  <c r="AO84" i="38"/>
  <c r="AO99" i="38"/>
  <c r="AO644" i="38"/>
  <c r="AO452" i="38"/>
  <c r="AO298" i="38"/>
  <c r="AO226" i="38"/>
  <c r="AO154" i="38"/>
  <c r="AO82" i="38"/>
  <c r="AO706" i="38"/>
  <c r="AO514" i="38"/>
  <c r="AO322" i="38"/>
  <c r="AO249" i="38"/>
  <c r="AO177" i="38"/>
  <c r="AO105" i="38"/>
  <c r="AO33" i="38"/>
  <c r="AO35" i="38"/>
  <c r="AO967" i="38"/>
  <c r="AO807" i="38"/>
  <c r="AO631" i="38"/>
  <c r="AO439" i="38"/>
  <c r="AO918" i="38"/>
  <c r="AO734" i="38"/>
  <c r="AO558" i="38"/>
  <c r="AO398" i="38"/>
  <c r="AO893" i="38"/>
  <c r="AO709" i="38"/>
  <c r="AO525" i="38"/>
  <c r="AO325" i="38"/>
  <c r="AO844" i="38"/>
  <c r="AO947" i="38"/>
  <c r="AO811" i="38"/>
  <c r="AO675" i="38"/>
  <c r="AO547" i="38"/>
  <c r="AO451" i="38"/>
  <c r="AO323" i="38"/>
  <c r="AO889" i="38"/>
  <c r="AO777" i="38"/>
  <c r="AO952" i="38"/>
  <c r="AO840" i="38"/>
  <c r="AO728" i="38"/>
  <c r="AO616" i="38"/>
  <c r="AO488" i="38"/>
  <c r="AO392" i="38"/>
  <c r="AO682" i="38"/>
  <c r="AO404" i="38"/>
  <c r="AO240" i="38"/>
  <c r="AO136" i="38"/>
  <c r="AO16" i="38"/>
  <c r="AO179" i="38"/>
  <c r="AO594" i="38"/>
  <c r="AO361" i="38"/>
  <c r="AO255" i="38"/>
  <c r="AO167" i="38"/>
  <c r="AO87" i="38"/>
  <c r="AO171" i="38"/>
  <c r="AO676" i="38"/>
  <c r="AO465" i="38"/>
  <c r="AO286" i="38"/>
  <c r="AO206" i="38"/>
  <c r="AO126" i="38"/>
  <c r="AO585" i="38"/>
  <c r="AO722" i="38"/>
  <c r="AO505" i="38"/>
  <c r="AO309" i="38"/>
  <c r="AO229" i="38"/>
  <c r="AO157" i="38"/>
  <c r="AO85" i="38"/>
  <c r="AO13" i="38"/>
  <c r="AO51" i="38"/>
  <c r="AO628" i="38"/>
  <c r="AO436" i="38"/>
  <c r="AO292" i="38"/>
  <c r="AO220" i="38"/>
  <c r="AO148" i="38"/>
  <c r="AO76" i="38"/>
  <c r="AO668" i="38"/>
  <c r="AO43" i="38"/>
  <c r="AO625" i="38"/>
  <c r="AO433" i="38"/>
  <c r="AO290" i="38"/>
  <c r="AO218" i="38"/>
  <c r="AO146" i="38"/>
  <c r="AO66" i="38"/>
  <c r="AO227" i="38"/>
  <c r="AO684" i="38"/>
  <c r="AO492" i="38"/>
  <c r="AO313" i="38"/>
  <c r="AO241" i="38"/>
  <c r="AO169" i="38"/>
  <c r="AO97" i="38"/>
  <c r="AO17" i="38"/>
  <c r="AO1001" i="38"/>
  <c r="AO943" i="38"/>
  <c r="AO767" i="38"/>
  <c r="AO591" i="38"/>
  <c r="AO399" i="38"/>
  <c r="AO910" i="38"/>
  <c r="AO726" i="38"/>
  <c r="AO542" i="38"/>
  <c r="AO366" i="38"/>
  <c r="AO877" i="38"/>
  <c r="AO701" i="38"/>
  <c r="AO501" i="38"/>
  <c r="AO997" i="38"/>
  <c r="AO812" i="38"/>
  <c r="AO931" i="38"/>
  <c r="AO795" i="38"/>
  <c r="AO667" i="38"/>
  <c r="AO539" i="38"/>
  <c r="AO411" i="38"/>
  <c r="AO993" i="38"/>
  <c r="AO873" i="38"/>
  <c r="AO769" i="38"/>
  <c r="AO928" i="38"/>
  <c r="AO832" i="38"/>
  <c r="AO712" i="38"/>
  <c r="AO600" i="38"/>
  <c r="AO480" i="38"/>
  <c r="AO384" i="38"/>
  <c r="AO660" i="38"/>
  <c r="AO385" i="38"/>
  <c r="AO224" i="38"/>
  <c r="AO128" i="38"/>
  <c r="AO78" i="38"/>
  <c r="AO59" i="38"/>
  <c r="AO572" i="38"/>
  <c r="AO338" i="38"/>
  <c r="AO239" i="38"/>
  <c r="AO159" i="38"/>
  <c r="AO79" i="38"/>
  <c r="AO30" i="38"/>
  <c r="AO115" i="38"/>
  <c r="AO657" i="38"/>
  <c r="AO442" i="38"/>
  <c r="AO278" i="38"/>
  <c r="AO198" i="38"/>
  <c r="AO118" i="38"/>
  <c r="AO259" i="38"/>
  <c r="AO697" i="38"/>
  <c r="AO482" i="38"/>
  <c r="AO293" i="38"/>
  <c r="AO221" i="38"/>
  <c r="AO149" i="38"/>
  <c r="AO77" i="38"/>
  <c r="AO649" i="38"/>
  <c r="AO970" i="38"/>
  <c r="AO609" i="38"/>
  <c r="AO417" i="38"/>
  <c r="AO284" i="38"/>
  <c r="AO212" i="38"/>
  <c r="AO140" i="38"/>
  <c r="AO60" i="38"/>
  <c r="AO562" i="38"/>
  <c r="AO954" i="38"/>
  <c r="AO602" i="38"/>
  <c r="AO410" i="38"/>
  <c r="AO282" i="38"/>
  <c r="AO210" i="38"/>
  <c r="AO130" i="38"/>
  <c r="AO58" i="38"/>
  <c r="AO139" i="38"/>
  <c r="AO665" i="38"/>
  <c r="AO473" i="38"/>
  <c r="AO305" i="38"/>
  <c r="AO233" i="38"/>
  <c r="AO161" i="38"/>
  <c r="AO81" i="38"/>
  <c r="AO998" i="38"/>
  <c r="AO935" i="38"/>
  <c r="AO751" i="38"/>
  <c r="AO559" i="38"/>
  <c r="AO383" i="38"/>
  <c r="AO878" i="38"/>
  <c r="AO718" i="38"/>
  <c r="AO534" i="38"/>
  <c r="AO342" i="38"/>
  <c r="AO837" i="38"/>
  <c r="AO645" i="38"/>
  <c r="AO485" i="38"/>
  <c r="AO988" i="38"/>
  <c r="AO804" i="38"/>
  <c r="AO907" i="38"/>
  <c r="AO779" i="38"/>
  <c r="AO651" i="38"/>
  <c r="AO523" i="38"/>
  <c r="AO403" i="38"/>
  <c r="AO977" i="38"/>
  <c r="AO865" i="38"/>
  <c r="AO761" i="38"/>
  <c r="AO920" i="38"/>
  <c r="AO824" i="38"/>
  <c r="AO696" i="38"/>
  <c r="AO584" i="38"/>
  <c r="AO472" i="38"/>
  <c r="AO360" i="38"/>
  <c r="AO641" i="38"/>
  <c r="AO340" i="38"/>
  <c r="AO216" i="38"/>
  <c r="AO88" i="38"/>
  <c r="AO62" i="38"/>
  <c r="AO930" i="38"/>
  <c r="AO553" i="38"/>
  <c r="AO319" i="38"/>
  <c r="AO231" i="38"/>
  <c r="AO151" i="38"/>
  <c r="AO63" i="38"/>
  <c r="AO4" i="38"/>
  <c r="AO67" i="38"/>
  <c r="AO634" i="38"/>
  <c r="AO401" i="38"/>
  <c r="AO270" i="38"/>
  <c r="AO190" i="38"/>
  <c r="AO94" i="38"/>
  <c r="AO195" i="38"/>
  <c r="AO674" i="38"/>
  <c r="AO460" i="38"/>
  <c r="AO285" i="38"/>
  <c r="AO213" i="38"/>
  <c r="AO141" i="38"/>
  <c r="AO61" i="38"/>
  <c r="AO540" i="38"/>
  <c r="AO906" i="38"/>
  <c r="AO586" i="38"/>
  <c r="AO394" i="38"/>
  <c r="AO276" i="38"/>
  <c r="AO204" i="38"/>
  <c r="AO124" i="38"/>
  <c r="AO52" i="38"/>
  <c r="AO476" i="38"/>
  <c r="AO890" i="38"/>
  <c r="AO580" i="38"/>
  <c r="AO388" i="38"/>
  <c r="AO274" i="38"/>
  <c r="AO194" i="38"/>
  <c r="AO122" i="38"/>
  <c r="AO50" i="38"/>
  <c r="AO83" i="38"/>
  <c r="AO642" i="38"/>
  <c r="AO450" i="38"/>
  <c r="AO297" i="38"/>
  <c r="AO225" i="38"/>
  <c r="AO145" i="38"/>
  <c r="AO73" i="38"/>
  <c r="AO370" i="38"/>
  <c r="AO1000" i="38"/>
  <c r="AO911" i="38"/>
  <c r="AO719" i="38"/>
  <c r="AO551" i="38"/>
  <c r="AO359" i="38"/>
  <c r="AO854" i="38"/>
  <c r="AO678" i="38"/>
  <c r="AO518" i="38"/>
  <c r="AO334" i="38"/>
  <c r="AO813" i="38"/>
  <c r="AO629" i="38"/>
  <c r="AO453" i="38"/>
  <c r="AO972" i="38"/>
  <c r="AO796" i="38"/>
  <c r="AO899" i="38"/>
  <c r="AO763" i="38"/>
  <c r="AO611" i="38"/>
  <c r="AO507" i="38"/>
  <c r="AO395" i="38"/>
  <c r="AO961" i="38"/>
  <c r="AO849" i="38"/>
  <c r="AO745" i="38"/>
  <c r="AO912" i="38"/>
  <c r="AO784" i="38"/>
  <c r="AO680" i="38"/>
  <c r="AO568" i="38"/>
  <c r="AO464" i="38"/>
  <c r="AO344" i="38"/>
  <c r="AO618" i="38"/>
  <c r="AO312" i="38"/>
  <c r="AO200" i="38"/>
  <c r="AO80" i="38"/>
  <c r="AO38" i="38"/>
  <c r="AO866" i="38"/>
  <c r="AO530" i="38"/>
  <c r="AO303" i="38"/>
  <c r="AO223" i="38"/>
  <c r="AO135" i="38"/>
  <c r="AO47" i="38"/>
  <c r="AO713" i="38"/>
  <c r="AO612" i="38"/>
  <c r="AO378" i="38"/>
  <c r="AO262" i="38"/>
  <c r="AO174" i="38"/>
  <c r="AO70" i="38"/>
  <c r="AO131" i="38"/>
  <c r="AO652" i="38"/>
  <c r="AO418" i="38"/>
  <c r="AO277" i="38"/>
  <c r="AO205" i="38"/>
  <c r="AO125" i="38"/>
  <c r="AO53" i="38"/>
  <c r="AO457" i="38"/>
  <c r="AO842" i="38"/>
  <c r="AO564" i="38"/>
  <c r="AO372" i="38"/>
  <c r="AO268" i="38"/>
  <c r="AO188" i="38"/>
  <c r="AO116" i="38"/>
  <c r="AO44" i="38"/>
  <c r="AO348" i="38"/>
  <c r="AO826" i="38"/>
  <c r="AO561" i="38"/>
  <c r="AO369" i="38"/>
  <c r="AO258" i="38"/>
  <c r="AO186" i="38"/>
  <c r="AO114" i="38"/>
  <c r="AO42" i="38"/>
  <c r="AO27" i="38"/>
  <c r="AO620" i="38"/>
  <c r="AO428" i="38"/>
  <c r="AO289" i="38"/>
  <c r="AO209" i="38"/>
  <c r="AO137" i="38"/>
  <c r="AO65" i="38"/>
  <c r="AO251" i="38"/>
  <c r="AO999" i="38"/>
  <c r="AO839" i="38"/>
  <c r="AO679" i="38"/>
  <c r="AO503" i="38"/>
  <c r="AO327" i="38"/>
  <c r="AO814" i="38"/>
  <c r="AO646" i="38"/>
  <c r="AO454" i="38"/>
  <c r="AO949" i="38"/>
  <c r="AO773" i="38"/>
  <c r="AO613" i="38"/>
  <c r="AO421" i="38"/>
  <c r="AO916" i="38"/>
  <c r="AO740" i="38"/>
  <c r="AO851" i="38"/>
  <c r="AO723" i="38"/>
  <c r="AO595" i="38"/>
  <c r="AO475" i="38"/>
  <c r="AO379" i="38"/>
  <c r="AO937" i="38"/>
  <c r="AO833" i="38"/>
  <c r="AO984" i="38"/>
  <c r="AO872" i="38"/>
  <c r="AO768" i="38"/>
  <c r="AO656" i="38"/>
  <c r="AO544" i="38"/>
  <c r="AO440" i="38"/>
  <c r="AO328" i="38"/>
  <c r="AO490" i="38"/>
  <c r="AO280" i="38"/>
  <c r="AO160" i="38"/>
  <c r="AO64" i="38"/>
  <c r="AO393" i="38"/>
  <c r="AO738" i="38"/>
  <c r="AO444" i="38"/>
  <c r="AO279" i="38"/>
  <c r="AO199" i="38"/>
  <c r="AO111" i="38"/>
  <c r="AO31" i="38"/>
  <c r="AO521" i="38"/>
  <c r="AO922" i="38"/>
  <c r="AO548" i="38"/>
  <c r="AO318" i="38"/>
  <c r="AO238" i="38"/>
  <c r="AO150" i="38"/>
  <c r="AO22" i="38"/>
  <c r="AO19" i="38"/>
  <c r="AO588" i="38"/>
  <c r="AO377" i="38"/>
  <c r="AO253" i="38"/>
  <c r="AO181" i="38"/>
  <c r="AO109" i="38"/>
  <c r="AO37" i="38"/>
  <c r="AO275" i="38"/>
  <c r="AO714" i="38"/>
  <c r="AO522" i="38"/>
  <c r="AO316" i="38"/>
  <c r="AO244" i="38"/>
  <c r="AO172" i="38"/>
  <c r="AO100" i="38"/>
  <c r="AO28" i="38"/>
  <c r="AO243" i="38"/>
  <c r="AO708" i="38"/>
  <c r="AO497" i="38"/>
  <c r="AO314" i="38"/>
  <c r="AO242" i="38"/>
  <c r="AO170" i="38"/>
  <c r="AO98" i="38"/>
  <c r="AO26" i="38"/>
  <c r="AO882" i="38"/>
  <c r="AO578" i="38"/>
  <c r="AO364" i="38"/>
  <c r="AO265" i="38"/>
  <c r="AO193" i="38"/>
  <c r="AO121" i="38"/>
  <c r="AO49" i="38"/>
  <c r="AO147" i="38"/>
  <c r="AO996" i="38"/>
  <c r="J40" i="32"/>
  <c r="V66" i="2" s="1"/>
  <c r="AS31" i="32"/>
  <c r="D940" i="2"/>
  <c r="AO5" i="38"/>
  <c r="AO129" i="38"/>
  <c r="AO601" i="38"/>
  <c r="AO162" i="38"/>
  <c r="AO666" i="38"/>
  <c r="AO108" i="38"/>
  <c r="AO545" i="38"/>
  <c r="AO117" i="38"/>
  <c r="AO633" i="38"/>
  <c r="AO246" i="38"/>
  <c r="AO434" i="38"/>
  <c r="AO207" i="38"/>
  <c r="AO626" i="38"/>
  <c r="AO577" i="38"/>
  <c r="AO672" i="38"/>
  <c r="AO841" i="38"/>
  <c r="AO603" i="38"/>
  <c r="AO940" i="38"/>
  <c r="AO965" i="38"/>
  <c r="AO335" i="38"/>
  <c r="C902" i="2"/>
  <c r="D959" i="2"/>
  <c r="AO91" i="38"/>
  <c r="AO201" i="38"/>
  <c r="AO946" i="38"/>
  <c r="AO234" i="38"/>
  <c r="AO187" i="38"/>
  <c r="AO180" i="38"/>
  <c r="AO778" i="38"/>
  <c r="AO189" i="38"/>
  <c r="AO75" i="38"/>
  <c r="AO356" i="38"/>
  <c r="AO295" i="38"/>
  <c r="AO72" i="38"/>
  <c r="AO336" i="38"/>
  <c r="AO776" i="38"/>
  <c r="AO945" i="38"/>
  <c r="AO739" i="38"/>
  <c r="AO437" i="38"/>
  <c r="AO486" i="38"/>
  <c r="AO519" i="38"/>
  <c r="N40" i="32"/>
  <c r="Z66" i="2" s="1"/>
  <c r="F37" i="51"/>
  <c r="AO203" i="38"/>
  <c r="AO257" i="38"/>
  <c r="AO250" i="38"/>
  <c r="AO291" i="38"/>
  <c r="AO236" i="38"/>
  <c r="AO219" i="38"/>
  <c r="AO245" i="38"/>
  <c r="AO962" i="38"/>
  <c r="AO506" i="38"/>
  <c r="AO23" i="38"/>
  <c r="AO402" i="38"/>
  <c r="AO152" i="38"/>
  <c r="AO416" i="38"/>
  <c r="AO856" i="38"/>
  <c r="AO355" i="38"/>
  <c r="AO835" i="38"/>
  <c r="AO573" i="38"/>
  <c r="AO614" i="38"/>
  <c r="AO647" i="38"/>
  <c r="E47" i="49"/>
  <c r="AG16" i="38"/>
  <c r="V67" i="2"/>
  <c r="AM408" i="2"/>
  <c r="AM31" i="32"/>
  <c r="U70" i="73"/>
  <c r="U71" i="73" s="1"/>
  <c r="D920" i="2"/>
  <c r="AO273" i="38"/>
  <c r="AO18" i="38"/>
  <c r="AO306" i="38"/>
  <c r="AO252" i="38"/>
  <c r="AO315" i="38"/>
  <c r="AO269" i="38"/>
  <c r="AO46" i="38"/>
  <c r="AO570" i="38"/>
  <c r="AO39" i="38"/>
  <c r="AO489" i="38"/>
  <c r="AO184" i="38"/>
  <c r="AO456" i="38"/>
  <c r="AO896" i="38"/>
  <c r="AO387" i="38"/>
  <c r="AO891" i="38"/>
  <c r="AO621" i="38"/>
  <c r="AO662" i="38"/>
  <c r="AO695" i="38"/>
  <c r="Q50" i="51"/>
  <c r="Q53" i="51" s="1"/>
  <c r="AE21" i="46"/>
  <c r="AM4" i="38"/>
  <c r="J49" i="51"/>
  <c r="AF49" i="30"/>
  <c r="AF45" i="30"/>
  <c r="AF13" i="30"/>
  <c r="AF9" i="30"/>
  <c r="V2" i="38"/>
  <c r="W2" i="38"/>
  <c r="K49" i="51"/>
  <c r="AF60" i="30"/>
  <c r="AF56" i="30"/>
  <c r="D39" i="52"/>
  <c r="D45" i="52" s="1"/>
  <c r="J50" i="24"/>
  <c r="C27" i="6" s="1"/>
  <c r="D27" i="6" s="1"/>
  <c r="AO764" i="38"/>
  <c r="AO772" i="38"/>
  <c r="AO828" i="38"/>
  <c r="AO836" i="38"/>
  <c r="AO892" i="38"/>
  <c r="AO900" i="38"/>
  <c r="AO956" i="38"/>
  <c r="AO964" i="38"/>
  <c r="V67" i="73"/>
  <c r="V68" i="73" s="1"/>
  <c r="D27" i="52"/>
  <c r="AN904" i="2"/>
  <c r="AO341" i="38"/>
  <c r="AO349" i="38"/>
  <c r="AO405" i="38"/>
  <c r="AO413" i="38"/>
  <c r="AO469" i="38"/>
  <c r="AO477" i="38"/>
  <c r="AO533" i="38"/>
  <c r="AO541" i="38"/>
  <c r="AO597" i="38"/>
  <c r="AO605" i="38"/>
  <c r="AO661" i="38"/>
  <c r="AO669" i="38"/>
  <c r="AO725" i="38"/>
  <c r="AO733" i="38"/>
  <c r="AO789" i="38"/>
  <c r="AO797" i="38"/>
  <c r="AO853" i="38"/>
  <c r="AO861" i="38"/>
  <c r="AO917" i="38"/>
  <c r="AO925" i="38"/>
  <c r="AO981" i="38"/>
  <c r="AO989" i="38"/>
  <c r="AO374" i="38"/>
  <c r="AO382" i="38"/>
  <c r="AO438" i="38"/>
  <c r="AO446" i="38"/>
  <c r="AO502" i="38"/>
  <c r="AO510" i="38"/>
  <c r="AO566" i="38"/>
  <c r="AO574" i="38"/>
  <c r="AO630" i="38"/>
  <c r="AO638" i="38"/>
  <c r="AO694" i="38"/>
  <c r="AO702" i="38"/>
  <c r="AO758" i="38"/>
  <c r="AO766" i="38"/>
  <c r="AO822" i="38"/>
  <c r="AO830" i="38"/>
  <c r="AO886" i="38"/>
  <c r="AO894" i="38"/>
  <c r="AO950" i="38"/>
  <c r="AO958" i="38"/>
  <c r="AF63" i="30"/>
  <c r="AF55" i="30"/>
  <c r="AF39" i="30"/>
  <c r="AF27" i="30"/>
  <c r="AF23" i="30"/>
  <c r="AF61" i="30"/>
  <c r="AF54" i="30"/>
  <c r="AF6" i="30"/>
  <c r="I50" i="24"/>
  <c r="C26" i="6" s="1"/>
  <c r="D26" i="6" s="1"/>
  <c r="C41" i="6"/>
  <c r="D41" i="6" s="1"/>
  <c r="E9" i="82"/>
  <c r="C9" i="82"/>
  <c r="H55" i="86"/>
  <c r="D17" i="82"/>
  <c r="C17" i="82"/>
  <c r="O62" i="44"/>
  <c r="S55" i="86" s="1"/>
  <c r="I55" i="86"/>
  <c r="F16" i="82"/>
  <c r="F18" i="82" s="1"/>
  <c r="D16" i="82"/>
  <c r="O140" i="44"/>
  <c r="S133" i="86" s="1"/>
  <c r="I133" i="86"/>
  <c r="F8" i="82"/>
  <c r="E8" i="69"/>
  <c r="K12" i="69"/>
  <c r="L8" i="69"/>
  <c r="AB12" i="69"/>
  <c r="AI12" i="69"/>
  <c r="AV12" i="69"/>
  <c r="W8" i="69"/>
  <c r="AV8" i="69"/>
  <c r="B12" i="69"/>
  <c r="P8" i="69"/>
  <c r="N8" i="69"/>
  <c r="AS8" i="69"/>
  <c r="Z12" i="69"/>
  <c r="K8" i="69"/>
  <c r="J8" i="69"/>
  <c r="AE8" i="69"/>
  <c r="AL12" i="69"/>
  <c r="AE12" i="69"/>
  <c r="AT8" i="69"/>
  <c r="C12" i="69"/>
  <c r="U12" i="69"/>
  <c r="AG996" i="38"/>
  <c r="AE996" i="38"/>
  <c r="AI996" i="38"/>
  <c r="AE986" i="38"/>
  <c r="AG986" i="38"/>
  <c r="AI986" i="38"/>
  <c r="AE976" i="38"/>
  <c r="AQ976" i="38" s="1"/>
  <c r="AI976" i="38"/>
  <c r="AG976" i="38"/>
  <c r="AG964" i="38"/>
  <c r="AE964" i="38"/>
  <c r="AI964" i="38"/>
  <c r="AE954" i="38"/>
  <c r="AG954" i="38"/>
  <c r="AI954" i="38"/>
  <c r="AE944" i="38"/>
  <c r="AI944" i="38"/>
  <c r="AG944" i="38"/>
  <c r="AG932" i="38"/>
  <c r="AE932" i="38"/>
  <c r="AI932" i="38"/>
  <c r="AE922" i="38"/>
  <c r="AG922" i="38"/>
  <c r="AI922" i="38"/>
  <c r="AE912" i="38"/>
  <c r="AI912" i="38"/>
  <c r="AG912" i="38"/>
  <c r="AG900" i="38"/>
  <c r="AE900" i="38"/>
  <c r="AI900" i="38"/>
  <c r="AE890" i="38"/>
  <c r="AG890" i="38"/>
  <c r="AI890" i="38"/>
  <c r="AE880" i="38"/>
  <c r="AI880" i="38"/>
  <c r="AG880" i="38"/>
  <c r="AQ880" i="38" s="1"/>
  <c r="AG868" i="38"/>
  <c r="AE868" i="38"/>
  <c r="AI868" i="38"/>
  <c r="AE858" i="38"/>
  <c r="AG858" i="38"/>
  <c r="AI858" i="38"/>
  <c r="AE848" i="38"/>
  <c r="AI848" i="38"/>
  <c r="AG848" i="38"/>
  <c r="AG836" i="38"/>
  <c r="AE836" i="38"/>
  <c r="AI836" i="38"/>
  <c r="AE804" i="38"/>
  <c r="AI804" i="38"/>
  <c r="AG804" i="38"/>
  <c r="AE772" i="38"/>
  <c r="AI772" i="38"/>
  <c r="AG772" i="38"/>
  <c r="AE740" i="38"/>
  <c r="AI740" i="38"/>
  <c r="AG740" i="38"/>
  <c r="AE708" i="38"/>
  <c r="AI708" i="38"/>
  <c r="AG708" i="38"/>
  <c r="AG690" i="38"/>
  <c r="AE690" i="38"/>
  <c r="AI690" i="38"/>
  <c r="AE652" i="38"/>
  <c r="AI652" i="38"/>
  <c r="AG652" i="38"/>
  <c r="AI643" i="38"/>
  <c r="AE643" i="38"/>
  <c r="AG643" i="38"/>
  <c r="AE995" i="38"/>
  <c r="AI995" i="38"/>
  <c r="AG995" i="38"/>
  <c r="AE931" i="38"/>
  <c r="AI931" i="38"/>
  <c r="AG931" i="38"/>
  <c r="AI921" i="38"/>
  <c r="AG921" i="38"/>
  <c r="AE921" i="38"/>
  <c r="AE899" i="38"/>
  <c r="AI899" i="38"/>
  <c r="AG899" i="38"/>
  <c r="AE867" i="38"/>
  <c r="AI867" i="38"/>
  <c r="AG867" i="38"/>
  <c r="AI857" i="38"/>
  <c r="AG857" i="38"/>
  <c r="AE857" i="38"/>
  <c r="AE835" i="38"/>
  <c r="AI835" i="38"/>
  <c r="AG835" i="38"/>
  <c r="AI831" i="38"/>
  <c r="AE831" i="38"/>
  <c r="AG831" i="38"/>
  <c r="AI826" i="38"/>
  <c r="AE826" i="38"/>
  <c r="AG826" i="38"/>
  <c r="AI799" i="38"/>
  <c r="AE799" i="38"/>
  <c r="AG799" i="38"/>
  <c r="AI794" i="38"/>
  <c r="AE794" i="38"/>
  <c r="AG794" i="38"/>
  <c r="AI767" i="38"/>
  <c r="AE767" i="38"/>
  <c r="AG767" i="38"/>
  <c r="AI762" i="38"/>
  <c r="AE762" i="38"/>
  <c r="AG762" i="38"/>
  <c r="AI735" i="38"/>
  <c r="AE735" i="38"/>
  <c r="AG735" i="38"/>
  <c r="AI730" i="38"/>
  <c r="AE730" i="38"/>
  <c r="AG730" i="38"/>
  <c r="AI703" i="38"/>
  <c r="AE703" i="38"/>
  <c r="AG703" i="38"/>
  <c r="AI698" i="38"/>
  <c r="AE698" i="38"/>
  <c r="AG698" i="38"/>
  <c r="AE660" i="38"/>
  <c r="AI660" i="38"/>
  <c r="AG660" i="38"/>
  <c r="AI647" i="38"/>
  <c r="AE647" i="38"/>
  <c r="AG647" i="38"/>
  <c r="AI567" i="38"/>
  <c r="AE567" i="38"/>
  <c r="AG567" i="38"/>
  <c r="AE994" i="38"/>
  <c r="AI994" i="38"/>
  <c r="AG994" i="38"/>
  <c r="AE984" i="38"/>
  <c r="AI984" i="38"/>
  <c r="AG984" i="38"/>
  <c r="AG972" i="38"/>
  <c r="AE972" i="38"/>
  <c r="AI972" i="38"/>
  <c r="AE962" i="38"/>
  <c r="AI962" i="38"/>
  <c r="AG962" i="38"/>
  <c r="AE952" i="38"/>
  <c r="AI952" i="38"/>
  <c r="AG952" i="38"/>
  <c r="AQ952" i="38" s="1"/>
  <c r="AG940" i="38"/>
  <c r="AE940" i="38"/>
  <c r="AI940" i="38"/>
  <c r="AE930" i="38"/>
  <c r="AI930" i="38"/>
  <c r="AG930" i="38"/>
  <c r="AE920" i="38"/>
  <c r="AQ920" i="38" s="1"/>
  <c r="AI920" i="38"/>
  <c r="AG920" i="38"/>
  <c r="AG908" i="38"/>
  <c r="AE908" i="38"/>
  <c r="AI908" i="38"/>
  <c r="AE898" i="38"/>
  <c r="AI898" i="38"/>
  <c r="AG898" i="38"/>
  <c r="AE888" i="38"/>
  <c r="AI888" i="38"/>
  <c r="AG888" i="38"/>
  <c r="AG876" i="38"/>
  <c r="AE876" i="38"/>
  <c r="AI876" i="38"/>
  <c r="AE866" i="38"/>
  <c r="AI866" i="38"/>
  <c r="AG866" i="38"/>
  <c r="AE856" i="38"/>
  <c r="AI856" i="38"/>
  <c r="AG856" i="38"/>
  <c r="AG844" i="38"/>
  <c r="AE844" i="38"/>
  <c r="AI844" i="38"/>
  <c r="AE812" i="38"/>
  <c r="AI812" i="38"/>
  <c r="AG812" i="38"/>
  <c r="AE780" i="38"/>
  <c r="AI780" i="38"/>
  <c r="AG780" i="38"/>
  <c r="AE748" i="38"/>
  <c r="AI748" i="38"/>
  <c r="AG748" i="38"/>
  <c r="AE716" i="38"/>
  <c r="AI716" i="38"/>
  <c r="AG716" i="38"/>
  <c r="AE668" i="38"/>
  <c r="AI668" i="38"/>
  <c r="AG668" i="38"/>
  <c r="AI655" i="38"/>
  <c r="AE655" i="38"/>
  <c r="AG655" i="38"/>
  <c r="AI639" i="38"/>
  <c r="AE639" i="38"/>
  <c r="AG639" i="38"/>
  <c r="AI985" i="38"/>
  <c r="AG985" i="38"/>
  <c r="AE985" i="38"/>
  <c r="AE963" i="38"/>
  <c r="AI963" i="38"/>
  <c r="AG963" i="38"/>
  <c r="AI953" i="38"/>
  <c r="AG953" i="38"/>
  <c r="AE953" i="38"/>
  <c r="AI889" i="38"/>
  <c r="AG889" i="38"/>
  <c r="AE889" i="38"/>
  <c r="AI993" i="38"/>
  <c r="AG993" i="38"/>
  <c r="AE993" i="38"/>
  <c r="AE971" i="38"/>
  <c r="AI971" i="38"/>
  <c r="AG971" i="38"/>
  <c r="AI961" i="38"/>
  <c r="AG961" i="38"/>
  <c r="AE961" i="38"/>
  <c r="AE939" i="38"/>
  <c r="AI939" i="38"/>
  <c r="AG939" i="38"/>
  <c r="AI929" i="38"/>
  <c r="AG929" i="38"/>
  <c r="AE929" i="38"/>
  <c r="AE907" i="38"/>
  <c r="AI907" i="38"/>
  <c r="AG907" i="38"/>
  <c r="AI897" i="38"/>
  <c r="AG897" i="38"/>
  <c r="AE897" i="38"/>
  <c r="AE875" i="38"/>
  <c r="AI875" i="38"/>
  <c r="AG875" i="38"/>
  <c r="AI865" i="38"/>
  <c r="AG865" i="38"/>
  <c r="AE865" i="38"/>
  <c r="AE843" i="38"/>
  <c r="AI843" i="38"/>
  <c r="AG843" i="38"/>
  <c r="AI807" i="38"/>
  <c r="AE807" i="38"/>
  <c r="AG807" i="38"/>
  <c r="AG802" i="38"/>
  <c r="AE802" i="38"/>
  <c r="AI802" i="38"/>
  <c r="AQ802" i="38" s="1"/>
  <c r="AI775" i="38"/>
  <c r="AE775" i="38"/>
  <c r="AG775" i="38"/>
  <c r="AG770" i="38"/>
  <c r="AE770" i="38"/>
  <c r="AI770" i="38"/>
  <c r="AI743" i="38"/>
  <c r="AE743" i="38"/>
  <c r="AG743" i="38"/>
  <c r="AG738" i="38"/>
  <c r="AE738" i="38"/>
  <c r="AI738" i="38"/>
  <c r="AI711" i="38"/>
  <c r="AE711" i="38"/>
  <c r="AG711" i="38"/>
  <c r="AG706" i="38"/>
  <c r="AE706" i="38"/>
  <c r="AI706" i="38"/>
  <c r="AE676" i="38"/>
  <c r="AI676" i="38"/>
  <c r="AG676" i="38"/>
  <c r="AI663" i="38"/>
  <c r="AE663" i="38"/>
  <c r="AG663" i="38"/>
  <c r="AI650" i="38"/>
  <c r="AE650" i="38"/>
  <c r="AG650" i="38"/>
  <c r="AE1001" i="38"/>
  <c r="AI1001" i="38"/>
  <c r="AG1001" i="38"/>
  <c r="AE992" i="38"/>
  <c r="AI992" i="38"/>
  <c r="AG992" i="38"/>
  <c r="AG980" i="38"/>
  <c r="AE980" i="38"/>
  <c r="AI980" i="38"/>
  <c r="AE970" i="38"/>
  <c r="AG970" i="38"/>
  <c r="AI970" i="38"/>
  <c r="AE960" i="38"/>
  <c r="AI960" i="38"/>
  <c r="AG960" i="38"/>
  <c r="AG948" i="38"/>
  <c r="AE948" i="38"/>
  <c r="AI948" i="38"/>
  <c r="AE938" i="38"/>
  <c r="AG938" i="38"/>
  <c r="AI938" i="38"/>
  <c r="AQ938" i="38" s="1"/>
  <c r="AE928" i="38"/>
  <c r="AI928" i="38"/>
  <c r="AG928" i="38"/>
  <c r="AG916" i="38"/>
  <c r="AE916" i="38"/>
  <c r="AI916" i="38"/>
  <c r="AE906" i="38"/>
  <c r="AG906" i="38"/>
  <c r="AI906" i="38"/>
  <c r="AE896" i="38"/>
  <c r="AI896" i="38"/>
  <c r="AG896" i="38"/>
  <c r="AG884" i="38"/>
  <c r="AE884" i="38"/>
  <c r="AI884" i="38"/>
  <c r="AE874" i="38"/>
  <c r="AG874" i="38"/>
  <c r="AI874" i="38"/>
  <c r="AE864" i="38"/>
  <c r="AI864" i="38"/>
  <c r="AG864" i="38"/>
  <c r="AQ864" i="38" s="1"/>
  <c r="AG852" i="38"/>
  <c r="AE852" i="38"/>
  <c r="AI852" i="38"/>
  <c r="AE842" i="38"/>
  <c r="AG842" i="38"/>
  <c r="AI842" i="38"/>
  <c r="AE820" i="38"/>
  <c r="AI820" i="38"/>
  <c r="AG820" i="38"/>
  <c r="AE788" i="38"/>
  <c r="AI788" i="38"/>
  <c r="AG788" i="38"/>
  <c r="AE756" i="38"/>
  <c r="AI756" i="38"/>
  <c r="AG756" i="38"/>
  <c r="AE724" i="38"/>
  <c r="AI724" i="38"/>
  <c r="AG724" i="38"/>
  <c r="AE684" i="38"/>
  <c r="AI684" i="38"/>
  <c r="AG684" i="38"/>
  <c r="AI671" i="38"/>
  <c r="AE671" i="38"/>
  <c r="AG671" i="38"/>
  <c r="AG658" i="38"/>
  <c r="AE658" i="38"/>
  <c r="AI658" i="38"/>
  <c r="AE979" i="38"/>
  <c r="AI979" i="38"/>
  <c r="AG979" i="38"/>
  <c r="AI969" i="38"/>
  <c r="AG969" i="38"/>
  <c r="AE969" i="38"/>
  <c r="AE947" i="38"/>
  <c r="AI947" i="38"/>
  <c r="AG947" i="38"/>
  <c r="AI937" i="38"/>
  <c r="AG937" i="38"/>
  <c r="AE937" i="38"/>
  <c r="AE915" i="38"/>
  <c r="AI915" i="38"/>
  <c r="AG915" i="38"/>
  <c r="AI905" i="38"/>
  <c r="AG905" i="38"/>
  <c r="AE905" i="38"/>
  <c r="AE883" i="38"/>
  <c r="AI883" i="38"/>
  <c r="AG883" i="38"/>
  <c r="AI873" i="38"/>
  <c r="AG873" i="38"/>
  <c r="AE873" i="38"/>
  <c r="AE851" i="38"/>
  <c r="AI851" i="38"/>
  <c r="AG851" i="38"/>
  <c r="AI841" i="38"/>
  <c r="AG841" i="38"/>
  <c r="AE841" i="38"/>
  <c r="AI815" i="38"/>
  <c r="AE815" i="38"/>
  <c r="AG815" i="38"/>
  <c r="AI810" i="38"/>
  <c r="AE810" i="38"/>
  <c r="AG810" i="38"/>
  <c r="AQ810" i="38" s="1"/>
  <c r="AI783" i="38"/>
  <c r="AE783" i="38"/>
  <c r="AG783" i="38"/>
  <c r="AI778" i="38"/>
  <c r="AE778" i="38"/>
  <c r="AG778" i="38"/>
  <c r="AI751" i="38"/>
  <c r="AE751" i="38"/>
  <c r="AG751" i="38"/>
  <c r="AI746" i="38"/>
  <c r="AE746" i="38"/>
  <c r="AG746" i="38"/>
  <c r="AI719" i="38"/>
  <c r="AE719" i="38"/>
  <c r="AG719" i="38"/>
  <c r="AI714" i="38"/>
  <c r="AE714" i="38"/>
  <c r="AG714" i="38"/>
  <c r="AE692" i="38"/>
  <c r="AI692" i="38"/>
  <c r="AG692" i="38"/>
  <c r="AI679" i="38"/>
  <c r="AE679" i="38"/>
  <c r="AG679" i="38"/>
  <c r="AI666" i="38"/>
  <c r="AE666" i="38"/>
  <c r="AG666" i="38"/>
  <c r="AE1000" i="38"/>
  <c r="AQ1000" i="38" s="1"/>
  <c r="AI1000" i="38"/>
  <c r="AG1000" i="38"/>
  <c r="AG988" i="38"/>
  <c r="AE988" i="38"/>
  <c r="AI988" i="38"/>
  <c r="AE978" i="38"/>
  <c r="AI978" i="38"/>
  <c r="AG978" i="38"/>
  <c r="AQ978" i="38" s="1"/>
  <c r="AE968" i="38"/>
  <c r="AI968" i="38"/>
  <c r="AG968" i="38"/>
  <c r="AG956" i="38"/>
  <c r="AE956" i="38"/>
  <c r="AI956" i="38"/>
  <c r="AE946" i="38"/>
  <c r="AI946" i="38"/>
  <c r="AG946" i="38"/>
  <c r="AQ946" i="38" s="1"/>
  <c r="AE936" i="38"/>
  <c r="AI936" i="38"/>
  <c r="AG936" i="38"/>
  <c r="AG924" i="38"/>
  <c r="AE924" i="38"/>
  <c r="AI924" i="38"/>
  <c r="AE914" i="38"/>
  <c r="AI914" i="38"/>
  <c r="AG914" i="38"/>
  <c r="AE904" i="38"/>
  <c r="AI904" i="38"/>
  <c r="AG904" i="38"/>
  <c r="AG892" i="38"/>
  <c r="AE892" i="38"/>
  <c r="AI892" i="38"/>
  <c r="AE882" i="38"/>
  <c r="AI882" i="38"/>
  <c r="AG882" i="38"/>
  <c r="AE872" i="38"/>
  <c r="AI872" i="38"/>
  <c r="AG872" i="38"/>
  <c r="AG860" i="38"/>
  <c r="AE860" i="38"/>
  <c r="AI860" i="38"/>
  <c r="AE850" i="38"/>
  <c r="AI850" i="38"/>
  <c r="AG850" i="38"/>
  <c r="AE840" i="38"/>
  <c r="AI840" i="38"/>
  <c r="AG840" i="38"/>
  <c r="AE828" i="38"/>
  <c r="AI828" i="38"/>
  <c r="AG828" i="38"/>
  <c r="AE796" i="38"/>
  <c r="AI796" i="38"/>
  <c r="AG796" i="38"/>
  <c r="AE764" i="38"/>
  <c r="AI764" i="38"/>
  <c r="AG764" i="38"/>
  <c r="AE732" i="38"/>
  <c r="AI732" i="38"/>
  <c r="AG732" i="38"/>
  <c r="AE700" i="38"/>
  <c r="AI700" i="38"/>
  <c r="AG700" i="38"/>
  <c r="AI687" i="38"/>
  <c r="AE687" i="38"/>
  <c r="AG687" i="38"/>
  <c r="AG674" i="38"/>
  <c r="AE674" i="38"/>
  <c r="AI674" i="38"/>
  <c r="AI627" i="38"/>
  <c r="AE627" i="38"/>
  <c r="AG627" i="38"/>
  <c r="AE987" i="38"/>
  <c r="AI987" i="38"/>
  <c r="AG987" i="38"/>
  <c r="AI977" i="38"/>
  <c r="AG977" i="38"/>
  <c r="AE977" i="38"/>
  <c r="AE955" i="38"/>
  <c r="AI955" i="38"/>
  <c r="AG955" i="38"/>
  <c r="AI945" i="38"/>
  <c r="AG945" i="38"/>
  <c r="AE945" i="38"/>
  <c r="AE923" i="38"/>
  <c r="AI923" i="38"/>
  <c r="AG923" i="38"/>
  <c r="AI913" i="38"/>
  <c r="AG913" i="38"/>
  <c r="AE913" i="38"/>
  <c r="AQ913" i="38" s="1"/>
  <c r="AE891" i="38"/>
  <c r="AI891" i="38"/>
  <c r="AG891" i="38"/>
  <c r="AI881" i="38"/>
  <c r="AG881" i="38"/>
  <c r="AE881" i="38"/>
  <c r="AE859" i="38"/>
  <c r="AI859" i="38"/>
  <c r="AG859" i="38"/>
  <c r="AI849" i="38"/>
  <c r="AG849" i="38"/>
  <c r="AE849" i="38"/>
  <c r="AI823" i="38"/>
  <c r="AE823" i="38"/>
  <c r="AG823" i="38"/>
  <c r="AG818" i="38"/>
  <c r="AE818" i="38"/>
  <c r="AI818" i="38"/>
  <c r="AI791" i="38"/>
  <c r="AE791" i="38"/>
  <c r="AG791" i="38"/>
  <c r="AG786" i="38"/>
  <c r="AE786" i="38"/>
  <c r="AI786" i="38"/>
  <c r="AQ786" i="38" s="1"/>
  <c r="AI759" i="38"/>
  <c r="AE759" i="38"/>
  <c r="AG759" i="38"/>
  <c r="AG754" i="38"/>
  <c r="AE754" i="38"/>
  <c r="AI754" i="38"/>
  <c r="AQ754" i="38" s="1"/>
  <c r="AI727" i="38"/>
  <c r="AE727" i="38"/>
  <c r="AG727" i="38"/>
  <c r="AG722" i="38"/>
  <c r="AE722" i="38"/>
  <c r="AI722" i="38"/>
  <c r="AQ722" i="38" s="1"/>
  <c r="AI695" i="38"/>
  <c r="AE695" i="38"/>
  <c r="AG695" i="38"/>
  <c r="AI682" i="38"/>
  <c r="AE682" i="38"/>
  <c r="AG682" i="38"/>
  <c r="AI623" i="38"/>
  <c r="AE623" i="38"/>
  <c r="AG623" i="38"/>
  <c r="AI615" i="38"/>
  <c r="AE615" i="38"/>
  <c r="AG615" i="38"/>
  <c r="AI607" i="38"/>
  <c r="AE607" i="38"/>
  <c r="AG607" i="38"/>
  <c r="AQ607" i="38" s="1"/>
  <c r="AI599" i="38"/>
  <c r="AE599" i="38"/>
  <c r="AG599" i="38"/>
  <c r="AI591" i="38"/>
  <c r="AE591" i="38"/>
  <c r="AG591" i="38"/>
  <c r="AI583" i="38"/>
  <c r="AE583" i="38"/>
  <c r="AG583" i="38"/>
  <c r="AI563" i="38"/>
  <c r="AE563" i="38"/>
  <c r="AG563" i="38"/>
  <c r="AQ563" i="38" s="1"/>
  <c r="AQ944" i="38"/>
  <c r="AQ936" i="38"/>
  <c r="AE640" i="38"/>
  <c r="AG640" i="38"/>
  <c r="AE624" i="38"/>
  <c r="AG624" i="38"/>
  <c r="AI619" i="38"/>
  <c r="AE619" i="38"/>
  <c r="AI611" i="38"/>
  <c r="AE611" i="38"/>
  <c r="AI603" i="38"/>
  <c r="AE603" i="38"/>
  <c r="AI595" i="38"/>
  <c r="AE595" i="38"/>
  <c r="AI587" i="38"/>
  <c r="AE587" i="38"/>
  <c r="AI579" i="38"/>
  <c r="AE579" i="38"/>
  <c r="AI570" i="38"/>
  <c r="AG570" i="38"/>
  <c r="AI554" i="38"/>
  <c r="AG554" i="38"/>
  <c r="AI461" i="38"/>
  <c r="AE461" i="38"/>
  <c r="AQ461" i="38" s="1"/>
  <c r="AG461" i="38"/>
  <c r="AE441" i="38"/>
  <c r="AG441" i="38"/>
  <c r="AI441" i="38"/>
  <c r="AI999" i="38"/>
  <c r="AI991" i="38"/>
  <c r="AI983" i="38"/>
  <c r="AI975" i="38"/>
  <c r="AQ975" i="38" s="1"/>
  <c r="AI967" i="38"/>
  <c r="AI959" i="38"/>
  <c r="AI951" i="38"/>
  <c r="AQ951" i="38" s="1"/>
  <c r="AI943" i="38"/>
  <c r="AI935" i="38"/>
  <c r="AI927" i="38"/>
  <c r="AQ927" i="38" s="1"/>
  <c r="AI919" i="38"/>
  <c r="AQ919" i="38" s="1"/>
  <c r="AI911" i="38"/>
  <c r="AI903" i="38"/>
  <c r="AQ903" i="38" s="1"/>
  <c r="AI895" i="38"/>
  <c r="AI887" i="38"/>
  <c r="AQ887" i="38" s="1"/>
  <c r="AI879" i="38"/>
  <c r="AQ879" i="38" s="1"/>
  <c r="AI871" i="38"/>
  <c r="AQ871" i="38" s="1"/>
  <c r="AI863" i="38"/>
  <c r="AQ863" i="38" s="1"/>
  <c r="AI855" i="38"/>
  <c r="AI847" i="38"/>
  <c r="AQ847" i="38" s="1"/>
  <c r="AI839" i="38"/>
  <c r="AI834" i="38"/>
  <c r="AI830" i="38"/>
  <c r="AG822" i="38"/>
  <c r="AI814" i="38"/>
  <c r="AG806" i="38"/>
  <c r="AI798" i="38"/>
  <c r="AG790" i="38"/>
  <c r="AI782" i="38"/>
  <c r="AG774" i="38"/>
  <c r="AI766" i="38"/>
  <c r="AG758" i="38"/>
  <c r="AI750" i="38"/>
  <c r="AG742" i="38"/>
  <c r="AI734" i="38"/>
  <c r="AG726" i="38"/>
  <c r="AI718" i="38"/>
  <c r="AG710" i="38"/>
  <c r="AI702" i="38"/>
  <c r="AG694" i="38"/>
  <c r="AI686" i="38"/>
  <c r="AG678" i="38"/>
  <c r="AI670" i="38"/>
  <c r="AQ670" i="38" s="1"/>
  <c r="AG662" i="38"/>
  <c r="AI654" i="38"/>
  <c r="AG646" i="38"/>
  <c r="AQ646" i="38" s="1"/>
  <c r="AG642" i="38"/>
  <c r="AI642" i="38"/>
  <c r="AE635" i="38"/>
  <c r="AQ635" i="38" s="1"/>
  <c r="AE633" i="38"/>
  <c r="AQ633" i="38" s="1"/>
  <c r="AG626" i="38"/>
  <c r="AI626" i="38"/>
  <c r="AG621" i="38"/>
  <c r="AQ621" i="38" s="1"/>
  <c r="AE616" i="38"/>
  <c r="AQ616" i="38" s="1"/>
  <c r="AG616" i="38"/>
  <c r="AG613" i="38"/>
  <c r="AE608" i="38"/>
  <c r="AG608" i="38"/>
  <c r="AG605" i="38"/>
  <c r="AQ605" i="38" s="1"/>
  <c r="AE600" i="38"/>
  <c r="AG600" i="38"/>
  <c r="AG597" i="38"/>
  <c r="AE592" i="38"/>
  <c r="AG592" i="38"/>
  <c r="AG589" i="38"/>
  <c r="AQ589" i="38" s="1"/>
  <c r="AE584" i="38"/>
  <c r="AQ584" i="38" s="1"/>
  <c r="AG584" i="38"/>
  <c r="AG581" i="38"/>
  <c r="AQ581" i="38" s="1"/>
  <c r="AE576" i="38"/>
  <c r="AG576" i="38"/>
  <c r="AI573" i="38"/>
  <c r="AG573" i="38"/>
  <c r="AE560" i="38"/>
  <c r="AG560" i="38"/>
  <c r="AI557" i="38"/>
  <c r="AG557" i="38"/>
  <c r="AI547" i="38"/>
  <c r="AE547" i="38"/>
  <c r="AG547" i="38"/>
  <c r="AI531" i="38"/>
  <c r="AE531" i="38"/>
  <c r="AG531" i="38"/>
  <c r="AG518" i="38"/>
  <c r="AI518" i="38"/>
  <c r="AE518" i="38"/>
  <c r="AI501" i="38"/>
  <c r="AE501" i="38"/>
  <c r="AG501" i="38"/>
  <c r="AE444" i="38"/>
  <c r="AI444" i="38"/>
  <c r="AG444" i="38"/>
  <c r="AE834" i="38"/>
  <c r="AE830" i="38"/>
  <c r="AQ830" i="38" s="1"/>
  <c r="AE822" i="38"/>
  <c r="AE814" i="38"/>
  <c r="AE806" i="38"/>
  <c r="AE798" i="38"/>
  <c r="AE790" i="38"/>
  <c r="AE782" i="38"/>
  <c r="AE774" i="38"/>
  <c r="AE766" i="38"/>
  <c r="AQ766" i="38" s="1"/>
  <c r="AE758" i="38"/>
  <c r="AE750" i="38"/>
  <c r="AE742" i="38"/>
  <c r="AE734" i="38"/>
  <c r="AQ734" i="38" s="1"/>
  <c r="AE726" i="38"/>
  <c r="AQ726" i="38" s="1"/>
  <c r="AE718" i="38"/>
  <c r="AE710" i="38"/>
  <c r="AE702" i="38"/>
  <c r="AE644" i="38"/>
  <c r="AQ644" i="38" s="1"/>
  <c r="AG644" i="38"/>
  <c r="AE628" i="38"/>
  <c r="AG628" i="38"/>
  <c r="AG566" i="38"/>
  <c r="AQ566" i="38" s="1"/>
  <c r="AI566" i="38"/>
  <c r="AG550" i="38"/>
  <c r="AI550" i="38"/>
  <c r="AE500" i="38"/>
  <c r="AQ500" i="38" s="1"/>
  <c r="AG500" i="38"/>
  <c r="AI500" i="38"/>
  <c r="AI477" i="38"/>
  <c r="AE477" i="38"/>
  <c r="AG477" i="38"/>
  <c r="AQ583" i="38"/>
  <c r="AG630" i="38"/>
  <c r="AQ630" i="38" s="1"/>
  <c r="AI630" i="38"/>
  <c r="AI618" i="38"/>
  <c r="AG618" i="38"/>
  <c r="AG610" i="38"/>
  <c r="AQ610" i="38" s="1"/>
  <c r="AI610" i="38"/>
  <c r="AI602" i="38"/>
  <c r="AG602" i="38"/>
  <c r="AG594" i="38"/>
  <c r="AQ594" i="38" s="1"/>
  <c r="AI594" i="38"/>
  <c r="AI586" i="38"/>
  <c r="AG586" i="38"/>
  <c r="AG578" i="38"/>
  <c r="AQ578" i="38" s="1"/>
  <c r="AI578" i="38"/>
  <c r="AI575" i="38"/>
  <c r="AE575" i="38"/>
  <c r="AG575" i="38"/>
  <c r="AE572" i="38"/>
  <c r="AG572" i="38"/>
  <c r="AI569" i="38"/>
  <c r="AG569" i="38"/>
  <c r="AI559" i="38"/>
  <c r="AE559" i="38"/>
  <c r="AG559" i="38"/>
  <c r="AE556" i="38"/>
  <c r="AQ556" i="38" s="1"/>
  <c r="AG556" i="38"/>
  <c r="AI553" i="38"/>
  <c r="AG553" i="38"/>
  <c r="AI543" i="38"/>
  <c r="AE543" i="38"/>
  <c r="AG543" i="38"/>
  <c r="AI527" i="38"/>
  <c r="AE527" i="38"/>
  <c r="AG527" i="38"/>
  <c r="AE517" i="38"/>
  <c r="AI517" i="38"/>
  <c r="AG517" i="38"/>
  <c r="AE632" i="38"/>
  <c r="AG632" i="38"/>
  <c r="AG562" i="38"/>
  <c r="AQ562" i="38" s="1"/>
  <c r="AI562" i="38"/>
  <c r="AE516" i="38"/>
  <c r="AG516" i="38"/>
  <c r="AI516" i="38"/>
  <c r="AI493" i="38"/>
  <c r="AE493" i="38"/>
  <c r="AG493" i="38"/>
  <c r="AI451" i="38"/>
  <c r="AG451" i="38"/>
  <c r="AE451" i="38"/>
  <c r="AG998" i="38"/>
  <c r="AI990" i="38"/>
  <c r="AG982" i="38"/>
  <c r="AI974" i="38"/>
  <c r="AG966" i="38"/>
  <c r="AI958" i="38"/>
  <c r="AG950" i="38"/>
  <c r="AI942" i="38"/>
  <c r="AG934" i="38"/>
  <c r="AI926" i="38"/>
  <c r="AG918" i="38"/>
  <c r="AI910" i="38"/>
  <c r="AG902" i="38"/>
  <c r="AI894" i="38"/>
  <c r="AG886" i="38"/>
  <c r="AI878" i="38"/>
  <c r="AG870" i="38"/>
  <c r="AI862" i="38"/>
  <c r="AG854" i="38"/>
  <c r="AI846" i="38"/>
  <c r="AG838" i="38"/>
  <c r="AG833" i="38"/>
  <c r="AG829" i="38"/>
  <c r="AG821" i="38"/>
  <c r="AG813" i="38"/>
  <c r="AG805" i="38"/>
  <c r="AG797" i="38"/>
  <c r="AG789" i="38"/>
  <c r="AG781" i="38"/>
  <c r="AG773" i="38"/>
  <c r="AG765" i="38"/>
  <c r="AG757" i="38"/>
  <c r="AG749" i="38"/>
  <c r="AG741" i="38"/>
  <c r="AG733" i="38"/>
  <c r="AG725" i="38"/>
  <c r="AG717" i="38"/>
  <c r="AG709" i="38"/>
  <c r="AG701" i="38"/>
  <c r="AG693" i="38"/>
  <c r="AG685" i="38"/>
  <c r="AG677" i="38"/>
  <c r="AG669" i="38"/>
  <c r="AG661" i="38"/>
  <c r="AG653" i="38"/>
  <c r="AG645" i="38"/>
  <c r="AI634" i="38"/>
  <c r="AG634" i="38"/>
  <c r="AG629" i="38"/>
  <c r="AE620" i="38"/>
  <c r="AG620" i="38"/>
  <c r="AG617" i="38"/>
  <c r="AE612" i="38"/>
  <c r="AG612" i="38"/>
  <c r="AG609" i="38"/>
  <c r="AE604" i="38"/>
  <c r="AG604" i="38"/>
  <c r="AG601" i="38"/>
  <c r="AE596" i="38"/>
  <c r="AG596" i="38"/>
  <c r="AG593" i="38"/>
  <c r="AE588" i="38"/>
  <c r="AG588" i="38"/>
  <c r="AG585" i="38"/>
  <c r="AE580" i="38"/>
  <c r="AG580" i="38"/>
  <c r="AG577" i="38"/>
  <c r="AI571" i="38"/>
  <c r="AE571" i="38"/>
  <c r="AG571" i="38"/>
  <c r="AE568" i="38"/>
  <c r="AG568" i="38"/>
  <c r="AI565" i="38"/>
  <c r="AG565" i="38"/>
  <c r="AI555" i="38"/>
  <c r="AE555" i="38"/>
  <c r="AG555" i="38"/>
  <c r="AE552" i="38"/>
  <c r="AG552" i="38"/>
  <c r="AI539" i="38"/>
  <c r="AE539" i="38"/>
  <c r="AG539" i="38"/>
  <c r="AI523" i="38"/>
  <c r="AE523" i="38"/>
  <c r="AG523" i="38"/>
  <c r="AE492" i="38"/>
  <c r="AG492" i="38"/>
  <c r="AI492" i="38"/>
  <c r="AI469" i="38"/>
  <c r="AE469" i="38"/>
  <c r="AG469" i="38"/>
  <c r="AQ994" i="38"/>
  <c r="AQ954" i="38"/>
  <c r="AQ922" i="38"/>
  <c r="AQ866" i="38"/>
  <c r="AQ826" i="38"/>
  <c r="AI998" i="38"/>
  <c r="AG990" i="38"/>
  <c r="AI982" i="38"/>
  <c r="AG974" i="38"/>
  <c r="AI966" i="38"/>
  <c r="AG958" i="38"/>
  <c r="AQ958" i="38" s="1"/>
  <c r="AI950" i="38"/>
  <c r="AG942" i="38"/>
  <c r="AI934" i="38"/>
  <c r="AG926" i="38"/>
  <c r="AI918" i="38"/>
  <c r="AG910" i="38"/>
  <c r="AI902" i="38"/>
  <c r="AG894" i="38"/>
  <c r="AI886" i="38"/>
  <c r="AG878" i="38"/>
  <c r="AI870" i="38"/>
  <c r="AG862" i="38"/>
  <c r="AQ862" i="38" s="1"/>
  <c r="AI854" i="38"/>
  <c r="AG846" i="38"/>
  <c r="AI838" i="38"/>
  <c r="AI833" i="38"/>
  <c r="AI829" i="38"/>
  <c r="AG827" i="38"/>
  <c r="AI825" i="38"/>
  <c r="AI821" i="38"/>
  <c r="AG819" i="38"/>
  <c r="AI817" i="38"/>
  <c r="AI813" i="38"/>
  <c r="AG811" i="38"/>
  <c r="AI809" i="38"/>
  <c r="AI805" i="38"/>
  <c r="AG803" i="38"/>
  <c r="AI801" i="38"/>
  <c r="AI797" i="38"/>
  <c r="AG795" i="38"/>
  <c r="AI793" i="38"/>
  <c r="AI789" i="38"/>
  <c r="AG787" i="38"/>
  <c r="AI785" i="38"/>
  <c r="AI781" i="38"/>
  <c r="AG779" i="38"/>
  <c r="AI777" i="38"/>
  <c r="AI773" i="38"/>
  <c r="AG771" i="38"/>
  <c r="AI769" i="38"/>
  <c r="AI765" i="38"/>
  <c r="AG763" i="38"/>
  <c r="AI761" i="38"/>
  <c r="AI757" i="38"/>
  <c r="AG755" i="38"/>
  <c r="AI753" i="38"/>
  <c r="AI749" i="38"/>
  <c r="AG747" i="38"/>
  <c r="AI745" i="38"/>
  <c r="AI741" i="38"/>
  <c r="AG739" i="38"/>
  <c r="AI737" i="38"/>
  <c r="AI733" i="38"/>
  <c r="AG731" i="38"/>
  <c r="AI729" i="38"/>
  <c r="AI725" i="38"/>
  <c r="AG723" i="38"/>
  <c r="AI721" i="38"/>
  <c r="AI717" i="38"/>
  <c r="AG715" i="38"/>
  <c r="AI713" i="38"/>
  <c r="AI709" i="38"/>
  <c r="AG707" i="38"/>
  <c r="AI705" i="38"/>
  <c r="AI701" i="38"/>
  <c r="AG699" i="38"/>
  <c r="AI697" i="38"/>
  <c r="AI693" i="38"/>
  <c r="AG691" i="38"/>
  <c r="AI689" i="38"/>
  <c r="AI685" i="38"/>
  <c r="AG683" i="38"/>
  <c r="AI681" i="38"/>
  <c r="AI677" i="38"/>
  <c r="AG675" i="38"/>
  <c r="AI673" i="38"/>
  <c r="AI669" i="38"/>
  <c r="AG667" i="38"/>
  <c r="AI665" i="38"/>
  <c r="AI661" i="38"/>
  <c r="AG659" i="38"/>
  <c r="AI657" i="38"/>
  <c r="AI653" i="38"/>
  <c r="AG651" i="38"/>
  <c r="AI649" i="38"/>
  <c r="AI645" i="38"/>
  <c r="AE636" i="38"/>
  <c r="AG636" i="38"/>
  <c r="AG631" i="38"/>
  <c r="AI629" i="38"/>
  <c r="AE617" i="38"/>
  <c r="AE609" i="38"/>
  <c r="AE601" i="38"/>
  <c r="AE593" i="38"/>
  <c r="AE585" i="38"/>
  <c r="AE577" i="38"/>
  <c r="AI574" i="38"/>
  <c r="AG574" i="38"/>
  <c r="AI558" i="38"/>
  <c r="AG558" i="38"/>
  <c r="AI509" i="38"/>
  <c r="AE509" i="38"/>
  <c r="AG509" i="38"/>
  <c r="AI827" i="38"/>
  <c r="AE825" i="38"/>
  <c r="AQ825" i="38" s="1"/>
  <c r="AI819" i="38"/>
  <c r="AE817" i="38"/>
  <c r="AI811" i="38"/>
  <c r="AE809" i="38"/>
  <c r="AI803" i="38"/>
  <c r="AE801" i="38"/>
  <c r="AI795" i="38"/>
  <c r="AE793" i="38"/>
  <c r="AQ793" i="38" s="1"/>
  <c r="AI787" i="38"/>
  <c r="AE785" i="38"/>
  <c r="AI779" i="38"/>
  <c r="AE777" i="38"/>
  <c r="AQ777" i="38" s="1"/>
  <c r="AI771" i="38"/>
  <c r="AE769" i="38"/>
  <c r="AI763" i="38"/>
  <c r="AE761" i="38"/>
  <c r="AQ761" i="38" s="1"/>
  <c r="AI755" i="38"/>
  <c r="AE753" i="38"/>
  <c r="AI747" i="38"/>
  <c r="AE745" i="38"/>
  <c r="AI739" i="38"/>
  <c r="AE737" i="38"/>
  <c r="AI731" i="38"/>
  <c r="AE729" i="38"/>
  <c r="AQ729" i="38" s="1"/>
  <c r="AI723" i="38"/>
  <c r="AE721" i="38"/>
  <c r="AI715" i="38"/>
  <c r="AE713" i="38"/>
  <c r="AQ713" i="38" s="1"/>
  <c r="AI707" i="38"/>
  <c r="AE705" i="38"/>
  <c r="AI699" i="38"/>
  <c r="AE697" i="38"/>
  <c r="AQ697" i="38" s="1"/>
  <c r="AI691" i="38"/>
  <c r="AE689" i="38"/>
  <c r="AI683" i="38"/>
  <c r="AE681" i="38"/>
  <c r="AI675" i="38"/>
  <c r="AE673" i="38"/>
  <c r="AI667" i="38"/>
  <c r="AE665" i="38"/>
  <c r="AQ665" i="38" s="1"/>
  <c r="AI659" i="38"/>
  <c r="AE657" i="38"/>
  <c r="AI651" i="38"/>
  <c r="AE649" i="38"/>
  <c r="AQ649" i="38" s="1"/>
  <c r="AI640" i="38"/>
  <c r="AI638" i="38"/>
  <c r="AG638" i="38"/>
  <c r="AE631" i="38"/>
  <c r="AI624" i="38"/>
  <c r="AI622" i="38"/>
  <c r="AG622" i="38"/>
  <c r="AG619" i="38"/>
  <c r="AG614" i="38"/>
  <c r="AI614" i="38"/>
  <c r="AG611" i="38"/>
  <c r="AI606" i="38"/>
  <c r="AG606" i="38"/>
  <c r="AG603" i="38"/>
  <c r="AG598" i="38"/>
  <c r="AI598" i="38"/>
  <c r="AG595" i="38"/>
  <c r="AI590" i="38"/>
  <c r="AG590" i="38"/>
  <c r="AG587" i="38"/>
  <c r="AQ587" i="38" s="1"/>
  <c r="AG582" i="38"/>
  <c r="AI582" i="38"/>
  <c r="AG579" i="38"/>
  <c r="AE570" i="38"/>
  <c r="AE564" i="38"/>
  <c r="AG564" i="38"/>
  <c r="AI561" i="38"/>
  <c r="AG561" i="38"/>
  <c r="AE554" i="38"/>
  <c r="AI551" i="38"/>
  <c r="AE551" i="38"/>
  <c r="AG551" i="38"/>
  <c r="AE548" i="38"/>
  <c r="AG548" i="38"/>
  <c r="AI535" i="38"/>
  <c r="AE535" i="38"/>
  <c r="AG535" i="38"/>
  <c r="AI519" i="38"/>
  <c r="AE519" i="38"/>
  <c r="AG519" i="38"/>
  <c r="AE508" i="38"/>
  <c r="AG508" i="38"/>
  <c r="AI508" i="38"/>
  <c r="AI485" i="38"/>
  <c r="AE485" i="38"/>
  <c r="AG485" i="38"/>
  <c r="AI546" i="38"/>
  <c r="AQ546" i="38" s="1"/>
  <c r="AG544" i="38"/>
  <c r="AG542" i="38"/>
  <c r="AQ542" i="38" s="1"/>
  <c r="AG540" i="38"/>
  <c r="AG538" i="38"/>
  <c r="AG536" i="38"/>
  <c r="AQ536" i="38" s="1"/>
  <c r="AI534" i="38"/>
  <c r="AQ534" i="38" s="1"/>
  <c r="AG532" i="38"/>
  <c r="AI530" i="38"/>
  <c r="AG528" i="38"/>
  <c r="AQ528" i="38" s="1"/>
  <c r="AG526" i="38"/>
  <c r="AQ526" i="38" s="1"/>
  <c r="AG524" i="38"/>
  <c r="AG522" i="38"/>
  <c r="AQ522" i="38" s="1"/>
  <c r="AG520" i="38"/>
  <c r="AI484" i="38"/>
  <c r="AI476" i="38"/>
  <c r="AI468" i="38"/>
  <c r="AI460" i="38"/>
  <c r="AI443" i="38"/>
  <c r="AG443" i="38"/>
  <c r="AE443" i="38"/>
  <c r="AE436" i="38"/>
  <c r="AI436" i="38"/>
  <c r="AE433" i="38"/>
  <c r="AG433" i="38"/>
  <c r="AE429" i="38"/>
  <c r="AI429" i="38"/>
  <c r="AE384" i="38"/>
  <c r="AI384" i="38"/>
  <c r="AG384" i="38"/>
  <c r="AE371" i="38"/>
  <c r="AG371" i="38"/>
  <c r="AI371" i="38"/>
  <c r="AE367" i="38"/>
  <c r="AG367" i="38"/>
  <c r="AI367" i="38"/>
  <c r="AI338" i="38"/>
  <c r="AE338" i="38"/>
  <c r="AI439" i="38"/>
  <c r="AG439" i="38"/>
  <c r="AE432" i="38"/>
  <c r="AI432" i="38"/>
  <c r="AG432" i="38"/>
  <c r="AE387" i="38"/>
  <c r="AI387" i="38"/>
  <c r="AG387" i="38"/>
  <c r="AE383" i="38"/>
  <c r="AG383" i="38"/>
  <c r="AI383" i="38"/>
  <c r="AI354" i="38"/>
  <c r="AE354" i="38"/>
  <c r="AI344" i="38"/>
  <c r="AG344" i="38"/>
  <c r="AE344" i="38"/>
  <c r="AE299" i="38"/>
  <c r="AI299" i="38"/>
  <c r="AG299" i="38"/>
  <c r="AE188" i="38"/>
  <c r="AG188" i="38"/>
  <c r="AI188" i="38"/>
  <c r="AE80" i="38"/>
  <c r="AG80" i="38"/>
  <c r="AI80" i="38"/>
  <c r="AG55" i="38"/>
  <c r="AE55" i="38"/>
  <c r="AI55" i="38"/>
  <c r="AI510" i="38"/>
  <c r="AG510" i="38"/>
  <c r="AG502" i="38"/>
  <c r="AI502" i="38"/>
  <c r="AI494" i="38"/>
  <c r="AG494" i="38"/>
  <c r="AG486" i="38"/>
  <c r="AI486" i="38"/>
  <c r="AI478" i="38"/>
  <c r="AG478" i="38"/>
  <c r="AG470" i="38"/>
  <c r="AI470" i="38"/>
  <c r="AI462" i="38"/>
  <c r="AG462" i="38"/>
  <c r="AE457" i="38"/>
  <c r="AG457" i="38"/>
  <c r="AE453" i="38"/>
  <c r="AI453" i="38"/>
  <c r="AG435" i="38"/>
  <c r="AI435" i="38"/>
  <c r="AE435" i="38"/>
  <c r="AE428" i="38"/>
  <c r="AI428" i="38"/>
  <c r="AE425" i="38"/>
  <c r="AG425" i="38"/>
  <c r="AE421" i="38"/>
  <c r="AI421" i="38"/>
  <c r="AE413" i="38"/>
  <c r="AI413" i="38"/>
  <c r="AG413" i="38"/>
  <c r="AE405" i="38"/>
  <c r="AI405" i="38"/>
  <c r="AG405" i="38"/>
  <c r="AE397" i="38"/>
  <c r="AI397" i="38"/>
  <c r="AG397" i="38"/>
  <c r="AI370" i="38"/>
  <c r="AE370" i="38"/>
  <c r="AI360" i="38"/>
  <c r="AG360" i="38"/>
  <c r="AE360" i="38"/>
  <c r="AE324" i="38"/>
  <c r="AI324" i="38"/>
  <c r="AG324" i="38"/>
  <c r="AE308" i="38"/>
  <c r="AI308" i="38"/>
  <c r="AG308" i="38"/>
  <c r="AI302" i="38"/>
  <c r="AE302" i="38"/>
  <c r="AQ302" i="38" s="1"/>
  <c r="AG302" i="38"/>
  <c r="AE208" i="38"/>
  <c r="AI208" i="38"/>
  <c r="AG208" i="38"/>
  <c r="AE456" i="38"/>
  <c r="AI456" i="38"/>
  <c r="AG456" i="38"/>
  <c r="AI431" i="38"/>
  <c r="AG431" i="38"/>
  <c r="AE424" i="38"/>
  <c r="AI424" i="38"/>
  <c r="AG424" i="38"/>
  <c r="AI386" i="38"/>
  <c r="AE386" i="38"/>
  <c r="AI376" i="38"/>
  <c r="AG376" i="38"/>
  <c r="AE376" i="38"/>
  <c r="AE343" i="38"/>
  <c r="AI343" i="38"/>
  <c r="AG343" i="38"/>
  <c r="AG549" i="38"/>
  <c r="AG545" i="38"/>
  <c r="AQ545" i="38" s="1"/>
  <c r="AG541" i="38"/>
  <c r="AQ541" i="38" s="1"/>
  <c r="AG537" i="38"/>
  <c r="AG533" i="38"/>
  <c r="AG529" i="38"/>
  <c r="AG525" i="38"/>
  <c r="AG521" i="38"/>
  <c r="AQ521" i="38" s="1"/>
  <c r="AI515" i="38"/>
  <c r="AE515" i="38"/>
  <c r="AI507" i="38"/>
  <c r="AE507" i="38"/>
  <c r="AI499" i="38"/>
  <c r="AE499" i="38"/>
  <c r="AI491" i="38"/>
  <c r="AE491" i="38"/>
  <c r="AI483" i="38"/>
  <c r="AE483" i="38"/>
  <c r="AI475" i="38"/>
  <c r="AE475" i="38"/>
  <c r="AQ475" i="38" s="1"/>
  <c r="AI467" i="38"/>
  <c r="AE467" i="38"/>
  <c r="AI459" i="38"/>
  <c r="AE459" i="38"/>
  <c r="AE452" i="38"/>
  <c r="AI452" i="38"/>
  <c r="AE449" i="38"/>
  <c r="AG449" i="38"/>
  <c r="AE445" i="38"/>
  <c r="AI445" i="38"/>
  <c r="AI427" i="38"/>
  <c r="AG427" i="38"/>
  <c r="AE427" i="38"/>
  <c r="AE420" i="38"/>
  <c r="AI420" i="38"/>
  <c r="AE417" i="38"/>
  <c r="AG417" i="38"/>
  <c r="AE409" i="38"/>
  <c r="AG409" i="38"/>
  <c r="AE401" i="38"/>
  <c r="AQ401" i="38" s="1"/>
  <c r="AG401" i="38"/>
  <c r="AE393" i="38"/>
  <c r="AG393" i="38"/>
  <c r="AE359" i="38"/>
  <c r="AI359" i="38"/>
  <c r="AG359" i="38"/>
  <c r="AE347" i="38"/>
  <c r="AG347" i="38"/>
  <c r="AE212" i="38"/>
  <c r="AI212" i="38"/>
  <c r="AG212" i="38"/>
  <c r="AE512" i="38"/>
  <c r="AQ512" i="38" s="1"/>
  <c r="AG512" i="38"/>
  <c r="AE504" i="38"/>
  <c r="AG504" i="38"/>
  <c r="AE496" i="38"/>
  <c r="AG496" i="38"/>
  <c r="AE488" i="38"/>
  <c r="AG488" i="38"/>
  <c r="AE480" i="38"/>
  <c r="AG480" i="38"/>
  <c r="AE472" i="38"/>
  <c r="AG472" i="38"/>
  <c r="AE464" i="38"/>
  <c r="AQ464" i="38" s="1"/>
  <c r="AG464" i="38"/>
  <c r="AI455" i="38"/>
  <c r="AG455" i="38"/>
  <c r="AE448" i="38"/>
  <c r="AI448" i="38"/>
  <c r="AG448" i="38"/>
  <c r="AI423" i="38"/>
  <c r="AG423" i="38"/>
  <c r="AE416" i="38"/>
  <c r="AI416" i="38"/>
  <c r="AG416" i="38"/>
  <c r="AE408" i="38"/>
  <c r="AI408" i="38"/>
  <c r="AG408" i="38"/>
  <c r="AE400" i="38"/>
  <c r="AI400" i="38"/>
  <c r="AG400" i="38"/>
  <c r="AE392" i="38"/>
  <c r="AI392" i="38"/>
  <c r="AG392" i="38"/>
  <c r="AE375" i="38"/>
  <c r="AI375" i="38"/>
  <c r="AG375" i="38"/>
  <c r="AE363" i="38"/>
  <c r="AQ363" i="38" s="1"/>
  <c r="AG363" i="38"/>
  <c r="AI346" i="38"/>
  <c r="AE346" i="38"/>
  <c r="AG346" i="38"/>
  <c r="AE336" i="38"/>
  <c r="AI336" i="38"/>
  <c r="AG336" i="38"/>
  <c r="AI246" i="38"/>
  <c r="AG246" i="38"/>
  <c r="AE246" i="38"/>
  <c r="AE235" i="38"/>
  <c r="AI235" i="38"/>
  <c r="AG235" i="38"/>
  <c r="AE437" i="38"/>
  <c r="AI437" i="38"/>
  <c r="AI419" i="38"/>
  <c r="AG419" i="38"/>
  <c r="AE419" i="38"/>
  <c r="AE415" i="38"/>
  <c r="AI415" i="38"/>
  <c r="AG415" i="38"/>
  <c r="AI411" i="38"/>
  <c r="AG411" i="38"/>
  <c r="AE411" i="38"/>
  <c r="AE407" i="38"/>
  <c r="AI407" i="38"/>
  <c r="AG407" i="38"/>
  <c r="AG403" i="38"/>
  <c r="AI403" i="38"/>
  <c r="AE403" i="38"/>
  <c r="AE399" i="38"/>
  <c r="AI399" i="38"/>
  <c r="AG399" i="38"/>
  <c r="AI395" i="38"/>
  <c r="AG395" i="38"/>
  <c r="AE395" i="38"/>
  <c r="AE391" i="38"/>
  <c r="AI391" i="38"/>
  <c r="AG391" i="38"/>
  <c r="AE379" i="38"/>
  <c r="AG379" i="38"/>
  <c r="AI362" i="38"/>
  <c r="AE362" i="38"/>
  <c r="AG362" i="38"/>
  <c r="AE352" i="38"/>
  <c r="AI352" i="38"/>
  <c r="AG352" i="38"/>
  <c r="AE339" i="38"/>
  <c r="AG339" i="38"/>
  <c r="AI339" i="38"/>
  <c r="AE335" i="38"/>
  <c r="AG335" i="38"/>
  <c r="AI335" i="38"/>
  <c r="AG326" i="38"/>
  <c r="AI326" i="38"/>
  <c r="AE326" i="38"/>
  <c r="AE322" i="38"/>
  <c r="AI322" i="38"/>
  <c r="AG322" i="38"/>
  <c r="AI310" i="38"/>
  <c r="AG310" i="38"/>
  <c r="AE310" i="38"/>
  <c r="AI214" i="38"/>
  <c r="AG214" i="38"/>
  <c r="AE214" i="38"/>
  <c r="AE514" i="38"/>
  <c r="AG514" i="38"/>
  <c r="AE506" i="38"/>
  <c r="AI506" i="38"/>
  <c r="AE498" i="38"/>
  <c r="AG498" i="38"/>
  <c r="AE490" i="38"/>
  <c r="AQ490" i="38" s="1"/>
  <c r="AI490" i="38"/>
  <c r="AG484" i="38"/>
  <c r="AE482" i="38"/>
  <c r="AG482" i="38"/>
  <c r="AG476" i="38"/>
  <c r="AE474" i="38"/>
  <c r="AI474" i="38"/>
  <c r="AG468" i="38"/>
  <c r="AE466" i="38"/>
  <c r="AG466" i="38"/>
  <c r="AG460" i="38"/>
  <c r="AQ460" i="38" s="1"/>
  <c r="AI447" i="38"/>
  <c r="AG447" i="38"/>
  <c r="AE440" i="38"/>
  <c r="AI440" i="38"/>
  <c r="AG440" i="38"/>
  <c r="AI378" i="38"/>
  <c r="AE378" i="38"/>
  <c r="AG378" i="38"/>
  <c r="AE368" i="38"/>
  <c r="AI368" i="38"/>
  <c r="AG368" i="38"/>
  <c r="AE355" i="38"/>
  <c r="AI355" i="38"/>
  <c r="AG355" i="38"/>
  <c r="AE351" i="38"/>
  <c r="AG351" i="38"/>
  <c r="AI351" i="38"/>
  <c r="AI284" i="38"/>
  <c r="AG284" i="38"/>
  <c r="AE284" i="38"/>
  <c r="AG257" i="38"/>
  <c r="AI257" i="38"/>
  <c r="AE257" i="38"/>
  <c r="AI248" i="38"/>
  <c r="AG248" i="38"/>
  <c r="AE248" i="38"/>
  <c r="AG218" i="38"/>
  <c r="AE218" i="38"/>
  <c r="AI218" i="38"/>
  <c r="AI454" i="38"/>
  <c r="AG446" i="38"/>
  <c r="AQ446" i="38" s="1"/>
  <c r="AG438" i="38"/>
  <c r="AQ438" i="38" s="1"/>
  <c r="AG430" i="38"/>
  <c r="AQ430" i="38" s="1"/>
  <c r="AG422" i="38"/>
  <c r="AG414" i="38"/>
  <c r="AG406" i="38"/>
  <c r="AQ406" i="38" s="1"/>
  <c r="AG398" i="38"/>
  <c r="AQ398" i="38" s="1"/>
  <c r="AG390" i="38"/>
  <c r="AI381" i="38"/>
  <c r="AG374" i="38"/>
  <c r="AQ374" i="38" s="1"/>
  <c r="AI365" i="38"/>
  <c r="AQ365" i="38" s="1"/>
  <c r="AG358" i="38"/>
  <c r="AI349" i="38"/>
  <c r="AQ349" i="38" s="1"/>
  <c r="AG342" i="38"/>
  <c r="AQ342" i="38" s="1"/>
  <c r="AI333" i="38"/>
  <c r="AQ333" i="38" s="1"/>
  <c r="AG331" i="38"/>
  <c r="AQ331" i="38" s="1"/>
  <c r="AI329" i="38"/>
  <c r="AQ329" i="38" s="1"/>
  <c r="AI327" i="38"/>
  <c r="AQ327" i="38" s="1"/>
  <c r="AI325" i="38"/>
  <c r="AQ325" i="38" s="1"/>
  <c r="AG319" i="38"/>
  <c r="AI317" i="38"/>
  <c r="AI315" i="38"/>
  <c r="AQ315" i="38" s="1"/>
  <c r="AI313" i="38"/>
  <c r="AQ313" i="38" s="1"/>
  <c r="AI311" i="38"/>
  <c r="AQ311" i="38" s="1"/>
  <c r="AI309" i="38"/>
  <c r="AQ309" i="38" s="1"/>
  <c r="AI305" i="38"/>
  <c r="AQ305" i="38" s="1"/>
  <c r="AI281" i="38"/>
  <c r="AQ281" i="38" s="1"/>
  <c r="AE275" i="38"/>
  <c r="AG275" i="38"/>
  <c r="AG272" i="38"/>
  <c r="AQ272" i="38" s="1"/>
  <c r="AG270" i="38"/>
  <c r="AI244" i="38"/>
  <c r="AG202" i="38"/>
  <c r="AE202" i="38"/>
  <c r="AE184" i="38"/>
  <c r="AI184" i="38"/>
  <c r="AG184" i="38"/>
  <c r="AE159" i="38"/>
  <c r="AG159" i="38"/>
  <c r="AI159" i="38"/>
  <c r="AE148" i="38"/>
  <c r="AG148" i="38"/>
  <c r="AI148" i="38"/>
  <c r="AE72" i="38"/>
  <c r="AG72" i="38"/>
  <c r="AI72" i="38"/>
  <c r="AI412" i="38"/>
  <c r="AQ412" i="38" s="1"/>
  <c r="AI404" i="38"/>
  <c r="AI396" i="38"/>
  <c r="AQ396" i="38" s="1"/>
  <c r="AI377" i="38"/>
  <c r="AI361" i="38"/>
  <c r="AI345" i="38"/>
  <c r="AQ345" i="38" s="1"/>
  <c r="AG321" i="38"/>
  <c r="AE321" i="38"/>
  <c r="AE259" i="38"/>
  <c r="AQ259" i="38" s="1"/>
  <c r="AG259" i="38"/>
  <c r="AE211" i="38"/>
  <c r="AI211" i="38"/>
  <c r="AG211" i="38"/>
  <c r="AE180" i="38"/>
  <c r="AG180" i="38"/>
  <c r="AI180" i="38"/>
  <c r="AE166" i="38"/>
  <c r="AI166" i="38"/>
  <c r="AG166" i="38"/>
  <c r="AE163" i="38"/>
  <c r="AI163" i="38"/>
  <c r="AG163" i="38"/>
  <c r="AE88" i="38"/>
  <c r="AG88" i="38"/>
  <c r="AI88" i="38"/>
  <c r="AI458" i="38"/>
  <c r="AQ458" i="38" s="1"/>
  <c r="AG450" i="38"/>
  <c r="AQ450" i="38" s="1"/>
  <c r="AG442" i="38"/>
  <c r="AQ442" i="38" s="1"/>
  <c r="AG434" i="38"/>
  <c r="AQ434" i="38" s="1"/>
  <c r="AG426" i="38"/>
  <c r="AQ426" i="38" s="1"/>
  <c r="AG418" i="38"/>
  <c r="AQ418" i="38" s="1"/>
  <c r="AG410" i="38"/>
  <c r="AG402" i="38"/>
  <c r="AQ402" i="38" s="1"/>
  <c r="AG394" i="38"/>
  <c r="AI382" i="38"/>
  <c r="AQ382" i="38" s="1"/>
  <c r="AI366" i="38"/>
  <c r="AQ366" i="38" s="1"/>
  <c r="AI350" i="38"/>
  <c r="AQ350" i="38" s="1"/>
  <c r="AI334" i="38"/>
  <c r="AG304" i="38"/>
  <c r="AG300" i="38"/>
  <c r="AI289" i="38"/>
  <c r="AE283" i="38"/>
  <c r="AI283" i="38"/>
  <c r="AG280" i="38"/>
  <c r="AG278" i="38"/>
  <c r="AG276" i="38"/>
  <c r="AE265" i="38"/>
  <c r="AQ265" i="38" s="1"/>
  <c r="AE256" i="38"/>
  <c r="AE254" i="38"/>
  <c r="AQ254" i="38" s="1"/>
  <c r="AI252" i="38"/>
  <c r="AQ252" i="38" s="1"/>
  <c r="AG220" i="38"/>
  <c r="AG217" i="38"/>
  <c r="AE217" i="38"/>
  <c r="AQ217" i="38" s="1"/>
  <c r="AI207" i="38"/>
  <c r="AG207" i="38"/>
  <c r="AG194" i="38"/>
  <c r="AE194" i="38"/>
  <c r="AQ194" i="38" s="1"/>
  <c r="AE190" i="38"/>
  <c r="AI190" i="38"/>
  <c r="AG190" i="38"/>
  <c r="AI170" i="38"/>
  <c r="AG170" i="38"/>
  <c r="AE170" i="38"/>
  <c r="AE96" i="38"/>
  <c r="AG96" i="38"/>
  <c r="AI96" i="38"/>
  <c r="AG330" i="38"/>
  <c r="AG328" i="38"/>
  <c r="AG318" i="38"/>
  <c r="AG314" i="38"/>
  <c r="AG312" i="38"/>
  <c r="AE304" i="38"/>
  <c r="AI300" i="38"/>
  <c r="AE289" i="38"/>
  <c r="AE280" i="38"/>
  <c r="AE278" i="38"/>
  <c r="AI276" i="38"/>
  <c r="AI249" i="38"/>
  <c r="AE243" i="38"/>
  <c r="AG243" i="38"/>
  <c r="AG240" i="38"/>
  <c r="AG238" i="38"/>
  <c r="AI220" i="38"/>
  <c r="AE204" i="38"/>
  <c r="AG204" i="38"/>
  <c r="AI204" i="38"/>
  <c r="AE182" i="38"/>
  <c r="AI182" i="38"/>
  <c r="AG182" i="38"/>
  <c r="AE104" i="38"/>
  <c r="AG104" i="38"/>
  <c r="AI104" i="38"/>
  <c r="AE389" i="38"/>
  <c r="AE373" i="38"/>
  <c r="AE357" i="38"/>
  <c r="AQ357" i="38" s="1"/>
  <c r="AE341" i="38"/>
  <c r="AQ341" i="38" s="1"/>
  <c r="AI330" i="38"/>
  <c r="AE328" i="38"/>
  <c r="AE318" i="38"/>
  <c r="AI314" i="38"/>
  <c r="AE312" i="38"/>
  <c r="AE267" i="38"/>
  <c r="AI267" i="38"/>
  <c r="AE249" i="38"/>
  <c r="AE240" i="38"/>
  <c r="AQ240" i="38" s="1"/>
  <c r="AE238" i="38"/>
  <c r="AQ238" i="38" s="1"/>
  <c r="AE216" i="38"/>
  <c r="AI216" i="38"/>
  <c r="AG210" i="38"/>
  <c r="AI210" i="38"/>
  <c r="AI177" i="38"/>
  <c r="AG177" i="38"/>
  <c r="AE177" i="38"/>
  <c r="AI112" i="38"/>
  <c r="AG112" i="38"/>
  <c r="AE112" i="38"/>
  <c r="AE291" i="38"/>
  <c r="AQ291" i="38" s="1"/>
  <c r="AG291" i="38"/>
  <c r="AE227" i="38"/>
  <c r="AG227" i="38"/>
  <c r="AE219" i="38"/>
  <c r="AG219" i="38"/>
  <c r="AI219" i="38"/>
  <c r="AE203" i="38"/>
  <c r="AG203" i="38"/>
  <c r="AI203" i="38"/>
  <c r="AE297" i="38"/>
  <c r="AE288" i="38"/>
  <c r="AQ288" i="38" s="1"/>
  <c r="AE286" i="38"/>
  <c r="AQ286" i="38" s="1"/>
  <c r="AI275" i="38"/>
  <c r="AE251" i="38"/>
  <c r="AI251" i="38"/>
  <c r="AE233" i="38"/>
  <c r="AQ233" i="38" s="1"/>
  <c r="AE224" i="38"/>
  <c r="AI224" i="38"/>
  <c r="AI215" i="38"/>
  <c r="AE215" i="38"/>
  <c r="AI202" i="38"/>
  <c r="AE196" i="38"/>
  <c r="AG196" i="38"/>
  <c r="AI196" i="38"/>
  <c r="AE68" i="38"/>
  <c r="AG68" i="38"/>
  <c r="AI68" i="38"/>
  <c r="AI222" i="38"/>
  <c r="AG222" i="38"/>
  <c r="AI209" i="38"/>
  <c r="AQ209" i="38" s="1"/>
  <c r="AI201" i="38"/>
  <c r="AG201" i="38"/>
  <c r="AE195" i="38"/>
  <c r="AI195" i="38"/>
  <c r="AG195" i="38"/>
  <c r="AG191" i="38"/>
  <c r="AE176" i="38"/>
  <c r="AI176" i="38"/>
  <c r="AI169" i="38"/>
  <c r="AG169" i="38"/>
  <c r="AQ169" i="38" s="1"/>
  <c r="AI162" i="38"/>
  <c r="AG162" i="38"/>
  <c r="AE158" i="38"/>
  <c r="AI158" i="38"/>
  <c r="AG158" i="38"/>
  <c r="AE155" i="38"/>
  <c r="AG155" i="38"/>
  <c r="AI155" i="38"/>
  <c r="AE151" i="38"/>
  <c r="AI151" i="38"/>
  <c r="AE144" i="38"/>
  <c r="AI144" i="38"/>
  <c r="AI137" i="38"/>
  <c r="AG137" i="38"/>
  <c r="AI130" i="38"/>
  <c r="AG130" i="38"/>
  <c r="AE126" i="38"/>
  <c r="AI126" i="38"/>
  <c r="AG126" i="38"/>
  <c r="AE123" i="38"/>
  <c r="AG123" i="38"/>
  <c r="AI123" i="38"/>
  <c r="AE119" i="38"/>
  <c r="AI119" i="38"/>
  <c r="AI64" i="38"/>
  <c r="AE64" i="38"/>
  <c r="AG64" i="38"/>
  <c r="AI206" i="38"/>
  <c r="AG206" i="38"/>
  <c r="AE200" i="38"/>
  <c r="AI200" i="38"/>
  <c r="AI185" i="38"/>
  <c r="AG185" i="38"/>
  <c r="AE179" i="38"/>
  <c r="AI179" i="38"/>
  <c r="AG179" i="38"/>
  <c r="AE175" i="38"/>
  <c r="AI175" i="38"/>
  <c r="AE168" i="38"/>
  <c r="AI168" i="38"/>
  <c r="AI161" i="38"/>
  <c r="AG161" i="38"/>
  <c r="AI154" i="38"/>
  <c r="AG154" i="38"/>
  <c r="AE150" i="38"/>
  <c r="AI150" i="38"/>
  <c r="AG150" i="38"/>
  <c r="AE147" i="38"/>
  <c r="AI147" i="38"/>
  <c r="AG147" i="38"/>
  <c r="AE143" i="38"/>
  <c r="AG143" i="38"/>
  <c r="AE136" i="38"/>
  <c r="AI136" i="38"/>
  <c r="AI129" i="38"/>
  <c r="AG129" i="38"/>
  <c r="AQ129" i="38" s="1"/>
  <c r="AI122" i="38"/>
  <c r="AG122" i="38"/>
  <c r="AE118" i="38"/>
  <c r="AI118" i="38"/>
  <c r="AG118" i="38"/>
  <c r="AE172" i="38"/>
  <c r="AG172" i="38"/>
  <c r="AE140" i="38"/>
  <c r="AG140" i="38"/>
  <c r="AE115" i="38"/>
  <c r="AI115" i="38"/>
  <c r="AG107" i="38"/>
  <c r="AE107" i="38"/>
  <c r="AI107" i="38"/>
  <c r="AI99" i="38"/>
  <c r="AE99" i="38"/>
  <c r="AG99" i="38"/>
  <c r="AG91" i="38"/>
  <c r="AE91" i="38"/>
  <c r="AI91" i="38"/>
  <c r="AI83" i="38"/>
  <c r="AE83" i="38"/>
  <c r="AG83" i="38"/>
  <c r="AG75" i="38"/>
  <c r="AE75" i="38"/>
  <c r="AI75" i="38"/>
  <c r="AI178" i="38"/>
  <c r="AG178" i="38"/>
  <c r="AE174" i="38"/>
  <c r="AI174" i="38"/>
  <c r="AG174" i="38"/>
  <c r="AE171" i="38"/>
  <c r="AG171" i="38"/>
  <c r="AI171" i="38"/>
  <c r="AE167" i="38"/>
  <c r="AI167" i="38"/>
  <c r="AE160" i="38"/>
  <c r="AI160" i="38"/>
  <c r="AI153" i="38"/>
  <c r="AG153" i="38"/>
  <c r="AQ153" i="38" s="1"/>
  <c r="AI146" i="38"/>
  <c r="AG146" i="38"/>
  <c r="AE142" i="38"/>
  <c r="AI142" i="38"/>
  <c r="AG142" i="38"/>
  <c r="AE139" i="38"/>
  <c r="AG139" i="38"/>
  <c r="AI139" i="38"/>
  <c r="AE135" i="38"/>
  <c r="AI135" i="38"/>
  <c r="AE128" i="38"/>
  <c r="AI128" i="38"/>
  <c r="AI121" i="38"/>
  <c r="AG121" i="38"/>
  <c r="AI106" i="38"/>
  <c r="AE106" i="38"/>
  <c r="AG106" i="38"/>
  <c r="AI98" i="38"/>
  <c r="AE98" i="38"/>
  <c r="AG98" i="38"/>
  <c r="AI90" i="38"/>
  <c r="AE90" i="38"/>
  <c r="AG90" i="38"/>
  <c r="AI82" i="38"/>
  <c r="AE82" i="38"/>
  <c r="AG82" i="38"/>
  <c r="AI74" i="38"/>
  <c r="AE74" i="38"/>
  <c r="AG74" i="38"/>
  <c r="AE60" i="38"/>
  <c r="AG60" i="38"/>
  <c r="AI193" i="38"/>
  <c r="AG193" i="38"/>
  <c r="AE187" i="38"/>
  <c r="AG187" i="38"/>
  <c r="AI187" i="38"/>
  <c r="AG183" i="38"/>
  <c r="AQ183" i="38" s="1"/>
  <c r="AE164" i="38"/>
  <c r="AG164" i="38"/>
  <c r="AE132" i="38"/>
  <c r="AG132" i="38"/>
  <c r="AI114" i="38"/>
  <c r="AE114" i="38"/>
  <c r="AG110" i="38"/>
  <c r="AQ110" i="38" s="1"/>
  <c r="AI110" i="38"/>
  <c r="AG102" i="38"/>
  <c r="AI102" i="38"/>
  <c r="AG94" i="38"/>
  <c r="AI94" i="38"/>
  <c r="AG86" i="38"/>
  <c r="AI86" i="38"/>
  <c r="AG78" i="38"/>
  <c r="AI78" i="38"/>
  <c r="AG70" i="38"/>
  <c r="AI70" i="38"/>
  <c r="AE152" i="38"/>
  <c r="AQ152" i="38" s="1"/>
  <c r="AI152" i="38"/>
  <c r="AI145" i="38"/>
  <c r="AG145" i="38"/>
  <c r="AQ145" i="38" s="1"/>
  <c r="AI138" i="38"/>
  <c r="AG138" i="38"/>
  <c r="AE134" i="38"/>
  <c r="AI134" i="38"/>
  <c r="AG134" i="38"/>
  <c r="AE131" i="38"/>
  <c r="AI131" i="38"/>
  <c r="AG131" i="38"/>
  <c r="AE127" i="38"/>
  <c r="AQ127" i="38" s="1"/>
  <c r="AG127" i="38"/>
  <c r="AE120" i="38"/>
  <c r="AI120" i="38"/>
  <c r="AE198" i="38"/>
  <c r="AI198" i="38"/>
  <c r="AG198" i="38"/>
  <c r="AE192" i="38"/>
  <c r="AI192" i="38"/>
  <c r="AE156" i="38"/>
  <c r="AG156" i="38"/>
  <c r="AE124" i="38"/>
  <c r="AG124" i="38"/>
  <c r="AG52" i="38"/>
  <c r="AE52" i="38"/>
  <c r="AI35" i="38"/>
  <c r="AG35" i="38"/>
  <c r="AG31" i="38"/>
  <c r="AI31" i="38"/>
  <c r="I22" i="51"/>
  <c r="AJ8" i="38"/>
  <c r="AG113" i="38"/>
  <c r="AI113" i="38"/>
  <c r="AG105" i="38"/>
  <c r="AG97" i="38"/>
  <c r="AG89" i="38"/>
  <c r="AG81" i="38"/>
  <c r="AG73" i="38"/>
  <c r="AG65" i="38"/>
  <c r="AI63" i="38"/>
  <c r="AE38" i="38"/>
  <c r="AI38" i="38"/>
  <c r="AG38" i="38"/>
  <c r="AI32" i="38"/>
  <c r="AG32" i="38"/>
  <c r="AI111" i="38"/>
  <c r="AI109" i="38"/>
  <c r="AI105" i="38"/>
  <c r="AG103" i="38"/>
  <c r="AI101" i="38"/>
  <c r="AI97" i="38"/>
  <c r="AI95" i="38"/>
  <c r="AI93" i="38"/>
  <c r="AI89" i="38"/>
  <c r="AG87" i="38"/>
  <c r="AI85" i="38"/>
  <c r="AI81" i="38"/>
  <c r="AI79" i="38"/>
  <c r="AI77" i="38"/>
  <c r="AI73" i="38"/>
  <c r="AG71" i="38"/>
  <c r="AG69" i="38"/>
  <c r="AI67" i="38"/>
  <c r="AI65" i="38"/>
  <c r="AE63" i="38"/>
  <c r="AG61" i="38"/>
  <c r="AG59" i="38"/>
  <c r="AI54" i="38"/>
  <c r="AE54" i="38"/>
  <c r="AI41" i="38"/>
  <c r="AG41" i="38"/>
  <c r="AG40" i="38"/>
  <c r="AE40" i="38"/>
  <c r="AE39" i="38"/>
  <c r="AI39" i="38"/>
  <c r="AE35" i="38"/>
  <c r="W56" i="2"/>
  <c r="AG116" i="38"/>
  <c r="AQ116" i="38" s="1"/>
  <c r="AG111" i="38"/>
  <c r="AE109" i="38"/>
  <c r="AI103" i="38"/>
  <c r="AE101" i="38"/>
  <c r="AG95" i="38"/>
  <c r="AE93" i="38"/>
  <c r="AI87" i="38"/>
  <c r="AE85" i="38"/>
  <c r="AQ85" i="38" s="1"/>
  <c r="AG79" i="38"/>
  <c r="AE77" i="38"/>
  <c r="AI71" i="38"/>
  <c r="AI69" i="38"/>
  <c r="AE67" i="38"/>
  <c r="AI61" i="38"/>
  <c r="AE59" i="38"/>
  <c r="AE44" i="38"/>
  <c r="AI44" i="38"/>
  <c r="AG44" i="38"/>
  <c r="AI33" i="38"/>
  <c r="AG33" i="38"/>
  <c r="AI52" i="38"/>
  <c r="AG46" i="38"/>
  <c r="AE46" i="38"/>
  <c r="AE45" i="38"/>
  <c r="AI45" i="38"/>
  <c r="AE36" i="38"/>
  <c r="AG36" i="38"/>
  <c r="AE28" i="38"/>
  <c r="AI28" i="38"/>
  <c r="AG28" i="38"/>
  <c r="AE50" i="38"/>
  <c r="AG50" i="38"/>
  <c r="Z56" i="2"/>
  <c r="N31" i="32"/>
  <c r="Z57" i="2" s="1"/>
  <c r="U56" i="2"/>
  <c r="C30" i="32"/>
  <c r="AG56" i="2" s="1"/>
  <c r="I31" i="32"/>
  <c r="U57" i="2" s="1"/>
  <c r="AE31" i="38"/>
  <c r="AG6" i="38"/>
  <c r="J6" i="38"/>
  <c r="AJ6" i="38" s="1"/>
  <c r="AE21" i="38"/>
  <c r="AG21" i="38"/>
  <c r="AE14" i="38"/>
  <c r="AG14" i="38"/>
  <c r="BD6" i="69"/>
  <c r="BD8" i="69" s="1"/>
  <c r="Z37" i="2"/>
  <c r="D923" i="2"/>
  <c r="D861" i="2"/>
  <c r="C865" i="2"/>
  <c r="C927" i="2"/>
  <c r="C866" i="2"/>
  <c r="C928" i="2"/>
  <c r="D932" i="2"/>
  <c r="D870" i="2"/>
  <c r="D934" i="2"/>
  <c r="D872" i="2"/>
  <c r="D881" i="2"/>
  <c r="D943" i="2"/>
  <c r="D882" i="2"/>
  <c r="D944" i="2"/>
  <c r="D964" i="2"/>
  <c r="D902" i="2"/>
  <c r="D903" i="2"/>
  <c r="D965" i="2"/>
  <c r="AE25" i="38"/>
  <c r="AI25" i="38"/>
  <c r="AE6" i="38"/>
  <c r="AE22" i="38"/>
  <c r="J13" i="38"/>
  <c r="AJ13" i="38" s="1"/>
  <c r="L31" i="32"/>
  <c r="X57" i="2" s="1"/>
  <c r="AG30" i="38"/>
  <c r="AQ30" i="38" s="1"/>
  <c r="S49" i="2"/>
  <c r="AE29" i="38"/>
  <c r="AQ29" i="38" s="1"/>
  <c r="AG26" i="38"/>
  <c r="AG46" i="2"/>
  <c r="AI21" i="38"/>
  <c r="AE13" i="38"/>
  <c r="AI24" i="38"/>
  <c r="AE24" i="38"/>
  <c r="AI22" i="38"/>
  <c r="AE17" i="38"/>
  <c r="AI17" i="38"/>
  <c r="AE11" i="38"/>
  <c r="AG11" i="38"/>
  <c r="J11" i="38"/>
  <c r="AJ11" i="38" s="1"/>
  <c r="T141" i="44"/>
  <c r="J10" i="38"/>
  <c r="AJ10" i="38" s="1"/>
  <c r="AG10" i="38"/>
  <c r="AI51" i="38"/>
  <c r="H22" i="51"/>
  <c r="AG24" i="38"/>
  <c r="I69" i="52"/>
  <c r="F69" i="52"/>
  <c r="AC67" i="2"/>
  <c r="Q40" i="32"/>
  <c r="AC66" i="2" s="1"/>
  <c r="AH1095" i="2"/>
  <c r="U24" i="34"/>
  <c r="AI43" i="38"/>
  <c r="AI14" i="38"/>
  <c r="AG4" i="38"/>
  <c r="G35" i="51"/>
  <c r="AI16" i="38"/>
  <c r="AE16" i="38"/>
  <c r="AI8" i="38"/>
  <c r="AE8" i="38"/>
  <c r="AG8" i="38"/>
  <c r="C29" i="49"/>
  <c r="I68" i="52" s="1"/>
  <c r="AG43" i="2"/>
  <c r="K92" i="86"/>
  <c r="F7" i="82"/>
  <c r="S50" i="2"/>
  <c r="AE27" i="38"/>
  <c r="AG27" i="38"/>
  <c r="AG25" i="38"/>
  <c r="AI6" i="38"/>
  <c r="AE7" i="38"/>
  <c r="J7" i="38"/>
  <c r="AJ7" i="38" s="1"/>
  <c r="AG7" i="38"/>
  <c r="T63" i="73"/>
  <c r="Y5" i="73"/>
  <c r="K55" i="86"/>
  <c r="F9" i="82"/>
  <c r="W64" i="2"/>
  <c r="K40" i="32"/>
  <c r="W66" i="2" s="1"/>
  <c r="AB64" i="2"/>
  <c r="P40" i="32"/>
  <c r="AB66" i="2" s="1"/>
  <c r="C15" i="82"/>
  <c r="O92" i="86"/>
  <c r="O99" i="44"/>
  <c r="S92" i="86" s="1"/>
  <c r="C11" i="32"/>
  <c r="AG1070" i="2"/>
  <c r="H7" i="51"/>
  <c r="B29" i="26" s="1"/>
  <c r="AM23" i="2" s="1"/>
  <c r="AH1065" i="2"/>
  <c r="Z37" i="32"/>
  <c r="AL31" i="46" s="1"/>
  <c r="AA37" i="32"/>
  <c r="AM31" i="46" s="1"/>
  <c r="AB37" i="32"/>
  <c r="AN31" i="46" s="1"/>
  <c r="AC37" i="32"/>
  <c r="AO31" i="46" s="1"/>
  <c r="V37" i="32"/>
  <c r="AH31" i="46" s="1"/>
  <c r="AD37" i="32"/>
  <c r="AP31" i="46" s="1"/>
  <c r="W37" i="32"/>
  <c r="AI31" i="46" s="1"/>
  <c r="AE37" i="32"/>
  <c r="AQ31" i="46" s="1"/>
  <c r="Y37" i="32"/>
  <c r="AK31" i="46" s="1"/>
  <c r="U37" i="32"/>
  <c r="AG31" i="46" s="1"/>
  <c r="X37" i="32"/>
  <c r="AJ31" i="46" s="1"/>
  <c r="AF37" i="32"/>
  <c r="AR31" i="46" s="1"/>
  <c r="U52" i="73"/>
  <c r="U53" i="73" s="1"/>
  <c r="U54" i="73" s="1"/>
  <c r="U55" i="73" s="1"/>
  <c r="U56" i="73" s="1"/>
  <c r="U57" i="73" s="1"/>
  <c r="U58" i="73" s="1"/>
  <c r="U59" i="73" s="1"/>
  <c r="U60" i="73" s="1"/>
  <c r="U61" i="73" s="1"/>
  <c r="U62" i="73" s="1"/>
  <c r="Y7" i="69"/>
  <c r="Y11" i="69" s="1"/>
  <c r="AW7" i="69"/>
  <c r="AW11" i="69" s="1"/>
  <c r="AW12" i="69" s="1"/>
  <c r="G7" i="51"/>
  <c r="G12" i="51" s="1"/>
  <c r="C25" i="49"/>
  <c r="D40" i="49" s="1"/>
  <c r="AG39" i="2"/>
  <c r="C24" i="49"/>
  <c r="H63" i="52" s="1"/>
  <c r="AG38" i="2"/>
  <c r="C6" i="82"/>
  <c r="H32" i="86"/>
  <c r="C50" i="36"/>
  <c r="F48" i="36" s="1"/>
  <c r="V43" i="46" s="1"/>
  <c r="AJ3" i="38"/>
  <c r="AJ67" i="2"/>
  <c r="AM284" i="2"/>
  <c r="AC19" i="32"/>
  <c r="V19" i="32"/>
  <c r="AD19" i="32"/>
  <c r="W19" i="32"/>
  <c r="AE19" i="32"/>
  <c r="X19" i="32"/>
  <c r="AF19" i="32"/>
  <c r="Y19" i="32"/>
  <c r="U19" i="32"/>
  <c r="Z19" i="32"/>
  <c r="AB19" i="32"/>
  <c r="AA19" i="32"/>
  <c r="AM532" i="2"/>
  <c r="C24" i="52"/>
  <c r="D31" i="49" s="1"/>
  <c r="D46" i="49" s="1"/>
  <c r="AM780" i="2"/>
  <c r="C25" i="52"/>
  <c r="D32" i="49" s="1"/>
  <c r="D47" i="49" s="1"/>
  <c r="AU11" i="32"/>
  <c r="AU31" i="32" s="1"/>
  <c r="AQ31" i="32"/>
  <c r="I41" i="51"/>
  <c r="AB37" i="2"/>
  <c r="F34" i="51"/>
  <c r="U64" i="73"/>
  <c r="U65" i="73" s="1"/>
  <c r="D855" i="2"/>
  <c r="D917" i="2"/>
  <c r="C70" i="52"/>
  <c r="G65" i="52"/>
  <c r="D70" i="52"/>
  <c r="C17" i="52"/>
  <c r="D24" i="49" s="1"/>
  <c r="E8" i="82"/>
  <c r="E10" i="82" s="1"/>
  <c r="F41" i="51"/>
  <c r="D66" i="52"/>
  <c r="E70" i="52"/>
  <c r="AC9" i="32"/>
  <c r="O35" i="2" s="1"/>
  <c r="AF9" i="32"/>
  <c r="R35" i="2" s="1"/>
  <c r="V9" i="32"/>
  <c r="H35" i="2" s="1"/>
  <c r="AD9" i="32"/>
  <c r="P35" i="2" s="1"/>
  <c r="W9" i="32"/>
  <c r="I35" i="2" s="1"/>
  <c r="AE9" i="32"/>
  <c r="Q35" i="2" s="1"/>
  <c r="X9" i="32"/>
  <c r="J35" i="2" s="1"/>
  <c r="Y9" i="32"/>
  <c r="K35" i="2" s="1"/>
  <c r="U9" i="32"/>
  <c r="Z9" i="32"/>
  <c r="L35" i="2" s="1"/>
  <c r="AB9" i="32"/>
  <c r="N35" i="2" s="1"/>
  <c r="AA9" i="32"/>
  <c r="M35" i="2" s="1"/>
  <c r="D843" i="2"/>
  <c r="D905" i="2"/>
  <c r="D849" i="2"/>
  <c r="D911" i="2"/>
  <c r="C915" i="2"/>
  <c r="C853" i="2"/>
  <c r="Y13" i="32"/>
  <c r="U13" i="32"/>
  <c r="Z13" i="32"/>
  <c r="AA13" i="32"/>
  <c r="AB13" i="32"/>
  <c r="AC13" i="32"/>
  <c r="V13" i="32"/>
  <c r="AD13" i="32"/>
  <c r="X13" i="32"/>
  <c r="AF13" i="32"/>
  <c r="W13" i="32"/>
  <c r="AE13" i="32"/>
  <c r="I36" i="51"/>
  <c r="I37" i="51"/>
  <c r="D854" i="2"/>
  <c r="D916" i="2"/>
  <c r="C41" i="32"/>
  <c r="AI67" i="2"/>
  <c r="S144" i="2"/>
  <c r="X5" i="32"/>
  <c r="AF5" i="32"/>
  <c r="Z5" i="32"/>
  <c r="Y5" i="32"/>
  <c r="U5" i="32"/>
  <c r="AB5" i="32"/>
  <c r="AC5" i="32"/>
  <c r="W5" i="32"/>
  <c r="AE5" i="32"/>
  <c r="AA5" i="32"/>
  <c r="V5" i="32"/>
  <c r="AD5" i="32"/>
  <c r="D26" i="52"/>
  <c r="D17" i="52"/>
  <c r="C16" i="82"/>
  <c r="E16" i="82"/>
  <c r="F40" i="51"/>
  <c r="T37" i="2"/>
  <c r="AI31" i="32"/>
  <c r="F66" i="52"/>
  <c r="G70" i="52"/>
  <c r="F68" i="52"/>
  <c r="Y16" i="32"/>
  <c r="U16" i="32"/>
  <c r="Z16" i="32"/>
  <c r="AA16" i="32"/>
  <c r="AB16" i="32"/>
  <c r="AC16" i="32"/>
  <c r="V16" i="32"/>
  <c r="AD16" i="32"/>
  <c r="X16" i="32"/>
  <c r="AF16" i="32"/>
  <c r="W16" i="32"/>
  <c r="AE16" i="32"/>
  <c r="U20" i="34"/>
  <c r="I39" i="51"/>
  <c r="C922" i="2"/>
  <c r="C860" i="2"/>
  <c r="AH1053" i="2"/>
  <c r="AC36" i="32"/>
  <c r="O62" i="2" s="1"/>
  <c r="U36" i="32"/>
  <c r="X36" i="32"/>
  <c r="J62" i="2" s="1"/>
  <c r="V36" i="32"/>
  <c r="H62" i="2" s="1"/>
  <c r="AD36" i="32"/>
  <c r="P62" i="2" s="1"/>
  <c r="W36" i="32"/>
  <c r="I62" i="2" s="1"/>
  <c r="AE36" i="32"/>
  <c r="Q62" i="2" s="1"/>
  <c r="AF36" i="32"/>
  <c r="R62" i="2" s="1"/>
  <c r="Y36" i="32"/>
  <c r="K62" i="2" s="1"/>
  <c r="Z36" i="32"/>
  <c r="L62" i="2" s="1"/>
  <c r="AA36" i="32"/>
  <c r="M62" i="2" s="1"/>
  <c r="AB36" i="32"/>
  <c r="N62" i="2" s="1"/>
  <c r="D907" i="2"/>
  <c r="C852" i="2"/>
  <c r="C914" i="2"/>
  <c r="C864" i="2"/>
  <c r="C926" i="2"/>
  <c r="D877" i="2"/>
  <c r="D939" i="2"/>
  <c r="D958" i="2"/>
  <c r="D896" i="2"/>
  <c r="C71" i="52"/>
  <c r="G66" i="52"/>
  <c r="E67" i="52"/>
  <c r="H70" i="52"/>
  <c r="G68" i="52"/>
  <c r="E71" i="52"/>
  <c r="D915" i="2"/>
  <c r="D853" i="2"/>
  <c r="C857" i="2"/>
  <c r="C919" i="2"/>
  <c r="C858" i="2"/>
  <c r="C920" i="2"/>
  <c r="D922" i="2"/>
  <c r="D860" i="2"/>
  <c r="C936" i="2"/>
  <c r="C874" i="2"/>
  <c r="D957" i="2"/>
  <c r="D895" i="2"/>
  <c r="D901" i="2"/>
  <c r="D963" i="2"/>
  <c r="AK7" i="69"/>
  <c r="AK11" i="69" s="1"/>
  <c r="M7" i="69"/>
  <c r="M11" i="69" s="1"/>
  <c r="C844" i="2"/>
  <c r="C906" i="2"/>
  <c r="C907" i="2"/>
  <c r="C845" i="2"/>
  <c r="C908" i="2"/>
  <c r="C846" i="2"/>
  <c r="D910" i="2"/>
  <c r="D848" i="2"/>
  <c r="C863" i="2"/>
  <c r="C925" i="2"/>
  <c r="D930" i="2"/>
  <c r="D868" i="2"/>
  <c r="C960" i="2"/>
  <c r="C898" i="2"/>
  <c r="D844" i="2"/>
  <c r="D928" i="2"/>
  <c r="C905" i="2"/>
  <c r="D847" i="2"/>
  <c r="D909" i="2"/>
  <c r="D852" i="2"/>
  <c r="D914" i="2"/>
  <c r="D871" i="2"/>
  <c r="D933" i="2"/>
  <c r="D893" i="2"/>
  <c r="D955" i="2"/>
  <c r="C67" i="52"/>
  <c r="D851" i="2"/>
  <c r="D913" i="2"/>
  <c r="C855" i="2"/>
  <c r="C917" i="2"/>
  <c r="D863" i="2"/>
  <c r="D925" i="2"/>
  <c r="D926" i="2"/>
  <c r="D864" i="2"/>
  <c r="C935" i="2"/>
  <c r="C873" i="2"/>
  <c r="C909" i="2"/>
  <c r="C861" i="2"/>
  <c r="C923" i="2"/>
  <c r="C924" i="2"/>
  <c r="C862" i="2"/>
  <c r="D954" i="2"/>
  <c r="D892" i="2"/>
  <c r="D908" i="2"/>
  <c r="D846" i="2"/>
  <c r="C848" i="2"/>
  <c r="C910" i="2"/>
  <c r="C854" i="2"/>
  <c r="C916" i="2"/>
  <c r="D918" i="2"/>
  <c r="D856" i="2"/>
  <c r="C921" i="2"/>
  <c r="C859" i="2"/>
  <c r="D862" i="2"/>
  <c r="D924" i="2"/>
  <c r="D873" i="2"/>
  <c r="D935" i="2"/>
  <c r="D887" i="2"/>
  <c r="D949" i="2"/>
  <c r="C904" i="2"/>
  <c r="C966" i="2"/>
  <c r="C901" i="2"/>
  <c r="C66" i="52"/>
  <c r="D65" i="52"/>
  <c r="H66" i="52"/>
  <c r="F67" i="52"/>
  <c r="F71" i="52"/>
  <c r="AC7" i="32"/>
  <c r="O33" i="2" s="1"/>
  <c r="V7" i="32"/>
  <c r="H33" i="2" s="1"/>
  <c r="AD7" i="32"/>
  <c r="P33" i="2" s="1"/>
  <c r="W7" i="32"/>
  <c r="I33" i="2" s="1"/>
  <c r="X7" i="32"/>
  <c r="J33" i="2" s="1"/>
  <c r="AE7" i="32"/>
  <c r="Q33" i="2" s="1"/>
  <c r="AF7" i="32"/>
  <c r="R33" i="2" s="1"/>
  <c r="Y7" i="32"/>
  <c r="K33" i="2" s="1"/>
  <c r="U7" i="32"/>
  <c r="Z7" i="32"/>
  <c r="L33" i="2" s="1"/>
  <c r="AA7" i="32"/>
  <c r="M33" i="2" s="1"/>
  <c r="AB7" i="32"/>
  <c r="N33" i="2" s="1"/>
  <c r="G67" i="52"/>
  <c r="G71" i="52"/>
  <c r="AB10" i="32"/>
  <c r="N36" i="2" s="1"/>
  <c r="AA10" i="32"/>
  <c r="M36" i="2" s="1"/>
  <c r="AC10" i="32"/>
  <c r="O36" i="2" s="1"/>
  <c r="AD10" i="32"/>
  <c r="P36" i="2" s="1"/>
  <c r="D952" i="2"/>
  <c r="F65" i="52"/>
  <c r="H67" i="52"/>
  <c r="E69" i="52"/>
  <c r="H71" i="52"/>
  <c r="Y8" i="32"/>
  <c r="K34" i="2" s="1"/>
  <c r="U8" i="32"/>
  <c r="Z8" i="32"/>
  <c r="L34" i="2" s="1"/>
  <c r="AA8" i="32"/>
  <c r="M34" i="2" s="1"/>
  <c r="AB8" i="32"/>
  <c r="N34" i="2" s="1"/>
  <c r="AC8" i="32"/>
  <c r="O34" i="2" s="1"/>
  <c r="V8" i="32"/>
  <c r="H34" i="2" s="1"/>
  <c r="AD8" i="32"/>
  <c r="P34" i="2" s="1"/>
  <c r="X8" i="32"/>
  <c r="J34" i="2" s="1"/>
  <c r="AF8" i="32"/>
  <c r="R34" i="2" s="1"/>
  <c r="W8" i="32"/>
  <c r="I34" i="2" s="1"/>
  <c r="AE8" i="32"/>
  <c r="Q34" i="2" s="1"/>
  <c r="D948" i="2"/>
  <c r="C913" i="2"/>
  <c r="C959" i="2"/>
  <c r="D865" i="2"/>
  <c r="D875" i="2"/>
  <c r="E66" i="52"/>
  <c r="E68" i="52"/>
  <c r="H69" i="52"/>
  <c r="E15" i="82"/>
  <c r="O11" i="46"/>
  <c r="R92" i="86"/>
  <c r="AM2" i="38"/>
  <c r="V21" i="46"/>
  <c r="X21" i="46"/>
  <c r="J50" i="51"/>
  <c r="O50" i="51"/>
  <c r="AC21" i="46"/>
  <c r="M50" i="51"/>
  <c r="AA21" i="46"/>
  <c r="O48" i="51"/>
  <c r="J48" i="51"/>
  <c r="L53" i="51"/>
  <c r="I71" i="52"/>
  <c r="AF37" i="30"/>
  <c r="AF33" i="30"/>
  <c r="AF29" i="30"/>
  <c r="AF25" i="30"/>
  <c r="AF21" i="30"/>
  <c r="AF17" i="30"/>
  <c r="I65" i="52"/>
  <c r="M53" i="51"/>
  <c r="C65" i="52"/>
  <c r="I66" i="52"/>
  <c r="AF20" i="30"/>
  <c r="AF38" i="30"/>
  <c r="AF30" i="30"/>
  <c r="AF26" i="30"/>
  <c r="AF22" i="30"/>
  <c r="AF18" i="30"/>
  <c r="AF14" i="30"/>
  <c r="C19" i="6"/>
  <c r="D19" i="6" s="1"/>
  <c r="C20" i="6"/>
  <c r="D20" i="6" s="1"/>
  <c r="AR18" i="2"/>
  <c r="G48" i="40"/>
  <c r="C54" i="6" s="1"/>
  <c r="D54" i="6" s="1"/>
  <c r="J70" i="64"/>
  <c r="C44" i="6" s="1"/>
  <c r="D44" i="6" s="1"/>
  <c r="AH1041" i="2"/>
  <c r="X35" i="32"/>
  <c r="AF35" i="32"/>
  <c r="AC35" i="32"/>
  <c r="V35" i="32"/>
  <c r="Y35" i="32"/>
  <c r="U35" i="32"/>
  <c r="Z35" i="32"/>
  <c r="AA35" i="32"/>
  <c r="AB35" i="32"/>
  <c r="AD35" i="32"/>
  <c r="W35" i="32"/>
  <c r="AE35" i="32"/>
  <c r="AQ5" i="38"/>
  <c r="C36" i="6"/>
  <c r="D36" i="6" s="1"/>
  <c r="G53" i="51"/>
  <c r="R52" i="51"/>
  <c r="R51" i="51"/>
  <c r="H34" i="51"/>
  <c r="F53" i="51"/>
  <c r="AE12" i="38"/>
  <c r="G34" i="51"/>
  <c r="J12" i="38"/>
  <c r="H21" i="51"/>
  <c r="N53" i="51"/>
  <c r="AG12" i="38"/>
  <c r="F29" i="51"/>
  <c r="R47" i="51"/>
  <c r="D22" i="52"/>
  <c r="C17" i="26"/>
  <c r="AN11" i="2" s="1"/>
  <c r="AF24" i="30"/>
  <c r="D24" i="52"/>
  <c r="AN925" i="2"/>
  <c r="D5" i="52"/>
  <c r="D21" i="52"/>
  <c r="AF19" i="30"/>
  <c r="AN913" i="2"/>
  <c r="D8" i="52"/>
  <c r="C20" i="26"/>
  <c r="AN14" i="2" s="1"/>
  <c r="AN909" i="2"/>
  <c r="AF8" i="30"/>
  <c r="AF36" i="30"/>
  <c r="D20" i="52"/>
  <c r="AF50" i="30"/>
  <c r="D9" i="52"/>
  <c r="AF46" i="30"/>
  <c r="AN943" i="2"/>
  <c r="AF42" i="30"/>
  <c r="D19" i="52"/>
  <c r="AF41" i="30"/>
  <c r="F65" i="30"/>
  <c r="AN966" i="2" s="1"/>
  <c r="X17" i="32"/>
  <c r="AF17" i="32"/>
  <c r="Y17" i="32"/>
  <c r="U17" i="32"/>
  <c r="W17" i="32"/>
  <c r="Z17" i="32"/>
  <c r="AA17" i="32"/>
  <c r="V17" i="32"/>
  <c r="AB17" i="32"/>
  <c r="AD17" i="32"/>
  <c r="AC17" i="32"/>
  <c r="AE17" i="32"/>
  <c r="C22" i="52"/>
  <c r="D29" i="49" s="1"/>
  <c r="AM656" i="2"/>
  <c r="C20" i="52"/>
  <c r="D27" i="49" s="1"/>
  <c r="D42" i="49" s="1"/>
  <c r="AG3" i="38"/>
  <c r="AE3" i="38"/>
  <c r="AI3" i="38"/>
  <c r="E27" i="49"/>
  <c r="E42" i="49" s="1"/>
  <c r="F12" i="51"/>
  <c r="AN27" i="2"/>
  <c r="B32" i="26"/>
  <c r="D21" i="32"/>
  <c r="AH47" i="2" s="1"/>
  <c r="S47" i="2"/>
  <c r="D22" i="32"/>
  <c r="AH48" i="2" s="1"/>
  <c r="S53" i="2"/>
  <c r="AH49" i="2"/>
  <c r="AV23" i="32"/>
  <c r="AH50" i="2"/>
  <c r="AV24" i="32"/>
  <c r="AH51" i="2"/>
  <c r="AV25" i="32"/>
  <c r="S46" i="2"/>
  <c r="S44" i="2"/>
  <c r="S51" i="2"/>
  <c r="D12" i="32"/>
  <c r="AH38" i="2" s="1"/>
  <c r="H24" i="49"/>
  <c r="AH46" i="2"/>
  <c r="AV20" i="32"/>
  <c r="AH44" i="2"/>
  <c r="AV18" i="32"/>
  <c r="AH53" i="2"/>
  <c r="AV27" i="32"/>
  <c r="AH55" i="2"/>
  <c r="AV29" i="32"/>
  <c r="S55" i="2"/>
  <c r="H32" i="49"/>
  <c r="G32" i="49" s="1"/>
  <c r="H30" i="49"/>
  <c r="G30" i="49" s="1"/>
  <c r="D28" i="32"/>
  <c r="D26" i="32"/>
  <c r="AH32" i="2"/>
  <c r="AV6" i="32"/>
  <c r="S32" i="2"/>
  <c r="C890" i="2"/>
  <c r="C952" i="2"/>
  <c r="C951" i="2"/>
  <c r="C889" i="2"/>
  <c r="C950" i="2"/>
  <c r="C888" i="2"/>
  <c r="C949" i="2"/>
  <c r="C887" i="2"/>
  <c r="C948" i="2"/>
  <c r="C886" i="2"/>
  <c r="C947" i="2"/>
  <c r="C885" i="2"/>
  <c r="C884" i="2"/>
  <c r="C946" i="2"/>
  <c r="C883" i="2"/>
  <c r="C945" i="2"/>
  <c r="C944" i="2"/>
  <c r="C882" i="2"/>
  <c r="C943" i="2"/>
  <c r="C881" i="2"/>
  <c r="C942" i="2"/>
  <c r="C880" i="2"/>
  <c r="C879" i="2"/>
  <c r="C941" i="2"/>
  <c r="C940" i="2"/>
  <c r="C878" i="2"/>
  <c r="C939" i="2"/>
  <c r="C877" i="2"/>
  <c r="C938" i="2"/>
  <c r="C876" i="2"/>
  <c r="AM935" i="2"/>
  <c r="C934" i="2"/>
  <c r="C872" i="2"/>
  <c r="C933" i="2"/>
  <c r="C871" i="2"/>
  <c r="C932" i="2"/>
  <c r="C870" i="2"/>
  <c r="I23" i="26"/>
  <c r="J57" i="52"/>
  <c r="C931" i="2"/>
  <c r="C869" i="2"/>
  <c r="J55" i="52"/>
  <c r="J52" i="52"/>
  <c r="J56" i="52"/>
  <c r="C930" i="2"/>
  <c r="C868" i="2"/>
  <c r="D71" i="52"/>
  <c r="D67" i="52"/>
  <c r="F70" i="52"/>
  <c r="J59" i="52"/>
  <c r="C929" i="2"/>
  <c r="C867" i="2"/>
  <c r="J54" i="52"/>
  <c r="J49" i="52"/>
  <c r="J48" i="52"/>
  <c r="I21" i="26"/>
  <c r="J53" i="52"/>
  <c r="AN6" i="2"/>
  <c r="I11" i="26"/>
  <c r="AM5" i="2"/>
  <c r="AN953" i="2"/>
  <c r="AF52" i="30"/>
  <c r="I19" i="26"/>
  <c r="AF51" i="30"/>
  <c r="I18" i="26"/>
  <c r="I22" i="26"/>
  <c r="H94" i="28"/>
  <c r="C29" i="6" s="1"/>
  <c r="D29" i="6" s="1"/>
  <c r="J38" i="36"/>
  <c r="J51" i="36" s="1"/>
  <c r="C49" i="6" s="1"/>
  <c r="D49" i="6" s="1"/>
  <c r="D50" i="36"/>
  <c r="G46" i="36" s="1"/>
  <c r="W41" i="46" s="1"/>
  <c r="E58" i="52"/>
  <c r="E60" i="52" s="1"/>
  <c r="H58" i="52"/>
  <c r="AM947" i="2"/>
  <c r="AM13" i="2"/>
  <c r="C58" i="52"/>
  <c r="C60" i="52" s="1"/>
  <c r="AF43" i="30"/>
  <c r="AM12" i="2"/>
  <c r="H65" i="52"/>
  <c r="AF44" i="30"/>
  <c r="AF47" i="30"/>
  <c r="D58" i="52"/>
  <c r="D60" i="52" s="1"/>
  <c r="J51" i="52"/>
  <c r="I58" i="52"/>
  <c r="I60" i="52" s="1"/>
  <c r="G58" i="52"/>
  <c r="G60" i="52" s="1"/>
  <c r="AM346" i="2"/>
  <c r="AM942" i="2"/>
  <c r="C45" i="52"/>
  <c r="B24" i="26"/>
  <c r="E65" i="52"/>
  <c r="AM17" i="2"/>
  <c r="E65" i="30"/>
  <c r="C12" i="52"/>
  <c r="AE65" i="30"/>
  <c r="AE66" i="30" s="1"/>
  <c r="C33" i="6" s="1"/>
  <c r="D33" i="6" s="1"/>
  <c r="AM11" i="2"/>
  <c r="J50" i="52"/>
  <c r="F58" i="52"/>
  <c r="C19" i="52"/>
  <c r="U19" i="34"/>
  <c r="U44" i="34" s="1"/>
  <c r="C51" i="6" s="1"/>
  <c r="D51" i="6" s="1"/>
  <c r="AH1089" i="2"/>
  <c r="V44" i="34"/>
  <c r="C52" i="6" s="1"/>
  <c r="D52" i="6" s="1"/>
  <c r="V17" i="69"/>
  <c r="AH17" i="69"/>
  <c r="H20" i="69"/>
  <c r="AK14" i="69"/>
  <c r="F15" i="69"/>
  <c r="AC6" i="69"/>
  <c r="B6" i="69"/>
  <c r="U17" i="69"/>
  <c r="AD20" i="69"/>
  <c r="I10" i="69"/>
  <c r="AH16" i="69"/>
  <c r="J19" i="69"/>
  <c r="AR16" i="69"/>
  <c r="AT17" i="69"/>
  <c r="AT16" i="69"/>
  <c r="AD16" i="69"/>
  <c r="T6" i="69"/>
  <c r="C6" i="69"/>
  <c r="AC18" i="69"/>
  <c r="D19" i="69"/>
  <c r="AQ6" i="69"/>
  <c r="AH14" i="69"/>
  <c r="AJ15" i="69"/>
  <c r="P20" i="69"/>
  <c r="G20" i="69"/>
  <c r="AL16" i="69"/>
  <c r="E17" i="69"/>
  <c r="AG6" i="69"/>
  <c r="L10" i="69"/>
  <c r="I14" i="69"/>
  <c r="S6" i="73"/>
  <c r="F6" i="69"/>
  <c r="AM15" i="69"/>
  <c r="N17" i="69"/>
  <c r="D6" i="69"/>
  <c r="Q10" i="69"/>
  <c r="AF14" i="69"/>
  <c r="I16" i="69"/>
  <c r="AN16" i="69"/>
  <c r="V14" i="69"/>
  <c r="D16" i="69"/>
  <c r="AU16" i="69"/>
  <c r="I19" i="69"/>
  <c r="AT20" i="69"/>
  <c r="AO17" i="69"/>
  <c r="AO18" i="69"/>
  <c r="R6" i="73"/>
  <c r="AM17" i="69"/>
  <c r="AQ14" i="69"/>
  <c r="AN19" i="69"/>
  <c r="J16" i="69"/>
  <c r="Z16" i="69"/>
  <c r="AQ19" i="69"/>
  <c r="P14" i="69"/>
  <c r="W15" i="69"/>
  <c r="H16" i="69"/>
  <c r="V19" i="69"/>
  <c r="T18" i="69"/>
  <c r="AU17" i="69"/>
  <c r="AO6" i="69"/>
  <c r="E16" i="69"/>
  <c r="AN15" i="69"/>
  <c r="I18" i="69"/>
  <c r="AD14" i="69"/>
  <c r="Q18" i="69"/>
  <c r="AT18" i="69"/>
  <c r="AA17" i="69"/>
  <c r="G18" i="69"/>
  <c r="AV16" i="69"/>
  <c r="W16" i="69"/>
  <c r="X6" i="69"/>
  <c r="V6" i="69"/>
  <c r="P15" i="69"/>
  <c r="AA10" i="69"/>
  <c r="AN17" i="69"/>
  <c r="AI15" i="69"/>
  <c r="AA6" i="69"/>
  <c r="O16" i="69"/>
  <c r="AN6" i="69"/>
  <c r="S6" i="69"/>
  <c r="G10" i="69"/>
  <c r="Z6" i="69"/>
  <c r="AV14" i="69"/>
  <c r="AB14" i="69"/>
  <c r="AW15" i="69"/>
  <c r="K18" i="69"/>
  <c r="AS17" i="69"/>
  <c r="F17" i="69"/>
  <c r="AP15" i="69"/>
  <c r="V15" i="69"/>
  <c r="AU18" i="69"/>
  <c r="H15" i="69"/>
  <c r="AG16" i="69"/>
  <c r="AI20" i="69"/>
  <c r="AC14" i="69"/>
  <c r="E14" i="69"/>
  <c r="R19" i="69"/>
  <c r="AE17" i="69"/>
  <c r="AF20" i="69"/>
  <c r="Y16" i="69"/>
  <c r="M6" i="69"/>
  <c r="AN10" i="69"/>
  <c r="P18" i="69"/>
  <c r="AM10" i="69"/>
  <c r="AP16" i="69"/>
  <c r="D18" i="69"/>
  <c r="L18" i="69"/>
  <c r="M15" i="69"/>
  <c r="AD15" i="69"/>
  <c r="AH15" i="69"/>
  <c r="S5" i="73"/>
  <c r="AQ15" i="69"/>
  <c r="AV15" i="69"/>
  <c r="AG10" i="69"/>
  <c r="AS16" i="69"/>
  <c r="Y15" i="69"/>
  <c r="AL6" i="69"/>
  <c r="AT10" i="69"/>
  <c r="AJ6" i="69"/>
  <c r="I17" i="69"/>
  <c r="O6" i="69"/>
  <c r="AW17" i="69"/>
  <c r="AB16" i="69"/>
  <c r="AP17" i="69"/>
  <c r="B15" i="69"/>
  <c r="AI6" i="69"/>
  <c r="AK18" i="69"/>
  <c r="Z17" i="69"/>
  <c r="AT15" i="69"/>
  <c r="AD19" i="69"/>
  <c r="AC20" i="69"/>
  <c r="O20" i="69"/>
  <c r="Z15" i="69"/>
  <c r="AB19" i="69"/>
  <c r="AU6" i="69"/>
  <c r="C16" i="69"/>
  <c r="U6" i="69"/>
  <c r="H19" i="69"/>
  <c r="S16" i="69"/>
  <c r="Y17" i="69"/>
  <c r="AS20" i="69"/>
  <c r="AP10" i="69"/>
  <c r="U15" i="69"/>
  <c r="G15" i="69"/>
  <c r="AL17" i="69"/>
  <c r="AP20" i="69"/>
  <c r="O15" i="69"/>
  <c r="AW6" i="69"/>
  <c r="O17" i="69"/>
  <c r="AR10" i="69"/>
  <c r="AJ14" i="69"/>
  <c r="T20" i="69"/>
  <c r="G19" i="69"/>
  <c r="F19" i="69"/>
  <c r="AD6" i="69"/>
  <c r="E19" i="69"/>
  <c r="AV19" i="69"/>
  <c r="O10" i="69"/>
  <c r="AF19" i="69"/>
  <c r="S17" i="69"/>
  <c r="AF6" i="69"/>
  <c r="H14" i="69"/>
  <c r="AH20" i="69"/>
  <c r="AH10" i="69"/>
  <c r="AK17" i="69"/>
  <c r="AL14" i="69"/>
  <c r="N19" i="69"/>
  <c r="AS18" i="69"/>
  <c r="R6" i="69"/>
  <c r="Z20" i="69"/>
  <c r="R18" i="69"/>
  <c r="AQ20" i="69"/>
  <c r="J15" i="69"/>
  <c r="AU14" i="69"/>
  <c r="R16" i="69"/>
  <c r="R10" i="69"/>
  <c r="J14" i="69"/>
  <c r="Z14" i="69"/>
  <c r="B19" i="69"/>
  <c r="C14" i="69"/>
  <c r="AQ17" i="69"/>
  <c r="H10" i="69"/>
  <c r="P8" i="46"/>
  <c r="T10" i="69"/>
  <c r="B16" i="69"/>
  <c r="W10" i="69"/>
  <c r="G6" i="69"/>
  <c r="AJ17" i="69"/>
  <c r="AP19" i="69"/>
  <c r="L16" i="69"/>
  <c r="J10" i="69"/>
  <c r="D17" i="69"/>
  <c r="AP6" i="69"/>
  <c r="AK16" i="69"/>
  <c r="M10" i="69"/>
  <c r="M19" i="69"/>
  <c r="AJ10" i="69"/>
  <c r="AM6" i="69"/>
  <c r="D10" i="69"/>
  <c r="S10" i="69"/>
  <c r="H17" i="69"/>
  <c r="N10" i="69"/>
  <c r="W18" i="69"/>
  <c r="V16" i="69"/>
  <c r="Q6" i="69"/>
  <c r="I15" i="69"/>
  <c r="AA16" i="69"/>
  <c r="AH6" i="69"/>
  <c r="AR18" i="69"/>
  <c r="I6" i="69"/>
  <c r="AR20" i="69"/>
  <c r="AR6" i="69"/>
  <c r="AI18" i="69"/>
  <c r="AC17" i="69"/>
  <c r="AV17" i="69"/>
  <c r="AE20" i="69"/>
  <c r="O19" i="69"/>
  <c r="AG18" i="69"/>
  <c r="AN20" i="69"/>
  <c r="AK10" i="69"/>
  <c r="AL19" i="69"/>
  <c r="AF10" i="69"/>
  <c r="D14" i="69"/>
  <c r="V10" i="69"/>
  <c r="C17" i="69"/>
  <c r="AT19" i="69"/>
  <c r="T17" i="69"/>
  <c r="AK20" i="69"/>
  <c r="AO15" i="69"/>
  <c r="R14" i="69"/>
  <c r="AG14" i="69"/>
  <c r="AD10" i="69"/>
  <c r="AN14" i="69"/>
  <c r="AW16" i="69"/>
  <c r="AB6" i="69"/>
  <c r="Q15" i="69"/>
  <c r="AL15" i="69"/>
  <c r="E18" i="69"/>
  <c r="R20" i="69"/>
  <c r="AS10" i="69"/>
  <c r="C15" i="69"/>
  <c r="L17" i="69"/>
  <c r="Z18" i="69"/>
  <c r="AE14" i="69"/>
  <c r="Q20" i="69"/>
  <c r="P10" i="46"/>
  <c r="AB20" i="69"/>
  <c r="F14" i="69"/>
  <c r="Y6" i="69"/>
  <c r="P10" i="69"/>
  <c r="Q17" i="69"/>
  <c r="F16" i="69"/>
  <c r="AC19" i="69"/>
  <c r="AE16" i="69"/>
  <c r="F10" i="69"/>
  <c r="AS19" i="69"/>
  <c r="U18" i="69"/>
  <c r="AW19" i="69"/>
  <c r="Y14" i="69"/>
  <c r="E20" i="69"/>
  <c r="W20" i="69"/>
  <c r="H6" i="69"/>
  <c r="T14" i="69"/>
  <c r="Y20" i="69"/>
  <c r="D20" i="69"/>
  <c r="AJ19" i="69"/>
  <c r="X10" i="69"/>
  <c r="Y10" i="69"/>
  <c r="W19" i="69"/>
  <c r="AQ10" i="69"/>
  <c r="AU15" i="69"/>
  <c r="AO10" i="69"/>
  <c r="G16" i="69"/>
  <c r="P9" i="46"/>
  <c r="AC10" i="69"/>
  <c r="U14" i="69"/>
  <c r="T16" i="69"/>
  <c r="E10" i="69"/>
  <c r="M16" i="69"/>
  <c r="AU10" i="69"/>
  <c r="U19" i="69"/>
  <c r="AF18" i="69"/>
  <c r="W17" i="69"/>
  <c r="D15" i="69"/>
  <c r="R17" i="69"/>
  <c r="AI17" i="69"/>
  <c r="Y19" i="69"/>
  <c r="V18" i="69"/>
  <c r="AL18" i="69"/>
  <c r="N16" i="69"/>
  <c r="B14" i="69"/>
  <c r="K19" i="69"/>
  <c r="AR17" i="69"/>
  <c r="AP18" i="69"/>
  <c r="AJ16" i="69"/>
  <c r="AK6" i="69"/>
  <c r="AJ18" i="69"/>
  <c r="AD17" i="69"/>
  <c r="R15" i="69"/>
  <c r="L15" i="69"/>
  <c r="N20" i="69"/>
  <c r="AB17" i="69"/>
  <c r="N18" i="69"/>
  <c r="O14" i="69"/>
  <c r="F18" i="69"/>
  <c r="K16" i="69"/>
  <c r="AM18" i="69"/>
  <c r="AG15" i="69"/>
  <c r="T19" i="69"/>
  <c r="C19" i="69"/>
  <c r="V20" i="69"/>
  <c r="AC16" i="69"/>
  <c r="T15" i="69"/>
  <c r="AA18" i="69"/>
  <c r="AU19" i="69"/>
  <c r="AA20" i="69"/>
  <c r="AQ18" i="69"/>
  <c r="AI19" i="69"/>
  <c r="H8" i="69" l="1"/>
  <c r="F12" i="69"/>
  <c r="P12" i="69"/>
  <c r="V12" i="69"/>
  <c r="AF12" i="69"/>
  <c r="AR8" i="69"/>
  <c r="I8" i="69"/>
  <c r="AH8" i="69"/>
  <c r="Q8" i="69"/>
  <c r="N12" i="69"/>
  <c r="S12" i="69"/>
  <c r="D12" i="69"/>
  <c r="AM8" i="69"/>
  <c r="AJ12" i="69"/>
  <c r="AP8" i="69"/>
  <c r="J12" i="69"/>
  <c r="G8" i="69"/>
  <c r="H12" i="69"/>
  <c r="R12" i="69"/>
  <c r="R8" i="69"/>
  <c r="U8" i="69"/>
  <c r="AU8" i="69"/>
  <c r="AM12" i="69"/>
  <c r="AN12" i="69"/>
  <c r="Z8" i="69"/>
  <c r="G12" i="69"/>
  <c r="S8" i="69"/>
  <c r="AN8" i="69"/>
  <c r="AA8" i="69"/>
  <c r="AA12" i="69"/>
  <c r="V8" i="69"/>
  <c r="X8" i="69"/>
  <c r="AO8" i="69"/>
  <c r="Q12" i="69"/>
  <c r="D8" i="69"/>
  <c r="F8" i="69"/>
  <c r="I12" i="69"/>
  <c r="B8" i="69"/>
  <c r="AC8" i="69"/>
  <c r="G33" i="49"/>
  <c r="H48" i="49" s="1"/>
  <c r="P50" i="51"/>
  <c r="P53" i="51" s="1"/>
  <c r="R49" i="51"/>
  <c r="AQ234" i="38"/>
  <c r="I72" i="52"/>
  <c r="H72" i="52"/>
  <c r="AQ334" i="38"/>
  <c r="AQ404" i="38"/>
  <c r="AQ476" i="38"/>
  <c r="AQ524" i="38"/>
  <c r="AQ926" i="38"/>
  <c r="AQ591" i="38"/>
  <c r="AQ727" i="38"/>
  <c r="AQ872" i="38"/>
  <c r="AQ914" i="38"/>
  <c r="AQ778" i="38"/>
  <c r="AQ874" i="38"/>
  <c r="AQ706" i="38"/>
  <c r="AQ890" i="38"/>
  <c r="G29" i="51"/>
  <c r="W21" i="46"/>
  <c r="AQ34" i="38"/>
  <c r="AQ282" i="38"/>
  <c r="D72" i="52"/>
  <c r="AQ381" i="38"/>
  <c r="AQ497" i="38"/>
  <c r="AQ197" i="38"/>
  <c r="AQ893" i="38"/>
  <c r="AQ957" i="38"/>
  <c r="AQ226" i="38"/>
  <c r="AQ373" i="38"/>
  <c r="AQ319" i="38"/>
  <c r="AQ390" i="38"/>
  <c r="AQ547" i="38"/>
  <c r="AQ678" i="38"/>
  <c r="AQ882" i="38"/>
  <c r="AQ888" i="38"/>
  <c r="AQ858" i="38"/>
  <c r="AQ465" i="38"/>
  <c r="AQ181" i="38"/>
  <c r="AQ744" i="38"/>
  <c r="F72" i="52"/>
  <c r="J72" i="52" s="1"/>
  <c r="X26" i="46"/>
  <c r="X27" i="46" s="1"/>
  <c r="AQ51" i="38"/>
  <c r="AQ270" i="38"/>
  <c r="AQ686" i="38"/>
  <c r="AQ967" i="38"/>
  <c r="AQ356" i="38"/>
  <c r="AQ832" i="38"/>
  <c r="AQ249" i="38"/>
  <c r="AQ410" i="38"/>
  <c r="AQ571" i="38"/>
  <c r="AQ557" i="38"/>
  <c r="AD2" i="38"/>
  <c r="I2" i="38" s="1"/>
  <c r="AQ505" i="38"/>
  <c r="AQ316" i="38"/>
  <c r="AQ648" i="38"/>
  <c r="AQ186" i="38"/>
  <c r="D48" i="49"/>
  <c r="AQ800" i="38"/>
  <c r="AQ297" i="38"/>
  <c r="AQ601" i="38"/>
  <c r="AQ856" i="38"/>
  <c r="AQ861" i="38"/>
  <c r="E48" i="49"/>
  <c r="AQ495" i="38"/>
  <c r="AQ258" i="38"/>
  <c r="M12" i="69"/>
  <c r="AQ43" i="38"/>
  <c r="AQ109" i="38"/>
  <c r="AQ422" i="38"/>
  <c r="AQ549" i="38"/>
  <c r="AQ540" i="38"/>
  <c r="AQ894" i="38"/>
  <c r="AQ990" i="38"/>
  <c r="AQ597" i="38"/>
  <c r="AQ895" i="38"/>
  <c r="AQ625" i="38"/>
  <c r="AQ237" i="38"/>
  <c r="AK12" i="69"/>
  <c r="G72" i="52"/>
  <c r="E72" i="52"/>
  <c r="AQ78" i="38"/>
  <c r="AQ132" i="38"/>
  <c r="AQ106" i="38"/>
  <c r="AQ140" i="38"/>
  <c r="AQ130" i="38"/>
  <c r="AQ201" i="38"/>
  <c r="AQ215" i="38"/>
  <c r="AQ361" i="38"/>
  <c r="AQ506" i="38"/>
  <c r="AQ480" i="38"/>
  <c r="AQ417" i="38"/>
  <c r="AQ507" i="38"/>
  <c r="AQ354" i="38"/>
  <c r="AQ564" i="38"/>
  <c r="AQ702" i="38"/>
  <c r="AQ798" i="38"/>
  <c r="AQ503" i="38"/>
  <c r="AQ348" i="38"/>
  <c r="AQ301" i="38"/>
  <c r="AQ377" i="38"/>
  <c r="AQ509" i="38"/>
  <c r="AQ580" i="38"/>
  <c r="AQ612" i="38"/>
  <c r="AQ231" i="38"/>
  <c r="AQ271" i="38"/>
  <c r="Q8" i="73"/>
  <c r="AO12" i="69"/>
  <c r="AQ451" i="38"/>
  <c r="I64" i="52"/>
  <c r="C10" i="82"/>
  <c r="AQ613" i="38"/>
  <c r="AQ943" i="38"/>
  <c r="G24" i="49"/>
  <c r="V10" i="32"/>
  <c r="H36" i="2" s="1"/>
  <c r="AI7" i="38"/>
  <c r="AQ7" i="38" s="1"/>
  <c r="AQ63" i="38"/>
  <c r="AQ520" i="38"/>
  <c r="AQ544" i="38"/>
  <c r="AQ570" i="38"/>
  <c r="AQ855" i="38"/>
  <c r="AQ20" i="38"/>
  <c r="AQ293" i="38"/>
  <c r="AQ688" i="38"/>
  <c r="AQ471" i="38"/>
  <c r="AQ539" i="38"/>
  <c r="AQ853" i="38"/>
  <c r="AQ210" i="38"/>
  <c r="AQ694" i="38"/>
  <c r="AQ840" i="38"/>
  <c r="AQ842" i="38"/>
  <c r="AQ794" i="38"/>
  <c r="W26" i="46"/>
  <c r="W27" i="46" s="1"/>
  <c r="AQ453" i="38"/>
  <c r="AQ582" i="38"/>
  <c r="AQ818" i="38"/>
  <c r="AQ732" i="38"/>
  <c r="AQ928" i="38"/>
  <c r="J70" i="52"/>
  <c r="U26" i="46"/>
  <c r="U27" i="46" s="1"/>
  <c r="E64" i="52"/>
  <c r="Z10" i="32"/>
  <c r="L36" i="2" s="1"/>
  <c r="AQ50" i="38"/>
  <c r="AQ256" i="38"/>
  <c r="AQ525" i="38"/>
  <c r="AQ626" i="38"/>
  <c r="AQ983" i="38"/>
  <c r="AQ850" i="38"/>
  <c r="AQ173" i="38"/>
  <c r="AQ157" i="38"/>
  <c r="AQ869" i="38"/>
  <c r="AQ264" i="38"/>
  <c r="AQ358" i="38"/>
  <c r="AQ323" i="38"/>
  <c r="AQ379" i="38"/>
  <c r="AQ614" i="38"/>
  <c r="AQ968" i="38"/>
  <c r="AQ979" i="38"/>
  <c r="AQ930" i="38"/>
  <c r="AQ986" i="38"/>
  <c r="AQ250" i="38"/>
  <c r="H64" i="52"/>
  <c r="U10" i="32"/>
  <c r="AQ93" i="38"/>
  <c r="AQ317" i="38"/>
  <c r="AQ529" i="38"/>
  <c r="AQ530" i="38"/>
  <c r="AQ790" i="38"/>
  <c r="AQ991" i="38"/>
  <c r="AQ19" i="38"/>
  <c r="AQ285" i="38"/>
  <c r="I63" i="52"/>
  <c r="AQ99" i="38"/>
  <c r="AQ548" i="38"/>
  <c r="AQ851" i="38"/>
  <c r="Y10" i="32"/>
  <c r="K36" i="2" s="1"/>
  <c r="AQ394" i="38"/>
  <c r="AQ244" i="38"/>
  <c r="AQ555" i="38"/>
  <c r="AQ912" i="38"/>
  <c r="AQ496" i="38"/>
  <c r="AQ970" i="38"/>
  <c r="AF10" i="32"/>
  <c r="R36" i="2" s="1"/>
  <c r="AQ97" i="38"/>
  <c r="AQ191" i="38"/>
  <c r="AQ389" i="38"/>
  <c r="AQ537" i="38"/>
  <c r="AQ911" i="38"/>
  <c r="AQ906" i="38"/>
  <c r="AQ992" i="38"/>
  <c r="AE10" i="32"/>
  <c r="Q36" i="2" s="1"/>
  <c r="D69" i="52"/>
  <c r="G69" i="52"/>
  <c r="J69" i="52" s="1"/>
  <c r="AQ114" i="38"/>
  <c r="AQ631" i="38"/>
  <c r="AQ615" i="38"/>
  <c r="AQ388" i="38"/>
  <c r="AQ680" i="38"/>
  <c r="AQ637" i="38"/>
  <c r="AQ232" i="38"/>
  <c r="AQ489" i="38"/>
  <c r="G63" i="52"/>
  <c r="AV12" i="32"/>
  <c r="V26" i="46"/>
  <c r="V27" i="46" s="1"/>
  <c r="W10" i="32"/>
  <c r="I36" i="2" s="1"/>
  <c r="AQ26" i="38"/>
  <c r="AQ414" i="38"/>
  <c r="AQ538" i="38"/>
  <c r="AQ441" i="38"/>
  <c r="AQ100" i="38"/>
  <c r="AQ604" i="38"/>
  <c r="AQ94" i="38"/>
  <c r="AQ245" i="38"/>
  <c r="AV21" i="32"/>
  <c r="AQ67" i="38"/>
  <c r="AQ523" i="38"/>
  <c r="AQ634" i="38"/>
  <c r="AQ654" i="38"/>
  <c r="AQ839" i="38"/>
  <c r="AQ935" i="38"/>
  <c r="AQ28" i="38"/>
  <c r="AQ33" i="38"/>
  <c r="AQ101" i="38"/>
  <c r="AQ685" i="38"/>
  <c r="AQ749" i="38"/>
  <c r="AQ813" i="38"/>
  <c r="AQ517" i="38"/>
  <c r="AQ569" i="38"/>
  <c r="AQ718" i="38"/>
  <c r="AQ782" i="38"/>
  <c r="AQ955" i="38"/>
  <c r="AQ627" i="38"/>
  <c r="AQ666" i="38"/>
  <c r="AQ783" i="38"/>
  <c r="AQ896" i="38"/>
  <c r="AQ960" i="38"/>
  <c r="AQ984" i="38"/>
  <c r="AQ848" i="38"/>
  <c r="AQ49" i="38"/>
  <c r="AQ66" i="38"/>
  <c r="AQ320" i="38"/>
  <c r="AQ298" i="38"/>
  <c r="J66" i="52"/>
  <c r="AQ255" i="38"/>
  <c r="AQ260" i="38"/>
  <c r="AQ273" i="38"/>
  <c r="AQ877" i="38"/>
  <c r="AQ36" i="38"/>
  <c r="AQ98" i="38"/>
  <c r="AQ204" i="38"/>
  <c r="AQ400" i="38"/>
  <c r="AQ347" i="38"/>
  <c r="AQ413" i="38"/>
  <c r="AQ425" i="38"/>
  <c r="AQ188" i="38"/>
  <c r="AQ429" i="38"/>
  <c r="AQ436" i="38"/>
  <c r="AQ444" i="38"/>
  <c r="AQ560" i="38"/>
  <c r="AQ576" i="38"/>
  <c r="AQ608" i="38"/>
  <c r="AQ595" i="38"/>
  <c r="AQ623" i="38"/>
  <c r="AQ700" i="38"/>
  <c r="AQ812" i="38"/>
  <c r="AQ899" i="38"/>
  <c r="AQ337" i="38"/>
  <c r="AQ294" i="38"/>
  <c r="AQ199" i="38"/>
  <c r="AQ221" i="38"/>
  <c r="C63" i="52"/>
  <c r="F47" i="36"/>
  <c r="V42" i="46" s="1"/>
  <c r="AQ79" i="38"/>
  <c r="AQ111" i="38"/>
  <c r="AQ52" i="38"/>
  <c r="AQ120" i="38"/>
  <c r="AQ164" i="38"/>
  <c r="AQ60" i="38"/>
  <c r="AQ90" i="38"/>
  <c r="AQ139" i="38"/>
  <c r="AQ146" i="38"/>
  <c r="AQ83" i="38"/>
  <c r="AQ172" i="38"/>
  <c r="AQ122" i="38"/>
  <c r="AQ137" i="38"/>
  <c r="AQ155" i="38"/>
  <c r="AQ162" i="38"/>
  <c r="AQ196" i="38"/>
  <c r="AQ227" i="38"/>
  <c r="AQ243" i="38"/>
  <c r="AQ330" i="38"/>
  <c r="AQ170" i="38"/>
  <c r="AQ148" i="38"/>
  <c r="AQ257" i="38"/>
  <c r="AQ378" i="38"/>
  <c r="AQ474" i="38"/>
  <c r="AQ484" i="38"/>
  <c r="AQ498" i="38"/>
  <c r="AQ514" i="38"/>
  <c r="AQ403" i="38"/>
  <c r="AQ419" i="38"/>
  <c r="AQ437" i="38"/>
  <c r="AQ246" i="38"/>
  <c r="AQ472" i="38"/>
  <c r="AQ504" i="38"/>
  <c r="AQ393" i="38"/>
  <c r="AQ409" i="38"/>
  <c r="AQ420" i="38"/>
  <c r="AQ467" i="38"/>
  <c r="AQ483" i="38"/>
  <c r="AQ499" i="38"/>
  <c r="AQ515" i="38"/>
  <c r="AQ386" i="38"/>
  <c r="AQ405" i="38"/>
  <c r="AQ457" i="38"/>
  <c r="AQ443" i="38"/>
  <c r="AQ519" i="38"/>
  <c r="AQ551" i="38"/>
  <c r="AQ579" i="38"/>
  <c r="AQ590" i="38"/>
  <c r="AQ598" i="38"/>
  <c r="AQ622" i="38"/>
  <c r="AQ558" i="38"/>
  <c r="AQ577" i="38"/>
  <c r="AQ609" i="38"/>
  <c r="AQ552" i="38"/>
  <c r="AQ588" i="38"/>
  <c r="AQ620" i="38"/>
  <c r="AQ493" i="38"/>
  <c r="AQ632" i="38"/>
  <c r="AQ572" i="38"/>
  <c r="AQ742" i="38"/>
  <c r="AQ806" i="38"/>
  <c r="AQ501" i="38"/>
  <c r="AQ531" i="38"/>
  <c r="AQ573" i="38"/>
  <c r="AQ904" i="38"/>
  <c r="AQ676" i="38"/>
  <c r="AQ268" i="38"/>
  <c r="AQ53" i="38"/>
  <c r="AQ76" i="38"/>
  <c r="AQ279" i="38"/>
  <c r="AQ295" i="38"/>
  <c r="AQ941" i="38"/>
  <c r="AQ917" i="38"/>
  <c r="AQ981" i="38"/>
  <c r="AQ44" i="38"/>
  <c r="I77" i="28"/>
  <c r="S207" i="2"/>
  <c r="AJ15" i="38"/>
  <c r="AI15" i="38"/>
  <c r="AQ15" i="38" s="1"/>
  <c r="AQ27" i="38"/>
  <c r="AQ45" i="38"/>
  <c r="D44" i="49"/>
  <c r="H68" i="52"/>
  <c r="AQ8" i="38"/>
  <c r="AQ46" i="38"/>
  <c r="AQ59" i="38"/>
  <c r="AQ41" i="38"/>
  <c r="AQ113" i="38"/>
  <c r="AQ82" i="38"/>
  <c r="AQ135" i="38"/>
  <c r="AQ126" i="38"/>
  <c r="AQ151" i="38"/>
  <c r="AQ195" i="38"/>
  <c r="AQ68" i="38"/>
  <c r="AQ224" i="38"/>
  <c r="AQ267" i="38"/>
  <c r="AQ314" i="38"/>
  <c r="AQ276" i="38"/>
  <c r="AQ180" i="38"/>
  <c r="AQ72" i="38"/>
  <c r="AQ391" i="38"/>
  <c r="AQ445" i="38"/>
  <c r="AQ533" i="38"/>
  <c r="AQ431" i="38"/>
  <c r="AQ324" i="38"/>
  <c r="AQ397" i="38"/>
  <c r="AQ421" i="38"/>
  <c r="AQ673" i="38"/>
  <c r="AQ705" i="38"/>
  <c r="AQ737" i="38"/>
  <c r="AQ769" i="38"/>
  <c r="AQ801" i="38"/>
  <c r="AQ585" i="38"/>
  <c r="AQ596" i="38"/>
  <c r="AQ553" i="38"/>
  <c r="AQ586" i="38"/>
  <c r="AQ618" i="38"/>
  <c r="AQ550" i="38"/>
  <c r="AQ710" i="38"/>
  <c r="AQ774" i="38"/>
  <c r="AQ834" i="38"/>
  <c r="AQ687" i="38"/>
  <c r="AQ828" i="38"/>
  <c r="AQ860" i="38"/>
  <c r="AQ815" i="38"/>
  <c r="AQ873" i="38"/>
  <c r="AQ668" i="38"/>
  <c r="AQ908" i="38"/>
  <c r="AQ962" i="38"/>
  <c r="AQ762" i="38"/>
  <c r="AQ964" i="38"/>
  <c r="AQ189" i="38"/>
  <c r="AQ37" i="38"/>
  <c r="AQ48" i="38"/>
  <c r="AQ909" i="38"/>
  <c r="AQ837" i="38"/>
  <c r="AQ925" i="38"/>
  <c r="AQ31" i="38"/>
  <c r="AQ187" i="38"/>
  <c r="C68" i="52"/>
  <c r="D64" i="52"/>
  <c r="E63" i="52"/>
  <c r="AI13" i="38"/>
  <c r="AQ13" i="38" s="1"/>
  <c r="AQ65" i="38"/>
  <c r="AQ198" i="38"/>
  <c r="AQ171" i="38"/>
  <c r="AQ147" i="38"/>
  <c r="AQ312" i="38"/>
  <c r="AQ184" i="38"/>
  <c r="AQ368" i="38"/>
  <c r="AQ395" i="38"/>
  <c r="AQ408" i="38"/>
  <c r="AQ448" i="38"/>
  <c r="AQ359" i="38"/>
  <c r="AQ360" i="38"/>
  <c r="AQ508" i="38"/>
  <c r="AQ593" i="38"/>
  <c r="AQ667" i="38"/>
  <c r="AQ731" i="38"/>
  <c r="AQ795" i="38"/>
  <c r="AQ846" i="38"/>
  <c r="AQ910" i="38"/>
  <c r="AQ974" i="38"/>
  <c r="AQ469" i="38"/>
  <c r="AQ565" i="38"/>
  <c r="AQ516" i="38"/>
  <c r="AQ959" i="38"/>
  <c r="AQ603" i="38"/>
  <c r="AQ695" i="38"/>
  <c r="AQ823" i="38"/>
  <c r="AQ658" i="38"/>
  <c r="AQ852" i="38"/>
  <c r="AQ663" i="38"/>
  <c r="AQ865" i="38"/>
  <c r="AQ993" i="38"/>
  <c r="AB10" i="73"/>
  <c r="AE10" i="73"/>
  <c r="J4" i="38"/>
  <c r="H35" i="51"/>
  <c r="H42" i="51" s="1"/>
  <c r="AE4" i="38"/>
  <c r="E25" i="49"/>
  <c r="E40" i="49" s="1"/>
  <c r="H20" i="51"/>
  <c r="H29" i="51" s="1"/>
  <c r="H8" i="51"/>
  <c r="B30" i="26" s="1"/>
  <c r="AQ989" i="38"/>
  <c r="AQ845" i="38"/>
  <c r="J67" i="52"/>
  <c r="J71" i="52"/>
  <c r="AV22" i="32"/>
  <c r="D63" i="52"/>
  <c r="C64" i="52"/>
  <c r="D39" i="49"/>
  <c r="AQ24" i="38"/>
  <c r="AQ124" i="38"/>
  <c r="AQ112" i="38"/>
  <c r="AQ202" i="38"/>
  <c r="AQ482" i="38"/>
  <c r="AQ335" i="38"/>
  <c r="AQ362" i="38"/>
  <c r="AQ235" i="38"/>
  <c r="AQ346" i="38"/>
  <c r="AQ455" i="38"/>
  <c r="AQ449" i="38"/>
  <c r="AQ681" i="38"/>
  <c r="AQ745" i="38"/>
  <c r="AQ809" i="38"/>
  <c r="AQ691" i="38"/>
  <c r="AQ629" i="38"/>
  <c r="AQ870" i="38"/>
  <c r="AQ934" i="38"/>
  <c r="AQ998" i="38"/>
  <c r="AQ477" i="38"/>
  <c r="AQ518" i="38"/>
  <c r="AQ640" i="38"/>
  <c r="AQ205" i="38"/>
  <c r="AQ965" i="38"/>
  <c r="AQ600" i="38"/>
  <c r="AQ662" i="38"/>
  <c r="AQ611" i="38"/>
  <c r="AQ791" i="38"/>
  <c r="AQ849" i="38"/>
  <c r="AQ977" i="38"/>
  <c r="AQ724" i="38"/>
  <c r="AQ916" i="38"/>
  <c r="K50" i="51"/>
  <c r="K53" i="51" s="1"/>
  <c r="Y21" i="46"/>
  <c r="AI9" i="38"/>
  <c r="AQ9" i="38" s="1"/>
  <c r="AQ213" i="38"/>
  <c r="AQ62" i="38"/>
  <c r="AQ141" i="38"/>
  <c r="AQ149" i="38"/>
  <c r="AQ463" i="38"/>
  <c r="AQ901" i="38"/>
  <c r="AQ933" i="38"/>
  <c r="D68" i="52"/>
  <c r="AQ35" i="38"/>
  <c r="AQ138" i="38"/>
  <c r="AQ160" i="38"/>
  <c r="AQ107" i="38"/>
  <c r="AQ136" i="38"/>
  <c r="AQ283" i="38"/>
  <c r="AQ454" i="38"/>
  <c r="AQ466" i="38"/>
  <c r="AQ322" i="38"/>
  <c r="AQ212" i="38"/>
  <c r="AQ427" i="38"/>
  <c r="AQ452" i="38"/>
  <c r="AQ370" i="38"/>
  <c r="AQ428" i="38"/>
  <c r="AQ462" i="38"/>
  <c r="AQ494" i="38"/>
  <c r="AQ439" i="38"/>
  <c r="AQ433" i="38"/>
  <c r="AQ532" i="38"/>
  <c r="AQ657" i="38"/>
  <c r="AQ721" i="38"/>
  <c r="AQ785" i="38"/>
  <c r="AQ617" i="38"/>
  <c r="AQ602" i="38"/>
  <c r="AQ628" i="38"/>
  <c r="AQ988" i="38"/>
  <c r="AQ751" i="38"/>
  <c r="AQ937" i="38"/>
  <c r="AQ655" i="38"/>
  <c r="AQ698" i="38"/>
  <c r="AQ857" i="38"/>
  <c r="AQ740" i="38"/>
  <c r="AQ836" i="38"/>
  <c r="J2" i="38"/>
  <c r="AI2" i="38" s="1"/>
  <c r="AE2" i="38"/>
  <c r="C35" i="6" s="1"/>
  <c r="D35" i="6" s="1"/>
  <c r="AQ92" i="38"/>
  <c r="AQ133" i="38"/>
  <c r="AQ229" i="38"/>
  <c r="AQ57" i="38"/>
  <c r="AQ263" i="38"/>
  <c r="AQ997" i="38"/>
  <c r="AQ117" i="38"/>
  <c r="H73" i="52"/>
  <c r="AQ74" i="38"/>
  <c r="AQ178" i="38"/>
  <c r="AQ154" i="38"/>
  <c r="AQ123" i="38"/>
  <c r="AQ219" i="38"/>
  <c r="AQ177" i="38"/>
  <c r="AQ166" i="38"/>
  <c r="AQ468" i="38"/>
  <c r="AQ339" i="38"/>
  <c r="AQ411" i="38"/>
  <c r="AQ423" i="38"/>
  <c r="AQ459" i="38"/>
  <c r="AQ491" i="38"/>
  <c r="AQ308" i="38"/>
  <c r="AQ435" i="38"/>
  <c r="AQ299" i="38"/>
  <c r="AQ383" i="38"/>
  <c r="AQ371" i="38"/>
  <c r="AQ485" i="38"/>
  <c r="AQ554" i="38"/>
  <c r="AQ624" i="38"/>
  <c r="AQ878" i="38"/>
  <c r="AQ942" i="38"/>
  <c r="AQ492" i="38"/>
  <c r="AQ543" i="38"/>
  <c r="AQ559" i="38"/>
  <c r="AQ750" i="38"/>
  <c r="AQ814" i="38"/>
  <c r="AQ619" i="38"/>
  <c r="AQ759" i="38"/>
  <c r="AQ738" i="38"/>
  <c r="AQ929" i="38"/>
  <c r="AQ985" i="38"/>
  <c r="AQ921" i="38"/>
  <c r="C89" i="28"/>
  <c r="I76" i="28"/>
  <c r="S206" i="2"/>
  <c r="AQ304" i="38"/>
  <c r="AQ321" i="38"/>
  <c r="AQ218" i="38"/>
  <c r="AQ284" i="38"/>
  <c r="AQ355" i="38"/>
  <c r="AQ399" i="38"/>
  <c r="AQ344" i="38"/>
  <c r="AQ338" i="38"/>
  <c r="AQ535" i="38"/>
  <c r="AQ561" i="38"/>
  <c r="AQ758" i="38"/>
  <c r="AQ822" i="38"/>
  <c r="AQ999" i="38"/>
  <c r="AQ719" i="38"/>
  <c r="AQ241" i="38"/>
  <c r="AQ973" i="38"/>
  <c r="AQ303" i="38"/>
  <c r="O53" i="51"/>
  <c r="I42" i="51"/>
  <c r="J53" i="51"/>
  <c r="R48" i="51"/>
  <c r="G42" i="51"/>
  <c r="AQ16" i="38"/>
  <c r="F42" i="51"/>
  <c r="D18" i="82"/>
  <c r="E18" i="82"/>
  <c r="AS12" i="69"/>
  <c r="AF8" i="69"/>
  <c r="AW8" i="69"/>
  <c r="C8" i="69"/>
  <c r="AD8" i="69"/>
  <c r="O8" i="69"/>
  <c r="AR12" i="69"/>
  <c r="AH12" i="69"/>
  <c r="E12" i="69"/>
  <c r="L12" i="69"/>
  <c r="Y12" i="69"/>
  <c r="AI8" i="69"/>
  <c r="AG12" i="69"/>
  <c r="O12" i="69"/>
  <c r="T12" i="69"/>
  <c r="W12" i="69"/>
  <c r="T8" i="69"/>
  <c r="AG8" i="69"/>
  <c r="AP12" i="69"/>
  <c r="AU12" i="69"/>
  <c r="AC12" i="69"/>
  <c r="AB8" i="69"/>
  <c r="AL8" i="69"/>
  <c r="AD12" i="69"/>
  <c r="AT12" i="69"/>
  <c r="AQ12" i="69"/>
  <c r="AQ8" i="69"/>
  <c r="AJ8" i="69"/>
  <c r="X12" i="69"/>
  <c r="O12" i="46"/>
  <c r="J42" i="2"/>
  <c r="BM17" i="69"/>
  <c r="K42" i="2"/>
  <c r="BN17" i="69"/>
  <c r="N31" i="2"/>
  <c r="AB11" i="32"/>
  <c r="Q39" i="2"/>
  <c r="BT15" i="69"/>
  <c r="BP15" i="69"/>
  <c r="M39" i="2"/>
  <c r="M45" i="2"/>
  <c r="BP20" i="69"/>
  <c r="BL20" i="69"/>
  <c r="I45" i="2"/>
  <c r="AG1077" i="2"/>
  <c r="F46" i="36"/>
  <c r="V41" i="46" s="1"/>
  <c r="F42" i="36"/>
  <c r="V37" i="46" s="1"/>
  <c r="F50" i="36"/>
  <c r="V45" i="46" s="1"/>
  <c r="F41" i="36"/>
  <c r="V36" i="46" s="1"/>
  <c r="F45" i="36"/>
  <c r="V40" i="46" s="1"/>
  <c r="F49" i="36"/>
  <c r="V44" i="46" s="1"/>
  <c r="R63" i="2"/>
  <c r="O63" i="2"/>
  <c r="AQ22" i="38"/>
  <c r="AQ14" i="38"/>
  <c r="AQ95" i="38"/>
  <c r="AQ54" i="38"/>
  <c r="AQ71" i="38"/>
  <c r="AQ32" i="38"/>
  <c r="AQ131" i="38"/>
  <c r="AQ193" i="38"/>
  <c r="AQ75" i="38"/>
  <c r="AQ185" i="38"/>
  <c r="AQ275" i="38"/>
  <c r="AQ248" i="38"/>
  <c r="AQ447" i="38"/>
  <c r="AQ352" i="38"/>
  <c r="AQ336" i="38"/>
  <c r="AQ375" i="38"/>
  <c r="AQ376" i="38"/>
  <c r="AQ478" i="38"/>
  <c r="AQ510" i="38"/>
  <c r="AQ387" i="38"/>
  <c r="AQ384" i="38"/>
  <c r="AQ636" i="38"/>
  <c r="AQ707" i="38"/>
  <c r="AQ771" i="38"/>
  <c r="AQ677" i="38"/>
  <c r="AQ741" i="38"/>
  <c r="AQ805" i="38"/>
  <c r="AQ575" i="38"/>
  <c r="AQ945" i="38"/>
  <c r="AQ841" i="38"/>
  <c r="AQ969" i="38"/>
  <c r="AQ788" i="38"/>
  <c r="AQ770" i="38"/>
  <c r="AQ961" i="38"/>
  <c r="AQ972" i="38"/>
  <c r="AQ660" i="38"/>
  <c r="AQ730" i="38"/>
  <c r="AQ931" i="38"/>
  <c r="AQ900" i="38"/>
  <c r="AK8" i="69"/>
  <c r="G34" i="2"/>
  <c r="AG8" i="32"/>
  <c r="P42" i="2"/>
  <c r="BS17" i="69"/>
  <c r="G31" i="2"/>
  <c r="AG5" i="32"/>
  <c r="U11" i="32"/>
  <c r="C40" i="32"/>
  <c r="AG66" i="2" s="1"/>
  <c r="AG67" i="2"/>
  <c r="BL15" i="69"/>
  <c r="I39" i="2"/>
  <c r="L39" i="2"/>
  <c r="BO15" i="69"/>
  <c r="N45" i="2"/>
  <c r="BQ20" i="69"/>
  <c r="P45" i="2"/>
  <c r="BS20" i="69"/>
  <c r="J63" i="2"/>
  <c r="N63" i="2"/>
  <c r="C18" i="82"/>
  <c r="AQ6" i="38"/>
  <c r="AQ682" i="38"/>
  <c r="AQ891" i="38"/>
  <c r="AQ714" i="38"/>
  <c r="AQ915" i="38"/>
  <c r="AQ884" i="38"/>
  <c r="AQ807" i="38"/>
  <c r="AQ907" i="38"/>
  <c r="AQ889" i="38"/>
  <c r="AQ963" i="38"/>
  <c r="AQ716" i="38"/>
  <c r="AQ567" i="38"/>
  <c r="AQ767" i="38"/>
  <c r="AQ835" i="38"/>
  <c r="AQ643" i="38"/>
  <c r="AQ772" i="38"/>
  <c r="AQ932" i="38"/>
  <c r="H42" i="2"/>
  <c r="BK17" i="69"/>
  <c r="P31" i="2"/>
  <c r="AD11" i="32"/>
  <c r="K31" i="2"/>
  <c r="R39" i="2"/>
  <c r="BU15" i="69"/>
  <c r="AG13" i="32"/>
  <c r="G39" i="2"/>
  <c r="BJ15" i="69"/>
  <c r="G64" i="52"/>
  <c r="L45" i="2"/>
  <c r="BO20" i="69"/>
  <c r="BK20" i="69"/>
  <c r="H45" i="2"/>
  <c r="G63" i="2"/>
  <c r="AG37" i="32"/>
  <c r="M63" i="2"/>
  <c r="F10" i="82"/>
  <c r="AQ21" i="38"/>
  <c r="AQ73" i="38"/>
  <c r="AQ168" i="38"/>
  <c r="AQ119" i="38"/>
  <c r="AQ203" i="38"/>
  <c r="AQ278" i="38"/>
  <c r="AQ163" i="38"/>
  <c r="AQ415" i="38"/>
  <c r="AQ367" i="38"/>
  <c r="AQ755" i="38"/>
  <c r="AQ819" i="38"/>
  <c r="AQ693" i="38"/>
  <c r="AQ757" i="38"/>
  <c r="AQ821" i="38"/>
  <c r="G62" i="2"/>
  <c r="AG36" i="32"/>
  <c r="O42" i="2"/>
  <c r="BR17" i="69"/>
  <c r="H31" i="2"/>
  <c r="V11" i="32"/>
  <c r="L31" i="2"/>
  <c r="Z11" i="32"/>
  <c r="BM15" i="69"/>
  <c r="J39" i="2"/>
  <c r="K39" i="2"/>
  <c r="BN15" i="69"/>
  <c r="BJ20" i="69"/>
  <c r="AG19" i="32"/>
  <c r="G45" i="2"/>
  <c r="BR20" i="69"/>
  <c r="O45" i="2"/>
  <c r="Y11" i="73"/>
  <c r="K63" i="2"/>
  <c r="L63" i="2"/>
  <c r="AI10" i="38"/>
  <c r="AQ10" i="38" s="1"/>
  <c r="AQ17" i="38"/>
  <c r="T66" i="73"/>
  <c r="Y6" i="73"/>
  <c r="AQ25" i="38"/>
  <c r="AQ77" i="38"/>
  <c r="AQ39" i="38"/>
  <c r="AQ61" i="38"/>
  <c r="C31" i="32"/>
  <c r="AQ81" i="38"/>
  <c r="AQ134" i="38"/>
  <c r="AQ70" i="38"/>
  <c r="AQ102" i="38"/>
  <c r="AQ121" i="38"/>
  <c r="AQ200" i="38"/>
  <c r="AQ251" i="38"/>
  <c r="AQ216" i="38"/>
  <c r="AQ318" i="38"/>
  <c r="AQ280" i="38"/>
  <c r="AQ220" i="38"/>
  <c r="AQ211" i="38"/>
  <c r="AQ351" i="38"/>
  <c r="AQ392" i="38"/>
  <c r="AQ488" i="38"/>
  <c r="AQ486" i="38"/>
  <c r="AQ55" i="38"/>
  <c r="AQ432" i="38"/>
  <c r="AQ651" i="38"/>
  <c r="AQ715" i="38"/>
  <c r="AQ779" i="38"/>
  <c r="AQ568" i="38"/>
  <c r="AQ701" i="38"/>
  <c r="AQ765" i="38"/>
  <c r="AQ829" i="38"/>
  <c r="AQ886" i="38"/>
  <c r="AQ950" i="38"/>
  <c r="AQ859" i="38"/>
  <c r="AQ987" i="38"/>
  <c r="AQ892" i="38"/>
  <c r="AQ679" i="38"/>
  <c r="AQ883" i="38"/>
  <c r="AQ671" i="38"/>
  <c r="AQ820" i="38"/>
  <c r="AQ948" i="38"/>
  <c r="AQ1001" i="38"/>
  <c r="AQ650" i="38"/>
  <c r="AQ775" i="38"/>
  <c r="AQ875" i="38"/>
  <c r="AQ735" i="38"/>
  <c r="AQ995" i="38"/>
  <c r="AQ708" i="38"/>
  <c r="AQ996" i="38"/>
  <c r="G36" i="2"/>
  <c r="N42" i="2"/>
  <c r="BQ17" i="69"/>
  <c r="M31" i="2"/>
  <c r="AA11" i="32"/>
  <c r="R31" i="2"/>
  <c r="P39" i="2"/>
  <c r="BS15" i="69"/>
  <c r="F64" i="52"/>
  <c r="BN20" i="69"/>
  <c r="K45" i="2"/>
  <c r="F44" i="36"/>
  <c r="V39" i="46" s="1"/>
  <c r="Q63" i="2"/>
  <c r="T72" i="73"/>
  <c r="Y8" i="73"/>
  <c r="AQ40" i="38"/>
  <c r="AQ103" i="38"/>
  <c r="AQ89" i="38"/>
  <c r="AQ156" i="38"/>
  <c r="AQ174" i="38"/>
  <c r="AQ150" i="38"/>
  <c r="AQ175" i="38"/>
  <c r="AQ206" i="38"/>
  <c r="AQ176" i="38"/>
  <c r="AQ222" i="38"/>
  <c r="AQ328" i="38"/>
  <c r="AQ104" i="38"/>
  <c r="AQ289" i="38"/>
  <c r="AQ190" i="38"/>
  <c r="AQ214" i="38"/>
  <c r="AQ407" i="38"/>
  <c r="AQ416" i="38"/>
  <c r="AQ456" i="38"/>
  <c r="AQ689" i="38"/>
  <c r="AQ753" i="38"/>
  <c r="AQ817" i="38"/>
  <c r="AQ675" i="38"/>
  <c r="AQ739" i="38"/>
  <c r="AQ803" i="38"/>
  <c r="AQ645" i="38"/>
  <c r="AQ709" i="38"/>
  <c r="AQ773" i="38"/>
  <c r="AQ833" i="38"/>
  <c r="AQ881" i="38"/>
  <c r="AQ764" i="38"/>
  <c r="AQ924" i="38"/>
  <c r="AQ905" i="38"/>
  <c r="AQ980" i="38"/>
  <c r="AQ897" i="38"/>
  <c r="AQ953" i="38"/>
  <c r="AQ748" i="38"/>
  <c r="AQ844" i="38"/>
  <c r="AQ898" i="38"/>
  <c r="AQ647" i="38"/>
  <c r="AQ804" i="38"/>
  <c r="M8" i="69"/>
  <c r="BT17" i="69"/>
  <c r="Q42" i="2"/>
  <c r="M42" i="2"/>
  <c r="BP17" i="69"/>
  <c r="Q31" i="2"/>
  <c r="J31" i="2"/>
  <c r="X11" i="32"/>
  <c r="H39" i="2"/>
  <c r="BK15" i="69"/>
  <c r="G35" i="2"/>
  <c r="AG9" i="32"/>
  <c r="R45" i="2"/>
  <c r="BU20" i="69"/>
  <c r="I63" i="2"/>
  <c r="T69" i="73"/>
  <c r="Y7" i="73"/>
  <c r="AQ326" i="38"/>
  <c r="AQ606" i="38"/>
  <c r="AQ574" i="38"/>
  <c r="AQ699" i="38"/>
  <c r="AQ763" i="38"/>
  <c r="AQ827" i="38"/>
  <c r="AQ653" i="38"/>
  <c r="AQ717" i="38"/>
  <c r="AQ781" i="38"/>
  <c r="AQ838" i="38"/>
  <c r="AQ902" i="38"/>
  <c r="AQ966" i="38"/>
  <c r="AQ599" i="38"/>
  <c r="AQ956" i="38"/>
  <c r="AQ756" i="38"/>
  <c r="AQ743" i="38"/>
  <c r="AQ843" i="38"/>
  <c r="AQ971" i="38"/>
  <c r="AQ876" i="38"/>
  <c r="AQ703" i="38"/>
  <c r="AQ831" i="38"/>
  <c r="AQ652" i="38"/>
  <c r="Y8" i="69"/>
  <c r="G33" i="2"/>
  <c r="AG7" i="32"/>
  <c r="BL17" i="69"/>
  <c r="I42" i="2"/>
  <c r="L42" i="2"/>
  <c r="BO17" i="69"/>
  <c r="I31" i="2"/>
  <c r="O39" i="2"/>
  <c r="BR15" i="69"/>
  <c r="J45" i="2"/>
  <c r="BM20" i="69"/>
  <c r="P63" i="2"/>
  <c r="F43" i="36"/>
  <c r="V38" i="46" s="1"/>
  <c r="AG37" i="2"/>
  <c r="C5" i="49"/>
  <c r="AQ87" i="38"/>
  <c r="AQ38" i="38"/>
  <c r="AQ105" i="38"/>
  <c r="AQ192" i="38"/>
  <c r="AQ128" i="38"/>
  <c r="AQ142" i="38"/>
  <c r="AQ167" i="38"/>
  <c r="AQ91" i="38"/>
  <c r="AQ118" i="38"/>
  <c r="AQ143" i="38"/>
  <c r="AQ144" i="38"/>
  <c r="AQ158" i="38"/>
  <c r="AQ96" i="38"/>
  <c r="AQ300" i="38"/>
  <c r="AQ159" i="38"/>
  <c r="AQ659" i="38"/>
  <c r="AQ723" i="38"/>
  <c r="AQ787" i="38"/>
  <c r="AQ661" i="38"/>
  <c r="AQ725" i="38"/>
  <c r="AQ789" i="38"/>
  <c r="R42" i="2"/>
  <c r="BU17" i="69"/>
  <c r="BJ17" i="69"/>
  <c r="G42" i="2"/>
  <c r="AG16" i="32"/>
  <c r="O31" i="2"/>
  <c r="AC11" i="32"/>
  <c r="N39" i="2"/>
  <c r="BQ15" i="69"/>
  <c r="Q45" i="2"/>
  <c r="BT20" i="69"/>
  <c r="F63" i="52"/>
  <c r="C14" i="49"/>
  <c r="F17" i="49" s="1"/>
  <c r="C34" i="49"/>
  <c r="H63" i="2"/>
  <c r="AB5" i="73"/>
  <c r="AE5" i="73"/>
  <c r="E39" i="49"/>
  <c r="AI11" i="38"/>
  <c r="AQ11" i="38" s="1"/>
  <c r="AQ69" i="38"/>
  <c r="E44" i="49"/>
  <c r="AQ86" i="38"/>
  <c r="AQ115" i="38"/>
  <c r="AQ161" i="38"/>
  <c r="AQ179" i="38"/>
  <c r="AQ64" i="38"/>
  <c r="AQ182" i="38"/>
  <c r="AQ207" i="38"/>
  <c r="AQ88" i="38"/>
  <c r="AQ440" i="38"/>
  <c r="AQ310" i="38"/>
  <c r="AQ343" i="38"/>
  <c r="AQ424" i="38"/>
  <c r="AQ208" i="38"/>
  <c r="AQ470" i="38"/>
  <c r="AQ502" i="38"/>
  <c r="AQ80" i="38"/>
  <c r="AQ638" i="38"/>
  <c r="AQ683" i="38"/>
  <c r="AQ747" i="38"/>
  <c r="AQ811" i="38"/>
  <c r="AQ669" i="38"/>
  <c r="AQ733" i="38"/>
  <c r="AQ797" i="38"/>
  <c r="AQ854" i="38"/>
  <c r="AQ918" i="38"/>
  <c r="AQ982" i="38"/>
  <c r="AQ527" i="38"/>
  <c r="AQ592" i="38"/>
  <c r="AQ642" i="38"/>
  <c r="AQ923" i="38"/>
  <c r="AQ674" i="38"/>
  <c r="AQ796" i="38"/>
  <c r="AQ692" i="38"/>
  <c r="AQ746" i="38"/>
  <c r="AQ947" i="38"/>
  <c r="AQ684" i="38"/>
  <c r="AQ711" i="38"/>
  <c r="AQ939" i="38"/>
  <c r="AQ639" i="38"/>
  <c r="AQ780" i="38"/>
  <c r="AQ940" i="38"/>
  <c r="AQ799" i="38"/>
  <c r="AQ867" i="38"/>
  <c r="AQ690" i="38"/>
  <c r="AQ868" i="38"/>
  <c r="G52" i="40"/>
  <c r="U38" i="32"/>
  <c r="AG35" i="32"/>
  <c r="G61" i="2"/>
  <c r="K61" i="2"/>
  <c r="Y38" i="32"/>
  <c r="AE38" i="32"/>
  <c r="Q61" i="2"/>
  <c r="V38" i="32"/>
  <c r="H61" i="2"/>
  <c r="I61" i="2"/>
  <c r="W38" i="32"/>
  <c r="O61" i="2"/>
  <c r="AC38" i="32"/>
  <c r="AD38" i="32"/>
  <c r="P61" i="2"/>
  <c r="AF38" i="32"/>
  <c r="R61" i="2"/>
  <c r="N61" i="2"/>
  <c r="AB38" i="32"/>
  <c r="J61" i="2"/>
  <c r="X38" i="32"/>
  <c r="AA38" i="32"/>
  <c r="M61" i="2"/>
  <c r="L61" i="2"/>
  <c r="Z38" i="32"/>
  <c r="G48" i="49"/>
  <c r="AJ12" i="38"/>
  <c r="I7" i="51"/>
  <c r="I21" i="51"/>
  <c r="AI12" i="38"/>
  <c r="I17" i="26"/>
  <c r="D12" i="52"/>
  <c r="I20" i="26"/>
  <c r="C24" i="26"/>
  <c r="AN18" i="2" s="1"/>
  <c r="D28" i="52"/>
  <c r="H43" i="2"/>
  <c r="BK18" i="69"/>
  <c r="M43" i="2"/>
  <c r="BP18" i="69"/>
  <c r="L43" i="2"/>
  <c r="BO18" i="69"/>
  <c r="I43" i="2"/>
  <c r="BL18" i="69"/>
  <c r="Q43" i="2"/>
  <c r="BT18" i="69"/>
  <c r="AG17" i="32"/>
  <c r="G43" i="2"/>
  <c r="BJ18" i="69"/>
  <c r="O43" i="2"/>
  <c r="BR18" i="69"/>
  <c r="K43" i="2"/>
  <c r="BN18" i="69"/>
  <c r="P43" i="2"/>
  <c r="BS18" i="69"/>
  <c r="R43" i="2"/>
  <c r="BU18" i="69"/>
  <c r="N43" i="2"/>
  <c r="BQ18" i="69"/>
  <c r="J43" i="2"/>
  <c r="BM18" i="69"/>
  <c r="AQ3" i="38"/>
  <c r="AM26" i="2"/>
  <c r="I32" i="26"/>
  <c r="G39" i="49"/>
  <c r="H39" i="49"/>
  <c r="AH54" i="2"/>
  <c r="AV28" i="32"/>
  <c r="H47" i="49"/>
  <c r="G47" i="49"/>
  <c r="AH52" i="2"/>
  <c r="AV26" i="32"/>
  <c r="G45" i="49"/>
  <c r="H45" i="49"/>
  <c r="F89" i="28"/>
  <c r="I89" i="28" s="1"/>
  <c r="E92" i="28"/>
  <c r="B13" i="26"/>
  <c r="AM219" i="2"/>
  <c r="E73" i="52"/>
  <c r="G42" i="36"/>
  <c r="W37" i="46" s="1"/>
  <c r="G49" i="36"/>
  <c r="W44" i="46" s="1"/>
  <c r="G47" i="36"/>
  <c r="W42" i="46" s="1"/>
  <c r="G44" i="36"/>
  <c r="W39" i="46" s="1"/>
  <c r="G43" i="36"/>
  <c r="W38" i="46" s="1"/>
  <c r="AH1077" i="2"/>
  <c r="G41" i="36"/>
  <c r="W36" i="46" s="1"/>
  <c r="G50" i="36"/>
  <c r="W45" i="46" s="1"/>
  <c r="G48" i="36"/>
  <c r="W43" i="46" s="1"/>
  <c r="G45" i="36"/>
  <c r="W40" i="46" s="1"/>
  <c r="H60" i="52"/>
  <c r="J58" i="52"/>
  <c r="J60" i="52" s="1"/>
  <c r="AF66" i="30"/>
  <c r="C32" i="6" s="1"/>
  <c r="D32" i="6" s="1"/>
  <c r="I73" i="52"/>
  <c r="C73" i="52"/>
  <c r="G73" i="52"/>
  <c r="J65" i="52"/>
  <c r="D73" i="52"/>
  <c r="AM18" i="2"/>
  <c r="C21" i="6"/>
  <c r="D21" i="6" s="1"/>
  <c r="AM966" i="2"/>
  <c r="D26" i="49"/>
  <c r="C28" i="52"/>
  <c r="F60" i="52"/>
  <c r="F73" i="52"/>
  <c r="P11" i="46"/>
  <c r="R7" i="73"/>
  <c r="S7" i="73"/>
  <c r="AF11" i="32" l="1"/>
  <c r="H9" i="51"/>
  <c r="B31" i="26" s="1"/>
  <c r="AM25" i="2" s="1"/>
  <c r="E26" i="49"/>
  <c r="Q9" i="73"/>
  <c r="AG2" i="38"/>
  <c r="C37" i="6" s="1"/>
  <c r="D37" i="6" s="1"/>
  <c r="W11" i="32"/>
  <c r="BL6" i="69" s="1"/>
  <c r="BL8" i="69" s="1"/>
  <c r="Y11" i="32"/>
  <c r="BN6" i="69" s="1"/>
  <c r="BN8" i="69" s="1"/>
  <c r="I94" i="28"/>
  <c r="C30" i="6" s="1"/>
  <c r="D30" i="6" s="1"/>
  <c r="AQ12" i="38"/>
  <c r="AE11" i="32"/>
  <c r="D11" i="32" s="1"/>
  <c r="AG10" i="32"/>
  <c r="D10" i="32" s="1"/>
  <c r="AJ2" i="38"/>
  <c r="C40" i="6" s="1"/>
  <c r="D40" i="6" s="1"/>
  <c r="AE14" i="32"/>
  <c r="Z14" i="32"/>
  <c r="X15" i="32"/>
  <c r="V14" i="32"/>
  <c r="Z15" i="32"/>
  <c r="U15" i="32"/>
  <c r="AD14" i="32"/>
  <c r="AB15" i="32"/>
  <c r="W15" i="32"/>
  <c r="W14" i="32"/>
  <c r="AE15" i="32"/>
  <c r="Y15" i="32"/>
  <c r="AC15" i="32"/>
  <c r="V15" i="32"/>
  <c r="AA14" i="32"/>
  <c r="X14" i="32"/>
  <c r="AD15" i="32"/>
  <c r="AA15" i="32"/>
  <c r="I9" i="51"/>
  <c r="C31" i="26" s="1"/>
  <c r="AB14" i="32"/>
  <c r="U14" i="32"/>
  <c r="AF15" i="32"/>
  <c r="AF14" i="32"/>
  <c r="Y14" i="32"/>
  <c r="AC14" i="32"/>
  <c r="Y4" i="73"/>
  <c r="T51" i="73"/>
  <c r="T52" i="73" s="1"/>
  <c r="T53" i="73" s="1"/>
  <c r="T54" i="73" s="1"/>
  <c r="T55" i="73" s="1"/>
  <c r="T56" i="73" s="1"/>
  <c r="T57" i="73" s="1"/>
  <c r="T58" i="73" s="1"/>
  <c r="T59" i="73" s="1"/>
  <c r="T60" i="73" s="1"/>
  <c r="T61" i="73" s="1"/>
  <c r="T62" i="73" s="1"/>
  <c r="C92" i="28"/>
  <c r="S222" i="2" s="1"/>
  <c r="S219" i="2"/>
  <c r="J68" i="52"/>
  <c r="AM24" i="2"/>
  <c r="J64" i="52"/>
  <c r="J63" i="52"/>
  <c r="B34" i="26"/>
  <c r="AM28" i="2" s="1"/>
  <c r="I8" i="51"/>
  <c r="C30" i="26" s="1"/>
  <c r="AN24" i="2" s="1"/>
  <c r="AJ4" i="38"/>
  <c r="I20" i="51"/>
  <c r="I29" i="51" s="1"/>
  <c r="AI4" i="38"/>
  <c r="H12" i="51"/>
  <c r="R50" i="51"/>
  <c r="R53" i="51" s="1"/>
  <c r="T75" i="73"/>
  <c r="T73" i="73" s="1"/>
  <c r="T74" i="73" s="1"/>
  <c r="Y9" i="73"/>
  <c r="T67" i="73"/>
  <c r="T68" i="73" s="1"/>
  <c r="BR6" i="69"/>
  <c r="BR8" i="69" s="1"/>
  <c r="O37" i="2"/>
  <c r="BU6" i="69"/>
  <c r="BU8" i="69" s="1"/>
  <c r="R37" i="2"/>
  <c r="H37" i="2"/>
  <c r="BK6" i="69"/>
  <c r="BK8" i="69" s="1"/>
  <c r="BS6" i="69"/>
  <c r="BS8" i="69" s="1"/>
  <c r="P37" i="2"/>
  <c r="S34" i="2"/>
  <c r="D8" i="32"/>
  <c r="D7" i="32"/>
  <c r="S33" i="2"/>
  <c r="BM6" i="69"/>
  <c r="BM8" i="69" s="1"/>
  <c r="J37" i="2"/>
  <c r="BP6" i="69"/>
  <c r="BP8" i="69" s="1"/>
  <c r="M37" i="2"/>
  <c r="AB6" i="73"/>
  <c r="AE6" i="73"/>
  <c r="G37" i="2"/>
  <c r="BJ6" i="69"/>
  <c r="BJ8" i="69" s="1"/>
  <c r="O13" i="46"/>
  <c r="H28" i="49"/>
  <c r="G28" i="49" s="1"/>
  <c r="S42" i="2"/>
  <c r="D16" i="32"/>
  <c r="D2" i="24"/>
  <c r="AG57" i="2"/>
  <c r="AB11" i="73"/>
  <c r="AE11" i="73"/>
  <c r="H25" i="49"/>
  <c r="G25" i="49" s="1"/>
  <c r="S39" i="2"/>
  <c r="D13" i="32"/>
  <c r="S31" i="2"/>
  <c r="D5" i="32"/>
  <c r="N37" i="2"/>
  <c r="BQ6" i="69"/>
  <c r="BQ8" i="69" s="1"/>
  <c r="AB8" i="73"/>
  <c r="AE8" i="73"/>
  <c r="T64" i="73"/>
  <c r="T65" i="73" s="1"/>
  <c r="D36" i="32"/>
  <c r="S62" i="2"/>
  <c r="S63" i="2"/>
  <c r="D37" i="32"/>
  <c r="F8" i="49"/>
  <c r="E8" i="49"/>
  <c r="AB7" i="73"/>
  <c r="AE7" i="73"/>
  <c r="S35" i="2"/>
  <c r="D9" i="32"/>
  <c r="T70" i="73"/>
  <c r="T71" i="73" s="1"/>
  <c r="S36" i="2"/>
  <c r="S45" i="2"/>
  <c r="D19" i="32"/>
  <c r="H31" i="49"/>
  <c r="G31" i="49" s="1"/>
  <c r="BO6" i="69"/>
  <c r="BO8" i="69" s="1"/>
  <c r="L37" i="2"/>
  <c r="K37" i="2"/>
  <c r="J64" i="2"/>
  <c r="P64" i="2"/>
  <c r="K64" i="2"/>
  <c r="L64" i="2"/>
  <c r="N64" i="2"/>
  <c r="O64" i="2"/>
  <c r="I64" i="2"/>
  <c r="Q64" i="2"/>
  <c r="D35" i="32"/>
  <c r="AG38" i="32"/>
  <c r="S61" i="2"/>
  <c r="R64" i="2"/>
  <c r="M64" i="2"/>
  <c r="H64" i="2"/>
  <c r="G64" i="2"/>
  <c r="C39" i="6"/>
  <c r="D39" i="6" s="1"/>
  <c r="C29" i="26"/>
  <c r="S43" i="2"/>
  <c r="D17" i="32"/>
  <c r="H29" i="49"/>
  <c r="G29" i="49" s="1"/>
  <c r="H44" i="49" s="1"/>
  <c r="AM7" i="2"/>
  <c r="B14" i="26"/>
  <c r="F92" i="28"/>
  <c r="AN222" i="2" s="1"/>
  <c r="AN219" i="2"/>
  <c r="C13" i="26"/>
  <c r="I13" i="26" s="1"/>
  <c r="D5" i="49"/>
  <c r="AM222" i="2"/>
  <c r="J73" i="52"/>
  <c r="D34" i="49"/>
  <c r="D14" i="49"/>
  <c r="D41" i="49"/>
  <c r="P12" i="46"/>
  <c r="S8" i="73"/>
  <c r="R8" i="73"/>
  <c r="AG11" i="32" l="1"/>
  <c r="Q37" i="2"/>
  <c r="Q10" i="73"/>
  <c r="E41" i="49"/>
  <c r="E34" i="49"/>
  <c r="E49" i="49" s="1"/>
  <c r="E14" i="49"/>
  <c r="E17" i="49" s="1"/>
  <c r="I37" i="2"/>
  <c r="AQ2" i="38"/>
  <c r="BT6" i="69"/>
  <c r="BT8" i="69" s="1"/>
  <c r="R40" i="2"/>
  <c r="AF30" i="32"/>
  <c r="BU10" i="69"/>
  <c r="BU12" i="69" s="1"/>
  <c r="AF41" i="32"/>
  <c r="BP10" i="69"/>
  <c r="BP12" i="69" s="1"/>
  <c r="AA41" i="32"/>
  <c r="AA30" i="32"/>
  <c r="M40" i="2"/>
  <c r="AD41" i="32"/>
  <c r="BS10" i="69"/>
  <c r="BS12" i="69" s="1"/>
  <c r="P40" i="2"/>
  <c r="AD30" i="32"/>
  <c r="I12" i="51"/>
  <c r="AQ4" i="38"/>
  <c r="R41" i="2"/>
  <c r="BU16" i="69"/>
  <c r="BK16" i="69"/>
  <c r="H41" i="2"/>
  <c r="AG15" i="32"/>
  <c r="G41" i="2"/>
  <c r="BJ16" i="69"/>
  <c r="I30" i="26"/>
  <c r="G40" i="2"/>
  <c r="AG14" i="32"/>
  <c r="U30" i="32"/>
  <c r="U41" i="32"/>
  <c r="BJ10" i="69"/>
  <c r="BJ12" i="69" s="1"/>
  <c r="O41" i="2"/>
  <c r="BR16" i="69"/>
  <c r="L41" i="2"/>
  <c r="BO16" i="69"/>
  <c r="AB9" i="73"/>
  <c r="AE9" i="73"/>
  <c r="AB30" i="32"/>
  <c r="N40" i="2"/>
  <c r="AB41" i="32"/>
  <c r="BQ10" i="69"/>
  <c r="BQ12" i="69" s="1"/>
  <c r="K41" i="2"/>
  <c r="BN16" i="69"/>
  <c r="H40" i="2"/>
  <c r="V41" i="32"/>
  <c r="BK10" i="69"/>
  <c r="BK12" i="69" s="1"/>
  <c r="V30" i="32"/>
  <c r="AE4" i="73"/>
  <c r="AB4" i="73"/>
  <c r="J41" i="2"/>
  <c r="BM16" i="69"/>
  <c r="AN25" i="2"/>
  <c r="I31" i="26"/>
  <c r="C45" i="6"/>
  <c r="M41" i="2"/>
  <c r="BP16" i="69"/>
  <c r="I40" i="2"/>
  <c r="W30" i="32"/>
  <c r="W41" i="32"/>
  <c r="BL10" i="69"/>
  <c r="BL12" i="69" s="1"/>
  <c r="L40" i="2"/>
  <c r="Z41" i="32"/>
  <c r="BO10" i="69"/>
  <c r="BO12" i="69" s="1"/>
  <c r="Z30" i="32"/>
  <c r="Q41" i="2"/>
  <c r="BT16" i="69"/>
  <c r="O40" i="2"/>
  <c r="AC41" i="32"/>
  <c r="BR10" i="69"/>
  <c r="BR12" i="69" s="1"/>
  <c r="AC30" i="32"/>
  <c r="P41" i="2"/>
  <c r="BS16" i="69"/>
  <c r="I41" i="2"/>
  <c r="BL16" i="69"/>
  <c r="BT10" i="69"/>
  <c r="BT12" i="69" s="1"/>
  <c r="Q40" i="2"/>
  <c r="AE30" i="32"/>
  <c r="AE41" i="32"/>
  <c r="K40" i="2"/>
  <c r="Y30" i="32"/>
  <c r="BN10" i="69"/>
  <c r="BN12" i="69" s="1"/>
  <c r="Y41" i="32"/>
  <c r="BM10" i="69"/>
  <c r="BM12" i="69" s="1"/>
  <c r="J40" i="2"/>
  <c r="X41" i="32"/>
  <c r="X30" i="32"/>
  <c r="N41" i="2"/>
  <c r="BQ16" i="69"/>
  <c r="G43" i="49"/>
  <c r="H43" i="49"/>
  <c r="AV10" i="32"/>
  <c r="AH36" i="2"/>
  <c r="O14" i="46"/>
  <c r="C48" i="6"/>
  <c r="AV37" i="32"/>
  <c r="AH63" i="2"/>
  <c r="AH45" i="2"/>
  <c r="AV19" i="32"/>
  <c r="AH35" i="2"/>
  <c r="AV9" i="32"/>
  <c r="AH37" i="2"/>
  <c r="AV11" i="32"/>
  <c r="AH31" i="2"/>
  <c r="AV5" i="32"/>
  <c r="D46" i="24"/>
  <c r="S69" i="2"/>
  <c r="H5" i="49"/>
  <c r="G5" i="49" s="1"/>
  <c r="G8" i="49" s="1"/>
  <c r="S37" i="2"/>
  <c r="AH62" i="2"/>
  <c r="AV36" i="32"/>
  <c r="AH42" i="2"/>
  <c r="AV16" i="32"/>
  <c r="H46" i="49"/>
  <c r="G46" i="49"/>
  <c r="AV13" i="32"/>
  <c r="AH39" i="2"/>
  <c r="AH33" i="2"/>
  <c r="AV7" i="32"/>
  <c r="H40" i="49"/>
  <c r="G40" i="49"/>
  <c r="AV8" i="32"/>
  <c r="AH34" i="2"/>
  <c r="S64" i="2"/>
  <c r="AH61" i="2"/>
  <c r="AV35" i="32"/>
  <c r="D38" i="32"/>
  <c r="G44" i="49"/>
  <c r="AN23" i="2"/>
  <c r="C34" i="26"/>
  <c r="AN28" i="2" s="1"/>
  <c r="I29" i="26"/>
  <c r="AH43" i="2"/>
  <c r="AV17" i="32"/>
  <c r="D8" i="49"/>
  <c r="AN7" i="2"/>
  <c r="C14" i="26"/>
  <c r="AM8" i="2"/>
  <c r="D17" i="49"/>
  <c r="D49" i="49"/>
  <c r="P13" i="46"/>
  <c r="R9" i="73"/>
  <c r="S9" i="73"/>
  <c r="Q11" i="73" l="1"/>
  <c r="I38" i="26"/>
  <c r="C22" i="6" s="1"/>
  <c r="AE31" i="32"/>
  <c r="Q57" i="2" s="1"/>
  <c r="Q56" i="2"/>
  <c r="O67" i="2"/>
  <c r="AC40" i="32"/>
  <c r="O66" i="2" s="1"/>
  <c r="S40" i="2"/>
  <c r="D14" i="32"/>
  <c r="AG41" i="32"/>
  <c r="H26" i="49"/>
  <c r="AG30" i="32"/>
  <c r="N67" i="2"/>
  <c r="AB40" i="32"/>
  <c r="N66" i="2" s="1"/>
  <c r="I67" i="2"/>
  <c r="W40" i="32"/>
  <c r="I66" i="2" s="1"/>
  <c r="M56" i="2"/>
  <c r="AA31" i="32"/>
  <c r="M57" i="2" s="1"/>
  <c r="K67" i="2"/>
  <c r="Y40" i="32"/>
  <c r="K66" i="2" s="1"/>
  <c r="I56" i="2"/>
  <c r="W31" i="32"/>
  <c r="I57" i="2" s="1"/>
  <c r="M67" i="2"/>
  <c r="AA40" i="32"/>
  <c r="M66" i="2" s="1"/>
  <c r="R67" i="2"/>
  <c r="AF40" i="32"/>
  <c r="R66" i="2" s="1"/>
  <c r="Y31" i="32"/>
  <c r="K57" i="2" s="1"/>
  <c r="K56" i="2"/>
  <c r="P56" i="2"/>
  <c r="AD31" i="32"/>
  <c r="P57" i="2" s="1"/>
  <c r="H56" i="2"/>
  <c r="V31" i="32"/>
  <c r="H57" i="2" s="1"/>
  <c r="D15" i="32"/>
  <c r="S41" i="2"/>
  <c r="H27" i="49"/>
  <c r="G27" i="49" s="1"/>
  <c r="G42" i="49" s="1"/>
  <c r="J56" i="2"/>
  <c r="X31" i="32"/>
  <c r="J57" i="2" s="1"/>
  <c r="Q67" i="2"/>
  <c r="AE40" i="32"/>
  <c r="Q66" i="2" s="1"/>
  <c r="O56" i="2"/>
  <c r="AC31" i="32"/>
  <c r="O57" i="2" s="1"/>
  <c r="L67" i="2"/>
  <c r="Z40" i="32"/>
  <c r="L66" i="2" s="1"/>
  <c r="N56" i="2"/>
  <c r="AB31" i="32"/>
  <c r="N57" i="2" s="1"/>
  <c r="G67" i="2"/>
  <c r="U40" i="32"/>
  <c r="G66" i="2" s="1"/>
  <c r="AF31" i="32"/>
  <c r="R57" i="2" s="1"/>
  <c r="R56" i="2"/>
  <c r="L56" i="2"/>
  <c r="Z31" i="32"/>
  <c r="L57" i="2" s="1"/>
  <c r="J67" i="2"/>
  <c r="X40" i="32"/>
  <c r="J66" i="2" s="1"/>
  <c r="H67" i="2"/>
  <c r="V40" i="32"/>
  <c r="H66" i="2" s="1"/>
  <c r="G56" i="2"/>
  <c r="U31" i="32"/>
  <c r="G57" i="2" s="1"/>
  <c r="P67" i="2"/>
  <c r="AD40" i="32"/>
  <c r="P66" i="2" s="1"/>
  <c r="B8" i="26"/>
  <c r="S113" i="2"/>
  <c r="O15" i="46"/>
  <c r="AV38" i="32"/>
  <c r="AH64" i="2"/>
  <c r="H8" i="49"/>
  <c r="AN8" i="2"/>
  <c r="R10" i="73"/>
  <c r="S10" i="73"/>
  <c r="P14" i="46"/>
  <c r="H42" i="49" l="1"/>
  <c r="Q12" i="73"/>
  <c r="G26" i="49"/>
  <c r="H34" i="49"/>
  <c r="H14" i="49"/>
  <c r="G14" i="49" s="1"/>
  <c r="S67" i="2"/>
  <c r="AG40" i="32"/>
  <c r="S66" i="2" s="1"/>
  <c r="S56" i="2"/>
  <c r="AG31" i="32"/>
  <c r="S57" i="2" s="1"/>
  <c r="AV14" i="32"/>
  <c r="D41" i="32"/>
  <c r="AH40" i="2"/>
  <c r="D30" i="32"/>
  <c r="AV15" i="32"/>
  <c r="AH41" i="2"/>
  <c r="O16" i="46"/>
  <c r="AM2" i="2"/>
  <c r="C8" i="26"/>
  <c r="B26" i="26"/>
  <c r="S11" i="73"/>
  <c r="R11" i="73"/>
  <c r="P15" i="46"/>
  <c r="Q13" i="73" l="1"/>
  <c r="G17" i="49"/>
  <c r="H17" i="49"/>
  <c r="AV30" i="32"/>
  <c r="D31" i="32"/>
  <c r="AH56" i="2"/>
  <c r="AH67" i="2"/>
  <c r="D40" i="32"/>
  <c r="AV41" i="32"/>
  <c r="H41" i="49"/>
  <c r="G41" i="49"/>
  <c r="G34" i="49"/>
  <c r="AM20" i="2"/>
  <c r="B36" i="26"/>
  <c r="AN2" i="2"/>
  <c r="C26" i="26"/>
  <c r="O17" i="46"/>
  <c r="S12" i="73"/>
  <c r="R12" i="73"/>
  <c r="P16" i="46"/>
  <c r="P17" i="46"/>
  <c r="Q14" i="73" l="1"/>
  <c r="AV40" i="32"/>
  <c r="AH66" i="2"/>
  <c r="AV31" i="32"/>
  <c r="AH57" i="2"/>
  <c r="G49" i="49"/>
  <c r="H49" i="49"/>
  <c r="AN20" i="2"/>
  <c r="C36" i="26"/>
  <c r="AM30" i="2"/>
  <c r="D50" i="40"/>
  <c r="S13" i="73"/>
  <c r="R13" i="73"/>
  <c r="Q15" i="73" l="1"/>
  <c r="AV43" i="32"/>
  <c r="C24" i="6" s="1"/>
  <c r="D52" i="40"/>
  <c r="S1156" i="2" s="1"/>
  <c r="D51" i="40"/>
  <c r="S1155" i="2" s="1"/>
  <c r="S1154" i="2"/>
  <c r="F8" i="26"/>
  <c r="AN30" i="2"/>
  <c r="E8" i="26"/>
  <c r="R14" i="73"/>
  <c r="S14" i="73"/>
  <c r="AR2" i="2" l="1"/>
  <c r="E26" i="26"/>
  <c r="F26" i="26"/>
  <c r="AS2" i="2"/>
  <c r="S15" i="73"/>
  <c r="R15" i="73"/>
  <c r="F36" i="26" l="1"/>
  <c r="AS20" i="2"/>
  <c r="E36" i="26"/>
  <c r="AR30" i="2" s="1"/>
  <c r="AR20" i="2"/>
  <c r="AS30" i="2" l="1"/>
  <c r="H8" i="26"/>
  <c r="AT2" i="2" l="1"/>
  <c r="H26" i="26"/>
  <c r="AT20" i="2" l="1"/>
  <c r="H36" i="26"/>
  <c r="AT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Bryan Crosland</author>
  </authors>
  <commentList>
    <comment ref="S1" authorId="0" shapeId="0" xr:uid="{00000000-0006-0000-0200-000001000000}">
      <text>
        <r>
          <rPr>
            <b/>
            <sz val="9"/>
            <color indexed="81"/>
            <rFont val="Tahoma"/>
            <family val="2"/>
          </rPr>
          <t>Bryan Crosland:</t>
        </r>
        <r>
          <rPr>
            <sz val="9"/>
            <color indexed="81"/>
            <rFont val="Tahoma"/>
            <family val="2"/>
          </rPr>
          <t xml:space="preserve">
This data is taken from the HEIW emails (shared folder) careful not to duplicate months. Unhide the tab and navigate to 'pivot' tab - source data unavailable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Bryan Crosland</author>
  </authors>
  <commentList>
    <comment ref="Q53" authorId="0" shapeId="0" xr:uid="{00000000-0006-0000-2800-000001000000}">
      <text>
        <r>
          <rPr>
            <b/>
            <sz val="9"/>
            <color indexed="81"/>
            <rFont val="Tahoma"/>
            <family val="2"/>
          </rPr>
          <t>Bryan Crosland:</t>
        </r>
        <r>
          <rPr>
            <sz val="9"/>
            <color indexed="81"/>
            <rFont val="Tahoma"/>
            <family val="2"/>
          </rPr>
          <t xml:space="preserve">
Presumaby these will match the HEIW plan (almost) or we can link them? Maybe not - put as part of validation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Eiddig Morgan</author>
    <author>lo001535</author>
    <author>Mary Moss (Swansea Bay UHB - )</author>
  </authors>
  <commentList>
    <comment ref="C1" authorId="0" shapeId="0" xr:uid="{00000000-0006-0000-0900-000001000000}">
      <text>
        <r>
          <rPr>
            <b/>
            <sz val="9"/>
            <color indexed="81"/>
            <rFont val="Tahoma"/>
            <family val="2"/>
          </rPr>
          <t>Guidance</t>
        </r>
        <r>
          <rPr>
            <sz val="9"/>
            <color indexed="81"/>
            <rFont val="Tahoma"/>
            <family val="2"/>
          </rPr>
          <t xml:space="preserve">
Please fill in the lightly yellow shaded cells with bed numbers (for all sites).
This section is intended to capture the number of functional planned staffed and equipped beds available to organisations and should include all sites e.g. Mental Health and Community. Please ensure your narrative plan captures details in respect of the organisations ability to flex the available functional bed base to address the varying COVID-19 scenarios in the coming twelve months.</t>
        </r>
      </text>
    </comment>
    <comment ref="J5" authorId="1" shapeId="0" xr:uid="{3FC39009-0D5D-43E7-8819-2F2F5F915321}">
      <text>
        <r>
          <rPr>
            <b/>
            <sz val="9"/>
            <color indexed="81"/>
            <rFont val="Tahoma"/>
            <family val="2"/>
          </rPr>
          <t>lo001535:</t>
        </r>
        <r>
          <rPr>
            <sz val="9"/>
            <color indexed="81"/>
            <rFont val="Tahoma"/>
            <family val="2"/>
          </rPr>
          <t xml:space="preserve">
Plan to open Surgical  beds on ward 3 - the number of beds is  unclear.
</t>
        </r>
      </text>
    </comment>
    <comment ref="K5" authorId="1" shapeId="0" xr:uid="{267799B6-DA64-478F-A42D-DD5EB9D17314}">
      <text>
        <r>
          <rPr>
            <b/>
            <sz val="9"/>
            <color indexed="81"/>
            <rFont val="Tahoma"/>
            <family val="2"/>
          </rPr>
          <t>lo001535:</t>
        </r>
        <r>
          <rPr>
            <sz val="9"/>
            <color indexed="81"/>
            <rFont val="Tahoma"/>
            <family val="2"/>
          </rPr>
          <t xml:space="preserve">
Plan to open Surgical  beds on ward 3 - the number of beds is  unclear.</t>
        </r>
      </text>
    </comment>
    <comment ref="B17" authorId="2" shapeId="0" xr:uid="{00000000-0006-0000-0900-000002000000}">
      <text>
        <r>
          <rPr>
            <b/>
            <sz val="9"/>
            <color indexed="81"/>
            <rFont val="Tahoma"/>
            <family val="2"/>
          </rPr>
          <t>Mary Moss (Swansea Bay UHB - ):</t>
        </r>
        <r>
          <rPr>
            <sz val="9"/>
            <color indexed="81"/>
            <rFont val="Tahoma"/>
            <family val="2"/>
          </rPr>
          <t xml:space="preserve">
Learning Disabilities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1" authorId="0" shapeId="0" xr:uid="{D8D4347B-A295-4BA9-BCB2-4A7FAB139B36}">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5" authorId="0" shapeId="0" xr:uid="{00000000-0006-0000-0C00-000001000000}">
      <text>
        <r>
          <rPr>
            <b/>
            <sz val="9"/>
            <color indexed="81"/>
            <rFont val="Tahoma"/>
            <family val="2"/>
          </rPr>
          <t>Guidance</t>
        </r>
        <r>
          <rPr>
            <sz val="9"/>
            <color indexed="81"/>
            <rFont val="Tahoma"/>
            <family val="2"/>
          </rPr>
          <t xml:space="preserve">
Fast Track - Safeguarding an individual’s well-being by ‘fast tracking’ them for immediate provision of CHC. In these cases, people can be supported in their preferred place of care without waiting for the full CHC eligibility process to be completed.
Jointly funded packages - Cases where an individual is not entitled to CHC but have needs identified through the DST that are not of a nature that a local authority can solely meet or are beyond the powers of a local authority to solely meet. In these cases, LHBs should work in partnership with the LA to agree their respective responsibilities and provide a joint package of care.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Eiddig Morgan</author>
    <author>Mary Moss (Swansea Bay UHB - )</author>
  </authors>
  <commentList>
    <comment ref="C7" authorId="0" shapeId="0" xr:uid="{00000000-0006-0000-0D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 ref="AB36" authorId="1" shapeId="0" xr:uid="{BD0002F7-B6AD-4FC2-8D18-BAE1E9692161}">
      <text>
        <r>
          <rPr>
            <b/>
            <sz val="9"/>
            <color indexed="81"/>
            <rFont val="Tahoma"/>
            <family val="2"/>
          </rPr>
          <t>Mary Moss (Swansea Bay UHB - ):</t>
        </r>
        <r>
          <rPr>
            <sz val="9"/>
            <color indexed="81"/>
            <rFont val="Tahoma"/>
            <family val="2"/>
          </rPr>
          <t xml:space="preserve">
):
adult only</t>
        </r>
      </text>
    </comment>
    <comment ref="AC36" authorId="1" shapeId="0" xr:uid="{9F6F7CF5-4FC9-4ED2-9923-C8FC0A6A5155}">
      <text>
        <r>
          <rPr>
            <b/>
            <sz val="9"/>
            <color indexed="81"/>
            <rFont val="Tahoma"/>
            <family val="2"/>
          </rPr>
          <t>Mary Moss (Swansea Bay UHB - ):</t>
        </r>
        <r>
          <rPr>
            <sz val="9"/>
            <color indexed="81"/>
            <rFont val="Tahoma"/>
            <family val="2"/>
          </rPr>
          <t xml:space="preserve">
):
adult only</t>
        </r>
      </text>
    </comment>
    <comment ref="AD36" authorId="1" shapeId="0" xr:uid="{B472A88A-C523-4A5B-96DD-A94CF1FCAFC7}">
      <text>
        <r>
          <rPr>
            <b/>
            <sz val="9"/>
            <color indexed="81"/>
            <rFont val="Tahoma"/>
            <family val="2"/>
          </rPr>
          <t>Mary Moss (Swansea Bay UHB - ):</t>
        </r>
        <r>
          <rPr>
            <sz val="9"/>
            <color indexed="81"/>
            <rFont val="Tahoma"/>
            <family val="2"/>
          </rPr>
          <t xml:space="preserve">
Adult only</t>
        </r>
      </text>
    </comment>
    <comment ref="AD37" authorId="1" shapeId="0" xr:uid="{0C6F56A0-212A-452D-B0CF-A8B52937730D}">
      <text>
        <r>
          <rPr>
            <b/>
            <sz val="9"/>
            <color indexed="81"/>
            <rFont val="Tahoma"/>
            <family val="2"/>
          </rPr>
          <t>Mary Moss (Swansea Bay UHB - ):</t>
        </r>
        <r>
          <rPr>
            <sz val="9"/>
            <color indexed="81"/>
            <rFont val="Tahoma"/>
            <family val="2"/>
          </rPr>
          <t xml:space="preserve">
Adult - 3 outside 72 hrs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D89B6C7E-E816-46D6-84DD-FAAEDF17682F}">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C7" authorId="0" shapeId="0" xr:uid="{00000000-0006-0000-0F00-000001000000}">
      <text>
        <r>
          <rPr>
            <b/>
            <sz val="9"/>
            <color indexed="81"/>
            <rFont val="Tahoma"/>
            <family val="2"/>
          </rPr>
          <t>Guidance</t>
        </r>
        <r>
          <rPr>
            <sz val="9"/>
            <color indexed="81"/>
            <rFont val="Tahoma"/>
            <family val="2"/>
          </rPr>
          <t xml:space="preserve">
Please fill in the lightly yellow shaded cells.
This section collects information in respect of the total activity that organisations' aim to deliver over the coming twelve months.
This is not intended to be an exhaustive list as organisations narrative plans will provide context and detail on wider organisational deliverables.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Eiddig Morgan</author>
  </authors>
  <commentList>
    <comment ref="B3" authorId="0" shapeId="0" xr:uid="{00000000-0006-0000-1700-000001000000}">
      <text>
        <r>
          <rPr>
            <b/>
            <sz val="9"/>
            <color indexed="81"/>
            <rFont val="Tahoma"/>
            <family val="2"/>
          </rPr>
          <t>Note:</t>
        </r>
        <r>
          <rPr>
            <sz val="9"/>
            <color indexed="81"/>
            <rFont val="Tahoma"/>
            <family val="2"/>
          </rPr>
          <t xml:space="preserve">
Cost increases due to inflationary unit price growth.
Should you wish to add additional rows, please contact "PHWFinance.DeliveryUnit@wales.nhs.uk" </t>
        </r>
      </text>
    </comment>
    <comment ref="B4" authorId="0" shapeId="0" xr:uid="{00000000-0006-0000-1700-000002000000}">
      <text>
        <r>
          <rPr>
            <b/>
            <sz val="9"/>
            <color indexed="81"/>
            <rFont val="Tahoma"/>
            <family val="2"/>
          </rPr>
          <t>Note:</t>
        </r>
        <r>
          <rPr>
            <sz val="9"/>
            <color indexed="81"/>
            <rFont val="Tahoma"/>
            <family val="2"/>
          </rPr>
          <t xml:space="preserve">
This is the additional energy cost above the baseline energy budget.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M1" authorId="0" shapeId="0" xr:uid="{00000000-0006-0000-1800-000001000000}">
      <text>
        <r>
          <rPr>
            <b/>
            <sz val="9"/>
            <color indexed="81"/>
            <rFont val="Tahoma"/>
            <family val="2"/>
          </rPr>
          <t>Amount that Amber schemes may under deliver by</t>
        </r>
      </text>
    </comment>
    <comment ref="M6" authorId="0" shapeId="0" xr:uid="{00000000-0006-0000-1800-000002000000}">
      <text>
        <r>
          <rPr>
            <b/>
            <sz val="9"/>
            <color indexed="81"/>
            <rFont val="Tahoma"/>
            <family val="2"/>
          </rPr>
          <t>Amount that Amber schemes may under deliver by</t>
        </r>
      </text>
    </comment>
  </commentList>
</comments>
</file>

<file path=xl/sharedStrings.xml><?xml version="1.0" encoding="utf-8"?>
<sst xmlns="http://schemas.openxmlformats.org/spreadsheetml/2006/main" count="43171" uniqueCount="1631">
  <si>
    <t>2024/25 PLANNING MINIMUM DATASET V 1.0</t>
  </si>
  <si>
    <t>SUMMARY OF CONTENTS</t>
  </si>
  <si>
    <t>Organisation</t>
  </si>
  <si>
    <t>Swansea Bay UHB</t>
  </si>
  <si>
    <t>For further guidance on completion please contact:</t>
  </si>
  <si>
    <r>
      <t>Checklist</t>
    </r>
    <r>
      <rPr>
        <b/>
        <sz val="12"/>
        <color theme="0"/>
        <rFont val="Calibri"/>
        <family val="2"/>
        <scheme val="minor"/>
      </rPr>
      <t xml:space="preserve"> </t>
    </r>
    <r>
      <rPr>
        <b/>
        <sz val="10"/>
        <color theme="0"/>
        <rFont val="Calibri"/>
        <family val="2"/>
        <scheme val="minor"/>
      </rPr>
      <t>(click section name to jump to relevant sheet)</t>
    </r>
  </si>
  <si>
    <r>
      <t xml:space="preserve">Sections Complete </t>
    </r>
    <r>
      <rPr>
        <b/>
        <sz val="12"/>
        <color theme="0"/>
        <rFont val="Calibri"/>
        <family val="2"/>
        <scheme val="minor"/>
      </rPr>
      <t>(dropdown available)</t>
    </r>
  </si>
  <si>
    <t>HSS-PlanningTeam@gov.wales</t>
  </si>
  <si>
    <t>VACCINATIONS</t>
  </si>
  <si>
    <t>BEDPLAN</t>
  </si>
  <si>
    <t>WORKFORCE WTE</t>
  </si>
  <si>
    <t>PRIMARY CARE ACTIVITY</t>
  </si>
  <si>
    <t>CHC &amp; FNC</t>
  </si>
  <si>
    <t>MENTAL HEALTH ACTIVITY</t>
  </si>
  <si>
    <t>CANCER CARE ACTIVITY</t>
  </si>
  <si>
    <t>UNSCHEDULED CARE ACTIVITY</t>
  </si>
  <si>
    <t>PLANNED CARE ACTIVITY</t>
  </si>
  <si>
    <t>F1 REVENUE PLAN</t>
  </si>
  <si>
    <t xml:space="preserve">F2 NET EXPENDITURE </t>
  </si>
  <si>
    <t>F3 ULD</t>
  </si>
  <si>
    <t>F4 FUNDING ASSUMPTIONS</t>
  </si>
  <si>
    <t>F5 COST PRESSURES</t>
  </si>
  <si>
    <t>F6 SAVINGS TRACKER</t>
  </si>
  <si>
    <t>F7 OPPORTUNITY PIPELINE</t>
  </si>
  <si>
    <t>F8 PAY SPLIT</t>
  </si>
  <si>
    <t>F9 PROJECT PROFILE</t>
  </si>
  <si>
    <t>F10 RISKS &amp; OPPORTUNITIES</t>
  </si>
  <si>
    <t>F11 CAPITAL DATA</t>
  </si>
  <si>
    <t>F12 OTHER ESTATES</t>
  </si>
  <si>
    <t>Comments</t>
  </si>
  <si>
    <t>General Notes</t>
  </si>
  <si>
    <t>Please only fill in the lightly yellow shaded cells. 
Please populate all cells and only use figures when populating.
If cell value is 0 then please enter 0 and do not leave blank. Please also do not enter "-" to denote 0.
This is intended to be a small guide, showing how the tabs work together, which hopefully assists in completion.</t>
  </si>
  <si>
    <t>Notes:</t>
  </si>
  <si>
    <t>The MDS aims to collect a broad set of data that support the planning function in NHS organisations. The data should underpin your IMTP</t>
  </si>
  <si>
    <t>We recognise not all tabs will apply to every organisation. Please complete those relevant to your organisation. Please state which are completed and which have been disregarded when you submit.</t>
  </si>
  <si>
    <t xml:space="preserve">If there are any individual data items that you are unable to complete, please state this with your submission and the reason for the lack of data, so it can be further investigated. </t>
  </si>
  <si>
    <t xml:space="preserve">The MDS Working Group has supported the development of this MDS planning tool and will continue to refine and refresh the MDS during 2024. </t>
  </si>
  <si>
    <t>Please address any queries to heather.giles@gov.wales</t>
  </si>
  <si>
    <t>Category</t>
  </si>
  <si>
    <t>mmm-yy</t>
  </si>
  <si>
    <t>Date</t>
  </si>
  <si>
    <t>NHS Wales</t>
  </si>
  <si>
    <t>Aneurin Bevan UHB</t>
  </si>
  <si>
    <t>Betsi Cadwaladr UHB</t>
  </si>
  <si>
    <t>Cardiff &amp; Vale UHB</t>
  </si>
  <si>
    <t>Cwm Taf Morgannwg UHB</t>
  </si>
  <si>
    <t>Hywel Dda UHB</t>
  </si>
  <si>
    <t>Powys THB</t>
  </si>
  <si>
    <t>Public Health Wales Trust</t>
  </si>
  <si>
    <t>Velindre Trust</t>
  </si>
  <si>
    <t>Welsh Ambulance Trust</t>
  </si>
  <si>
    <t>HEIW</t>
  </si>
  <si>
    <t>Digital Health Care Wales</t>
  </si>
  <si>
    <t>NHS Wales Shared Services Partnership</t>
  </si>
  <si>
    <t>Column1</t>
  </si>
  <si>
    <t>Row Labels</t>
  </si>
  <si>
    <t>Sum of Aneurin Bevan UHB</t>
  </si>
  <si>
    <t>Sum of Betsi Cadwaladr UHB</t>
  </si>
  <si>
    <t>Sum of Cardiff &amp; Vale UHB</t>
  </si>
  <si>
    <t>Sum of Cwm Taf Morgannwg UHB</t>
  </si>
  <si>
    <t>Sum of Hywel Dda UHB</t>
  </si>
  <si>
    <t>Sum of Swansea Bay UHB</t>
  </si>
  <si>
    <t>Sum of Powys Teaching LHB</t>
  </si>
  <si>
    <t>Sum of Public Health Wales Trust</t>
  </si>
  <si>
    <t>Sum of Velindre UT</t>
  </si>
  <si>
    <t>Sum of WAST</t>
  </si>
  <si>
    <t>Sum of HEIW</t>
  </si>
  <si>
    <t>Sum of DHCW</t>
  </si>
  <si>
    <t>Sum of NWSSP</t>
  </si>
  <si>
    <t>Allied Health Professionals</t>
  </si>
  <si>
    <t>Apr-19</t>
  </si>
  <si>
    <t>Additional Clinical Services</t>
  </si>
  <si>
    <t>Healthcare Scientists</t>
  </si>
  <si>
    <t>Students</t>
  </si>
  <si>
    <t>Prof Scientific &amp; Technical</t>
  </si>
  <si>
    <t>Administrative, Clerical &amp; Board Members</t>
  </si>
  <si>
    <t>Estates &amp; Ancillary</t>
  </si>
  <si>
    <t>Nursing &amp; Midwifery Registered</t>
  </si>
  <si>
    <t>Medical &amp; Dental</t>
  </si>
  <si>
    <t>Apr-20</t>
  </si>
  <si>
    <t>Apr-21</t>
  </si>
  <si>
    <t>Apr-22</t>
  </si>
  <si>
    <t>Apr-23</t>
  </si>
  <si>
    <t>Aug-19</t>
  </si>
  <si>
    <t>Aug-20</t>
  </si>
  <si>
    <t>Aug-21</t>
  </si>
  <si>
    <t>Aug-22</t>
  </si>
  <si>
    <t>Aug-23</t>
  </si>
  <si>
    <t>Dec-19</t>
  </si>
  <si>
    <t>Dec-20</t>
  </si>
  <si>
    <t>Dec-21</t>
  </si>
  <si>
    <t>Dec-22</t>
  </si>
  <si>
    <t>Feb-20</t>
  </si>
  <si>
    <t>Feb-21</t>
  </si>
  <si>
    <t>Feb-22</t>
  </si>
  <si>
    <t>Feb-23</t>
  </si>
  <si>
    <t>Jan-20</t>
  </si>
  <si>
    <t>Jan-21</t>
  </si>
  <si>
    <t>Jan-22</t>
  </si>
  <si>
    <t>Jan-23</t>
  </si>
  <si>
    <t>Jul-19</t>
  </si>
  <si>
    <t>Jul-20</t>
  </si>
  <si>
    <t>Jul-21</t>
  </si>
  <si>
    <t>Jul-22</t>
  </si>
  <si>
    <t>Jul-23</t>
  </si>
  <si>
    <t>Jun-19</t>
  </si>
  <si>
    <t>Jun-20</t>
  </si>
  <si>
    <t>Jun-21</t>
  </si>
  <si>
    <t>Jun-22</t>
  </si>
  <si>
    <t>Jun-23</t>
  </si>
  <si>
    <t>Mar-20</t>
  </si>
  <si>
    <t>Mar-21</t>
  </si>
  <si>
    <t>Mar-22</t>
  </si>
  <si>
    <t>Mar-23</t>
  </si>
  <si>
    <t>May-19</t>
  </si>
  <si>
    <t>May-20</t>
  </si>
  <si>
    <t>May-21</t>
  </si>
  <si>
    <t>May-22</t>
  </si>
  <si>
    <t>May-23</t>
  </si>
  <si>
    <t>Nov-19</t>
  </si>
  <si>
    <t>Nov-20</t>
  </si>
  <si>
    <t>Nov-21</t>
  </si>
  <si>
    <t>Nov-22</t>
  </si>
  <si>
    <t>Oct-19</t>
  </si>
  <si>
    <t>Oct-20</t>
  </si>
  <si>
    <t>Oct-21</t>
  </si>
  <si>
    <t>Oct-22</t>
  </si>
  <si>
    <t>Sep-19</t>
  </si>
  <si>
    <t>Sep-20</t>
  </si>
  <si>
    <t>Sep-21</t>
  </si>
  <si>
    <t>Sep-22</t>
  </si>
  <si>
    <t>Grand Total</t>
  </si>
  <si>
    <t>Validation</t>
  </si>
  <si>
    <t>Result</t>
  </si>
  <si>
    <t>Completion &amp; Guidance</t>
  </si>
  <si>
    <t>Has an organisation been selected?</t>
  </si>
  <si>
    <t>Have all sheets been confirmed as complete?</t>
  </si>
  <si>
    <t>Vaccinations</t>
  </si>
  <si>
    <t>Are all entries numeric?</t>
  </si>
  <si>
    <t>Bedplan</t>
  </si>
  <si>
    <t>Workforce WTE</t>
  </si>
  <si>
    <t>Primary Care Activity</t>
  </si>
  <si>
    <t>Commissioned Services</t>
  </si>
  <si>
    <t>Mental Health Activity</t>
  </si>
  <si>
    <t>Cancer Care Activity</t>
  </si>
  <si>
    <t>Unscheduled Care &amp; Ambulance</t>
  </si>
  <si>
    <t>Planned Care Activity</t>
  </si>
  <si>
    <t>F1 Revenue Plan</t>
  </si>
  <si>
    <t>Have cost pressures been entered as negative?</t>
  </si>
  <si>
    <t>Have Savings and Mitigations been entered as positive?</t>
  </si>
  <si>
    <t>Do the Cost Pressures equal those detailed on tab 'F5 - Cost Pressures'</t>
  </si>
  <si>
    <t>F2 - Net Expenditure</t>
  </si>
  <si>
    <t>F3 - ULD</t>
  </si>
  <si>
    <t>Are all ULD Assumptions labelled?</t>
  </si>
  <si>
    <t>F4 - Funding Assumptions</t>
  </si>
  <si>
    <t>Are all Funding Assumptions labelled?</t>
  </si>
  <si>
    <t>F5 - Cost Pressures</t>
  </si>
  <si>
    <t>Are all free text items labelled?</t>
  </si>
  <si>
    <t>F6 - Savings</t>
  </si>
  <si>
    <t>Have all fields been completed for schemes that have value?</t>
  </si>
  <si>
    <t>Have all schemes a unique number?</t>
  </si>
  <si>
    <t>Has a monitoring return category been selected for all schemes?</t>
  </si>
  <si>
    <t>Has a category been selected for IG/AG?</t>
  </si>
  <si>
    <t>Is FYE of R Schemes &gt;= In Year Plan</t>
  </si>
  <si>
    <t>Has FYE been entered on NR Scheme?</t>
  </si>
  <si>
    <t>Do all schemes have a valid Start Date &amp; Go Green Date</t>
  </si>
  <si>
    <t>Are all profiled values entered numeric?</t>
  </si>
  <si>
    <t>F7 Opportunity Pipeline</t>
  </si>
  <si>
    <t>Are all Opportunity Pipelines labelled?</t>
  </si>
  <si>
    <t>Are Opportunities greater than Pipeleine and Planning Assumptions?</t>
  </si>
  <si>
    <t>F8 - Pay Split</t>
  </si>
  <si>
    <t>Does the 2022/23 pay split equal the total agency on F2 Net Expenditure?</t>
  </si>
  <si>
    <t>Does the 2023/24 pay split equal the total agency on F2 Net Expenditure?</t>
  </si>
  <si>
    <t>F9 - Project Profile</t>
  </si>
  <si>
    <t>Are all Free Text items labelled?</t>
  </si>
  <si>
    <t>F10 Risks &amp; Opportunities</t>
  </si>
  <si>
    <t>ORGANISATION</t>
  </si>
  <si>
    <t>DATASET</t>
  </si>
  <si>
    <t>SECTION</t>
  </si>
  <si>
    <t>SUBSECTION</t>
  </si>
  <si>
    <t>METRIC TYPE</t>
  </si>
  <si>
    <t>METRIC DESC</t>
  </si>
  <si>
    <t>APR</t>
  </si>
  <si>
    <t>MAY</t>
  </si>
  <si>
    <t>JUN</t>
  </si>
  <si>
    <t>JUL</t>
  </si>
  <si>
    <t>AUG</t>
  </si>
  <si>
    <t>SEP</t>
  </si>
  <si>
    <t>OCT</t>
  </si>
  <si>
    <t>NOV</t>
  </si>
  <si>
    <t>DEC</t>
  </si>
  <si>
    <t>JAN</t>
  </si>
  <si>
    <t>FEB</t>
  </si>
  <si>
    <t>MAR</t>
  </si>
  <si>
    <t>TOTAL / YTD / FCAST</t>
  </si>
  <si>
    <t>PRIOR YR APR</t>
  </si>
  <si>
    <t>PRIOR YR MAY</t>
  </si>
  <si>
    <t>PRIOR YR JUN</t>
  </si>
  <si>
    <t>PRIOR YR JUL</t>
  </si>
  <si>
    <t>PRIOR YR AUG</t>
  </si>
  <si>
    <t>PRIOR YR SEP</t>
  </si>
  <si>
    <t>PRIOR YR OCT</t>
  </si>
  <si>
    <t>PRIOR YR NOV</t>
  </si>
  <si>
    <t>PRIOR YR DEC</t>
  </si>
  <si>
    <t>PRIOR YR JAN</t>
  </si>
  <si>
    <t>PRIOR YR FEB</t>
  </si>
  <si>
    <t>PRIOR YR MAR</t>
  </si>
  <si>
    <t>PRIOR YR Full Year</t>
  </si>
  <si>
    <t>BASE YEAR</t>
  </si>
  <si>
    <t>PRIOR YEAR 2</t>
  </si>
  <si>
    <t>PRIOR YEAR 1</t>
  </si>
  <si>
    <t>Q1 Projected</t>
  </si>
  <si>
    <t>Q2 Projected</t>
  </si>
  <si>
    <t>Q3 Projected</t>
  </si>
  <si>
    <t>Q4 Projected</t>
  </si>
  <si>
    <t>BASELINE/ACTUAL/FY YEAR 1</t>
  </si>
  <si>
    <t>BASELINE/ACTUAL/FY YEAR 2</t>
  </si>
  <si>
    <t>BASELINE/ACTUAL/FY YEAR 3</t>
  </si>
  <si>
    <t>Q1 Actual</t>
  </si>
  <si>
    <t>Q2 Actual</t>
  </si>
  <si>
    <t>Q3 Actual</t>
  </si>
  <si>
    <t>Q4 Actual</t>
  </si>
  <si>
    <t>TOTAL Actual</t>
  </si>
  <si>
    <t>APR Actual</t>
  </si>
  <si>
    <t>MAY Actual</t>
  </si>
  <si>
    <t>JUN Actual</t>
  </si>
  <si>
    <t>JUL Actual</t>
  </si>
  <si>
    <t>AUG Actual</t>
  </si>
  <si>
    <t>SEP Actual</t>
  </si>
  <si>
    <t>OCT Actual</t>
  </si>
  <si>
    <t>NOV Actual</t>
  </si>
  <si>
    <t>DEC Actual</t>
  </si>
  <si>
    <t>JAN Actual</t>
  </si>
  <si>
    <t>FEB Actual</t>
  </si>
  <si>
    <t>MAR Actual</t>
  </si>
  <si>
    <t>Cohort Size</t>
  </si>
  <si>
    <t>Plan_Spring Booster</t>
  </si>
  <si>
    <t>Plan_Annual B</t>
  </si>
  <si>
    <t>Eligible_Spring B</t>
  </si>
  <si>
    <t>Eligible_Annual B</t>
  </si>
  <si>
    <t>WORKFORCE</t>
  </si>
  <si>
    <t>CANCER CARE</t>
  </si>
  <si>
    <t>UNSCHCARE &amp; AMBULANCE</t>
  </si>
  <si>
    <t>PLANNED CARE</t>
  </si>
  <si>
    <t>New Outpatients</t>
  </si>
  <si>
    <t>Follow Up Outpatients</t>
  </si>
  <si>
    <t>Diagnostics</t>
  </si>
  <si>
    <t>MENTAL HEALTH</t>
  </si>
  <si>
    <t>2024/25</t>
  </si>
  <si>
    <t>Ref</t>
  </si>
  <si>
    <t>N/A</t>
  </si>
  <si>
    <t>Apr</t>
  </si>
  <si>
    <t>May</t>
  </si>
  <si>
    <t>Jun</t>
  </si>
  <si>
    <t>Jul</t>
  </si>
  <si>
    <t>Aug</t>
  </si>
  <si>
    <t>Sep</t>
  </si>
  <si>
    <t>Oct</t>
  </si>
  <si>
    <t>Nov</t>
  </si>
  <si>
    <t>Dec</t>
  </si>
  <si>
    <t>Jan</t>
  </si>
  <si>
    <t>Feb</t>
  </si>
  <si>
    <t>Mar</t>
  </si>
  <si>
    <t>Total</t>
  </si>
  <si>
    <t>Plan End 2025/26</t>
  </si>
  <si>
    <t>Plan End 2026/27</t>
  </si>
  <si>
    <t>METRIC</t>
  </si>
  <si>
    <t>Other</t>
  </si>
  <si>
    <t>TOTAL</t>
  </si>
  <si>
    <t>ACTUAL as @ 31/3/2023</t>
  </si>
  <si>
    <t>FORECAST as @ 31/03/24</t>
  </si>
  <si>
    <t>Q1 FORECAST as @ 30/06/24</t>
  </si>
  <si>
    <t>Q2 FORECAST as @ 30/09/24</t>
  </si>
  <si>
    <t>Q3 FORECAST as @ 31/12/24</t>
  </si>
  <si>
    <t>Plan End 2024/25</t>
  </si>
  <si>
    <t>AGENCY/LOCUM</t>
  </si>
  <si>
    <t xml:space="preserve">Administrative, Clerical &amp; Board Members </t>
  </si>
  <si>
    <t xml:space="preserve">Medical &amp; Dental </t>
  </si>
  <si>
    <t xml:space="preserve">Nursing &amp; Midwifery Registered </t>
  </si>
  <si>
    <t xml:space="preserve">Healthcare Scientists </t>
  </si>
  <si>
    <t xml:space="preserve">Estates &amp; Ancillary </t>
  </si>
  <si>
    <t xml:space="preserve">Students </t>
  </si>
  <si>
    <t>2023/24</t>
  </si>
  <si>
    <t>TOTAL CORE WORKFORCE</t>
  </si>
  <si>
    <t>Starting WTE</t>
  </si>
  <si>
    <t>New joiners from outside the organisation</t>
  </si>
  <si>
    <t>Transfers in or other non-standard increase in staff in post</t>
  </si>
  <si>
    <t>Staff leaving organisation due to standard turnover or retirement</t>
  </si>
  <si>
    <t>Transfers out, restructures or other reduction in staff in post</t>
  </si>
  <si>
    <t>TOTAL SUBSTANTIVE WORKFORCE AT THE END OF THE PERIOD</t>
  </si>
  <si>
    <t>Report Month</t>
  </si>
  <si>
    <t>Avail/Occupied</t>
  </si>
  <si>
    <t>All Wales</t>
  </si>
  <si>
    <t>See SQL script - Liam? May need adjusting for this layout</t>
  </si>
  <si>
    <t>Column Labels</t>
  </si>
  <si>
    <t>Available</t>
  </si>
  <si>
    <t>Sum of Powys THB</t>
  </si>
  <si>
    <t>Sum of Velindre Trust</t>
  </si>
  <si>
    <t>Sum of All Wales</t>
  </si>
  <si>
    <t>Occupied</t>
  </si>
  <si>
    <t>Definitions</t>
  </si>
  <si>
    <r>
      <t>For</t>
    </r>
    <r>
      <rPr>
        <b/>
        <sz val="12"/>
        <color rgb="FFFF0000"/>
        <rFont val="Calibri"/>
        <family val="2"/>
        <scheme val="minor"/>
      </rPr>
      <t xml:space="preserve"> elective</t>
    </r>
    <r>
      <rPr>
        <sz val="12"/>
        <color theme="1"/>
        <rFont val="Calibri"/>
        <family val="2"/>
        <scheme val="minor"/>
      </rPr>
      <t xml:space="preserve"> </t>
    </r>
    <r>
      <rPr>
        <b/>
        <sz val="12"/>
        <color rgb="FFFF0000"/>
        <rFont val="Calibri"/>
        <family val="2"/>
        <scheme val="minor"/>
      </rPr>
      <t>inpatient activity</t>
    </r>
    <r>
      <rPr>
        <sz val="12"/>
        <rFont val="Calibri"/>
        <family val="2"/>
        <scheme val="minor"/>
      </rPr>
      <t>, please only include the following surgical specialities:</t>
    </r>
  </si>
  <si>
    <t>General Surgery</t>
  </si>
  <si>
    <t>Urology</t>
  </si>
  <si>
    <t>Breast Surgery</t>
  </si>
  <si>
    <t>Colorectal Surgery</t>
  </si>
  <si>
    <t>Upper Gastrointestinal Surgery</t>
  </si>
  <si>
    <t>Vascular Surgery</t>
  </si>
  <si>
    <t>Trauma  Orthopaedics</t>
  </si>
  <si>
    <t>ENT</t>
  </si>
  <si>
    <t>Ophthalmology</t>
  </si>
  <si>
    <t>Oral Surgery</t>
  </si>
  <si>
    <t>Restorative Dentistry</t>
  </si>
  <si>
    <t>Paediatric Dentistry</t>
  </si>
  <si>
    <t>Orthodontics</t>
  </si>
  <si>
    <t>Neurosurgery</t>
  </si>
  <si>
    <t>Plastic Surgery</t>
  </si>
  <si>
    <t>Cardiothoracic Surgery</t>
  </si>
  <si>
    <t>Paediatric Surgery</t>
  </si>
  <si>
    <t>Anaesthetics</t>
  </si>
  <si>
    <t>Pain Management</t>
  </si>
  <si>
    <t>Gynaecology</t>
  </si>
  <si>
    <t>Radiology</t>
  </si>
  <si>
    <t>Interventional Radiology</t>
  </si>
  <si>
    <r>
      <t xml:space="preserve">For </t>
    </r>
    <r>
      <rPr>
        <b/>
        <sz val="12"/>
        <color rgb="FFFF0000"/>
        <rFont val="Calibri"/>
        <family val="2"/>
        <scheme val="minor"/>
      </rPr>
      <t>elective day case activity</t>
    </r>
    <r>
      <rPr>
        <sz val="12"/>
        <rFont val="Calibri"/>
        <family val="2"/>
        <scheme val="minor"/>
      </rPr>
      <t>, please exclude:
• any flagged procedures such as diagnostic endoscopies, outpatient procedures and uncoded spells.
• mental health specialties (any treatment function code beginning with a 7)</t>
    </r>
  </si>
  <si>
    <r>
      <t xml:space="preserve">For </t>
    </r>
    <r>
      <rPr>
        <b/>
        <sz val="12"/>
        <color rgb="FFFF0000"/>
        <rFont val="Calibri"/>
        <family val="2"/>
        <scheme val="minor"/>
      </rPr>
      <t>outpatient</t>
    </r>
    <r>
      <rPr>
        <sz val="12"/>
        <color theme="1"/>
        <rFont val="Calibri"/>
        <family val="2"/>
        <scheme val="minor"/>
      </rPr>
      <t xml:space="preserve"> </t>
    </r>
    <r>
      <rPr>
        <b/>
        <sz val="12"/>
        <color rgb="FFFF0000"/>
        <rFont val="Calibri"/>
        <family val="2"/>
        <scheme val="minor"/>
      </rPr>
      <t>activity</t>
    </r>
    <r>
      <rPr>
        <sz val="12"/>
        <rFont val="Calibri"/>
        <family val="2"/>
        <scheme val="minor"/>
      </rPr>
      <t>, please include all specialties.</t>
    </r>
  </si>
  <si>
    <t>Plan 2024/25</t>
  </si>
  <si>
    <t>Summary</t>
  </si>
  <si>
    <t>Plan</t>
  </si>
  <si>
    <t>CT</t>
  </si>
  <si>
    <t>Finance Recovery Group</t>
  </si>
  <si>
    <t>Cost driver planning data collected</t>
  </si>
  <si>
    <t>Is there any other thematic data the groups want to focus on?</t>
  </si>
  <si>
    <t>1. Workforce</t>
  </si>
  <si>
    <t>Core Workforce WTE</t>
  </si>
  <si>
    <t>Variable Workforce WTE (indicative)</t>
  </si>
  <si>
    <t>Variable Workforce Cost</t>
  </si>
  <si>
    <t>Agency WTE (indicative)</t>
  </si>
  <si>
    <t>Agency Cost</t>
  </si>
  <si>
    <t>Sickness absence rate (average)</t>
  </si>
  <si>
    <t>Workforce turnover</t>
  </si>
  <si>
    <t>2. Medicines Management</t>
  </si>
  <si>
    <t>Prescriptions per prescribing days?</t>
  </si>
  <si>
    <t>3. Non-pay and Procurement</t>
  </si>
  <si>
    <t>Estates GIA?</t>
  </si>
  <si>
    <t>Medical consumables per month?</t>
  </si>
  <si>
    <t>4. CHC</t>
  </si>
  <si>
    <t>CHC and Patient Numbers</t>
  </si>
  <si>
    <t>5. Pathways</t>
  </si>
  <si>
    <t>Core Bed Numbers (Available beds)</t>
  </si>
  <si>
    <t>In patient Activity - Elective Admissions</t>
  </si>
  <si>
    <t>In patient Activity - Emergency</t>
  </si>
  <si>
    <t>Day Case Activity</t>
  </si>
  <si>
    <t>Outpatient Appointments</t>
  </si>
  <si>
    <t>A&amp;E / MIU Attendance</t>
  </si>
  <si>
    <t>Appointments missed due to DNAs</t>
  </si>
  <si>
    <t>New negligence cases (forward look) / Negligence Cases cash settlement costs (backward look)</t>
  </si>
  <si>
    <t>FULL YEAR 1</t>
  </si>
  <si>
    <t>FULL YEAR 2</t>
  </si>
  <si>
    <t>FULL YEAR 3</t>
  </si>
  <si>
    <t>Notes</t>
  </si>
  <si>
    <t>IN YEAR EFFECT YR1</t>
  </si>
  <si>
    <t>FYE OF RECURRING YR1</t>
  </si>
  <si>
    <t>Total value Opportunity £'m</t>
  </si>
  <si>
    <t>2024/25 ambition £'m</t>
  </si>
  <si>
    <t>2025/26 ambition £'m</t>
  </si>
  <si>
    <t>IN YEAR EFFECT YR2</t>
  </si>
  <si>
    <t>FYE OF RECURRING YR2</t>
  </si>
  <si>
    <t>IN YEAR EFFECT YR3</t>
  </si>
  <si>
    <t>Income</t>
  </si>
  <si>
    <t>Expenditure</t>
  </si>
  <si>
    <t>Pay Spend Assumptions</t>
  </si>
  <si>
    <t>F3 ULD cal</t>
  </si>
  <si>
    <t>F4 Funding Assumptions</t>
  </si>
  <si>
    <t>F5 Cost Pressures</t>
  </si>
  <si>
    <t>PAY</t>
  </si>
  <si>
    <t>NON PAY</t>
  </si>
  <si>
    <t>PRIMARY CARE DRUGS</t>
  </si>
  <si>
    <t>SECONDARY CARE DRUGS</t>
  </si>
  <si>
    <t>CHC/FNC</t>
  </si>
  <si>
    <t>PRIMARY CARE CONTRACTOR</t>
  </si>
  <si>
    <t>HEALTHCARE SERVICES PROVIDED BY OTHER NHS BODIES</t>
  </si>
  <si>
    <t>NON HEALTHCARE SERVICES PROVIDED BY OTHER NHS BODIES</t>
  </si>
  <si>
    <t>OTHER PRIVATE &amp; VOLUNTARY</t>
  </si>
  <si>
    <t>JOINT FINANCING &amp; OTHER</t>
  </si>
  <si>
    <t>AME and Other Non Cash</t>
  </si>
  <si>
    <t>F8 Pay Split</t>
  </si>
  <si>
    <t>F9 Project Profile</t>
  </si>
  <si>
    <t>F11 Risks &amp; Opportunities</t>
  </si>
  <si>
    <t>RISKS</t>
  </si>
  <si>
    <t>OPPORTUNITIES</t>
  </si>
  <si>
    <t>RISK &amp; OPP. SUMMARY</t>
  </si>
  <si>
    <t>Year 2024/25</t>
  </si>
  <si>
    <t>Year 2025/26</t>
  </si>
  <si>
    <t>Year 2026/27</t>
  </si>
  <si>
    <t>MOVEMENT OF OPENING FINANCIAL PLAN TO FORECAST OUTTURN</t>
  </si>
  <si>
    <t>In Year Effect</t>
  </si>
  <si>
    <t>FYE of Recurring</t>
  </si>
  <si>
    <t>£'000</t>
  </si>
  <si>
    <t>2023/24 Forecast</t>
  </si>
  <si>
    <t>Adjustments</t>
  </si>
  <si>
    <t>Total: B/F ULD from Previous Year</t>
  </si>
  <si>
    <t>Income Assumptions</t>
  </si>
  <si>
    <t>Allocation Letter Revenue Funding Uplift / (Reduction)</t>
  </si>
  <si>
    <t>WG RRL / WG Income Uplift / (Reduction)</t>
  </si>
  <si>
    <t>Other Income Uplift / (Reduction)</t>
  </si>
  <si>
    <t>Total Revenue Uplift / (Reduction)</t>
  </si>
  <si>
    <t>Cost Pressures (Populated from F5 - Cost Pressures)</t>
  </si>
  <si>
    <t>Macro Economic Inflation</t>
  </si>
  <si>
    <t>Pay award</t>
  </si>
  <si>
    <t>Contractual or unavoidable</t>
  </si>
  <si>
    <t>National Investment Decisions</t>
  </si>
  <si>
    <t>Local Investment Decisions</t>
  </si>
  <si>
    <t>Ringfence Funded</t>
  </si>
  <si>
    <t>AME &amp; Non-Cash Depreciation</t>
  </si>
  <si>
    <t>Total Cost Pressures</t>
  </si>
  <si>
    <t>Pressure before savings applied</t>
  </si>
  <si>
    <t>Savings (Populated from Savings Tracker)</t>
  </si>
  <si>
    <t>Saving Schemes (Green and Amber)</t>
  </si>
  <si>
    <t>Saving Schemes (Red)</t>
  </si>
  <si>
    <t>Pipeline and Planning Assumptions</t>
  </si>
  <si>
    <t>Net Income Generation (Profit Element Only)</t>
  </si>
  <si>
    <t>Non-Saving Cost Reduction</t>
  </si>
  <si>
    <t>Total Savings</t>
  </si>
  <si>
    <t>Net Revenue Financial Plan</t>
  </si>
  <si>
    <t>Submission Period</t>
  </si>
  <si>
    <t>Org</t>
  </si>
  <si>
    <t>Line_item</t>
  </si>
  <si>
    <t>Description_1</t>
  </si>
  <si>
    <t>SubCalDate</t>
  </si>
  <si>
    <t>Value</t>
  </si>
  <si>
    <t>Month_Name</t>
  </si>
  <si>
    <t>Sum of Value</t>
  </si>
  <si>
    <t>Provided Services - Pay</t>
  </si>
  <si>
    <t>Total_MMR</t>
  </si>
  <si>
    <t>AME Donated Depreciation\Impairments</t>
  </si>
  <si>
    <t>Capital Donation / Government Grant Income (Health Board only)</t>
  </si>
  <si>
    <t>Continuing Care and Funded Nursing Care</t>
  </si>
  <si>
    <t>Cost - Total</t>
  </si>
  <si>
    <t>DEL Depreciation\Accelerated Depreciation\Impairments</t>
  </si>
  <si>
    <t>Exceptional (Income) / Costs - (Trust Only)</t>
  </si>
  <si>
    <t>Healthcare Services Provided by Other NHS Bodies</t>
  </si>
  <si>
    <t>Income Total</t>
  </si>
  <si>
    <t xml:space="preserve">Joint Financing and Other </t>
  </si>
  <si>
    <t xml:space="preserve">Losses, Special Payments and Irrecoverable Debts </t>
  </si>
  <si>
    <t>Provider Services - Non Pay (excluding drugs &amp; depreciation)</t>
  </si>
  <si>
    <t>Net surplus/ (deficit)</t>
  </si>
  <si>
    <t>Non Healthcare Services Provided by Other NHS Bodies</t>
  </si>
  <si>
    <t>Other Income</t>
  </si>
  <si>
    <t>Other Private &amp; Voluntary Sector</t>
  </si>
  <si>
    <t>Primary Care - Drugs &amp; Appliances</t>
  </si>
  <si>
    <t>Primary Care Contractor (excluding drugs, including non resource limited expenditure)</t>
  </si>
  <si>
    <t>Profit\Loss Disposal of Assets</t>
  </si>
  <si>
    <t>Revenue Resource Limit</t>
  </si>
  <si>
    <t>Secondary Care - Drugs</t>
  </si>
  <si>
    <t>Total Interest Payable - (Trust Only)</t>
  </si>
  <si>
    <t>Total Interest Receivable - (Trust Only)</t>
  </si>
  <si>
    <t>Uncommitted Reserves &amp; Contingencies</t>
  </si>
  <si>
    <t>Welsh Government Income (Non RRL)</t>
  </si>
  <si>
    <t>Welsh NHS Local Health Boards &amp; Trusts Income</t>
  </si>
  <si>
    <t>WHSSC Income</t>
  </si>
  <si>
    <t>WHSSC</t>
  </si>
  <si>
    <t>Description_2</t>
  </si>
  <si>
    <t>TOTAL PAY EXPENDITURE</t>
  </si>
  <si>
    <t>TOTAL AGENCY/LOCUM (PREMIUM) EXPENDITURE</t>
  </si>
  <si>
    <t>NET EXPENDITURE PROFILE ANALYSIS</t>
  </si>
  <si>
    <t>MMR Basis Submission Period</t>
  </si>
  <si>
    <t>Current Year (2023/24 Profile)</t>
  </si>
  <si>
    <t>2024/25 PLAN PROFILE</t>
  </si>
  <si>
    <t>2025/26 PLAN PROFILE</t>
  </si>
  <si>
    <t>Forecast 2023/24</t>
  </si>
  <si>
    <t>PLAN YEAR-END POSITION 2024/25</t>
  </si>
  <si>
    <t>PLAN YEAR-END POSITION 2025/26</t>
  </si>
  <si>
    <t>PLAN YEAR-END POSITION 2026/27</t>
  </si>
  <si>
    <t>SUMMARISED STATEMENT OF COMPREHENSIVE NET EXPENDITURE/INCOME</t>
  </si>
  <si>
    <t>SUB TOTAL INCOME</t>
  </si>
  <si>
    <t>SUB TOTAL EXPENDITURE</t>
  </si>
  <si>
    <t>TOTAL DEFICIT/SURPLUS</t>
  </si>
  <si>
    <t>Pay Spend Profile</t>
  </si>
  <si>
    <t>TOTAL VARIABLE PAY</t>
  </si>
  <si>
    <t>TOTAL AGENCY/LOCUM</t>
  </si>
  <si>
    <t>TOTAL PAY IN OTHER SPEND LINES (inc. PRIMARY CARE)</t>
  </si>
  <si>
    <t>TOTAL PAY in net expenditure analysis</t>
  </si>
  <si>
    <t>Underlying Deficit Calculation</t>
  </si>
  <si>
    <t>Underlying Deficit Split</t>
  </si>
  <si>
    <t>Forecast Financial Surplus / (Deficit) 2023/24</t>
  </si>
  <si>
    <t>Department or Division name</t>
  </si>
  <si>
    <t>ULD £'000</t>
  </si>
  <si>
    <t>Scheduled Care</t>
  </si>
  <si>
    <t>Adjustment Description</t>
  </si>
  <si>
    <t>Unscheduled Care</t>
  </si>
  <si>
    <t>Shortfall to Achieve Recurrent £17m Run Rate Reduction</t>
  </si>
  <si>
    <t>Full Year Effect of savings and mitigations</t>
  </si>
  <si>
    <t>Mental Health</t>
  </si>
  <si>
    <t>Savings - prior year recurring gap against £32.2m 2023/2024 Target</t>
  </si>
  <si>
    <t>Community Services</t>
  </si>
  <si>
    <t>Unavoidable B/F Underlying Pressures 23/24</t>
  </si>
  <si>
    <t>Primary Care</t>
  </si>
  <si>
    <t>Continuing Health Care</t>
  </si>
  <si>
    <t>Specialised Services</t>
  </si>
  <si>
    <t>Commissioned Services - Other</t>
  </si>
  <si>
    <t>Clinical Support Services</t>
  </si>
  <si>
    <t>Non-Clinical Support Services</t>
  </si>
  <si>
    <t>Executive / Corporate Areas</t>
  </si>
  <si>
    <t>ULD</t>
  </si>
  <si>
    <t>Subtotal Adjustments</t>
  </si>
  <si>
    <t>Underlying Surplus / (Deficit) brought forwards from 2023/24</t>
  </si>
  <si>
    <t>REVENUE RESOURCE LIMIT ASSUMPTIONS (HB/SHA)/INCOME (TRUST) ASSUMPTIONS</t>
  </si>
  <si>
    <t>2024/25 Total Plan</t>
  </si>
  <si>
    <t>2024/25 In Year Uplift</t>
  </si>
  <si>
    <t>2024/25 FYE Uplift</t>
  </si>
  <si>
    <t>Allocation Letter Revenue Funding</t>
  </si>
  <si>
    <t>Recurrent HCHS and Prescribing Discretionary Allocation (Allocation Letter Table A)</t>
  </si>
  <si>
    <t>Protected and Ring Fenced Revenue Allocations (Allocation Letter Table B1)</t>
  </si>
  <si>
    <t>Directed Expenditure (Allocation Letter Table B2)</t>
  </si>
  <si>
    <t>GMS Contract (Allocation Letter Table C)</t>
  </si>
  <si>
    <t>Pharmacy Contract Funding (Allocation Letter Table E)</t>
  </si>
  <si>
    <t>Dental Contract  (Allocation Letter Table F)</t>
  </si>
  <si>
    <t>Other (please outline)</t>
  </si>
  <si>
    <t>Total WG AGREED REVENUE RESOURCE LIMIT /INCOME as per allocation paper</t>
  </si>
  <si>
    <t>OTHER WG REVENUE FUNDING ASSUMPTION</t>
  </si>
  <si>
    <t>Real Living Wage (2022/23 and 2023/24)</t>
  </si>
  <si>
    <t>Real Living Wage (2024/25)</t>
  </si>
  <si>
    <t>Regional Integration Fund</t>
  </si>
  <si>
    <t>Substance Misuse</t>
  </si>
  <si>
    <t>Same Day Emergency Care (SDEC)</t>
  </si>
  <si>
    <t>Mental Health SIF</t>
  </si>
  <si>
    <t>Clinical Excellence awards</t>
  </si>
  <si>
    <t>IM&amp;T Refresh Programme</t>
  </si>
  <si>
    <t>Welsh Risk Pool</t>
  </si>
  <si>
    <t>Calman SpR</t>
  </si>
  <si>
    <t>Population Health - AHW:Prevention &amp; Early Years allocation</t>
  </si>
  <si>
    <t>CAMHS In Reach Funding / Whole School Approach to EMW Funding</t>
  </si>
  <si>
    <t>Memory Assessment Service</t>
  </si>
  <si>
    <t>DPIF</t>
  </si>
  <si>
    <t>Planned Care</t>
  </si>
  <si>
    <t>Invest to Save</t>
  </si>
  <si>
    <t>VBhC in-year bids</t>
  </si>
  <si>
    <t>New M&amp;D Training Posts</t>
  </si>
  <si>
    <t>Vaccination Programme (Shingles)</t>
  </si>
  <si>
    <t>Genomics</t>
  </si>
  <si>
    <t>Advanced Medicinal Products (ATMP)</t>
  </si>
  <si>
    <t>SUB TOTAL</t>
  </si>
  <si>
    <t>Other Funding and Income</t>
  </si>
  <si>
    <t>Capital Donation / Government Grant Income (not already included above)</t>
  </si>
  <si>
    <t>NET COST BASE/PRESSURES &amp; INVESTMENTS</t>
  </si>
  <si>
    <t>Cost Pressure Category</t>
  </si>
  <si>
    <t>Service Area</t>
  </si>
  <si>
    <t>Pay</t>
  </si>
  <si>
    <t>Non Pay</t>
  </si>
  <si>
    <t>Primary Care Drugs</t>
  </si>
  <si>
    <t>Secondary Care Drugs</t>
  </si>
  <si>
    <t>Primary Care Contractor</t>
  </si>
  <si>
    <t>Healthcare Services Provided by other NHS Bodies</t>
  </si>
  <si>
    <t>Non Healthcare Services Provided by other NHS Bodies</t>
  </si>
  <si>
    <t>Joint Financing &amp; Other</t>
  </si>
  <si>
    <t>FYE</t>
  </si>
  <si>
    <t>Title</t>
  </si>
  <si>
    <t>General Inflation</t>
  </si>
  <si>
    <t>7. Non Clinical Support</t>
  </si>
  <si>
    <t xml:space="preserve">Real Living Wage </t>
  </si>
  <si>
    <t>8. Across Service Areas</t>
  </si>
  <si>
    <t>NICE &amp; New High Cost Drugs</t>
  </si>
  <si>
    <t>1. Secondary Care (In-house) - General</t>
  </si>
  <si>
    <t xml:space="preserve">Commissioned Services - Specialist Services </t>
  </si>
  <si>
    <t>4. Commissioned Activity (inc. CHC)</t>
  </si>
  <si>
    <t>Microsoft Licence additional contribution</t>
  </si>
  <si>
    <t>3. Community Care</t>
  </si>
  <si>
    <t>DHCW Citrix Changes</t>
  </si>
  <si>
    <t>DHCW SLA Changes (exc MS365/Citrix/LINC)</t>
  </si>
  <si>
    <t>NWSSP Workforce Systems</t>
  </si>
  <si>
    <t>NWSSP Transactional Costs</t>
  </si>
  <si>
    <t>NWSSP WRP additional contribution</t>
  </si>
  <si>
    <t>NWSSP Scan4Ssafety Recharge</t>
  </si>
  <si>
    <t>ICNET PHW System</t>
  </si>
  <si>
    <t>LINC</t>
  </si>
  <si>
    <t>RISP</t>
  </si>
  <si>
    <t>Cell Path New Digital System</t>
  </si>
  <si>
    <t>E-Prescribing</t>
  </si>
  <si>
    <t>General Non Pay Inflation</t>
  </si>
  <si>
    <t>GP Prescribing</t>
  </si>
  <si>
    <t>NICE inflation</t>
  </si>
  <si>
    <t>Secondary Care Drugs (2nd Care Tab Allocation Workings File)</t>
  </si>
  <si>
    <t xml:space="preserve">PCT (CHC &amp; FNC) </t>
  </si>
  <si>
    <t>MHLD (CHC)</t>
  </si>
  <si>
    <t>External Providers – WHSSC @ 3.67%</t>
  </si>
  <si>
    <t>External Providers – EASC @ 3.67%</t>
  </si>
  <si>
    <t xml:space="preserve">NICE drugs growth </t>
  </si>
  <si>
    <t xml:space="preserve">MH Packages of Care </t>
  </si>
  <si>
    <t>External Providers – WHSSC new developments</t>
  </si>
  <si>
    <t>External Providers – EASC new developments</t>
  </si>
  <si>
    <t>TTP</t>
  </si>
  <si>
    <t>Mass Vac</t>
  </si>
  <si>
    <t>PPE (PPE Tab Allocation Working File)</t>
  </si>
  <si>
    <t>Energy/fuel increases (See Energy Tab Allocation Working File for note)</t>
  </si>
  <si>
    <t>NWSSP Laundry Recharge</t>
  </si>
  <si>
    <t>Real Living Wage - Care Homes and Dom Care 2022/23</t>
  </si>
  <si>
    <t>Real Living Wage - Care Homes and Dom Care 2023/24</t>
  </si>
  <si>
    <t>MMR</t>
  </si>
  <si>
    <t>Division</t>
  </si>
  <si>
    <t>Business Unit</t>
  </si>
  <si>
    <t>Savings Scheme Number (i.e. DA1 onwards)</t>
  </si>
  <si>
    <t>Scheme / Opportunity Title</t>
  </si>
  <si>
    <t>Recurrent/ Non Recurrent</t>
  </si>
  <si>
    <t>Current Year Annual Plan £'000</t>
  </si>
  <si>
    <t>Plan FYE (Recurring Schemes only)
£'000</t>
  </si>
  <si>
    <t>Current Year  Forecast £'000</t>
  </si>
  <si>
    <t>Forecast FYE (Recurring Schemes only) £'000</t>
  </si>
  <si>
    <t>Risk of Under Delivery (Amber Schemes only)</t>
  </si>
  <si>
    <t>Scheme Identified: By Month 1 or In Year (AG only In Year)</t>
  </si>
  <si>
    <t>Scheme Start Date</t>
  </si>
  <si>
    <t>Date Scheme Expected to go Green</t>
  </si>
  <si>
    <t>Scheme RAG rating             (incl IG &amp; AG)</t>
  </si>
  <si>
    <t xml:space="preserve">Scheme Type </t>
  </si>
  <si>
    <t xml:space="preserve"> Definition</t>
  </si>
  <si>
    <r>
      <t xml:space="preserve">MMR Category - Savings &amp; AG- </t>
    </r>
    <r>
      <rPr>
        <b/>
        <i/>
        <sz val="10"/>
        <color rgb="FFFF0000"/>
        <rFont val="Calibri"/>
        <family val="2"/>
        <scheme val="minor"/>
      </rPr>
      <t>Do not complete for IG</t>
    </r>
  </si>
  <si>
    <r>
      <t xml:space="preserve">SOCNE/SOCNI Category - Savings &amp; AG- </t>
    </r>
    <r>
      <rPr>
        <b/>
        <i/>
        <sz val="10"/>
        <color rgb="FFFF0000"/>
        <rFont val="Calibri"/>
        <family val="2"/>
        <scheme val="minor"/>
      </rPr>
      <t>Do not complete for IG</t>
    </r>
  </si>
  <si>
    <t>Saving Source</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</si>
  <si>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</si>
  <si>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</si>
  <si>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</si>
  <si>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</si>
  <si>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</si>
  <si>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</si>
  <si>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</si>
  <si>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</si>
  <si>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</si>
  <si>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</si>
  <si>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</si>
  <si>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</si>
  <si>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</si>
  <si>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</si>
  <si>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</si>
  <si>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</si>
  <si>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</si>
  <si>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</si>
  <si>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</si>
  <si>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</si>
  <si>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</si>
  <si>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</si>
  <si>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</si>
  <si>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</si>
  <si>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Mar Act/For £'000</t>
  </si>
  <si>
    <t>YTD Actual Savings £'000</t>
  </si>
  <si>
    <t>Annual Forecast Savings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</si>
  <si>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</si>
  <si>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</si>
  <si>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</si>
  <si>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</si>
  <si>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</si>
  <si>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</si>
  <si>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</si>
  <si>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</si>
  <si>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</si>
  <si>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</si>
  <si>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</si>
  <si>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</si>
  <si>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</si>
  <si>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All fields to be completed if scheme has value</t>
  </si>
  <si>
    <t>Is Scheme Number Unique?</t>
  </si>
  <si>
    <t>Monitoring Return Category selected for Savings &amp; AG</t>
  </si>
  <si>
    <t>Monitoring Return Category not selected for IG</t>
  </si>
  <si>
    <t>Has date to go Green passed and still Amber</t>
  </si>
  <si>
    <t>Have plan values been completed</t>
  </si>
  <si>
    <t>Is FYE of R Schemes &gt;= In Year Forecast</t>
  </si>
  <si>
    <t>Has FYE been entered on Scheme with no In Year FC?</t>
  </si>
  <si>
    <t>Has at risk Amount been entered on Green Scheme?</t>
  </si>
  <si>
    <t>Is Risk Amount of Amber less than remaining forecast?</t>
  </si>
  <si>
    <t>Pay / Non Pay</t>
  </si>
  <si>
    <t>MDS (2023/24)</t>
  </si>
  <si>
    <t>Recurrent (R) / Non Recurrent (NR)</t>
  </si>
  <si>
    <t>Scheme RAG rating (incl. Income Generation)</t>
  </si>
  <si>
    <t>Scheme Type (Select Service Area First)</t>
  </si>
  <si>
    <r>
      <t xml:space="preserve">MMR Category - Savings only - </t>
    </r>
    <r>
      <rPr>
        <b/>
        <i/>
        <sz val="10"/>
        <color theme="0"/>
        <rFont val="Calibri"/>
        <family val="2"/>
        <scheme val="minor"/>
      </rPr>
      <t>Do not complete for IG</t>
    </r>
  </si>
  <si>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</si>
  <si>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</si>
  <si>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</si>
  <si>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</si>
  <si>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</si>
  <si>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</si>
  <si>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</si>
  <si>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</si>
  <si>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</si>
  <si>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</si>
  <si>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</si>
  <si>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</si>
  <si>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</si>
  <si>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Monitoring Return Category selected for  Savings</t>
  </si>
  <si>
    <t>Monitoring Return Category not selected for AG/IG</t>
  </si>
  <si>
    <t>Valid Start Date</t>
  </si>
  <si>
    <t>Valid Go Green Date</t>
  </si>
  <si>
    <t>MMR (2024/25)</t>
  </si>
  <si>
    <t>MDS (2024/25)</t>
  </si>
  <si>
    <t>Mitigation type</t>
  </si>
  <si>
    <t>Financial Recovery Group</t>
  </si>
  <si>
    <t>ID</t>
  </si>
  <si>
    <t>Definition</t>
  </si>
  <si>
    <t>MMR Category</t>
  </si>
  <si>
    <t>V&amp;S Board Category</t>
  </si>
  <si>
    <t>Scheme Type</t>
  </si>
  <si>
    <t>Profile is numeric?</t>
  </si>
  <si>
    <t>(Working column 1 - to hide)</t>
  </si>
  <si>
    <t>(Working column 2 - to hide)</t>
  </si>
  <si>
    <t>Errors</t>
  </si>
  <si>
    <t>Pipeline</t>
  </si>
  <si>
    <t>Pay - General &amp; Substantive</t>
  </si>
  <si>
    <t>Non-Pay</t>
  </si>
  <si>
    <t>Medicines Management (Based £26m All Wales Identiified)</t>
  </si>
  <si>
    <t>NPTS</t>
  </si>
  <si>
    <t>IMM</t>
  </si>
  <si>
    <t>R</t>
  </si>
  <si>
    <t>Saving - Cash Releasing</t>
  </si>
  <si>
    <t>Clinical Support</t>
  </si>
  <si>
    <t>2) Medicines Management</t>
  </si>
  <si>
    <t>Procurement</t>
  </si>
  <si>
    <t>All</t>
  </si>
  <si>
    <t>All Service Areas</t>
  </si>
  <si>
    <t>3) Procurement &amp; Non-pay</t>
  </si>
  <si>
    <t xml:space="preserve">Establishment Review / Recruitment </t>
  </si>
  <si>
    <t>Pay - Variable</t>
  </si>
  <si>
    <t>1) Workforce</t>
  </si>
  <si>
    <t>Opportunities as a result of AMSR linked Grant Thornton for Clinical and Non Clinical Support Costs.</t>
  </si>
  <si>
    <t>Various</t>
  </si>
  <si>
    <t>Support Services</t>
  </si>
  <si>
    <t>To reduce wastage, create pateint efficiencies</t>
  </si>
  <si>
    <t>Review of Community Services - pan HB</t>
  </si>
  <si>
    <t>Review of Digital Work Plan and Benefits Analysis</t>
  </si>
  <si>
    <t>Digital</t>
  </si>
  <si>
    <t xml:space="preserve">Digital </t>
  </si>
  <si>
    <t>Non Clinical Support</t>
  </si>
  <si>
    <t>Review of Services &amp; Efficiencies</t>
  </si>
  <si>
    <t>Pathways Developments span community, primary and hospital care.</t>
  </si>
  <si>
    <t>Income generation</t>
  </si>
  <si>
    <t>Income Generation</t>
  </si>
  <si>
    <t xml:space="preserve">Carbon Reduction schemes </t>
  </si>
  <si>
    <t>Variable Pay Review (all areas)</t>
  </si>
  <si>
    <t>None Selected</t>
  </si>
  <si>
    <t>(please select from drop down)</t>
  </si>
  <si>
    <t>Underlying Deficit Adjustments</t>
  </si>
  <si>
    <t>Cost pressures</t>
  </si>
  <si>
    <t>Spend type saving</t>
  </si>
  <si>
    <t>IFERROR</t>
  </si>
  <si>
    <t>Complexity</t>
  </si>
  <si>
    <t>AB</t>
  </si>
  <si>
    <t>Exclude non-recurrent income</t>
  </si>
  <si>
    <t>Savings01</t>
  </si>
  <si>
    <t>Savings02</t>
  </si>
  <si>
    <t>Savings03</t>
  </si>
  <si>
    <t>Savings04</t>
  </si>
  <si>
    <t>Savings05</t>
  </si>
  <si>
    <t>Savings06</t>
  </si>
  <si>
    <t>Savings07</t>
  </si>
  <si>
    <t>Savings08</t>
  </si>
  <si>
    <t>Savings09</t>
  </si>
  <si>
    <t>Savings10</t>
  </si>
  <si>
    <t>Savings11</t>
  </si>
  <si>
    <t>Savings12</t>
  </si>
  <si>
    <t>Savings13</t>
  </si>
  <si>
    <t>Savings14</t>
  </si>
  <si>
    <t>Savings15</t>
  </si>
  <si>
    <t>Savings16</t>
  </si>
  <si>
    <t>Savings17</t>
  </si>
  <si>
    <t>Savings18</t>
  </si>
  <si>
    <t>Savings19</t>
  </si>
  <si>
    <t>Savings20</t>
  </si>
  <si>
    <t>Savings21</t>
  </si>
  <si>
    <t>Savings22</t>
  </si>
  <si>
    <t>Cash-Releasing Saving</t>
  </si>
  <si>
    <t>1 - Low</t>
  </si>
  <si>
    <t>BC</t>
  </si>
  <si>
    <t>Full Year Effect of income changes</t>
  </si>
  <si>
    <t>Primary &amp; Community Care</t>
  </si>
  <si>
    <t>Saving - Cost Avoidance</t>
  </si>
  <si>
    <t>Enhanced Recruitment Controls</t>
  </si>
  <si>
    <t>Enhanced Variable Pay Controls</t>
  </si>
  <si>
    <t>Improved Agency Control Framework</t>
  </si>
  <si>
    <t>Product switching to cheaper alternatives and biosimilars</t>
  </si>
  <si>
    <t>Product rationalisation.</t>
  </si>
  <si>
    <t>Review of high-cost packages</t>
  </si>
  <si>
    <t>Internal - In House Provided Services</t>
  </si>
  <si>
    <t>Better management of primary care costs outside contractor services (e.g. GPOOH, Managed practice surplus/deficits, PCSU's)</t>
  </si>
  <si>
    <t xml:space="preserve">Bed utilisation - Improved management of elective and non-elective patient flow and clinical productivity enabling reduced beds while maintaining performance </t>
  </si>
  <si>
    <t>Administration and Management Efficiencies</t>
  </si>
  <si>
    <t>Radiology - pathways, workforce models, productivity</t>
  </si>
  <si>
    <t>Digital Developments that enable workforce efficiencies</t>
  </si>
  <si>
    <t>Vacancy and Recruitment Controls</t>
  </si>
  <si>
    <t>Income from Other NHS Wales organisations</t>
  </si>
  <si>
    <t>Cost Avoidance</t>
  </si>
  <si>
    <t>C&amp;V</t>
  </si>
  <si>
    <t>Exclude non-recurrent spend</t>
  </si>
  <si>
    <t>Optimised Workforce roles / models / teams / skill mix</t>
  </si>
  <si>
    <t xml:space="preserve">Enhanced rota management and rostering  </t>
  </si>
  <si>
    <t>Procurement efficiencies including maximising drugs rebates and loss of exclusivity</t>
  </si>
  <si>
    <t>Improved contract management - driving reduced prices and rebates.</t>
  </si>
  <si>
    <t>Repatriation of external packages to in-house provision</t>
  </si>
  <si>
    <t>External - Welsh LHBs &amp; Trusts</t>
  </si>
  <si>
    <t>Other Primary Care</t>
  </si>
  <si>
    <t>Adult acute - pathways, workforce models, productivity</t>
  </si>
  <si>
    <t>Community staff productivity</t>
  </si>
  <si>
    <t>Therapies - pathways, workforce models, productivity</t>
  </si>
  <si>
    <t>Estate and facilities - efficiency improvements</t>
  </si>
  <si>
    <t>Review Establishment Model to reduce need for Variable / Agency</t>
  </si>
  <si>
    <t>Income from Other Welsh Public Sector</t>
  </si>
  <si>
    <t>CTM</t>
  </si>
  <si>
    <t>Full Year Effect of spending decisions</t>
  </si>
  <si>
    <t>Pay - Agency</t>
  </si>
  <si>
    <t>4) CHC</t>
  </si>
  <si>
    <t>Absence management improvements</t>
  </si>
  <si>
    <t>Digital driven efficiencies such as prescribing software usage</t>
  </si>
  <si>
    <t>Maximising effective care provision and utilisation of capacity e.g., Discharge to Assess, step-down facilities, repatriations.</t>
  </si>
  <si>
    <t>External - other LHBs &amp; Trusts</t>
  </si>
  <si>
    <t>Demand Management - Reduced low value interventions</t>
  </si>
  <si>
    <t>OPMH - pathways, workforce models, productivity</t>
  </si>
  <si>
    <t>Other Community Care</t>
  </si>
  <si>
    <t>Pathology - pathways, workforce models, productivity</t>
  </si>
  <si>
    <t>Non Clinical Support - pathways, workforce models, productivity</t>
  </si>
  <si>
    <t>Recruitment activities that improve NHS workforce supply (with reduced Variable Pay requirement)</t>
  </si>
  <si>
    <t>Exclude non-recurrent savings and mitigations</t>
  </si>
  <si>
    <t>Cancer Care</t>
  </si>
  <si>
    <t>Non-Saving Running Cost Reduction</t>
  </si>
  <si>
    <t>5) Pathway</t>
  </si>
  <si>
    <t>Structural changes with planned formal employee consultations.</t>
  </si>
  <si>
    <t>Optimising medicine prescribing within clinical pathways</t>
  </si>
  <si>
    <t xml:space="preserve">Improved management of non-pay, including both traditional procurement and value based procurement </t>
  </si>
  <si>
    <t>Maximising opportunities for regional working</t>
  </si>
  <si>
    <t>Service Repatriation</t>
  </si>
  <si>
    <t>Demand Management - Enhanced Prevention</t>
  </si>
  <si>
    <t>CAMHS - pathways, workforce models, productivity</t>
  </si>
  <si>
    <t>Other Corporate directorate savings</t>
  </si>
  <si>
    <t>5 - High</t>
  </si>
  <si>
    <t>HD</t>
  </si>
  <si>
    <t>Other - Commissioning</t>
  </si>
  <si>
    <t>Voluntary Exit Scheme</t>
  </si>
  <si>
    <t>Increased use of NWSSP production unit.</t>
  </si>
  <si>
    <t>Other CHC</t>
  </si>
  <si>
    <t>Service Rationalisation &amp; Consolidation</t>
  </si>
  <si>
    <t>Demand Management - Reduced Follow up rates.</t>
  </si>
  <si>
    <t>DHCW</t>
  </si>
  <si>
    <t>Energy</t>
  </si>
  <si>
    <t>Non Clinical Support (inc. Executive / Corporate and Faciilities)</t>
  </si>
  <si>
    <t>Commissioned Services - CHC</t>
  </si>
  <si>
    <t>Commissioned Services CHC</t>
  </si>
  <si>
    <t>Other - Primary Care</t>
  </si>
  <si>
    <t>Other Variable Pay</t>
  </si>
  <si>
    <t>Other Agency</t>
  </si>
  <si>
    <t>Reduced non-necessary usage</t>
  </si>
  <si>
    <t>Other Procurement and Non-pay</t>
  </si>
  <si>
    <t>Demand Management - Initiatives to reduce Delayed Transfers of Care.</t>
  </si>
  <si>
    <t>NWSSP</t>
  </si>
  <si>
    <t>Commissioned Services - Specialised Services</t>
  </si>
  <si>
    <t>Commissioned Services Specialised Services</t>
  </si>
  <si>
    <t>Facility utilisation - Reconfiguration to rationalise service provision to reduced sites</t>
  </si>
  <si>
    <t>POW</t>
  </si>
  <si>
    <t>Across Service Areas</t>
  </si>
  <si>
    <t>Other Commissioned Services</t>
  </si>
  <si>
    <t>Other Medicines</t>
  </si>
  <si>
    <t>Other Commisioning</t>
  </si>
  <si>
    <t>Facility utilisation -Theatre utilisation and productivity</t>
  </si>
  <si>
    <t>PHW</t>
  </si>
  <si>
    <t>Healthcare Services Provided by Other Healthboards</t>
  </si>
  <si>
    <t>Facility utilisation - Virtual Wards</t>
  </si>
  <si>
    <t>SB</t>
  </si>
  <si>
    <t>Non-healthcare Services Provided by Other Healthboards</t>
  </si>
  <si>
    <t>Session utilisation improvement (e.g. reduced cancellations or DNAs)</t>
  </si>
  <si>
    <t>VEL</t>
  </si>
  <si>
    <t>Executive Corporate Areas</t>
  </si>
  <si>
    <t>Long term condition management - Improved value</t>
  </si>
  <si>
    <t>WAST</t>
  </si>
  <si>
    <t xml:space="preserve">Workforce optimisation - Ward nursing </t>
  </si>
  <si>
    <t xml:space="preserve">Workforce optimisation - Medical staff management </t>
  </si>
  <si>
    <t>EASC</t>
  </si>
  <si>
    <t>Planned care pathway optimisation</t>
  </si>
  <si>
    <t>Opportunity Pipeline</t>
  </si>
  <si>
    <t>Scope</t>
  </si>
  <si>
    <t>Programme Complexity</t>
  </si>
  <si>
    <t>UEC Improvement</t>
  </si>
  <si>
    <t>Planned Care (Delivery/Efficiency/Productivity)</t>
  </si>
  <si>
    <t>Workforce (VP, Absence, Recruitment, Skill Mixing)</t>
  </si>
  <si>
    <t>CHC</t>
  </si>
  <si>
    <t>Medicine</t>
  </si>
  <si>
    <t>Techincal (Financial Assumptions, In Year &amp; Accountancy Gains, )</t>
  </si>
  <si>
    <t xml:space="preserve">Cost Reduction/Run Rate Programme </t>
  </si>
  <si>
    <t xml:space="preserve">Transformational Change </t>
  </si>
  <si>
    <t>PAY EXPENDITURE BREAKDOWN</t>
  </si>
  <si>
    <t>FORECAST 2023/24</t>
  </si>
  <si>
    <t>SUBSTANTIVE WORKFORCE</t>
  </si>
  <si>
    <t xml:space="preserve">Additional Clinical Services </t>
  </si>
  <si>
    <t>VARIABLE PAY</t>
  </si>
  <si>
    <t xml:space="preserve">2023/24 Pay </t>
  </si>
  <si>
    <t>2024/25 Pay</t>
  </si>
  <si>
    <t>SUMMARY - TOTAL PAY</t>
  </si>
  <si>
    <t>Programme Spend Profile</t>
  </si>
  <si>
    <t>PLAN PROFILE 2024/25</t>
  </si>
  <si>
    <t>Forecast Position 2023/24</t>
  </si>
  <si>
    <t>Activity</t>
  </si>
  <si>
    <t>Learning Disabilities</t>
  </si>
  <si>
    <t>Mental Health Services</t>
  </si>
  <si>
    <t>Palliative Care/ Bereavement/ Hospice Funding</t>
  </si>
  <si>
    <t>Genomics for Precision Medicine Strategy</t>
  </si>
  <si>
    <t>Critical Care Funding</t>
  </si>
  <si>
    <t>Planned Care Recovery and Sustainability</t>
  </si>
  <si>
    <t>Value Based Recovery</t>
  </si>
  <si>
    <t>Further Faster</t>
  </si>
  <si>
    <t>Health Protection / Vaccination and PPE</t>
  </si>
  <si>
    <t>Urgent Emergency Care Allocations</t>
  </si>
  <si>
    <t>Mental Health (SIF)</t>
  </si>
  <si>
    <t>Specifically Spend Breakdowns</t>
  </si>
  <si>
    <t>Non-Pay spend - Energy</t>
  </si>
  <si>
    <t>Non-Pay spend - Clinical Services inc. Appliances and Consumables</t>
  </si>
  <si>
    <t>Non-Pay spend - IT and Digital</t>
  </si>
  <si>
    <t>Non-Pay spend - Other Estates and Facilities, Hard FM and Soft FM</t>
  </si>
  <si>
    <t>Non-Pay spend - Other</t>
  </si>
  <si>
    <t>Health Services provided by Other NHS Bodies - WHSSC costs</t>
  </si>
  <si>
    <t>Health Services provided by Other NHS Bodies - Other Welsh NHS costs</t>
  </si>
  <si>
    <t>Health Services provided by Other NHS Bodies - English NHS costs</t>
  </si>
  <si>
    <t>OVERVIEW OF RISK AND OPPORTUNITIES</t>
  </si>
  <si>
    <t>Description</t>
  </si>
  <si>
    <t>Rating (H/M/L)</t>
  </si>
  <si>
    <t>Risks (negative values): ENTER BELOW</t>
  </si>
  <si>
    <t>TOTAL RISKS</t>
  </si>
  <si>
    <t>Opportunities (positive values): ENTER BELOW</t>
  </si>
  <si>
    <t>TOTAL OPPORTUNITIES</t>
  </si>
  <si>
    <t xml:space="preserve">Current Reported Forecast Outturn </t>
  </si>
  <si>
    <t>Worst Case Risk Scenario</t>
  </si>
  <si>
    <t>Best Case Risk Scenario</t>
  </si>
  <si>
    <t>2023-24</t>
  </si>
  <si>
    <t>2024-25</t>
  </si>
  <si>
    <t>2025-26</t>
  </si>
  <si>
    <t>2026-27</t>
  </si>
  <si>
    <t>2027-28</t>
  </si>
  <si>
    <t xml:space="preserve">Further Years </t>
  </si>
  <si>
    <t>Total Remaining Spend</t>
  </si>
  <si>
    <t>NON CASH - DEL</t>
  </si>
  <si>
    <t>NON CASH - AME</t>
  </si>
  <si>
    <t>OTHER REVENUE COSTS</t>
  </si>
  <si>
    <t>NET REVENUE</t>
  </si>
  <si>
    <t>Are the revenue implications included in the financial plan (Y/N)</t>
  </si>
  <si>
    <t>Does this relate to a regional scheme? (Y/N)</t>
  </si>
  <si>
    <t>Submission Date (If Available)</t>
  </si>
  <si>
    <t xml:space="preserve">Notes </t>
  </si>
  <si>
    <t>12a Capital Data</t>
  </si>
  <si>
    <t>FIGURE</t>
  </si>
  <si>
    <t>12b Other Estates Data</t>
  </si>
  <si>
    <t>Dates</t>
  </si>
  <si>
    <t>CAPITAL DATA</t>
  </si>
  <si>
    <t>Capital Costs 2024-27</t>
  </si>
  <si>
    <t>2024-25 Revenue Implication</t>
  </si>
  <si>
    <r>
      <t xml:space="preserve">Submission Date </t>
    </r>
    <r>
      <rPr>
        <i/>
        <sz val="12"/>
        <color theme="0"/>
        <rFont val="Calibri"/>
        <family val="2"/>
        <scheme val="minor"/>
      </rPr>
      <t>(If Available)</t>
    </r>
  </si>
  <si>
    <t>REVENUE SAVINGS (Negative)</t>
  </si>
  <si>
    <t>£m</t>
  </si>
  <si>
    <t>DISCRETIONARY CAPITAL FUNDING</t>
  </si>
  <si>
    <t>Discretionary Capital funding</t>
  </si>
  <si>
    <t>DISCRETIONARY CAPITAL SPEND</t>
  </si>
  <si>
    <t>IT</t>
  </si>
  <si>
    <t>Equipment</t>
  </si>
  <si>
    <t>Statutory Compliance</t>
  </si>
  <si>
    <t>Estates</t>
  </si>
  <si>
    <t>SUB TOTAL DISCRETIONARY EXPENDITURE</t>
  </si>
  <si>
    <t xml:space="preserve"> NBV OF DISPOSALS (NEGATIVE)</t>
  </si>
  <si>
    <t>Garngoch</t>
  </si>
  <si>
    <t>Morriston</t>
  </si>
  <si>
    <t>Phillips Parade</t>
  </si>
  <si>
    <t>SUB TOTAL CAPITAL RECEIPTS</t>
  </si>
  <si>
    <t>CAPITAL IMPACT OF IFRS 16</t>
  </si>
  <si>
    <t>Property Lease Renewals</t>
  </si>
  <si>
    <t xml:space="preserve">Other Lease Renewals </t>
  </si>
  <si>
    <t xml:space="preserve">PFI impacts </t>
  </si>
  <si>
    <t>New Leases ( please list by scheme)</t>
  </si>
  <si>
    <t>TOTAL CAPITAL IMPACT OF IFRS 16</t>
  </si>
  <si>
    <t>APPROVED SCHEMES (AWCP)</t>
  </si>
  <si>
    <t>Insert scheme name and forecast spend for schemes approved under the All Wales Capital Programme</t>
  </si>
  <si>
    <t>EFAB (Infrastructure)</t>
  </si>
  <si>
    <t>EFAB - Fire</t>
  </si>
  <si>
    <t>EFAB - Decarbonisation</t>
  </si>
  <si>
    <t>Burns Unit and Critical Care Expansion, Morriston Hospital</t>
  </si>
  <si>
    <t>Diagnostic Equipment</t>
  </si>
  <si>
    <t>Replacement of Cath Lab A, Morriston Hospital</t>
  </si>
  <si>
    <t>TOTAL APPROVED SCHEMES</t>
  </si>
  <si>
    <t>UNAPPROVED SCHEMES</t>
  </si>
  <si>
    <t>TOTAL UNAPPROVED SCHEMES</t>
  </si>
  <si>
    <t>OTHER ESTATES DATA</t>
  </si>
  <si>
    <t xml:space="preserve">Date of Last Estates Condition Survey </t>
  </si>
  <si>
    <t>6 facet survery completed.</t>
  </si>
  <si>
    <t xml:space="preserve">Date of Last Review of Estates Strategy </t>
  </si>
  <si>
    <t>May 2023 - Estates Strategy approved by Health Board. Further work to be undertaken during 2044-25 on Primary Care and Mental Health &amp; Learning Disabilities.</t>
  </si>
  <si>
    <t>2023-24- as per EFPMS</t>
  </si>
  <si>
    <t>2024-25 - Plan</t>
  </si>
  <si>
    <t>KEY PERFORMANCE INDICATORS</t>
  </si>
  <si>
    <t>High Risk Backlog Maintenance</t>
  </si>
  <si>
    <t>%</t>
  </si>
  <si>
    <t>Physical Condition: % in Category B or above</t>
  </si>
  <si>
    <t>Statutory, Safety &amp; Compliance: % in Category B or above</t>
  </si>
  <si>
    <t>Fire Safety Compliance : % in Category B or above</t>
  </si>
  <si>
    <t>Functional Suitability: % in Category B or above</t>
  </si>
  <si>
    <t>Space Utilisation: % in Category F or above</t>
  </si>
  <si>
    <t>Energy Performance: % with Energy B or better</t>
  </si>
  <si>
    <t>83 CO2 per M2</t>
  </si>
  <si>
    <t>SPEND TRAJECTORIES (Adjusted to remove Additional M12 Pension Contribution)</t>
  </si>
  <si>
    <t>Selected Organisation - from front page</t>
  </si>
  <si>
    <t>Sep-23</t>
  </si>
  <si>
    <t>Oct-23</t>
  </si>
  <si>
    <t>Nov-23</t>
  </si>
  <si>
    <t>Dec-23</t>
  </si>
  <si>
    <t>Jan-24</t>
  </si>
  <si>
    <t>Feb-24</t>
  </si>
  <si>
    <t>Mar-24</t>
  </si>
  <si>
    <t>Apr-24</t>
  </si>
  <si>
    <t>May-24</t>
  </si>
  <si>
    <t>Jun-24</t>
  </si>
  <si>
    <t>Jul-24</t>
  </si>
  <si>
    <t>Aug-24</t>
  </si>
  <si>
    <t>Sep-24</t>
  </si>
  <si>
    <t>Oct-24</t>
  </si>
  <si>
    <t>Nov-24</t>
  </si>
  <si>
    <t>Dec-24</t>
  </si>
  <si>
    <t>Jan-25</t>
  </si>
  <si>
    <t>Feb-25</t>
  </si>
  <si>
    <t>Mar-25</t>
  </si>
  <si>
    <t>Remove M12 Pension adjustment</t>
  </si>
  <si>
    <t>Income (exc. M12 Pension adj)</t>
  </si>
  <si>
    <t>Pay (exc. M12 Pension adj)</t>
  </si>
  <si>
    <t>Reconciling 2023/24 Forecast Outturn to 2024/25 Plan</t>
  </si>
  <si>
    <t>Movement in Funding compared to 2023/24</t>
  </si>
  <si>
    <t xml:space="preserve"> ANALYSIS of Funding Movement £'000</t>
  </si>
  <si>
    <t>In year funding uplift</t>
  </si>
  <si>
    <t>Savings</t>
  </si>
  <si>
    <t>Underlying deficit adjustment</t>
  </si>
  <si>
    <t>Other (Balancing Figure)</t>
  </si>
  <si>
    <t>Income and Funding</t>
  </si>
  <si>
    <t xml:space="preserve"> ANALYSIS of Funding Movement %</t>
  </si>
  <si>
    <t xml:space="preserve">Underlying deficit adjustment </t>
  </si>
  <si>
    <t>Total Movement</t>
  </si>
  <si>
    <t>Movement in Expenditure compared to 2023/24</t>
  </si>
  <si>
    <t xml:space="preserve"> ANALYSIS of Expenditure Movement £'000</t>
  </si>
  <si>
    <t>New cost pressures</t>
  </si>
  <si>
    <t>Savings (inc. Pipeline)</t>
  </si>
  <si>
    <t>Total Expenditure</t>
  </si>
  <si>
    <t xml:space="preserve"> ANALYSIS of Expenditure Movement %</t>
  </si>
  <si>
    <t>Movement in Expenditure by Spend Type compared to 2023/24</t>
  </si>
  <si>
    <t>ULD &amp; Other (Balancing Figure)</t>
  </si>
  <si>
    <t>Total (Exc. AME, Non-Cash Del and other special costs)</t>
  </si>
  <si>
    <t>Breakdown of Cost Pressures by Spend Type</t>
  </si>
  <si>
    <t>Cost Pressures by Category £'000</t>
  </si>
  <si>
    <t>Cost Pressures by Spend Type £'000</t>
  </si>
  <si>
    <t>AME, Non-Cash Del and other special costs</t>
  </si>
  <si>
    <t>Breakdown of Cost Pressures by Service Area / Policy Area</t>
  </si>
  <si>
    <t>Cost Pressures £'000</t>
  </si>
  <si>
    <t>1.1 Secondary Care (In-house) - Planned Care</t>
  </si>
  <si>
    <t>1.2 Secondary Care (In-house) - Unscheduled Care and Emergency Care</t>
  </si>
  <si>
    <t>1.3 Secondary Care (In-house) - Cancer Care specific</t>
  </si>
  <si>
    <t>2. Primary Care</t>
  </si>
  <si>
    <t>5. Mental Health</t>
  </si>
  <si>
    <t>6. Clinical Support</t>
  </si>
  <si>
    <t>Cost Pressures by Category</t>
  </si>
  <si>
    <t>Total Cost Pressure</t>
  </si>
  <si>
    <t>Subtotal before AME, Non-Cash Del and other specialities</t>
  </si>
  <si>
    <t>Cost Pressures as a % of 2023/24</t>
  </si>
  <si>
    <t>Average Cost Pressure</t>
  </si>
  <si>
    <t>Total excluding AME, Non-Cash Del and other specialities</t>
  </si>
  <si>
    <t>Mitigations Summaries</t>
  </si>
  <si>
    <t>Non Clinical Support (Facilities/Estates/Corporate)</t>
  </si>
  <si>
    <t>Outpatient productivity - in the room (e.g. from reduced DNA's, improved session utilisation, improved booking, lower clinic cancellations)</t>
  </si>
  <si>
    <t>Savings - Recurrent &amp; Non Recurrent Split</t>
  </si>
  <si>
    <t>NON RECURRING</t>
  </si>
  <si>
    <t>RECURRING</t>
  </si>
  <si>
    <t>IN YEAR</t>
  </si>
  <si>
    <t>FYE OF RECURRING</t>
  </si>
  <si>
    <t>Commissioning</t>
  </si>
  <si>
    <t>Outpatient pathways - reduced follow up rate</t>
  </si>
  <si>
    <t>£'000 (All Positive Entries)</t>
  </si>
  <si>
    <t xml:space="preserve">Referral criteria/thresholds reducing inappropriate or low value referral demand </t>
  </si>
  <si>
    <t>OTHER PRIVATE &amp; VOLUNTARY SECTOR</t>
  </si>
  <si>
    <t>Green Saving Schemes</t>
  </si>
  <si>
    <t>Patient care administration</t>
  </si>
  <si>
    <t>JOINT FINANCING AND OTHER</t>
  </si>
  <si>
    <t>Amber Saving Schemes</t>
  </si>
  <si>
    <t>Red Rated Saving Schemes</t>
  </si>
  <si>
    <t>Prescribing</t>
  </si>
  <si>
    <t>Planned care pathway optimisation specifically in specialties coming within the National Planned Care Programme</t>
  </si>
  <si>
    <t>Medicines Management (Secondary Care)</t>
  </si>
  <si>
    <t>Net Income Generation (Profit Element Only) (Populated from sheet F6 - Savings Tracker)</t>
  </si>
  <si>
    <t>Savings (exc. Pipeline) - By Spend Type</t>
  </si>
  <si>
    <t>Savings (exc. Pipeline by V&amp;S Area)</t>
  </si>
  <si>
    <t>Savings Forecast Profile</t>
  </si>
  <si>
    <t>Capital Summary</t>
  </si>
  <si>
    <t>Summary Capital</t>
  </si>
  <si>
    <t>Discretionary</t>
  </si>
  <si>
    <t>Disposal Capital Receipts (Negative)</t>
  </si>
  <si>
    <t>Approved</t>
  </si>
  <si>
    <t>Unapproved</t>
  </si>
  <si>
    <t>IFRS16</t>
  </si>
  <si>
    <t>Total Capital Spend</t>
  </si>
  <si>
    <t>Impact of Capital on Other spend 2024/25</t>
  </si>
  <si>
    <t>Non-Cash DEL</t>
  </si>
  <si>
    <t>Non-Cash AME</t>
  </si>
  <si>
    <t>Other Revenue Costs</t>
  </si>
  <si>
    <t>Revenue Savings</t>
  </si>
  <si>
    <t>Discretionary and Disposals</t>
  </si>
  <si>
    <t>Total Non-Cash DEL Impact</t>
  </si>
  <si>
    <t>Staff Group</t>
  </si>
  <si>
    <t>Data Tables</t>
  </si>
  <si>
    <t>Substantive Staff in Post</t>
  </si>
  <si>
    <t>Deployment Approach</t>
  </si>
  <si>
    <t>Month</t>
  </si>
  <si>
    <t>Staff in Post</t>
  </si>
  <si>
    <t>Mar 2023</t>
  </si>
  <si>
    <t>Mar 2024</t>
  </si>
  <si>
    <t>Jun 2024</t>
  </si>
  <si>
    <t>Sep 2024</t>
  </si>
  <si>
    <t>Dec 2024</t>
  </si>
  <si>
    <t>Mar 2025</t>
  </si>
  <si>
    <t>Mar 2026</t>
  </si>
  <si>
    <t>Mar 2027</t>
  </si>
  <si>
    <t>Substantive</t>
  </si>
  <si>
    <t>Variable</t>
  </si>
  <si>
    <t>Agency</t>
  </si>
  <si>
    <t>Movement in Substantive Staff WTE</t>
  </si>
  <si>
    <t>New Joiners</t>
  </si>
  <si>
    <t>Transfers In</t>
  </si>
  <si>
    <t>Staff Leaving</t>
  </si>
  <si>
    <t>Transfers Out</t>
  </si>
  <si>
    <t>Ending WTE</t>
  </si>
  <si>
    <t>Planned Pay Savings</t>
  </si>
  <si>
    <t>Planned Pay cost per substantive FTE</t>
  </si>
  <si>
    <t>Substantive Pay</t>
  </si>
  <si>
    <t xml:space="preserve">Q1 24/25 </t>
  </si>
  <si>
    <t xml:space="preserve">Q2 24/25 </t>
  </si>
  <si>
    <t xml:space="preserve">Q3 24/25 </t>
  </si>
  <si>
    <t xml:space="preserve">Q4 24/25 </t>
  </si>
  <si>
    <t>25/26</t>
  </si>
  <si>
    <t>26/27</t>
  </si>
  <si>
    <t>Average WTE</t>
  </si>
  <si>
    <t>Annualised Pay</t>
  </si>
  <si>
    <t>Substantive cost per FTE</t>
  </si>
  <si>
    <t>Planned Agency Cost and Planned Agency FTE</t>
  </si>
  <si>
    <t>Agency WTE</t>
  </si>
  <si>
    <t>Pay split</t>
  </si>
  <si>
    <t xml:space="preserve">Pay </t>
  </si>
  <si>
    <t>WTE</t>
  </si>
  <si>
    <t>TOTAL Substantive</t>
  </si>
  <si>
    <t>TOTAL Variable</t>
  </si>
  <si>
    <t>TOTAL Agency</t>
  </si>
  <si>
    <t>Available Bed Numbers</t>
  </si>
  <si>
    <t>Occupied Bed Numbers</t>
  </si>
  <si>
    <t>Planned Available Beds</t>
  </si>
  <si>
    <t>Planned Available Beds (Exc. Ringfenced)</t>
  </si>
  <si>
    <t>Planned Occupied beds</t>
  </si>
  <si>
    <t>Period</t>
  </si>
  <si>
    <t>Planned Beds Exc. Ringfenced</t>
  </si>
  <si>
    <t>Occupied Beds</t>
  </si>
  <si>
    <t>% Total Beds Occupied</t>
  </si>
  <si>
    <t>% Beds Occupied Exc. Ringfenced</t>
  </si>
  <si>
    <t>Delayed Discharges</t>
  </si>
  <si>
    <t>% Delayed Discharges</t>
  </si>
  <si>
    <t>Current Selection</t>
  </si>
  <si>
    <t>Prior Year</t>
  </si>
  <si>
    <t>Cost Pressures taken from Prior Year Submissions (missing trusts)</t>
  </si>
  <si>
    <t>Net Full Year Spend taken from Prior Year Submissions</t>
  </si>
  <si>
    <t>Org Name (Short)</t>
  </si>
  <si>
    <t>IN YEAR EFFECT</t>
  </si>
  <si>
    <t>Cat</t>
  </si>
  <si>
    <t>Submission Reference</t>
  </si>
  <si>
    <t>6.3% Pension Addition</t>
  </si>
  <si>
    <t>19/20</t>
  </si>
  <si>
    <t>20/21</t>
  </si>
  <si>
    <t>21/22</t>
  </si>
  <si>
    <t>22/23</t>
  </si>
  <si>
    <t>13 - Healthcare services - WHSSC &amp; EASC Allocations</t>
  </si>
  <si>
    <t>NHS Wales Informatics Service</t>
  </si>
  <si>
    <t>Value Based Health Care £5m</t>
  </si>
  <si>
    <t xml:space="preserve">Investment Decisions Sustainability </t>
  </si>
  <si>
    <t>UEC (TI)  Expansion of Virtual Ward from 5 – 7 Day services</t>
  </si>
  <si>
    <t>UEC (TI)  Implement Productive Wards, e.g. SAFER, CLD, D2RA</t>
  </si>
  <si>
    <t xml:space="preserve">Regional Service HPB Centralisation </t>
  </si>
  <si>
    <t xml:space="preserve">Cancer OG </t>
  </si>
  <si>
    <t>Cancer Gynae (Hysteroscopy &amp; Oncology)</t>
  </si>
  <si>
    <t>Primary Care &amp; Community Further Increase DN above £0.5m 23/24</t>
  </si>
  <si>
    <t>CYP ALN Addition Infrastructure (DoT)</t>
  </si>
  <si>
    <t>Mat/Neo Neo Safety Programme</t>
  </si>
  <si>
    <t xml:space="preserve"> Mat/Neo Transformation Above £750k BC</t>
  </si>
  <si>
    <t>Collaborative Kidney Care</t>
  </si>
  <si>
    <t>Dedicated Nurse Staffing Levels</t>
  </si>
  <si>
    <t>Digital Maternity Cymru (DMC) Programme</t>
  </si>
  <si>
    <t>Improving Lives Programme</t>
  </si>
  <si>
    <t>Learning Disability - Improving Lives Programme</t>
  </si>
  <si>
    <t>Mental Health Santuary Provision</t>
  </si>
  <si>
    <t>National Lymphoedema Network</t>
  </si>
  <si>
    <t>Neighbourhood District Nursing</t>
  </si>
  <si>
    <t>Welsh Nursing Care Record (WNCR)</t>
  </si>
  <si>
    <t>WG Other Income (Non RRL)</t>
  </si>
  <si>
    <t xml:space="preserve">Increases LTA Values </t>
  </si>
  <si>
    <t>Recurrent 2023/24 Pay Award</t>
  </si>
  <si>
    <t>Health Board wide</t>
  </si>
  <si>
    <t>Workforce</t>
  </si>
  <si>
    <t>Medicines Management</t>
  </si>
  <si>
    <t>Pathway</t>
  </si>
  <si>
    <t>NICE</t>
  </si>
  <si>
    <t>Service / Performance Pressures</t>
  </si>
  <si>
    <t>Low</t>
  </si>
  <si>
    <t>Medium</t>
  </si>
  <si>
    <t>High</t>
  </si>
  <si>
    <t>NSA MH Requirements</t>
  </si>
  <si>
    <t>ED Improvements, Morriston</t>
  </si>
  <si>
    <t>Urology OR1 Theatres, Centre of Excellence, NPT</t>
  </si>
  <si>
    <t>Imaging Replacement Programme - CT</t>
  </si>
  <si>
    <t>Environmental Modernisation / EFAB</t>
  </si>
  <si>
    <t>Imaging Replacement Programme - Fluroscopy</t>
  </si>
  <si>
    <t>2nd CT-SIM at SWWCC, Singleton (additional)</t>
  </si>
  <si>
    <t>Hybrid Vascular Theatre, Morriston</t>
  </si>
  <si>
    <t>Imaging Replacement Programme - DRs</t>
  </si>
  <si>
    <t>Imaging Replacement Programme - Mammography</t>
  </si>
  <si>
    <t>Digital Network Replacement Programme (Core, LAN &amp; Wi-Fi)</t>
  </si>
  <si>
    <t>Imaging Replacement Programme - MRI</t>
  </si>
  <si>
    <t>Morriston Access Route &amp; Enabling Infrastructure</t>
  </si>
  <si>
    <t>Thoracic, Morriston</t>
  </si>
  <si>
    <t>Regional Pathology Centre, Morriston</t>
  </si>
  <si>
    <t>Adult Acute Mental Health Unit, Cefn Coed</t>
  </si>
  <si>
    <t>Swansea Wellness Centre</t>
  </si>
  <si>
    <t>New ED, Critical Care &amp; Theatre Block + Model Ward Reconfigeration, Morriston Hospital</t>
  </si>
  <si>
    <t>Elective Modular Theatres, Centre of Excellence, Singleton Hospital</t>
  </si>
  <si>
    <t>PET-CT (Permanent), SWWCC Singleton</t>
  </si>
  <si>
    <t>Refurbishment of Burns ITU Phase 2, Morriston</t>
  </si>
  <si>
    <t>2nd MRI, Morriston (additional)</t>
  </si>
  <si>
    <t>2nd CT, Singleton (additional)</t>
  </si>
  <si>
    <t>Development of Seclusion Suites, Medium Secure Unit, Caswell Clinic, Glanrhyd</t>
  </si>
  <si>
    <t>Older Persons Mental Health Wards/Roof, Tonna</t>
  </si>
  <si>
    <t>Ward Refurbishment Programme, Singleton</t>
  </si>
  <si>
    <t>RMHSS P7 Reprovision of Mental Health Day Facilities (Westfa)</t>
  </si>
  <si>
    <t>SWWCC PBC -  5th Linacc/6th Bunker</t>
  </si>
  <si>
    <t>Cath Lab Replacement Programme</t>
  </si>
  <si>
    <t>SWWCC - Radiotherapy Replacement Programme</t>
  </si>
  <si>
    <t>Nuclear Medicine Replacement Programme - SPEC-CT</t>
  </si>
  <si>
    <t>Imaging Replacement Programme - SPEC-CT</t>
  </si>
  <si>
    <t>N</t>
  </si>
  <si>
    <t>Y</t>
  </si>
  <si>
    <t>BJC submitted Nov 23</t>
  </si>
  <si>
    <t>Morriston Infrastructure Modernisation Phase 2</t>
  </si>
  <si>
    <t>C/Fwd from 2023-24 as scheme completion delayed.</t>
  </si>
  <si>
    <t>TBC</t>
  </si>
  <si>
    <t>LD Property, Cardiff</t>
  </si>
  <si>
    <t>Medical Records Unit</t>
  </si>
  <si>
    <t>Medical Records Unit - Racking</t>
  </si>
  <si>
    <t>Modular Theatres, Sing</t>
  </si>
  <si>
    <t>Phlebotomy Hubs</t>
  </si>
  <si>
    <t>Renal Dialysis Buildings &amp; Machines - East of Swansea</t>
  </si>
  <si>
    <t>Short Stay Unit (Modular), Morriston</t>
  </si>
  <si>
    <t>Virtual Ward Base, NPT Area</t>
  </si>
  <si>
    <t>OR1 - Morriston</t>
  </si>
  <si>
    <t>OR1 - Singleton</t>
  </si>
  <si>
    <t>OR1 - NPT</t>
  </si>
  <si>
    <t>Surgical Robot</t>
  </si>
  <si>
    <t>tbc</t>
  </si>
  <si>
    <t xml:space="preserve"> - HIW Prison </t>
  </si>
  <si>
    <t xml:space="preserve"> - Potential end of funding from WG linked Pre-diabetes /ACD SPCC  Funding</t>
  </si>
  <si>
    <t xml:space="preserve"> - Loss Income for Local Authorities linked ALN </t>
  </si>
  <si>
    <t xml:space="preserve"> - NICE Diabetes Hybrid Closed Loop System – above standard NICE Growth</t>
  </si>
  <si>
    <t xml:space="preserve"> - Extension of FUJI Contract if RISP implementation is delayed</t>
  </si>
  <si>
    <t xml:space="preserve"> - LTA Contracting Arrangements </t>
  </si>
  <si>
    <t xml:space="preserve"> - Non Delivery Run Rate Reduction 2.5% Target (to 23/24 level only of £23m)</t>
  </si>
  <si>
    <t xml:space="preserve"> - Operational Run Rate Pressures above Sustainability Investments</t>
  </si>
  <si>
    <t xml:space="preserve"> - Planned Care COVID Recovery assessment (above £15.2m)</t>
  </si>
  <si>
    <t xml:space="preserve"> - Industrial Action Jnr Drs (basis 1 strike per Mth 24/25)</t>
  </si>
  <si>
    <t xml:space="preserve"> - Re-banding of A4C Band 2 to Band 3 across the organisation (championed by Trade unions)</t>
  </si>
  <si>
    <t xml:space="preserve"> - Ongoing Impact IR35 GP OOH</t>
  </si>
  <si>
    <t xml:space="preserve"> - National digital development linked Attend Anywhere system</t>
  </si>
  <si>
    <t xml:space="preserve"> - Industrial Action Consultants &amp; SAS</t>
  </si>
  <si>
    <t xml:space="preserve"> - EASC IMTP 2024/25 Unsighted</t>
  </si>
  <si>
    <t>All opportunities recorded tab F7</t>
  </si>
  <si>
    <t xml:space="preserve">At this point no opportuntities identified outside control of the HB. </t>
  </si>
  <si>
    <t>Release opportunities idnetified via Board discussions</t>
  </si>
  <si>
    <t>Green</t>
  </si>
  <si>
    <t>Red</t>
  </si>
  <si>
    <t>7. Community Services</t>
  </si>
  <si>
    <t>8. Allied Health Professionals</t>
  </si>
  <si>
    <t>9. Pathway Measures</t>
  </si>
  <si>
    <t>10. Cross Cutting Measures</t>
  </si>
  <si>
    <t xml:space="preserve">Key </t>
  </si>
  <si>
    <t>Please select organisation from front sheet</t>
  </si>
  <si>
    <t>P</t>
  </si>
  <si>
    <t>WG  Most Likely Scenario TO PLAN for Vaccination</t>
  </si>
  <si>
    <t>NP</t>
  </si>
  <si>
    <t>WG Most Likely Scenario  NOT TO PLAN for Vaccination</t>
  </si>
  <si>
    <t>A - Total COVID Vaccine Population</t>
  </si>
  <si>
    <t>Total Cohort Size</t>
  </si>
  <si>
    <t>Planning Scenario</t>
  </si>
  <si>
    <t>Eligible Cohort</t>
  </si>
  <si>
    <t>Dose</t>
  </si>
  <si>
    <t>Spring Booster</t>
  </si>
  <si>
    <t>Annual B</t>
  </si>
  <si>
    <t>Vaccine Population</t>
  </si>
  <si>
    <t>No's</t>
  </si>
  <si>
    <t>Severely Immunosuppressed</t>
  </si>
  <si>
    <t>Care home residents</t>
  </si>
  <si>
    <t>Care home workers</t>
  </si>
  <si>
    <t>80 years and older</t>
  </si>
  <si>
    <t>Frontline Health care workers</t>
  </si>
  <si>
    <t>Frontline Social care workers</t>
  </si>
  <si>
    <t>Ages 75-79</t>
  </si>
  <si>
    <t>Ages 70-74</t>
  </si>
  <si>
    <t>Clinically extremely vulnerable aged 16-69 years</t>
  </si>
  <si>
    <t>Ages 65-69</t>
  </si>
  <si>
    <t>Clinical risk groups aged 16-64 years</t>
  </si>
  <si>
    <t>Clinical risk groups aged 12-15 years</t>
  </si>
  <si>
    <t>Clinical risk groups aged 5-11 years</t>
  </si>
  <si>
    <t>Ages 60-64</t>
  </si>
  <si>
    <t>Ages 55-59</t>
  </si>
  <si>
    <t>Ages 50-54</t>
  </si>
  <si>
    <t>Ages 40-49</t>
  </si>
  <si>
    <t>Ages 30-39</t>
  </si>
  <si>
    <t xml:space="preserve">Ages 18-29 </t>
  </si>
  <si>
    <t xml:space="preserve">Ages 16-17 </t>
  </si>
  <si>
    <t>Ages 12-15</t>
  </si>
  <si>
    <t>Ages 5-11</t>
  </si>
  <si>
    <t>Total COVID Vaccine Population</t>
  </si>
  <si>
    <t>A2 - Eligible COVID Booster Vaccination</t>
  </si>
  <si>
    <t>Population Cohort</t>
  </si>
  <si>
    <t>Total COVID Vaccines planned to administer</t>
  </si>
  <si>
    <t>A3 - COVID Service Model Breakdown</t>
  </si>
  <si>
    <t>LHB Vaccination and Mobile Outreach</t>
  </si>
  <si>
    <t>GP Commissioned</t>
  </si>
  <si>
    <t>Pharmacy Commissioned</t>
  </si>
  <si>
    <t xml:space="preserve">Other </t>
  </si>
  <si>
    <t>Total of Breakdown by Service Model (Total to match Line Ref 44)</t>
  </si>
  <si>
    <t xml:space="preserve"> Calculation Check should be Zero (Difference between Line Ref 44 and 39) </t>
  </si>
  <si>
    <t>B1 - Total Flu Vaccine Population</t>
  </si>
  <si>
    <t>Annual booster</t>
  </si>
  <si>
    <t>Pre-school</t>
  </si>
  <si>
    <t>Ages 2-3</t>
  </si>
  <si>
    <t>Total Flu Vaccine Population</t>
  </si>
  <si>
    <t>B2 - Eligible Flu Vaccination</t>
  </si>
  <si>
    <t>Total Flu Vaccines planned to administer</t>
  </si>
  <si>
    <t>B3 - Flu Service Model Breakdown</t>
  </si>
  <si>
    <t>Mass Vaccination and Mobile Outreach</t>
  </si>
  <si>
    <t>School Nurses</t>
  </si>
  <si>
    <t>Occupational Health Teams</t>
  </si>
  <si>
    <t xml:space="preserve"> Calculation Check should be Zero (Difference between Line Ref 44 and 49) </t>
  </si>
  <si>
    <t>BEDPLAN - ALL SITES</t>
  </si>
  <si>
    <t>Click here for Guidance</t>
  </si>
  <si>
    <t>PLANNED AVAILABLE BEDS</t>
  </si>
  <si>
    <t>Actual as @ 31/3/2023</t>
  </si>
  <si>
    <t>Forecast as @ 31/03/2024</t>
  </si>
  <si>
    <t>Q1 Plan @ 30/6/24</t>
  </si>
  <si>
    <t>Q2 Plan @ 30/9/24</t>
  </si>
  <si>
    <t>Q3 Plan @ 31/12/24</t>
  </si>
  <si>
    <t>Q4 Plan @ 31/03/2025</t>
  </si>
  <si>
    <t>Q1 Actual 30/6/24</t>
  </si>
  <si>
    <t>Q2 Actual 30/6/24</t>
  </si>
  <si>
    <t>Q3 Actual 31/12/24</t>
  </si>
  <si>
    <t>Q4 Actual @ 31/03/2025</t>
  </si>
  <si>
    <t>NUMBER OF BEDS</t>
  </si>
  <si>
    <t>NON COVID Adult Beds in acute hospital setting</t>
  </si>
  <si>
    <t>Total adult beds which are staffed in the system, to understand core capacity- this includes scheduled and unscheduled care. Total core beds excluding trolleys and assessment areas.</t>
  </si>
  <si>
    <t>COMMUNITY HOSPITALS - NON COVID Adult Beds in a Community Setting</t>
  </si>
  <si>
    <t>Separate as out from hospital adult beds as different function to acute beds and staffing arrangements – support understanding of community care</t>
  </si>
  <si>
    <t>Mental Health Beds</t>
  </si>
  <si>
    <t>Separately counted as wouldn’t contribute to broader hospital activity. Should reflect all mental health beds in dedicated facilities/hospitals and mental health wards in acute and community hospitals.</t>
  </si>
  <si>
    <t xml:space="preserve">Critical Care: Beds in a general critical care unit </t>
  </si>
  <si>
    <t>Adult beds providing or capable of providing level 2/3 general critical care (i.e. in a general critical care unit including isolation or side rooms).</t>
  </si>
  <si>
    <t xml:space="preserve">Critical Care: Temporary critical care beds </t>
  </si>
  <si>
    <t>Temporary beds capable of providing adult level 2/3 general critical care</t>
  </si>
  <si>
    <t xml:space="preserve">Critical Care: Beds provided in a specialist critical care unit </t>
  </si>
  <si>
    <t>Adult beds providing specialist (level 2/3) critical care such as burns, cardiac, neuro; PACU (post-anaesthetic care units) (paediatric critical care beds and neo-natal cots should not be included within the SITREP return)</t>
  </si>
  <si>
    <t>RING FENCED BEDS e.g. Paediatric/ Neonatal/ Maternity Beds / Cardiac/ Burns (select from dropdown)</t>
  </si>
  <si>
    <t>Separate to be clearer on usable beds for core activity</t>
  </si>
  <si>
    <t>Paediatric</t>
  </si>
  <si>
    <t>Neonatal</t>
  </si>
  <si>
    <t>Maternity Beds</t>
  </si>
  <si>
    <t>Cardiac</t>
  </si>
  <si>
    <t>Burns</t>
  </si>
  <si>
    <t>Non designated COVID-19 hospital beds Field Hospital Sites</t>
  </si>
  <si>
    <t>SUB TOTAL of CORE Operational Beds</t>
  </si>
  <si>
    <t>Covid-19 Beds</t>
  </si>
  <si>
    <t>Bed capacity for Covid 19 assuming carve out capacity for at least first 6 months of the year</t>
  </si>
  <si>
    <t>Critical Care: Covid-19 Beds</t>
  </si>
  <si>
    <t>Total Core Bed Capacity</t>
  </si>
  <si>
    <t>Total of the above categories to show core bed capacity of organisations</t>
  </si>
  <si>
    <t>Additional Seasonal Beds</t>
  </si>
  <si>
    <t>Additional beds planned to be open for seasonal period (Winter 22/23) above core</t>
  </si>
  <si>
    <t> </t>
  </si>
  <si>
    <t>PROFILE @ END OF QUARTER</t>
  </si>
  <si>
    <t>Q1 Plan 30/6/24</t>
  </si>
  <si>
    <t>Q2 Plan 30/9/24</t>
  </si>
  <si>
    <t>Q3 Plan 31/12/24</t>
  </si>
  <si>
    <t>No OF BEDS OCCUPIED</t>
  </si>
  <si>
    <t>PATIENT DISCHARGE DELAYS</t>
  </si>
  <si>
    <t>Number of Delayed Discharges</t>
  </si>
  <si>
    <t xml:space="preserve">Number of delayed discharges from locally determined data sources* on delays.  </t>
  </si>
  <si>
    <t>Impact on available bed numbers</t>
  </si>
  <si>
    <t>Beds occupied by patients classed as delays as a percentage of total available beds</t>
  </si>
  <si>
    <t xml:space="preserve">* - We anticipate that during 2023/24 we will have implemented our Pathways of Care Delays reporting framework (POCD) to monitor and report on patient delays across all health boards.  We will communicate when this framework is operational and will work with teams to update their performance plans accordingly to utilise the POCD reporting as part of this data set. </t>
  </si>
  <si>
    <t>ACTUAL WTE</t>
  </si>
  <si>
    <t>SECTION 1) WORKFORCE PLANS - ESTABLISHMENT WTE</t>
  </si>
  <si>
    <t>WORKFORCE ESTABLISHMENT</t>
  </si>
  <si>
    <t>Board Members</t>
  </si>
  <si>
    <t>Apprentices</t>
  </si>
  <si>
    <t>SECTION 2) DEPLOYMENT PLANS - IN POST</t>
  </si>
  <si>
    <t>SUBSTANTIVE WORKFORCE (WTE IN POST)</t>
  </si>
  <si>
    <t>Medical &amp; Dental (Central Shared Service Contract)</t>
  </si>
  <si>
    <t>VARIABLE WORKFORCE (BANK AND OVERTIME)</t>
  </si>
  <si>
    <t>SUMMARY</t>
  </si>
  <si>
    <t xml:space="preserve"> WTE split 2023/24</t>
  </si>
  <si>
    <t xml:space="preserve"> WTE split 2024/25</t>
  </si>
  <si>
    <t>SECTION 3) SICKNESS &amp; STAFF TURNOVER</t>
  </si>
  <si>
    <t>% SICKNESS ABSENCE</t>
  </si>
  <si>
    <t>Staff absent per day</t>
  </si>
  <si>
    <t>All Sickness absence data</t>
  </si>
  <si>
    <t>Anticipated sickness rate Medical and Dental (%)</t>
  </si>
  <si>
    <t>Anticipated sickness rate Nursing and Midwifery (%)</t>
  </si>
  <si>
    <t>Anticipated sickness rate (All Other staff groups) (%)</t>
  </si>
  <si>
    <t>% CORE WORKFORCE TURNOVER</t>
  </si>
  <si>
    <t>WTE leaving Organisation</t>
  </si>
  <si>
    <t>CORE WORKFORCE</t>
  </si>
  <si>
    <t>SECTION 4) MOVEMENTS IN SUBSTANTIVE WTE</t>
  </si>
  <si>
    <t>Medical and Dental</t>
  </si>
  <si>
    <t>Nursing and Midwifery Registered</t>
  </si>
  <si>
    <t>Administrative and Clerical</t>
  </si>
  <si>
    <t>Planned Inflow</t>
  </si>
  <si>
    <t>Planned Outflow</t>
  </si>
  <si>
    <t>Check Variance</t>
  </si>
  <si>
    <t>DELIVERY OF ESSENTIAL SERVICES IN PRIMARY &amp; COMMUNITY CARE</t>
  </si>
  <si>
    <t>Plan Profile</t>
  </si>
  <si>
    <t>Actual Profile</t>
  </si>
  <si>
    <t>FY 2022/23 ACTUAL</t>
  </si>
  <si>
    <t>FY 2023/24 FORECAST</t>
  </si>
  <si>
    <t>Plan 2024/25 (Total/Average)</t>
  </si>
  <si>
    <t>Plan 2025/26</t>
  </si>
  <si>
    <t>Plan 2026/27</t>
  </si>
  <si>
    <t>Total / Average</t>
  </si>
  <si>
    <t>1. Community Services</t>
  </si>
  <si>
    <t>Planned increase in the proportion of patients discharged from hospital to their usual place of residence</t>
  </si>
  <si>
    <t>Total number of referrals to enhanced Community Care</t>
  </si>
  <si>
    <t>AVLOS for these referred enhanced Community Care</t>
  </si>
  <si>
    <t>District Nursing Total Number of referrals accepted - WEEKDAY</t>
  </si>
  <si>
    <t>District Nursing Total Number of referrals accepted - WEEKEND</t>
  </si>
  <si>
    <t>District Nursing Total number of service users on the caseload</t>
  </si>
  <si>
    <t>District Nursing Total number of Direct patient visits undertaken by District Nursing Services - WEEKDAY</t>
  </si>
  <si>
    <t>District Nursing Total number of Direct patient visits undertaken by District Nursing Services - WEEKEND</t>
  </si>
  <si>
    <t>District Nursing Number of visits undertaken by District Nursing Services with Welsh Level of Care acuity Score {1,2,3,4,5} - WEEKDAY</t>
  </si>
  <si>
    <t>District Nursing Number of visits undertaken by District Nursing Services with Welsh Level of Care acuity Score {1,2,3,4,5} - WEEKEND</t>
  </si>
  <si>
    <t>District Nursing Total funded Registered Nurses (WTE)</t>
  </si>
  <si>
    <t>District Nursing Total funded Healthcare Support Workers (WTE)</t>
  </si>
  <si>
    <t>District Nursing Total funded Admin (WTE)</t>
  </si>
  <si>
    <t>2. Pathway</t>
  </si>
  <si>
    <t xml:space="preserve">% of Babies six week check complete </t>
  </si>
  <si>
    <t>Number of patients who die in the community (planned deaths – e.g. having used rapid discharge/ palliative care teams / community resources etc.)</t>
  </si>
  <si>
    <t>Community: Total number of tests relating to sexual health conditions (Syphilis and Chlamydia)</t>
  </si>
  <si>
    <t xml:space="preserve">Proportion of diabetes patients that have received all eight diabetes care processes </t>
  </si>
  <si>
    <t xml:space="preserve">Proportion of diabetes patients that have received all four treatment to target outcomes </t>
  </si>
  <si>
    <t xml:space="preserve">Healthy Days at Home Wales - Planned number of HDAHW Wales </t>
  </si>
  <si>
    <t>3. GMS</t>
  </si>
  <si>
    <t xml:space="preserve">DSS for Care Homes – % of practices contracted </t>
  </si>
  <si>
    <t>Total number of prescriptions issued as 56-day duration as a percentage of total eligible repeat prescriptions issued.</t>
  </si>
  <si>
    <t>WTE doctors in General Practice per 10,000 weighted patients.</t>
  </si>
  <si>
    <t>Number of direct patient care staff in GP practices.</t>
  </si>
  <si>
    <t xml:space="preserve">Proportion of people aged 14 and over with a learning disability on the GP register receiving an annual health check </t>
  </si>
  <si>
    <t xml:space="preserve">% of population who experience long-term conditions and disease prevalence - mandated for practices via the GMS contract. 
</t>
  </si>
  <si>
    <t>% of GMS practices that are HB managed practices</t>
  </si>
  <si>
    <t>4. Dental Services</t>
  </si>
  <si>
    <t>% of population (adult) receiving NHS dental care over a 24-month period - General Dental Services (GDS)</t>
  </si>
  <si>
    <t>% of population (child) receiving NHS dental care over a 12-month period - General Dental Services (GDS)</t>
  </si>
  <si>
    <t>% of population (adult) receiving NHS dental care over a 12-month period - Community Dental Services (CDS)</t>
  </si>
  <si>
    <t>% of population (child) receiving NHS dental care over a 12-month period - Community Dental Services (CDS)</t>
  </si>
  <si>
    <t>Number of orthodontic cases started during the year</t>
  </si>
  <si>
    <t>Number of contracts to be procured in year</t>
  </si>
  <si>
    <t>Value of contracts to be procured in year (£)</t>
  </si>
  <si>
    <t>Number of patients accessing urgent emergency services</t>
  </si>
  <si>
    <t>Prevalence of decayed, missing or filled teeth (%)”, in Year 1 Children</t>
  </si>
  <si>
    <t>Prevalence of decayed, missing or filled teeth (%)”, in Year 7 children</t>
  </si>
  <si>
    <t>% of eligible schools and nurseries participating in toothbrushing programme</t>
  </si>
  <si>
    <t>% of eligible schools and nurseriesparticipating in fluoride varnish programme</t>
  </si>
  <si>
    <t>% of Care/Nursing Homes participating in the Gwen am Byth programme</t>
  </si>
  <si>
    <t>5. Pharmacy Services</t>
  </si>
  <si>
    <t xml:space="preserve">Number of consultations undertaken by community pharmacy under the common aliments scheme </t>
  </si>
  <si>
    <t>Total number of Community Pharmacies providing the 'Pharmacist Independent Prescribing Service'.</t>
  </si>
  <si>
    <t>Number of hours being commissioned for Out Of Hours pharmacy services</t>
  </si>
  <si>
    <t xml:space="preserve">Expected number of contract breaches for unauthorised closures </t>
  </si>
  <si>
    <t>6. Optometry Services</t>
  </si>
  <si>
    <t>Percentage of Community Optometrists (locations) who are Independent prescribers</t>
  </si>
  <si>
    <t>Planned increase in the number of new patients 18+ accessing NHS Optometry services</t>
  </si>
  <si>
    <t>Planned increase in the number of new patients 0-18 years accessing NHS Optometry services</t>
  </si>
  <si>
    <t>The proportion of all referrals to secondary care ophthalmology that come from these enhanced optometry practitioners</t>
  </si>
  <si>
    <t>Numbers of optometry practices providing patients with any part of the new services (new contract)</t>
  </si>
  <si>
    <t>District Nursing - Total number of referrals received  - Weekday</t>
  </si>
  <si>
    <t>District Nursing - Total number of referrals received  - Weekend</t>
  </si>
  <si>
    <t>District Nursing - Total number of service users on the caseload</t>
  </si>
  <si>
    <t xml:space="preserve">District Nursing Total number of Direct patient visits undertaken by District Nursing Services - Weekday </t>
  </si>
  <si>
    <t>District Nursing Total number of Direct patient visits undertaken by District Nursing Services - Weekend</t>
  </si>
  <si>
    <t xml:space="preserve">District Nursing Number of visits undertaken by District Nursing Services with Welsh Level of Care acuity Score {1,2,3,4,5} - Weekday </t>
  </si>
  <si>
    <t xml:space="preserve">District Nursing Number of visits undertaken by District Nursing Services with Welsh Level of Care acuity Score {1,2,3,4,5} - Weekend </t>
  </si>
  <si>
    <t>District Nursing Total funded Healthare Support Workers (WTE)</t>
  </si>
  <si>
    <t>Number of referrals to Neighbourhood Care Network (NCN)/ Community Resosurce Team</t>
  </si>
  <si>
    <t>Average waiting time for the assessment by NCN/ Community Resource Team</t>
  </si>
  <si>
    <t>Number of AHPs (WTE) working in NCN/ Community Resource Teams: see breakdown below</t>
  </si>
  <si>
    <t>Physiotherapists</t>
  </si>
  <si>
    <t>Occupational therapitsts</t>
  </si>
  <si>
    <t>Speech and language therapists</t>
  </si>
  <si>
    <t xml:space="preserve">Dietitians </t>
  </si>
  <si>
    <t>Psychologists</t>
  </si>
  <si>
    <t xml:space="preserve">Number of people seen by an AHP in NCN/ Community Resource Team </t>
  </si>
  <si>
    <t xml:space="preserve">Number of additional AHP registrants (WTE) posts since April 2023 (AHP £5m) </t>
  </si>
  <si>
    <t xml:space="preserve">Number of additional AHP Support Worker (WTE) posts since April 2023 (AHP £5m) </t>
  </si>
  <si>
    <t xml:space="preserve">Number of Healthy Days at Home </t>
  </si>
  <si>
    <t>Total number of tests relating to sexual health conditions (Syphilis and Chlamydia)</t>
  </si>
  <si>
    <t xml:space="preserve">Percentage of GMS practices engaged in Accelerated Cluster Development </t>
  </si>
  <si>
    <t xml:space="preserve">Percentage of GDS practices engaged in Accelerated Cluster Development </t>
  </si>
  <si>
    <t xml:space="preserve">Percentage of Optom practices engaged in Accelerated Cluster Development </t>
  </si>
  <si>
    <t xml:space="preserve">Percentage of Pharmacy practices engaged in Accelerated Cluster Development </t>
  </si>
  <si>
    <t>% of GMS clusters delivering the all Wales Diabetes Prevention Programme</t>
  </si>
  <si>
    <t xml:space="preserve">% or proportion of top  0.5% most at risk of urgent care who have been offered Future Care Plans (formerly known as anticipatory care plans) </t>
  </si>
  <si>
    <t xml:space="preserve">Number of people expected to receive Enhanced Community Care (Definitions are to be determined by the Care Action Committee and will be available shortly) </t>
  </si>
  <si>
    <t>CHC/FNC - PATIENT NUMBERS</t>
  </si>
  <si>
    <t>Plan profile</t>
  </si>
  <si>
    <t>Actual profile</t>
  </si>
  <si>
    <t>Actual @ 31/03/23</t>
  </si>
  <si>
    <t>Plan as @ 31/03/2025</t>
  </si>
  <si>
    <t>Plan as @ 31/03/2026</t>
  </si>
  <si>
    <t>Plan as @ 31/03/2027</t>
  </si>
  <si>
    <t>Plan at 30/6/24 (Q1)</t>
  </si>
  <si>
    <t>Plan at 30/9/24 (Q2)</t>
  </si>
  <si>
    <t>Plan at 31/12/24 (Q3)</t>
  </si>
  <si>
    <t>Plan at 31/03/25 (Q4)</t>
  </si>
  <si>
    <t>Actual at 30/6/24</t>
  </si>
  <si>
    <t>Actual at 30/9/24</t>
  </si>
  <si>
    <t>Actual at 31/12/24</t>
  </si>
  <si>
    <t>Actual at 31/03/25</t>
  </si>
  <si>
    <t>CHC and FNC PATIENT NUMBERS supported at period end (including Fast Tracks and Joint Funded packages)</t>
  </si>
  <si>
    <t>This is not intended to be an exhaustive list as organisations narrative plans will provide context and detail on wider organisational deliverables.</t>
  </si>
  <si>
    <t xml:space="preserve">Mental Health </t>
  </si>
  <si>
    <t>Number of Referral to LPMHSS (18+)</t>
  </si>
  <si>
    <t>Number of LPMHSS assessments undertaken within 28 days (18+)</t>
  </si>
  <si>
    <t>Number of LPMHSS interventions commenced within 28 days (18+)</t>
  </si>
  <si>
    <t>Number of Referrals to LPMHSS (under 18)</t>
  </si>
  <si>
    <t>Number of LPMHSS assessments undertaken within 28 days (under 18)</t>
  </si>
  <si>
    <t>Number of LPMHSS interventions commenced within 28 days (under 18)</t>
  </si>
  <si>
    <t>Number of Mental Health Crisis referrals (Crisis Resolution Home Treatment) 18+</t>
  </si>
  <si>
    <t>Number of Mental Health Crisis referrals (Crisis Resolution Home Treatment) under 18</t>
  </si>
  <si>
    <t>Number of Referrals to specialist community mental health services adult (18-65)</t>
  </si>
  <si>
    <t>Total caseload for adult mental health services (excluding LPMHSS)</t>
  </si>
  <si>
    <t>Number of Referrals to specialist community mental health services older adult (65+)</t>
  </si>
  <si>
    <t>Total  caseload for older adult mental health services (excluding LPMHSS)</t>
  </si>
  <si>
    <t xml:space="preserve">Number of Referrals to Specialist Child and Adolescent Mental Health (SCAMHS) </t>
  </si>
  <si>
    <t>Total Caseload for Specialist Child and Adolescent Mental Health (excluding LPMHSS)</t>
  </si>
  <si>
    <t>Number of referrals eating disorder service (EDS) all age</t>
  </si>
  <si>
    <t>Number of EDS assessment within 4 weeks all age</t>
  </si>
  <si>
    <t>Number of  Memory assessment service (MAS) - Referrals</t>
  </si>
  <si>
    <t>Number of memory assessment services (MAS) – assessment within 28 days</t>
  </si>
  <si>
    <t>Number of memory assessment services (MAS) – interventions started within 12 weeks</t>
  </si>
  <si>
    <t>Part 2 duty - % of total caseloads with a valid care and treatment plan (%) 18+</t>
  </si>
  <si>
    <t>Part 2 duty - % of total caseloads with valid care and treatment plan (%) under 18</t>
  </si>
  <si>
    <t>Number of referrals for psychological therapy</t>
  </si>
  <si>
    <t>Percentage (%) waiting over 26 weeks for psychological therapy</t>
  </si>
  <si>
    <t>The number of people experiencing first episode psychosis commencing a NICE-recommended package of care.</t>
  </si>
  <si>
    <t>Number of people experiencing first episode psychosis commencing a NICE-recommended package of care within two weeks of referral.</t>
  </si>
  <si>
    <t>The total number of adults and older people followed up from being discharged from Mental Health Inpatient Care.</t>
  </si>
  <si>
    <t>The total number of adults and older people followed up within 72 hours of being discharged from Mental Health Inpatient Care.</t>
  </si>
  <si>
    <t>Number of calls to 111 press 2</t>
  </si>
  <si>
    <t>Please fill in the lightly yellow shaded cells.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</si>
  <si>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</si>
  <si>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 xml:space="preserve">No's </t>
  </si>
  <si>
    <t>Cancer</t>
  </si>
  <si>
    <t>Anticipated new referrals</t>
  </si>
  <si>
    <t>Planned % compliance with single cancer pathways performance</t>
  </si>
  <si>
    <t>Planned % reduction in backlog of those patients wating over 62 days</t>
  </si>
  <si>
    <t>GP: Urgent Cancer OPD referral numbers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</si>
  <si>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</si>
  <si>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Plan Profile 2024/25</t>
  </si>
  <si>
    <t>Actual Profile 2024/25</t>
  </si>
  <si>
    <t>UNSCHEDULED CARE</t>
  </si>
  <si>
    <t>Unscheduled Care Activity</t>
  </si>
  <si>
    <t>Total number of patients attending a Type 1 ED</t>
  </si>
  <si>
    <t>Total number of patients attendance at Minor Injury Units</t>
  </si>
  <si>
    <t>Total number of emergency admissions from Type 1 ED</t>
  </si>
  <si>
    <t>Total number of patients planned to be seen in SDEC</t>
  </si>
  <si>
    <t>Total number of patients planned to be seen in UPCCs (including virtual/remote models)</t>
  </si>
  <si>
    <r>
      <t xml:space="preserve">AMBULANCE </t>
    </r>
    <r>
      <rPr>
        <b/>
        <sz val="18"/>
        <color rgb="FFFF0000"/>
        <rFont val="Calibri"/>
        <family val="2"/>
        <scheme val="minor"/>
      </rPr>
      <t xml:space="preserve"> WAST TO COMPLETE</t>
    </r>
  </si>
  <si>
    <t>WAST to complete: Ambulance</t>
  </si>
  <si>
    <t>111 symptom checkers completed (Activity).</t>
  </si>
  <si>
    <t>Predicted level of 111 call demand</t>
  </si>
  <si>
    <t>Predicted number of 111 call resolution at call handler/nurse assessment stage</t>
  </si>
  <si>
    <t>Predicted number of 111 calls referred direct to Urgent Primary Care Centres (in hours)</t>
  </si>
  <si>
    <t>Predicted number of 111 calls referred direct to GP out of hours</t>
  </si>
  <si>
    <t>Predicted number of 111 calls referred direct to ED</t>
  </si>
  <si>
    <t>Conveyance</t>
  </si>
  <si>
    <t>Total number of patients conveyed</t>
  </si>
  <si>
    <t>Total number of patients conveyed to - Type 1 ED</t>
  </si>
  <si>
    <t>Total number of patients conveyed to - Minor Injury Units</t>
  </si>
  <si>
    <t>Total number of patients conveyed to - Medical Assessment Units</t>
  </si>
  <si>
    <t>Incident volume</t>
  </si>
  <si>
    <t>Forecast verified Emergency Service (EMS) demand</t>
  </si>
  <si>
    <t>Levels of forecast demand that is expected to result in conveyance to ED</t>
  </si>
  <si>
    <t>Levels of forecast demand that is expected to result in conveyance to SDEC</t>
  </si>
  <si>
    <t>2024/25 Plan</t>
  </si>
  <si>
    <t>2024/25 Actual</t>
  </si>
  <si>
    <t>2019/20</t>
  </si>
  <si>
    <t>2022/23</t>
  </si>
  <si>
    <t>2025/26</t>
  </si>
  <si>
    <t>2026/27</t>
  </si>
  <si>
    <t>Q1</t>
  </si>
  <si>
    <t>Q2</t>
  </si>
  <si>
    <t>Q3</t>
  </si>
  <si>
    <t>Q4</t>
  </si>
  <si>
    <t>Total 2024/25</t>
  </si>
  <si>
    <t>Include all activity not just activity undertaken as part of RTT</t>
  </si>
  <si>
    <t>Baseline</t>
  </si>
  <si>
    <t>Full year Forecast</t>
  </si>
  <si>
    <t>Forecast</t>
  </si>
  <si>
    <t>Full year Plan</t>
  </si>
  <si>
    <t>Full Year Plan</t>
  </si>
  <si>
    <t>Projected</t>
  </si>
  <si>
    <t>Actual</t>
  </si>
  <si>
    <t>Elective Inpatient Activity</t>
  </si>
  <si>
    <t xml:space="preserve">Core sessions </t>
  </si>
  <si>
    <t>Insourcing</t>
  </si>
  <si>
    <t>Outsourcing</t>
  </si>
  <si>
    <t>Waiting List Initiatives (WLI)</t>
  </si>
  <si>
    <t>Elective Daycase Activity</t>
  </si>
  <si>
    <t>Face to Face</t>
  </si>
  <si>
    <t>Virtual</t>
  </si>
  <si>
    <t>MRI</t>
  </si>
  <si>
    <t>NOUS</t>
  </si>
  <si>
    <t>Endoscopy</t>
  </si>
  <si>
    <t xml:space="preserve">2,519
</t>
  </si>
  <si>
    <t xml:space="preserve">                    -  </t>
  </si>
  <si>
    <t>-</t>
  </si>
  <si>
    <t>Q1 ACTUAL as @ 30/06/24</t>
  </si>
  <si>
    <t>Q2 ACTUAL as @ 30/09/24</t>
  </si>
  <si>
    <t>Q3 ACTUAL as @ 31/12/24</t>
  </si>
  <si>
    <t>Q4 SUBMISSION</t>
  </si>
  <si>
    <t>ACTUAL as @ 31/03/24</t>
  </si>
  <si>
    <t>ACTUAL as at 31/03/25</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</si>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</sst>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_-* #,##0.00\ _$_-;_-* #,##0.00\ _$\-;_-* &quot;-&quot;??\ _$_-;_-@_-"/>
    <numFmt numFmtId="165" formatCode="0.0%"/>
    <numFmt numFmtId="166" formatCode="_-* #,##0_-;\-* #,##0_-;_-* &quot;-&quot;??_-;_-@_-"/>
    <numFmt numFmtId="167" formatCode="0.00_ ;[Red]\-0.00\ "/>
    <numFmt numFmtId="168" formatCode="#,##0;[Red]\(#,##0\)"/>
    <numFmt numFmtId="169" formatCode="[$-409]dd\-mmm\-yy;@"/>
    <numFmt numFmtId="170" formatCode="##0;\(##0\)"/>
    <numFmt numFmtId="171" formatCode="#,##0;\(#,##0\)"/>
    <numFmt numFmtId="172" formatCode="#,##0.000;\(#,##0.000\)"/>
    <numFmt numFmtId="173" formatCode="#,##0.000_ ;[Red]\-#,##0.000\ "/>
    <numFmt numFmtId="174" formatCode="mmm"/>
    <numFmt numFmtId="175" formatCode="#,##0;\(#,##0\);&quot;-&quot;;@"/>
    <numFmt numFmtId="176" formatCode="#,##0_ ;[Red]\-#,##0\ "/>
    <numFmt numFmtId="177" formatCode="mmm\ yyyy"/>
    <numFmt numFmtId="178" formatCode="#,##0,;\(#,##0,\);&quot;-&quot;;@"/>
    <numFmt numFmtId="179" formatCode="0.0%;\(0.0%\);&quot;-&quot;;@"/>
    <numFmt numFmtId="180" formatCode="#,##0.00;[Red]#,##0.00"/>
    <numFmt numFmtId="181" formatCode="_(* #,##0.0_);_(* \(#,##0.0\);_(* &quot;-&quot;?_);_(@_)"/>
    <numFmt numFmtId="182" formatCode="_-* #,##0.0_-;\-* #,##0.0_-;_-* &quot;-&quot;??_-;_-@_-"/>
    <numFmt numFmtId="183" formatCode="#,##0_ ;\-#,##0\ "/>
    <numFmt numFmtId="184" formatCode="_-* #,##0.0_-;\-* #,##0.0_-;_-* &quot;-&quot;?_-;_-@_-"/>
  </numFmts>
  <fonts count="110">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0"/>
      <name val="Arial"/>
      <family val="2"/>
    </font>
    <font>
      <sz val="12"/>
      <name val="Arial"/>
      <family val="2"/>
    </font>
    <font>
      <sz val="11"/>
      <color theme="1"/>
      <name val="Calibri"/>
      <family val="2"/>
      <scheme val="minor"/>
    </font>
    <font>
      <sz val="12"/>
      <color indexed="8"/>
      <name val="Arial"/>
      <family val="2"/>
    </font>
    <font>
      <sz val="12"/>
      <name val="Arial"/>
      <family val="2"/>
    </font>
    <font>
      <b/>
      <sz val="11"/>
      <color theme="0"/>
      <name val="Calibri"/>
      <family val="2"/>
      <scheme val="minor"/>
    </font>
    <font>
      <sz val="10"/>
      <color theme="1"/>
      <name val="Calibri"/>
      <family val="2"/>
      <scheme val="minor"/>
    </font>
    <font>
      <sz val="10"/>
      <name val="Calibri"/>
      <family val="2"/>
      <scheme val="minor"/>
    </font>
    <font>
      <b/>
      <sz val="16"/>
      <color theme="0"/>
      <name val="Calibri"/>
      <family val="2"/>
      <scheme val="minor"/>
    </font>
    <font>
      <sz val="10"/>
      <color theme="0"/>
      <name val="Calibri"/>
      <family val="2"/>
      <scheme val="minor"/>
    </font>
    <font>
      <sz val="12"/>
      <color theme="0"/>
      <name val="Calibri"/>
      <family val="2"/>
      <scheme val="minor"/>
    </font>
    <font>
      <sz val="12"/>
      <color theme="1"/>
      <name val="Calibri"/>
      <family val="2"/>
      <scheme val="minor"/>
    </font>
    <font>
      <b/>
      <sz val="12"/>
      <color theme="0"/>
      <name val="Calibri"/>
      <family val="2"/>
      <scheme val="minor"/>
    </font>
    <font>
      <b/>
      <sz val="10"/>
      <name val="Calibri"/>
      <family val="2"/>
      <scheme val="minor"/>
    </font>
    <font>
      <b/>
      <sz val="10"/>
      <color theme="0"/>
      <name val="Calibri"/>
      <family val="2"/>
      <scheme val="minor"/>
    </font>
    <font>
      <b/>
      <sz val="18"/>
      <color theme="0"/>
      <name val="Calibri"/>
      <family val="2"/>
      <scheme val="minor"/>
    </font>
    <font>
      <b/>
      <sz val="10"/>
      <color theme="1"/>
      <name val="Calibri"/>
      <family val="2"/>
      <scheme val="minor"/>
    </font>
    <font>
      <sz val="12"/>
      <name val="Calibri"/>
      <family val="2"/>
      <scheme val="minor"/>
    </font>
    <font>
      <b/>
      <sz val="11"/>
      <name val="Calibri"/>
      <family val="2"/>
      <scheme val="minor"/>
    </font>
    <font>
      <sz val="10"/>
      <color rgb="FFFF0000"/>
      <name val="Calibri"/>
      <family val="2"/>
      <scheme val="minor"/>
    </font>
    <font>
      <sz val="11"/>
      <color theme="1"/>
      <name val="Arial"/>
      <family val="2"/>
    </font>
    <font>
      <b/>
      <sz val="11"/>
      <color theme="1"/>
      <name val="Calibri"/>
      <family val="2"/>
      <scheme val="minor"/>
    </font>
    <font>
      <sz val="11"/>
      <color theme="0"/>
      <name val="Calibri"/>
      <family val="2"/>
      <scheme val="minor"/>
    </font>
    <font>
      <sz val="11"/>
      <name val="Calibri"/>
      <family val="2"/>
      <scheme val="minor"/>
    </font>
    <font>
      <b/>
      <i/>
      <sz val="10"/>
      <color theme="0"/>
      <name val="Calibri"/>
      <family val="2"/>
      <scheme val="minor"/>
    </font>
    <font>
      <b/>
      <sz val="10"/>
      <name val="Arial"/>
      <family val="2"/>
    </font>
    <font>
      <b/>
      <sz val="12"/>
      <color theme="1"/>
      <name val="Arial"/>
      <family val="2"/>
    </font>
    <font>
      <sz val="8"/>
      <name val="Arial"/>
      <family val="2"/>
    </font>
    <font>
      <u/>
      <sz val="12"/>
      <color theme="10"/>
      <name val="Arial"/>
      <family val="2"/>
    </font>
    <font>
      <sz val="12"/>
      <color theme="0"/>
      <name val="Arial"/>
      <family val="2"/>
    </font>
    <font>
      <sz val="10"/>
      <color theme="0"/>
      <name val="Arial"/>
      <family val="2"/>
    </font>
    <font>
      <b/>
      <sz val="12"/>
      <color theme="0"/>
      <name val="Arial"/>
      <family val="2"/>
    </font>
    <font>
      <b/>
      <sz val="9"/>
      <color indexed="81"/>
      <name val="Tahoma"/>
      <family val="2"/>
    </font>
    <font>
      <sz val="9"/>
      <color indexed="81"/>
      <name val="Tahoma"/>
      <family val="2"/>
    </font>
    <font>
      <sz val="10"/>
      <color rgb="FFFFFFFF"/>
      <name val="Calibri"/>
      <family val="2"/>
    </font>
    <font>
      <sz val="10"/>
      <color rgb="FF000000"/>
      <name val="Calibri Regular"/>
      <charset val="1"/>
    </font>
    <font>
      <b/>
      <sz val="12"/>
      <color rgb="FFFF0000"/>
      <name val="Calibri"/>
      <family val="2"/>
      <scheme val="minor"/>
    </font>
    <font>
      <sz val="12"/>
      <name val="Arial"/>
      <family val="2"/>
    </font>
    <font>
      <sz val="12"/>
      <color rgb="FFFFFFFF"/>
      <name val="Calibri"/>
      <family val="2"/>
    </font>
    <font>
      <sz val="10"/>
      <name val="Calibri"/>
      <family val="2"/>
    </font>
    <font>
      <b/>
      <sz val="10"/>
      <color rgb="FFFFFFFF"/>
      <name val="Calibri"/>
      <family val="2"/>
    </font>
    <font>
      <sz val="12"/>
      <color theme="0" tint="-0.249977111117893"/>
      <name val="Arial"/>
      <family val="2"/>
    </font>
    <font>
      <i/>
      <sz val="10"/>
      <color theme="6"/>
      <name val="Calibri"/>
      <family val="2"/>
      <scheme val="minor"/>
    </font>
    <font>
      <sz val="12"/>
      <color theme="0" tint="-0.34998626667073579"/>
      <name val="Calibri"/>
      <family val="2"/>
      <scheme val="minor"/>
    </font>
    <font>
      <i/>
      <sz val="11"/>
      <color theme="1"/>
      <name val="Calibri"/>
      <family val="2"/>
      <scheme val="minor"/>
    </font>
    <font>
      <sz val="10"/>
      <color rgb="FFC00000"/>
      <name val="Calibri"/>
      <family val="2"/>
      <scheme val="minor"/>
    </font>
    <font>
      <i/>
      <sz val="12"/>
      <color theme="0"/>
      <name val="Calibri"/>
      <family val="2"/>
      <scheme val="minor"/>
    </font>
    <font>
      <b/>
      <i/>
      <sz val="10"/>
      <color rgb="FFFF0000"/>
      <name val="Calibri"/>
      <family val="2"/>
      <scheme val="minor"/>
    </font>
    <font>
      <sz val="12"/>
      <color rgb="FF0B0C0C"/>
      <name val="Arial"/>
      <family val="2"/>
    </font>
    <font>
      <sz val="11"/>
      <name val="Calibri"/>
      <family val="2"/>
    </font>
    <font>
      <sz val="11"/>
      <color rgb="FF000000"/>
      <name val="Calibri"/>
      <family val="2"/>
    </font>
    <font>
      <u/>
      <sz val="11"/>
      <color theme="10"/>
      <name val="Calibri"/>
      <family val="2"/>
      <scheme val="minor"/>
    </font>
    <font>
      <sz val="18"/>
      <color theme="1"/>
      <name val="Calibri"/>
      <family val="2"/>
      <scheme val="minor"/>
    </font>
    <font>
      <sz val="18"/>
      <name val="Calibri"/>
      <family val="2"/>
      <scheme val="minor"/>
    </font>
    <font>
      <sz val="9"/>
      <color theme="1"/>
      <name val="Arial"/>
      <family val="2"/>
    </font>
    <font>
      <b/>
      <sz val="14"/>
      <color theme="1"/>
      <name val="Arial"/>
      <family val="2"/>
    </font>
    <font>
      <sz val="14"/>
      <color rgb="FF4472C4"/>
      <name val="Calibri"/>
      <family val="2"/>
    </font>
    <font>
      <i/>
      <sz val="14"/>
      <color rgb="FF7030A0"/>
      <name val="Calibri"/>
      <family val="2"/>
    </font>
    <font>
      <sz val="14"/>
      <color rgb="FF000000"/>
      <name val="Calibri"/>
      <family val="2"/>
    </font>
    <font>
      <sz val="12"/>
      <color theme="8"/>
      <name val="Calibri"/>
      <family val="2"/>
      <scheme val="minor"/>
    </font>
    <font>
      <i/>
      <sz val="10"/>
      <color theme="1"/>
      <name val="Calibri"/>
      <family val="2"/>
      <scheme val="minor"/>
    </font>
    <font>
      <b/>
      <sz val="14"/>
      <color rgb="FF000000"/>
      <name val="Calibri"/>
      <family val="2"/>
      <scheme val="minor"/>
    </font>
    <font>
      <b/>
      <sz val="12"/>
      <name val="Calibri"/>
      <family val="2"/>
      <scheme val="minor"/>
    </font>
    <font>
      <sz val="10"/>
      <color theme="3" tint="0.59999389629810485"/>
      <name val="Calibri"/>
      <family val="2"/>
      <scheme val="minor"/>
    </font>
    <font>
      <sz val="11"/>
      <color theme="0" tint="-0.249977111117893"/>
      <name val="Calibri"/>
      <family val="2"/>
      <scheme val="minor"/>
    </font>
    <font>
      <sz val="8"/>
      <color theme="0"/>
      <name val="Calibri"/>
      <family val="2"/>
      <scheme val="minor"/>
    </font>
    <font>
      <sz val="8"/>
      <color rgb="FFFFFFFF"/>
      <name val="Calibri"/>
      <family val="2"/>
    </font>
    <font>
      <b/>
      <sz val="16"/>
      <name val="Arial"/>
      <family val="2"/>
    </font>
    <font>
      <b/>
      <sz val="18"/>
      <color rgb="FFFF0000"/>
      <name val="Arial"/>
      <family val="2"/>
    </font>
    <font>
      <b/>
      <sz val="12"/>
      <name val="Arial"/>
      <family val="2"/>
    </font>
    <font>
      <b/>
      <sz val="10"/>
      <color theme="0"/>
      <name val="Arial"/>
      <family val="2"/>
    </font>
    <font>
      <sz val="10"/>
      <color theme="0" tint="-0.249977111117893"/>
      <name val="Arial"/>
      <family val="2"/>
    </font>
    <font>
      <b/>
      <sz val="10"/>
      <color theme="0" tint="-0.249977111117893"/>
      <name val="Arial"/>
      <family val="2"/>
    </font>
    <font>
      <b/>
      <sz val="16"/>
      <color rgb="FFFFFFFF"/>
      <name val="Calibri"/>
      <family val="2"/>
    </font>
    <font>
      <b/>
      <sz val="10"/>
      <color rgb="FF000000"/>
      <name val="Calibri"/>
      <family val="2"/>
    </font>
    <font>
      <sz val="10"/>
      <color rgb="FF000000"/>
      <name val="Calibri"/>
      <family val="2"/>
    </font>
    <font>
      <i/>
      <sz val="10"/>
      <color theme="0"/>
      <name val="Calibri"/>
      <family val="2"/>
      <scheme val="minor"/>
    </font>
    <font>
      <i/>
      <sz val="10"/>
      <name val="Calibri"/>
      <family val="2"/>
      <scheme val="minor"/>
    </font>
    <font>
      <b/>
      <sz val="18"/>
      <color rgb="FFFFFFFF"/>
      <name val="Calibri"/>
      <family val="2"/>
    </font>
    <font>
      <b/>
      <sz val="10"/>
      <name val="Calibri"/>
      <family val="2"/>
    </font>
    <font>
      <sz val="12"/>
      <color rgb="FF000000"/>
      <name val="Arial"/>
      <family val="2"/>
    </font>
    <font>
      <i/>
      <sz val="10"/>
      <color rgb="FF000000"/>
      <name val="Calibri"/>
      <family val="2"/>
    </font>
    <font>
      <sz val="12"/>
      <name val="Calibri"/>
      <family val="2"/>
    </font>
    <font>
      <sz val="10"/>
      <color theme="1"/>
      <name val="Arial"/>
      <family val="2"/>
    </font>
    <font>
      <b/>
      <sz val="11"/>
      <color rgb="FF000000"/>
      <name val="Calibri"/>
      <family val="2"/>
      <scheme val="minor"/>
    </font>
    <font>
      <b/>
      <sz val="10"/>
      <color rgb="FFFF0000"/>
      <name val="Calibri"/>
      <family val="2"/>
      <scheme val="minor"/>
    </font>
    <font>
      <b/>
      <sz val="18"/>
      <color rgb="FFFF0000"/>
      <name val="Calibri"/>
      <family val="2"/>
      <scheme val="minor"/>
    </font>
    <font>
      <sz val="14"/>
      <color theme="0"/>
      <name val="Calibri"/>
      <family val="2"/>
      <scheme val="minor"/>
    </font>
    <font>
      <sz val="12"/>
      <color theme="0"/>
      <name val="Calibri"/>
      <family val="2"/>
    </font>
  </fonts>
  <fills count="3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AAA7A"/>
        <bgColor indexed="64"/>
      </patternFill>
    </fill>
    <fill>
      <patternFill patternType="solid">
        <fgColor rgb="FF34465A"/>
        <bgColor indexed="64"/>
      </patternFill>
    </fill>
    <fill>
      <patternFill patternType="solid">
        <fgColor theme="0" tint="-0.249977111117893"/>
        <bgColor indexed="64"/>
      </patternFill>
    </fill>
    <fill>
      <patternFill patternType="solid">
        <fgColor theme="5"/>
        <bgColor indexed="64"/>
      </patternFill>
    </fill>
    <fill>
      <patternFill patternType="solid">
        <fgColor theme="0" tint="-4.9989318521683403E-2"/>
        <bgColor indexed="64"/>
      </patternFill>
    </fill>
    <fill>
      <patternFill patternType="solid">
        <fgColor rgb="FFFFF2CC"/>
        <bgColor indexed="64"/>
      </patternFill>
    </fill>
    <fill>
      <patternFill patternType="solid">
        <fgColor rgb="FFFFF2CC"/>
        <bgColor rgb="FF000000"/>
      </patternFill>
    </fill>
    <fill>
      <patternFill patternType="solid">
        <fgColor rgb="FF34465A"/>
        <bgColor rgb="FF000000"/>
      </patternFill>
    </fill>
    <fill>
      <patternFill patternType="solid">
        <fgColor theme="7" tint="-0.499984740745262"/>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0.34998626667073579"/>
        <bgColor rgb="FF000000"/>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theme="3"/>
        <bgColor indexed="64"/>
      </patternFill>
    </fill>
    <fill>
      <patternFill patternType="solid">
        <fgColor rgb="FFFFFF99"/>
        <bgColor indexed="64"/>
      </patternFill>
    </fill>
    <fill>
      <patternFill patternType="solid">
        <fgColor theme="7"/>
        <bgColor indexed="64"/>
      </patternFill>
    </fill>
    <fill>
      <patternFill patternType="solid">
        <fgColor theme="4" tint="0.39997558519241921"/>
        <bgColor indexed="64"/>
      </patternFill>
    </fill>
    <fill>
      <patternFill patternType="solid">
        <fgColor indexed="9"/>
        <bgColor indexed="22"/>
      </patternFill>
    </fill>
    <fill>
      <patternFill patternType="solid">
        <fgColor theme="0"/>
        <bgColor indexed="22"/>
      </patternFill>
    </fill>
    <fill>
      <patternFill patternType="solid">
        <fgColor theme="3" tint="0.39997558519241921"/>
        <bgColor indexed="64"/>
      </patternFill>
    </fill>
    <fill>
      <patternFill patternType="solid">
        <fgColor theme="7" tint="0.79998168889431442"/>
        <bgColor rgb="FF000000"/>
      </patternFill>
    </fill>
    <fill>
      <patternFill patternType="solid">
        <fgColor rgb="FFFFFFFF"/>
        <bgColor rgb="FF000000"/>
      </patternFill>
    </fill>
    <fill>
      <patternFill patternType="solid">
        <fgColor rgb="FFCAAA7A"/>
        <bgColor rgb="FF000000"/>
      </patternFill>
    </fill>
    <fill>
      <patternFill patternType="solid">
        <fgColor theme="7" tint="0.79995117038483843"/>
        <bgColor auto="1"/>
      </patternFill>
    </fill>
    <fill>
      <patternFill patternType="solid">
        <fgColor rgb="FFFFC00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dotted">
        <color auto="1"/>
      </top>
      <bottom style="dotted">
        <color auto="1"/>
      </bottom>
      <diagonal/>
    </border>
    <border>
      <left style="thin">
        <color auto="1"/>
      </left>
      <right/>
      <top style="thin">
        <color auto="1"/>
      </top>
      <bottom style="thin">
        <color theme="0"/>
      </bottom>
      <diagonal/>
    </border>
    <border>
      <left style="thin">
        <color auto="1"/>
      </left>
      <right style="thin">
        <color indexed="64"/>
      </right>
      <top style="thin">
        <color auto="1"/>
      </top>
      <bottom style="dotted">
        <color auto="1"/>
      </bottom>
      <diagonal/>
    </border>
    <border>
      <left style="thin">
        <color auto="1"/>
      </left>
      <right style="thin">
        <color indexed="64"/>
      </right>
      <top/>
      <bottom style="dotted">
        <color auto="1"/>
      </bottom>
      <diagonal/>
    </border>
    <border>
      <left style="thin">
        <color indexed="64"/>
      </left>
      <right style="thin">
        <color indexed="64"/>
      </right>
      <top style="dotted">
        <color auto="1"/>
      </top>
      <bottom/>
      <diagonal/>
    </border>
    <border>
      <left style="thin">
        <color theme="0" tint="-0.14996795556505021"/>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auto="1"/>
      </left>
      <right/>
      <top style="thin">
        <color auto="1"/>
      </top>
      <bottom style="dotted">
        <color auto="1"/>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dotted">
        <color auto="1"/>
      </top>
      <bottom style="dotted">
        <color auto="1"/>
      </bottom>
      <diagonal/>
    </border>
    <border>
      <left style="thin">
        <color indexed="64"/>
      </left>
      <right/>
      <top style="dotted">
        <color auto="1"/>
      </top>
      <bottom style="dotted">
        <color auto="1"/>
      </bottom>
      <diagonal/>
    </border>
    <border>
      <left/>
      <right style="medium">
        <color indexed="64"/>
      </right>
      <top style="thin">
        <color indexed="64"/>
      </top>
      <bottom style="thin">
        <color indexed="64"/>
      </bottom>
      <diagonal/>
    </border>
    <border>
      <left/>
      <right style="thin">
        <color indexed="64"/>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1">
    <xf numFmtId="0" fontId="0" fillId="0" borderId="0"/>
    <xf numFmtId="0" fontId="22" fillId="0" borderId="0"/>
    <xf numFmtId="0" fontId="21" fillId="0" borderId="0"/>
    <xf numFmtId="164" fontId="21" fillId="0" borderId="0" applyFont="0" applyFill="0" applyBorder="0" applyAlignment="0" applyProtection="0"/>
    <xf numFmtId="0" fontId="23" fillId="0" borderId="0"/>
    <xf numFmtId="0" fontId="20" fillId="0" borderId="0"/>
    <xf numFmtId="0" fontId="23" fillId="0" borderId="0"/>
    <xf numFmtId="0" fontId="19" fillId="0" borderId="0"/>
    <xf numFmtId="0" fontId="19" fillId="0" borderId="0"/>
    <xf numFmtId="9" fontId="24" fillId="0" borderId="0" applyFont="0" applyFill="0" applyBorder="0" applyAlignment="0" applyProtection="0"/>
    <xf numFmtId="0" fontId="19" fillId="0" borderId="0"/>
    <xf numFmtId="0" fontId="22" fillId="0" borderId="0"/>
    <xf numFmtId="0" fontId="19" fillId="0" borderId="0"/>
    <xf numFmtId="0" fontId="18" fillId="0" borderId="0"/>
    <xf numFmtId="0" fontId="17" fillId="0" borderId="0"/>
    <xf numFmtId="43" fontId="17" fillId="0" borderId="0" applyFont="0" applyFill="0" applyBorder="0" applyAlignment="0" applyProtection="0"/>
    <xf numFmtId="0" fontId="25" fillId="0" borderId="0"/>
    <xf numFmtId="0" fontId="21" fillId="0" borderId="0"/>
    <xf numFmtId="0" fontId="16"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22" fillId="0" borderId="0"/>
    <xf numFmtId="0" fontId="14" fillId="0" borderId="0"/>
    <xf numFmtId="0" fontId="14" fillId="0" borderId="0"/>
    <xf numFmtId="43" fontId="20" fillId="0" borderId="0" applyFont="0" applyFill="0" applyBorder="0" applyAlignment="0" applyProtection="0"/>
    <xf numFmtId="9" fontId="20" fillId="0" borderId="0" applyFont="0" applyFill="0" applyBorder="0" applyAlignment="0" applyProtection="0"/>
    <xf numFmtId="0" fontId="49" fillId="0" borderId="0" applyNumberFormat="0" applyFill="0" applyBorder="0" applyAlignment="0" applyProtection="0"/>
    <xf numFmtId="43" fontId="2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20" fillId="0" borderId="0" applyFont="0" applyFill="0" applyBorder="0" applyAlignment="0" applyProtection="0"/>
    <xf numFmtId="0" fontId="58" fillId="0" borderId="0"/>
    <xf numFmtId="0" fontId="12"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20" fillId="0" borderId="0" applyFont="0" applyFill="0" applyBorder="0" applyAlignment="0" applyProtection="0"/>
    <xf numFmtId="43" fontId="2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20" fillId="0" borderId="0" applyFont="0" applyFill="0" applyBorder="0" applyAlignment="0" applyProtection="0"/>
    <xf numFmtId="0" fontId="22" fillId="0" borderId="0"/>
    <xf numFmtId="0" fontId="9" fillId="0" borderId="0"/>
    <xf numFmtId="43" fontId="20"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4" fillId="0" borderId="0"/>
    <xf numFmtId="0" fontId="71" fillId="0" borderId="0"/>
    <xf numFmtId="0" fontId="72" fillId="0" borderId="0" applyNumberFormat="0" applyFill="0" applyBorder="0" applyAlignment="0" applyProtection="0"/>
    <xf numFmtId="0" fontId="3" fillId="0" borderId="0"/>
    <xf numFmtId="0" fontId="1" fillId="0" borderId="0"/>
    <xf numFmtId="0" fontId="22" fillId="0" borderId="0"/>
  </cellStyleXfs>
  <cellXfs count="912">
    <xf numFmtId="0" fontId="0" fillId="0" borderId="0" xfId="0"/>
    <xf numFmtId="0" fontId="27" fillId="2" borderId="0" xfId="0" applyFont="1" applyFill="1"/>
    <xf numFmtId="0" fontId="28" fillId="2" borderId="0" xfId="0" applyFont="1" applyFill="1"/>
    <xf numFmtId="0" fontId="35" fillId="5" borderId="1" xfId="0" applyFont="1" applyFill="1" applyBorder="1" applyAlignment="1">
      <alignment horizontal="center" vertical="center"/>
    </xf>
    <xf numFmtId="0" fontId="28" fillId="2" borderId="0" xfId="0" applyFont="1" applyFill="1" applyAlignment="1">
      <alignment vertical="center"/>
    </xf>
    <xf numFmtId="0" fontId="0" fillId="0" borderId="0" xfId="0" applyAlignment="1">
      <alignment wrapText="1"/>
    </xf>
    <xf numFmtId="0" fontId="28" fillId="0" borderId="0" xfId="0" applyFont="1"/>
    <xf numFmtId="0" fontId="0" fillId="0" borderId="0" xfId="0" applyAlignment="1">
      <alignment horizontal="left"/>
    </xf>
    <xf numFmtId="0" fontId="32" fillId="2" borderId="0" xfId="0" applyFont="1" applyFill="1"/>
    <xf numFmtId="0" fontId="27" fillId="2" borderId="0" xfId="0" applyFont="1" applyFill="1" applyAlignment="1">
      <alignment vertical="center"/>
    </xf>
    <xf numFmtId="0" fontId="0" fillId="2" borderId="0" xfId="0" applyFill="1"/>
    <xf numFmtId="0" fontId="32" fillId="2" borderId="0" xfId="0" applyFont="1" applyFill="1" applyAlignment="1">
      <alignment vertical="center"/>
    </xf>
    <xf numFmtId="0" fontId="28" fillId="2" borderId="0" xfId="0" applyFont="1" applyFill="1" applyAlignment="1">
      <alignment horizontal="center" vertical="center"/>
    </xf>
    <xf numFmtId="166" fontId="28" fillId="2" borderId="0" xfId="32" applyNumberFormat="1" applyFont="1" applyFill="1" applyAlignment="1">
      <alignment vertical="center"/>
    </xf>
    <xf numFmtId="0" fontId="28" fillId="6" borderId="0" xfId="0" applyFont="1" applyFill="1" applyAlignment="1">
      <alignment vertical="center"/>
    </xf>
    <xf numFmtId="0" fontId="46" fillId="7" borderId="5" xfId="0" applyFont="1" applyFill="1" applyBorder="1" applyAlignment="1">
      <alignment horizontal="left" vertical="center"/>
    </xf>
    <xf numFmtId="0" fontId="26" fillId="5" borderId="1" xfId="0" applyFont="1" applyFill="1" applyBorder="1" applyAlignment="1">
      <alignment horizontal="center" vertical="center"/>
    </xf>
    <xf numFmtId="0" fontId="38" fillId="3" borderId="1" xfId="0" applyFont="1" applyFill="1" applyBorder="1" applyAlignment="1" applyProtection="1">
      <alignment vertical="center"/>
      <protection locked="0"/>
    </xf>
    <xf numFmtId="169" fontId="38" fillId="3" borderId="1" xfId="0" applyNumberFormat="1" applyFont="1" applyFill="1" applyBorder="1" applyAlignment="1" applyProtection="1">
      <alignment vertical="center"/>
      <protection locked="0"/>
    </xf>
    <xf numFmtId="0" fontId="49" fillId="2" borderId="0" xfId="34" applyFill="1" applyAlignment="1">
      <alignment vertical="center"/>
    </xf>
    <xf numFmtId="171" fontId="39" fillId="4" borderId="1" xfId="32" applyNumberFormat="1" applyFont="1" applyFill="1" applyBorder="1" applyAlignment="1">
      <alignment horizontal="right" vertical="center"/>
    </xf>
    <xf numFmtId="171" fontId="44" fillId="4" borderId="1" xfId="32" applyNumberFormat="1" applyFont="1" applyFill="1" applyBorder="1" applyAlignment="1">
      <alignment horizontal="right" vertical="center"/>
    </xf>
    <xf numFmtId="171" fontId="28" fillId="4" borderId="1" xfId="32" applyNumberFormat="1" applyFont="1" applyFill="1" applyBorder="1" applyAlignment="1">
      <alignment horizontal="right" vertical="center"/>
    </xf>
    <xf numFmtId="171" fontId="34" fillId="4" borderId="1" xfId="32" applyNumberFormat="1" applyFont="1" applyFill="1" applyBorder="1" applyAlignment="1">
      <alignment vertical="center"/>
    </xf>
    <xf numFmtId="171" fontId="38" fillId="3" borderId="1" xfId="0" applyNumberFormat="1" applyFont="1" applyFill="1" applyBorder="1" applyAlignment="1" applyProtection="1">
      <alignment vertical="center"/>
      <protection locked="0"/>
    </xf>
    <xf numFmtId="171" fontId="32" fillId="3" borderId="1" xfId="0" applyNumberFormat="1" applyFont="1" applyFill="1" applyBorder="1" applyAlignment="1" applyProtection="1">
      <alignment vertical="center"/>
      <protection locked="0"/>
    </xf>
    <xf numFmtId="171" fontId="28" fillId="4" borderId="1" xfId="32" applyNumberFormat="1" applyFont="1" applyFill="1" applyBorder="1" applyAlignment="1">
      <alignment vertical="center"/>
    </xf>
    <xf numFmtId="0" fontId="32" fillId="2" borderId="0" xfId="0" applyFont="1" applyFill="1" applyAlignment="1">
      <alignment horizontal="center" vertical="center"/>
    </xf>
    <xf numFmtId="0" fontId="26" fillId="2" borderId="0" xfId="0" applyFont="1" applyFill="1" applyAlignment="1">
      <alignment horizontal="center" vertical="center"/>
    </xf>
    <xf numFmtId="170" fontId="27" fillId="2" borderId="0" xfId="0" applyNumberFormat="1" applyFont="1" applyFill="1" applyAlignment="1">
      <alignment vertical="center"/>
    </xf>
    <xf numFmtId="0" fontId="27" fillId="6" borderId="0" xfId="0" applyFont="1" applyFill="1" applyAlignment="1">
      <alignment vertical="center"/>
    </xf>
    <xf numFmtId="0" fontId="39" fillId="4" borderId="1" xfId="0" applyFont="1" applyFill="1" applyBorder="1" applyAlignment="1">
      <alignment horizontal="left" vertical="center" wrapText="1"/>
    </xf>
    <xf numFmtId="170" fontId="27" fillId="6" borderId="0" xfId="0" applyNumberFormat="1" applyFont="1" applyFill="1" applyAlignment="1">
      <alignment vertical="center"/>
    </xf>
    <xf numFmtId="0" fontId="0" fillId="6" borderId="0" xfId="0" applyFill="1"/>
    <xf numFmtId="0" fontId="26"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1" fontId="28" fillId="2" borderId="0" xfId="0" applyNumberFormat="1" applyFont="1" applyFill="1" applyAlignment="1">
      <alignment vertical="center"/>
    </xf>
    <xf numFmtId="0" fontId="38" fillId="2" borderId="0" xfId="0" applyFont="1" applyFill="1" applyAlignment="1">
      <alignment horizontal="center" vertical="center"/>
    </xf>
    <xf numFmtId="0" fontId="38" fillId="2" borderId="0" xfId="0" applyFont="1" applyFill="1" applyAlignment="1">
      <alignment vertical="center"/>
    </xf>
    <xf numFmtId="0" fontId="38" fillId="7" borderId="0" xfId="0" applyFont="1" applyFill="1" applyAlignment="1">
      <alignment vertical="center"/>
    </xf>
    <xf numFmtId="0" fontId="38" fillId="6" borderId="0" xfId="0" applyFont="1" applyFill="1" applyAlignment="1">
      <alignment vertical="center"/>
    </xf>
    <xf numFmtId="0" fontId="0" fillId="7" borderId="1" xfId="0" applyFill="1" applyBorder="1"/>
    <xf numFmtId="0" fontId="26" fillId="5" borderId="7" xfId="0" applyFont="1" applyFill="1" applyBorder="1" applyAlignment="1">
      <alignment horizontal="center" vertical="center" wrapText="1"/>
    </xf>
    <xf numFmtId="0" fontId="26" fillId="2" borderId="0" xfId="0" applyFont="1" applyFill="1" applyAlignment="1">
      <alignment vertical="center"/>
    </xf>
    <xf numFmtId="0" fontId="35" fillId="5" borderId="5" xfId="0" applyFont="1" applyFill="1" applyBorder="1" applyAlignment="1">
      <alignment horizontal="left" vertical="center"/>
    </xf>
    <xf numFmtId="0" fontId="35" fillId="5" borderId="4" xfId="0" applyFont="1" applyFill="1" applyBorder="1" applyAlignment="1">
      <alignment horizontal="left" vertical="center"/>
    </xf>
    <xf numFmtId="0" fontId="35" fillId="5" borderId="3" xfId="0" applyFont="1" applyFill="1" applyBorder="1" applyAlignment="1">
      <alignment horizontal="left" vertical="center"/>
    </xf>
    <xf numFmtId="0" fontId="35" fillId="5" borderId="4" xfId="0" applyFont="1" applyFill="1" applyBorder="1" applyAlignment="1">
      <alignment horizontal="left" vertical="center" wrapText="1"/>
    </xf>
    <xf numFmtId="0" fontId="35" fillId="5" borderId="3" xfId="0" applyFont="1" applyFill="1" applyBorder="1" applyAlignment="1">
      <alignment horizontal="left" vertical="center" wrapText="1"/>
    </xf>
    <xf numFmtId="0" fontId="34" fillId="4" borderId="5" xfId="0" applyFont="1" applyFill="1" applyBorder="1" applyAlignment="1">
      <alignment horizontal="left" vertical="center"/>
    </xf>
    <xf numFmtId="0" fontId="34" fillId="4" borderId="4" xfId="0" applyFont="1" applyFill="1" applyBorder="1" applyAlignment="1">
      <alignment horizontal="left" vertical="center"/>
    </xf>
    <xf numFmtId="0" fontId="34" fillId="4" borderId="3" xfId="0" applyFont="1" applyFill="1" applyBorder="1" applyAlignment="1">
      <alignment horizontal="left" vertical="center"/>
    </xf>
    <xf numFmtId="2" fontId="35" fillId="5" borderId="1" xfId="0" applyNumberFormat="1" applyFont="1" applyFill="1" applyBorder="1" applyAlignment="1">
      <alignment horizontal="center" vertical="center" wrapText="1"/>
    </xf>
    <xf numFmtId="167" fontId="35" fillId="5" borderId="1" xfId="0" applyNumberFormat="1" applyFont="1" applyFill="1" applyBorder="1" applyAlignment="1">
      <alignment horizontal="center" vertical="center" wrapText="1"/>
    </xf>
    <xf numFmtId="14" fontId="35" fillId="5" borderId="1" xfId="0" applyNumberFormat="1" applyFont="1" applyFill="1" applyBorder="1" applyAlignment="1">
      <alignment horizontal="center" vertical="center" wrapText="1"/>
    </xf>
    <xf numFmtId="0" fontId="0" fillId="0" borderId="0" xfId="0" applyAlignment="1">
      <alignment horizontal="center"/>
    </xf>
    <xf numFmtId="0" fontId="29" fillId="5" borderId="5" xfId="0" applyFont="1" applyFill="1" applyBorder="1" applyAlignment="1">
      <alignment horizontal="left" vertical="center"/>
    </xf>
    <xf numFmtId="0" fontId="30" fillId="2" borderId="0" xfId="0" applyFont="1" applyFill="1"/>
    <xf numFmtId="0" fontId="29" fillId="5" borderId="1" xfId="0" applyFont="1" applyFill="1" applyBorder="1" applyAlignment="1">
      <alignment horizontal="center" vertical="center"/>
    </xf>
    <xf numFmtId="172" fontId="28" fillId="4" borderId="1" xfId="32" applyNumberFormat="1" applyFont="1" applyFill="1" applyBorder="1" applyAlignment="1">
      <alignment horizontal="right"/>
    </xf>
    <xf numFmtId="172" fontId="28" fillId="4" borderId="1" xfId="32" applyNumberFormat="1" applyFont="1" applyFill="1" applyBorder="1"/>
    <xf numFmtId="0" fontId="29" fillId="5" borderId="0" xfId="0" applyFont="1" applyFill="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quotePrefix="1" applyAlignment="1">
      <alignment vertical="center"/>
    </xf>
    <xf numFmtId="43" fontId="0" fillId="0" borderId="0" xfId="32" applyFont="1" applyAlignment="1">
      <alignment horizontal="center" vertical="center"/>
    </xf>
    <xf numFmtId="0" fontId="34" fillId="4" borderId="1" xfId="0" applyFont="1" applyFill="1" applyBorder="1" applyAlignment="1">
      <alignment horizontal="center"/>
    </xf>
    <xf numFmtId="0" fontId="36" fillId="5" borderId="1" xfId="0" applyFont="1" applyFill="1" applyBorder="1" applyAlignment="1">
      <alignment horizontal="center" vertical="center"/>
    </xf>
    <xf numFmtId="0" fontId="32" fillId="2" borderId="22" xfId="0" applyFont="1" applyFill="1" applyBorder="1"/>
    <xf numFmtId="0" fontId="32" fillId="2" borderId="24" xfId="0" applyFont="1" applyFill="1" applyBorder="1"/>
    <xf numFmtId="0" fontId="32" fillId="2" borderId="25" xfId="0" applyFont="1" applyFill="1" applyBorder="1"/>
    <xf numFmtId="0" fontId="32" fillId="2" borderId="0" xfId="0" applyFont="1" applyFill="1" applyAlignment="1">
      <alignment horizontal="left"/>
    </xf>
    <xf numFmtId="0" fontId="32" fillId="2" borderId="26" xfId="0" applyFont="1" applyFill="1" applyBorder="1"/>
    <xf numFmtId="0" fontId="32" fillId="2" borderId="27" xfId="0" applyFont="1" applyFill="1" applyBorder="1"/>
    <xf numFmtId="0" fontId="32" fillId="2" borderId="28" xfId="0" applyFont="1" applyFill="1" applyBorder="1" applyAlignment="1">
      <alignment horizontal="left"/>
    </xf>
    <xf numFmtId="0" fontId="32" fillId="2" borderId="29" xfId="0" applyFont="1" applyFill="1" applyBorder="1"/>
    <xf numFmtId="0" fontId="32" fillId="2" borderId="28" xfId="0" applyFont="1" applyFill="1" applyBorder="1"/>
    <xf numFmtId="0" fontId="35" fillId="2" borderId="0" xfId="0" applyFont="1" applyFill="1"/>
    <xf numFmtId="0" fontId="31" fillId="5" borderId="1" xfId="0" applyFont="1" applyFill="1" applyBorder="1" applyAlignment="1">
      <alignment horizontal="center" vertical="center" wrapText="1"/>
    </xf>
    <xf numFmtId="0" fontId="29" fillId="5" borderId="4" xfId="0" applyFont="1" applyFill="1" applyBorder="1" applyAlignment="1">
      <alignment horizontal="center" vertical="center"/>
    </xf>
    <xf numFmtId="0" fontId="34" fillId="4" borderId="5" xfId="0" applyFont="1" applyFill="1" applyBorder="1" applyAlignment="1">
      <alignment vertical="center"/>
    </xf>
    <xf numFmtId="0" fontId="34" fillId="4" borderId="4" xfId="0" applyFont="1" applyFill="1" applyBorder="1" applyAlignment="1">
      <alignment vertical="center"/>
    </xf>
    <xf numFmtId="171" fontId="39" fillId="4" borderId="1" xfId="32" applyNumberFormat="1" applyFont="1" applyFill="1" applyBorder="1" applyAlignment="1">
      <alignment horizontal="center" vertical="center"/>
    </xf>
    <xf numFmtId="0" fontId="33" fillId="5"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50" fillId="5" borderId="1" xfId="34" applyFont="1" applyFill="1" applyBorder="1" applyAlignment="1" applyProtection="1">
      <alignment horizontal="left" vertical="center"/>
      <protection locked="0"/>
    </xf>
    <xf numFmtId="0" fontId="36" fillId="5" borderId="1" xfId="0" applyFont="1" applyFill="1" applyBorder="1" applyAlignment="1">
      <alignment vertical="center"/>
    </xf>
    <xf numFmtId="0" fontId="28" fillId="2" borderId="14" xfId="0" applyFont="1" applyFill="1" applyBorder="1"/>
    <xf numFmtId="166" fontId="28" fillId="2" borderId="0" xfId="32" applyNumberFormat="1" applyFont="1" applyFill="1"/>
    <xf numFmtId="0" fontId="27" fillId="2" borderId="14" xfId="0" applyFont="1" applyFill="1" applyBorder="1"/>
    <xf numFmtId="166" fontId="44" fillId="2" borderId="0" xfId="72" applyNumberFormat="1" applyFont="1" applyFill="1" applyAlignment="1">
      <alignment horizontal="right" vertical="center"/>
    </xf>
    <xf numFmtId="170" fontId="34" fillId="2" borderId="0" xfId="72" applyNumberFormat="1" applyFont="1" applyFill="1" applyAlignment="1">
      <alignment horizontal="right" vertical="center"/>
    </xf>
    <xf numFmtId="170" fontId="44" fillId="2" borderId="0" xfId="72" applyNumberFormat="1" applyFont="1" applyFill="1" applyAlignment="1">
      <alignment horizontal="right" vertical="center"/>
    </xf>
    <xf numFmtId="170" fontId="39" fillId="2" borderId="0" xfId="72" applyNumberFormat="1" applyFont="1" applyFill="1" applyAlignment="1">
      <alignment horizontal="right" vertical="center"/>
    </xf>
    <xf numFmtId="171" fontId="39" fillId="4" borderId="1" xfId="72" applyNumberFormat="1" applyFont="1" applyFill="1" applyBorder="1" applyAlignment="1">
      <alignment horizontal="right" vertical="center"/>
    </xf>
    <xf numFmtId="170" fontId="28" fillId="2" borderId="0" xfId="0" applyNumberFormat="1" applyFont="1" applyFill="1" applyAlignment="1">
      <alignment vertical="center"/>
    </xf>
    <xf numFmtId="0" fontId="39" fillId="4" borderId="1" xfId="0" applyFont="1" applyFill="1" applyBorder="1" applyAlignment="1">
      <alignment horizontal="left" vertical="center"/>
    </xf>
    <xf numFmtId="0" fontId="34" fillId="2" borderId="0" xfId="0" applyFont="1" applyFill="1" applyAlignment="1">
      <alignment horizontal="left" vertical="center" wrapText="1"/>
    </xf>
    <xf numFmtId="170" fontId="28" fillId="2" borderId="0" xfId="72" applyNumberFormat="1" applyFont="1" applyFill="1" applyAlignment="1">
      <alignment horizontal="right" vertical="center"/>
    </xf>
    <xf numFmtId="0" fontId="26" fillId="2" borderId="0" xfId="0" applyFont="1" applyFill="1" applyAlignment="1">
      <alignment horizontal="left" vertical="center" wrapText="1"/>
    </xf>
    <xf numFmtId="0" fontId="39" fillId="4" borderId="5" xfId="0" applyFont="1" applyFill="1" applyBorder="1" applyAlignment="1">
      <alignment horizontal="left" vertical="center" wrapText="1"/>
    </xf>
    <xf numFmtId="0" fontId="43" fillId="2" borderId="0" xfId="0" applyFont="1" applyFill="1" applyAlignment="1">
      <alignment horizontal="left" vertical="center" wrapText="1"/>
    </xf>
    <xf numFmtId="170" fontId="43" fillId="2" borderId="0" xfId="0" applyNumberFormat="1" applyFont="1" applyFill="1" applyAlignment="1">
      <alignment horizontal="left" vertical="center" wrapText="1"/>
    </xf>
    <xf numFmtId="0" fontId="26" fillId="5" borderId="1" xfId="0" applyFont="1" applyFill="1" applyBorder="1" applyAlignment="1">
      <alignment horizontal="left" vertical="center" wrapText="1"/>
    </xf>
    <xf numFmtId="171" fontId="39" fillId="4" borderId="1" xfId="72" applyNumberFormat="1" applyFont="1" applyFill="1" applyBorder="1" applyAlignment="1">
      <alignment vertical="center"/>
    </xf>
    <xf numFmtId="170" fontId="26" fillId="2" borderId="0" xfId="0" applyNumberFormat="1" applyFont="1" applyFill="1" applyAlignment="1">
      <alignment horizontal="left" vertical="center" wrapText="1"/>
    </xf>
    <xf numFmtId="170" fontId="26" fillId="5" borderId="8" xfId="0" applyNumberFormat="1" applyFont="1" applyFill="1" applyBorder="1" applyAlignment="1">
      <alignment horizontal="center" vertical="center"/>
    </xf>
    <xf numFmtId="171" fontId="39" fillId="4" borderId="1" xfId="83" applyNumberFormat="1" applyFont="1" applyFill="1" applyBorder="1" applyAlignment="1">
      <alignment horizontal="right" vertical="center"/>
    </xf>
    <xf numFmtId="0" fontId="35" fillId="5" borderId="1" xfId="0" applyFont="1" applyFill="1" applyBorder="1" applyAlignment="1">
      <alignment horizontal="left" vertical="center"/>
    </xf>
    <xf numFmtId="0" fontId="62" fillId="6" borderId="0" xfId="0" applyFont="1" applyFill="1"/>
    <xf numFmtId="9" fontId="0" fillId="0" borderId="0" xfId="0" applyNumberFormat="1"/>
    <xf numFmtId="0" fontId="36" fillId="5" borderId="1" xfId="0" applyFont="1" applyFill="1" applyBorder="1" applyAlignment="1">
      <alignment horizontal="center" vertical="center" wrapText="1"/>
    </xf>
    <xf numFmtId="170" fontId="26" fillId="5" borderId="1" xfId="0" applyNumberFormat="1" applyFont="1" applyFill="1" applyBorder="1" applyAlignment="1">
      <alignment horizontal="center" vertical="center" wrapText="1"/>
    </xf>
    <xf numFmtId="0" fontId="28" fillId="0" borderId="0" xfId="0" applyFont="1" applyAlignment="1">
      <alignment vertical="center"/>
    </xf>
    <xf numFmtId="9" fontId="28" fillId="0" borderId="0" xfId="33" applyFont="1" applyAlignment="1">
      <alignment vertical="center"/>
    </xf>
    <xf numFmtId="171" fontId="39" fillId="5" borderId="1" xfId="32" applyNumberFormat="1" applyFont="1" applyFill="1" applyBorder="1" applyAlignment="1">
      <alignment horizontal="center" vertical="center"/>
    </xf>
    <xf numFmtId="0" fontId="30" fillId="5" borderId="8" xfId="0" applyFont="1" applyFill="1" applyBorder="1" applyAlignment="1">
      <alignment horizontal="left" vertical="center"/>
    </xf>
    <xf numFmtId="0" fontId="30" fillId="5" borderId="1" xfId="0" applyFont="1" applyFill="1" applyBorder="1" applyAlignment="1">
      <alignment horizontal="left" vertical="center"/>
    </xf>
    <xf numFmtId="0" fontId="39" fillId="4" borderId="5" xfId="0" applyFont="1" applyFill="1" applyBorder="1" applyAlignment="1">
      <alignment horizontal="left" vertical="center"/>
    </xf>
    <xf numFmtId="0" fontId="39" fillId="4" borderId="4" xfId="0" applyFont="1" applyFill="1" applyBorder="1" applyAlignment="1">
      <alignment horizontal="left" vertical="center"/>
    </xf>
    <xf numFmtId="0" fontId="39" fillId="4" borderId="3" xfId="0" applyFont="1" applyFill="1" applyBorder="1" applyAlignment="1">
      <alignment horizontal="left" vertical="center"/>
    </xf>
    <xf numFmtId="0" fontId="36" fillId="5" borderId="5" xfId="0" applyFont="1" applyFill="1" applyBorder="1" applyAlignment="1">
      <alignment horizontal="center" vertical="center" wrapText="1"/>
    </xf>
    <xf numFmtId="0" fontId="0" fillId="2" borderId="0" xfId="0" applyFill="1" applyAlignment="1">
      <alignment horizontal="left"/>
    </xf>
    <xf numFmtId="0" fontId="0" fillId="6" borderId="0" xfId="0" applyFill="1" applyAlignment="1">
      <alignment horizontal="left"/>
    </xf>
    <xf numFmtId="171" fontId="28" fillId="4" borderId="7" xfId="32" applyNumberFormat="1" applyFont="1" applyFill="1" applyBorder="1" applyAlignment="1">
      <alignment vertical="center"/>
    </xf>
    <xf numFmtId="0" fontId="33" fillId="5" borderId="8" xfId="0" applyFont="1" applyFill="1" applyBorder="1" applyAlignment="1">
      <alignment horizontal="center" vertical="center" wrapText="1"/>
    </xf>
    <xf numFmtId="0" fontId="29" fillId="5" borderId="8" xfId="0" applyFont="1" applyFill="1" applyBorder="1" applyAlignment="1">
      <alignment horizontal="center" vertical="center"/>
    </xf>
    <xf numFmtId="0" fontId="33" fillId="5" borderId="8" xfId="0" applyFont="1" applyFill="1" applyBorder="1" applyAlignment="1">
      <alignment horizontal="center" vertical="center"/>
    </xf>
    <xf numFmtId="0" fontId="29" fillId="5" borderId="1" xfId="0" applyFont="1" applyFill="1" applyBorder="1" applyAlignment="1">
      <alignment vertical="center"/>
    </xf>
    <xf numFmtId="0" fontId="63" fillId="2" borderId="0" xfId="0" applyFont="1" applyFill="1" applyAlignment="1">
      <alignment vertical="center"/>
    </xf>
    <xf numFmtId="170" fontId="63" fillId="2" borderId="0" xfId="0" applyNumberFormat="1" applyFont="1" applyFill="1" applyAlignment="1">
      <alignment vertical="center"/>
    </xf>
    <xf numFmtId="0" fontId="28" fillId="2" borderId="0" xfId="0" applyFont="1" applyFill="1" applyAlignment="1">
      <alignment horizontal="left" vertical="center" wrapText="1"/>
    </xf>
    <xf numFmtId="170" fontId="27" fillId="2" borderId="0" xfId="0" applyNumberFormat="1" applyFont="1" applyFill="1" applyAlignment="1">
      <alignment vertical="center" wrapText="1"/>
    </xf>
    <xf numFmtId="0" fontId="27" fillId="6" borderId="0" xfId="0" applyFont="1" applyFill="1" applyAlignment="1">
      <alignment vertical="center" wrapText="1"/>
    </xf>
    <xf numFmtId="0" fontId="47" fillId="2" borderId="0" xfId="0" applyFont="1" applyFill="1" applyAlignment="1">
      <alignment horizontal="left"/>
    </xf>
    <xf numFmtId="14" fontId="28" fillId="3" borderId="18" xfId="32" applyNumberFormat="1" applyFont="1" applyFill="1" applyBorder="1" applyAlignment="1" applyProtection="1">
      <alignment horizontal="right"/>
      <protection locked="0"/>
    </xf>
    <xf numFmtId="14" fontId="28" fillId="3" borderId="1" xfId="32" applyNumberFormat="1" applyFont="1" applyFill="1" applyBorder="1" applyAlignment="1" applyProtection="1">
      <alignment horizontal="right"/>
      <protection locked="0"/>
    </xf>
    <xf numFmtId="0" fontId="26" fillId="5" borderId="5"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3" xfId="0" applyFont="1" applyFill="1" applyBorder="1" applyAlignment="1">
      <alignment horizontal="center" vertical="center"/>
    </xf>
    <xf numFmtId="0" fontId="34" fillId="4" borderId="4" xfId="0" applyFont="1" applyFill="1" applyBorder="1" applyAlignment="1">
      <alignment horizontal="center" vertical="center"/>
    </xf>
    <xf numFmtId="0" fontId="30" fillId="5" borderId="1" xfId="0" applyFont="1" applyFill="1" applyBorder="1" applyAlignment="1">
      <alignment vertical="center"/>
    </xf>
    <xf numFmtId="0" fontId="35" fillId="5" borderId="3" xfId="0" applyFont="1" applyFill="1" applyBorder="1" applyAlignment="1">
      <alignment horizontal="center" vertical="center"/>
    </xf>
    <xf numFmtId="0" fontId="35" fillId="5" borderId="4" xfId="0" applyFont="1" applyFill="1" applyBorder="1" applyAlignment="1">
      <alignment horizontal="center" vertical="center"/>
    </xf>
    <xf numFmtId="0" fontId="36" fillId="5" borderId="5" xfId="0" applyFont="1" applyFill="1" applyBorder="1" applyAlignment="1">
      <alignment horizontal="center" vertical="center"/>
    </xf>
    <xf numFmtId="0" fontId="30" fillId="3" borderId="1" xfId="0" applyFont="1" applyFill="1" applyBorder="1" applyAlignment="1" applyProtection="1">
      <alignment vertical="center"/>
      <protection locked="0"/>
    </xf>
    <xf numFmtId="170" fontId="26" fillId="5" borderId="1" xfId="0" applyNumberFormat="1" applyFont="1" applyFill="1" applyBorder="1" applyAlignment="1">
      <alignment horizontal="centerContinuous" vertical="center" wrapText="1"/>
    </xf>
    <xf numFmtId="170" fontId="66" fillId="2" borderId="0" xfId="0" applyNumberFormat="1" applyFont="1" applyFill="1" applyAlignment="1">
      <alignment horizontal="right" vertical="center"/>
    </xf>
    <xf numFmtId="171" fontId="39" fillId="3" borderId="1" xfId="72" applyNumberFormat="1" applyFont="1" applyFill="1" applyBorder="1" applyAlignment="1">
      <alignment horizontal="right" vertical="center"/>
    </xf>
    <xf numFmtId="0" fontId="47" fillId="0" borderId="0" xfId="0" applyFont="1"/>
    <xf numFmtId="0" fontId="31" fillId="5" borderId="7" xfId="0" applyFont="1" applyFill="1" applyBorder="1" applyAlignment="1">
      <alignment horizontal="center" vertical="center" wrapText="1"/>
    </xf>
    <xf numFmtId="0" fontId="43" fillId="5" borderId="1" xfId="0" applyFont="1" applyFill="1" applyBorder="1" applyAlignment="1">
      <alignment horizontal="left" vertical="center" wrapText="1"/>
    </xf>
    <xf numFmtId="0" fontId="34" fillId="4" borderId="1" xfId="0" applyFont="1" applyFill="1" applyBorder="1" applyAlignment="1" applyProtection="1">
      <alignment horizontal="left"/>
      <protection locked="0"/>
    </xf>
    <xf numFmtId="0" fontId="6" fillId="0" borderId="0" xfId="91"/>
    <xf numFmtId="0" fontId="6" fillId="0" borderId="0" xfId="91" applyAlignment="1">
      <alignment vertical="center" wrapText="1"/>
    </xf>
    <xf numFmtId="0" fontId="37" fillId="6" borderId="1" xfId="0" applyFont="1" applyFill="1" applyBorder="1" applyAlignment="1">
      <alignment horizontal="center" vertical="center" wrapText="1"/>
    </xf>
    <xf numFmtId="0" fontId="37" fillId="6" borderId="1" xfId="0" applyFont="1" applyFill="1" applyBorder="1" applyAlignment="1">
      <alignment horizontal="center" vertical="center"/>
    </xf>
    <xf numFmtId="2" fontId="37" fillId="6" borderId="1" xfId="0" applyNumberFormat="1" applyFont="1" applyFill="1" applyBorder="1" applyAlignment="1">
      <alignment horizontal="center" vertical="center" wrapText="1"/>
    </xf>
    <xf numFmtId="167" fontId="37" fillId="6" borderId="1" xfId="0" applyNumberFormat="1" applyFont="1" applyFill="1" applyBorder="1" applyAlignment="1">
      <alignment horizontal="center" vertical="center" wrapText="1"/>
    </xf>
    <xf numFmtId="14" fontId="37" fillId="6" borderId="1" xfId="0" applyNumberFormat="1" applyFont="1" applyFill="1" applyBorder="1" applyAlignment="1">
      <alignment horizontal="center" vertical="center" wrapText="1"/>
    </xf>
    <xf numFmtId="0" fontId="34" fillId="6" borderId="1" xfId="0" applyFont="1" applyFill="1" applyBorder="1" applyAlignment="1">
      <alignment horizontal="center" vertical="center" wrapText="1"/>
    </xf>
    <xf numFmtId="173" fontId="34" fillId="6" borderId="1" xfId="0" applyNumberFormat="1" applyFont="1" applyFill="1" applyBorder="1" applyAlignment="1">
      <alignment horizontal="center" vertical="center" wrapText="1"/>
    </xf>
    <xf numFmtId="174" fontId="34" fillId="6" borderId="1" xfId="0" applyNumberFormat="1" applyFont="1" applyFill="1" applyBorder="1" applyAlignment="1">
      <alignment horizontal="center" vertical="center" wrapText="1"/>
    </xf>
    <xf numFmtId="0" fontId="32" fillId="0" borderId="0" xfId="0" applyFont="1"/>
    <xf numFmtId="0" fontId="35" fillId="12" borderId="1" xfId="0" applyFont="1" applyFill="1" applyBorder="1" applyAlignment="1">
      <alignment horizontal="center" vertical="center" wrapText="1"/>
    </xf>
    <xf numFmtId="0" fontId="34" fillId="13" borderId="1" xfId="0" applyFont="1" applyFill="1" applyBorder="1" applyAlignment="1">
      <alignment horizontal="center" vertical="center" wrapText="1"/>
    </xf>
    <xf numFmtId="0" fontId="47" fillId="0" borderId="0" xfId="0" applyFont="1" applyAlignment="1">
      <alignment wrapText="1"/>
    </xf>
    <xf numFmtId="0" fontId="69" fillId="0" borderId="0" xfId="0" applyFont="1" applyAlignment="1">
      <alignment horizontal="left" vertical="center" wrapText="1" indent="1"/>
    </xf>
    <xf numFmtId="0" fontId="46" fillId="0" borderId="0" xfId="0" applyFont="1" applyAlignment="1">
      <alignment horizontal="left" vertical="center"/>
    </xf>
    <xf numFmtId="0" fontId="38" fillId="3" borderId="1" xfId="0" applyFont="1" applyFill="1" applyBorder="1" applyAlignment="1" applyProtection="1">
      <alignment vertical="center" wrapText="1"/>
      <protection locked="0"/>
    </xf>
    <xf numFmtId="0" fontId="31" fillId="5" borderId="1" xfId="0" applyFont="1" applyFill="1" applyBorder="1" applyAlignment="1">
      <alignment vertical="center" wrapText="1"/>
    </xf>
    <xf numFmtId="171" fontId="34" fillId="4" borderId="1" xfId="32" applyNumberFormat="1" applyFont="1" applyFill="1" applyBorder="1" applyAlignment="1">
      <alignment horizontal="center" vertical="center"/>
    </xf>
    <xf numFmtId="0" fontId="47" fillId="16" borderId="0" xfId="0" applyFont="1" applyFill="1"/>
    <xf numFmtId="0" fontId="47" fillId="16" borderId="0" xfId="0" applyFont="1" applyFill="1" applyAlignment="1">
      <alignment wrapText="1"/>
    </xf>
    <xf numFmtId="0" fontId="5" fillId="6" borderId="0" xfId="92" applyFill="1"/>
    <xf numFmtId="0" fontId="5" fillId="6" borderId="14" xfId="92" applyFill="1" applyBorder="1"/>
    <xf numFmtId="0" fontId="43" fillId="5" borderId="5" xfId="92" applyFont="1" applyFill="1" applyBorder="1" applyAlignment="1">
      <alignment horizontal="left"/>
    </xf>
    <xf numFmtId="0" fontId="43" fillId="5" borderId="0" xfId="92" applyFont="1" applyFill="1"/>
    <xf numFmtId="0" fontId="43" fillId="5" borderId="0" xfId="92" applyFont="1" applyFill="1" applyAlignment="1">
      <alignment horizontal="right"/>
    </xf>
    <xf numFmtId="0" fontId="0" fillId="6" borderId="0" xfId="0" applyFill="1" applyAlignment="1">
      <alignment horizontal="right"/>
    </xf>
    <xf numFmtId="0" fontId="43" fillId="5" borderId="14" xfId="92" applyFont="1" applyFill="1" applyBorder="1"/>
    <xf numFmtId="0" fontId="5" fillId="6" borderId="0" xfId="0" applyFont="1" applyFill="1"/>
    <xf numFmtId="14" fontId="26" fillId="5" borderId="0" xfId="92" applyNumberFormat="1" applyFont="1" applyFill="1" applyAlignment="1">
      <alignment horizontal="right"/>
    </xf>
    <xf numFmtId="9" fontId="38" fillId="4" borderId="18" xfId="32" applyNumberFormat="1" applyFont="1" applyFill="1" applyBorder="1" applyAlignment="1" applyProtection="1">
      <alignment horizontal="center" vertical="center"/>
      <protection locked="0"/>
    </xf>
    <xf numFmtId="172" fontId="28" fillId="3" borderId="8" xfId="32" applyNumberFormat="1" applyFont="1" applyFill="1" applyBorder="1" applyAlignment="1" applyProtection="1">
      <alignment horizontal="right"/>
      <protection locked="0"/>
    </xf>
    <xf numFmtId="0" fontId="36" fillId="5" borderId="10" xfId="0" applyFont="1" applyFill="1" applyBorder="1" applyAlignment="1">
      <alignment horizontal="left" vertical="center"/>
    </xf>
    <xf numFmtId="0" fontId="36" fillId="5" borderId="4" xfId="0" applyFont="1" applyFill="1" applyBorder="1" applyAlignment="1">
      <alignment horizontal="center" vertical="center"/>
    </xf>
    <xf numFmtId="175" fontId="28" fillId="4" borderId="3" xfId="32" applyNumberFormat="1" applyFont="1" applyFill="1" applyBorder="1"/>
    <xf numFmtId="175" fontId="28" fillId="4" borderId="1" xfId="32" applyNumberFormat="1" applyFont="1" applyFill="1" applyBorder="1"/>
    <xf numFmtId="175" fontId="28" fillId="3" borderId="1" xfId="32" applyNumberFormat="1" applyFont="1" applyFill="1" applyBorder="1" applyProtection="1">
      <protection locked="0"/>
    </xf>
    <xf numFmtId="14" fontId="31" fillId="5" borderId="1" xfId="0" applyNumberFormat="1" applyFont="1" applyFill="1" applyBorder="1" applyAlignment="1">
      <alignment horizontal="center" vertical="center" wrapText="1"/>
    </xf>
    <xf numFmtId="174" fontId="31" fillId="5" borderId="1" xfId="0" applyNumberFormat="1" applyFont="1" applyFill="1" applyBorder="1" applyAlignment="1">
      <alignment horizontal="center" vertical="center" wrapText="1"/>
    </xf>
    <xf numFmtId="0" fontId="31" fillId="5" borderId="4" xfId="0" applyFont="1" applyFill="1" applyBorder="1" applyAlignment="1">
      <alignment horizontal="center" vertical="center" wrapText="1"/>
    </xf>
    <xf numFmtId="0" fontId="31" fillId="5" borderId="3" xfId="0" applyFont="1" applyFill="1" applyBorder="1" applyAlignment="1">
      <alignment horizontal="center" vertical="center" wrapText="1"/>
    </xf>
    <xf numFmtId="0" fontId="4" fillId="0" borderId="0" xfId="95" applyAlignment="1">
      <alignment horizontal="right"/>
    </xf>
    <xf numFmtId="175" fontId="34" fillId="4" borderId="1" xfId="32" applyNumberFormat="1" applyFont="1" applyFill="1" applyBorder="1"/>
    <xf numFmtId="0" fontId="31" fillId="5" borderId="5" xfId="0" applyFont="1" applyFill="1" applyBorder="1" applyAlignment="1">
      <alignment horizontal="center" vertical="center" wrapText="1"/>
    </xf>
    <xf numFmtId="0" fontId="32" fillId="3" borderId="1" xfId="0" applyFont="1" applyFill="1" applyBorder="1" applyAlignment="1" applyProtection="1">
      <alignment horizontal="center" vertical="center"/>
      <protection locked="0"/>
    </xf>
    <xf numFmtId="0" fontId="28" fillId="4" borderId="1" xfId="0" applyFont="1" applyFill="1" applyBorder="1" applyAlignment="1" applyProtection="1">
      <alignment horizontal="left"/>
      <protection locked="0"/>
    </xf>
    <xf numFmtId="0" fontId="36" fillId="5" borderId="5" xfId="0" applyFont="1" applyFill="1" applyBorder="1" applyAlignment="1">
      <alignment horizontal="centerContinuous" vertical="center" wrapText="1"/>
    </xf>
    <xf numFmtId="0" fontId="36" fillId="5" borderId="4" xfId="0" applyFont="1" applyFill="1" applyBorder="1" applyAlignment="1">
      <alignment horizontal="centerContinuous" vertical="center" wrapText="1"/>
    </xf>
    <xf numFmtId="0" fontId="36" fillId="5" borderId="3" xfId="0" applyFont="1" applyFill="1" applyBorder="1" applyAlignment="1">
      <alignment horizontal="centerContinuous" vertical="center" wrapText="1"/>
    </xf>
    <xf numFmtId="165" fontId="60" fillId="10" borderId="1" xfId="33" applyNumberFormat="1" applyFont="1" applyFill="1" applyBorder="1" applyProtection="1">
      <protection locked="0"/>
    </xf>
    <xf numFmtId="176" fontId="60" fillId="10" borderId="1" xfId="32" applyNumberFormat="1" applyFont="1" applyFill="1" applyBorder="1" applyAlignment="1" applyProtection="1">
      <alignment horizontal="right"/>
      <protection locked="0"/>
    </xf>
    <xf numFmtId="165" fontId="34" fillId="4" borderId="1" xfId="33" applyNumberFormat="1" applyFont="1" applyFill="1" applyBorder="1" applyAlignment="1">
      <alignment horizontal="center" vertical="center"/>
    </xf>
    <xf numFmtId="172" fontId="28" fillId="4" borderId="8" xfId="32" applyNumberFormat="1" applyFont="1" applyFill="1" applyBorder="1"/>
    <xf numFmtId="0" fontId="28" fillId="3" borderId="1" xfId="0" applyFont="1" applyFill="1" applyBorder="1" applyAlignment="1" applyProtection="1">
      <alignment horizontal="right"/>
      <protection locked="0"/>
    </xf>
    <xf numFmtId="172" fontId="28" fillId="3" borderId="1" xfId="32" applyNumberFormat="1" applyFont="1" applyFill="1" applyBorder="1" applyProtection="1">
      <protection locked="0"/>
    </xf>
    <xf numFmtId="172" fontId="28" fillId="3" borderId="1" xfId="32" applyNumberFormat="1" applyFont="1" applyFill="1" applyBorder="1" applyAlignment="1" applyProtection="1">
      <alignment horizontal="right"/>
      <protection locked="0"/>
    </xf>
    <xf numFmtId="0" fontId="56" fillId="10" borderId="1" xfId="0" applyFont="1" applyFill="1" applyBorder="1" applyAlignment="1" applyProtection="1">
      <alignment wrapText="1"/>
      <protection locked="0"/>
    </xf>
    <xf numFmtId="172" fontId="28" fillId="2" borderId="9" xfId="32" applyNumberFormat="1" applyFont="1" applyFill="1" applyBorder="1" applyAlignment="1">
      <alignment horizontal="right"/>
    </xf>
    <xf numFmtId="172" fontId="60" fillId="10" borderId="1" xfId="32" applyNumberFormat="1" applyFont="1" applyFill="1" applyBorder="1" applyProtection="1">
      <protection locked="0"/>
    </xf>
    <xf numFmtId="0" fontId="28" fillId="3" borderId="1" xfId="0" applyFont="1" applyFill="1" applyBorder="1" applyAlignment="1" applyProtection="1">
      <alignment horizontal="right" wrapText="1"/>
      <protection locked="0"/>
    </xf>
    <xf numFmtId="171" fontId="28" fillId="3" borderId="1" xfId="32" applyNumberFormat="1" applyFont="1" applyFill="1" applyBorder="1" applyAlignment="1" applyProtection="1">
      <alignment vertical="center"/>
      <protection locked="0"/>
    </xf>
    <xf numFmtId="0" fontId="28" fillId="3" borderId="1" xfId="0" applyFont="1" applyFill="1" applyBorder="1" applyAlignment="1" applyProtection="1">
      <alignment horizontal="right" vertical="center" wrapText="1"/>
      <protection locked="0"/>
    </xf>
    <xf numFmtId="171" fontId="28" fillId="3" borderId="1" xfId="32" applyNumberFormat="1" applyFont="1" applyFill="1" applyBorder="1" applyAlignment="1" applyProtection="1">
      <alignment horizontal="right" vertical="center"/>
      <protection locked="0"/>
    </xf>
    <xf numFmtId="17" fontId="0" fillId="0" borderId="0" xfId="0" applyNumberFormat="1"/>
    <xf numFmtId="14" fontId="0" fillId="0" borderId="0" xfId="0" applyNumberFormat="1"/>
    <xf numFmtId="11" fontId="0" fillId="0" borderId="0" xfId="0" applyNumberFormat="1"/>
    <xf numFmtId="0" fontId="0" fillId="0" borderId="0" xfId="0" pivotButton="1"/>
    <xf numFmtId="17" fontId="0" fillId="0" borderId="0" xfId="0" applyNumberFormat="1" applyAlignment="1">
      <alignment horizontal="left"/>
    </xf>
    <xf numFmtId="0" fontId="0" fillId="0" borderId="0" xfId="0" applyAlignment="1">
      <alignment horizontal="left" indent="1"/>
    </xf>
    <xf numFmtId="0" fontId="0" fillId="0" borderId="0" xfId="0" applyAlignment="1">
      <alignment horizontal="left" indent="2"/>
    </xf>
    <xf numFmtId="176" fontId="0" fillId="0" borderId="0" xfId="0" applyNumberFormat="1"/>
    <xf numFmtId="171" fontId="34" fillId="4" borderId="1" xfId="32" applyNumberFormat="1" applyFont="1" applyFill="1" applyBorder="1" applyAlignment="1">
      <alignment horizontal="right" vertical="center"/>
    </xf>
    <xf numFmtId="171" fontId="34" fillId="4" borderId="5" xfId="32" applyNumberFormat="1" applyFont="1" applyFill="1" applyBorder="1" applyAlignment="1">
      <alignment horizontal="right" vertical="center"/>
    </xf>
    <xf numFmtId="170" fontId="34" fillId="2" borderId="0" xfId="72" applyNumberFormat="1" applyFont="1" applyFill="1" applyAlignment="1">
      <alignment horizontal="left" vertical="center"/>
    </xf>
    <xf numFmtId="49" fontId="0" fillId="0" borderId="0" xfId="0" applyNumberFormat="1"/>
    <xf numFmtId="171" fontId="44" fillId="3" borderId="1" xfId="32" applyNumberFormat="1" applyFont="1" applyFill="1" applyBorder="1" applyAlignment="1" applyProtection="1">
      <alignment horizontal="right" vertical="center"/>
      <protection locked="0"/>
    </xf>
    <xf numFmtId="166" fontId="44" fillId="3" borderId="1" xfId="32" applyNumberFormat="1" applyFont="1" applyFill="1" applyBorder="1" applyAlignment="1" applyProtection="1">
      <alignment horizontal="left" vertical="center"/>
      <protection locked="0"/>
    </xf>
    <xf numFmtId="171" fontId="44" fillId="3" borderId="1" xfId="72" applyNumberFormat="1" applyFont="1" applyFill="1" applyBorder="1" applyAlignment="1" applyProtection="1">
      <alignment horizontal="right" vertical="center"/>
      <protection locked="0"/>
    </xf>
    <xf numFmtId="0" fontId="28" fillId="3" borderId="1" xfId="0" applyFont="1" applyFill="1" applyBorder="1" applyAlignment="1" applyProtection="1">
      <alignment horizontal="left" wrapText="1"/>
      <protection locked="0"/>
    </xf>
    <xf numFmtId="0" fontId="59" fillId="11" borderId="1" xfId="0" applyFont="1" applyFill="1" applyBorder="1" applyAlignment="1">
      <alignment horizontal="center" vertical="center" wrapText="1"/>
    </xf>
    <xf numFmtId="166" fontId="41" fillId="0" borderId="0" xfId="32" applyNumberFormat="1" applyFont="1" applyAlignment="1">
      <alignment wrapText="1"/>
    </xf>
    <xf numFmtId="166" fontId="41" fillId="0" borderId="0" xfId="32" applyNumberFormat="1" applyFont="1"/>
    <xf numFmtId="166" fontId="41" fillId="0" borderId="0" xfId="32" applyNumberFormat="1" applyFont="1" applyAlignment="1">
      <alignment horizontal="left"/>
    </xf>
    <xf numFmtId="166" fontId="41" fillId="0" borderId="0" xfId="32" applyNumberFormat="1" applyFont="1" applyAlignment="1">
      <alignment vertical="top"/>
    </xf>
    <xf numFmtId="166" fontId="41" fillId="0" borderId="0" xfId="32" applyNumberFormat="1" applyFont="1" applyAlignment="1">
      <alignment vertical="top" wrapText="1"/>
    </xf>
    <xf numFmtId="166" fontId="41" fillId="0" borderId="0" xfId="32" applyNumberFormat="1" applyFont="1" applyAlignment="1">
      <alignment horizontal="left" vertical="top"/>
    </xf>
    <xf numFmtId="166" fontId="75" fillId="0" borderId="0" xfId="32" applyNumberFormat="1" applyFont="1" applyAlignment="1">
      <alignment vertical="top" wrapText="1"/>
    </xf>
    <xf numFmtId="166" fontId="75" fillId="22" borderId="0" xfId="32" applyNumberFormat="1" applyFont="1" applyFill="1" applyAlignment="1">
      <alignment vertical="top" wrapText="1"/>
    </xf>
    <xf numFmtId="166" fontId="75" fillId="0" borderId="0" xfId="32" applyNumberFormat="1" applyFont="1" applyAlignment="1">
      <alignment horizontal="left" vertical="top" wrapText="1"/>
    </xf>
    <xf numFmtId="165" fontId="28" fillId="4" borderId="1" xfId="32" applyNumberFormat="1" applyFont="1" applyFill="1" applyBorder="1"/>
    <xf numFmtId="166" fontId="0" fillId="0" borderId="0" xfId="32" applyNumberFormat="1" applyFont="1"/>
    <xf numFmtId="165" fontId="34" fillId="4" borderId="1" xfId="32" applyNumberFormat="1" applyFont="1" applyFill="1" applyBorder="1"/>
    <xf numFmtId="0" fontId="35" fillId="5" borderId="8" xfId="0" applyFont="1" applyFill="1" applyBorder="1" applyAlignment="1">
      <alignment horizontal="left" vertical="center"/>
    </xf>
    <xf numFmtId="171" fontId="28" fillId="3" borderId="8" xfId="32" applyNumberFormat="1" applyFont="1" applyFill="1" applyBorder="1" applyAlignment="1" applyProtection="1">
      <alignment horizontal="right" vertical="center"/>
      <protection locked="0"/>
    </xf>
    <xf numFmtId="0" fontId="34" fillId="4" borderId="3" xfId="0" applyFont="1" applyFill="1" applyBorder="1" applyAlignment="1">
      <alignment horizontal="center" vertical="center"/>
    </xf>
    <xf numFmtId="0" fontId="30" fillId="5" borderId="8" xfId="0" applyFont="1" applyFill="1" applyBorder="1" applyAlignment="1">
      <alignment vertical="center"/>
    </xf>
    <xf numFmtId="171" fontId="28" fillId="4" borderId="8" xfId="32" applyNumberFormat="1" applyFont="1" applyFill="1" applyBorder="1" applyAlignment="1">
      <alignment horizontal="right" vertical="center"/>
    </xf>
    <xf numFmtId="0" fontId="29" fillId="4" borderId="4" xfId="0" applyFont="1" applyFill="1" applyBorder="1" applyAlignment="1">
      <alignment horizontal="center" vertical="center"/>
    </xf>
    <xf numFmtId="166" fontId="41" fillId="0" borderId="0" xfId="32" applyNumberFormat="1" applyFont="1" applyAlignment="1">
      <alignment horizontal="left" vertical="top" wrapText="1"/>
    </xf>
    <xf numFmtId="172" fontId="60" fillId="10" borderId="8" xfId="32" applyNumberFormat="1" applyFont="1" applyFill="1" applyBorder="1" applyProtection="1">
      <protection locked="0"/>
    </xf>
    <xf numFmtId="172" fontId="28" fillId="3" borderId="8" xfId="32" applyNumberFormat="1" applyFont="1" applyFill="1" applyBorder="1" applyProtection="1">
      <protection locked="0"/>
    </xf>
    <xf numFmtId="172" fontId="28" fillId="4" borderId="8" xfId="32" applyNumberFormat="1" applyFont="1" applyFill="1" applyBorder="1" applyAlignment="1">
      <alignment horizontal="right"/>
    </xf>
    <xf numFmtId="0" fontId="28" fillId="3" borderId="8" xfId="0" applyFont="1" applyFill="1" applyBorder="1" applyAlignment="1" applyProtection="1">
      <alignment horizontal="right"/>
      <protection locked="0"/>
    </xf>
    <xf numFmtId="0" fontId="56" fillId="10" borderId="8" xfId="0" applyFont="1" applyFill="1" applyBorder="1" applyAlignment="1" applyProtection="1">
      <alignment wrapText="1"/>
      <protection locked="0"/>
    </xf>
    <xf numFmtId="0" fontId="76" fillId="2" borderId="0" xfId="0" applyFont="1" applyFill="1" applyAlignment="1">
      <alignment horizontal="left"/>
    </xf>
    <xf numFmtId="0" fontId="77" fillId="9" borderId="30" xfId="0" applyFont="1" applyFill="1" applyBorder="1" applyAlignment="1">
      <alignment horizontal="left" vertical="center" wrapText="1" readingOrder="1"/>
    </xf>
    <xf numFmtId="0" fontId="78" fillId="9" borderId="30" xfId="0" applyFont="1" applyFill="1" applyBorder="1" applyAlignment="1">
      <alignment horizontal="left" vertical="center" wrapText="1" readingOrder="1"/>
    </xf>
    <xf numFmtId="0" fontId="77" fillId="9" borderId="30" xfId="0" applyFont="1" applyFill="1" applyBorder="1" applyAlignment="1">
      <alignment horizontal="left" wrapText="1" readingOrder="1"/>
    </xf>
    <xf numFmtId="0" fontId="79" fillId="0" borderId="30" xfId="0" applyFont="1" applyBorder="1" applyAlignment="1">
      <alignment horizontal="left" wrapText="1" readingOrder="1"/>
    </xf>
    <xf numFmtId="0" fontId="80" fillId="3" borderId="1" xfId="0" applyFont="1" applyFill="1" applyBorder="1" applyAlignment="1" applyProtection="1">
      <alignment vertical="center" wrapText="1"/>
      <protection locked="0"/>
    </xf>
    <xf numFmtId="0" fontId="79" fillId="0" borderId="0" xfId="0" applyFont="1" applyAlignment="1">
      <alignment horizontal="left" wrapText="1" readingOrder="1"/>
    </xf>
    <xf numFmtId="0" fontId="77" fillId="9" borderId="0" xfId="0" applyFont="1" applyFill="1" applyAlignment="1">
      <alignment horizontal="left" vertical="center" wrapText="1" readingOrder="1"/>
    </xf>
    <xf numFmtId="0" fontId="33" fillId="5" borderId="0" xfId="0" applyFont="1" applyFill="1" applyAlignment="1">
      <alignment vertical="center" wrapText="1"/>
    </xf>
    <xf numFmtId="177" fontId="31" fillId="5" borderId="1" xfId="0" applyNumberFormat="1" applyFont="1" applyFill="1" applyBorder="1" applyAlignment="1">
      <alignment horizontal="center" vertical="center" wrapText="1"/>
    </xf>
    <xf numFmtId="0" fontId="28" fillId="0" borderId="0" xfId="0" applyFont="1" applyAlignment="1">
      <alignment horizontal="center" vertical="center"/>
    </xf>
    <xf numFmtId="171" fontId="38" fillId="4" borderId="1" xfId="32" applyNumberFormat="1" applyFont="1" applyFill="1" applyBorder="1" applyAlignment="1" applyProtection="1">
      <alignment horizontal="center" vertical="center"/>
      <protection locked="0"/>
    </xf>
    <xf numFmtId="0" fontId="28" fillId="14" borderId="1" xfId="0" applyFont="1" applyFill="1" applyBorder="1" applyAlignment="1">
      <alignment horizontal="center" vertical="center"/>
    </xf>
    <xf numFmtId="9" fontId="38" fillId="4" borderId="36" xfId="32" applyNumberFormat="1" applyFont="1" applyFill="1" applyBorder="1" applyAlignment="1" applyProtection="1">
      <alignment horizontal="center" vertical="center"/>
      <protection locked="0"/>
    </xf>
    <xf numFmtId="0" fontId="33" fillId="5" borderId="7" xfId="0" applyFont="1" applyFill="1" applyBorder="1" applyAlignment="1">
      <alignment horizontal="center" vertical="center" wrapText="1"/>
    </xf>
    <xf numFmtId="9" fontId="38" fillId="4" borderId="35" xfId="32" applyNumberFormat="1" applyFont="1" applyFill="1" applyBorder="1" applyAlignment="1" applyProtection="1">
      <alignment horizontal="center" vertical="center"/>
      <protection locked="0"/>
    </xf>
    <xf numFmtId="178" fontId="0" fillId="6" borderId="0" xfId="32" applyNumberFormat="1" applyFont="1" applyFill="1"/>
    <xf numFmtId="0" fontId="36" fillId="5" borderId="10" xfId="0" applyFont="1" applyFill="1" applyBorder="1" applyAlignment="1">
      <alignment horizontal="center" vertical="center" wrapText="1"/>
    </xf>
    <xf numFmtId="171" fontId="39" fillId="3" borderId="1" xfId="83" applyNumberFormat="1" applyFont="1" applyFill="1" applyBorder="1" applyAlignment="1" applyProtection="1">
      <alignment horizontal="right" vertical="center"/>
      <protection locked="0"/>
    </xf>
    <xf numFmtId="171" fontId="39" fillId="3" borderId="1" xfId="72" applyNumberFormat="1" applyFont="1" applyFill="1" applyBorder="1" applyAlignment="1" applyProtection="1">
      <alignment horizontal="right" vertical="center"/>
      <protection locked="0"/>
    </xf>
    <xf numFmtId="0" fontId="28" fillId="2" borderId="14" xfId="0" applyFont="1" applyFill="1" applyBorder="1" applyAlignment="1">
      <alignment vertical="center"/>
    </xf>
    <xf numFmtId="0" fontId="35" fillId="5" borderId="11" xfId="0" applyFont="1" applyFill="1" applyBorder="1" applyAlignment="1">
      <alignment horizontal="centerContinuous" vertical="center"/>
    </xf>
    <xf numFmtId="0" fontId="35" fillId="5" borderId="11" xfId="0" applyFont="1" applyFill="1" applyBorder="1" applyAlignment="1">
      <alignment horizontal="left" vertical="center"/>
    </xf>
    <xf numFmtId="0" fontId="29" fillId="5" borderId="11" xfId="0" applyFont="1" applyFill="1" applyBorder="1" applyAlignment="1">
      <alignment vertical="center"/>
    </xf>
    <xf numFmtId="0" fontId="35" fillId="5" borderId="11" xfId="0" applyFont="1" applyFill="1" applyBorder="1" applyAlignment="1">
      <alignment horizontal="center" vertical="center"/>
    </xf>
    <xf numFmtId="0" fontId="35" fillId="5" borderId="12" xfId="0" applyFont="1" applyFill="1" applyBorder="1" applyAlignment="1">
      <alignment horizontal="centerContinuous" vertical="center"/>
    </xf>
    <xf numFmtId="0" fontId="36" fillId="5" borderId="13" xfId="0" applyFont="1" applyFill="1" applyBorder="1" applyAlignment="1">
      <alignment horizontal="center" vertical="center" wrapText="1"/>
    </xf>
    <xf numFmtId="0" fontId="31" fillId="5" borderId="6" xfId="0" applyFont="1" applyFill="1" applyBorder="1" applyAlignment="1">
      <alignment horizontal="center" vertical="center" wrapText="1"/>
    </xf>
    <xf numFmtId="0" fontId="29" fillId="5" borderId="6" xfId="0" applyFont="1" applyFill="1" applyBorder="1" applyAlignment="1">
      <alignment horizontal="center" vertical="center"/>
    </xf>
    <xf numFmtId="0" fontId="31" fillId="5" borderId="6" xfId="0" applyFont="1" applyFill="1" applyBorder="1" applyAlignment="1">
      <alignment horizontal="center" vertical="center"/>
    </xf>
    <xf numFmtId="0" fontId="33" fillId="5" borderId="6" xfId="0" applyFont="1" applyFill="1" applyBorder="1" applyAlignment="1">
      <alignment horizontal="center" vertical="center" wrapText="1"/>
    </xf>
    <xf numFmtId="0" fontId="33" fillId="5" borderId="6" xfId="0" applyFont="1" applyFill="1" applyBorder="1" applyAlignment="1">
      <alignment horizontal="center" vertical="center"/>
    </xf>
    <xf numFmtId="0" fontId="33" fillId="5" borderId="15" xfId="0" applyFont="1" applyFill="1" applyBorder="1" applyAlignment="1">
      <alignment horizontal="center" vertical="center" wrapText="1"/>
    </xf>
    <xf numFmtId="168" fontId="51" fillId="11" borderId="0" xfId="17" applyNumberFormat="1" applyFont="1" applyFill="1" applyAlignment="1">
      <alignment horizontal="center" vertical="center" wrapText="1"/>
    </xf>
    <xf numFmtId="0" fontId="34" fillId="4" borderId="4" xfId="0" applyFont="1" applyFill="1" applyBorder="1" applyAlignment="1">
      <alignment horizontal="centerContinuous" vertical="center"/>
    </xf>
    <xf numFmtId="0" fontId="34" fillId="4" borderId="3" xfId="0" applyFont="1" applyFill="1" applyBorder="1" applyAlignment="1">
      <alignment horizontal="centerContinuous" vertical="center"/>
    </xf>
    <xf numFmtId="0" fontId="30" fillId="5" borderId="1" xfId="0" applyFont="1" applyFill="1" applyBorder="1" applyAlignment="1">
      <alignment vertical="center" wrapText="1"/>
    </xf>
    <xf numFmtId="0" fontId="29" fillId="5" borderId="3" xfId="0" applyFont="1" applyFill="1" applyBorder="1" applyAlignment="1">
      <alignment horizontal="center" vertical="center"/>
    </xf>
    <xf numFmtId="171" fontId="28" fillId="3" borderId="19" xfId="32" applyNumberFormat="1" applyFont="1" applyFill="1" applyBorder="1" applyAlignment="1">
      <alignment horizontal="right" vertical="center"/>
    </xf>
    <xf numFmtId="0" fontId="34" fillId="2" borderId="0" xfId="0" applyFont="1" applyFill="1" applyAlignment="1">
      <alignment vertical="center"/>
    </xf>
    <xf numFmtId="0" fontId="34" fillId="0" borderId="0" xfId="0" applyFont="1" applyAlignment="1">
      <alignment vertical="center"/>
    </xf>
    <xf numFmtId="171" fontId="28" fillId="3" borderId="16" xfId="32" applyNumberFormat="1" applyFont="1" applyFill="1" applyBorder="1" applyAlignment="1">
      <alignment horizontal="right" vertical="center"/>
    </xf>
    <xf numFmtId="171" fontId="28" fillId="3" borderId="20" xfId="32" applyNumberFormat="1" applyFont="1" applyFill="1" applyBorder="1" applyAlignment="1">
      <alignment horizontal="right" vertical="center"/>
    </xf>
    <xf numFmtId="1" fontId="28" fillId="0" borderId="0" xfId="0" applyNumberFormat="1" applyFont="1" applyAlignment="1">
      <alignment vertical="center"/>
    </xf>
    <xf numFmtId="17" fontId="34" fillId="3" borderId="11" xfId="0" applyNumberFormat="1" applyFont="1" applyFill="1" applyBorder="1" applyAlignment="1" applyProtection="1">
      <alignment horizontal="center" vertical="center"/>
      <protection locked="0"/>
    </xf>
    <xf numFmtId="0" fontId="8" fillId="2" borderId="0" xfId="87" applyFill="1"/>
    <xf numFmtId="0" fontId="36" fillId="5" borderId="11" xfId="0" applyFont="1" applyFill="1" applyBorder="1" applyAlignment="1">
      <alignment horizontal="left" vertical="center" wrapText="1"/>
    </xf>
    <xf numFmtId="170" fontId="26" fillId="5" borderId="1" xfId="0" applyNumberFormat="1" applyFont="1" applyFill="1" applyBorder="1" applyAlignment="1">
      <alignment horizontal="center" vertical="center"/>
    </xf>
    <xf numFmtId="170" fontId="26" fillId="5" borderId="21" xfId="0" applyNumberFormat="1" applyFont="1" applyFill="1" applyBorder="1" applyAlignment="1">
      <alignment horizontal="center" vertical="center"/>
    </xf>
    <xf numFmtId="0" fontId="8" fillId="6" borderId="0" xfId="87" applyFill="1"/>
    <xf numFmtId="0" fontId="26" fillId="5" borderId="1" xfId="87" applyFont="1" applyFill="1" applyBorder="1" applyAlignment="1">
      <alignment horizontal="left" vertical="center"/>
    </xf>
    <xf numFmtId="0" fontId="26" fillId="5" borderId="5" xfId="87" applyFont="1" applyFill="1" applyBorder="1" applyAlignment="1">
      <alignment horizontal="left" vertical="center"/>
    </xf>
    <xf numFmtId="0" fontId="43" fillId="5" borderId="5" xfId="87" applyFont="1" applyFill="1" applyBorder="1" applyAlignment="1">
      <alignment horizontal="left" vertical="center"/>
    </xf>
    <xf numFmtId="0" fontId="26" fillId="5" borderId="3" xfId="87" applyFont="1" applyFill="1" applyBorder="1" applyAlignment="1">
      <alignment horizontal="left" vertical="center"/>
    </xf>
    <xf numFmtId="0" fontId="65" fillId="2" borderId="0" xfId="87" applyFont="1" applyFill="1"/>
    <xf numFmtId="170" fontId="8" fillId="4" borderId="3" xfId="87" applyNumberFormat="1" applyFill="1" applyBorder="1"/>
    <xf numFmtId="0" fontId="65" fillId="4" borderId="14" xfId="87" applyFont="1" applyFill="1" applyBorder="1"/>
    <xf numFmtId="0" fontId="8" fillId="4" borderId="0" xfId="87" applyFill="1"/>
    <xf numFmtId="175" fontId="81" fillId="4" borderId="1" xfId="88" applyNumberFormat="1" applyFont="1" applyFill="1" applyBorder="1" applyAlignment="1">
      <alignment horizontal="right"/>
    </xf>
    <xf numFmtId="0" fontId="26" fillId="5" borderId="8" xfId="87" applyFont="1" applyFill="1" applyBorder="1" applyAlignment="1">
      <alignment horizontal="left" vertical="center"/>
    </xf>
    <xf numFmtId="0" fontId="37" fillId="4" borderId="7" xfId="0" applyFont="1" applyFill="1" applyBorder="1" applyAlignment="1">
      <alignment horizontal="center" wrapText="1"/>
    </xf>
    <xf numFmtId="0" fontId="30" fillId="5" borderId="17" xfId="0" applyFont="1" applyFill="1" applyBorder="1" applyAlignment="1">
      <alignment horizontal="left" vertical="center" wrapText="1"/>
    </xf>
    <xf numFmtId="0" fontId="40" fillId="2" borderId="0" xfId="0" applyFont="1" applyFill="1"/>
    <xf numFmtId="0" fontId="30" fillId="5" borderId="1" xfId="0" applyFont="1" applyFill="1" applyBorder="1" applyAlignment="1">
      <alignment horizontal="left" vertical="center" wrapText="1"/>
    </xf>
    <xf numFmtId="0" fontId="37" fillId="4" borderId="1" xfId="0" applyFont="1" applyFill="1" applyBorder="1" applyAlignment="1">
      <alignment horizontal="center" wrapText="1"/>
    </xf>
    <xf numFmtId="0" fontId="33" fillId="5" borderId="7" xfId="0" applyFont="1" applyFill="1" applyBorder="1" applyAlignment="1">
      <alignment horizontal="center" vertical="center"/>
    </xf>
    <xf numFmtId="0" fontId="33" fillId="5" borderId="5" xfId="0" applyFont="1" applyFill="1" applyBorder="1" applyAlignment="1">
      <alignment horizontal="center" vertical="center"/>
    </xf>
    <xf numFmtId="0" fontId="33" fillId="5" borderId="4" xfId="0" applyFont="1" applyFill="1" applyBorder="1" applyAlignment="1">
      <alignment horizontal="center" vertical="center"/>
    </xf>
    <xf numFmtId="0" fontId="33" fillId="5" borderId="3" xfId="0" applyFont="1" applyFill="1" applyBorder="1" applyAlignment="1">
      <alignment horizontal="center" vertical="center"/>
    </xf>
    <xf numFmtId="0" fontId="67" fillId="5" borderId="1"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34" fillId="4" borderId="5" xfId="0" applyFont="1" applyFill="1" applyBorder="1" applyAlignment="1">
      <alignment horizontal="center"/>
    </xf>
    <xf numFmtId="0" fontId="32" fillId="4" borderId="5"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3" fillId="5" borderId="1" xfId="0" applyFont="1" applyFill="1" applyBorder="1" applyAlignment="1">
      <alignment horizontal="center" vertical="center"/>
    </xf>
    <xf numFmtId="0" fontId="56" fillId="17" borderId="1" xfId="0" applyFont="1" applyFill="1" applyBorder="1" applyAlignment="1">
      <alignment wrapText="1"/>
    </xf>
    <xf numFmtId="0" fontId="37" fillId="2" borderId="0" xfId="0" applyFont="1" applyFill="1"/>
    <xf numFmtId="0" fontId="32" fillId="2" borderId="14" xfId="0" applyFont="1" applyFill="1" applyBorder="1" applyAlignment="1">
      <alignment horizontal="center"/>
    </xf>
    <xf numFmtId="0" fontId="67" fillId="5" borderId="4" xfId="0" applyFont="1" applyFill="1" applyBorder="1" applyAlignment="1">
      <alignment horizontal="left" vertical="center"/>
    </xf>
    <xf numFmtId="0" fontId="56" fillId="17" borderId="8" xfId="0" applyFont="1" applyFill="1" applyBorder="1" applyAlignment="1">
      <alignment wrapText="1"/>
    </xf>
    <xf numFmtId="0" fontId="34" fillId="4" borderId="8" xfId="0" applyFont="1" applyFill="1" applyBorder="1" applyAlignment="1">
      <alignment horizontal="left"/>
    </xf>
    <xf numFmtId="0" fontId="34" fillId="4" borderId="1" xfId="0" applyFont="1" applyFill="1" applyBorder="1" applyAlignment="1">
      <alignment horizontal="left"/>
    </xf>
    <xf numFmtId="0" fontId="67" fillId="5" borderId="1" xfId="0" applyFont="1" applyFill="1" applyBorder="1" applyAlignment="1">
      <alignment horizontal="left" vertical="center"/>
    </xf>
    <xf numFmtId="0" fontId="35" fillId="5" borderId="8" xfId="0" applyFont="1" applyFill="1" applyBorder="1" applyAlignment="1">
      <alignment horizontal="center" vertical="center"/>
    </xf>
    <xf numFmtId="0" fontId="31" fillId="2" borderId="0" xfId="0" applyFont="1" applyFill="1"/>
    <xf numFmtId="0" fontId="28" fillId="6" borderId="0" xfId="0" applyFont="1" applyFill="1"/>
    <xf numFmtId="0" fontId="35" fillId="5" borderId="7" xfId="0" applyFont="1" applyFill="1" applyBorder="1" applyAlignment="1">
      <alignment horizontal="left" vertical="center"/>
    </xf>
    <xf numFmtId="2" fontId="28" fillId="2" borderId="0" xfId="0" applyNumberFormat="1" applyFont="1" applyFill="1"/>
    <xf numFmtId="2" fontId="30" fillId="2" borderId="0" xfId="0" applyNumberFormat="1" applyFont="1" applyFill="1"/>
    <xf numFmtId="2" fontId="28" fillId="6" borderId="0" xfId="0" applyNumberFormat="1" applyFont="1" applyFill="1"/>
    <xf numFmtId="0" fontId="27" fillId="6" borderId="0" xfId="0" applyFont="1" applyFill="1"/>
    <xf numFmtId="0" fontId="36" fillId="5" borderId="7" xfId="0" applyFont="1" applyFill="1" applyBorder="1" applyAlignment="1">
      <alignment vertical="center" wrapText="1"/>
    </xf>
    <xf numFmtId="0" fontId="26" fillId="5" borderId="1" xfId="0" applyFont="1" applyFill="1" applyBorder="1" applyAlignment="1">
      <alignment horizontal="centerContinuous" vertical="center"/>
    </xf>
    <xf numFmtId="2" fontId="36" fillId="5" borderId="1" xfId="0" applyNumberFormat="1"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14" fontId="36" fillId="5" borderId="1" xfId="0" applyNumberFormat="1" applyFont="1" applyFill="1" applyBorder="1" applyAlignment="1">
      <alignment horizontal="center" vertical="center" wrapText="1"/>
    </xf>
    <xf numFmtId="0" fontId="36" fillId="21" borderId="1" xfId="0" applyFont="1" applyFill="1" applyBorder="1" applyAlignment="1">
      <alignment horizontal="center" vertical="center" wrapText="1"/>
    </xf>
    <xf numFmtId="0" fontId="73" fillId="2" borderId="0" xfId="0" applyFont="1" applyFill="1" applyAlignment="1">
      <alignment vertical="center"/>
    </xf>
    <xf numFmtId="0" fontId="74" fillId="2" borderId="0" xfId="0" applyFont="1" applyFill="1" applyAlignment="1">
      <alignment vertical="center"/>
    </xf>
    <xf numFmtId="0" fontId="73" fillId="6" borderId="0" xfId="0" applyFont="1" applyFill="1" applyAlignment="1">
      <alignment vertical="center"/>
    </xf>
    <xf numFmtId="0" fontId="64" fillId="2" borderId="0" xfId="0" applyFont="1" applyFill="1" applyAlignment="1">
      <alignment horizontal="center" vertical="center"/>
    </xf>
    <xf numFmtId="0" fontId="38" fillId="4" borderId="1" xfId="0" applyFont="1" applyFill="1" applyBorder="1" applyAlignment="1">
      <alignment vertical="center"/>
    </xf>
    <xf numFmtId="0" fontId="38" fillId="14" borderId="1" xfId="0" applyFont="1" applyFill="1" applyBorder="1" applyAlignment="1">
      <alignment vertical="center"/>
    </xf>
    <xf numFmtId="171" fontId="38" fillId="4" borderId="1" xfId="0" applyNumberFormat="1" applyFont="1" applyFill="1" applyBorder="1" applyAlignment="1">
      <alignment vertical="center"/>
    </xf>
    <xf numFmtId="0" fontId="36" fillId="5" borderId="1" xfId="0" applyFont="1" applyFill="1" applyBorder="1" applyAlignment="1">
      <alignment horizontal="left" vertical="center" wrapText="1"/>
    </xf>
    <xf numFmtId="0" fontId="26" fillId="5" borderId="1" xfId="0" applyFont="1" applyFill="1" applyBorder="1" applyAlignment="1">
      <alignment horizontal="centerContinuous" vertical="center" wrapText="1"/>
    </xf>
    <xf numFmtId="0" fontId="47" fillId="8" borderId="0" xfId="0" applyFont="1" applyFill="1"/>
    <xf numFmtId="0" fontId="50" fillId="2" borderId="0" xfId="0" applyFont="1" applyFill="1"/>
    <xf numFmtId="0" fontId="44" fillId="15" borderId="1" xfId="0" applyFont="1" applyFill="1" applyBorder="1" applyAlignment="1">
      <alignment vertical="center"/>
    </xf>
    <xf numFmtId="171" fontId="44" fillId="5" borderId="1" xfId="32" applyNumberFormat="1" applyFont="1" applyFill="1" applyBorder="1" applyAlignment="1">
      <alignment horizontal="right" vertical="center"/>
    </xf>
    <xf numFmtId="166" fontId="44" fillId="3" borderId="1" xfId="32" applyNumberFormat="1" applyFont="1" applyFill="1" applyBorder="1" applyAlignment="1">
      <alignment horizontal="left" vertical="center"/>
    </xf>
    <xf numFmtId="168" fontId="39" fillId="4" borderId="1" xfId="0" applyNumberFormat="1" applyFont="1" applyFill="1" applyBorder="1" applyAlignment="1">
      <alignment horizontal="left" vertical="center"/>
    </xf>
    <xf numFmtId="0" fontId="38" fillId="2" borderId="0" xfId="0" applyFont="1" applyFill="1"/>
    <xf numFmtId="170" fontId="38" fillId="2" borderId="0" xfId="0" applyNumberFormat="1" applyFont="1" applyFill="1"/>
    <xf numFmtId="0" fontId="34" fillId="4" borderId="1" xfId="0" applyFont="1" applyFill="1" applyBorder="1" applyAlignment="1">
      <alignment horizontal="left" vertical="center"/>
    </xf>
    <xf numFmtId="170" fontId="32" fillId="2" borderId="0" xfId="0" applyNumberFormat="1" applyFont="1" applyFill="1"/>
    <xf numFmtId="171" fontId="28" fillId="4" borderId="1" xfId="32" applyNumberFormat="1" applyFont="1" applyFill="1" applyBorder="1" applyAlignment="1">
      <alignment horizontal="center" vertical="center"/>
    </xf>
    <xf numFmtId="171" fontId="28" fillId="4" borderId="1" xfId="32" applyNumberFormat="1" applyFont="1" applyFill="1" applyBorder="1" applyProtection="1">
      <protection locked="0"/>
    </xf>
    <xf numFmtId="171" fontId="34" fillId="4" borderId="1" xfId="32" applyNumberFormat="1" applyFont="1" applyFill="1" applyBorder="1" applyProtection="1">
      <protection locked="0"/>
    </xf>
    <xf numFmtId="0" fontId="77" fillId="9" borderId="37" xfId="0" applyFont="1" applyFill="1" applyBorder="1" applyAlignment="1">
      <alignment horizontal="left" vertical="center" wrapText="1" readingOrder="1"/>
    </xf>
    <xf numFmtId="0" fontId="79" fillId="0" borderId="31" xfId="0" applyFont="1" applyBorder="1" applyAlignment="1">
      <alignment horizontal="left" wrapText="1" readingOrder="1"/>
    </xf>
    <xf numFmtId="0" fontId="77" fillId="9" borderId="1" xfId="0" applyFont="1" applyFill="1" applyBorder="1" applyAlignment="1">
      <alignment horizontal="left" vertical="center" wrapText="1" readingOrder="1"/>
    </xf>
    <xf numFmtId="0" fontId="44" fillId="3" borderId="1" xfId="0" applyFont="1" applyFill="1" applyBorder="1" applyAlignment="1" applyProtection="1">
      <alignment horizontal="left" vertical="center" wrapText="1"/>
      <protection locked="0"/>
    </xf>
    <xf numFmtId="0" fontId="38" fillId="3" borderId="1" xfId="0" applyFont="1" applyFill="1" applyBorder="1" applyAlignment="1" applyProtection="1">
      <alignment horizontal="left" vertical="center" wrapText="1"/>
      <protection locked="0"/>
    </xf>
    <xf numFmtId="0" fontId="0" fillId="0" borderId="0" xfId="0" applyAlignment="1">
      <alignment horizontal="left" wrapText="1"/>
    </xf>
    <xf numFmtId="179" fontId="28" fillId="4" borderId="1" xfId="33" applyNumberFormat="1" applyFont="1" applyFill="1" applyBorder="1" applyAlignment="1">
      <alignment horizontal="center" vertical="center"/>
    </xf>
    <xf numFmtId="0" fontId="30" fillId="5" borderId="5" xfId="0" applyFont="1" applyFill="1" applyBorder="1" applyAlignment="1">
      <alignment horizontal="left" vertical="center"/>
    </xf>
    <xf numFmtId="0" fontId="82" fillId="2" borderId="0" xfId="0" applyFont="1" applyFill="1" applyAlignment="1">
      <alignment horizontal="left" vertical="center"/>
    </xf>
    <xf numFmtId="171" fontId="44" fillId="3" borderId="1" xfId="72" applyNumberFormat="1" applyFont="1" applyFill="1" applyBorder="1" applyAlignment="1" applyProtection="1">
      <alignment horizontal="left" vertical="center"/>
      <protection locked="0"/>
    </xf>
    <xf numFmtId="0" fontId="33" fillId="5" borderId="1" xfId="0" applyFont="1" applyFill="1" applyBorder="1" applyAlignment="1">
      <alignment vertical="center" wrapText="1"/>
    </xf>
    <xf numFmtId="171" fontId="83" fillId="4" borderId="1" xfId="32" applyNumberFormat="1" applyFont="1" applyFill="1" applyBorder="1" applyAlignment="1" applyProtection="1">
      <alignment horizontal="center" vertical="center"/>
      <protection locked="0"/>
    </xf>
    <xf numFmtId="0" fontId="34" fillId="14" borderId="1" xfId="0" applyFont="1" applyFill="1" applyBorder="1" applyAlignment="1">
      <alignment horizontal="center" vertical="center"/>
    </xf>
    <xf numFmtId="9" fontId="83" fillId="4" borderId="1" xfId="32" applyNumberFormat="1" applyFont="1" applyFill="1" applyBorder="1" applyAlignment="1" applyProtection="1">
      <alignment horizontal="center" vertical="center"/>
      <protection locked="0"/>
    </xf>
    <xf numFmtId="9" fontId="83" fillId="4" borderId="5" xfId="32" applyNumberFormat="1" applyFont="1" applyFill="1" applyBorder="1" applyAlignment="1" applyProtection="1">
      <alignment horizontal="center" vertical="center"/>
      <protection locked="0"/>
    </xf>
    <xf numFmtId="0" fontId="43" fillId="5" borderId="1" xfId="0" applyFont="1" applyFill="1" applyBorder="1" applyAlignment="1">
      <alignment horizontal="left" wrapText="1"/>
    </xf>
    <xf numFmtId="0" fontId="43" fillId="5" borderId="1" xfId="0" applyFont="1" applyFill="1" applyBorder="1" applyAlignment="1">
      <alignment vertical="center" wrapText="1"/>
    </xf>
    <xf numFmtId="170" fontId="44" fillId="2" borderId="0" xfId="0" applyNumberFormat="1" applyFont="1" applyFill="1"/>
    <xf numFmtId="171" fontId="44" fillId="3" borderId="1" xfId="0" applyNumberFormat="1" applyFont="1" applyFill="1" applyBorder="1" applyAlignment="1" applyProtection="1">
      <alignment horizontal="right" wrapText="1"/>
      <protection locked="0"/>
    </xf>
    <xf numFmtId="171" fontId="44" fillId="4" borderId="1" xfId="32" applyNumberFormat="1" applyFont="1" applyFill="1" applyBorder="1"/>
    <xf numFmtId="171" fontId="44" fillId="3" borderId="1" xfId="32" applyNumberFormat="1" applyFont="1" applyFill="1" applyBorder="1" applyProtection="1">
      <protection locked="0"/>
    </xf>
    <xf numFmtId="0" fontId="44" fillId="2" borderId="0" xfId="0" applyFont="1" applyFill="1"/>
    <xf numFmtId="170" fontId="2" fillId="2" borderId="0" xfId="0" applyNumberFormat="1" applyFont="1" applyFill="1"/>
    <xf numFmtId="0" fontId="29" fillId="5" borderId="11" xfId="0" applyFont="1" applyFill="1" applyBorder="1" applyAlignment="1">
      <alignment horizontal="center" vertical="center"/>
    </xf>
    <xf numFmtId="0" fontId="30" fillId="0" borderId="0" xfId="0" applyFont="1" applyAlignment="1">
      <alignment vertical="center"/>
    </xf>
    <xf numFmtId="0" fontId="84" fillId="6" borderId="0" xfId="0" applyFont="1" applyFill="1" applyAlignment="1">
      <alignment vertical="center"/>
    </xf>
    <xf numFmtId="0" fontId="85" fillId="6" borderId="0" xfId="87" applyFont="1" applyFill="1"/>
    <xf numFmtId="0" fontId="50" fillId="0" borderId="0" xfId="0" applyFont="1"/>
    <xf numFmtId="166" fontId="27" fillId="3" borderId="1" xfId="88" applyNumberFormat="1" applyFont="1" applyFill="1" applyBorder="1" applyAlignment="1" applyProtection="1">
      <alignment horizontal="left"/>
      <protection locked="0"/>
    </xf>
    <xf numFmtId="175" fontId="27" fillId="3" borderId="1" xfId="88" applyNumberFormat="1" applyFont="1" applyFill="1" applyBorder="1" applyAlignment="1" applyProtection="1">
      <alignment horizontal="right"/>
      <protection locked="0"/>
    </xf>
    <xf numFmtId="171" fontId="27" fillId="3" borderId="1" xfId="88" applyNumberFormat="1" applyFont="1" applyFill="1" applyBorder="1" applyAlignment="1" applyProtection="1">
      <alignment horizontal="right"/>
      <protection locked="0"/>
    </xf>
    <xf numFmtId="0" fontId="0" fillId="0" borderId="1" xfId="0" applyBorder="1"/>
    <xf numFmtId="3" fontId="0" fillId="0" borderId="1" xfId="0" applyNumberFormat="1" applyBorder="1"/>
    <xf numFmtId="0" fontId="47" fillId="0" borderId="1" xfId="0" applyFont="1" applyBorder="1"/>
    <xf numFmtId="9" fontId="28" fillId="6" borderId="1" xfId="0" applyNumberFormat="1" applyFont="1" applyFill="1" applyBorder="1" applyAlignment="1">
      <alignment vertical="center"/>
    </xf>
    <xf numFmtId="17" fontId="70" fillId="0" borderId="1" xfId="0" applyNumberFormat="1" applyFont="1" applyBorder="1"/>
    <xf numFmtId="3" fontId="27" fillId="0" borderId="1" xfId="0" applyNumberFormat="1" applyFont="1" applyBorder="1"/>
    <xf numFmtId="0" fontId="52" fillId="0" borderId="0" xfId="0" applyFont="1"/>
    <xf numFmtId="17" fontId="4" fillId="0" borderId="1" xfId="95" applyNumberFormat="1" applyBorder="1"/>
    <xf numFmtId="9" fontId="0" fillId="0" borderId="1" xfId="0" applyNumberFormat="1" applyBorder="1"/>
    <xf numFmtId="17" fontId="4" fillId="0" borderId="8" xfId="95" applyNumberFormat="1" applyBorder="1"/>
    <xf numFmtId="0" fontId="0" fillId="0" borderId="8" xfId="0" applyBorder="1"/>
    <xf numFmtId="3" fontId="0" fillId="0" borderId="8" xfId="0" applyNumberFormat="1" applyBorder="1"/>
    <xf numFmtId="9" fontId="0" fillId="0" borderId="8" xfId="0" applyNumberFormat="1" applyBorder="1"/>
    <xf numFmtId="0" fontId="4" fillId="16" borderId="32" xfId="95" applyFill="1" applyBorder="1" applyAlignment="1">
      <alignment horizontal="center" vertical="center" wrapText="1"/>
    </xf>
    <xf numFmtId="0" fontId="4" fillId="16" borderId="33" xfId="95" applyFill="1" applyBorder="1" applyAlignment="1">
      <alignment horizontal="center" vertical="center" wrapText="1"/>
    </xf>
    <xf numFmtId="0" fontId="4" fillId="16" borderId="34" xfId="95" applyFill="1" applyBorder="1" applyAlignment="1">
      <alignment horizontal="center" vertical="center" wrapText="1"/>
    </xf>
    <xf numFmtId="0" fontId="4" fillId="16" borderId="39" xfId="95" applyFill="1" applyBorder="1" applyAlignment="1">
      <alignment horizontal="center" vertical="center" wrapText="1"/>
    </xf>
    <xf numFmtId="0" fontId="4" fillId="16" borderId="40" xfId="95" applyFill="1" applyBorder="1" applyAlignment="1">
      <alignment horizontal="center" vertical="center" wrapText="1"/>
    </xf>
    <xf numFmtId="3" fontId="4" fillId="0" borderId="1" xfId="95" applyNumberFormat="1" applyBorder="1" applyAlignment="1">
      <alignment horizontal="right"/>
    </xf>
    <xf numFmtId="3" fontId="42" fillId="18" borderId="1" xfId="95" applyNumberFormat="1" applyFont="1" applyFill="1" applyBorder="1" applyAlignment="1">
      <alignment horizontal="right"/>
    </xf>
    <xf numFmtId="3" fontId="4" fillId="0" borderId="1" xfId="95" applyNumberFormat="1" applyBorder="1"/>
    <xf numFmtId="3" fontId="4" fillId="0" borderId="8" xfId="95" applyNumberFormat="1" applyBorder="1" applyAlignment="1">
      <alignment horizontal="right"/>
    </xf>
    <xf numFmtId="17" fontId="4" fillId="0" borderId="41" xfId="95" applyNumberFormat="1" applyBorder="1"/>
    <xf numFmtId="3" fontId="4" fillId="0" borderId="42" xfId="95" applyNumberFormat="1" applyBorder="1" applyAlignment="1">
      <alignment horizontal="right"/>
    </xf>
    <xf numFmtId="17" fontId="4" fillId="0" borderId="43" xfId="95" applyNumberFormat="1" applyBorder="1"/>
    <xf numFmtId="3" fontId="4" fillId="0" borderId="44" xfId="95" applyNumberFormat="1" applyBorder="1" applyAlignment="1">
      <alignment horizontal="right"/>
    </xf>
    <xf numFmtId="3" fontId="4" fillId="0" borderId="44" xfId="95" applyNumberFormat="1" applyBorder="1"/>
    <xf numFmtId="17" fontId="4" fillId="0" borderId="45" xfId="95" applyNumberFormat="1" applyBorder="1"/>
    <xf numFmtId="3" fontId="0" fillId="0" borderId="46" xfId="0" applyNumberFormat="1" applyBorder="1"/>
    <xf numFmtId="3" fontId="0" fillId="0" borderId="47" xfId="0" applyNumberFormat="1" applyBorder="1"/>
    <xf numFmtId="0" fontId="0" fillId="0" borderId="41" xfId="0" applyBorder="1"/>
    <xf numFmtId="0" fontId="0" fillId="0" borderId="42" xfId="0" applyBorder="1"/>
    <xf numFmtId="0" fontId="0" fillId="0" borderId="43" xfId="0" applyBorder="1"/>
    <xf numFmtId="0" fontId="0" fillId="0" borderId="44" xfId="0" applyBorder="1"/>
    <xf numFmtId="3" fontId="0" fillId="0" borderId="43" xfId="0" applyNumberFormat="1" applyBorder="1"/>
    <xf numFmtId="3" fontId="42" fillId="18" borderId="43" xfId="95" applyNumberFormat="1" applyFont="1" applyFill="1" applyBorder="1" applyAlignment="1">
      <alignment horizontal="right"/>
    </xf>
    <xf numFmtId="3" fontId="42" fillId="18" borderId="44" xfId="95" applyNumberFormat="1" applyFont="1" applyFill="1" applyBorder="1" applyAlignment="1">
      <alignment horizontal="right"/>
    </xf>
    <xf numFmtId="3" fontId="4" fillId="0" borderId="43" xfId="95" applyNumberFormat="1" applyBorder="1" applyAlignment="1">
      <alignment horizontal="right"/>
    </xf>
    <xf numFmtId="3" fontId="42" fillId="18" borderId="45" xfId="95" applyNumberFormat="1" applyFont="1" applyFill="1" applyBorder="1" applyAlignment="1">
      <alignment horizontal="right"/>
    </xf>
    <xf numFmtId="3" fontId="42" fillId="18" borderId="46" xfId="95" applyNumberFormat="1" applyFont="1" applyFill="1" applyBorder="1" applyAlignment="1">
      <alignment horizontal="right"/>
    </xf>
    <xf numFmtId="3" fontId="42" fillId="18" borderId="47" xfId="95" applyNumberFormat="1" applyFont="1" applyFill="1" applyBorder="1" applyAlignment="1">
      <alignment horizontal="right"/>
    </xf>
    <xf numFmtId="0" fontId="34" fillId="4" borderId="13" xfId="0" applyFont="1" applyFill="1" applyBorder="1" applyAlignment="1">
      <alignment vertical="center"/>
    </xf>
    <xf numFmtId="0" fontId="34" fillId="4" borderId="6" xfId="0" applyFont="1" applyFill="1" applyBorder="1" applyAlignment="1">
      <alignment horizontal="center" vertical="center"/>
    </xf>
    <xf numFmtId="0" fontId="36" fillId="5" borderId="1" xfId="0" applyFont="1" applyFill="1" applyBorder="1" applyAlignment="1">
      <alignment horizontal="centerContinuous" vertical="center" wrapText="1"/>
    </xf>
    <xf numFmtId="0" fontId="34" fillId="4" borderId="6" xfId="0" applyFont="1" applyFill="1" applyBorder="1" applyAlignment="1">
      <alignment vertical="center"/>
    </xf>
    <xf numFmtId="0" fontId="0" fillId="23" borderId="0" xfId="0" applyFill="1"/>
    <xf numFmtId="0" fontId="50" fillId="23" borderId="0" xfId="0" applyFont="1" applyFill="1"/>
    <xf numFmtId="0" fontId="86" fillId="5" borderId="1" xfId="0" applyFont="1" applyFill="1" applyBorder="1" applyAlignment="1">
      <alignment horizontal="center" vertical="center" wrapText="1"/>
    </xf>
    <xf numFmtId="0" fontId="87" fillId="11" borderId="1" xfId="0" applyFont="1" applyFill="1" applyBorder="1" applyAlignment="1">
      <alignment horizontal="center" vertical="center" wrapText="1"/>
    </xf>
    <xf numFmtId="9" fontId="28" fillId="6" borderId="3" xfId="0" applyNumberFormat="1" applyFont="1" applyFill="1" applyBorder="1" applyAlignment="1">
      <alignment vertical="center"/>
    </xf>
    <xf numFmtId="0" fontId="61" fillId="11" borderId="0" xfId="0" applyFont="1" applyFill="1"/>
    <xf numFmtId="0" fontId="55" fillId="11" borderId="11" xfId="0" applyFont="1" applyFill="1" applyBorder="1"/>
    <xf numFmtId="0" fontId="61" fillId="11" borderId="6" xfId="0" applyFont="1" applyFill="1" applyBorder="1"/>
    <xf numFmtId="3" fontId="60" fillId="0" borderId="3" xfId="0" applyNumberFormat="1" applyFont="1" applyBorder="1"/>
    <xf numFmtId="0" fontId="55" fillId="11" borderId="4" xfId="0" applyFont="1" applyFill="1" applyBorder="1"/>
    <xf numFmtId="3" fontId="60" fillId="0" borderId="12" xfId="0" applyNumberFormat="1" applyFont="1" applyBorder="1"/>
    <xf numFmtId="3" fontId="60" fillId="0" borderId="15" xfId="0" applyNumberFormat="1" applyFont="1" applyBorder="1"/>
    <xf numFmtId="0" fontId="60" fillId="0" borderId="3" xfId="0" applyFont="1" applyBorder="1"/>
    <xf numFmtId="0" fontId="30" fillId="5" borderId="4" xfId="0" applyFont="1" applyFill="1" applyBorder="1" applyAlignment="1">
      <alignment horizontal="left" vertical="center"/>
    </xf>
    <xf numFmtId="0" fontId="30" fillId="5" borderId="3" xfId="0" applyFont="1" applyFill="1" applyBorder="1" applyAlignment="1">
      <alignment horizontal="left" vertical="center"/>
    </xf>
    <xf numFmtId="0" fontId="30" fillId="5" borderId="5" xfId="0" applyFont="1" applyFill="1" applyBorder="1" applyAlignment="1">
      <alignment vertical="center"/>
    </xf>
    <xf numFmtId="0" fontId="35" fillId="5" borderId="5" xfId="0" applyFont="1" applyFill="1" applyBorder="1" applyAlignment="1">
      <alignment vertical="center"/>
    </xf>
    <xf numFmtId="0" fontId="55" fillId="11" borderId="10" xfId="0" applyFont="1" applyFill="1" applyBorder="1" applyAlignment="1">
      <alignment horizontal="left"/>
    </xf>
    <xf numFmtId="0" fontId="55" fillId="11" borderId="5" xfId="0" applyFont="1" applyFill="1" applyBorder="1" applyAlignment="1">
      <alignment horizontal="left"/>
    </xf>
    <xf numFmtId="0" fontId="61" fillId="11" borderId="13" xfId="0" applyFont="1" applyFill="1" applyBorder="1" applyAlignment="1">
      <alignment horizontal="left"/>
    </xf>
    <xf numFmtId="0" fontId="31" fillId="5" borderId="9" xfId="0" quotePrefix="1" applyFont="1" applyFill="1" applyBorder="1" applyAlignment="1">
      <alignment horizontal="center" vertical="center" wrapText="1"/>
    </xf>
    <xf numFmtId="0" fontId="31" fillId="5" borderId="8" xfId="0" quotePrefix="1" applyFont="1" applyFill="1" applyBorder="1" applyAlignment="1">
      <alignment horizontal="center" vertical="center" wrapText="1"/>
    </xf>
    <xf numFmtId="0" fontId="34" fillId="6" borderId="5" xfId="0" applyFont="1" applyFill="1" applyBorder="1" applyAlignment="1">
      <alignment vertical="center"/>
    </xf>
    <xf numFmtId="0" fontId="34" fillId="6" borderId="3" xfId="0" applyFont="1" applyFill="1" applyBorder="1" applyAlignment="1">
      <alignment vertical="center"/>
    </xf>
    <xf numFmtId="14" fontId="30" fillId="5" borderId="1" xfId="0" applyNumberFormat="1" applyFont="1" applyFill="1" applyBorder="1" applyAlignment="1">
      <alignment horizontal="center" vertical="center" wrapText="1"/>
    </xf>
    <xf numFmtId="0" fontId="35" fillId="4"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83" fillId="4" borderId="1" xfId="0" applyFont="1" applyFill="1" applyBorder="1" applyAlignment="1" applyProtection="1">
      <alignment vertical="center"/>
      <protection locked="0"/>
    </xf>
    <xf numFmtId="0" fontId="77" fillId="19" borderId="30" xfId="0" applyFont="1" applyFill="1" applyBorder="1" applyAlignment="1">
      <alignment horizontal="left" vertical="center" wrapText="1" readingOrder="1"/>
    </xf>
    <xf numFmtId="0" fontId="77" fillId="3" borderId="30" xfId="0" applyFont="1" applyFill="1" applyBorder="1" applyAlignment="1">
      <alignment horizontal="left" vertical="center" wrapText="1" readingOrder="1"/>
    </xf>
    <xf numFmtId="0" fontId="0" fillId="0" borderId="0" xfId="0" applyAlignment="1">
      <alignment horizontal="left" vertical="center" indent="1"/>
    </xf>
    <xf numFmtId="0" fontId="49" fillId="0" borderId="0" xfId="34" applyAlignment="1">
      <alignment horizontal="left" vertical="center" indent="1"/>
    </xf>
    <xf numFmtId="175" fontId="27" fillId="4" borderId="1" xfId="88" applyNumberFormat="1" applyFont="1" applyFill="1" applyBorder="1" applyAlignment="1">
      <alignment horizontal="right"/>
    </xf>
    <xf numFmtId="175" fontId="37" fillId="4" borderId="1" xfId="88" applyNumberFormat="1" applyFont="1" applyFill="1" applyBorder="1" applyAlignment="1">
      <alignment horizontal="right"/>
    </xf>
    <xf numFmtId="0" fontId="2" fillId="0" borderId="0" xfId="91" applyFont="1" applyAlignment="1">
      <alignment vertical="center" wrapText="1"/>
    </xf>
    <xf numFmtId="178" fontId="2" fillId="4" borderId="1" xfId="32" applyNumberFormat="1" applyFont="1" applyFill="1" applyBorder="1"/>
    <xf numFmtId="178" fontId="2" fillId="19" borderId="1" xfId="32" applyNumberFormat="1" applyFont="1" applyFill="1" applyBorder="1"/>
    <xf numFmtId="178" fontId="2" fillId="6" borderId="0" xfId="32" applyNumberFormat="1" applyFont="1" applyFill="1"/>
    <xf numFmtId="179" fontId="34" fillId="4" borderId="1" xfId="33" applyNumberFormat="1" applyFont="1" applyFill="1" applyBorder="1" applyAlignment="1">
      <alignment horizontal="center" vertical="center"/>
    </xf>
    <xf numFmtId="0" fontId="2" fillId="16" borderId="38" xfId="95" applyFont="1" applyFill="1" applyBorder="1" applyAlignment="1">
      <alignment horizontal="center" vertical="center" wrapText="1"/>
    </xf>
    <xf numFmtId="17" fontId="56" fillId="10" borderId="1" xfId="0" applyNumberFormat="1" applyFont="1" applyFill="1" applyBorder="1" applyAlignment="1" applyProtection="1">
      <alignment wrapText="1"/>
      <protection locked="0"/>
    </xf>
    <xf numFmtId="0" fontId="27" fillId="2" borderId="0" xfId="0" applyFont="1" applyFill="1" applyProtection="1">
      <protection locked="0"/>
    </xf>
    <xf numFmtId="0" fontId="36" fillId="5" borderId="12"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21" fillId="0" borderId="0" xfId="84" applyFont="1"/>
    <xf numFmtId="0" fontId="35" fillId="0" borderId="0" xfId="84" applyFont="1" applyAlignment="1">
      <alignment horizontal="center" vertical="center"/>
    </xf>
    <xf numFmtId="0" fontId="22" fillId="0" borderId="0" xfId="84"/>
    <xf numFmtId="0" fontId="51" fillId="0" borderId="0" xfId="84" applyFont="1"/>
    <xf numFmtId="0" fontId="35" fillId="5" borderId="1" xfId="84" applyFont="1" applyFill="1" applyBorder="1" applyAlignment="1">
      <alignment horizontal="center" vertical="center"/>
    </xf>
    <xf numFmtId="0" fontId="46" fillId="6" borderId="1" xfId="84" applyFont="1" applyFill="1" applyBorder="1" applyAlignment="1">
      <alignment vertical="center"/>
    </xf>
    <xf numFmtId="166" fontId="28" fillId="25" borderId="1" xfId="45" applyNumberFormat="1" applyFont="1" applyFill="1" applyBorder="1" applyAlignment="1" applyProtection="1">
      <alignment horizontal="center" vertical="center"/>
    </xf>
    <xf numFmtId="3" fontId="89" fillId="0" borderId="0" xfId="17" applyNumberFormat="1" applyFont="1"/>
    <xf numFmtId="166" fontId="28" fillId="26" borderId="1" xfId="45" applyNumberFormat="1" applyFont="1" applyFill="1" applyBorder="1" applyAlignment="1" applyProtection="1">
      <alignment horizontal="center" vertical="center"/>
    </xf>
    <xf numFmtId="0" fontId="46" fillId="0" borderId="0" xfId="84" applyFont="1"/>
    <xf numFmtId="17" fontId="46" fillId="0" borderId="0" xfId="84" quotePrefix="1" applyNumberFormat="1" applyFont="1"/>
    <xf numFmtId="0" fontId="27" fillId="0" borderId="0" xfId="99" applyFont="1"/>
    <xf numFmtId="0" fontId="90" fillId="0" borderId="0" xfId="84" applyFont="1" applyAlignment="1">
      <alignment horizontal="left"/>
    </xf>
    <xf numFmtId="0" fontId="28" fillId="0" borderId="0" xfId="84" applyFont="1" applyAlignment="1">
      <alignment horizontal="left" vertical="top"/>
    </xf>
    <xf numFmtId="0" fontId="35" fillId="5" borderId="5" xfId="84" applyFont="1" applyFill="1" applyBorder="1" applyAlignment="1">
      <alignment horizontal="center"/>
    </xf>
    <xf numFmtId="0" fontId="34" fillId="4" borderId="5" xfId="45" applyNumberFormat="1" applyFont="1" applyFill="1" applyBorder="1" applyAlignment="1" applyProtection="1">
      <alignment horizontal="left" vertical="center"/>
    </xf>
    <xf numFmtId="0" fontId="34" fillId="4" borderId="4" xfId="45" applyNumberFormat="1" applyFont="1" applyFill="1" applyBorder="1" applyAlignment="1" applyProtection="1">
      <alignment horizontal="left" vertical="center"/>
    </xf>
    <xf numFmtId="166" fontId="34" fillId="4" borderId="5" xfId="45" applyNumberFormat="1" applyFont="1" applyFill="1" applyBorder="1" applyAlignment="1" applyProtection="1">
      <alignment horizontal="center" vertical="center"/>
    </xf>
    <xf numFmtId="166" fontId="34" fillId="4" borderId="1" xfId="45" applyNumberFormat="1" applyFont="1" applyFill="1" applyBorder="1" applyAlignment="1" applyProtection="1">
      <alignment horizontal="center"/>
    </xf>
    <xf numFmtId="166" fontId="34" fillId="4" borderId="3" xfId="45" applyNumberFormat="1" applyFont="1" applyFill="1" applyBorder="1" applyAlignment="1" applyProtection="1">
      <alignment horizontal="center"/>
    </xf>
    <xf numFmtId="166" fontId="34" fillId="4" borderId="3" xfId="45" applyNumberFormat="1" applyFont="1" applyFill="1" applyBorder="1" applyAlignment="1" applyProtection="1">
      <alignment horizontal="center" wrapText="1"/>
    </xf>
    <xf numFmtId="0" fontId="35" fillId="0" borderId="0" xfId="84" applyFont="1" applyAlignment="1">
      <alignment horizontal="center"/>
    </xf>
    <xf numFmtId="0" fontId="34" fillId="4" borderId="10" xfId="45" applyNumberFormat="1" applyFont="1" applyFill="1" applyBorder="1" applyAlignment="1" applyProtection="1">
      <alignment vertical="center"/>
    </xf>
    <xf numFmtId="0" fontId="34" fillId="4" borderId="11" xfId="45" applyNumberFormat="1" applyFont="1" applyFill="1" applyBorder="1" applyAlignment="1" applyProtection="1">
      <alignment horizontal="left" vertical="center"/>
    </xf>
    <xf numFmtId="166" fontId="34" fillId="4" borderId="7" xfId="45" applyNumberFormat="1" applyFont="1" applyFill="1" applyBorder="1" applyAlignment="1" applyProtection="1">
      <alignment horizontal="center" vertical="center"/>
    </xf>
    <xf numFmtId="166" fontId="34" fillId="4" borderId="7" xfId="45" applyNumberFormat="1" applyFont="1" applyFill="1" applyBorder="1" applyAlignment="1" applyProtection="1">
      <alignment horizontal="center"/>
    </xf>
    <xf numFmtId="166" fontId="34" fillId="4" borderId="12" xfId="45" applyNumberFormat="1" applyFont="1" applyFill="1" applyBorder="1" applyAlignment="1" applyProtection="1">
      <alignment horizontal="center"/>
    </xf>
    <xf numFmtId="166" fontId="34" fillId="0" borderId="0" xfId="45" applyNumberFormat="1" applyFont="1" applyFill="1" applyBorder="1" applyAlignment="1" applyProtection="1">
      <alignment horizontal="center"/>
    </xf>
    <xf numFmtId="0" fontId="30" fillId="5" borderId="1" xfId="84" applyFont="1" applyFill="1" applyBorder="1" applyAlignment="1">
      <alignment horizontal="left"/>
    </xf>
    <xf numFmtId="166" fontId="28" fillId="3" borderId="1" xfId="45" applyNumberFormat="1" applyFont="1" applyFill="1" applyBorder="1" applyAlignment="1" applyProtection="1">
      <alignment vertical="center"/>
      <protection locked="0"/>
    </xf>
    <xf numFmtId="166" fontId="28" fillId="0" borderId="0" xfId="45" applyNumberFormat="1" applyFont="1" applyFill="1" applyBorder="1" applyAlignment="1" applyProtection="1">
      <alignment vertical="center"/>
      <protection locked="0"/>
    </xf>
    <xf numFmtId="166" fontId="28" fillId="3" borderId="48" xfId="45" applyNumberFormat="1" applyFont="1" applyFill="1" applyBorder="1" applyAlignment="1" applyProtection="1">
      <alignment vertical="center"/>
      <protection locked="0"/>
    </xf>
    <xf numFmtId="166" fontId="28" fillId="4" borderId="1" xfId="45" applyNumberFormat="1" applyFont="1" applyFill="1" applyBorder="1" applyAlignment="1" applyProtection="1">
      <alignment horizontal="center" vertical="center"/>
    </xf>
    <xf numFmtId="0" fontId="34" fillId="4" borderId="1" xfId="45" applyNumberFormat="1" applyFont="1" applyFill="1" applyBorder="1" applyAlignment="1" applyProtection="1">
      <alignment horizontal="left" vertical="top"/>
    </xf>
    <xf numFmtId="166" fontId="34" fillId="4" borderId="1" xfId="45" applyNumberFormat="1" applyFont="1" applyFill="1" applyBorder="1" applyAlignment="1" applyProtection="1">
      <alignment vertical="center"/>
    </xf>
    <xf numFmtId="166" fontId="34" fillId="0" borderId="0" xfId="45" applyNumberFormat="1" applyFont="1" applyFill="1" applyBorder="1" applyAlignment="1" applyProtection="1">
      <alignment vertical="center"/>
    </xf>
    <xf numFmtId="0" fontId="27" fillId="2" borderId="0" xfId="99" applyFont="1" applyFill="1"/>
    <xf numFmtId="0" fontId="28" fillId="2" borderId="0" xfId="84" applyFont="1" applyFill="1" applyAlignment="1">
      <alignment horizontal="left"/>
    </xf>
    <xf numFmtId="0" fontId="27" fillId="2" borderId="0" xfId="84" applyFont="1" applyFill="1" applyAlignment="1">
      <alignment vertical="center"/>
    </xf>
    <xf numFmtId="0" fontId="26" fillId="0" borderId="6" xfId="84" applyFont="1" applyBorder="1" applyAlignment="1">
      <alignment horizontal="left"/>
    </xf>
    <xf numFmtId="0" fontId="35" fillId="0" borderId="6" xfId="84" applyFont="1" applyBorder="1" applyAlignment="1">
      <alignment horizontal="left"/>
    </xf>
    <xf numFmtId="0" fontId="35" fillId="5" borderId="4" xfId="84" applyFont="1" applyFill="1" applyBorder="1" applyAlignment="1">
      <alignment horizontal="center"/>
    </xf>
    <xf numFmtId="0" fontId="35" fillId="5" borderId="3" xfId="84" applyFont="1" applyFill="1" applyBorder="1" applyAlignment="1">
      <alignment horizontal="center"/>
    </xf>
    <xf numFmtId="0" fontId="91" fillId="2" borderId="0" xfId="84" applyFont="1" applyFill="1"/>
    <xf numFmtId="17" fontId="52" fillId="2" borderId="0" xfId="84" quotePrefix="1" applyNumberFormat="1" applyFont="1" applyFill="1" applyAlignment="1">
      <alignment horizontal="left"/>
    </xf>
    <xf numFmtId="0" fontId="52" fillId="2" borderId="0" xfId="84" applyFont="1" applyFill="1" applyAlignment="1">
      <alignment horizontal="left"/>
    </xf>
    <xf numFmtId="166" fontId="34" fillId="4" borderId="11" xfId="45" applyNumberFormat="1" applyFont="1" applyFill="1" applyBorder="1" applyAlignment="1" applyProtection="1">
      <alignment vertical="center"/>
    </xf>
    <xf numFmtId="0" fontId="51" fillId="2" borderId="0" xfId="84" applyFont="1" applyFill="1"/>
    <xf numFmtId="0" fontId="50" fillId="2" borderId="0" xfId="84" applyFont="1" applyFill="1" applyAlignment="1">
      <alignment horizontal="left"/>
    </xf>
    <xf numFmtId="166" fontId="28" fillId="4" borderId="1" xfId="45" applyNumberFormat="1" applyFont="1" applyFill="1" applyBorder="1" applyAlignment="1" applyProtection="1">
      <alignment vertical="center"/>
    </xf>
    <xf numFmtId="17" fontId="51" fillId="2" borderId="0" xfId="84" applyNumberFormat="1" applyFont="1" applyFill="1"/>
    <xf numFmtId="0" fontId="51" fillId="2" borderId="0" xfId="84" applyFont="1" applyFill="1" applyAlignment="1">
      <alignment horizontal="left"/>
    </xf>
    <xf numFmtId="17" fontId="50" fillId="2" borderId="0" xfId="84" quotePrefix="1" applyNumberFormat="1" applyFont="1" applyFill="1" applyAlignment="1">
      <alignment horizontal="left"/>
    </xf>
    <xf numFmtId="1" fontId="46" fillId="0" borderId="0" xfId="84" applyNumberFormat="1" applyFont="1" applyAlignment="1">
      <alignment horizontal="center"/>
    </xf>
    <xf numFmtId="168" fontId="46" fillId="0" borderId="0" xfId="84" applyNumberFormat="1" applyFont="1"/>
    <xf numFmtId="0" fontId="92" fillId="0" borderId="0" xfId="84" applyFont="1"/>
    <xf numFmtId="0" fontId="34" fillId="4" borderId="1" xfId="45" applyNumberFormat="1" applyFont="1" applyFill="1" applyBorder="1" applyAlignment="1" applyProtection="1">
      <alignment horizontal="left" vertical="center"/>
    </xf>
    <xf numFmtId="0" fontId="35" fillId="5" borderId="4" xfId="84" applyFont="1" applyFill="1" applyBorder="1" applyAlignment="1">
      <alignment horizontal="left" vertical="center"/>
    </xf>
    <xf numFmtId="0" fontId="35" fillId="5" borderId="3" xfId="84" applyFont="1" applyFill="1" applyBorder="1" applyAlignment="1">
      <alignment horizontal="left" vertical="center"/>
    </xf>
    <xf numFmtId="168" fontId="21" fillId="27" borderId="0" xfId="100" applyNumberFormat="1" applyFont="1" applyFill="1"/>
    <xf numFmtId="168" fontId="21" fillId="28" borderId="0" xfId="100" applyNumberFormat="1" applyFont="1" applyFill="1"/>
    <xf numFmtId="0" fontId="21" fillId="2" borderId="0" xfId="84" applyFont="1" applyFill="1"/>
    <xf numFmtId="166" fontId="34" fillId="4" borderId="1" xfId="45" applyNumberFormat="1" applyFont="1" applyFill="1" applyBorder="1" applyAlignment="1" applyProtection="1">
      <alignment horizontal="center" vertical="center"/>
    </xf>
    <xf numFmtId="0" fontId="51" fillId="0" borderId="0" xfId="17" applyFont="1"/>
    <xf numFmtId="2" fontId="21" fillId="0" borderId="0" xfId="84" applyNumberFormat="1" applyFont="1"/>
    <xf numFmtId="166" fontId="34" fillId="4" borderId="10" xfId="45" applyNumberFormat="1" applyFont="1" applyFill="1" applyBorder="1" applyAlignment="1" applyProtection="1">
      <alignment horizontal="center" vertical="center"/>
    </xf>
    <xf numFmtId="168" fontId="21" fillId="0" borderId="0" xfId="100" applyNumberFormat="1" applyFont="1"/>
    <xf numFmtId="180" fontId="21" fillId="0" borderId="0" xfId="100" applyNumberFormat="1" applyFont="1"/>
    <xf numFmtId="168" fontId="46" fillId="0" borderId="0" xfId="17" applyNumberFormat="1" applyFont="1"/>
    <xf numFmtId="180" fontId="46" fillId="0" borderId="0" xfId="84" applyNumberFormat="1" applyFont="1"/>
    <xf numFmtId="168" fontId="46" fillId="0" borderId="0" xfId="17" applyNumberFormat="1" applyFont="1" applyAlignment="1">
      <alignment horizontal="center" vertical="center" wrapText="1"/>
    </xf>
    <xf numFmtId="166" fontId="28" fillId="3" borderId="49" xfId="45" applyNumberFormat="1" applyFont="1" applyFill="1" applyBorder="1" applyAlignment="1" applyProtection="1">
      <alignment vertical="center"/>
      <protection locked="0"/>
    </xf>
    <xf numFmtId="168" fontId="93" fillId="0" borderId="0" xfId="84" applyNumberFormat="1" applyFont="1"/>
    <xf numFmtId="0" fontId="35" fillId="5" borderId="50" xfId="84" applyFont="1" applyFill="1" applyBorder="1" applyAlignment="1">
      <alignment horizontal="center"/>
    </xf>
    <xf numFmtId="166" fontId="28" fillId="3" borderId="51" xfId="45" applyNumberFormat="1" applyFont="1" applyFill="1" applyBorder="1" applyAlignment="1" applyProtection="1">
      <alignment vertical="center"/>
      <protection locked="0"/>
    </xf>
    <xf numFmtId="166" fontId="28" fillId="3" borderId="2" xfId="45" applyNumberFormat="1" applyFont="1" applyFill="1" applyBorder="1" applyAlignment="1" applyProtection="1">
      <alignment vertical="center"/>
      <protection locked="0"/>
    </xf>
    <xf numFmtId="166" fontId="28" fillId="3" borderId="16" xfId="45" applyNumberFormat="1" applyFont="1" applyFill="1" applyBorder="1" applyAlignment="1" applyProtection="1">
      <alignment vertical="center"/>
      <protection locked="0"/>
    </xf>
    <xf numFmtId="166" fontId="28" fillId="3" borderId="20" xfId="45" applyNumberFormat="1" applyFont="1" applyFill="1" applyBorder="1" applyAlignment="1" applyProtection="1">
      <alignment vertical="center"/>
      <protection locked="0"/>
    </xf>
    <xf numFmtId="166" fontId="28" fillId="3" borderId="9" xfId="45" applyNumberFormat="1" applyFont="1" applyFill="1" applyBorder="1" applyAlignment="1" applyProtection="1">
      <alignment vertical="center"/>
      <protection locked="0"/>
    </xf>
    <xf numFmtId="0" fontId="35" fillId="29" borderId="1" xfId="0" applyFont="1" applyFill="1" applyBorder="1" applyAlignment="1">
      <alignment horizontal="center" vertical="center"/>
    </xf>
    <xf numFmtId="0" fontId="27" fillId="2" borderId="0" xfId="0" applyFont="1" applyFill="1" applyAlignment="1">
      <alignment wrapText="1"/>
    </xf>
    <xf numFmtId="0" fontId="30" fillId="5" borderId="1" xfId="0" applyFont="1" applyFill="1" applyBorder="1" applyAlignment="1">
      <alignment horizontal="left" vertical="top" wrapText="1"/>
    </xf>
    <xf numFmtId="166" fontId="27" fillId="3" borderId="1" xfId="32" applyNumberFormat="1" applyFont="1" applyFill="1" applyBorder="1" applyAlignment="1" applyProtection="1">
      <alignment horizontal="right" vertical="center" wrapText="1"/>
      <protection locked="0"/>
    </xf>
    <xf numFmtId="0" fontId="35" fillId="5" borderId="1" xfId="0" applyFont="1" applyFill="1" applyBorder="1" applyAlignment="1">
      <alignment horizontal="center" wrapText="1"/>
    </xf>
    <xf numFmtId="166" fontId="27" fillId="4" borderId="1" xfId="32" applyNumberFormat="1" applyFont="1" applyFill="1" applyBorder="1" applyAlignment="1" applyProtection="1">
      <alignment horizontal="right" vertical="center"/>
    </xf>
    <xf numFmtId="0" fontId="27" fillId="2" borderId="1" xfId="0" applyFont="1" applyFill="1" applyBorder="1" applyAlignment="1">
      <alignment wrapText="1"/>
    </xf>
    <xf numFmtId="0" fontId="27" fillId="2" borderId="1" xfId="0" applyFont="1" applyFill="1" applyBorder="1"/>
    <xf numFmtId="0" fontId="94" fillId="5" borderId="30" xfId="0" applyFont="1" applyFill="1" applyBorder="1"/>
    <xf numFmtId="0" fontId="31" fillId="5" borderId="30" xfId="0" applyFont="1" applyFill="1" applyBorder="1" applyAlignment="1">
      <alignment vertical="center"/>
    </xf>
    <xf numFmtId="0" fontId="31" fillId="5" borderId="30" xfId="0" applyFont="1" applyFill="1" applyBorder="1" applyAlignment="1">
      <alignment vertical="center" wrapText="1"/>
    </xf>
    <xf numFmtId="0" fontId="95" fillId="4" borderId="31" xfId="0" applyFont="1" applyFill="1" applyBorder="1" applyAlignment="1">
      <alignment horizontal="center"/>
    </xf>
    <xf numFmtId="0" fontId="95" fillId="4" borderId="52" xfId="0" applyFont="1" applyFill="1" applyBorder="1" applyAlignment="1">
      <alignment horizontal="center"/>
    </xf>
    <xf numFmtId="0" fontId="95" fillId="4" borderId="53" xfId="0" applyFont="1" applyFill="1" applyBorder="1" applyAlignment="1">
      <alignment horizontal="center"/>
    </xf>
    <xf numFmtId="0" fontId="55" fillId="5" borderId="30" xfId="0" applyFont="1" applyFill="1" applyBorder="1"/>
    <xf numFmtId="181" fontId="96" fillId="9" borderId="30" xfId="0" applyNumberFormat="1" applyFont="1" applyFill="1" applyBorder="1" applyProtection="1">
      <protection locked="0"/>
    </xf>
    <xf numFmtId="0" fontId="96" fillId="9" borderId="30" xfId="0" applyFont="1" applyFill="1" applyBorder="1" applyProtection="1">
      <protection locked="0"/>
    </xf>
    <xf numFmtId="0" fontId="35" fillId="5" borderId="1" xfId="0" applyFont="1" applyFill="1" applyBorder="1" applyAlignment="1">
      <alignment vertical="center"/>
    </xf>
    <xf numFmtId="0" fontId="36" fillId="5" borderId="1" xfId="0" applyFont="1" applyFill="1" applyBorder="1" applyAlignment="1">
      <alignment vertical="center" wrapText="1"/>
    </xf>
    <xf numFmtId="0" fontId="59" fillId="11" borderId="30" xfId="0" applyFont="1" applyFill="1" applyBorder="1" applyAlignment="1">
      <alignment horizontal="center" vertical="center" wrapText="1"/>
    </xf>
    <xf numFmtId="0" fontId="34" fillId="4" borderId="5" xfId="0" applyFont="1" applyFill="1" applyBorder="1"/>
    <xf numFmtId="0" fontId="34" fillId="4" borderId="4" xfId="0" applyFont="1" applyFill="1" applyBorder="1"/>
    <xf numFmtId="0" fontId="34" fillId="4" borderId="3" xfId="0" applyFont="1" applyFill="1" applyBorder="1"/>
    <xf numFmtId="0" fontId="30" fillId="5" borderId="5" xfId="0" applyFont="1" applyFill="1" applyBorder="1"/>
    <xf numFmtId="182" fontId="28" fillId="3" borderId="1" xfId="32" applyNumberFormat="1" applyFont="1" applyFill="1" applyBorder="1" applyAlignment="1" applyProtection="1">
      <protection locked="0"/>
    </xf>
    <xf numFmtId="0" fontId="30" fillId="14" borderId="1" xfId="0" applyFont="1" applyFill="1" applyBorder="1"/>
    <xf numFmtId="182" fontId="28" fillId="14" borderId="8" xfId="32" applyNumberFormat="1" applyFont="1" applyFill="1" applyBorder="1" applyAlignment="1" applyProtection="1">
      <protection locked="0"/>
    </xf>
    <xf numFmtId="182" fontId="28" fillId="4" borderId="1" xfId="32" applyNumberFormat="1" applyFont="1" applyFill="1" applyBorder="1" applyAlignment="1" applyProtection="1"/>
    <xf numFmtId="166" fontId="28" fillId="2" borderId="0" xfId="32" applyNumberFormat="1" applyFont="1" applyFill="1" applyBorder="1" applyAlignment="1" applyProtection="1"/>
    <xf numFmtId="0" fontId="34" fillId="4" borderId="1" xfId="0" applyFont="1" applyFill="1" applyBorder="1"/>
    <xf numFmtId="0" fontId="30" fillId="5" borderId="1" xfId="0" applyFont="1" applyFill="1" applyBorder="1"/>
    <xf numFmtId="183" fontId="28" fillId="3" borderId="1" xfId="32" applyNumberFormat="1" applyFont="1" applyFill="1" applyBorder="1" applyAlignment="1" applyProtection="1">
      <protection locked="0"/>
    </xf>
    <xf numFmtId="183" fontId="28" fillId="0" borderId="0" xfId="0" applyNumberFormat="1" applyFont="1"/>
    <xf numFmtId="0" fontId="97" fillId="5" borderId="1" xfId="0" applyFont="1" applyFill="1" applyBorder="1"/>
    <xf numFmtId="183" fontId="98" fillId="3" borderId="1" xfId="32" applyNumberFormat="1" applyFont="1" applyFill="1" applyBorder="1" applyAlignment="1" applyProtection="1">
      <protection locked="0"/>
    </xf>
    <xf numFmtId="182" fontId="28" fillId="14" borderId="1" xfId="32" applyNumberFormat="1" applyFont="1" applyFill="1" applyBorder="1" applyAlignment="1" applyProtection="1">
      <protection locked="0"/>
    </xf>
    <xf numFmtId="183" fontId="28" fillId="4" borderId="1" xfId="32" applyNumberFormat="1" applyFont="1" applyFill="1" applyBorder="1" applyAlignment="1" applyProtection="1"/>
    <xf numFmtId="0" fontId="28" fillId="2" borderId="2" xfId="0" applyFont="1" applyFill="1" applyBorder="1"/>
    <xf numFmtId="2" fontId="60" fillId="30" borderId="19" xfId="0" applyNumberFormat="1" applyFont="1" applyFill="1" applyBorder="1"/>
    <xf numFmtId="0" fontId="27" fillId="2" borderId="2" xfId="0" applyFont="1" applyFill="1" applyBorder="1"/>
    <xf numFmtId="0" fontId="27" fillId="0" borderId="0" xfId="0" applyFont="1"/>
    <xf numFmtId="0" fontId="36" fillId="5" borderId="30" xfId="0" applyFont="1" applyFill="1" applyBorder="1" applyAlignment="1">
      <alignment vertical="center"/>
    </xf>
    <xf numFmtId="0" fontId="26" fillId="5" borderId="30" xfId="0" applyFont="1" applyFill="1" applyBorder="1" applyAlignment="1">
      <alignment vertical="center" wrapText="1"/>
    </xf>
    <xf numFmtId="182" fontId="28" fillId="4" borderId="30" xfId="32" applyNumberFormat="1" applyFont="1" applyFill="1" applyBorder="1" applyAlignment="1" applyProtection="1"/>
    <xf numFmtId="9" fontId="28" fillId="4" borderId="30" xfId="32" applyNumberFormat="1" applyFont="1" applyFill="1" applyBorder="1" applyAlignment="1" applyProtection="1"/>
    <xf numFmtId="0" fontId="35" fillId="5" borderId="1" xfId="0" applyFont="1" applyFill="1" applyBorder="1"/>
    <xf numFmtId="182" fontId="34" fillId="4" borderId="30" xfId="32" applyNumberFormat="1" applyFont="1" applyFill="1" applyBorder="1" applyAlignment="1" applyProtection="1"/>
    <xf numFmtId="9" fontId="34" fillId="4" borderId="30" xfId="32" applyNumberFormat="1" applyFont="1" applyFill="1" applyBorder="1" applyAlignment="1" applyProtection="1"/>
    <xf numFmtId="0" fontId="96" fillId="31" borderId="0" xfId="0" applyFont="1" applyFill="1" applyAlignment="1">
      <alignment horizontal="center" vertical="center"/>
    </xf>
    <xf numFmtId="0" fontId="99" fillId="11" borderId="5" xfId="0" applyFont="1" applyFill="1" applyBorder="1" applyAlignment="1">
      <alignment horizontal="left" vertical="center"/>
    </xf>
    <xf numFmtId="0" fontId="59" fillId="11" borderId="4" xfId="0" applyFont="1" applyFill="1" applyBorder="1" applyAlignment="1">
      <alignment horizontal="left" vertical="center" wrapText="1"/>
    </xf>
    <xf numFmtId="0" fontId="59" fillId="11" borderId="3" xfId="0" applyFont="1" applyFill="1" applyBorder="1" applyAlignment="1">
      <alignment horizontal="left" vertical="center" wrapText="1"/>
    </xf>
    <xf numFmtId="0" fontId="96" fillId="0" borderId="0" xfId="0" applyFont="1" applyAlignment="1">
      <alignment horizontal="center" vertical="center"/>
    </xf>
    <xf numFmtId="0" fontId="27" fillId="0" borderId="0" xfId="0" applyFont="1" applyAlignment="1">
      <alignment horizontal="center" vertical="center"/>
    </xf>
    <xf numFmtId="0" fontId="99" fillId="11" borderId="1" xfId="0" applyFont="1" applyFill="1" applyBorder="1" applyAlignment="1">
      <alignment horizontal="left" vertical="center"/>
    </xf>
    <xf numFmtId="0" fontId="96" fillId="0" borderId="0" xfId="0" applyFont="1"/>
    <xf numFmtId="0" fontId="100" fillId="32" borderId="1" xfId="0" applyFont="1" applyFill="1" applyBorder="1"/>
    <xf numFmtId="0" fontId="55" fillId="11" borderId="1" xfId="0" applyFont="1" applyFill="1" applyBorder="1"/>
    <xf numFmtId="165" fontId="60" fillId="10" borderId="1" xfId="0" applyNumberFormat="1" applyFont="1" applyFill="1" applyBorder="1" applyProtection="1">
      <protection locked="0"/>
    </xf>
    <xf numFmtId="1" fontId="60" fillId="32" borderId="1" xfId="0" applyNumberFormat="1" applyFont="1" applyFill="1" applyBorder="1" applyProtection="1">
      <protection locked="0"/>
    </xf>
    <xf numFmtId="0" fontId="60" fillId="31" borderId="0" xfId="0" applyFont="1" applyFill="1" applyAlignment="1">
      <alignment horizontal="center" vertical="center"/>
    </xf>
    <xf numFmtId="0" fontId="60" fillId="0" borderId="0" xfId="0" applyFont="1" applyAlignment="1">
      <alignment horizontal="center" vertical="center"/>
    </xf>
    <xf numFmtId="0" fontId="60" fillId="31" borderId="0" xfId="0" applyFont="1" applyFill="1"/>
    <xf numFmtId="0" fontId="60" fillId="0" borderId="0" xfId="0" applyFont="1"/>
    <xf numFmtId="0" fontId="96" fillId="31" borderId="0" xfId="0" applyFont="1" applyFill="1"/>
    <xf numFmtId="0" fontId="61" fillId="11" borderId="1" xfId="0" applyFont="1" applyFill="1" applyBorder="1"/>
    <xf numFmtId="165" fontId="60" fillId="32" borderId="1" xfId="0" applyNumberFormat="1" applyFont="1" applyFill="1" applyBorder="1"/>
    <xf numFmtId="184" fontId="60" fillId="32" borderId="1" xfId="0" applyNumberFormat="1" applyFont="1" applyFill="1" applyBorder="1"/>
    <xf numFmtId="0" fontId="101" fillId="31" borderId="0" xfId="0" applyFont="1" applyFill="1"/>
    <xf numFmtId="0" fontId="94" fillId="11" borderId="1" xfId="0" applyFont="1" applyFill="1" applyBorder="1" applyAlignment="1">
      <alignment horizontal="left" vertical="center" wrapText="1"/>
    </xf>
    <xf numFmtId="0" fontId="59" fillId="11" borderId="54" xfId="0" applyFont="1" applyFill="1" applyBorder="1" applyAlignment="1">
      <alignment horizontal="center" vertical="center" wrapText="1"/>
    </xf>
    <xf numFmtId="0" fontId="59" fillId="11" borderId="35" xfId="0" applyFont="1" applyFill="1" applyBorder="1" applyAlignment="1">
      <alignment horizontal="center" vertical="center" wrapText="1"/>
    </xf>
    <xf numFmtId="0" fontId="59" fillId="11" borderId="55" xfId="0" applyFont="1" applyFill="1" applyBorder="1" applyAlignment="1">
      <alignment horizontal="center" vertical="center" wrapText="1"/>
    </xf>
    <xf numFmtId="0" fontId="59" fillId="11" borderId="56" xfId="0" applyFont="1" applyFill="1" applyBorder="1" applyAlignment="1">
      <alignment horizontal="center" vertical="center" wrapText="1"/>
    </xf>
    <xf numFmtId="0" fontId="59" fillId="11" borderId="57" xfId="0" applyFont="1" applyFill="1" applyBorder="1" applyAlignment="1">
      <alignment horizontal="center" vertical="center" wrapText="1"/>
    </xf>
    <xf numFmtId="0" fontId="59" fillId="11" borderId="58" xfId="0" applyFont="1" applyFill="1" applyBorder="1" applyAlignment="1">
      <alignment horizontal="center" vertical="center" wrapText="1"/>
    </xf>
    <xf numFmtId="3" fontId="60" fillId="32" borderId="1" xfId="0" applyNumberFormat="1" applyFont="1" applyFill="1" applyBorder="1"/>
    <xf numFmtId="0" fontId="61" fillId="11" borderId="9" xfId="0" applyFont="1" applyFill="1" applyBorder="1" applyAlignment="1">
      <alignment wrapText="1"/>
    </xf>
    <xf numFmtId="0" fontId="27" fillId="0" borderId="9" xfId="0" applyFont="1" applyBorder="1"/>
    <xf numFmtId="0" fontId="27" fillId="0" borderId="14" xfId="0" applyFont="1" applyBorder="1"/>
    <xf numFmtId="0" fontId="27" fillId="0" borderId="2" xfId="0" applyFont="1" applyBorder="1"/>
    <xf numFmtId="0" fontId="55" fillId="11" borderId="7" xfId="0" applyFont="1" applyFill="1" applyBorder="1" applyAlignment="1">
      <alignment wrapText="1"/>
    </xf>
    <xf numFmtId="0" fontId="60" fillId="10" borderId="7" xfId="0" applyFont="1" applyFill="1" applyBorder="1" applyProtection="1">
      <protection locked="0"/>
    </xf>
    <xf numFmtId="0" fontId="60" fillId="10" borderId="1" xfId="0" applyFont="1" applyFill="1" applyBorder="1" applyProtection="1">
      <protection locked="0"/>
    </xf>
    <xf numFmtId="1" fontId="60" fillId="32" borderId="7" xfId="0" applyNumberFormat="1" applyFont="1" applyFill="1" applyBorder="1"/>
    <xf numFmtId="0" fontId="60" fillId="31" borderId="7" xfId="0" applyFont="1" applyFill="1" applyBorder="1"/>
    <xf numFmtId="0" fontId="60" fillId="31" borderId="10" xfId="0" applyFont="1" applyFill="1" applyBorder="1"/>
    <xf numFmtId="0" fontId="60" fillId="31" borderId="11" xfId="0" applyFont="1" applyFill="1" applyBorder="1"/>
    <xf numFmtId="0" fontId="60" fillId="31" borderId="12" xfId="0" applyFont="1" applyFill="1" applyBorder="1"/>
    <xf numFmtId="0" fontId="61" fillId="11" borderId="7" xfId="0" applyFont="1" applyFill="1" applyBorder="1" applyAlignment="1">
      <alignment wrapText="1"/>
    </xf>
    <xf numFmtId="0" fontId="60" fillId="31" borderId="9" xfId="0" applyFont="1" applyFill="1" applyBorder="1"/>
    <xf numFmtId="0" fontId="60" fillId="31" borderId="14" xfId="0" applyFont="1" applyFill="1" applyBorder="1"/>
    <xf numFmtId="0" fontId="60" fillId="31" borderId="2" xfId="0" applyFont="1" applyFill="1" applyBorder="1"/>
    <xf numFmtId="0" fontId="60" fillId="31" borderId="1" xfId="0" applyFont="1" applyFill="1" applyBorder="1"/>
    <xf numFmtId="0" fontId="60" fillId="31" borderId="5" xfId="0" applyFont="1" applyFill="1" applyBorder="1"/>
    <xf numFmtId="0" fontId="60" fillId="31" borderId="4" xfId="0" applyFont="1" applyFill="1" applyBorder="1"/>
    <xf numFmtId="0" fontId="60" fillId="31" borderId="3" xfId="0" applyFont="1" applyFill="1" applyBorder="1"/>
    <xf numFmtId="0" fontId="61" fillId="11" borderId="1" xfId="0" applyFont="1" applyFill="1" applyBorder="1" applyAlignment="1">
      <alignment wrapText="1"/>
    </xf>
    <xf numFmtId="0" fontId="60" fillId="31" borderId="6" xfId="0" applyFont="1" applyFill="1" applyBorder="1"/>
    <xf numFmtId="0" fontId="96" fillId="0" borderId="6" xfId="0" applyFont="1" applyBorder="1"/>
    <xf numFmtId="0" fontId="102" fillId="0" borderId="0" xfId="0" applyFont="1"/>
    <xf numFmtId="175" fontId="60" fillId="0" borderId="0" xfId="0" applyNumberFormat="1" applyFont="1"/>
    <xf numFmtId="0" fontId="103" fillId="0" borderId="0" xfId="0" applyFont="1"/>
    <xf numFmtId="0" fontId="30" fillId="0" borderId="0" xfId="0" applyFont="1"/>
    <xf numFmtId="0" fontId="36" fillId="5" borderId="30" xfId="0" applyFont="1" applyFill="1" applyBorder="1" applyAlignment="1">
      <alignment horizontal="center" vertical="center" wrapText="1"/>
    </xf>
    <xf numFmtId="0" fontId="35" fillId="5" borderId="61" xfId="0" applyFont="1" applyFill="1" applyBorder="1" applyAlignment="1">
      <alignment horizontal="center" vertical="center"/>
    </xf>
    <xf numFmtId="0" fontId="21" fillId="2" borderId="0" xfId="0" applyFont="1" applyFill="1"/>
    <xf numFmtId="0" fontId="35" fillId="5" borderId="30" xfId="0" applyFont="1" applyFill="1" applyBorder="1" applyAlignment="1">
      <alignment horizontal="center" vertical="center"/>
    </xf>
    <xf numFmtId="0" fontId="36" fillId="5" borderId="31" xfId="0" applyFont="1" applyFill="1" applyBorder="1" applyAlignment="1">
      <alignment horizontal="center" vertical="center" wrapText="1"/>
    </xf>
    <xf numFmtId="0" fontId="31" fillId="5" borderId="30" xfId="0" applyFont="1" applyFill="1" applyBorder="1" applyAlignment="1">
      <alignment horizontal="center" vertical="center" wrapText="1"/>
    </xf>
    <xf numFmtId="0" fontId="31" fillId="5" borderId="30" xfId="0" applyFont="1" applyFill="1" applyBorder="1" applyAlignment="1">
      <alignment horizontal="center" vertical="center"/>
    </xf>
    <xf numFmtId="0" fontId="26" fillId="5" borderId="30" xfId="0" applyFont="1" applyFill="1" applyBorder="1" applyAlignment="1">
      <alignment horizontal="center" vertical="center"/>
    </xf>
    <xf numFmtId="0" fontId="26" fillId="5" borderId="62" xfId="0" applyFont="1" applyFill="1" applyBorder="1" applyAlignment="1">
      <alignment horizontal="center" vertical="center"/>
    </xf>
    <xf numFmtId="0" fontId="26" fillId="2" borderId="14" xfId="0" applyFont="1" applyFill="1" applyBorder="1" applyAlignment="1">
      <alignment horizontal="center" vertical="center"/>
    </xf>
    <xf numFmtId="0" fontId="104" fillId="2" borderId="0" xfId="0" applyFont="1" applyFill="1"/>
    <xf numFmtId="0" fontId="30" fillId="5" borderId="1" xfId="0" applyFont="1" applyFill="1" applyBorder="1" applyAlignment="1">
      <alignment horizontal="left" wrapText="1"/>
    </xf>
    <xf numFmtId="165" fontId="27" fillId="3" borderId="1" xfId="33" applyNumberFormat="1" applyFont="1" applyFill="1" applyBorder="1" applyAlignment="1" applyProtection="1">
      <alignment horizontal="right"/>
      <protection locked="0"/>
    </xf>
    <xf numFmtId="165" fontId="27" fillId="4" borderId="1" xfId="33" applyNumberFormat="1" applyFont="1" applyFill="1" applyBorder="1" applyAlignment="1" applyProtection="1">
      <alignment horizontal="right"/>
      <protection locked="0"/>
    </xf>
    <xf numFmtId="165" fontId="27" fillId="4" borderId="1" xfId="33" applyNumberFormat="1" applyFont="1" applyFill="1" applyBorder="1" applyAlignment="1" applyProtection="1">
      <alignment horizontal="right"/>
    </xf>
    <xf numFmtId="165" fontId="27" fillId="33" borderId="1" xfId="33" applyNumberFormat="1" applyFont="1" applyFill="1" applyBorder="1" applyAlignment="1" applyProtection="1">
      <alignment horizontal="right"/>
      <protection locked="0"/>
    </xf>
    <xf numFmtId="166" fontId="27" fillId="4" borderId="1" xfId="32" applyNumberFormat="1" applyFont="1" applyFill="1" applyBorder="1" applyAlignment="1" applyProtection="1">
      <alignment horizontal="right"/>
      <protection locked="0"/>
    </xf>
    <xf numFmtId="166" fontId="27" fillId="3" borderId="1" xfId="32" applyNumberFormat="1" applyFont="1" applyFill="1" applyBorder="1" applyAlignment="1" applyProtection="1">
      <alignment horizontal="right"/>
      <protection locked="0"/>
    </xf>
    <xf numFmtId="166" fontId="27" fillId="4" borderId="1" xfId="32" applyNumberFormat="1" applyFont="1" applyFill="1" applyBorder="1" applyAlignment="1">
      <alignment horizontal="right"/>
    </xf>
    <xf numFmtId="166" fontId="27" fillId="33" borderId="1" xfId="32" applyNumberFormat="1" applyFont="1" applyFill="1" applyBorder="1" applyAlignment="1" applyProtection="1">
      <alignment horizontal="right"/>
      <protection locked="0"/>
    </xf>
    <xf numFmtId="0" fontId="104" fillId="2" borderId="14" xfId="0" applyFont="1" applyFill="1" applyBorder="1"/>
    <xf numFmtId="0" fontId="104" fillId="2" borderId="2" xfId="0" applyFont="1" applyFill="1" applyBorder="1"/>
    <xf numFmtId="0" fontId="21" fillId="2" borderId="14" xfId="0" applyFont="1" applyFill="1" applyBorder="1"/>
    <xf numFmtId="165" fontId="27" fillId="3" borderId="1" xfId="32" applyNumberFormat="1" applyFont="1" applyFill="1" applyBorder="1" applyAlignment="1" applyProtection="1">
      <alignment horizontal="right"/>
      <protection locked="0"/>
    </xf>
    <xf numFmtId="165" fontId="27" fillId="4" borderId="1" xfId="32" applyNumberFormat="1" applyFont="1" applyFill="1" applyBorder="1" applyAlignment="1" applyProtection="1">
      <alignment horizontal="right"/>
      <protection locked="0"/>
    </xf>
    <xf numFmtId="165" fontId="21" fillId="2" borderId="0" xfId="0" applyNumberFormat="1" applyFont="1" applyFill="1"/>
    <xf numFmtId="165" fontId="27" fillId="33" borderId="1" xfId="32" applyNumberFormat="1" applyFont="1" applyFill="1" applyBorder="1" applyAlignment="1" applyProtection="1">
      <alignment horizontal="right"/>
      <protection locked="0"/>
    </xf>
    <xf numFmtId="165" fontId="104" fillId="2" borderId="0" xfId="0" applyNumberFormat="1" applyFont="1" applyFill="1"/>
    <xf numFmtId="0" fontId="28" fillId="2" borderId="0" xfId="0" applyFont="1" applyFill="1" applyAlignment="1">
      <alignment horizontal="left"/>
    </xf>
    <xf numFmtId="0" fontId="28" fillId="2" borderId="0" xfId="0" applyFont="1" applyFill="1" applyAlignment="1">
      <alignment wrapText="1"/>
    </xf>
    <xf numFmtId="0" fontId="29" fillId="5" borderId="7" xfId="0" applyFont="1" applyFill="1" applyBorder="1" applyAlignment="1">
      <alignment horizontal="left" vertical="center"/>
    </xf>
    <xf numFmtId="0" fontId="28" fillId="4" borderId="8" xfId="0" applyFont="1" applyFill="1" applyBorder="1" applyAlignment="1">
      <alignment horizontal="left" vertical="top" wrapText="1"/>
    </xf>
    <xf numFmtId="0" fontId="105" fillId="4" borderId="5" xfId="0" applyFont="1" applyFill="1" applyBorder="1" applyAlignment="1">
      <alignment horizontal="center" vertical="center"/>
    </xf>
    <xf numFmtId="0" fontId="105" fillId="4" borderId="4" xfId="0" applyFont="1" applyFill="1" applyBorder="1" applyAlignment="1">
      <alignment horizontal="center" vertical="center"/>
    </xf>
    <xf numFmtId="0" fontId="105" fillId="4" borderId="3" xfId="0" applyFont="1" applyFill="1" applyBorder="1" applyAlignment="1">
      <alignment horizontal="center" vertical="center"/>
    </xf>
    <xf numFmtId="166" fontId="27" fillId="4" borderId="1" xfId="32" applyNumberFormat="1" applyFont="1" applyFill="1" applyBorder="1" applyAlignment="1" applyProtection="1">
      <alignment horizontal="right" vertical="center" wrapText="1"/>
      <protection locked="0"/>
    </xf>
    <xf numFmtId="0" fontId="29" fillId="5" borderId="5" xfId="0" applyFont="1" applyFill="1" applyBorder="1" applyAlignment="1">
      <alignment horizontal="center" vertical="center"/>
    </xf>
    <xf numFmtId="0" fontId="104" fillId="5" borderId="4" xfId="0" applyFont="1" applyFill="1" applyBorder="1"/>
    <xf numFmtId="0" fontId="104" fillId="5" borderId="3" xfId="0" applyFont="1" applyFill="1" applyBorder="1"/>
    <xf numFmtId="0" fontId="28" fillId="4" borderId="14" xfId="0" applyFont="1" applyFill="1" applyBorder="1" applyAlignment="1">
      <alignment horizontal="left"/>
    </xf>
    <xf numFmtId="0" fontId="27" fillId="4" borderId="0" xfId="0" applyFont="1" applyFill="1"/>
    <xf numFmtId="0" fontId="27" fillId="4" borderId="2" xfId="0" applyFont="1" applyFill="1" applyBorder="1"/>
    <xf numFmtId="0" fontId="28" fillId="4" borderId="13" xfId="0" applyFont="1" applyFill="1" applyBorder="1" applyAlignment="1">
      <alignment horizontal="left"/>
    </xf>
    <xf numFmtId="0" fontId="27" fillId="4" borderId="6" xfId="0" applyFont="1" applyFill="1" applyBorder="1"/>
    <xf numFmtId="0" fontId="27" fillId="4" borderId="15" xfId="0" applyFont="1" applyFill="1" applyBorder="1"/>
    <xf numFmtId="0" fontId="0" fillId="2" borderId="0" xfId="0" applyFill="1" applyAlignment="1">
      <alignment wrapText="1"/>
    </xf>
    <xf numFmtId="0" fontId="31" fillId="5" borderId="8" xfId="0" applyFont="1" applyFill="1" applyBorder="1" applyAlignment="1">
      <alignment horizontal="center" vertical="center" wrapText="1"/>
    </xf>
    <xf numFmtId="0" fontId="31" fillId="5" borderId="1" xfId="0" applyFont="1" applyFill="1" applyBorder="1" applyAlignment="1">
      <alignment horizontal="center" vertical="center"/>
    </xf>
    <xf numFmtId="0" fontId="39" fillId="4" borderId="1" xfId="0" applyFont="1" applyFill="1" applyBorder="1" applyAlignment="1">
      <alignment horizontal="center" vertical="center"/>
    </xf>
    <xf numFmtId="166" fontId="27" fillId="4" borderId="1" xfId="32" applyNumberFormat="1" applyFont="1" applyFill="1" applyBorder="1" applyAlignment="1" applyProtection="1">
      <alignment horizontal="right"/>
    </xf>
    <xf numFmtId="165" fontId="27" fillId="4" borderId="1" xfId="32" applyNumberFormat="1" applyFont="1" applyFill="1" applyBorder="1" applyAlignment="1" applyProtection="1">
      <alignment horizontal="right"/>
    </xf>
    <xf numFmtId="165" fontId="0" fillId="0" borderId="0" xfId="0" applyNumberFormat="1"/>
    <xf numFmtId="0" fontId="51" fillId="2" borderId="0" xfId="0" applyFont="1" applyFill="1"/>
    <xf numFmtId="0" fontId="28" fillId="4" borderId="10" xfId="0" applyFont="1" applyFill="1" applyBorder="1" applyAlignment="1">
      <alignment horizontal="left"/>
    </xf>
    <xf numFmtId="0" fontId="27" fillId="4" borderId="11" xfId="0" applyFont="1" applyFill="1" applyBorder="1"/>
    <xf numFmtId="0" fontId="27" fillId="4" borderId="12" xfId="0" applyFont="1" applyFill="1" applyBorder="1"/>
    <xf numFmtId="0" fontId="28" fillId="4" borderId="14" xfId="0" applyFont="1" applyFill="1" applyBorder="1" applyAlignment="1">
      <alignment horizontal="left" wrapText="1"/>
    </xf>
    <xf numFmtId="0" fontId="28" fillId="4" borderId="0" xfId="0" applyFont="1" applyFill="1" applyAlignment="1">
      <alignment horizontal="left"/>
    </xf>
    <xf numFmtId="0" fontId="28" fillId="4" borderId="6" xfId="0" applyFont="1" applyFill="1" applyBorder="1" applyAlignment="1">
      <alignment horizontal="left"/>
    </xf>
    <xf numFmtId="0" fontId="31" fillId="5" borderId="5" xfId="0" applyFont="1" applyFill="1" applyBorder="1" applyAlignment="1">
      <alignment horizontal="left" vertical="center"/>
    </xf>
    <xf numFmtId="0" fontId="31" fillId="5" borderId="8" xfId="0" applyFont="1" applyFill="1" applyBorder="1" applyAlignment="1">
      <alignment horizontal="center" vertical="center"/>
    </xf>
    <xf numFmtId="0" fontId="26" fillId="5" borderId="7" xfId="0" applyFont="1" applyFill="1" applyBorder="1" applyAlignment="1">
      <alignment horizontal="center" vertical="center"/>
    </xf>
    <xf numFmtId="0" fontId="30" fillId="5" borderId="8" xfId="0" applyFont="1" applyFill="1" applyBorder="1" applyAlignment="1">
      <alignment horizontal="left" wrapText="1"/>
    </xf>
    <xf numFmtId="166" fontId="27" fillId="3" borderId="8" xfId="32" applyNumberFormat="1" applyFont="1" applyFill="1" applyBorder="1" applyAlignment="1" applyProtection="1">
      <alignment horizontal="right"/>
      <protection locked="0"/>
    </xf>
    <xf numFmtId="166" fontId="27" fillId="4" borderId="8" xfId="32" applyNumberFormat="1" applyFont="1" applyFill="1" applyBorder="1" applyAlignment="1" applyProtection="1">
      <alignment horizontal="right"/>
    </xf>
    <xf numFmtId="166" fontId="27" fillId="33" borderId="8" xfId="32" applyNumberFormat="1" applyFont="1" applyFill="1" applyBorder="1" applyAlignment="1" applyProtection="1">
      <alignment horizontal="right"/>
      <protection locked="0"/>
    </xf>
    <xf numFmtId="166" fontId="27" fillId="3" borderId="1" xfId="32" applyNumberFormat="1" applyFont="1" applyFill="1" applyBorder="1" applyAlignment="1" applyProtection="1">
      <alignment horizontal="right" wrapText="1"/>
      <protection locked="0"/>
    </xf>
    <xf numFmtId="0" fontId="30" fillId="5" borderId="1" xfId="0" applyFont="1" applyFill="1" applyBorder="1" applyAlignment="1">
      <alignment horizontal="left"/>
    </xf>
    <xf numFmtId="0" fontId="35" fillId="5" borderId="1" xfId="0" applyFont="1" applyFill="1" applyBorder="1" applyAlignment="1">
      <alignment horizontal="left" wrapText="1"/>
    </xf>
    <xf numFmtId="0" fontId="36" fillId="5" borderId="11" xfId="0" applyFont="1" applyFill="1" applyBorder="1" applyAlignment="1">
      <alignment horizontal="left" vertical="center"/>
    </xf>
    <xf numFmtId="0" fontId="28" fillId="4" borderId="5" xfId="0" applyFont="1" applyFill="1" applyBorder="1" applyAlignment="1">
      <alignment horizontal="left"/>
    </xf>
    <xf numFmtId="0" fontId="27" fillId="4" borderId="4" xfId="0" applyFont="1" applyFill="1" applyBorder="1"/>
    <xf numFmtId="0" fontId="27" fillId="4" borderId="3" xfId="0" applyFont="1" applyFill="1" applyBorder="1"/>
    <xf numFmtId="0" fontId="108" fillId="5" borderId="5" xfId="0" applyFont="1" applyFill="1" applyBorder="1" applyAlignment="1">
      <alignment vertical="center" wrapText="1"/>
    </xf>
    <xf numFmtId="0" fontId="108" fillId="5" borderId="4" xfId="0" applyFont="1" applyFill="1" applyBorder="1" applyAlignment="1">
      <alignment vertical="center" wrapText="1"/>
    </xf>
    <xf numFmtId="0" fontId="31" fillId="5" borderId="4" xfId="0" applyFont="1" applyFill="1" applyBorder="1" applyAlignment="1">
      <alignment horizontal="left" vertical="center"/>
    </xf>
    <xf numFmtId="0" fontId="31" fillId="5" borderId="3" xfId="0" applyFont="1" applyFill="1" applyBorder="1" applyAlignment="1">
      <alignment horizontal="left" vertical="center"/>
    </xf>
    <xf numFmtId="0" fontId="108" fillId="5" borderId="9" xfId="0" applyFont="1" applyFill="1" applyBorder="1" applyAlignment="1">
      <alignment horizontal="center" vertical="center" wrapText="1"/>
    </xf>
    <xf numFmtId="0" fontId="108" fillId="5" borderId="2"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3" fillId="5" borderId="13" xfId="0" applyFont="1" applyFill="1" applyBorder="1" applyAlignment="1">
      <alignment horizontal="left"/>
    </xf>
    <xf numFmtId="166" fontId="37" fillId="4" borderId="1" xfId="86" applyNumberFormat="1" applyFont="1" applyFill="1" applyBorder="1" applyAlignment="1" applyProtection="1">
      <alignment horizontal="center" wrapText="1"/>
    </xf>
    <xf numFmtId="166" fontId="27" fillId="3" borderId="1" xfId="86" applyNumberFormat="1" applyFont="1" applyFill="1" applyBorder="1" applyAlignment="1" applyProtection="1">
      <alignment horizontal="right"/>
      <protection locked="0"/>
    </xf>
    <xf numFmtId="166" fontId="27" fillId="3" borderId="1" xfId="32" quotePrefix="1" applyNumberFormat="1" applyFont="1" applyFill="1" applyBorder="1" applyAlignment="1" applyProtection="1">
      <alignment horizontal="right"/>
      <protection locked="0"/>
    </xf>
    <xf numFmtId="184" fontId="28" fillId="2" borderId="0" xfId="0" applyNumberFormat="1" applyFont="1" applyFill="1"/>
    <xf numFmtId="166" fontId="37" fillId="4" borderId="1" xfId="86" applyNumberFormat="1" applyFont="1" applyFill="1" applyBorder="1" applyAlignment="1" applyProtection="1">
      <alignment horizontal="center"/>
    </xf>
    <xf numFmtId="166" fontId="27" fillId="4" borderId="1" xfId="86" applyNumberFormat="1" applyFont="1" applyFill="1" applyBorder="1" applyAlignment="1">
      <alignment horizontal="left"/>
    </xf>
    <xf numFmtId="166" fontId="27" fillId="4" borderId="1" xfId="86" applyNumberFormat="1" applyFont="1" applyFill="1" applyBorder="1" applyAlignment="1" applyProtection="1">
      <alignment horizontal="right"/>
      <protection locked="0"/>
    </xf>
    <xf numFmtId="166" fontId="27" fillId="4" borderId="1" xfId="86" applyNumberFormat="1" applyFont="1" applyFill="1" applyBorder="1" applyAlignment="1" applyProtection="1">
      <alignment horizontal="right"/>
    </xf>
    <xf numFmtId="166" fontId="104" fillId="2" borderId="0" xfId="0" applyNumberFormat="1" applyFont="1" applyFill="1"/>
    <xf numFmtId="166" fontId="27" fillId="4" borderId="1" xfId="86" applyNumberFormat="1" applyFont="1" applyFill="1" applyBorder="1" applyAlignment="1" applyProtection="1">
      <alignment horizontal="left"/>
    </xf>
    <xf numFmtId="3" fontId="27" fillId="3" borderId="63" xfId="0" applyNumberFormat="1" applyFont="1" applyFill="1" applyBorder="1"/>
    <xf numFmtId="3" fontId="27" fillId="3" borderId="1" xfId="0" applyNumberFormat="1" applyFont="1" applyFill="1" applyBorder="1"/>
    <xf numFmtId="3" fontId="27" fillId="3" borderId="46" xfId="0" applyNumberFormat="1" applyFont="1" applyFill="1" applyBorder="1"/>
    <xf numFmtId="3" fontId="27" fillId="3" borderId="43" xfId="0" applyNumberFormat="1" applyFont="1" applyFill="1" applyBorder="1"/>
    <xf numFmtId="3" fontId="27" fillId="3" borderId="44" xfId="0" applyNumberFormat="1" applyFont="1" applyFill="1" applyBorder="1"/>
    <xf numFmtId="2" fontId="28" fillId="14" borderId="1" xfId="32" applyNumberFormat="1" applyFont="1" applyFill="1" applyBorder="1" applyAlignment="1" applyProtection="1">
      <protection locked="0"/>
    </xf>
    <xf numFmtId="1" fontId="28" fillId="4" borderId="1" xfId="32" applyNumberFormat="1" applyFont="1" applyFill="1" applyBorder="1" applyAlignment="1" applyProtection="1"/>
    <xf numFmtId="0" fontId="109" fillId="11" borderId="30" xfId="0" applyFont="1" applyFill="1" applyBorder="1" applyAlignment="1">
      <alignment horizontal="center" vertical="center" wrapText="1"/>
    </xf>
    <xf numFmtId="4" fontId="60" fillId="3" borderId="1" xfId="0" applyNumberFormat="1" applyFont="1" applyFill="1" applyBorder="1" applyAlignment="1" applyProtection="1">
      <alignment horizontal="right" vertical="top" wrapText="1"/>
      <protection locked="0"/>
    </xf>
    <xf numFmtId="166" fontId="28" fillId="34" borderId="1" xfId="45" applyNumberFormat="1" applyFont="1" applyFill="1" applyBorder="1" applyAlignment="1" applyProtection="1">
      <alignment horizontal="center" vertical="center"/>
    </xf>
    <xf numFmtId="182" fontId="27" fillId="33" borderId="1" xfId="32" applyNumberFormat="1" applyFont="1" applyFill="1" applyBorder="1" applyAlignment="1" applyProtection="1">
      <alignment horizontal="right"/>
      <protection locked="0"/>
    </xf>
    <xf numFmtId="0" fontId="34" fillId="4" borderId="1" xfId="0" applyFont="1" applyFill="1" applyBorder="1" applyAlignment="1">
      <alignment wrapText="1"/>
    </xf>
    <xf numFmtId="0" fontId="34" fillId="5" borderId="1" xfId="0" applyFont="1" applyFill="1" applyBorder="1" applyAlignment="1">
      <alignment vertical="center"/>
    </xf>
    <xf numFmtId="0" fontId="38" fillId="5" borderId="1" xfId="0" applyFont="1" applyFill="1" applyBorder="1" applyAlignment="1">
      <alignment horizontal="center" vertical="center" wrapText="1"/>
    </xf>
    <xf numFmtId="0" fontId="103" fillId="11" borderId="4" xfId="0" applyFont="1" applyFill="1" applyBorder="1" applyAlignment="1">
      <alignment horizontal="left" vertical="center"/>
    </xf>
    <xf numFmtId="0" fontId="109" fillId="11" borderId="57" xfId="0" applyFont="1" applyFill="1" applyBorder="1" applyAlignment="1">
      <alignment horizontal="center" vertical="center" wrapText="1"/>
    </xf>
    <xf numFmtId="166" fontId="28" fillId="33" borderId="1" xfId="32" applyNumberFormat="1" applyFont="1" applyFill="1" applyBorder="1" applyAlignment="1" applyProtection="1">
      <alignment horizontal="right"/>
      <protection locked="0"/>
    </xf>
    <xf numFmtId="3" fontId="104" fillId="3" borderId="63" xfId="0" applyNumberFormat="1" applyFont="1" applyFill="1" applyBorder="1"/>
    <xf numFmtId="3" fontId="104" fillId="3" borderId="64" xfId="0" applyNumberFormat="1" applyFont="1" applyFill="1" applyBorder="1"/>
    <xf numFmtId="3" fontId="104" fillId="3" borderId="1" xfId="0" applyNumberFormat="1" applyFont="1" applyFill="1" applyBorder="1"/>
    <xf numFmtId="3" fontId="104" fillId="3" borderId="44" xfId="0" applyNumberFormat="1" applyFont="1" applyFill="1" applyBorder="1"/>
    <xf numFmtId="3" fontId="104" fillId="3" borderId="46" xfId="0" applyNumberFormat="1" applyFont="1" applyFill="1" applyBorder="1"/>
    <xf numFmtId="3" fontId="104" fillId="3" borderId="47" xfId="0" applyNumberFormat="1" applyFont="1" applyFill="1" applyBorder="1"/>
    <xf numFmtId="183" fontId="27" fillId="3" borderId="1" xfId="32" applyNumberFormat="1" applyFont="1" applyFill="1" applyBorder="1" applyAlignment="1" applyProtection="1">
      <alignment horizontal="right" vertical="center" wrapText="1"/>
      <protection locked="0"/>
    </xf>
    <xf numFmtId="182" fontId="27" fillId="3" borderId="1" xfId="32" applyNumberFormat="1" applyFont="1" applyFill="1" applyBorder="1" applyAlignment="1" applyProtection="1">
      <alignment horizontal="right"/>
      <protection locked="0"/>
    </xf>
    <xf numFmtId="0" fontId="32" fillId="3" borderId="10" xfId="0" applyFont="1" applyFill="1" applyBorder="1" applyAlignment="1" applyProtection="1">
      <alignment horizontal="left" vertical="top" wrapText="1"/>
      <protection locked="0"/>
    </xf>
    <xf numFmtId="0" fontId="32" fillId="3" borderId="11" xfId="0" applyFont="1" applyFill="1" applyBorder="1" applyAlignment="1" applyProtection="1">
      <alignment horizontal="left" vertical="top" wrapText="1"/>
      <protection locked="0"/>
    </xf>
    <xf numFmtId="0" fontId="32" fillId="3" borderId="12" xfId="0" applyFont="1" applyFill="1" applyBorder="1" applyAlignment="1" applyProtection="1">
      <alignment horizontal="left" vertical="top" wrapText="1"/>
      <protection locked="0"/>
    </xf>
    <xf numFmtId="0" fontId="32" fillId="3" borderId="14" xfId="0" applyFont="1" applyFill="1" applyBorder="1" applyAlignment="1" applyProtection="1">
      <alignment horizontal="left" vertical="top" wrapText="1"/>
      <protection locked="0"/>
    </xf>
    <xf numFmtId="0" fontId="32" fillId="3" borderId="0" xfId="0" applyFont="1" applyFill="1" applyAlignment="1" applyProtection="1">
      <alignment horizontal="left" vertical="top" wrapText="1"/>
      <protection locked="0"/>
    </xf>
    <xf numFmtId="0" fontId="32" fillId="3" borderId="2" xfId="0" applyFont="1" applyFill="1" applyBorder="1" applyAlignment="1" applyProtection="1">
      <alignment horizontal="left" vertical="top" wrapText="1"/>
      <protection locked="0"/>
    </xf>
    <xf numFmtId="0" fontId="32" fillId="3" borderId="13" xfId="0" applyFont="1" applyFill="1" applyBorder="1" applyAlignment="1" applyProtection="1">
      <alignment horizontal="left" vertical="top" wrapText="1"/>
      <protection locked="0"/>
    </xf>
    <xf numFmtId="0" fontId="32" fillId="3" borderId="6" xfId="0" applyFont="1" applyFill="1" applyBorder="1" applyAlignment="1" applyProtection="1">
      <alignment horizontal="left" vertical="top" wrapText="1"/>
      <protection locked="0"/>
    </xf>
    <xf numFmtId="0" fontId="32" fillId="3" borderId="15" xfId="0" applyFont="1" applyFill="1" applyBorder="1" applyAlignment="1" applyProtection="1">
      <alignment horizontal="left" vertical="top" wrapText="1"/>
      <protection locked="0"/>
    </xf>
    <xf numFmtId="0" fontId="32" fillId="3" borderId="1" xfId="0" applyFont="1" applyFill="1" applyBorder="1" applyAlignment="1" applyProtection="1">
      <alignment horizontal="center" vertical="center"/>
      <protection locked="0"/>
    </xf>
    <xf numFmtId="0" fontId="29" fillId="5" borderId="1" xfId="0" applyFont="1" applyFill="1" applyBorder="1" applyAlignment="1">
      <alignment horizontal="center" vertical="center"/>
    </xf>
    <xf numFmtId="0" fontId="28" fillId="4" borderId="1" xfId="0" applyFont="1" applyFill="1" applyBorder="1" applyAlignment="1">
      <alignment horizontal="center"/>
    </xf>
    <xf numFmtId="0" fontId="32" fillId="4" borderId="5"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3" xfId="0" applyFont="1" applyFill="1" applyBorder="1" applyAlignment="1">
      <alignment horizontal="center" vertical="center"/>
    </xf>
    <xf numFmtId="0" fontId="28" fillId="4" borderId="14" xfId="0" applyFont="1" applyFill="1" applyBorder="1" applyAlignment="1">
      <alignment horizontal="left" vertical="top" wrapText="1"/>
    </xf>
    <xf numFmtId="0" fontId="28" fillId="4" borderId="0" xfId="0" applyFont="1" applyFill="1" applyAlignment="1">
      <alignment horizontal="left" vertical="top" wrapText="1"/>
    </xf>
    <xf numFmtId="0" fontId="28" fillId="4" borderId="2" xfId="0" applyFont="1" applyFill="1" applyBorder="1" applyAlignment="1">
      <alignment horizontal="left" vertical="top" wrapText="1"/>
    </xf>
    <xf numFmtId="0" fontId="28" fillId="4" borderId="13" xfId="0" applyFont="1" applyFill="1" applyBorder="1" applyAlignment="1">
      <alignment horizontal="left" vertical="top" wrapText="1"/>
    </xf>
    <xf numFmtId="0" fontId="28" fillId="4" borderId="6" xfId="0" applyFont="1" applyFill="1" applyBorder="1" applyAlignment="1">
      <alignment horizontal="left" vertical="top" wrapText="1"/>
    </xf>
    <xf numFmtId="0" fontId="28" fillId="4" borderId="15" xfId="0" applyFont="1" applyFill="1" applyBorder="1" applyAlignment="1">
      <alignment horizontal="left" vertical="top" wrapText="1"/>
    </xf>
    <xf numFmtId="0" fontId="29" fillId="5" borderId="10" xfId="0" applyFont="1" applyFill="1" applyBorder="1" applyAlignment="1">
      <alignment horizontal="center" vertical="center"/>
    </xf>
    <xf numFmtId="0" fontId="29" fillId="5" borderId="11" xfId="0" applyFont="1" applyFill="1" applyBorder="1" applyAlignment="1">
      <alignment horizontal="center" vertical="center"/>
    </xf>
    <xf numFmtId="0" fontId="29" fillId="5" borderId="12" xfId="0" applyFont="1" applyFill="1" applyBorder="1" applyAlignment="1">
      <alignment horizontal="center" vertical="center"/>
    </xf>
    <xf numFmtId="0" fontId="28" fillId="4" borderId="10" xfId="0" applyFont="1" applyFill="1" applyBorder="1" applyAlignment="1">
      <alignment horizontal="left" vertical="top" wrapText="1"/>
    </xf>
    <xf numFmtId="0" fontId="28" fillId="4" borderId="11" xfId="0" applyFont="1" applyFill="1" applyBorder="1" applyAlignment="1">
      <alignment horizontal="left" vertical="top" wrapText="1"/>
    </xf>
    <xf numFmtId="0" fontId="28" fillId="4" borderId="12" xfId="0" applyFont="1" applyFill="1" applyBorder="1" applyAlignment="1">
      <alignment horizontal="left" vertical="top" wrapText="1"/>
    </xf>
    <xf numFmtId="0" fontId="29" fillId="5" borderId="0" xfId="0" applyFont="1" applyFill="1" applyAlignment="1">
      <alignment horizontal="center" vertical="center"/>
    </xf>
    <xf numFmtId="0" fontId="29" fillId="5" borderId="7" xfId="0" applyFont="1" applyFill="1" applyBorder="1" applyAlignment="1">
      <alignment horizontal="center" vertical="center"/>
    </xf>
    <xf numFmtId="0" fontId="29" fillId="5" borderId="9" xfId="0" applyFont="1" applyFill="1" applyBorder="1" applyAlignment="1">
      <alignment horizontal="center" vertical="center"/>
    </xf>
    <xf numFmtId="0" fontId="29" fillId="5" borderId="6" xfId="0" applyFont="1" applyFill="1" applyBorder="1" applyAlignment="1">
      <alignment horizontal="center" vertical="center"/>
    </xf>
    <xf numFmtId="0" fontId="42" fillId="2" borderId="22" xfId="0" applyFont="1" applyFill="1" applyBorder="1" applyAlignment="1">
      <alignment horizontal="left" vertical="center"/>
    </xf>
    <xf numFmtId="0" fontId="42" fillId="2" borderId="23" xfId="0" applyFont="1" applyFill="1" applyBorder="1" applyAlignment="1">
      <alignment horizontal="left" vertical="center"/>
    </xf>
    <xf numFmtId="0" fontId="42" fillId="2" borderId="24" xfId="0" applyFont="1" applyFill="1" applyBorder="1" applyAlignment="1">
      <alignment horizontal="left" vertical="center"/>
    </xf>
    <xf numFmtId="0" fontId="42" fillId="2" borderId="25" xfId="0" applyFont="1" applyFill="1" applyBorder="1" applyAlignment="1">
      <alignment horizontal="left" vertical="center"/>
    </xf>
    <xf numFmtId="0" fontId="42" fillId="2" borderId="0" xfId="0" applyFont="1" applyFill="1" applyAlignment="1">
      <alignment horizontal="left" vertical="center"/>
    </xf>
    <xf numFmtId="0" fontId="42" fillId="2" borderId="26" xfId="0" applyFont="1" applyFill="1" applyBorder="1" applyAlignment="1">
      <alignment horizontal="left" vertical="center"/>
    </xf>
    <xf numFmtId="0" fontId="42" fillId="2" borderId="27" xfId="0" applyFont="1" applyFill="1" applyBorder="1" applyAlignment="1">
      <alignment horizontal="left" vertical="center"/>
    </xf>
    <xf numFmtId="0" fontId="42" fillId="2" borderId="28" xfId="0" applyFont="1" applyFill="1" applyBorder="1" applyAlignment="1">
      <alignment horizontal="left" vertical="center"/>
    </xf>
    <xf numFmtId="0" fontId="42" fillId="2" borderId="29" xfId="0" applyFont="1" applyFill="1" applyBorder="1" applyAlignment="1">
      <alignment horizontal="left" vertical="center"/>
    </xf>
    <xf numFmtId="0" fontId="32" fillId="2" borderId="23" xfId="0" applyFont="1" applyFill="1" applyBorder="1" applyAlignment="1">
      <alignment horizontal="left"/>
    </xf>
    <xf numFmtId="0" fontId="32" fillId="2" borderId="23" xfId="0" applyFont="1" applyFill="1" applyBorder="1" applyAlignment="1">
      <alignment horizontal="left" wrapText="1"/>
    </xf>
    <xf numFmtId="0" fontId="35" fillId="5" borderId="4" xfId="84" applyFont="1" applyFill="1" applyBorder="1" applyAlignment="1">
      <alignment horizontal="center" vertical="center"/>
    </xf>
    <xf numFmtId="0" fontId="35" fillId="5" borderId="3" xfId="84" applyFont="1" applyFill="1" applyBorder="1" applyAlignment="1">
      <alignment horizontal="center" vertical="center"/>
    </xf>
    <xf numFmtId="0" fontId="88" fillId="0" borderId="32" xfId="84" applyFont="1" applyBorder="1" applyAlignment="1">
      <alignment horizontal="center"/>
    </xf>
    <xf numFmtId="0" fontId="88" fillId="0" borderId="33" xfId="84" applyFont="1" applyBorder="1" applyAlignment="1">
      <alignment horizontal="center"/>
    </xf>
    <xf numFmtId="0" fontId="88" fillId="0" borderId="34" xfId="84" applyFont="1" applyBorder="1" applyAlignment="1">
      <alignment horizontal="center"/>
    </xf>
    <xf numFmtId="166" fontId="28" fillId="0" borderId="13" xfId="45" applyNumberFormat="1" applyFont="1" applyFill="1" applyBorder="1" applyAlignment="1" applyProtection="1">
      <alignment horizontal="left" vertical="center"/>
    </xf>
    <xf numFmtId="166" fontId="28" fillId="0" borderId="6" xfId="45" applyNumberFormat="1" applyFont="1" applyFill="1" applyBorder="1" applyAlignment="1" applyProtection="1">
      <alignment horizontal="left" vertical="center"/>
    </xf>
    <xf numFmtId="0" fontId="46" fillId="24" borderId="5" xfId="84" applyFont="1" applyFill="1" applyBorder="1" applyAlignment="1">
      <alignment horizontal="left" vertical="center" wrapText="1"/>
    </xf>
    <xf numFmtId="0" fontId="46" fillId="24" borderId="3" xfId="84" applyFont="1" applyFill="1" applyBorder="1" applyAlignment="1">
      <alignment horizontal="left" vertical="center" wrapText="1"/>
    </xf>
    <xf numFmtId="166" fontId="28" fillId="4" borderId="5" xfId="45" applyNumberFormat="1" applyFont="1" applyFill="1" applyBorder="1" applyAlignment="1" applyProtection="1">
      <alignment horizontal="left" vertical="center"/>
    </xf>
    <xf numFmtId="166" fontId="28" fillId="4" borderId="4" xfId="45" applyNumberFormat="1" applyFont="1" applyFill="1" applyBorder="1" applyAlignment="1" applyProtection="1">
      <alignment horizontal="left" vertical="center"/>
    </xf>
    <xf numFmtId="166" fontId="28" fillId="4" borderId="3" xfId="45" applyNumberFormat="1" applyFont="1" applyFill="1" applyBorder="1" applyAlignment="1" applyProtection="1">
      <alignment horizontal="left" vertical="center"/>
    </xf>
    <xf numFmtId="0" fontId="27" fillId="2" borderId="0" xfId="0" applyFont="1" applyFill="1" applyAlignment="1">
      <alignment horizontal="left" wrapText="1"/>
    </xf>
    <xf numFmtId="0" fontId="36" fillId="5" borderId="1" xfId="0" applyFont="1" applyFill="1" applyBorder="1" applyAlignment="1">
      <alignment horizontal="center" vertical="center"/>
    </xf>
    <xf numFmtId="0" fontId="35" fillId="5" borderId="1" xfId="0" applyFont="1" applyFill="1" applyBorder="1" applyAlignment="1">
      <alignment horizontal="center" vertical="center"/>
    </xf>
    <xf numFmtId="0" fontId="26" fillId="5" borderId="1" xfId="0" applyFont="1" applyFill="1" applyBorder="1" applyAlignment="1">
      <alignment horizontal="center" vertical="center"/>
    </xf>
    <xf numFmtId="0" fontId="95" fillId="4" borderId="31" xfId="0" applyFont="1" applyFill="1" applyBorder="1" applyAlignment="1">
      <alignment horizontal="center"/>
    </xf>
    <xf numFmtId="0" fontId="95" fillId="4" borderId="52" xfId="0" applyFont="1" applyFill="1" applyBorder="1" applyAlignment="1">
      <alignment horizontal="center"/>
    </xf>
    <xf numFmtId="0" fontId="95" fillId="4" borderId="53" xfId="0" applyFont="1" applyFill="1" applyBorder="1" applyAlignment="1">
      <alignment horizontal="center"/>
    </xf>
    <xf numFmtId="0" fontId="35" fillId="29" borderId="59" xfId="0" applyFont="1" applyFill="1" applyBorder="1" applyAlignment="1">
      <alignment horizontal="left" vertical="center"/>
    </xf>
    <xf numFmtId="0" fontId="0" fillId="29" borderId="60" xfId="0" applyFill="1" applyBorder="1" applyAlignment="1">
      <alignment horizontal="left" vertical="center"/>
    </xf>
    <xf numFmtId="0" fontId="36" fillId="5" borderId="5"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106" fillId="5" borderId="4"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36" fillId="5" borderId="0" xfId="0" applyFont="1" applyFill="1" applyAlignment="1">
      <alignment horizontal="center" vertical="center" wrapText="1"/>
    </xf>
    <xf numFmtId="0" fontId="31" fillId="5" borderId="1" xfId="0"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14" xfId="0" applyFont="1" applyFill="1" applyBorder="1" applyAlignment="1">
      <alignment horizontal="center" vertical="center" wrapText="1"/>
    </xf>
    <xf numFmtId="170" fontId="26" fillId="5" borderId="3" xfId="0" applyNumberFormat="1" applyFont="1" applyFill="1" applyBorder="1" applyAlignment="1">
      <alignment horizontal="center" vertical="center" wrapText="1"/>
    </xf>
    <xf numFmtId="170" fontId="26" fillId="5" borderId="6" xfId="0" applyNumberFormat="1" applyFont="1" applyFill="1" applyBorder="1" applyAlignment="1">
      <alignment horizontal="center" vertical="center"/>
    </xf>
    <xf numFmtId="170" fontId="26" fillId="5" borderId="15" xfId="0" applyNumberFormat="1" applyFont="1" applyFill="1" applyBorder="1" applyAlignment="1">
      <alignment horizontal="center" vertical="center"/>
    </xf>
    <xf numFmtId="170" fontId="26" fillId="5" borderId="1" xfId="0" applyNumberFormat="1" applyFont="1" applyFill="1" applyBorder="1" applyAlignment="1">
      <alignment horizontal="center" vertical="center" wrapText="1"/>
    </xf>
    <xf numFmtId="0" fontId="26" fillId="5" borderId="4" xfId="0" applyFont="1" applyFill="1" applyBorder="1" applyAlignment="1">
      <alignment horizontal="center" vertical="center"/>
    </xf>
    <xf numFmtId="170" fontId="29" fillId="5" borderId="7" xfId="0" quotePrefix="1" applyNumberFormat="1" applyFont="1" applyFill="1" applyBorder="1" applyAlignment="1">
      <alignment horizontal="center" vertical="center" wrapText="1"/>
    </xf>
    <xf numFmtId="170" fontId="29" fillId="5" borderId="8" xfId="0" applyNumberFormat="1" applyFont="1" applyFill="1" applyBorder="1" applyAlignment="1">
      <alignment horizontal="center" vertical="center" wrapText="1"/>
    </xf>
    <xf numFmtId="0" fontId="29" fillId="5" borderId="1" xfId="0" applyFont="1" applyFill="1" applyBorder="1" applyAlignment="1">
      <alignment horizontal="center" vertical="center" wrapText="1"/>
    </xf>
    <xf numFmtId="0" fontId="34" fillId="4" borderId="1" xfId="0" applyFont="1" applyFill="1" applyBorder="1" applyAlignment="1">
      <alignment horizontal="left"/>
    </xf>
    <xf numFmtId="0" fontId="30" fillId="5" borderId="5" xfId="0" applyFont="1" applyFill="1" applyBorder="1" applyAlignment="1">
      <alignment horizontal="left" vertical="center" wrapText="1"/>
    </xf>
    <xf numFmtId="0" fontId="30" fillId="5" borderId="4" xfId="0" applyFont="1" applyFill="1" applyBorder="1" applyAlignment="1">
      <alignment horizontal="left" vertical="center" wrapText="1"/>
    </xf>
    <xf numFmtId="0" fontId="30" fillId="5" borderId="3" xfId="0" applyFont="1" applyFill="1" applyBorder="1" applyAlignment="1">
      <alignment horizontal="left" vertical="center" wrapText="1"/>
    </xf>
    <xf numFmtId="0" fontId="36" fillId="5" borderId="12" xfId="0" applyFont="1" applyFill="1" applyBorder="1" applyAlignment="1">
      <alignment horizontal="center" vertical="center" wrapText="1"/>
    </xf>
    <xf numFmtId="0" fontId="36" fillId="5" borderId="13" xfId="0" applyFont="1" applyFill="1" applyBorder="1" applyAlignment="1">
      <alignment horizontal="center" vertical="center" wrapText="1"/>
    </xf>
    <xf numFmtId="0" fontId="36" fillId="5" borderId="6" xfId="0" applyFont="1" applyFill="1" applyBorder="1" applyAlignment="1">
      <alignment horizontal="center" vertical="center" wrapText="1"/>
    </xf>
    <xf numFmtId="0" fontId="36" fillId="5" borderId="15" xfId="0" applyFont="1" applyFill="1" applyBorder="1" applyAlignment="1">
      <alignment horizontal="center" vertical="center" wrapText="1"/>
    </xf>
    <xf numFmtId="0" fontId="30" fillId="5" borderId="13" xfId="0" applyFont="1" applyFill="1" applyBorder="1" applyAlignment="1">
      <alignment horizontal="left" vertical="center" wrapText="1"/>
    </xf>
    <xf numFmtId="0" fontId="30" fillId="5" borderId="6" xfId="0" applyFont="1" applyFill="1" applyBorder="1" applyAlignment="1">
      <alignment horizontal="left" vertical="center" wrapText="1"/>
    </xf>
    <xf numFmtId="0" fontId="30" fillId="5" borderId="15" xfId="0" applyFont="1" applyFill="1" applyBorder="1" applyAlignment="1">
      <alignment horizontal="left" vertical="center" wrapText="1"/>
    </xf>
    <xf numFmtId="0" fontId="31" fillId="5" borderId="7" xfId="0" applyFont="1" applyFill="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31" fillId="5" borderId="0" xfId="0" applyFont="1" applyFill="1" applyAlignment="1">
      <alignment horizontal="center" vertical="center" wrapText="1"/>
    </xf>
    <xf numFmtId="0" fontId="0" fillId="0" borderId="0" xfId="0" applyAlignment="1">
      <alignment horizontal="center" vertical="center" wrapText="1"/>
    </xf>
    <xf numFmtId="0" fontId="34" fillId="4" borderId="7" xfId="0" applyFont="1" applyFill="1" applyBorder="1" applyAlignment="1">
      <alignment horizontal="center" vertical="center"/>
    </xf>
    <xf numFmtId="0" fontId="34" fillId="4" borderId="8" xfId="0" applyFont="1" applyFill="1" applyBorder="1" applyAlignment="1">
      <alignment horizontal="center" vertical="center"/>
    </xf>
    <xf numFmtId="172" fontId="28" fillId="3" borderId="5" xfId="32" applyNumberFormat="1" applyFont="1" applyFill="1"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3" xfId="0" applyBorder="1" applyAlignment="1" applyProtection="1">
      <alignment horizontal="left" wrapText="1"/>
      <protection locked="0"/>
    </xf>
    <xf numFmtId="0" fontId="37" fillId="4" borderId="10" xfId="0" applyFont="1" applyFill="1" applyBorder="1" applyAlignment="1">
      <alignment horizontal="left" wrapText="1"/>
    </xf>
    <xf numFmtId="0" fontId="37" fillId="4" borderId="11" xfId="0" applyFont="1"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37" fillId="4" borderId="13" xfId="0" applyFont="1" applyFill="1" applyBorder="1" applyAlignment="1">
      <alignment horizontal="left" wrapText="1"/>
    </xf>
    <xf numFmtId="0" fontId="37" fillId="4" borderId="6" xfId="0" applyFont="1" applyFill="1" applyBorder="1" applyAlignment="1">
      <alignment horizontal="left" wrapText="1"/>
    </xf>
    <xf numFmtId="0" fontId="0" fillId="0" borderId="6" xfId="0" applyBorder="1" applyAlignment="1">
      <alignment horizontal="left" wrapText="1"/>
    </xf>
    <xf numFmtId="0" fontId="0" fillId="0" borderId="15" xfId="0" applyBorder="1" applyAlignment="1">
      <alignment horizontal="left" wrapText="1"/>
    </xf>
    <xf numFmtId="0" fontId="37" fillId="4" borderId="7" xfId="0" applyFont="1" applyFill="1" applyBorder="1" applyAlignment="1">
      <alignment horizontal="center" wrapText="1"/>
    </xf>
    <xf numFmtId="0" fontId="37" fillId="4" borderId="8" xfId="0" applyFont="1" applyFill="1" applyBorder="1" applyAlignment="1">
      <alignment horizontal="center" wrapText="1"/>
    </xf>
    <xf numFmtId="0" fontId="5" fillId="20" borderId="4" xfId="92" applyFill="1" applyBorder="1" applyAlignment="1">
      <alignment horizontal="center"/>
    </xf>
    <xf numFmtId="0" fontId="5" fillId="20" borderId="3" xfId="92" applyFill="1" applyBorder="1" applyAlignment="1">
      <alignment horizontal="center"/>
    </xf>
    <xf numFmtId="0" fontId="26" fillId="5" borderId="1" xfId="0" applyFont="1" applyFill="1" applyBorder="1" applyAlignment="1">
      <alignment horizontal="center" vertical="center" wrapText="1"/>
    </xf>
    <xf numFmtId="0" fontId="0" fillId="3" borderId="32" xfId="0" applyFill="1" applyBorder="1" applyAlignment="1">
      <alignment horizontal="left"/>
    </xf>
    <xf numFmtId="0" fontId="0" fillId="3" borderId="33" xfId="0" applyFill="1" applyBorder="1" applyAlignment="1">
      <alignment horizontal="left"/>
    </xf>
    <xf numFmtId="0" fontId="0" fillId="3" borderId="34" xfId="0" applyFill="1" applyBorder="1" applyAlignment="1">
      <alignment horizontal="left"/>
    </xf>
  </cellXfs>
  <cellStyles count="101">
    <cellStyle name="0,0_x000d__x000a_NA_x000d__x000a_" xfId="1" xr:uid="{00000000-0005-0000-0000-000000000000}"/>
    <cellStyle name="0,0_x000d__x000a_NA_x000d__x000a_ 2" xfId="17" xr:uid="{00000000-0005-0000-0000-000001000000}"/>
    <cellStyle name="Comma" xfId="32" builtinId="3"/>
    <cellStyle name="Comma 2" xfId="15" xr:uid="{00000000-0005-0000-0000-000003000000}"/>
    <cellStyle name="Comma 2 2" xfId="28" xr:uid="{00000000-0005-0000-0000-000004000000}"/>
    <cellStyle name="Comma 2 2 2" xfId="69" xr:uid="{00000000-0005-0000-0000-000005000000}"/>
    <cellStyle name="Comma 2 3" xfId="58" xr:uid="{00000000-0005-0000-0000-000006000000}"/>
    <cellStyle name="Comma 2 8 2" xfId="45" xr:uid="{00000000-0005-0000-0000-000007000000}"/>
    <cellStyle name="Comma 2 8 2 2" xfId="83" xr:uid="{00000000-0005-0000-0000-000008000000}"/>
    <cellStyle name="Comma 3" xfId="35" xr:uid="{00000000-0005-0000-0000-000009000000}"/>
    <cellStyle name="Comma 3 2" xfId="73" xr:uid="{00000000-0005-0000-0000-00000A000000}"/>
    <cellStyle name="Comma 4" xfId="3" xr:uid="{00000000-0005-0000-0000-00000B000000}"/>
    <cellStyle name="Comma 5" xfId="72" xr:uid="{00000000-0005-0000-0000-00000C000000}"/>
    <cellStyle name="Comma 6" xfId="86" xr:uid="{00000000-0005-0000-0000-00000D000000}"/>
    <cellStyle name="Comma 7" xfId="88" xr:uid="{00000000-0005-0000-0000-00000E000000}"/>
    <cellStyle name="Comma 8" xfId="90" xr:uid="{00000000-0005-0000-0000-00000F000000}"/>
    <cellStyle name="Comma 9" xfId="94" xr:uid="{00000000-0005-0000-0000-000010000000}"/>
    <cellStyle name="Hyperlink" xfId="34" builtinId="8"/>
    <cellStyle name="Hyperlink 2" xfId="97" xr:uid="{00000000-0005-0000-0000-000012000000}"/>
    <cellStyle name="Normal" xfId="0" builtinId="0"/>
    <cellStyle name="Normal 10" xfId="46" xr:uid="{00000000-0005-0000-0000-000014000000}"/>
    <cellStyle name="Normal 10 2" xfId="84" xr:uid="{00000000-0005-0000-0000-000015000000}"/>
    <cellStyle name="Normal 11" xfId="87" xr:uid="{00000000-0005-0000-0000-000016000000}"/>
    <cellStyle name="Normal 12" xfId="89" xr:uid="{00000000-0005-0000-0000-000017000000}"/>
    <cellStyle name="Normal 13" xfId="91" xr:uid="{00000000-0005-0000-0000-000018000000}"/>
    <cellStyle name="Normal 14" xfId="92" xr:uid="{00000000-0005-0000-0000-000019000000}"/>
    <cellStyle name="Normal 15" xfId="95" xr:uid="{00000000-0005-0000-0000-00001A000000}"/>
    <cellStyle name="Normal 16" xfId="98" xr:uid="{00000000-0005-0000-0000-00001B000000}"/>
    <cellStyle name="Normal 2" xfId="4" xr:uid="{00000000-0005-0000-0000-00001C000000}"/>
    <cellStyle name="Normal 2 2" xfId="20" xr:uid="{00000000-0005-0000-0000-00001D000000}"/>
    <cellStyle name="Normal 2 2 2" xfId="61" xr:uid="{00000000-0005-0000-0000-00001E000000}"/>
    <cellStyle name="Normal 2 3" xfId="8" xr:uid="{00000000-0005-0000-0000-00001F000000}"/>
    <cellStyle name="Normal 2 3 2" xfId="23" xr:uid="{00000000-0005-0000-0000-000020000000}"/>
    <cellStyle name="Normal 2 3 2 2" xfId="44" xr:uid="{00000000-0005-0000-0000-000021000000}"/>
    <cellStyle name="Normal 2 3 2 2 2" xfId="82" xr:uid="{00000000-0005-0000-0000-000022000000}"/>
    <cellStyle name="Normal 2 3 2 3" xfId="64" xr:uid="{00000000-0005-0000-0000-000023000000}"/>
    <cellStyle name="Normal 2 3 3" xfId="39" xr:uid="{00000000-0005-0000-0000-000024000000}"/>
    <cellStyle name="Normal 2 3 3 2" xfId="77" xr:uid="{00000000-0005-0000-0000-000025000000}"/>
    <cellStyle name="Normal 2 3 4" xfId="53" xr:uid="{00000000-0005-0000-0000-000026000000}"/>
    <cellStyle name="Normal 2 4" xfId="36" xr:uid="{00000000-0005-0000-0000-000027000000}"/>
    <cellStyle name="Normal 2 4 2" xfId="74" xr:uid="{00000000-0005-0000-0000-000028000000}"/>
    <cellStyle name="Normal 2 5" xfId="50" xr:uid="{00000000-0005-0000-0000-000029000000}"/>
    <cellStyle name="Normal 2 6" xfId="96" xr:uid="{00000000-0005-0000-0000-00002A000000}"/>
    <cellStyle name="Normal 3" xfId="5" xr:uid="{00000000-0005-0000-0000-00002B000000}"/>
    <cellStyle name="Normal 3 10 2" xfId="10" xr:uid="{00000000-0005-0000-0000-00002C000000}"/>
    <cellStyle name="Normal 3 10 2 2" xfId="18" xr:uid="{00000000-0005-0000-0000-00002D000000}"/>
    <cellStyle name="Normal 3 10 2 2 2" xfId="19" xr:uid="{00000000-0005-0000-0000-00002E000000}"/>
    <cellStyle name="Normal 3 10 2 2 2 2" xfId="31" xr:uid="{00000000-0005-0000-0000-00002F000000}"/>
    <cellStyle name="Normal 3 10 2 2 2 2 2" xfId="71" xr:uid="{00000000-0005-0000-0000-000030000000}"/>
    <cellStyle name="Normal 3 10 2 2 2 3" xfId="60" xr:uid="{00000000-0005-0000-0000-000031000000}"/>
    <cellStyle name="Normal 3 10 2 2 3" xfId="30" xr:uid="{00000000-0005-0000-0000-000032000000}"/>
    <cellStyle name="Normal 3 10 2 2 3 2" xfId="70" xr:uid="{00000000-0005-0000-0000-000033000000}"/>
    <cellStyle name="Normal 3 10 2 2 4" xfId="47" xr:uid="{00000000-0005-0000-0000-000034000000}"/>
    <cellStyle name="Normal 3 10 2 2 4 2" xfId="48" xr:uid="{00000000-0005-0000-0000-000035000000}"/>
    <cellStyle name="Normal 3 10 2 2 4 2 2" xfId="49" xr:uid="{00000000-0005-0000-0000-000036000000}"/>
    <cellStyle name="Normal 3 10 2 2 4 2 2 2" xfId="99" xr:uid="{00000000-0005-0000-0000-000037000000}"/>
    <cellStyle name="Normal 3 10 2 2 4 3" xfId="85" xr:uid="{00000000-0005-0000-0000-000038000000}"/>
    <cellStyle name="Normal 3 10 2 2 5" xfId="59" xr:uid="{00000000-0005-0000-0000-000039000000}"/>
    <cellStyle name="Normal 3 10 2 3" xfId="24" xr:uid="{00000000-0005-0000-0000-00003A000000}"/>
    <cellStyle name="Normal 3 10 2 3 2" xfId="65" xr:uid="{00000000-0005-0000-0000-00003B000000}"/>
    <cellStyle name="Normal 3 10 2 4" xfId="40" xr:uid="{00000000-0005-0000-0000-00003C000000}"/>
    <cellStyle name="Normal 3 10 2 4 2" xfId="78" xr:uid="{00000000-0005-0000-0000-00003D000000}"/>
    <cellStyle name="Normal 3 10 2 5" xfId="54" xr:uid="{00000000-0005-0000-0000-00003E000000}"/>
    <cellStyle name="Normal 3 2 5" xfId="11" xr:uid="{00000000-0005-0000-0000-00003F000000}"/>
    <cellStyle name="Normal 4" xfId="2" xr:uid="{00000000-0005-0000-0000-000040000000}"/>
    <cellStyle name="Normal 5" xfId="6" xr:uid="{00000000-0005-0000-0000-000041000000}"/>
    <cellStyle name="Normal 5 2" xfId="21" xr:uid="{00000000-0005-0000-0000-000042000000}"/>
    <cellStyle name="Normal 5 2 2" xfId="62" xr:uid="{00000000-0005-0000-0000-000043000000}"/>
    <cellStyle name="Normal 5 3" xfId="37" xr:uid="{00000000-0005-0000-0000-000044000000}"/>
    <cellStyle name="Normal 5 3 2" xfId="75" xr:uid="{00000000-0005-0000-0000-000045000000}"/>
    <cellStyle name="Normal 5 4" xfId="51" xr:uid="{00000000-0005-0000-0000-000046000000}"/>
    <cellStyle name="Normal 6" xfId="7" xr:uid="{00000000-0005-0000-0000-000047000000}"/>
    <cellStyle name="Normal 6 2" xfId="22" xr:uid="{00000000-0005-0000-0000-000048000000}"/>
    <cellStyle name="Normal 6 2 2" xfId="63" xr:uid="{00000000-0005-0000-0000-000049000000}"/>
    <cellStyle name="Normal 6 3" xfId="38" xr:uid="{00000000-0005-0000-0000-00004A000000}"/>
    <cellStyle name="Normal 6 3 2" xfId="76" xr:uid="{00000000-0005-0000-0000-00004B000000}"/>
    <cellStyle name="Normal 6 4" xfId="52" xr:uid="{00000000-0005-0000-0000-00004C000000}"/>
    <cellStyle name="Normal 7" xfId="14" xr:uid="{00000000-0005-0000-0000-00004D000000}"/>
    <cellStyle name="Normal 7 2" xfId="27" xr:uid="{00000000-0005-0000-0000-00004E000000}"/>
    <cellStyle name="Normal 7 2 2" xfId="68" xr:uid="{00000000-0005-0000-0000-00004F000000}"/>
    <cellStyle name="Normal 7 3" xfId="57" xr:uid="{00000000-0005-0000-0000-000050000000}"/>
    <cellStyle name="Normal 8" xfId="12" xr:uid="{00000000-0005-0000-0000-000051000000}"/>
    <cellStyle name="Normal 8 2" xfId="13" xr:uid="{00000000-0005-0000-0000-000052000000}"/>
    <cellStyle name="Normal 8 2 2" xfId="26" xr:uid="{00000000-0005-0000-0000-000053000000}"/>
    <cellStyle name="Normal 8 2 2 2" xfId="43" xr:uid="{00000000-0005-0000-0000-000054000000}"/>
    <cellStyle name="Normal 8 2 2 2 2" xfId="81" xr:uid="{00000000-0005-0000-0000-000055000000}"/>
    <cellStyle name="Normal 8 2 2 3" xfId="67" xr:uid="{00000000-0005-0000-0000-000056000000}"/>
    <cellStyle name="Normal 8 2 3" xfId="42" xr:uid="{00000000-0005-0000-0000-000057000000}"/>
    <cellStyle name="Normal 8 2 3 2" xfId="80" xr:uid="{00000000-0005-0000-0000-000058000000}"/>
    <cellStyle name="Normal 8 2 4" xfId="56" xr:uid="{00000000-0005-0000-0000-000059000000}"/>
    <cellStyle name="Normal 8 3" xfId="25" xr:uid="{00000000-0005-0000-0000-00005A000000}"/>
    <cellStyle name="Normal 8 3 2" xfId="66" xr:uid="{00000000-0005-0000-0000-00005B000000}"/>
    <cellStyle name="Normal 8 4" xfId="41" xr:uid="{00000000-0005-0000-0000-00005C000000}"/>
    <cellStyle name="Normal 8 4 2" xfId="79" xr:uid="{00000000-0005-0000-0000-00005D000000}"/>
    <cellStyle name="Normal 8 5" xfId="55" xr:uid="{00000000-0005-0000-0000-00005E000000}"/>
    <cellStyle name="Normal 9" xfId="16" xr:uid="{00000000-0005-0000-0000-00005F000000}"/>
    <cellStyle name="Normal 9 2" xfId="29" xr:uid="{00000000-0005-0000-0000-000060000000}"/>
    <cellStyle name="Normal_2009-10 Trust template Month 2" xfId="100" xr:uid="{00000000-0005-0000-0000-000061000000}"/>
    <cellStyle name="Per cent" xfId="33" builtinId="5"/>
    <cellStyle name="Percent 2" xfId="9" xr:uid="{00000000-0005-0000-0000-000063000000}"/>
    <cellStyle name="Percent 3" xfId="93" xr:uid="{00000000-0005-0000-0000-000064000000}"/>
  </cellStyles>
  <dxfs count="18">
    <dxf>
      <fill>
        <patternFill>
          <bgColor indexed="10"/>
        </patternFill>
      </fill>
    </dxf>
    <dxf>
      <fill>
        <patternFill>
          <bgColor indexed="52"/>
        </patternFill>
      </fill>
    </dxf>
    <dxf>
      <fill>
        <patternFill>
          <bgColor indexed="11"/>
        </patternFill>
      </fill>
    </dxf>
    <dxf>
      <font>
        <color theme="0"/>
      </font>
    </dxf>
    <dxf>
      <font>
        <color theme="0"/>
      </font>
      <fill>
        <patternFill>
          <bgColor theme="9"/>
        </patternFill>
      </fill>
    </dxf>
    <dxf>
      <font>
        <color theme="0"/>
      </font>
      <fill>
        <patternFill>
          <bgColor theme="5"/>
        </patternFill>
      </fill>
    </dxf>
    <dxf>
      <fill>
        <patternFill>
          <bgColor theme="9" tint="0.59996337778862885"/>
        </patternFill>
      </fill>
    </dxf>
    <dxf>
      <numFmt numFmtId="30" formatCode="@"/>
    </dxf>
    <dxf>
      <numFmt numFmtId="19" formatCode="dd/mm/yyyy"/>
    </dxf>
    <dxf>
      <numFmt numFmtId="22" formatCode="mmm\-yy"/>
    </dxf>
    <dxf>
      <numFmt numFmtId="22" formatCode="mmm\-yy"/>
    </dxf>
    <dxf>
      <numFmt numFmtId="19" formatCode="dd/mm/yyyy"/>
    </dxf>
    <dxf>
      <numFmt numFmtId="22" formatCode="mmm\-yy"/>
    </dxf>
    <dxf>
      <alignment horizontal="general" vertical="bottom" textRotation="0" wrapText="1" indent="0" justifyLastLine="0" shrinkToFit="0" readingOrder="0"/>
    </dxf>
    <dxf>
      <numFmt numFmtId="0" formatCode="General"/>
    </dxf>
    <dxf>
      <numFmt numFmtId="19" formatCode="dd/mm/yyyy"/>
    </dxf>
    <dxf>
      <numFmt numFmtId="22" formatCode="mmm\-yy"/>
    </dxf>
    <dxf>
      <numFmt numFmtId="19" formatCode="dd/mm/yyyy"/>
    </dxf>
  </dxfs>
  <tableStyles count="0" defaultTableStyle="TableStyleMedium2" defaultPivotStyle="PivotStyleLight16"/>
  <colors>
    <mruColors>
      <color rgb="FF34465A"/>
      <color rgb="FFFFCC66"/>
      <color rgb="FFA5E9BF"/>
      <color rgb="FFFF9999"/>
      <color rgb="FFCAAA7A"/>
      <color rgb="FF98ADC4"/>
      <color rgb="FFFF6969"/>
      <color rgb="FF66FF66"/>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3.xml"/><Relationship Id="rId50" Type="http://schemas.openxmlformats.org/officeDocument/2006/relationships/pivotCacheDefinition" Target="pivotCache/pivotCacheDefinition3.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pivotCacheDefinition" Target="pivotCache/pivotCacheDefinition1.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pivotCacheDefinition" Target="pivotCache/pivotCacheDefinition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pivotCacheDefinition" Target="pivotCache/pivotCacheDefinition2.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pivotCacheDefinition" Target="pivotCache/pivotCacheDefinition5.xml"/><Relationship Id="rId60"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8.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19.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Finance'!$A$8</c:f>
              <c:strCache>
                <c:ptCount val="1"/>
                <c:pt idx="0">
                  <c:v>Income (exc. M12 Pension adj)</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Finance'!$B$8:$BU$8</c:f>
              <c:numCache>
                <c:formatCode>#,##0,;\(#,##0,\);"-";@</c:formatCode>
                <c:ptCount val="72"/>
                <c:pt idx="0">
                  <c:v>92207.638000000006</c:v>
                </c:pt>
                <c:pt idx="1">
                  <c:v>92031.142000000007</c:v>
                </c:pt>
                <c:pt idx="2">
                  <c:v>94602.399000000005</c:v>
                </c:pt>
                <c:pt idx="3">
                  <c:v>92247.258000000002</c:v>
                </c:pt>
                <c:pt idx="4">
                  <c:v>94808.403000000006</c:v>
                </c:pt>
                <c:pt idx="5">
                  <c:v>92814.263999999996</c:v>
                </c:pt>
                <c:pt idx="6">
                  <c:v>97548.347999999998</c:v>
                </c:pt>
                <c:pt idx="7">
                  <c:v>98348.722999999998</c:v>
                </c:pt>
                <c:pt idx="8">
                  <c:v>96610.054999999993</c:v>
                </c:pt>
                <c:pt idx="9">
                  <c:v>96765.464000000007</c:v>
                </c:pt>
                <c:pt idx="10">
                  <c:v>99673.877999999997</c:v>
                </c:pt>
                <c:pt idx="11">
                  <c:v>110694.13200000001</c:v>
                </c:pt>
                <c:pt idx="12">
                  <c:v>90389.698000000004</c:v>
                </c:pt>
                <c:pt idx="13">
                  <c:v>92347.379000000001</c:v>
                </c:pt>
                <c:pt idx="14">
                  <c:v>120485.352</c:v>
                </c:pt>
                <c:pt idx="15">
                  <c:v>102965.75999999999</c:v>
                </c:pt>
                <c:pt idx="16">
                  <c:v>94428.752999999997</c:v>
                </c:pt>
                <c:pt idx="17">
                  <c:v>119456.416</c:v>
                </c:pt>
                <c:pt idx="18">
                  <c:v>104981.7</c:v>
                </c:pt>
                <c:pt idx="19">
                  <c:v>101744.864</c:v>
                </c:pt>
                <c:pt idx="20">
                  <c:v>103501</c:v>
                </c:pt>
                <c:pt idx="21">
                  <c:v>104685.30899999999</c:v>
                </c:pt>
                <c:pt idx="22">
                  <c:v>113500.53200000001</c:v>
                </c:pt>
                <c:pt idx="23">
                  <c:v>168069.86300000001</c:v>
                </c:pt>
                <c:pt idx="24">
                  <c:v>99371.835000000006</c:v>
                </c:pt>
                <c:pt idx="25">
                  <c:v>102812.94899999999</c:v>
                </c:pt>
                <c:pt idx="26">
                  <c:v>103097.849</c:v>
                </c:pt>
                <c:pt idx="27">
                  <c:v>106767.572</c:v>
                </c:pt>
                <c:pt idx="28">
                  <c:v>107036.2</c:v>
                </c:pt>
                <c:pt idx="29">
                  <c:v>115142.643</c:v>
                </c:pt>
                <c:pt idx="30">
                  <c:v>108473.202</c:v>
                </c:pt>
                <c:pt idx="31">
                  <c:v>109853.92600000001</c:v>
                </c:pt>
                <c:pt idx="32">
                  <c:v>112807.57</c:v>
                </c:pt>
                <c:pt idx="33">
                  <c:v>117061.141</c:v>
                </c:pt>
                <c:pt idx="34">
                  <c:v>112458.35</c:v>
                </c:pt>
                <c:pt idx="35">
                  <c:v>153532.53</c:v>
                </c:pt>
                <c:pt idx="36">
                  <c:v>100674.02099999999</c:v>
                </c:pt>
                <c:pt idx="37">
                  <c:v>113088.36199999999</c:v>
                </c:pt>
                <c:pt idx="38">
                  <c:v>111954.19100000001</c:v>
                </c:pt>
                <c:pt idx="39">
                  <c:v>119781.27</c:v>
                </c:pt>
                <c:pt idx="40">
                  <c:v>115410.946</c:v>
                </c:pt>
                <c:pt idx="41">
                  <c:v>130184.072</c:v>
                </c:pt>
                <c:pt idx="42">
                  <c:v>119703.929</c:v>
                </c:pt>
                <c:pt idx="43">
                  <c:v>119662.30899999999</c:v>
                </c:pt>
                <c:pt idx="44">
                  <c:v>111028.818</c:v>
                </c:pt>
                <c:pt idx="45">
                  <c:v>119133.118</c:v>
                </c:pt>
                <c:pt idx="46">
                  <c:v>122193.465</c:v>
                </c:pt>
                <c:pt idx="47">
                  <c:v>145884.85699999999</c:v>
                </c:pt>
                <c:pt idx="48">
                  <c:v>99743.744999999995</c:v>
                </c:pt>
                <c:pt idx="49">
                  <c:v>105619.35800000001</c:v>
                </c:pt>
                <c:pt idx="50">
                  <c:v>124152.56299999997</c:v>
                </c:pt>
                <c:pt idx="51">
                  <c:v>124228.40300000002</c:v>
                </c:pt>
                <c:pt idx="52">
                  <c:v>113821.038</c:v>
                </c:pt>
                <c:pt idx="53">
                  <c:v>113158.63800000004</c:v>
                </c:pt>
                <c:pt idx="54">
                  <c:v>155915.54300000006</c:v>
                </c:pt>
                <c:pt idx="55">
                  <c:v>127062.38099999992</c:v>
                </c:pt>
                <c:pt idx="56">
                  <c:v>125075.29800000002</c:v>
                </c:pt>
                <c:pt idx="57">
                  <c:v>133401.065</c:v>
                </c:pt>
                <c:pt idx="58">
                  <c:v>134352.96700000006</c:v>
                </c:pt>
                <c:pt idx="59">
                  <c:v>157799.32944000003</c:v>
                </c:pt>
                <c:pt idx="60">
                  <c:v>126524.63950592591</c:v>
                </c:pt>
                <c:pt idx="61">
                  <c:v>126524.63950592591</c:v>
                </c:pt>
                <c:pt idx="62">
                  <c:v>126524.63950592591</c:v>
                </c:pt>
                <c:pt idx="63">
                  <c:v>126524.63950592591</c:v>
                </c:pt>
                <c:pt idx="64">
                  <c:v>126524.63950592591</c:v>
                </c:pt>
                <c:pt idx="65">
                  <c:v>126524.63950592591</c:v>
                </c:pt>
                <c:pt idx="66">
                  <c:v>126524.63950592591</c:v>
                </c:pt>
                <c:pt idx="67">
                  <c:v>126524.63950592591</c:v>
                </c:pt>
                <c:pt idx="68">
                  <c:v>126524.63950592591</c:v>
                </c:pt>
                <c:pt idx="69">
                  <c:v>126524.63950592591</c:v>
                </c:pt>
                <c:pt idx="70">
                  <c:v>126524.63950592591</c:v>
                </c:pt>
                <c:pt idx="71">
                  <c:v>126808.63950592591</c:v>
                </c:pt>
              </c:numCache>
            </c:numRef>
          </c:val>
          <c:smooth val="0"/>
          <c:extLst>
            <c:ext xmlns:c16="http://schemas.microsoft.com/office/drawing/2014/chart" uri="{C3380CC4-5D6E-409C-BE32-E72D297353CC}">
              <c16:uniqueId val="{00000000-6454-4EC6-B293-635B1D78B8A4}"/>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sz="1050"/>
                  <a:t>£'m</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Substantive Staff in Post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0"/>
          <c:tx>
            <c:strRef>
              <c:f>'A6 Workforce &amp; Pay analysis'!$Q$5</c:f>
              <c:strCache>
                <c:ptCount val="1"/>
                <c:pt idx="0">
                  <c:v>Plan</c:v>
                </c:pt>
              </c:strCache>
            </c:strRef>
          </c:tx>
          <c:spPr>
            <a:ln w="19050" cap="rnd">
              <a:solidFill>
                <a:schemeClr val="accent1"/>
              </a:solidFill>
              <a:prstDash val="dash"/>
              <a:round/>
            </a:ln>
            <a:effectLst/>
          </c:spPr>
          <c:marker>
            <c:symbol val="none"/>
          </c:marker>
          <c:xVal>
            <c:numRef>
              <c:f>'A6 Workforce &amp; Pay analysis'!$O$18:$O$69</c:f>
              <c:numCache>
                <c:formatCode>mmm\-yy</c:formatCode>
                <c:ptCount val="52"/>
                <c:pt idx="0">
                  <c:v>43951</c:v>
                </c:pt>
                <c:pt idx="1">
                  <c:v>43982</c:v>
                </c:pt>
                <c:pt idx="2">
                  <c:v>44012</c:v>
                </c:pt>
                <c:pt idx="3">
                  <c:v>44043</c:v>
                </c:pt>
                <c:pt idx="4">
                  <c:v>44074</c:v>
                </c:pt>
                <c:pt idx="5">
                  <c:v>44104</c:v>
                </c:pt>
                <c:pt idx="6">
                  <c:v>44135</c:v>
                </c:pt>
                <c:pt idx="7">
                  <c:v>44165</c:v>
                </c:pt>
                <c:pt idx="8">
                  <c:v>44196</c:v>
                </c:pt>
                <c:pt idx="9">
                  <c:v>44227</c:v>
                </c:pt>
                <c:pt idx="10">
                  <c:v>44255</c:v>
                </c:pt>
                <c:pt idx="11">
                  <c:v>44286</c:v>
                </c:pt>
                <c:pt idx="12">
                  <c:v>44316</c:v>
                </c:pt>
                <c:pt idx="13">
                  <c:v>44347</c:v>
                </c:pt>
                <c:pt idx="14">
                  <c:v>44377</c:v>
                </c:pt>
                <c:pt idx="15">
                  <c:v>44408</c:v>
                </c:pt>
                <c:pt idx="16">
                  <c:v>44439</c:v>
                </c:pt>
                <c:pt idx="17">
                  <c:v>44469</c:v>
                </c:pt>
                <c:pt idx="18">
                  <c:v>44500</c:v>
                </c:pt>
                <c:pt idx="19">
                  <c:v>44530</c:v>
                </c:pt>
                <c:pt idx="20">
                  <c:v>44561</c:v>
                </c:pt>
                <c:pt idx="21">
                  <c:v>44592</c:v>
                </c:pt>
                <c:pt idx="22">
                  <c:v>44620</c:v>
                </c:pt>
                <c:pt idx="23">
                  <c:v>44651</c:v>
                </c:pt>
                <c:pt idx="24">
                  <c:v>44681</c:v>
                </c:pt>
                <c:pt idx="25">
                  <c:v>44712</c:v>
                </c:pt>
                <c:pt idx="26">
                  <c:v>44742</c:v>
                </c:pt>
                <c:pt idx="27">
                  <c:v>44773</c:v>
                </c:pt>
                <c:pt idx="28">
                  <c:v>44804</c:v>
                </c:pt>
                <c:pt idx="29">
                  <c:v>44834</c:v>
                </c:pt>
                <c:pt idx="30">
                  <c:v>44865</c:v>
                </c:pt>
                <c:pt idx="31">
                  <c:v>44895</c:v>
                </c:pt>
                <c:pt idx="32">
                  <c:v>44926</c:v>
                </c:pt>
                <c:pt idx="33">
                  <c:v>44957</c:v>
                </c:pt>
                <c:pt idx="34">
                  <c:v>44985</c:v>
                </c:pt>
                <c:pt idx="35">
                  <c:v>45016</c:v>
                </c:pt>
                <c:pt idx="36">
                  <c:v>45046</c:v>
                </c:pt>
                <c:pt idx="37">
                  <c:v>45077</c:v>
                </c:pt>
                <c:pt idx="38">
                  <c:v>45107</c:v>
                </c:pt>
                <c:pt idx="39">
                  <c:v>45138</c:v>
                </c:pt>
                <c:pt idx="40">
                  <c:v>45169</c:v>
                </c:pt>
                <c:pt idx="41">
                  <c:v>45199</c:v>
                </c:pt>
                <c:pt idx="42">
                  <c:v>45230</c:v>
                </c:pt>
                <c:pt idx="43">
                  <c:v>45260</c:v>
                </c:pt>
                <c:pt idx="44">
                  <c:v>45291</c:v>
                </c:pt>
                <c:pt idx="45">
                  <c:v>45382</c:v>
                </c:pt>
                <c:pt idx="46">
                  <c:v>45473</c:v>
                </c:pt>
                <c:pt idx="47">
                  <c:v>45565</c:v>
                </c:pt>
                <c:pt idx="48">
                  <c:v>45657</c:v>
                </c:pt>
                <c:pt idx="49">
                  <c:v>45747</c:v>
                </c:pt>
                <c:pt idx="50">
                  <c:v>46112</c:v>
                </c:pt>
                <c:pt idx="51">
                  <c:v>46477</c:v>
                </c:pt>
              </c:numCache>
            </c:numRef>
          </c:xVal>
          <c:yVal>
            <c:numRef>
              <c:f>'A6 Workforce &amp; Pay analysis'!$Q$18:$Q$69</c:f>
              <c:numCache>
                <c:formatCode>#,##0</c:formatCode>
                <c:ptCount val="52"/>
                <c:pt idx="35">
                  <c:v>12122.317190000025</c:v>
                </c:pt>
                <c:pt idx="36">
                  <c:v>12138.692190000025</c:v>
                </c:pt>
                <c:pt idx="37">
                  <c:v>12155.067190000025</c:v>
                </c:pt>
                <c:pt idx="38">
                  <c:v>12171.442190000025</c:v>
                </c:pt>
                <c:pt idx="39">
                  <c:v>12187.817190000025</c:v>
                </c:pt>
                <c:pt idx="40">
                  <c:v>12204.192190000025</c:v>
                </c:pt>
                <c:pt idx="41">
                  <c:v>12220.567190000025</c:v>
                </c:pt>
                <c:pt idx="42">
                  <c:v>12236.942190000025</c:v>
                </c:pt>
                <c:pt idx="43">
                  <c:v>12253.317190000025</c:v>
                </c:pt>
                <c:pt idx="44">
                  <c:v>12269.692190000025</c:v>
                </c:pt>
                <c:pt idx="45">
                  <c:v>12318.817190000025</c:v>
                </c:pt>
                <c:pt idx="46">
                  <c:v>12724.194829999999</c:v>
                </c:pt>
                <c:pt idx="47">
                  <c:v>13349.589630000002</c:v>
                </c:pt>
                <c:pt idx="48">
                  <c:v>13413.429999999998</c:v>
                </c:pt>
                <c:pt idx="49">
                  <c:v>13433.630000000001</c:v>
                </c:pt>
                <c:pt idx="50">
                  <c:v>0</c:v>
                </c:pt>
                <c:pt idx="51">
                  <c:v>0</c:v>
                </c:pt>
              </c:numCache>
            </c:numRef>
          </c:yVal>
          <c:smooth val="0"/>
          <c:extLst>
            <c:ext xmlns:c16="http://schemas.microsoft.com/office/drawing/2014/chart" uri="{C3380CC4-5D6E-409C-BE32-E72D297353CC}">
              <c16:uniqueId val="{00000001-7EFB-49FA-BD94-BE2DAD3C0452}"/>
            </c:ext>
          </c:extLst>
        </c:ser>
        <c:ser>
          <c:idx val="0"/>
          <c:order val="1"/>
          <c:tx>
            <c:strRef>
              <c:f>'A6 Workforce &amp; Pay analysis'!$P$5</c:f>
              <c:strCache>
                <c:ptCount val="1"/>
                <c:pt idx="0">
                  <c:v>Staff in Post</c:v>
                </c:pt>
              </c:strCache>
            </c:strRef>
          </c:tx>
          <c:spPr>
            <a:ln w="19050" cap="rnd">
              <a:solidFill>
                <a:schemeClr val="tx2"/>
              </a:solidFill>
              <a:round/>
            </a:ln>
            <a:effectLst/>
          </c:spPr>
          <c:marker>
            <c:symbol val="none"/>
          </c:marker>
          <c:xVal>
            <c:numRef>
              <c:f>'A6 Workforce &amp; Pay analysis'!$O$6:$O$69</c:f>
              <c:numCache>
                <c:formatCode>mmm\-yy</c:formatCode>
                <c:ptCount val="64"/>
                <c:pt idx="0">
                  <c:v>43585</c:v>
                </c:pt>
                <c:pt idx="1">
                  <c:v>43590</c:v>
                </c:pt>
                <c:pt idx="2">
                  <c:v>43621</c:v>
                </c:pt>
                <c:pt idx="3">
                  <c:v>43651</c:v>
                </c:pt>
                <c:pt idx="4">
                  <c:v>43682</c:v>
                </c:pt>
                <c:pt idx="5">
                  <c:v>43713</c:v>
                </c:pt>
                <c:pt idx="6">
                  <c:v>43743</c:v>
                </c:pt>
                <c:pt idx="7">
                  <c:v>43774</c:v>
                </c:pt>
                <c:pt idx="8">
                  <c:v>43804</c:v>
                </c:pt>
                <c:pt idx="9">
                  <c:v>43835</c:v>
                </c:pt>
                <c:pt idx="10">
                  <c:v>43866</c:v>
                </c:pt>
                <c:pt idx="11">
                  <c:v>43895</c:v>
                </c:pt>
                <c:pt idx="12">
                  <c:v>43951</c:v>
                </c:pt>
                <c:pt idx="13">
                  <c:v>43982</c:v>
                </c:pt>
                <c:pt idx="14">
                  <c:v>44012</c:v>
                </c:pt>
                <c:pt idx="15">
                  <c:v>44043</c:v>
                </c:pt>
                <c:pt idx="16">
                  <c:v>44074</c:v>
                </c:pt>
                <c:pt idx="17">
                  <c:v>44104</c:v>
                </c:pt>
                <c:pt idx="18">
                  <c:v>44135</c:v>
                </c:pt>
                <c:pt idx="19">
                  <c:v>44165</c:v>
                </c:pt>
                <c:pt idx="20">
                  <c:v>44196</c:v>
                </c:pt>
                <c:pt idx="21">
                  <c:v>44227</c:v>
                </c:pt>
                <c:pt idx="22">
                  <c:v>44255</c:v>
                </c:pt>
                <c:pt idx="23">
                  <c:v>44286</c:v>
                </c:pt>
                <c:pt idx="24">
                  <c:v>44316</c:v>
                </c:pt>
                <c:pt idx="25">
                  <c:v>44347</c:v>
                </c:pt>
                <c:pt idx="26">
                  <c:v>44377</c:v>
                </c:pt>
                <c:pt idx="27">
                  <c:v>44408</c:v>
                </c:pt>
                <c:pt idx="28">
                  <c:v>44439</c:v>
                </c:pt>
                <c:pt idx="29">
                  <c:v>44469</c:v>
                </c:pt>
                <c:pt idx="30">
                  <c:v>44500</c:v>
                </c:pt>
                <c:pt idx="31">
                  <c:v>44530</c:v>
                </c:pt>
                <c:pt idx="32">
                  <c:v>44561</c:v>
                </c:pt>
                <c:pt idx="33">
                  <c:v>44592</c:v>
                </c:pt>
                <c:pt idx="34">
                  <c:v>44620</c:v>
                </c:pt>
                <c:pt idx="35">
                  <c:v>44651</c:v>
                </c:pt>
                <c:pt idx="36">
                  <c:v>44681</c:v>
                </c:pt>
                <c:pt idx="37">
                  <c:v>44712</c:v>
                </c:pt>
                <c:pt idx="38">
                  <c:v>44742</c:v>
                </c:pt>
                <c:pt idx="39">
                  <c:v>44773</c:v>
                </c:pt>
                <c:pt idx="40">
                  <c:v>44804</c:v>
                </c:pt>
                <c:pt idx="41">
                  <c:v>44834</c:v>
                </c:pt>
                <c:pt idx="42">
                  <c:v>44865</c:v>
                </c:pt>
                <c:pt idx="43">
                  <c:v>44895</c:v>
                </c:pt>
                <c:pt idx="44">
                  <c:v>44926</c:v>
                </c:pt>
                <c:pt idx="45">
                  <c:v>44957</c:v>
                </c:pt>
                <c:pt idx="46">
                  <c:v>44985</c:v>
                </c:pt>
                <c:pt idx="47">
                  <c:v>45016</c:v>
                </c:pt>
                <c:pt idx="48">
                  <c:v>45046</c:v>
                </c:pt>
                <c:pt idx="49">
                  <c:v>45077</c:v>
                </c:pt>
                <c:pt idx="50">
                  <c:v>45107</c:v>
                </c:pt>
                <c:pt idx="51">
                  <c:v>45138</c:v>
                </c:pt>
                <c:pt idx="52">
                  <c:v>45169</c:v>
                </c:pt>
                <c:pt idx="53">
                  <c:v>45199</c:v>
                </c:pt>
                <c:pt idx="54">
                  <c:v>45230</c:v>
                </c:pt>
                <c:pt idx="55">
                  <c:v>45260</c:v>
                </c:pt>
                <c:pt idx="56">
                  <c:v>45291</c:v>
                </c:pt>
                <c:pt idx="57">
                  <c:v>45382</c:v>
                </c:pt>
                <c:pt idx="58">
                  <c:v>45473</c:v>
                </c:pt>
                <c:pt idx="59">
                  <c:v>45565</c:v>
                </c:pt>
                <c:pt idx="60">
                  <c:v>45657</c:v>
                </c:pt>
                <c:pt idx="61">
                  <c:v>45747</c:v>
                </c:pt>
                <c:pt idx="62">
                  <c:v>46112</c:v>
                </c:pt>
                <c:pt idx="63">
                  <c:v>46477</c:v>
                </c:pt>
              </c:numCache>
            </c:numRef>
          </c:xVal>
          <c:yVal>
            <c:numRef>
              <c:f>'A6 Workforce &amp; Pay analysis'!$P$6:$P$69</c:f>
              <c:numCache>
                <c:formatCode>#,##0</c:formatCode>
                <c:ptCount val="64"/>
                <c:pt idx="0">
                  <c:v>11285.869970000002</c:v>
                </c:pt>
                <c:pt idx="1">
                  <c:v>11234.52751</c:v>
                </c:pt>
                <c:pt idx="2">
                  <c:v>11221.991890000001</c:v>
                </c:pt>
                <c:pt idx="3">
                  <c:v>11209.986000000001</c:v>
                </c:pt>
                <c:pt idx="4">
                  <c:v>11228.704839999999</c:v>
                </c:pt>
                <c:pt idx="5">
                  <c:v>11246.29731</c:v>
                </c:pt>
                <c:pt idx="6">
                  <c:v>11397.637699999999</c:v>
                </c:pt>
                <c:pt idx="7">
                  <c:v>11426.0214</c:v>
                </c:pt>
                <c:pt idx="8">
                  <c:v>11416.335079999999</c:v>
                </c:pt>
                <c:pt idx="9">
                  <c:v>11360.070880000001</c:v>
                </c:pt>
                <c:pt idx="10">
                  <c:v>11397.61988</c:v>
                </c:pt>
                <c:pt idx="11">
                  <c:v>11375.596289999999</c:v>
                </c:pt>
                <c:pt idx="12">
                  <c:v>11467.965</c:v>
                </c:pt>
                <c:pt idx="13">
                  <c:v>11846.47205</c:v>
                </c:pt>
                <c:pt idx="14">
                  <c:v>11884.37377</c:v>
                </c:pt>
                <c:pt idx="15">
                  <c:v>11736.6268</c:v>
                </c:pt>
                <c:pt idx="16">
                  <c:v>11679.598260000001</c:v>
                </c:pt>
                <c:pt idx="17">
                  <c:v>11677.099620000001</c:v>
                </c:pt>
                <c:pt idx="18">
                  <c:v>11704.606360000002</c:v>
                </c:pt>
                <c:pt idx="19">
                  <c:v>11699.63314</c:v>
                </c:pt>
                <c:pt idx="20">
                  <c:v>11712.67211</c:v>
                </c:pt>
                <c:pt idx="21">
                  <c:v>11716.807259999998</c:v>
                </c:pt>
                <c:pt idx="22">
                  <c:v>11788.898009999999</c:v>
                </c:pt>
                <c:pt idx="23">
                  <c:v>11830.380659999999</c:v>
                </c:pt>
                <c:pt idx="24">
                  <c:v>11763.29365</c:v>
                </c:pt>
                <c:pt idx="25">
                  <c:v>11747.517959999999</c:v>
                </c:pt>
                <c:pt idx="26">
                  <c:v>11773.27693</c:v>
                </c:pt>
                <c:pt idx="27">
                  <c:v>11728.973409999999</c:v>
                </c:pt>
                <c:pt idx="28">
                  <c:v>11657.292000000001</c:v>
                </c:pt>
                <c:pt idx="29">
                  <c:v>11639.24388</c:v>
                </c:pt>
                <c:pt idx="30">
                  <c:v>11698.34023</c:v>
                </c:pt>
                <c:pt idx="31">
                  <c:v>11724.386759999999</c:v>
                </c:pt>
                <c:pt idx="32">
                  <c:v>11739.967180000001</c:v>
                </c:pt>
                <c:pt idx="33">
                  <c:v>11779.777070000002</c:v>
                </c:pt>
                <c:pt idx="34">
                  <c:v>11794.61558</c:v>
                </c:pt>
                <c:pt idx="35">
                  <c:v>11841.079119999999</c:v>
                </c:pt>
                <c:pt idx="36">
                  <c:v>11705.22565</c:v>
                </c:pt>
                <c:pt idx="37">
                  <c:v>11694.540730000001</c:v>
                </c:pt>
                <c:pt idx="38">
                  <c:v>11718.423299999999</c:v>
                </c:pt>
                <c:pt idx="39">
                  <c:v>11670.374519999999</c:v>
                </c:pt>
                <c:pt idx="40">
                  <c:v>11669.7111</c:v>
                </c:pt>
                <c:pt idx="41">
                  <c:v>11713.347460000001</c:v>
                </c:pt>
                <c:pt idx="42">
                  <c:v>11864.863829999998</c:v>
                </c:pt>
                <c:pt idx="43">
                  <c:v>11967.810469999999</c:v>
                </c:pt>
                <c:pt idx="44">
                  <c:v>11996.996690000002</c:v>
                </c:pt>
                <c:pt idx="45">
                  <c:v>12037.993880000002</c:v>
                </c:pt>
                <c:pt idx="46">
                  <c:v>12084.76167</c:v>
                </c:pt>
                <c:pt idx="47">
                  <c:v>12121.31719</c:v>
                </c:pt>
                <c:pt idx="48">
                  <c:v>12086.76168</c:v>
                </c:pt>
                <c:pt idx="49">
                  <c:v>12118.682330000001</c:v>
                </c:pt>
                <c:pt idx="50">
                  <c:v>12156.78204</c:v>
                </c:pt>
                <c:pt idx="51">
                  <c:v>12176.103930000001</c:v>
                </c:pt>
                <c:pt idx="52">
                  <c:v>12190.74106</c:v>
                </c:pt>
              </c:numCache>
            </c:numRef>
          </c:yVal>
          <c:smooth val="0"/>
          <c:extLst>
            <c:ext xmlns:c16="http://schemas.microsoft.com/office/drawing/2014/chart" uri="{C3380CC4-5D6E-409C-BE32-E72D297353CC}">
              <c16:uniqueId val="{00000000-7EFB-49FA-BD94-BE2DAD3C0452}"/>
            </c:ext>
          </c:extLst>
        </c:ser>
        <c:dLbls>
          <c:showLegendKey val="0"/>
          <c:showVal val="0"/>
          <c:showCatName val="0"/>
          <c:showSerName val="0"/>
          <c:showPercent val="0"/>
          <c:showBubbleSize val="0"/>
        </c:dLbls>
        <c:axId val="1040295112"/>
        <c:axId val="1043039096"/>
      </c:scatterChart>
      <c:valAx>
        <c:axId val="1040295112"/>
        <c:scaling>
          <c:orientation val="minMax"/>
          <c:max val="46510"/>
          <c:min val="43585"/>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3039096"/>
        <c:crosses val="autoZero"/>
        <c:crossBetween val="midCat"/>
        <c:majorUnit val="365.25"/>
      </c:valAx>
      <c:valAx>
        <c:axId val="1043039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02951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Deployment</a:t>
            </a:r>
            <a:r>
              <a:rPr lang="en-US"/>
              <a:t> </a:t>
            </a:r>
            <a:r>
              <a:rPr lang="en-US" b="1"/>
              <a:t>Approach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'A6 Workforce &amp; Pay analysis'!$S$7</c:f>
              <c:strCache>
                <c:ptCount val="1"/>
                <c:pt idx="0">
                  <c:v>Substantive</c:v>
                </c:pt>
              </c:strCache>
            </c:strRef>
          </c:tx>
          <c:spPr>
            <a:solidFill>
              <a:schemeClr val="accent1"/>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analysis'!$T$7:$AA$7</c:f>
              <c:numCache>
                <c:formatCode>#,##0</c:formatCode>
                <c:ptCount val="8"/>
                <c:pt idx="0">
                  <c:v>12122.317190000025</c:v>
                </c:pt>
                <c:pt idx="1">
                  <c:v>#N/A</c:v>
                </c:pt>
                <c:pt idx="2">
                  <c:v>#N/A</c:v>
                </c:pt>
                <c:pt idx="3">
                  <c:v>#N/A</c:v>
                </c:pt>
                <c:pt idx="4">
                  <c:v>#N/A</c:v>
                </c:pt>
                <c:pt idx="5">
                  <c:v>#N/A</c:v>
                </c:pt>
                <c:pt idx="6">
                  <c:v>0</c:v>
                </c:pt>
                <c:pt idx="7">
                  <c:v>0</c:v>
                </c:pt>
              </c:numCache>
            </c:numRef>
          </c:val>
          <c:extLst>
            <c:ext xmlns:c16="http://schemas.microsoft.com/office/drawing/2014/chart" uri="{C3380CC4-5D6E-409C-BE32-E72D297353CC}">
              <c16:uniqueId val="{00000000-04DC-4AE4-AE1F-589786D5B4B7}"/>
            </c:ext>
          </c:extLst>
        </c:ser>
        <c:ser>
          <c:idx val="1"/>
          <c:order val="1"/>
          <c:tx>
            <c:strRef>
              <c:f>'A6 Workforce &amp; Pay analysis'!$S$8</c:f>
              <c:strCache>
                <c:ptCount val="1"/>
                <c:pt idx="0">
                  <c:v>Variable</c:v>
                </c:pt>
              </c:strCache>
            </c:strRef>
          </c:tx>
          <c:spPr>
            <a:solidFill>
              <a:schemeClr val="accent2"/>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analysis'!$T$8:$AA$8</c:f>
              <c:numCache>
                <c:formatCode>#,##0</c:formatCode>
                <c:ptCount val="8"/>
                <c:pt idx="0">
                  <c:v>160.56</c:v>
                </c:pt>
                <c:pt idx="1">
                  <c:v>#N/A</c:v>
                </c:pt>
                <c:pt idx="2">
                  <c:v>#N/A</c:v>
                </c:pt>
                <c:pt idx="3">
                  <c:v>#N/A</c:v>
                </c:pt>
                <c:pt idx="4">
                  <c:v>#N/A</c:v>
                </c:pt>
                <c:pt idx="5">
                  <c:v>#N/A</c:v>
                </c:pt>
                <c:pt idx="6">
                  <c:v>0</c:v>
                </c:pt>
                <c:pt idx="7">
                  <c:v>0</c:v>
                </c:pt>
              </c:numCache>
            </c:numRef>
          </c:val>
          <c:extLst>
            <c:ext xmlns:c16="http://schemas.microsoft.com/office/drawing/2014/chart" uri="{C3380CC4-5D6E-409C-BE32-E72D297353CC}">
              <c16:uniqueId val="{00000001-04DC-4AE4-AE1F-589786D5B4B7}"/>
            </c:ext>
          </c:extLst>
        </c:ser>
        <c:ser>
          <c:idx val="2"/>
          <c:order val="2"/>
          <c:tx>
            <c:strRef>
              <c:f>'A6 Workforce &amp; Pay analysis'!$S$9</c:f>
              <c:strCache>
                <c:ptCount val="1"/>
                <c:pt idx="0">
                  <c:v>Agency</c:v>
                </c:pt>
              </c:strCache>
            </c:strRef>
          </c:tx>
          <c:spPr>
            <a:solidFill>
              <a:schemeClr val="accent3"/>
            </a:solidFill>
            <a:ln>
              <a:noFill/>
            </a:ln>
            <a:effectLst/>
          </c:spPr>
          <c:invertIfNegative val="0"/>
          <c:cat>
            <c:strRef>
              <c:f>'A6 Workforce &amp; Pay analysis'!$T$5:$AA$5</c:f>
              <c:strCache>
                <c:ptCount val="8"/>
                <c:pt idx="0">
                  <c:v>Mar 2023</c:v>
                </c:pt>
                <c:pt idx="1">
                  <c:v>Mar 2024</c:v>
                </c:pt>
                <c:pt idx="2">
                  <c:v>Jun 2024</c:v>
                </c:pt>
                <c:pt idx="3">
                  <c:v>Sep 2024</c:v>
                </c:pt>
                <c:pt idx="4">
                  <c:v>Dec 2024</c:v>
                </c:pt>
                <c:pt idx="5">
                  <c:v>Mar 2025</c:v>
                </c:pt>
                <c:pt idx="6">
                  <c:v>Mar 2026</c:v>
                </c:pt>
                <c:pt idx="7">
                  <c:v>Mar 2027</c:v>
                </c:pt>
              </c:strCache>
            </c:strRef>
          </c:cat>
          <c:val>
            <c:numRef>
              <c:f>'A6 Workforce &amp; Pay analysis'!$T$9:$AA$9</c:f>
              <c:numCache>
                <c:formatCode>#,##0</c:formatCode>
                <c:ptCount val="8"/>
                <c:pt idx="0">
                  <c:v>508.85500000000002</c:v>
                </c:pt>
                <c:pt idx="1">
                  <c:v>#N/A</c:v>
                </c:pt>
                <c:pt idx="2">
                  <c:v>#N/A</c:v>
                </c:pt>
                <c:pt idx="3">
                  <c:v>#N/A</c:v>
                </c:pt>
                <c:pt idx="4">
                  <c:v>#N/A</c:v>
                </c:pt>
                <c:pt idx="5">
                  <c:v>#N/A</c:v>
                </c:pt>
                <c:pt idx="6">
                  <c:v>0</c:v>
                </c:pt>
                <c:pt idx="7">
                  <c:v>0</c:v>
                </c:pt>
              </c:numCache>
            </c:numRef>
          </c:val>
          <c:extLst>
            <c:ext xmlns:c16="http://schemas.microsoft.com/office/drawing/2014/chart" uri="{C3380CC4-5D6E-409C-BE32-E72D297353CC}">
              <c16:uniqueId val="{00000002-04DC-4AE4-AE1F-589786D5B4B7}"/>
            </c:ext>
          </c:extLst>
        </c:ser>
        <c:dLbls>
          <c:showLegendKey val="0"/>
          <c:showVal val="0"/>
          <c:showCatName val="0"/>
          <c:showSerName val="0"/>
          <c:showPercent val="0"/>
          <c:showBubbleSize val="0"/>
        </c:dLbls>
        <c:gapWidth val="150"/>
        <c:overlap val="100"/>
        <c:axId val="881662568"/>
        <c:axId val="881652128"/>
      </c:barChart>
      <c:catAx>
        <c:axId val="88166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52128"/>
        <c:crosses val="autoZero"/>
        <c:auto val="1"/>
        <c:lblAlgn val="ctr"/>
        <c:lblOffset val="100"/>
        <c:noMultiLvlLbl val="0"/>
      </c:catAx>
      <c:valAx>
        <c:axId val="881652128"/>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166256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Agency Cost &amp; WTE</a:t>
            </a:r>
          </a:p>
        </c:rich>
      </c:tx>
      <c:layout>
        <c:manualLayout>
          <c:xMode val="edge"/>
          <c:yMode val="edge"/>
          <c:x val="0.12497900262467192"/>
          <c:y val="2.77777777777777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'A6 Workforce &amp; Pay analysis'!$S$31</c:f>
              <c:strCache>
                <c:ptCount val="1"/>
                <c:pt idx="0">
                  <c:v>Agency Cost</c:v>
                </c:pt>
              </c:strCache>
            </c:strRef>
          </c:tx>
          <c:spPr>
            <a:ln w="28575" cap="rnd">
              <a:solidFill>
                <a:schemeClr val="accent1"/>
              </a:solidFill>
              <a:round/>
            </a:ln>
            <a:effectLst/>
          </c:spPr>
          <c:marker>
            <c:symbol val="none"/>
          </c:marker>
          <c:cat>
            <c:numRef>
              <c:f>'A6 Workforce &amp; Pay analysis'!$T$30:$AR$30</c:f>
              <c:numCache>
                <c:formatCode>mmm\ yyyy</c:formatCode>
                <c:ptCount val="25"/>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pt idx="12">
                  <c:v>45382</c:v>
                </c:pt>
                <c:pt idx="13">
                  <c:v>45412</c:v>
                </c:pt>
                <c:pt idx="14">
                  <c:v>45443</c:v>
                </c:pt>
                <c:pt idx="15">
                  <c:v>45473</c:v>
                </c:pt>
                <c:pt idx="16">
                  <c:v>45504</c:v>
                </c:pt>
                <c:pt idx="17">
                  <c:v>45535</c:v>
                </c:pt>
                <c:pt idx="18">
                  <c:v>45565</c:v>
                </c:pt>
                <c:pt idx="19">
                  <c:v>45596</c:v>
                </c:pt>
                <c:pt idx="20">
                  <c:v>45626</c:v>
                </c:pt>
                <c:pt idx="21">
                  <c:v>45657</c:v>
                </c:pt>
                <c:pt idx="22">
                  <c:v>45688</c:v>
                </c:pt>
                <c:pt idx="23">
                  <c:v>45716</c:v>
                </c:pt>
                <c:pt idx="24">
                  <c:v>45747</c:v>
                </c:pt>
              </c:numCache>
            </c:numRef>
          </c:cat>
          <c:val>
            <c:numRef>
              <c:f>'A6 Workforce &amp; Pay analysis'!$T$31:$AR$31</c:f>
              <c:numCache>
                <c:formatCode>#,##0</c:formatCode>
                <c:ptCount val="25"/>
                <c:pt idx="1">
                  <c:v>3315.4850799999995</c:v>
                </c:pt>
                <c:pt idx="2">
                  <c:v>3533.2210599999994</c:v>
                </c:pt>
                <c:pt idx="3">
                  <c:v>3713.5836499999996</c:v>
                </c:pt>
                <c:pt idx="4">
                  <c:v>3342.4333500000002</c:v>
                </c:pt>
                <c:pt idx="5">
                  <c:v>3204.3601799999997</c:v>
                </c:pt>
                <c:pt idx="6">
                  <c:v>2472.1860000000001</c:v>
                </c:pt>
                <c:pt idx="7">
                  <c:v>2252.3696999999997</c:v>
                </c:pt>
                <c:pt idx="8">
                  <c:v>2937.1777400000005</c:v>
                </c:pt>
                <c:pt idx="9">
                  <c:v>2546.0269899999994</c:v>
                </c:pt>
                <c:pt idx="10">
                  <c:v>2494.2070800000006</c:v>
                </c:pt>
                <c:pt idx="11">
                  <c:v>2375.9491400000002</c:v>
                </c:pt>
                <c:pt idx="12">
                  <c:v>2472.0610700000002</c:v>
                </c:pt>
                <c:pt idx="13" formatCode="General">
                  <c:v>2471.58842</c:v>
                </c:pt>
                <c:pt idx="14" formatCode="General">
                  <c:v>2471.58842</c:v>
                </c:pt>
                <c:pt idx="15" formatCode="General">
                  <c:v>2471.58842</c:v>
                </c:pt>
                <c:pt idx="16" formatCode="General">
                  <c:v>2471.58842</c:v>
                </c:pt>
                <c:pt idx="17" formatCode="General">
                  <c:v>2471.58842</c:v>
                </c:pt>
                <c:pt idx="18" formatCode="General">
                  <c:v>2471.58842</c:v>
                </c:pt>
                <c:pt idx="19" formatCode="General">
                  <c:v>2471.58842</c:v>
                </c:pt>
                <c:pt idx="20" formatCode="General">
                  <c:v>2471.58842</c:v>
                </c:pt>
                <c:pt idx="21" formatCode="General">
                  <c:v>2471.58842</c:v>
                </c:pt>
                <c:pt idx="22" formatCode="General">
                  <c:v>2471.58842</c:v>
                </c:pt>
                <c:pt idx="23" formatCode="General">
                  <c:v>2471.58842</c:v>
                </c:pt>
                <c:pt idx="24" formatCode="General">
                  <c:v>2471.58842</c:v>
                </c:pt>
              </c:numCache>
            </c:numRef>
          </c:val>
          <c:smooth val="0"/>
          <c:extLst>
            <c:ext xmlns:c16="http://schemas.microsoft.com/office/drawing/2014/chart" uri="{C3380CC4-5D6E-409C-BE32-E72D297353CC}">
              <c16:uniqueId val="{00000000-1A5A-4D66-B900-9C33C2873CA2}"/>
            </c:ext>
          </c:extLst>
        </c:ser>
        <c:dLbls>
          <c:showLegendKey val="0"/>
          <c:showVal val="0"/>
          <c:showCatName val="0"/>
          <c:showSerName val="0"/>
          <c:showPercent val="0"/>
          <c:showBubbleSize val="0"/>
        </c:dLbls>
        <c:marker val="1"/>
        <c:smooth val="0"/>
        <c:axId val="654865848"/>
        <c:axId val="654875208"/>
      </c:lineChart>
      <c:lineChart>
        <c:grouping val="standard"/>
        <c:varyColors val="0"/>
        <c:ser>
          <c:idx val="1"/>
          <c:order val="1"/>
          <c:tx>
            <c:strRef>
              <c:f>'A6 Workforce &amp; Pay analysis'!$S$32</c:f>
              <c:strCache>
                <c:ptCount val="1"/>
                <c:pt idx="0">
                  <c:v>Agency WTE</c:v>
                </c:pt>
              </c:strCache>
            </c:strRef>
          </c:tx>
          <c:spPr>
            <a:ln w="28575" cap="rnd">
              <a:solidFill>
                <a:schemeClr val="accent2"/>
              </a:solidFill>
              <a:round/>
            </a:ln>
            <a:effectLst/>
          </c:spPr>
          <c:marker>
            <c:symbol val="none"/>
          </c:marker>
          <c:cat>
            <c:numRef>
              <c:f>'A6 Workforce &amp; Pay analysis'!$T$30:$AR$30</c:f>
              <c:numCache>
                <c:formatCode>mmm\ yyyy</c:formatCode>
                <c:ptCount val="25"/>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pt idx="12">
                  <c:v>45382</c:v>
                </c:pt>
                <c:pt idx="13">
                  <c:v>45412</c:v>
                </c:pt>
                <c:pt idx="14">
                  <c:v>45443</c:v>
                </c:pt>
                <c:pt idx="15">
                  <c:v>45473</c:v>
                </c:pt>
                <c:pt idx="16">
                  <c:v>45504</c:v>
                </c:pt>
                <c:pt idx="17">
                  <c:v>45535</c:v>
                </c:pt>
                <c:pt idx="18">
                  <c:v>45565</c:v>
                </c:pt>
                <c:pt idx="19">
                  <c:v>45596</c:v>
                </c:pt>
                <c:pt idx="20">
                  <c:v>45626</c:v>
                </c:pt>
                <c:pt idx="21">
                  <c:v>45657</c:v>
                </c:pt>
                <c:pt idx="22">
                  <c:v>45688</c:v>
                </c:pt>
                <c:pt idx="23">
                  <c:v>45716</c:v>
                </c:pt>
                <c:pt idx="24">
                  <c:v>45747</c:v>
                </c:pt>
              </c:numCache>
            </c:numRef>
          </c:cat>
          <c:val>
            <c:numRef>
              <c:f>'A6 Workforce &amp; Pay analysis'!$T$32:$AR$32</c:f>
              <c:numCache>
                <c:formatCode>#,##0</c:formatCode>
                <c:ptCount val="25"/>
                <c:pt idx="0">
                  <c:v>508.85500000000002</c:v>
                </c:pt>
                <c:pt idx="1">
                  <c:v>502.60791666666671</c:v>
                </c:pt>
                <c:pt idx="2">
                  <c:v>496.3608333333334</c:v>
                </c:pt>
                <c:pt idx="3">
                  <c:v>490.1137500000001</c:v>
                </c:pt>
                <c:pt idx="4">
                  <c:v>483.86666666666679</c:v>
                </c:pt>
                <c:pt idx="5">
                  <c:v>477.61958333333348</c:v>
                </c:pt>
                <c:pt idx="6">
                  <c:v>471.37250000000017</c:v>
                </c:pt>
                <c:pt idx="7">
                  <c:v>465.12541666666687</c:v>
                </c:pt>
                <c:pt idx="8">
                  <c:v>458.87833333333356</c:v>
                </c:pt>
                <c:pt idx="9">
                  <c:v>452.63125000000025</c:v>
                </c:pt>
                <c:pt idx="10">
                  <c:v>446.38416666666694</c:v>
                </c:pt>
                <c:pt idx="11">
                  <c:v>440.13708333333363</c:v>
                </c:pt>
                <c:pt idx="12">
                  <c:v>433.89</c:v>
                </c:pt>
                <c:pt idx="13">
                  <c:v>390.00666666666666</c:v>
                </c:pt>
                <c:pt idx="14">
                  <c:v>346.12333333333333</c:v>
                </c:pt>
                <c:pt idx="15">
                  <c:v>302.24</c:v>
                </c:pt>
                <c:pt idx="16">
                  <c:v>276.04333333333335</c:v>
                </c:pt>
                <c:pt idx="17">
                  <c:v>249.84666666666669</c:v>
                </c:pt>
                <c:pt idx="18">
                  <c:v>223.65000000000003</c:v>
                </c:pt>
                <c:pt idx="19">
                  <c:v>239.89333333333335</c:v>
                </c:pt>
                <c:pt idx="20">
                  <c:v>256.13666666666666</c:v>
                </c:pt>
                <c:pt idx="21">
                  <c:v>272.38</c:v>
                </c:pt>
                <c:pt idx="22">
                  <c:v>257.56333333333333</c:v>
                </c:pt>
                <c:pt idx="23">
                  <c:v>242.74666666666667</c:v>
                </c:pt>
                <c:pt idx="24">
                  <c:v>227.93</c:v>
                </c:pt>
              </c:numCache>
            </c:numRef>
          </c:val>
          <c:smooth val="0"/>
          <c:extLst>
            <c:ext xmlns:c16="http://schemas.microsoft.com/office/drawing/2014/chart" uri="{C3380CC4-5D6E-409C-BE32-E72D297353CC}">
              <c16:uniqueId val="{00000001-1A5A-4D66-B900-9C33C2873CA2}"/>
            </c:ext>
          </c:extLst>
        </c:ser>
        <c:dLbls>
          <c:showLegendKey val="0"/>
          <c:showVal val="0"/>
          <c:showCatName val="0"/>
          <c:showSerName val="0"/>
          <c:showPercent val="0"/>
          <c:showBubbleSize val="0"/>
        </c:dLbls>
        <c:marker val="1"/>
        <c:smooth val="0"/>
        <c:axId val="654841728"/>
        <c:axId val="654843528"/>
      </c:lineChart>
      <c:dateAx>
        <c:axId val="654865848"/>
        <c:scaling>
          <c:orientation val="minMax"/>
        </c:scaling>
        <c:delete val="0"/>
        <c:axPos val="b"/>
        <c:majorGridlines>
          <c:spPr>
            <a:ln w="9525" cap="flat" cmpd="sng" algn="ctr">
              <a:solidFill>
                <a:schemeClr val="tx1">
                  <a:lumMod val="15000"/>
                  <a:lumOff val="85000"/>
                </a:schemeClr>
              </a:solidFill>
              <a:round/>
            </a:ln>
            <a:effectLst/>
          </c:spPr>
        </c:majorGridlines>
        <c:numFmt formatCode="mmm\ 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75208"/>
        <c:crosses val="autoZero"/>
        <c:auto val="1"/>
        <c:lblOffset val="100"/>
        <c:baseTimeUnit val="months"/>
        <c:majorUnit val="12"/>
        <c:majorTimeUnit val="months"/>
      </c:dateAx>
      <c:valAx>
        <c:axId val="6548752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Cost £'000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65848"/>
        <c:crosses val="autoZero"/>
        <c:crossBetween val="between"/>
      </c:valAx>
      <c:valAx>
        <c:axId val="65484352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Agency WTE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841728"/>
        <c:crosses val="max"/>
        <c:crossBetween val="between"/>
      </c:valAx>
      <c:dateAx>
        <c:axId val="654841728"/>
        <c:scaling>
          <c:orientation val="minMax"/>
        </c:scaling>
        <c:delete val="1"/>
        <c:axPos val="b"/>
        <c:numFmt formatCode="mmm\ yyyy" sourceLinked="1"/>
        <c:majorTickMark val="out"/>
        <c:minorTickMark val="none"/>
        <c:tickLblPos val="nextTo"/>
        <c:crossAx val="654843528"/>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375" b="1"/>
              <a:t>Planned pay cost per substantive WTE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'A6 Workforce &amp; Pay analysis'!$S$27</c:f>
              <c:strCache>
                <c:ptCount val="1"/>
                <c:pt idx="0">
                  <c:v>Substantive cost per FTE</c:v>
                </c:pt>
              </c:strCache>
            </c:strRef>
          </c:tx>
          <c:spPr>
            <a:solidFill>
              <a:schemeClr val="accent3"/>
            </a:solidFill>
            <a:ln>
              <a:noFill/>
            </a:ln>
            <a:effectLst/>
          </c:spPr>
          <c:invertIfNegative val="0"/>
          <c:cat>
            <c:strRef>
              <c:f>'A6 Workforce &amp; Pay analysis'!$T$24:$Z$24</c:f>
              <c:strCache>
                <c:ptCount val="7"/>
                <c:pt idx="0">
                  <c:v>2023/24</c:v>
                </c:pt>
                <c:pt idx="1">
                  <c:v>Q1 24/25 </c:v>
                </c:pt>
                <c:pt idx="2">
                  <c:v>Q2 24/25 </c:v>
                </c:pt>
                <c:pt idx="3">
                  <c:v>Q3 24/25 </c:v>
                </c:pt>
                <c:pt idx="4">
                  <c:v>Q4 24/25 </c:v>
                </c:pt>
                <c:pt idx="5">
                  <c:v>25/26</c:v>
                </c:pt>
                <c:pt idx="6">
                  <c:v>26/27</c:v>
                </c:pt>
              </c:strCache>
            </c:strRef>
          </c:cat>
          <c:val>
            <c:numRef>
              <c:f>'A6 Workforce &amp; Pay analysis'!$T$27:$Z$27</c:f>
              <c:numCache>
                <c:formatCode>#,##0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2-75BE-451D-ADA1-29B6674C8739}"/>
            </c:ext>
          </c:extLst>
        </c:ser>
        <c:dLbls>
          <c:showLegendKey val="0"/>
          <c:showVal val="0"/>
          <c:showCatName val="0"/>
          <c:showSerName val="0"/>
          <c:showPercent val="0"/>
          <c:showBubbleSize val="0"/>
        </c:dLbls>
        <c:gapWidth val="219"/>
        <c:overlap val="-27"/>
        <c:axId val="1037158144"/>
        <c:axId val="1037158504"/>
        <c:extLst>
          <c:ext xmlns:c15="http://schemas.microsoft.com/office/drawing/2012/chart" uri="{02D57815-91ED-43cb-92C2-25804820EDAC}">
            <c15:filteredBarSeries>
              <c15:ser>
                <c:idx val="0"/>
                <c:order val="0"/>
                <c:tx>
                  <c:strRef>
                    <c:extLst>
                      <c:ext uri="{02D57815-91ED-43cb-92C2-25804820EDAC}">
                        <c15:formulaRef>
                          <c15:sqref>'A6 Workforce &amp; Pay analysis'!$S$25</c15:sqref>
                        </c15:formulaRef>
                      </c:ext>
                    </c:extLst>
                    <c:strCache>
                      <c:ptCount val="1"/>
                      <c:pt idx="0">
                        <c:v>Average WTE</c:v>
                      </c:pt>
                    </c:strCache>
                  </c:strRef>
                </c:tx>
                <c:spPr>
                  <a:solidFill>
                    <a:schemeClr val="accent1"/>
                  </a:solidFill>
                  <a:ln>
                    <a:noFill/>
                  </a:ln>
                  <a:effectLst/>
                </c:spPr>
                <c:invertIfNegative val="0"/>
                <c:cat>
                  <c:strRef>
                    <c:extLst>
                      <c:ext uri="{02D57815-91ED-43cb-92C2-25804820EDAC}">
                        <c15:formulaRef>
                          <c15:sqref>'A6 Workforce &amp; Pay analysis'!$T$24:$Z$24</c15:sqref>
                        </c15:formulaRef>
                      </c:ext>
                    </c:extLst>
                    <c:strCache>
                      <c:ptCount val="7"/>
                      <c:pt idx="0">
                        <c:v>2023/24</c:v>
                      </c:pt>
                      <c:pt idx="1">
                        <c:v>Q1 24/25 </c:v>
                      </c:pt>
                      <c:pt idx="2">
                        <c:v>Q2 24/25 </c:v>
                      </c:pt>
                      <c:pt idx="3">
                        <c:v>Q3 24/25 </c:v>
                      </c:pt>
                      <c:pt idx="4">
                        <c:v>Q4 24/25 </c:v>
                      </c:pt>
                      <c:pt idx="5">
                        <c:v>25/26</c:v>
                      </c:pt>
                      <c:pt idx="6">
                        <c:v>26/27</c:v>
                      </c:pt>
                    </c:strCache>
                  </c:strRef>
                </c:cat>
                <c:val>
                  <c:numRef>
                    <c:extLst>
                      <c:ext uri="{02D57815-91ED-43cb-92C2-25804820EDAC}">
                        <c15:formulaRef>
                          <c15:sqref>'A6 Workforce &amp; Pay analysis'!$T$25:$Z$25</c15:sqref>
                        </c15:formulaRef>
                      </c:ext>
                    </c:extLst>
                    <c:numCache>
                      <c:formatCode>#,##0</c:formatCode>
                      <c:ptCount val="7"/>
                      <c:pt idx="0">
                        <c:v>#N/A</c:v>
                      </c:pt>
                      <c:pt idx="1">
                        <c:v>#N/A</c:v>
                      </c:pt>
                      <c:pt idx="2">
                        <c:v>#N/A</c:v>
                      </c:pt>
                      <c:pt idx="3">
                        <c:v>#N/A</c:v>
                      </c:pt>
                      <c:pt idx="4">
                        <c:v>#N/A</c:v>
                      </c:pt>
                      <c:pt idx="5">
                        <c:v>#N/A</c:v>
                      </c:pt>
                      <c:pt idx="6">
                        <c:v>0</c:v>
                      </c:pt>
                    </c:numCache>
                  </c:numRef>
                </c:val>
                <c:extLst>
                  <c:ext xmlns:c16="http://schemas.microsoft.com/office/drawing/2014/chart" uri="{C3380CC4-5D6E-409C-BE32-E72D297353CC}">
                    <c16:uniqueId val="{00000000-75BE-451D-ADA1-29B6674C873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'A6 Workforce &amp; Pay analysis'!$S$26</c15:sqref>
                        </c15:formulaRef>
                      </c:ext>
                    </c:extLst>
                    <c:strCache>
                      <c:ptCount val="1"/>
                      <c:pt idx="0">
                        <c:v>Annualised Pay</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'A6 Workforce &amp; Pay analysis'!$T$24:$Z$24</c15:sqref>
                        </c15:formulaRef>
                      </c:ext>
                    </c:extLst>
                    <c:strCache>
                      <c:ptCount val="7"/>
                      <c:pt idx="0">
                        <c:v>2023/24</c:v>
                      </c:pt>
                      <c:pt idx="1">
                        <c:v>Q1 24/25 </c:v>
                      </c:pt>
                      <c:pt idx="2">
                        <c:v>Q2 24/25 </c:v>
                      </c:pt>
                      <c:pt idx="3">
                        <c:v>Q3 24/25 </c:v>
                      </c:pt>
                      <c:pt idx="4">
                        <c:v>Q4 24/25 </c:v>
                      </c:pt>
                      <c:pt idx="5">
                        <c:v>25/26</c:v>
                      </c:pt>
                      <c:pt idx="6">
                        <c:v>26/27</c:v>
                      </c:pt>
                    </c:strCache>
                  </c:strRef>
                </c:cat>
                <c:val>
                  <c:numRef>
                    <c:extLst xmlns:c15="http://schemas.microsoft.com/office/drawing/2012/chart">
                      <c:ext xmlns:c15="http://schemas.microsoft.com/office/drawing/2012/chart" uri="{02D57815-91ED-43cb-92C2-25804820EDAC}">
                        <c15:formulaRef>
                          <c15:sqref>'A6 Workforce &amp; Pay analysis'!$T$26:$Z$26</c15:sqref>
                        </c15:formulaRef>
                      </c:ext>
                    </c:extLst>
                    <c:numCache>
                      <c:formatCode>#,##0</c:formatCode>
                      <c:ptCount val="7"/>
                      <c:pt idx="0">
                        <c:v>696762.38257000013</c:v>
                      </c:pt>
                      <c:pt idx="1">
                        <c:v>681859.29862814571</c:v>
                      </c:pt>
                      <c:pt idx="2">
                        <c:v>681859.29862814571</c:v>
                      </c:pt>
                      <c:pt idx="3">
                        <c:v>681859.29862814571</c:v>
                      </c:pt>
                      <c:pt idx="4">
                        <c:v>681859.29862814571</c:v>
                      </c:pt>
                      <c:pt idx="5">
                        <c:v>0</c:v>
                      </c:pt>
                      <c:pt idx="6">
                        <c:v>0</c:v>
                      </c:pt>
                    </c:numCache>
                  </c:numRef>
                </c:val>
                <c:extLst xmlns:c15="http://schemas.microsoft.com/office/drawing/2012/chart">
                  <c:ext xmlns:c16="http://schemas.microsoft.com/office/drawing/2014/chart" uri="{C3380CC4-5D6E-409C-BE32-E72D297353CC}">
                    <c16:uniqueId val="{00000001-75BE-451D-ADA1-29B6674C8739}"/>
                  </c:ext>
                </c:extLst>
              </c15:ser>
            </c15:filteredBarSeries>
          </c:ext>
        </c:extLst>
      </c:barChart>
      <c:catAx>
        <c:axId val="103715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504"/>
        <c:crosses val="autoZero"/>
        <c:auto val="1"/>
        <c:lblAlgn val="ctr"/>
        <c:lblOffset val="100"/>
        <c:noMultiLvlLbl val="0"/>
      </c:catAx>
      <c:valAx>
        <c:axId val="1037158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715814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Planned Pay Savings 2024/25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'A6 Workforce &amp; Pay analysis'!$S$21</c:f>
              <c:strCache>
                <c:ptCount val="1"/>
                <c:pt idx="0">
                  <c:v>Planned Pay Savings</c:v>
                </c:pt>
              </c:strCache>
            </c:strRef>
          </c:tx>
          <c:spPr>
            <a:solidFill>
              <a:schemeClr val="accent1"/>
            </a:solidFill>
            <a:ln>
              <a:noFill/>
            </a:ln>
            <a:effectLst/>
          </c:spPr>
          <c:invertIfNegative val="0"/>
          <c:cat>
            <c:numRef>
              <c:f>'A6 Workforce &amp; Pay analysis'!$T$20:$AE$20</c:f>
              <c:numCache>
                <c:formatCode>mmm</c:formatCode>
                <c:ptCount val="12"/>
                <c:pt idx="0">
                  <c:v>45412</c:v>
                </c:pt>
                <c:pt idx="1">
                  <c:v>45443</c:v>
                </c:pt>
                <c:pt idx="2">
                  <c:v>45473</c:v>
                </c:pt>
                <c:pt idx="3">
                  <c:v>45504</c:v>
                </c:pt>
                <c:pt idx="4">
                  <c:v>45535</c:v>
                </c:pt>
                <c:pt idx="5">
                  <c:v>45565</c:v>
                </c:pt>
                <c:pt idx="6">
                  <c:v>45596</c:v>
                </c:pt>
                <c:pt idx="7">
                  <c:v>45626</c:v>
                </c:pt>
                <c:pt idx="8">
                  <c:v>45657</c:v>
                </c:pt>
                <c:pt idx="9">
                  <c:v>45688</c:v>
                </c:pt>
                <c:pt idx="10">
                  <c:v>45716</c:v>
                </c:pt>
                <c:pt idx="11">
                  <c:v>45747</c:v>
                </c:pt>
              </c:numCache>
            </c:numRef>
          </c:cat>
          <c:val>
            <c:numRef>
              <c:f>'A6 Workforce &amp; Pay analysis'!$T$21:$AE$21</c:f>
              <c:numCache>
                <c:formatCode>#,##0</c:formatCode>
                <c:ptCount val="12"/>
                <c:pt idx="0">
                  <c:v>1584.9999999999998</c:v>
                </c:pt>
                <c:pt idx="1">
                  <c:v>1584.9999999999998</c:v>
                </c:pt>
                <c:pt idx="2">
                  <c:v>1584.9999999999998</c:v>
                </c:pt>
                <c:pt idx="3">
                  <c:v>1584.9999999999998</c:v>
                </c:pt>
                <c:pt idx="4">
                  <c:v>1584.9999999999998</c:v>
                </c:pt>
                <c:pt idx="5">
                  <c:v>1584.9999999999998</c:v>
                </c:pt>
                <c:pt idx="6">
                  <c:v>1584.9999999999998</c:v>
                </c:pt>
                <c:pt idx="7">
                  <c:v>1584.9999999999998</c:v>
                </c:pt>
                <c:pt idx="8">
                  <c:v>1584.9999999999998</c:v>
                </c:pt>
                <c:pt idx="9">
                  <c:v>1584.9999999999998</c:v>
                </c:pt>
                <c:pt idx="10">
                  <c:v>1584.9999999999998</c:v>
                </c:pt>
                <c:pt idx="11">
                  <c:v>1584.9999999999998</c:v>
                </c:pt>
              </c:numCache>
            </c:numRef>
          </c:val>
          <c:extLst>
            <c:ext xmlns:c16="http://schemas.microsoft.com/office/drawing/2014/chart" uri="{C3380CC4-5D6E-409C-BE32-E72D297353CC}">
              <c16:uniqueId val="{00000000-A4E0-44FC-BFDF-759B4453CD64}"/>
            </c:ext>
          </c:extLst>
        </c:ser>
        <c:dLbls>
          <c:showLegendKey val="0"/>
          <c:showVal val="0"/>
          <c:showCatName val="0"/>
          <c:showSerName val="0"/>
          <c:showPercent val="0"/>
          <c:showBubbleSize val="0"/>
        </c:dLbls>
        <c:gapWidth val="219"/>
        <c:overlap val="-27"/>
        <c:axId val="441144368"/>
        <c:axId val="441145088"/>
      </c:barChart>
      <c:dateAx>
        <c:axId val="441144368"/>
        <c:scaling>
          <c:orientation val="minMax"/>
        </c:scaling>
        <c:delete val="0"/>
        <c:axPos val="b"/>
        <c:numFmt formatCode="m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5088"/>
        <c:crosses val="autoZero"/>
        <c:auto val="1"/>
        <c:lblOffset val="100"/>
        <c:baseTimeUnit val="months"/>
      </c:dateAx>
      <c:valAx>
        <c:axId val="4411450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1144368"/>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Pay split (2023/24</a:t>
            </a:r>
            <a:r>
              <a:rPr lang="en-US" sz="1600" b="1" baseline="0"/>
              <a:t> vs 2024/25)</a:t>
            </a:r>
            <a:r>
              <a:rPr lang="en-US" sz="1600" b="1"/>
              <a:t> and WTE split (March 2024 vs</a:t>
            </a:r>
            <a:r>
              <a:rPr lang="en-US" sz="1600" b="1" baseline="0"/>
              <a:t> March 2025)</a:t>
            </a:r>
            <a:endParaRPr lang="en-US" sz="1600" b="1"/>
          </a:p>
        </c:rich>
      </c:tx>
      <c:layout>
        <c:manualLayout>
          <c:xMode val="edge"/>
          <c:yMode val="edge"/>
          <c:x val="0.20085154924762097"/>
          <c:y val="1.642744823952513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6541558729977832"/>
          <c:y val="7.0707588978058941E-2"/>
          <c:w val="0.69431696248148511"/>
          <c:h val="0.79887155579261027"/>
        </c:manualLayout>
      </c:layout>
      <c:barChart>
        <c:barDir val="bar"/>
        <c:grouping val="clustered"/>
        <c:varyColors val="0"/>
        <c:ser>
          <c:idx val="1"/>
          <c:order val="0"/>
          <c:tx>
            <c:strRef>
              <c:f>'A6 Workforce &amp; Pay analysis'!$W$34:$W$35</c:f>
              <c:strCache>
                <c:ptCount val="2"/>
                <c:pt idx="0">
                  <c:v>Pay </c:v>
                </c:pt>
                <c:pt idx="1">
                  <c:v>2024/25</c:v>
                </c:pt>
              </c:strCache>
            </c:strRef>
          </c:tx>
          <c:spPr>
            <a:solidFill>
              <a:schemeClr val="accent2">
                <a:lumMod val="75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analysis'!$W$36:$W$44</c:f>
              <c:numCache>
                <c:formatCode>0%</c:formatCode>
                <c:ptCount val="9"/>
                <c:pt idx="0">
                  <c:v>0.1357950516108215</c:v>
                </c:pt>
                <c:pt idx="1">
                  <c:v>0.24332798154868157</c:v>
                </c:pt>
                <c:pt idx="2">
                  <c:v>0.29679946952184699</c:v>
                </c:pt>
                <c:pt idx="3">
                  <c:v>3.1892067175117146E-2</c:v>
                </c:pt>
                <c:pt idx="4">
                  <c:v>0.14104519814152583</c:v>
                </c:pt>
                <c:pt idx="5">
                  <c:v>7.0898125998884579E-2</c:v>
                </c:pt>
                <c:pt idx="6">
                  <c:v>3.0835330663314141E-2</c:v>
                </c:pt>
                <c:pt idx="7">
                  <c:v>4.9393324855955913E-2</c:v>
                </c:pt>
                <c:pt idx="8">
                  <c:v>1.3450483852401064E-5</c:v>
                </c:pt>
              </c:numCache>
            </c:numRef>
          </c:val>
          <c:extLst>
            <c:ext xmlns:c16="http://schemas.microsoft.com/office/drawing/2014/chart" uri="{C3380CC4-5D6E-409C-BE32-E72D297353CC}">
              <c16:uniqueId val="{00000001-3E8F-49C0-B63B-1A8434C5F6A7}"/>
            </c:ext>
          </c:extLst>
        </c:ser>
        <c:ser>
          <c:idx val="0"/>
          <c:order val="1"/>
          <c:tx>
            <c:strRef>
              <c:f>'A6 Workforce &amp; Pay analysis'!$V$34:$V$35</c:f>
              <c:strCache>
                <c:ptCount val="2"/>
                <c:pt idx="0">
                  <c:v>Pay </c:v>
                </c:pt>
                <c:pt idx="1">
                  <c:v>2023/24</c:v>
                </c:pt>
              </c:strCache>
            </c:strRef>
          </c:tx>
          <c:spPr>
            <a:solidFill>
              <a:schemeClr val="accent2">
                <a:lumMod val="60000"/>
                <a:lumOff val="40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analysis'!$V$36:$V$44</c:f>
              <c:numCache>
                <c:formatCode>0%</c:formatCode>
                <c:ptCount val="9"/>
                <c:pt idx="0">
                  <c:v>0.1348686294582081</c:v>
                </c:pt>
                <c:pt idx="1">
                  <c:v>0.24388400058061385</c:v>
                </c:pt>
                <c:pt idx="2">
                  <c:v>0.29984276910910856</c:v>
                </c:pt>
                <c:pt idx="3">
                  <c:v>3.1686731360912664E-2</c:v>
                </c:pt>
                <c:pt idx="4">
                  <c:v>0.13970322312918648</c:v>
                </c:pt>
                <c:pt idx="5">
                  <c:v>7.0404003754193464E-2</c:v>
                </c:pt>
                <c:pt idx="6">
                  <c:v>3.0565607036672882E-2</c:v>
                </c:pt>
                <c:pt idx="7">
                  <c:v>4.9031669336857986E-2</c:v>
                </c:pt>
                <c:pt idx="8">
                  <c:v>1.3366234245766492E-5</c:v>
                </c:pt>
              </c:numCache>
            </c:numRef>
          </c:val>
          <c:extLst>
            <c:ext xmlns:c16="http://schemas.microsoft.com/office/drawing/2014/chart" uri="{C3380CC4-5D6E-409C-BE32-E72D297353CC}">
              <c16:uniqueId val="{00000000-3E8F-49C0-B63B-1A8434C5F6A7}"/>
            </c:ext>
          </c:extLst>
        </c:ser>
        <c:ser>
          <c:idx val="4"/>
          <c:order val="3"/>
          <c:tx>
            <c:strRef>
              <c:f>'A6 Workforce &amp; Pay analysis'!$Z$34:$Z$35</c:f>
              <c:strCache>
                <c:ptCount val="2"/>
                <c:pt idx="0">
                  <c:v>WTE</c:v>
                </c:pt>
                <c:pt idx="1">
                  <c:v>2024/25</c:v>
                </c:pt>
              </c:strCache>
            </c:strRef>
          </c:tx>
          <c:spPr>
            <a:solidFill>
              <a:schemeClr val="accent1">
                <a:lumMod val="75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analysis'!$Z$36:$Z$44</c:f>
              <c:numCache>
                <c:formatCode>0%</c:formatCode>
                <c:ptCount val="9"/>
                <c:pt idx="0">
                  <c:v>0.18282957677107953</c:v>
                </c:pt>
                <c:pt idx="1">
                  <c:v>7.6276720391303093E-2</c:v>
                </c:pt>
                <c:pt idx="2">
                  <c:v>0.3130648100386908</c:v>
                </c:pt>
                <c:pt idx="3">
                  <c:v>3.1124171077139624E-2</c:v>
                </c:pt>
                <c:pt idx="4">
                  <c:v>0.20415003967154477</c:v>
                </c:pt>
                <c:pt idx="5">
                  <c:v>7.34537568494327E-2</c:v>
                </c:pt>
                <c:pt idx="6">
                  <c:v>2.8280469448048458E-2</c:v>
                </c:pt>
                <c:pt idx="7">
                  <c:v>7.3858403035735654E-2</c:v>
                </c:pt>
                <c:pt idx="8">
                  <c:v>0</c:v>
                </c:pt>
              </c:numCache>
            </c:numRef>
          </c:val>
          <c:extLst>
            <c:ext xmlns:c16="http://schemas.microsoft.com/office/drawing/2014/chart" uri="{C3380CC4-5D6E-409C-BE32-E72D297353CC}">
              <c16:uniqueId val="{00000004-3E8F-49C0-B63B-1A8434C5F6A7}"/>
            </c:ext>
          </c:extLst>
        </c:ser>
        <c:ser>
          <c:idx val="3"/>
          <c:order val="4"/>
          <c:tx>
            <c:strRef>
              <c:f>'A6 Workforce &amp; Pay analysis'!$Y$34:$Y$35</c:f>
              <c:strCache>
                <c:ptCount val="2"/>
                <c:pt idx="0">
                  <c:v>WTE</c:v>
                </c:pt>
                <c:pt idx="1">
                  <c:v>2023/24</c:v>
                </c:pt>
              </c:strCache>
            </c:strRef>
          </c:tx>
          <c:spPr>
            <a:solidFill>
              <a:schemeClr val="accent1">
                <a:lumMod val="60000"/>
                <a:lumOff val="40000"/>
              </a:schemeClr>
            </a:solidFill>
            <a:ln>
              <a:noFill/>
            </a:ln>
            <a:effectLst/>
          </c:spPr>
          <c:invertIfNegative val="0"/>
          <c:cat>
            <c:strRef>
              <c:f>'A6 Workforce &amp; Pay analysis'!$S$36:$S$44</c:f>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f>'A6 Workforce &amp; Pay analysis'!$Y$36:$Y$44</c:f>
              <c:numCache>
                <c:formatCode>0%</c:formatCode>
                <c:ptCount val="9"/>
                <c:pt idx="0">
                  <c:v>0.19683077760690884</c:v>
                </c:pt>
                <c:pt idx="1">
                  <c:v>7.636495900921178E-2</c:v>
                </c:pt>
                <c:pt idx="2">
                  <c:v>0.31275765561315255</c:v>
                </c:pt>
                <c:pt idx="3">
                  <c:v>3.2200082427077045E-2</c:v>
                </c:pt>
                <c:pt idx="4">
                  <c:v>0.19945068195753152</c:v>
                </c:pt>
                <c:pt idx="5">
                  <c:v>7.4230248229046156E-2</c:v>
                </c:pt>
                <c:pt idx="6">
                  <c:v>2.9067641793593026E-2</c:v>
                </c:pt>
                <c:pt idx="7">
                  <c:v>7.9097953363479162E-2</c:v>
                </c:pt>
                <c:pt idx="8">
                  <c:v>0</c:v>
                </c:pt>
              </c:numCache>
            </c:numRef>
          </c:val>
          <c:extLst>
            <c:ext xmlns:c16="http://schemas.microsoft.com/office/drawing/2014/chart" uri="{C3380CC4-5D6E-409C-BE32-E72D297353CC}">
              <c16:uniqueId val="{00000003-3E8F-49C0-B63B-1A8434C5F6A7}"/>
            </c:ext>
          </c:extLst>
        </c:ser>
        <c:dLbls>
          <c:showLegendKey val="0"/>
          <c:showVal val="0"/>
          <c:showCatName val="0"/>
          <c:showSerName val="0"/>
          <c:showPercent val="0"/>
          <c:showBubbleSize val="0"/>
        </c:dLbls>
        <c:gapWidth val="150"/>
        <c:axId val="807067928"/>
        <c:axId val="807070448"/>
        <c:extLst>
          <c:ext xmlns:c15="http://schemas.microsoft.com/office/drawing/2012/chart" uri="{02D57815-91ED-43cb-92C2-25804820EDAC}">
            <c15:filteredBarSeries>
              <c15:ser>
                <c:idx val="2"/>
                <c:order val="2"/>
                <c:tx>
                  <c:strRef>
                    <c:extLst>
                      <c:ext uri="{02D57815-91ED-43cb-92C2-25804820EDAC}">
                        <c15:formulaRef>
                          <c15:sqref>'A6 Workforce &amp; Pay analysis'!$X$34:$X$35</c15:sqref>
                        </c15:formulaRef>
                      </c:ext>
                    </c:extLst>
                    <c:strCache>
                      <c:ptCount val="2"/>
                      <c:pt idx="0">
                        <c:v>Pay </c:v>
                      </c:pt>
                      <c:pt idx="1">
                        <c:v>2024/25</c:v>
                      </c:pt>
                    </c:strCache>
                  </c:strRef>
                </c:tx>
                <c:spPr>
                  <a:solidFill>
                    <a:schemeClr val="accent3"/>
                  </a:solidFill>
                  <a:ln>
                    <a:noFill/>
                  </a:ln>
                  <a:effectLst/>
                </c:spPr>
                <c:invertIfNegative val="0"/>
                <c:cat>
                  <c:strRef>
                    <c:extLst>
                      <c:ext uri="{02D57815-91ED-43cb-92C2-25804820EDAC}">
                        <c15:formulaRef>
                          <c15:sqref>'A6 Workforce &amp; Pay analysis'!$S$36:$S$44</c15:sqref>
                        </c15:formulaRef>
                      </c:ext>
                    </c:extLst>
                    <c:strCache>
                      <c:ptCount val="9"/>
                      <c:pt idx="0">
                        <c:v>Administrative, Clerical &amp; Board Members </c:v>
                      </c:pt>
                      <c:pt idx="1">
                        <c:v>Medical &amp; Dental </c:v>
                      </c:pt>
                      <c:pt idx="2">
                        <c:v>Nursing &amp; Midwifery Registered </c:v>
                      </c:pt>
                      <c:pt idx="3">
                        <c:v>Prof Scientific &amp; Technical</c:v>
                      </c:pt>
                      <c:pt idx="4">
                        <c:v>Additional Clinical Services </c:v>
                      </c:pt>
                      <c:pt idx="5">
                        <c:v>Allied Health Professionals</c:v>
                      </c:pt>
                      <c:pt idx="6">
                        <c:v>Healthcare Scientists </c:v>
                      </c:pt>
                      <c:pt idx="7">
                        <c:v>Estates &amp; Ancillary </c:v>
                      </c:pt>
                      <c:pt idx="8">
                        <c:v>Students </c:v>
                      </c:pt>
                    </c:strCache>
                  </c:strRef>
                </c:cat>
                <c:val>
                  <c:numRef>
                    <c:extLst>
                      <c:ext uri="{02D57815-91ED-43cb-92C2-25804820EDAC}">
                        <c15:formulaRef>
                          <c15:sqref>'A6 Workforce &amp; Pay analysis'!$X$36:$X$44</c15:sqref>
                        </c15:formulaRef>
                      </c:ext>
                    </c:extLst>
                    <c:numCache>
                      <c:formatCode>General</c:formatCode>
                      <c:ptCount val="9"/>
                    </c:numCache>
                  </c:numRef>
                </c:val>
                <c:extLst>
                  <c:ext xmlns:c16="http://schemas.microsoft.com/office/drawing/2014/chart" uri="{C3380CC4-5D6E-409C-BE32-E72D297353CC}">
                    <c16:uniqueId val="{00000002-3E8F-49C0-B63B-1A8434C5F6A7}"/>
                  </c:ext>
                </c:extLst>
              </c15:ser>
            </c15:filteredBarSeries>
          </c:ext>
        </c:extLst>
      </c:barChart>
      <c:catAx>
        <c:axId val="807067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70448"/>
        <c:crosses val="autoZero"/>
        <c:auto val="1"/>
        <c:lblAlgn val="ctr"/>
        <c:lblOffset val="100"/>
        <c:noMultiLvlLbl val="0"/>
      </c:catAx>
      <c:valAx>
        <c:axId val="8070704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07067928"/>
        <c:crosses val="autoZero"/>
        <c:crossBetween val="between"/>
      </c:valAx>
      <c:spPr>
        <a:noFill/>
        <a:ln>
          <a:noFill/>
        </a:ln>
        <a:effectLst/>
      </c:spPr>
    </c:plotArea>
    <c:legend>
      <c:legendPos val="b"/>
      <c:layout>
        <c:manualLayout>
          <c:xMode val="edge"/>
          <c:yMode val="edge"/>
          <c:x val="0.30700522903074318"/>
          <c:y val="0.93204109841374283"/>
          <c:w val="0.44909795359390564"/>
          <c:h val="6.0270736573904173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a:t>Available and Occupied Beds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'A7 Bed analysis'!$R$3</c:f>
              <c:strCache>
                <c:ptCount val="1"/>
                <c:pt idx="0">
                  <c:v>Available Bed Numbers</c:v>
                </c:pt>
              </c:strCache>
            </c:strRef>
          </c:tx>
          <c:spPr>
            <a:ln w="28575" cap="rnd">
              <a:solidFill>
                <a:schemeClr val="accent1">
                  <a:lumMod val="75000"/>
                </a:schemeClr>
              </a:solidFill>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analysis'!$R$4:$R$75</c:f>
              <c:numCache>
                <c:formatCode>#,##0</c:formatCode>
                <c:ptCount val="72"/>
                <c:pt idx="0">
                  <c:v>1611</c:v>
                </c:pt>
                <c:pt idx="1">
                  <c:v>1602</c:v>
                </c:pt>
                <c:pt idx="2">
                  <c:v>1597</c:v>
                </c:pt>
                <c:pt idx="3">
                  <c:v>1587</c:v>
                </c:pt>
                <c:pt idx="4">
                  <c:v>1594</c:v>
                </c:pt>
                <c:pt idx="5">
                  <c:v>1572</c:v>
                </c:pt>
                <c:pt idx="6">
                  <c:v>1607</c:v>
                </c:pt>
                <c:pt idx="7">
                  <c:v>1605</c:v>
                </c:pt>
                <c:pt idx="8">
                  <c:v>1605</c:v>
                </c:pt>
                <c:pt idx="9">
                  <c:v>1625</c:v>
                </c:pt>
                <c:pt idx="10">
                  <c:v>1598</c:v>
                </c:pt>
                <c:pt idx="11">
                  <c:v>1543</c:v>
                </c:pt>
                <c:pt idx="12">
                  <c:v>1462</c:v>
                </c:pt>
                <c:pt idx="13">
                  <c:v>1257</c:v>
                </c:pt>
                <c:pt idx="14">
                  <c:v>1320</c:v>
                </c:pt>
                <c:pt idx="15">
                  <c:v>1359</c:v>
                </c:pt>
                <c:pt idx="16">
                  <c:v>1437</c:v>
                </c:pt>
                <c:pt idx="17">
                  <c:v>1454</c:v>
                </c:pt>
                <c:pt idx="18">
                  <c:v>1473</c:v>
                </c:pt>
                <c:pt idx="19">
                  <c:v>1447</c:v>
                </c:pt>
                <c:pt idx="20">
                  <c:v>1475</c:v>
                </c:pt>
                <c:pt idx="21">
                  <c:v>1504</c:v>
                </c:pt>
                <c:pt idx="22">
                  <c:v>1493</c:v>
                </c:pt>
                <c:pt idx="23">
                  <c:v>1501</c:v>
                </c:pt>
                <c:pt idx="24">
                  <c:v>1513</c:v>
                </c:pt>
                <c:pt idx="25">
                  <c:v>1540</c:v>
                </c:pt>
                <c:pt idx="26">
                  <c:v>1517</c:v>
                </c:pt>
                <c:pt idx="27">
                  <c:v>1515</c:v>
                </c:pt>
                <c:pt idx="28">
                  <c:v>1505</c:v>
                </c:pt>
                <c:pt idx="29">
                  <c:v>1541</c:v>
                </c:pt>
                <c:pt idx="30">
                  <c:v>1577</c:v>
                </c:pt>
                <c:pt idx="31">
                  <c:v>1562</c:v>
                </c:pt>
                <c:pt idx="32">
                  <c:v>1539</c:v>
                </c:pt>
                <c:pt idx="33">
                  <c:v>1552</c:v>
                </c:pt>
                <c:pt idx="34">
                  <c:v>1535</c:v>
                </c:pt>
                <c:pt idx="35">
                  <c:v>1542</c:v>
                </c:pt>
                <c:pt idx="36">
                  <c:v>1548</c:v>
                </c:pt>
                <c:pt idx="37">
                  <c:v>1545</c:v>
                </c:pt>
                <c:pt idx="38">
                  <c:v>1534</c:v>
                </c:pt>
                <c:pt idx="39">
                  <c:v>1514</c:v>
                </c:pt>
                <c:pt idx="40">
                  <c:v>1509</c:v>
                </c:pt>
                <c:pt idx="41">
                  <c:v>1547</c:v>
                </c:pt>
                <c:pt idx="42">
                  <c:v>1554</c:v>
                </c:pt>
                <c:pt idx="43">
                  <c:v>1589</c:v>
                </c:pt>
                <c:pt idx="44">
                  <c:v>1609</c:v>
                </c:pt>
                <c:pt idx="45">
                  <c:v>1586</c:v>
                </c:pt>
                <c:pt idx="46">
                  <c:v>1548</c:v>
                </c:pt>
                <c:pt idx="47">
                  <c:v>1560</c:v>
                </c:pt>
                <c:pt idx="48">
                  <c:v>1539</c:v>
                </c:pt>
                <c:pt idx="49">
                  <c:v>1520</c:v>
                </c:pt>
                <c:pt idx="50">
                  <c:v>1512</c:v>
                </c:pt>
                <c:pt idx="51">
                  <c:v>1488</c:v>
                </c:pt>
              </c:numCache>
            </c:numRef>
          </c:val>
          <c:smooth val="0"/>
          <c:extLst>
            <c:ext xmlns:c16="http://schemas.microsoft.com/office/drawing/2014/chart" uri="{C3380CC4-5D6E-409C-BE32-E72D297353CC}">
              <c16:uniqueId val="{00000000-F8C3-4578-9587-83A531675FFF}"/>
            </c:ext>
          </c:extLst>
        </c:ser>
        <c:ser>
          <c:idx val="1"/>
          <c:order val="1"/>
          <c:tx>
            <c:strRef>
              <c:f>'A7 Bed analysis'!$S$3</c:f>
              <c:strCache>
                <c:ptCount val="1"/>
                <c:pt idx="0">
                  <c:v>Occupied Bed Numbers</c:v>
                </c:pt>
              </c:strCache>
            </c:strRef>
          </c:tx>
          <c:spPr>
            <a:ln w="28575" cap="rnd">
              <a:solidFill>
                <a:schemeClr val="accent2">
                  <a:lumMod val="75000"/>
                </a:schemeClr>
              </a:solidFill>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analysis'!$S$4:$S$75</c:f>
              <c:numCache>
                <c:formatCode>#,##0</c:formatCode>
                <c:ptCount val="72"/>
                <c:pt idx="0">
                  <c:v>1410</c:v>
                </c:pt>
                <c:pt idx="1">
                  <c:v>1398</c:v>
                </c:pt>
                <c:pt idx="2">
                  <c:v>1395</c:v>
                </c:pt>
                <c:pt idx="3">
                  <c:v>1379</c:v>
                </c:pt>
                <c:pt idx="4">
                  <c:v>1368</c:v>
                </c:pt>
                <c:pt idx="5">
                  <c:v>1400</c:v>
                </c:pt>
                <c:pt idx="6">
                  <c:v>1409</c:v>
                </c:pt>
                <c:pt idx="7">
                  <c:v>1426</c:v>
                </c:pt>
                <c:pt idx="8">
                  <c:v>1416</c:v>
                </c:pt>
                <c:pt idx="9">
                  <c:v>1442</c:v>
                </c:pt>
                <c:pt idx="10">
                  <c:v>1401</c:v>
                </c:pt>
                <c:pt idx="11">
                  <c:v>1219</c:v>
                </c:pt>
                <c:pt idx="12">
                  <c:v>799</c:v>
                </c:pt>
                <c:pt idx="13">
                  <c:v>845</c:v>
                </c:pt>
                <c:pt idx="14">
                  <c:v>959</c:v>
                </c:pt>
                <c:pt idx="15">
                  <c:v>1051</c:v>
                </c:pt>
                <c:pt idx="16">
                  <c:v>1125</c:v>
                </c:pt>
                <c:pt idx="17">
                  <c:v>1167</c:v>
                </c:pt>
                <c:pt idx="18">
                  <c:v>1161</c:v>
                </c:pt>
                <c:pt idx="19">
                  <c:v>1150</c:v>
                </c:pt>
                <c:pt idx="20">
                  <c:v>1160</c:v>
                </c:pt>
                <c:pt idx="21">
                  <c:v>1196</c:v>
                </c:pt>
                <c:pt idx="22">
                  <c:v>1180</c:v>
                </c:pt>
                <c:pt idx="23">
                  <c:v>1212</c:v>
                </c:pt>
                <c:pt idx="24">
                  <c:v>1224</c:v>
                </c:pt>
                <c:pt idx="25">
                  <c:v>1263</c:v>
                </c:pt>
                <c:pt idx="26">
                  <c:v>1277</c:v>
                </c:pt>
                <c:pt idx="27">
                  <c:v>1261</c:v>
                </c:pt>
                <c:pt idx="28">
                  <c:v>1264</c:v>
                </c:pt>
                <c:pt idx="29">
                  <c:v>1310</c:v>
                </c:pt>
                <c:pt idx="30">
                  <c:v>1317</c:v>
                </c:pt>
                <c:pt idx="31">
                  <c:v>1321</c:v>
                </c:pt>
                <c:pt idx="32">
                  <c:v>1261</c:v>
                </c:pt>
                <c:pt idx="33">
                  <c:v>1297</c:v>
                </c:pt>
                <c:pt idx="34">
                  <c:v>1300</c:v>
                </c:pt>
                <c:pt idx="35">
                  <c:v>1294</c:v>
                </c:pt>
                <c:pt idx="36">
                  <c:v>1302</c:v>
                </c:pt>
                <c:pt idx="37">
                  <c:v>1305</c:v>
                </c:pt>
                <c:pt idx="38">
                  <c:v>1322</c:v>
                </c:pt>
                <c:pt idx="39">
                  <c:v>1318</c:v>
                </c:pt>
                <c:pt idx="40">
                  <c:v>1301</c:v>
                </c:pt>
                <c:pt idx="41">
                  <c:v>1347</c:v>
                </c:pt>
                <c:pt idx="42">
                  <c:v>1357</c:v>
                </c:pt>
                <c:pt idx="43">
                  <c:v>1357</c:v>
                </c:pt>
                <c:pt idx="44">
                  <c:v>1374</c:v>
                </c:pt>
                <c:pt idx="45">
                  <c:v>1348</c:v>
                </c:pt>
                <c:pt idx="46">
                  <c:v>1320</c:v>
                </c:pt>
                <c:pt idx="47">
                  <c:v>1312</c:v>
                </c:pt>
                <c:pt idx="48">
                  <c:v>1325</c:v>
                </c:pt>
                <c:pt idx="49">
                  <c:v>1317</c:v>
                </c:pt>
                <c:pt idx="50">
                  <c:v>1322</c:v>
                </c:pt>
                <c:pt idx="51">
                  <c:v>1279</c:v>
                </c:pt>
              </c:numCache>
            </c:numRef>
          </c:val>
          <c:smooth val="0"/>
          <c:extLst>
            <c:ext xmlns:c16="http://schemas.microsoft.com/office/drawing/2014/chart" uri="{C3380CC4-5D6E-409C-BE32-E72D297353CC}">
              <c16:uniqueId val="{00000001-F8C3-4578-9587-83A531675FFF}"/>
            </c:ext>
          </c:extLst>
        </c:ser>
        <c:ser>
          <c:idx val="2"/>
          <c:order val="2"/>
          <c:tx>
            <c:strRef>
              <c:f>'A7 Bed analysis'!$T$3</c:f>
              <c:strCache>
                <c:ptCount val="1"/>
                <c:pt idx="0">
                  <c:v>Planned Available Beds</c:v>
                </c:pt>
              </c:strCache>
            </c:strRef>
          </c:tx>
          <c:spPr>
            <a:ln w="28575" cap="rnd">
              <a:solidFill>
                <a:schemeClr val="accent1">
                  <a:lumMod val="40000"/>
                  <a:lumOff val="60000"/>
                </a:schemeClr>
              </a:solidFill>
              <a:prstDash val="sysDash"/>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analysis'!$T$4:$T$75</c:f>
              <c:numCache>
                <c:formatCode>General</c:formatCode>
                <c:ptCount val="72"/>
                <c:pt idx="47" formatCode="#,##0">
                  <c:v>0</c:v>
                </c:pt>
                <c:pt idx="48" formatCode="#,##0">
                  <c:v>0</c:v>
                </c:pt>
                <c:pt idx="49" formatCode="#,##0">
                  <c:v>0</c:v>
                </c:pt>
                <c:pt idx="50" formatCode="#,##0">
                  <c:v>0</c:v>
                </c:pt>
                <c:pt idx="51" formatCode="#,##0">
                  <c:v>0</c:v>
                </c:pt>
                <c:pt idx="52" formatCode="#,##0">
                  <c:v>0</c:v>
                </c:pt>
                <c:pt idx="53" formatCode="#,##0">
                  <c:v>0</c:v>
                </c:pt>
                <c:pt idx="54" formatCode="#,##0">
                  <c:v>0</c:v>
                </c:pt>
                <c:pt idx="55" formatCode="#,##0">
                  <c:v>0</c:v>
                </c:pt>
                <c:pt idx="56" formatCode="#,##0">
                  <c:v>0</c:v>
                </c:pt>
                <c:pt idx="57" formatCode="#,##0">
                  <c:v>0</c:v>
                </c:pt>
                <c:pt idx="58" formatCode="#,##0">
                  <c:v>0</c:v>
                </c:pt>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numCache>
            </c:numRef>
          </c:val>
          <c:smooth val="0"/>
          <c:extLst>
            <c:ext xmlns:c16="http://schemas.microsoft.com/office/drawing/2014/chart" uri="{C3380CC4-5D6E-409C-BE32-E72D297353CC}">
              <c16:uniqueId val="{00000002-F8C3-4578-9587-83A531675FFF}"/>
            </c:ext>
          </c:extLst>
        </c:ser>
        <c:ser>
          <c:idx val="4"/>
          <c:order val="3"/>
          <c:tx>
            <c:strRef>
              <c:f>'A7 Bed analysis'!$V$3</c:f>
              <c:strCache>
                <c:ptCount val="1"/>
                <c:pt idx="0">
                  <c:v>Planned Occupied beds</c:v>
                </c:pt>
              </c:strCache>
            </c:strRef>
          </c:tx>
          <c:spPr>
            <a:ln w="28575" cap="rnd">
              <a:solidFill>
                <a:schemeClr val="accent2">
                  <a:lumMod val="40000"/>
                  <a:lumOff val="60000"/>
                </a:schemeClr>
              </a:solidFill>
              <a:prstDash val="sysDot"/>
              <a:round/>
            </a:ln>
            <a:effectLst/>
          </c:spPr>
          <c:marker>
            <c:symbol val="none"/>
          </c:marker>
          <c:cat>
            <c:numRef>
              <c:f>'A7 Bed analysis'!$Q$4:$Q$75</c:f>
              <c:numCache>
                <c:formatCode>mmm\-yy</c:formatCode>
                <c:ptCount val="72"/>
                <c:pt idx="0">
                  <c:v>43556</c:v>
                </c:pt>
                <c:pt idx="1">
                  <c:v>43616</c:v>
                </c:pt>
                <c:pt idx="2">
                  <c:v>43646</c:v>
                </c:pt>
                <c:pt idx="3">
                  <c:v>43677</c:v>
                </c:pt>
                <c:pt idx="4">
                  <c:v>43708</c:v>
                </c:pt>
                <c:pt idx="5">
                  <c:v>43738</c:v>
                </c:pt>
                <c:pt idx="6">
                  <c:v>43769</c:v>
                </c:pt>
                <c:pt idx="7">
                  <c:v>43799</c:v>
                </c:pt>
                <c:pt idx="8">
                  <c:v>43830</c:v>
                </c:pt>
                <c:pt idx="9">
                  <c:v>43861</c:v>
                </c:pt>
                <c:pt idx="10">
                  <c:v>43890</c:v>
                </c:pt>
                <c:pt idx="11">
                  <c:v>43921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numCache>
            </c:numRef>
          </c:cat>
          <c:val>
            <c:numRef>
              <c:f>'A7 Bed analysis'!$V$4:$V$75</c:f>
              <c:numCache>
                <c:formatCode>General</c:formatCode>
                <c:ptCount val="72"/>
                <c:pt idx="47" formatCode="#,##0">
                  <c:v>0</c:v>
                </c:pt>
                <c:pt idx="48" formatCode="#,##0">
                  <c:v>0</c:v>
                </c:pt>
                <c:pt idx="49" formatCode="#,##0">
                  <c:v>0</c:v>
                </c:pt>
                <c:pt idx="50" formatCode="#,##0">
                  <c:v>0</c:v>
                </c:pt>
                <c:pt idx="51" formatCode="#,##0">
                  <c:v>0</c:v>
                </c:pt>
                <c:pt idx="52" formatCode="#,##0">
                  <c:v>0</c:v>
                </c:pt>
                <c:pt idx="53" formatCode="#,##0">
                  <c:v>0</c:v>
                </c:pt>
                <c:pt idx="54" formatCode="#,##0">
                  <c:v>0</c:v>
                </c:pt>
                <c:pt idx="55" formatCode="#,##0">
                  <c:v>0</c:v>
                </c:pt>
                <c:pt idx="56" formatCode="#,##0">
                  <c:v>0</c:v>
                </c:pt>
                <c:pt idx="57" formatCode="#,##0">
                  <c:v>0</c:v>
                </c:pt>
                <c:pt idx="58" formatCode="#,##0">
                  <c:v>0</c:v>
                </c:pt>
                <c:pt idx="59" formatCode="#,##0">
                  <c:v>0</c:v>
                </c:pt>
                <c:pt idx="60" formatCode="#,##0">
                  <c:v>0</c:v>
                </c:pt>
                <c:pt idx="61" formatCode="#,##0">
                  <c:v>0</c:v>
                </c:pt>
                <c:pt idx="62" formatCode="#,##0">
                  <c:v>0</c:v>
                </c:pt>
                <c:pt idx="63" formatCode="#,##0">
                  <c:v>0</c:v>
                </c:pt>
                <c:pt idx="64" formatCode="#,##0">
                  <c:v>0</c:v>
                </c:pt>
                <c:pt idx="65" formatCode="#,##0">
                  <c:v>0</c:v>
                </c:pt>
                <c:pt idx="66" formatCode="#,##0">
                  <c:v>0</c:v>
                </c:pt>
                <c:pt idx="67" formatCode="#,##0">
                  <c:v>0</c:v>
                </c:pt>
                <c:pt idx="68" formatCode="#,##0">
                  <c:v>0</c:v>
                </c:pt>
                <c:pt idx="69" formatCode="#,##0">
                  <c:v>0</c:v>
                </c:pt>
                <c:pt idx="70" formatCode="#,##0">
                  <c:v>0</c:v>
                </c:pt>
                <c:pt idx="71" formatCode="#,##0">
                  <c:v>0</c:v>
                </c:pt>
              </c:numCache>
            </c:numRef>
          </c:val>
          <c:smooth val="0"/>
          <c:extLst>
            <c:ext xmlns:c16="http://schemas.microsoft.com/office/drawing/2014/chart" uri="{C3380CC4-5D6E-409C-BE32-E72D297353CC}">
              <c16:uniqueId val="{00000004-F8C3-4578-9587-83A531675FFF}"/>
            </c:ext>
          </c:extLst>
        </c:ser>
        <c:dLbls>
          <c:showLegendKey val="0"/>
          <c:showVal val="0"/>
          <c:showCatName val="0"/>
          <c:showSerName val="0"/>
          <c:showPercent val="0"/>
          <c:showBubbleSize val="0"/>
        </c:dLbls>
        <c:smooth val="0"/>
        <c:axId val="703972528"/>
        <c:axId val="662726104"/>
      </c:lineChart>
      <c:dateAx>
        <c:axId val="703972528"/>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726104"/>
        <c:crosses val="autoZero"/>
        <c:auto val="1"/>
        <c:lblOffset val="100"/>
        <c:baseTimeUnit val="months"/>
        <c:majorUnit val="12"/>
        <c:majorTimeUnit val="months"/>
      </c:dateAx>
      <c:valAx>
        <c:axId val="662726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972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Available Beds Occupied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3"/>
          <c:order val="3"/>
          <c:tx>
            <c:strRef>
              <c:f>'A7 Bed analysis'!$AB$3</c:f>
              <c:strCache>
                <c:ptCount val="1"/>
                <c:pt idx="0">
                  <c:v>% Total Beds Occupied</c:v>
                </c:pt>
              </c:strCache>
            </c:strRef>
          </c:tx>
          <c:spPr>
            <a:ln w="28575" cap="rnd">
              <a:solidFill>
                <a:schemeClr val="accent4"/>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numRef>
          </c:cat>
          <c:val>
            <c:numRef>
              <c:f>'A7 Bed analysis'!$AB$4:$AB$11</c:f>
              <c:numCache>
                <c:formatCode>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3-88F9-47BB-A4F9-67095E41C0D3}"/>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88F9-47BB-A4F9-67095E41C0D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1-88F9-47BB-A4F9-67095E41C0D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88F9-47BB-A4F9-67095E41C0D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'A7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88F9-47BB-A4F9-67095E41C0D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88F9-47BB-A4F9-67095E41C0D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'A7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88F9-47BB-A4F9-67095E41C0D3}"/>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Beds occupied by Delayed Discharges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cked"/>
        <c:varyColors val="0"/>
        <c:ser>
          <c:idx val="6"/>
          <c:order val="6"/>
          <c:tx>
            <c:strRef>
              <c:f>'A7 Bed analysis'!$AE$3</c:f>
              <c:strCache>
                <c:ptCount val="1"/>
                <c:pt idx="0">
                  <c:v>% Delayed Discharges</c:v>
                </c:pt>
              </c:strCache>
              <c:extLst xmlns:c15="http://schemas.microsoft.com/office/drawing/2012/chart"/>
            </c:strRef>
          </c:tx>
          <c:spPr>
            <a:ln w="28575" cap="rnd">
              <a:solidFill>
                <a:schemeClr val="accent1">
                  <a:lumMod val="60000"/>
                </a:schemeClr>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extLst xmlns:c15="http://schemas.microsoft.com/office/drawing/2012/chart"/>
            </c:numRef>
          </c:cat>
          <c:val>
            <c:numRef>
              <c:f>'A7 Bed analysis'!$AE$4:$AE$11</c:f>
              <c:numCache>
                <c:formatCode>0%</c:formatCode>
                <c:ptCount val="8"/>
                <c:pt idx="0">
                  <c:v>0</c:v>
                </c:pt>
                <c:pt idx="1">
                  <c:v>0</c:v>
                </c:pt>
                <c:pt idx="2">
                  <c:v>0</c:v>
                </c:pt>
                <c:pt idx="3">
                  <c:v>0</c:v>
                </c:pt>
                <c:pt idx="4">
                  <c:v>0</c:v>
                </c:pt>
                <c:pt idx="5">
                  <c:v>0</c:v>
                </c:pt>
                <c:pt idx="6">
                  <c:v>0</c:v>
                </c:pt>
                <c:pt idx="7">
                  <c:v>0</c:v>
                </c:pt>
              </c:numCache>
              <c:extLst xmlns:c15="http://schemas.microsoft.com/office/drawing/2012/chart"/>
            </c:numRef>
          </c:val>
          <c:smooth val="0"/>
          <c:extLst>
            <c:ext xmlns:c16="http://schemas.microsoft.com/office/drawing/2014/chart" uri="{C3380CC4-5D6E-409C-BE32-E72D297353CC}">
              <c16:uniqueId val="{00000006-CD05-44F6-BEB8-5246E4E0A316}"/>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CD05-44F6-BEB8-5246E4E0A316}"/>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CD05-44F6-BEB8-5246E4E0A31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CD05-44F6-BEB8-5246E4E0A316}"/>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'A7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0-CD05-44F6-BEB8-5246E4E0A316}"/>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'A7 Bed analysis'!$AC$3</c15:sqref>
                        </c15:formulaRef>
                      </c:ext>
                    </c:extLst>
                    <c:strCache>
                      <c:ptCount val="1"/>
                      <c:pt idx="0">
                        <c:v>% Beds Occupied Exc. Ringfenced</c:v>
                      </c:pt>
                    </c:strCache>
                  </c:strRef>
                </c:tx>
                <c:spPr>
                  <a:ln w="28575" cap="rnd">
                    <a:solidFill>
                      <a:schemeClr val="accent5"/>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analysis'!$AC$4:$AC$11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4-CD05-44F6-BEB8-5246E4E0A316}"/>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CD05-44F6-BEB8-5246E4E0A316}"/>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Available</a:t>
            </a:r>
            <a:r>
              <a:rPr lang="en-GB" baseline="0"/>
              <a:t> exc. Ringfenced beds occupied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4"/>
          <c:order val="4"/>
          <c:tx>
            <c:strRef>
              <c:f>'A7 Bed analysis'!$AC$3</c:f>
              <c:strCache>
                <c:ptCount val="1"/>
                <c:pt idx="0">
                  <c:v>% Beds Occupied Exc. Ringfenced</c:v>
                </c:pt>
              </c:strCache>
              <c:extLst xmlns:c15="http://schemas.microsoft.com/office/drawing/2012/chart"/>
            </c:strRef>
          </c:tx>
          <c:spPr>
            <a:ln w="28575" cap="rnd">
              <a:solidFill>
                <a:schemeClr val="accent5"/>
              </a:solidFill>
              <a:round/>
            </a:ln>
            <a:effectLst/>
          </c:spPr>
          <c:marker>
            <c:symbol val="none"/>
          </c:marker>
          <c:cat>
            <c:numRef>
              <c:f>'A7 Bed analysis'!$X$4:$X$11</c:f>
              <c:numCache>
                <c:formatCode>mmm\-yy</c:formatCode>
                <c:ptCount val="8"/>
                <c:pt idx="0">
                  <c:v>44986</c:v>
                </c:pt>
                <c:pt idx="1">
                  <c:v>45352</c:v>
                </c:pt>
                <c:pt idx="2">
                  <c:v>45444</c:v>
                </c:pt>
                <c:pt idx="3">
                  <c:v>45536</c:v>
                </c:pt>
                <c:pt idx="4">
                  <c:v>45627</c:v>
                </c:pt>
                <c:pt idx="5">
                  <c:v>45717</c:v>
                </c:pt>
                <c:pt idx="6">
                  <c:v>46082</c:v>
                </c:pt>
                <c:pt idx="7">
                  <c:v>46447</c:v>
                </c:pt>
              </c:numCache>
              <c:extLst xmlns:c15="http://schemas.microsoft.com/office/drawing/2012/chart"/>
            </c:numRef>
          </c:cat>
          <c:val>
            <c:numRef>
              <c:f>'A7 Bed analysis'!$AC$4:$AC$11</c:f>
              <c:numCache>
                <c:formatCode>0%</c:formatCode>
                <c:ptCount val="8"/>
                <c:pt idx="0">
                  <c:v>0</c:v>
                </c:pt>
                <c:pt idx="1">
                  <c:v>0</c:v>
                </c:pt>
                <c:pt idx="2">
                  <c:v>0</c:v>
                </c:pt>
                <c:pt idx="3">
                  <c:v>0</c:v>
                </c:pt>
                <c:pt idx="4">
                  <c:v>0</c:v>
                </c:pt>
                <c:pt idx="5">
                  <c:v>0</c:v>
                </c:pt>
                <c:pt idx="6">
                  <c:v>0</c:v>
                </c:pt>
                <c:pt idx="7">
                  <c:v>0</c:v>
                </c:pt>
              </c:numCache>
              <c:extLst xmlns:c15="http://schemas.microsoft.com/office/drawing/2012/chart"/>
            </c:numRef>
          </c:val>
          <c:smooth val="0"/>
          <c:extLst>
            <c:ext xmlns:c16="http://schemas.microsoft.com/office/drawing/2014/chart" uri="{C3380CC4-5D6E-409C-BE32-E72D297353CC}">
              <c16:uniqueId val="{00000004-26E6-40EA-853C-E4FF46DA884C}"/>
            </c:ext>
          </c:extLst>
        </c:ser>
        <c:dLbls>
          <c:showLegendKey val="0"/>
          <c:showVal val="0"/>
          <c:showCatName val="0"/>
          <c:showSerName val="0"/>
          <c:showPercent val="0"/>
          <c:showBubbleSize val="0"/>
        </c:dLbls>
        <c:smooth val="0"/>
        <c:axId val="662948720"/>
        <c:axId val="662948000"/>
        <c:extLst>
          <c:ext xmlns:c15="http://schemas.microsoft.com/office/drawing/2012/chart" uri="{02D57815-91ED-43cb-92C2-25804820EDAC}">
            <c15:filteredLineSeries>
              <c15:ser>
                <c:idx val="0"/>
                <c:order val="0"/>
                <c:tx>
                  <c:strRef>
                    <c:extLst>
                      <c:ext uri="{02D57815-91ED-43cb-92C2-25804820EDAC}">
                        <c15:formulaRef>
                          <c15:sqref>'A7 Bed analysis'!$Y$3</c15:sqref>
                        </c15:formulaRef>
                      </c:ext>
                    </c:extLst>
                    <c:strCache>
                      <c:ptCount val="1"/>
                      <c:pt idx="0">
                        <c:v>Planned Available Beds</c:v>
                      </c:pt>
                    </c:strCache>
                  </c:strRef>
                </c:tx>
                <c:spPr>
                  <a:ln w="28575" cap="rnd">
                    <a:solidFill>
                      <a:schemeClr val="accent1"/>
                    </a:solidFill>
                    <a:round/>
                  </a:ln>
                  <a:effectLst/>
                </c:spPr>
                <c:marker>
                  <c:symbol val="none"/>
                </c:marker>
                <c:cat>
                  <c:numRef>
                    <c:extLst>
                      <c:ex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c:ext uri="{02D57815-91ED-43cb-92C2-25804820EDAC}">
                        <c15:formulaRef>
                          <c15:sqref>'A7 Bed analysis'!$Y$4:$Y$11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26E6-40EA-853C-E4FF46DA884C}"/>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'A7 Bed analysis'!$Z$3</c15:sqref>
                        </c15:formulaRef>
                      </c:ext>
                    </c:extLst>
                    <c:strCache>
                      <c:ptCount val="1"/>
                      <c:pt idx="0">
                        <c:v>Planned Beds Exc. Ringfenced</c:v>
                      </c:pt>
                    </c:strCache>
                  </c:strRef>
                </c:tx>
                <c:spPr>
                  <a:ln w="28575" cap="rnd">
                    <a:solidFill>
                      <a:schemeClr val="accent2"/>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analysis'!$Z$4:$Z$11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2-26E6-40EA-853C-E4FF46DA884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'A7 Bed analysis'!$AA$3</c15:sqref>
                        </c15:formulaRef>
                      </c:ext>
                    </c:extLst>
                    <c:strCache>
                      <c:ptCount val="1"/>
                      <c:pt idx="0">
                        <c:v>Occupied Beds</c:v>
                      </c:pt>
                    </c:strCache>
                  </c:strRef>
                </c:tx>
                <c:spPr>
                  <a:ln w="28575" cap="rnd">
                    <a:solidFill>
                      <a:schemeClr val="accent3"/>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analysis'!$AA$4:$AA$11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3-26E6-40EA-853C-E4FF46DA884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'A7 Bed analysis'!$AB$3</c15:sqref>
                        </c15:formulaRef>
                      </c:ext>
                    </c:extLst>
                    <c:strCache>
                      <c:ptCount val="1"/>
                      <c:pt idx="0">
                        <c:v>% Total Beds Occupied</c:v>
                      </c:pt>
                    </c:strCache>
                  </c:strRef>
                </c:tx>
                <c:spPr>
                  <a:ln w="28575" cap="rnd">
                    <a:solidFill>
                      <a:schemeClr val="accent4"/>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analysis'!$AB$4:$AB$11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0-26E6-40EA-853C-E4FF46DA884C}"/>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'A7 Bed analysis'!$AD$3</c15:sqref>
                        </c15:formulaRef>
                      </c:ext>
                    </c:extLst>
                    <c:strCache>
                      <c:ptCount val="1"/>
                      <c:pt idx="0">
                        <c:v>Delayed Discharges</c:v>
                      </c:pt>
                    </c:strCache>
                  </c:strRef>
                </c:tx>
                <c:spPr>
                  <a:ln w="28575" cap="rnd">
                    <a:solidFill>
                      <a:schemeClr val="accent6"/>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analysis'!$AD$4:$AD$11</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5-26E6-40EA-853C-E4FF46DA884C}"/>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'A7 Bed analysis'!$AE$3</c15:sqref>
                        </c15:formulaRef>
                      </c:ext>
                    </c:extLst>
                    <c:strCache>
                      <c:ptCount val="1"/>
                      <c:pt idx="0">
                        <c:v>% Delayed Discharges</c:v>
                      </c:pt>
                    </c:strCache>
                  </c:strRef>
                </c:tx>
                <c:spPr>
                  <a:ln w="28575" cap="rnd">
                    <a:solidFill>
                      <a:schemeClr val="accent1">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'A7 Bed analysis'!$X$4:$X$11</c15:sqref>
                        </c15:formulaRef>
                      </c:ext>
                    </c:extLst>
                    <c:numCache>
                      <c:formatCode>mmm\-yy</c:formatCode>
                      <c:ptCount val="8"/>
                      <c:pt idx="0">
                        <c:v>44986</c:v>
                      </c:pt>
                      <c:pt idx="1">
                        <c:v>45352</c:v>
                      </c:pt>
                      <c:pt idx="2">
                        <c:v>45444</c:v>
                      </c:pt>
                      <c:pt idx="3">
                        <c:v>45536</c:v>
                      </c:pt>
                      <c:pt idx="4">
                        <c:v>45627</c:v>
                      </c:pt>
                      <c:pt idx="5">
                        <c:v>45717</c:v>
                      </c:pt>
                      <c:pt idx="6">
                        <c:v>46082</c:v>
                      </c:pt>
                      <c:pt idx="7">
                        <c:v>46447</c:v>
                      </c:pt>
                    </c:numCache>
                  </c:numRef>
                </c:cat>
                <c:val>
                  <c:numRef>
                    <c:extLst xmlns:c15="http://schemas.microsoft.com/office/drawing/2012/chart">
                      <c:ext xmlns:c15="http://schemas.microsoft.com/office/drawing/2012/chart" uri="{02D57815-91ED-43cb-92C2-25804820EDAC}">
                        <c15:formulaRef>
                          <c15:sqref>'A7 Bed analysis'!$AE$4:$AE$11</c15:sqref>
                        </c15:formulaRef>
                      </c:ext>
                    </c:extLst>
                    <c:numCache>
                      <c:formatCode>0%</c:formatCode>
                      <c:ptCount val="8"/>
                      <c:pt idx="0">
                        <c:v>0</c:v>
                      </c:pt>
                      <c:pt idx="1">
                        <c:v>0</c:v>
                      </c:pt>
                      <c:pt idx="2">
                        <c:v>0</c:v>
                      </c:pt>
                      <c:pt idx="3">
                        <c:v>0</c:v>
                      </c:pt>
                      <c:pt idx="4">
                        <c:v>0</c:v>
                      </c:pt>
                      <c:pt idx="5">
                        <c:v>0</c:v>
                      </c:pt>
                      <c:pt idx="6">
                        <c:v>0</c:v>
                      </c:pt>
                      <c:pt idx="7">
                        <c:v>0</c:v>
                      </c:pt>
                    </c:numCache>
                  </c:numRef>
                </c:val>
                <c:smooth val="0"/>
                <c:extLst xmlns:c15="http://schemas.microsoft.com/office/drawing/2012/chart">
                  <c:ext xmlns:c16="http://schemas.microsoft.com/office/drawing/2014/chart" uri="{C3380CC4-5D6E-409C-BE32-E72D297353CC}">
                    <c16:uniqueId val="{00000006-26E6-40EA-853C-E4FF46DA884C}"/>
                  </c:ext>
                </c:extLst>
              </c15:ser>
            </c15:filteredLineSeries>
          </c:ext>
        </c:extLst>
      </c:lineChart>
      <c:dateAx>
        <c:axId val="66294872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000"/>
        <c:crosses val="autoZero"/>
        <c:auto val="1"/>
        <c:lblOffset val="100"/>
        <c:baseTimeUnit val="months"/>
        <c:majorUnit val="12"/>
        <c:majorTimeUnit val="months"/>
      </c:dateAx>
      <c:valAx>
        <c:axId val="662948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948720"/>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Finance'!$A$14</c:f>
              <c:strCache>
                <c:ptCount val="1"/>
                <c:pt idx="0">
                  <c:v>Primary Care Contractor (excluding drugs, including non resource limited expenditure)</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Finance'!$B$14:$BU$14</c:f>
              <c:numCache>
                <c:formatCode>#,##0,;\(#,##0,\);"-";@</c:formatCode>
                <c:ptCount val="72"/>
                <c:pt idx="0">
                  <c:v>9493.348</c:v>
                </c:pt>
                <c:pt idx="1">
                  <c:v>8953.7080000000005</c:v>
                </c:pt>
                <c:pt idx="2">
                  <c:v>9193.2340000000004</c:v>
                </c:pt>
                <c:pt idx="3">
                  <c:v>9066.0439999999999</c:v>
                </c:pt>
                <c:pt idx="4">
                  <c:v>10703.868</c:v>
                </c:pt>
                <c:pt idx="5">
                  <c:v>9087.8860000000095</c:v>
                </c:pt>
                <c:pt idx="6">
                  <c:v>9668.7359999999899</c:v>
                </c:pt>
                <c:pt idx="7">
                  <c:v>11062.136</c:v>
                </c:pt>
                <c:pt idx="8">
                  <c:v>9963.7919999999904</c:v>
                </c:pt>
                <c:pt idx="9">
                  <c:v>9979.9910000000109</c:v>
                </c:pt>
                <c:pt idx="10">
                  <c:v>11236.049000000001</c:v>
                </c:pt>
                <c:pt idx="11">
                  <c:v>13648.127</c:v>
                </c:pt>
                <c:pt idx="12">
                  <c:v>9903.3580000000002</c:v>
                </c:pt>
                <c:pt idx="13">
                  <c:v>9612.4339999999993</c:v>
                </c:pt>
                <c:pt idx="14">
                  <c:v>9738.0259999999998</c:v>
                </c:pt>
                <c:pt idx="15">
                  <c:v>10108.386</c:v>
                </c:pt>
                <c:pt idx="16">
                  <c:v>9700.7939999999999</c:v>
                </c:pt>
                <c:pt idx="17">
                  <c:v>10021.843999999999</c:v>
                </c:pt>
                <c:pt idx="18">
                  <c:v>10161.062</c:v>
                </c:pt>
                <c:pt idx="19">
                  <c:v>9493.4770000000008</c:v>
                </c:pt>
                <c:pt idx="20">
                  <c:v>9896.2579999999998</c:v>
                </c:pt>
                <c:pt idx="21">
                  <c:v>9074.4080000000104</c:v>
                </c:pt>
                <c:pt idx="22">
                  <c:v>10429.717000000001</c:v>
                </c:pt>
                <c:pt idx="23">
                  <c:v>7713.1390000000101</c:v>
                </c:pt>
                <c:pt idx="24">
                  <c:v>9189.1620000000003</c:v>
                </c:pt>
                <c:pt idx="25">
                  <c:v>9665.9369999999999</c:v>
                </c:pt>
                <c:pt idx="26">
                  <c:v>9334.65</c:v>
                </c:pt>
                <c:pt idx="27">
                  <c:v>11800.132</c:v>
                </c:pt>
                <c:pt idx="28">
                  <c:v>10201.841</c:v>
                </c:pt>
                <c:pt idx="29">
                  <c:v>9823.1239999999998</c:v>
                </c:pt>
                <c:pt idx="30">
                  <c:v>10016.858</c:v>
                </c:pt>
                <c:pt idx="31">
                  <c:v>9680.44</c:v>
                </c:pt>
                <c:pt idx="32">
                  <c:v>11324.512000000001</c:v>
                </c:pt>
                <c:pt idx="33">
                  <c:v>9693.33</c:v>
                </c:pt>
                <c:pt idx="34">
                  <c:v>8845.69</c:v>
                </c:pt>
                <c:pt idx="35">
                  <c:v>10929.857</c:v>
                </c:pt>
                <c:pt idx="36">
                  <c:v>10042.727999999999</c:v>
                </c:pt>
                <c:pt idx="37">
                  <c:v>10033.941999999999</c:v>
                </c:pt>
                <c:pt idx="38">
                  <c:v>10014.053</c:v>
                </c:pt>
                <c:pt idx="39">
                  <c:v>9365.1080000000002</c:v>
                </c:pt>
                <c:pt idx="40">
                  <c:v>10048.280000000001</c:v>
                </c:pt>
                <c:pt idx="41">
                  <c:v>10550.938</c:v>
                </c:pt>
                <c:pt idx="42">
                  <c:v>9420.0130000000099</c:v>
                </c:pt>
                <c:pt idx="43">
                  <c:v>9818.3769999999895</c:v>
                </c:pt>
                <c:pt idx="44">
                  <c:v>11071.933999999999</c:v>
                </c:pt>
                <c:pt idx="45">
                  <c:v>8959.0609999999906</c:v>
                </c:pt>
                <c:pt idx="46">
                  <c:v>8891.3940000000002</c:v>
                </c:pt>
                <c:pt idx="47">
                  <c:v>8210.6990000000096</c:v>
                </c:pt>
                <c:pt idx="48">
                  <c:v>9864.3369999999995</c:v>
                </c:pt>
                <c:pt idx="49">
                  <c:v>10014.778000000002</c:v>
                </c:pt>
                <c:pt idx="50">
                  <c:v>10108.806999999997</c:v>
                </c:pt>
                <c:pt idx="51">
                  <c:v>9742.0460000000021</c:v>
                </c:pt>
                <c:pt idx="52">
                  <c:v>9531.2430000000022</c:v>
                </c:pt>
                <c:pt idx="53">
                  <c:v>9827.1749999999956</c:v>
                </c:pt>
                <c:pt idx="54">
                  <c:v>9612.0880000000034</c:v>
                </c:pt>
                <c:pt idx="55">
                  <c:v>9208.3940000000002</c:v>
                </c:pt>
                <c:pt idx="56">
                  <c:v>8991.0439999999944</c:v>
                </c:pt>
                <c:pt idx="57">
                  <c:v>9811.6</c:v>
                </c:pt>
                <c:pt idx="58">
                  <c:v>10389.877000000008</c:v>
                </c:pt>
                <c:pt idx="59">
                  <c:v>10884.242</c:v>
                </c:pt>
                <c:pt idx="60">
                  <c:v>9864.3369999999995</c:v>
                </c:pt>
                <c:pt idx="61">
                  <c:v>10014.778000000002</c:v>
                </c:pt>
                <c:pt idx="62">
                  <c:v>10108.806999999997</c:v>
                </c:pt>
                <c:pt idx="63">
                  <c:v>9742.0460000000021</c:v>
                </c:pt>
                <c:pt idx="64">
                  <c:v>9531.2430000000022</c:v>
                </c:pt>
                <c:pt idx="65">
                  <c:v>9827.1749999999956</c:v>
                </c:pt>
                <c:pt idx="66">
                  <c:v>9612.0880000000034</c:v>
                </c:pt>
                <c:pt idx="67">
                  <c:v>9208.3940000000002</c:v>
                </c:pt>
                <c:pt idx="68">
                  <c:v>8991.0439999999944</c:v>
                </c:pt>
                <c:pt idx="69">
                  <c:v>9811.6</c:v>
                </c:pt>
                <c:pt idx="70">
                  <c:v>10389.877000000008</c:v>
                </c:pt>
                <c:pt idx="71">
                  <c:v>10884.242</c:v>
                </c:pt>
              </c:numCache>
            </c:numRef>
          </c:val>
          <c:smooth val="0"/>
          <c:extLst>
            <c:ext xmlns:c16="http://schemas.microsoft.com/office/drawing/2014/chart" uri="{C3380CC4-5D6E-409C-BE32-E72D297353CC}">
              <c16:uniqueId val="{00000000-39F9-4202-ACB1-7880B6759CBF}"/>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Finance'!$A$18</c:f>
              <c:strCache>
                <c:ptCount val="1"/>
                <c:pt idx="0">
                  <c:v>Healthcare Services Provided by Other NHS Bodies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Finance'!$B$18:$BU$18</c:f>
              <c:numCache>
                <c:formatCode>#,##0,;\(#,##0,\);"-";@</c:formatCode>
                <c:ptCount val="72"/>
                <c:pt idx="0">
                  <c:v>11540.196</c:v>
                </c:pt>
                <c:pt idx="1">
                  <c:v>12294.772000000001</c:v>
                </c:pt>
                <c:pt idx="2">
                  <c:v>12821.405000000001</c:v>
                </c:pt>
                <c:pt idx="3">
                  <c:v>12327.870999999999</c:v>
                </c:pt>
                <c:pt idx="4">
                  <c:v>12269.906000000001</c:v>
                </c:pt>
                <c:pt idx="5">
                  <c:v>12547.178</c:v>
                </c:pt>
                <c:pt idx="6">
                  <c:v>12086.808000000001</c:v>
                </c:pt>
                <c:pt idx="7">
                  <c:v>13076.618</c:v>
                </c:pt>
                <c:pt idx="8">
                  <c:v>12672.291999999999</c:v>
                </c:pt>
                <c:pt idx="9">
                  <c:v>12931.26</c:v>
                </c:pt>
                <c:pt idx="10">
                  <c:v>12567.204</c:v>
                </c:pt>
                <c:pt idx="11">
                  <c:v>10528.486999999999</c:v>
                </c:pt>
                <c:pt idx="12">
                  <c:v>12740.108</c:v>
                </c:pt>
                <c:pt idx="13">
                  <c:v>12797.007</c:v>
                </c:pt>
                <c:pt idx="14">
                  <c:v>12720.504999999999</c:v>
                </c:pt>
                <c:pt idx="15">
                  <c:v>13644.786</c:v>
                </c:pt>
                <c:pt idx="16">
                  <c:v>12986.66</c:v>
                </c:pt>
                <c:pt idx="17">
                  <c:v>14380.927</c:v>
                </c:pt>
                <c:pt idx="18">
                  <c:v>13213.2</c:v>
                </c:pt>
                <c:pt idx="19">
                  <c:v>13737.339</c:v>
                </c:pt>
                <c:pt idx="20">
                  <c:v>13472.965</c:v>
                </c:pt>
                <c:pt idx="21">
                  <c:v>13340.739</c:v>
                </c:pt>
                <c:pt idx="22">
                  <c:v>11764.43</c:v>
                </c:pt>
                <c:pt idx="23">
                  <c:v>13971.883</c:v>
                </c:pt>
                <c:pt idx="24">
                  <c:v>13355.688</c:v>
                </c:pt>
                <c:pt idx="25">
                  <c:v>13410.807000000001</c:v>
                </c:pt>
                <c:pt idx="26">
                  <c:v>13509.227999999999</c:v>
                </c:pt>
                <c:pt idx="27">
                  <c:v>14267.585999999999</c:v>
                </c:pt>
                <c:pt idx="28">
                  <c:v>14689.236999999999</c:v>
                </c:pt>
                <c:pt idx="29">
                  <c:v>14864.656999999999</c:v>
                </c:pt>
                <c:pt idx="30">
                  <c:v>14185.879000000001</c:v>
                </c:pt>
                <c:pt idx="31">
                  <c:v>14059.081</c:v>
                </c:pt>
                <c:pt idx="32">
                  <c:v>14370.455</c:v>
                </c:pt>
                <c:pt idx="33">
                  <c:v>14659.778</c:v>
                </c:pt>
                <c:pt idx="34">
                  <c:v>13033.494000000001</c:v>
                </c:pt>
                <c:pt idx="35">
                  <c:v>15937.138000000001</c:v>
                </c:pt>
                <c:pt idx="36">
                  <c:v>14045.763000000001</c:v>
                </c:pt>
                <c:pt idx="37">
                  <c:v>14180.563</c:v>
                </c:pt>
                <c:pt idx="38">
                  <c:v>15453.987999999999</c:v>
                </c:pt>
                <c:pt idx="39">
                  <c:v>14686.644</c:v>
                </c:pt>
                <c:pt idx="40">
                  <c:v>14239.078</c:v>
                </c:pt>
                <c:pt idx="41">
                  <c:v>15172.777</c:v>
                </c:pt>
                <c:pt idx="42">
                  <c:v>14755.236000000001</c:v>
                </c:pt>
                <c:pt idx="43">
                  <c:v>14869.981</c:v>
                </c:pt>
                <c:pt idx="44">
                  <c:v>16164.199000000001</c:v>
                </c:pt>
                <c:pt idx="45">
                  <c:v>14430.161</c:v>
                </c:pt>
                <c:pt idx="46">
                  <c:v>17233.815999999999</c:v>
                </c:pt>
                <c:pt idx="47">
                  <c:v>14918.01</c:v>
                </c:pt>
                <c:pt idx="48">
                  <c:v>14640.498</c:v>
                </c:pt>
                <c:pt idx="49">
                  <c:v>14682.698</c:v>
                </c:pt>
                <c:pt idx="50">
                  <c:v>14597.314999999999</c:v>
                </c:pt>
                <c:pt idx="51">
                  <c:v>14931.313999999998</c:v>
                </c:pt>
                <c:pt idx="52">
                  <c:v>14767.524000000005</c:v>
                </c:pt>
                <c:pt idx="53">
                  <c:v>16130.080999999991</c:v>
                </c:pt>
                <c:pt idx="54">
                  <c:v>14996.455000000002</c:v>
                </c:pt>
                <c:pt idx="55">
                  <c:v>16718.65800000001</c:v>
                </c:pt>
                <c:pt idx="56">
                  <c:v>15555.774999999996</c:v>
                </c:pt>
                <c:pt idx="57">
                  <c:v>15627.823000000004</c:v>
                </c:pt>
                <c:pt idx="58">
                  <c:v>14863.987999999983</c:v>
                </c:pt>
                <c:pt idx="59">
                  <c:v>15558.33</c:v>
                </c:pt>
                <c:pt idx="60">
                  <c:v>15294.525777777777</c:v>
                </c:pt>
                <c:pt idx="61">
                  <c:v>15336.725777777778</c:v>
                </c:pt>
                <c:pt idx="62">
                  <c:v>15251.342777777776</c:v>
                </c:pt>
                <c:pt idx="63">
                  <c:v>15585.341777777776</c:v>
                </c:pt>
                <c:pt idx="64">
                  <c:v>15421.551777777782</c:v>
                </c:pt>
                <c:pt idx="65">
                  <c:v>16784.108777777768</c:v>
                </c:pt>
                <c:pt idx="66">
                  <c:v>15650.482777777779</c:v>
                </c:pt>
                <c:pt idx="67">
                  <c:v>17372.685777777788</c:v>
                </c:pt>
                <c:pt idx="68">
                  <c:v>16209.802777777773</c:v>
                </c:pt>
                <c:pt idx="69">
                  <c:v>16281.850777777781</c:v>
                </c:pt>
                <c:pt idx="70">
                  <c:v>15518.01577777776</c:v>
                </c:pt>
                <c:pt idx="71">
                  <c:v>16212.357777777777</c:v>
                </c:pt>
              </c:numCache>
            </c:numRef>
          </c:val>
          <c:smooth val="0"/>
          <c:extLst>
            <c:ext xmlns:c16="http://schemas.microsoft.com/office/drawing/2014/chart" uri="{C3380CC4-5D6E-409C-BE32-E72D297353CC}">
              <c16:uniqueId val="{00000000-713F-44C7-873F-418F2353F132}"/>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Finance'!$A$12</c:f>
              <c:strCache>
                <c:ptCount val="1"/>
                <c:pt idx="0">
                  <c:v>Pay (exc. M12 Pension adj)</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Finance'!$B$12:$BU$12</c:f>
              <c:numCache>
                <c:formatCode>#,##0,;\(#,##0,\);"-";@</c:formatCode>
                <c:ptCount val="72"/>
                <c:pt idx="0">
                  <c:v>44989.853000000003</c:v>
                </c:pt>
                <c:pt idx="1">
                  <c:v>45145.612999999998</c:v>
                </c:pt>
                <c:pt idx="2">
                  <c:v>44904.81</c:v>
                </c:pt>
                <c:pt idx="3">
                  <c:v>44255.51</c:v>
                </c:pt>
                <c:pt idx="4">
                  <c:v>45213.09</c:v>
                </c:pt>
                <c:pt idx="5">
                  <c:v>44015.006999999998</c:v>
                </c:pt>
                <c:pt idx="6">
                  <c:v>45849.432999999997</c:v>
                </c:pt>
                <c:pt idx="7">
                  <c:v>45156.236999999899</c:v>
                </c:pt>
                <c:pt idx="8">
                  <c:v>44729.95</c:v>
                </c:pt>
                <c:pt idx="9">
                  <c:v>44977.838000000003</c:v>
                </c:pt>
                <c:pt idx="10">
                  <c:v>47527.355000000003</c:v>
                </c:pt>
                <c:pt idx="11">
                  <c:v>46146.870999999999</c:v>
                </c:pt>
                <c:pt idx="12">
                  <c:v>45794.502</c:v>
                </c:pt>
                <c:pt idx="13">
                  <c:v>48892.273000000001</c:v>
                </c:pt>
                <c:pt idx="14">
                  <c:v>48286.326000000001</c:v>
                </c:pt>
                <c:pt idx="15">
                  <c:v>47391.203999999998</c:v>
                </c:pt>
                <c:pt idx="16">
                  <c:v>48099.415999999997</c:v>
                </c:pt>
                <c:pt idx="17">
                  <c:v>47453.936000000002</c:v>
                </c:pt>
                <c:pt idx="18">
                  <c:v>51615.071000000004</c:v>
                </c:pt>
                <c:pt idx="19">
                  <c:v>48462.625</c:v>
                </c:pt>
                <c:pt idx="20">
                  <c:v>49294.923999999999</c:v>
                </c:pt>
                <c:pt idx="21">
                  <c:v>51509.915999999997</c:v>
                </c:pt>
                <c:pt idx="22">
                  <c:v>50741.074000000001</c:v>
                </c:pt>
                <c:pt idx="23">
                  <c:v>85408.932000000001</c:v>
                </c:pt>
                <c:pt idx="24">
                  <c:v>49002.392999999996</c:v>
                </c:pt>
                <c:pt idx="25">
                  <c:v>49071.368000000002</c:v>
                </c:pt>
                <c:pt idx="26">
                  <c:v>48376.724000000002</c:v>
                </c:pt>
                <c:pt idx="27">
                  <c:v>49139.817999999999</c:v>
                </c:pt>
                <c:pt idx="28">
                  <c:v>50532.385000000002</c:v>
                </c:pt>
                <c:pt idx="29">
                  <c:v>57539.614999999998</c:v>
                </c:pt>
                <c:pt idx="30">
                  <c:v>51711.83</c:v>
                </c:pt>
                <c:pt idx="31">
                  <c:v>52682.656000000003</c:v>
                </c:pt>
                <c:pt idx="32">
                  <c:v>52273.201999999997</c:v>
                </c:pt>
                <c:pt idx="33">
                  <c:v>56191.694000000003</c:v>
                </c:pt>
                <c:pt idx="34">
                  <c:v>53486.351999999999</c:v>
                </c:pt>
                <c:pt idx="35">
                  <c:v>69013.86</c:v>
                </c:pt>
                <c:pt idx="36">
                  <c:v>48209.665000000001</c:v>
                </c:pt>
                <c:pt idx="37">
                  <c:v>53948.307999999997</c:v>
                </c:pt>
                <c:pt idx="38">
                  <c:v>52408.711000000003</c:v>
                </c:pt>
                <c:pt idx="39">
                  <c:v>54695.156999999999</c:v>
                </c:pt>
                <c:pt idx="40">
                  <c:v>54327.529000000002</c:v>
                </c:pt>
                <c:pt idx="41">
                  <c:v>67324.932000000001</c:v>
                </c:pt>
                <c:pt idx="42">
                  <c:v>56578.864999999998</c:v>
                </c:pt>
                <c:pt idx="43">
                  <c:v>58703.39</c:v>
                </c:pt>
                <c:pt idx="44">
                  <c:v>46512.389000000003</c:v>
                </c:pt>
                <c:pt idx="45">
                  <c:v>56068.531000000003</c:v>
                </c:pt>
                <c:pt idx="46">
                  <c:v>57246.319000000003</c:v>
                </c:pt>
                <c:pt idx="47">
                  <c:v>83753.7</c:v>
                </c:pt>
                <c:pt idx="48">
                  <c:v>54145.180999999997</c:v>
                </c:pt>
                <c:pt idx="49">
                  <c:v>58136.858000000007</c:v>
                </c:pt>
                <c:pt idx="50">
                  <c:v>70330.335999999996</c:v>
                </c:pt>
                <c:pt idx="51">
                  <c:v>71803.997000000003</c:v>
                </c:pt>
                <c:pt idx="52">
                  <c:v>59340.931000000011</c:v>
                </c:pt>
                <c:pt idx="53">
                  <c:v>59220.7</c:v>
                </c:pt>
                <c:pt idx="54">
                  <c:v>64479.6</c:v>
                </c:pt>
                <c:pt idx="55">
                  <c:v>62241.701000000001</c:v>
                </c:pt>
                <c:pt idx="56">
                  <c:v>61808.250000000058</c:v>
                </c:pt>
                <c:pt idx="57">
                  <c:v>63415.234999999986</c:v>
                </c:pt>
                <c:pt idx="58">
                  <c:v>64859.954999999958</c:v>
                </c:pt>
                <c:pt idx="59">
                  <c:v>63641.701239999995</c:v>
                </c:pt>
                <c:pt idx="60">
                  <c:v>62441.5</c:v>
                </c:pt>
                <c:pt idx="61">
                  <c:v>62441.5</c:v>
                </c:pt>
                <c:pt idx="62">
                  <c:v>62441.5</c:v>
                </c:pt>
                <c:pt idx="63">
                  <c:v>62441.5</c:v>
                </c:pt>
                <c:pt idx="64">
                  <c:v>62441.5</c:v>
                </c:pt>
                <c:pt idx="65">
                  <c:v>62441.5</c:v>
                </c:pt>
                <c:pt idx="66">
                  <c:v>62441.5</c:v>
                </c:pt>
                <c:pt idx="67">
                  <c:v>62441.5</c:v>
                </c:pt>
                <c:pt idx="68">
                  <c:v>62441.5</c:v>
                </c:pt>
                <c:pt idx="69">
                  <c:v>62441.5</c:v>
                </c:pt>
                <c:pt idx="70">
                  <c:v>62441.5</c:v>
                </c:pt>
                <c:pt idx="71">
                  <c:v>62436.5</c:v>
                </c:pt>
              </c:numCache>
            </c:numRef>
          </c:val>
          <c:smooth val="0"/>
          <c:extLst>
            <c:ext xmlns:c16="http://schemas.microsoft.com/office/drawing/2014/chart" uri="{C3380CC4-5D6E-409C-BE32-E72D297353CC}">
              <c16:uniqueId val="{00000000-B0BF-4D20-8A22-2BCFAD58E131}"/>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Finance'!$A$15</c:f>
              <c:strCache>
                <c:ptCount val="1"/>
                <c:pt idx="0">
                  <c:v>Primary Care - Drugs &amp; Appliances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Finance'!$B$15:$BU$15</c:f>
              <c:numCache>
                <c:formatCode>#,##0,;\(#,##0,\);"-";@</c:formatCode>
                <c:ptCount val="72"/>
                <c:pt idx="0">
                  <c:v>5787.81</c:v>
                </c:pt>
                <c:pt idx="1">
                  <c:v>5838.46</c:v>
                </c:pt>
                <c:pt idx="2">
                  <c:v>5784.3670000000002</c:v>
                </c:pt>
                <c:pt idx="3">
                  <c:v>6283.2380000000003</c:v>
                </c:pt>
                <c:pt idx="4">
                  <c:v>5800.7659999999996</c:v>
                </c:pt>
                <c:pt idx="5">
                  <c:v>5933.5410000000002</c:v>
                </c:pt>
                <c:pt idx="6">
                  <c:v>6524.47</c:v>
                </c:pt>
                <c:pt idx="7">
                  <c:v>5975.9569999999903</c:v>
                </c:pt>
                <c:pt idx="8">
                  <c:v>6430.0190000000002</c:v>
                </c:pt>
                <c:pt idx="9">
                  <c:v>6154.7640000000001</c:v>
                </c:pt>
                <c:pt idx="10">
                  <c:v>5673.3890000000001</c:v>
                </c:pt>
                <c:pt idx="11">
                  <c:v>5284.1019999999999</c:v>
                </c:pt>
                <c:pt idx="12">
                  <c:v>6230.1989999999996</c:v>
                </c:pt>
                <c:pt idx="13">
                  <c:v>6147.2439999999997</c:v>
                </c:pt>
                <c:pt idx="14">
                  <c:v>6983.723</c:v>
                </c:pt>
                <c:pt idx="15">
                  <c:v>6349.8639999999996</c:v>
                </c:pt>
                <c:pt idx="16">
                  <c:v>6738.1880000000001</c:v>
                </c:pt>
                <c:pt idx="17">
                  <c:v>6332.24</c:v>
                </c:pt>
                <c:pt idx="18">
                  <c:v>5946.3040000000001</c:v>
                </c:pt>
                <c:pt idx="19">
                  <c:v>6343.5659999999998</c:v>
                </c:pt>
                <c:pt idx="20">
                  <c:v>6664.6139999999996</c:v>
                </c:pt>
                <c:pt idx="21">
                  <c:v>7058.3710000000001</c:v>
                </c:pt>
                <c:pt idx="22">
                  <c:v>6162.4750000000004</c:v>
                </c:pt>
                <c:pt idx="23">
                  <c:v>7608.2029999999904</c:v>
                </c:pt>
                <c:pt idx="24">
                  <c:v>7046.6049999999996</c:v>
                </c:pt>
                <c:pt idx="25">
                  <c:v>6556.1859999999997</c:v>
                </c:pt>
                <c:pt idx="26">
                  <c:v>6582.317</c:v>
                </c:pt>
                <c:pt idx="27">
                  <c:v>6593.2579999999998</c:v>
                </c:pt>
                <c:pt idx="28">
                  <c:v>6804.7420000000002</c:v>
                </c:pt>
                <c:pt idx="29">
                  <c:v>6414.7039999999997</c:v>
                </c:pt>
                <c:pt idx="30">
                  <c:v>6247.9229999999998</c:v>
                </c:pt>
                <c:pt idx="31">
                  <c:v>6564.1040000000003</c:v>
                </c:pt>
                <c:pt idx="32">
                  <c:v>6651.5119999999997</c:v>
                </c:pt>
                <c:pt idx="33">
                  <c:v>6603.9009999999898</c:v>
                </c:pt>
                <c:pt idx="34">
                  <c:v>6457.5140000000101</c:v>
                </c:pt>
                <c:pt idx="35">
                  <c:v>5895.6909999999898</c:v>
                </c:pt>
                <c:pt idx="36">
                  <c:v>6117.5379999999996</c:v>
                </c:pt>
                <c:pt idx="37">
                  <c:v>6491.4780000000001</c:v>
                </c:pt>
                <c:pt idx="38">
                  <c:v>6364.5950000000003</c:v>
                </c:pt>
                <c:pt idx="39">
                  <c:v>6797.7979999999998</c:v>
                </c:pt>
                <c:pt idx="40">
                  <c:v>6797.0249999999996</c:v>
                </c:pt>
                <c:pt idx="41">
                  <c:v>6903.11</c:v>
                </c:pt>
                <c:pt idx="42">
                  <c:v>7482.2969999999996</c:v>
                </c:pt>
                <c:pt idx="43">
                  <c:v>7094.8329999999996</c:v>
                </c:pt>
                <c:pt idx="44">
                  <c:v>7194.1819999999998</c:v>
                </c:pt>
                <c:pt idx="45">
                  <c:v>7183.6950000000097</c:v>
                </c:pt>
                <c:pt idx="46">
                  <c:v>7174.0919999999896</c:v>
                </c:pt>
                <c:pt idx="47">
                  <c:v>8064.7839999999997</c:v>
                </c:pt>
                <c:pt idx="48">
                  <c:v>6758.3729999999996</c:v>
                </c:pt>
                <c:pt idx="49">
                  <c:v>7596.6400000000012</c:v>
                </c:pt>
                <c:pt idx="50">
                  <c:v>7234.2659999999978</c:v>
                </c:pt>
                <c:pt idx="51">
                  <c:v>7691.0339999999997</c:v>
                </c:pt>
                <c:pt idx="52">
                  <c:v>7961.1970000000038</c:v>
                </c:pt>
                <c:pt idx="53">
                  <c:v>7039.301999999996</c:v>
                </c:pt>
                <c:pt idx="54">
                  <c:v>8026.1660000000047</c:v>
                </c:pt>
                <c:pt idx="55">
                  <c:v>7726.6939999999959</c:v>
                </c:pt>
                <c:pt idx="56">
                  <c:v>7004.2</c:v>
                </c:pt>
                <c:pt idx="57">
                  <c:v>7273.9719999999943</c:v>
                </c:pt>
                <c:pt idx="58">
                  <c:v>6994.4980000000069</c:v>
                </c:pt>
                <c:pt idx="59">
                  <c:v>6930.6260000000002</c:v>
                </c:pt>
                <c:pt idx="60">
                  <c:v>7058.9563046155072</c:v>
                </c:pt>
                <c:pt idx="61">
                  <c:v>7897.2233046155088</c:v>
                </c:pt>
                <c:pt idx="62">
                  <c:v>7534.8493046155054</c:v>
                </c:pt>
                <c:pt idx="63">
                  <c:v>7991.6173046155081</c:v>
                </c:pt>
                <c:pt idx="64">
                  <c:v>8261.7803046155132</c:v>
                </c:pt>
                <c:pt idx="65">
                  <c:v>7339.8853046155036</c:v>
                </c:pt>
                <c:pt idx="66">
                  <c:v>8326.7493046155141</c:v>
                </c:pt>
                <c:pt idx="67">
                  <c:v>8027.2773046155044</c:v>
                </c:pt>
                <c:pt idx="68">
                  <c:v>7304.7833046155074</c:v>
                </c:pt>
                <c:pt idx="69">
                  <c:v>7574.5553046155019</c:v>
                </c:pt>
                <c:pt idx="70">
                  <c:v>7295.0813046155145</c:v>
                </c:pt>
                <c:pt idx="71">
                  <c:v>7231.2093046155078</c:v>
                </c:pt>
              </c:numCache>
            </c:numRef>
          </c:val>
          <c:smooth val="0"/>
          <c:extLst>
            <c:ext xmlns:c16="http://schemas.microsoft.com/office/drawing/2014/chart" uri="{C3380CC4-5D6E-409C-BE32-E72D297353CC}">
              <c16:uniqueId val="{00000000-7BC3-45D1-88E6-58EDA45811CE}"/>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Finance'!$A$19</c:f>
              <c:strCache>
                <c:ptCount val="1"/>
                <c:pt idx="0">
                  <c:v>Non Healthcare Services Provided by Other NHS Bodies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Finance'!$B$19:$BU$19</c:f>
              <c:numCache>
                <c:formatCode>#,##0,;\(#,##0,\);"-";@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numCache>
            </c:numRef>
          </c:val>
          <c:smooth val="0"/>
          <c:extLst>
            <c:ext xmlns:c16="http://schemas.microsoft.com/office/drawing/2014/chart" uri="{C3380CC4-5D6E-409C-BE32-E72D297353CC}">
              <c16:uniqueId val="{00000000-4949-4289-AB9C-98A56377F905}"/>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GB"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Finance'!$A$16</c:f>
              <c:strCache>
                <c:ptCount val="1"/>
                <c:pt idx="0">
                  <c:v>Provider Services - Non Pay (excluding drugs &amp; depreciation)</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Finance'!$B$16:$BU$16</c:f>
              <c:numCache>
                <c:formatCode>#,##0,;\(#,##0,\);"-";@</c:formatCode>
                <c:ptCount val="72"/>
                <c:pt idx="0">
                  <c:v>8539.4549999999999</c:v>
                </c:pt>
                <c:pt idx="1">
                  <c:v>8656.0969999999998</c:v>
                </c:pt>
                <c:pt idx="2">
                  <c:v>7524.2640000000001</c:v>
                </c:pt>
                <c:pt idx="3">
                  <c:v>9021.8459999999995</c:v>
                </c:pt>
                <c:pt idx="4">
                  <c:v>8938.1760000000104</c:v>
                </c:pt>
                <c:pt idx="5">
                  <c:v>9257.768</c:v>
                </c:pt>
                <c:pt idx="6">
                  <c:v>10742.359</c:v>
                </c:pt>
                <c:pt idx="7">
                  <c:v>10508.003000000001</c:v>
                </c:pt>
                <c:pt idx="8">
                  <c:v>10136.911</c:v>
                </c:pt>
                <c:pt idx="9">
                  <c:v>9458.7950000000201</c:v>
                </c:pt>
                <c:pt idx="10">
                  <c:v>10466.075000000001</c:v>
                </c:pt>
                <c:pt idx="11">
                  <c:v>11150.107</c:v>
                </c:pt>
                <c:pt idx="12">
                  <c:v>9272.0249999999996</c:v>
                </c:pt>
                <c:pt idx="13">
                  <c:v>13603.628000000001</c:v>
                </c:pt>
                <c:pt idx="14">
                  <c:v>29775.412</c:v>
                </c:pt>
                <c:pt idx="15">
                  <c:v>-9289.6229999999996</c:v>
                </c:pt>
                <c:pt idx="16">
                  <c:v>9675.6260000000002</c:v>
                </c:pt>
                <c:pt idx="17">
                  <c:v>10043.677</c:v>
                </c:pt>
                <c:pt idx="18">
                  <c:v>10657.379000000001</c:v>
                </c:pt>
                <c:pt idx="19">
                  <c:v>11254.642</c:v>
                </c:pt>
                <c:pt idx="20">
                  <c:v>11328.553</c:v>
                </c:pt>
                <c:pt idx="21">
                  <c:v>10732.597</c:v>
                </c:pt>
                <c:pt idx="22">
                  <c:v>11377.268</c:v>
                </c:pt>
                <c:pt idx="23">
                  <c:v>22712</c:v>
                </c:pt>
                <c:pt idx="24">
                  <c:v>9733.2649999999994</c:v>
                </c:pt>
                <c:pt idx="25">
                  <c:v>8893.42</c:v>
                </c:pt>
                <c:pt idx="26">
                  <c:v>11533.084999999999</c:v>
                </c:pt>
                <c:pt idx="27">
                  <c:v>10913.953</c:v>
                </c:pt>
                <c:pt idx="28">
                  <c:v>10884.763999999999</c:v>
                </c:pt>
                <c:pt idx="29">
                  <c:v>11726.383</c:v>
                </c:pt>
                <c:pt idx="30">
                  <c:v>11037.362999999999</c:v>
                </c:pt>
                <c:pt idx="31">
                  <c:v>11991.054</c:v>
                </c:pt>
                <c:pt idx="32">
                  <c:v>13200.569</c:v>
                </c:pt>
                <c:pt idx="33">
                  <c:v>12404.708000000001</c:v>
                </c:pt>
                <c:pt idx="34">
                  <c:v>13618.137000000001</c:v>
                </c:pt>
                <c:pt idx="35">
                  <c:v>25482.395</c:v>
                </c:pt>
                <c:pt idx="36">
                  <c:v>11423.199000000001</c:v>
                </c:pt>
                <c:pt idx="37">
                  <c:v>12473.735000000001</c:v>
                </c:pt>
                <c:pt idx="38">
                  <c:v>11315.875</c:v>
                </c:pt>
                <c:pt idx="39">
                  <c:v>11101.58</c:v>
                </c:pt>
                <c:pt idx="40">
                  <c:v>12317.021000000001</c:v>
                </c:pt>
                <c:pt idx="41">
                  <c:v>13018.234</c:v>
                </c:pt>
                <c:pt idx="42">
                  <c:v>14511.834999999999</c:v>
                </c:pt>
                <c:pt idx="43">
                  <c:v>11986.706</c:v>
                </c:pt>
                <c:pt idx="44">
                  <c:v>12033.463</c:v>
                </c:pt>
                <c:pt idx="45">
                  <c:v>11465.636</c:v>
                </c:pt>
                <c:pt idx="46">
                  <c:v>11982.66</c:v>
                </c:pt>
                <c:pt idx="47">
                  <c:v>7973.6109999999999</c:v>
                </c:pt>
                <c:pt idx="48">
                  <c:v>11225.135</c:v>
                </c:pt>
                <c:pt idx="49">
                  <c:v>10959.656000000001</c:v>
                </c:pt>
                <c:pt idx="50">
                  <c:v>12586.064999999999</c:v>
                </c:pt>
                <c:pt idx="51">
                  <c:v>12081.285000000003</c:v>
                </c:pt>
                <c:pt idx="52">
                  <c:v>11774.905999999995</c:v>
                </c:pt>
                <c:pt idx="53">
                  <c:v>13086.627</c:v>
                </c:pt>
                <c:pt idx="54">
                  <c:v>11668.396000000008</c:v>
                </c:pt>
                <c:pt idx="55">
                  <c:v>13312.672999999995</c:v>
                </c:pt>
                <c:pt idx="56">
                  <c:v>12331.769000000004</c:v>
                </c:pt>
                <c:pt idx="57">
                  <c:v>12851.245999999999</c:v>
                </c:pt>
                <c:pt idx="58">
                  <c:v>13132.728999999999</c:v>
                </c:pt>
                <c:pt idx="59">
                  <c:v>8223.6751299999814</c:v>
                </c:pt>
                <c:pt idx="60">
                  <c:v>12243.073583333333</c:v>
                </c:pt>
                <c:pt idx="61">
                  <c:v>11977.594583333334</c:v>
                </c:pt>
                <c:pt idx="62">
                  <c:v>13604.003583333331</c:v>
                </c:pt>
                <c:pt idx="63">
                  <c:v>13099.223583333336</c:v>
                </c:pt>
                <c:pt idx="64">
                  <c:v>12792.844583333328</c:v>
                </c:pt>
                <c:pt idx="65">
                  <c:v>13604.565583333333</c:v>
                </c:pt>
                <c:pt idx="66">
                  <c:v>12686.334583333341</c:v>
                </c:pt>
                <c:pt idx="67">
                  <c:v>13830.611583333328</c:v>
                </c:pt>
                <c:pt idx="68">
                  <c:v>13349.707583333337</c:v>
                </c:pt>
                <c:pt idx="69">
                  <c:v>13269.184583333332</c:v>
                </c:pt>
                <c:pt idx="70">
                  <c:v>13650.667583333332</c:v>
                </c:pt>
                <c:pt idx="71">
                  <c:v>13536.613713333314</c:v>
                </c:pt>
              </c:numCache>
            </c:numRef>
          </c:val>
          <c:smooth val="0"/>
          <c:extLst>
            <c:ext xmlns:c16="http://schemas.microsoft.com/office/drawing/2014/chart" uri="{C3380CC4-5D6E-409C-BE32-E72D297353CC}">
              <c16:uniqueId val="{00000000-AF13-4A18-AF57-FE7373B99AD0}"/>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Finance'!$A$17</c:f>
              <c:strCache>
                <c:ptCount val="1"/>
                <c:pt idx="0">
                  <c:v>Secondary Care - Drugs</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Finance'!$B$17:$BU$17</c:f>
              <c:numCache>
                <c:formatCode>#,##0,;\(#,##0,\);"-";@</c:formatCode>
                <c:ptCount val="72"/>
                <c:pt idx="0">
                  <c:v>4948.9279999999999</c:v>
                </c:pt>
                <c:pt idx="1">
                  <c:v>5555.1949999999997</c:v>
                </c:pt>
                <c:pt idx="2">
                  <c:v>5448.9859999999999</c:v>
                </c:pt>
                <c:pt idx="3">
                  <c:v>6107.2879999999996</c:v>
                </c:pt>
                <c:pt idx="4">
                  <c:v>5191.741</c:v>
                </c:pt>
                <c:pt idx="5">
                  <c:v>5164.3850000000002</c:v>
                </c:pt>
                <c:pt idx="6">
                  <c:v>5819.7520000000004</c:v>
                </c:pt>
                <c:pt idx="7">
                  <c:v>5815.5349999999999</c:v>
                </c:pt>
                <c:pt idx="8">
                  <c:v>5742.7760000000098</c:v>
                </c:pt>
                <c:pt idx="9">
                  <c:v>6247.63</c:v>
                </c:pt>
                <c:pt idx="10">
                  <c:v>5173.6809999999996</c:v>
                </c:pt>
                <c:pt idx="11">
                  <c:v>5274.9180000000097</c:v>
                </c:pt>
                <c:pt idx="12">
                  <c:v>4835.2089999999998</c:v>
                </c:pt>
                <c:pt idx="13">
                  <c:v>4334.0829999999996</c:v>
                </c:pt>
                <c:pt idx="14">
                  <c:v>5706.8980000000001</c:v>
                </c:pt>
                <c:pt idx="15">
                  <c:v>5631.2730000000001</c:v>
                </c:pt>
                <c:pt idx="16">
                  <c:v>4950.4350000000004</c:v>
                </c:pt>
                <c:pt idx="17">
                  <c:v>5989.3050000000003</c:v>
                </c:pt>
                <c:pt idx="18">
                  <c:v>5627.3379999999997</c:v>
                </c:pt>
                <c:pt idx="19">
                  <c:v>5479.4290000000001</c:v>
                </c:pt>
                <c:pt idx="20">
                  <c:v>5706.6710000000003</c:v>
                </c:pt>
                <c:pt idx="21">
                  <c:v>4991.9129999999896</c:v>
                </c:pt>
                <c:pt idx="22">
                  <c:v>4843.4949999999999</c:v>
                </c:pt>
                <c:pt idx="23">
                  <c:v>8617.4269999999997</c:v>
                </c:pt>
                <c:pt idx="24">
                  <c:v>5939.1080000000002</c:v>
                </c:pt>
                <c:pt idx="25">
                  <c:v>7083.9719999999998</c:v>
                </c:pt>
                <c:pt idx="26">
                  <c:v>5482.2049999999999</c:v>
                </c:pt>
                <c:pt idx="27">
                  <c:v>6510.4589999999998</c:v>
                </c:pt>
                <c:pt idx="28">
                  <c:v>6037.3389999999999</c:v>
                </c:pt>
                <c:pt idx="29">
                  <c:v>6506.4669999999996</c:v>
                </c:pt>
                <c:pt idx="30">
                  <c:v>6715.9480000000003</c:v>
                </c:pt>
                <c:pt idx="31">
                  <c:v>6363.9369999999999</c:v>
                </c:pt>
                <c:pt idx="32">
                  <c:v>5774.6760000000004</c:v>
                </c:pt>
                <c:pt idx="33">
                  <c:v>6835.7089999999998</c:v>
                </c:pt>
                <c:pt idx="34">
                  <c:v>6422.0140000000001</c:v>
                </c:pt>
                <c:pt idx="35">
                  <c:v>6163.7969999999896</c:v>
                </c:pt>
                <c:pt idx="36">
                  <c:v>5047.9690000000001</c:v>
                </c:pt>
                <c:pt idx="37">
                  <c:v>6924.3410000000003</c:v>
                </c:pt>
                <c:pt idx="38">
                  <c:v>6901.5219999999999</c:v>
                </c:pt>
                <c:pt idx="39">
                  <c:v>6462.9880000000003</c:v>
                </c:pt>
                <c:pt idx="40">
                  <c:v>7372.2150000000001</c:v>
                </c:pt>
                <c:pt idx="41">
                  <c:v>6968.0720000000001</c:v>
                </c:pt>
                <c:pt idx="42">
                  <c:v>5927.2759999999998</c:v>
                </c:pt>
                <c:pt idx="43">
                  <c:v>7154.4030000000002</c:v>
                </c:pt>
                <c:pt idx="44">
                  <c:v>6636.8519999999999</c:v>
                </c:pt>
                <c:pt idx="45">
                  <c:v>6549.4160000000002</c:v>
                </c:pt>
                <c:pt idx="46">
                  <c:v>6374.0950000000003</c:v>
                </c:pt>
                <c:pt idx="47">
                  <c:v>6467.5079999999998</c:v>
                </c:pt>
                <c:pt idx="48">
                  <c:v>5428.5649999999996</c:v>
                </c:pt>
                <c:pt idx="49">
                  <c:v>6817.8760000000011</c:v>
                </c:pt>
                <c:pt idx="50">
                  <c:v>6594.8680000000004</c:v>
                </c:pt>
                <c:pt idx="51">
                  <c:v>6639.8580000000002</c:v>
                </c:pt>
                <c:pt idx="52">
                  <c:v>6582.1090000000004</c:v>
                </c:pt>
                <c:pt idx="53">
                  <c:v>6362.3080000000009</c:v>
                </c:pt>
                <c:pt idx="54">
                  <c:v>7815.3240000000005</c:v>
                </c:pt>
                <c:pt idx="55">
                  <c:v>8090.0089999999982</c:v>
                </c:pt>
                <c:pt idx="56">
                  <c:v>6312.4239999999991</c:v>
                </c:pt>
                <c:pt idx="57">
                  <c:v>8432</c:v>
                </c:pt>
                <c:pt idx="58">
                  <c:v>7051.0509999999922</c:v>
                </c:pt>
                <c:pt idx="59">
                  <c:v>7150.4519999999993</c:v>
                </c:pt>
                <c:pt idx="60">
                  <c:v>7331.666666666667</c:v>
                </c:pt>
                <c:pt idx="61">
                  <c:v>7331.666666666667</c:v>
                </c:pt>
                <c:pt idx="62">
                  <c:v>7331.666666666667</c:v>
                </c:pt>
                <c:pt idx="63">
                  <c:v>7331.666666666667</c:v>
                </c:pt>
                <c:pt idx="64">
                  <c:v>7331.666666666667</c:v>
                </c:pt>
                <c:pt idx="65">
                  <c:v>7331.666666666667</c:v>
                </c:pt>
                <c:pt idx="66">
                  <c:v>7331.666666666667</c:v>
                </c:pt>
                <c:pt idx="67">
                  <c:v>7331.666666666667</c:v>
                </c:pt>
                <c:pt idx="68">
                  <c:v>7331.666666666667</c:v>
                </c:pt>
                <c:pt idx="69">
                  <c:v>7331.666666666667</c:v>
                </c:pt>
                <c:pt idx="70">
                  <c:v>7331.666666666667</c:v>
                </c:pt>
                <c:pt idx="71">
                  <c:v>7331.666666666667</c:v>
                </c:pt>
              </c:numCache>
            </c:numRef>
          </c:val>
          <c:smooth val="0"/>
          <c:extLst>
            <c:ext xmlns:c16="http://schemas.microsoft.com/office/drawing/2014/chart" uri="{C3380CC4-5D6E-409C-BE32-E72D297353CC}">
              <c16:uniqueId val="{00000000-8CFF-4149-A23C-3BD1151D1CD6}"/>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'A1 Graphs - Finance'!$A$20</c:f>
              <c:strCache>
                <c:ptCount val="1"/>
                <c:pt idx="0">
                  <c:v>Continuing Care and Funded Nursing Care</c:v>
                </c:pt>
              </c:strCache>
            </c:strRef>
          </c:tx>
          <c:spPr>
            <a:ln w="28575" cap="rnd">
              <a:solidFill>
                <a:schemeClr val="accent1"/>
              </a:solidFill>
              <a:round/>
            </a:ln>
            <a:effectLst/>
          </c:spPr>
          <c:marker>
            <c:symbol val="none"/>
          </c:marker>
          <c:cat>
            <c:strRef>
              <c:f>'A1 Graphs - Finance'!$B$5:$BU$5</c:f>
              <c:strCache>
                <c:ptCount val="72"/>
                <c:pt idx="0">
                  <c:v>Apr-19</c:v>
                </c:pt>
                <c:pt idx="1">
                  <c:v>May-19</c:v>
                </c:pt>
                <c:pt idx="2">
                  <c:v>Jun-19</c:v>
                </c:pt>
                <c:pt idx="3">
                  <c:v>Jul-19</c:v>
                </c:pt>
                <c:pt idx="4">
                  <c:v>Aug-19</c:v>
                </c:pt>
                <c:pt idx="5">
                  <c:v>Sep-19</c:v>
                </c:pt>
                <c:pt idx="6">
                  <c:v>Oct-19</c:v>
                </c:pt>
                <c:pt idx="7">
                  <c:v>Nov-19</c:v>
                </c:pt>
                <c:pt idx="8">
                  <c:v>Dec-19</c:v>
                </c:pt>
                <c:pt idx="9">
                  <c:v>Jan-20</c:v>
                </c:pt>
                <c:pt idx="10">
                  <c:v>Feb-20</c:v>
                </c:pt>
                <c:pt idx="11">
                  <c:v>Mar-20</c:v>
                </c:pt>
                <c:pt idx="12">
                  <c:v>Apr-20</c:v>
                </c:pt>
                <c:pt idx="13">
                  <c:v>May-20</c:v>
                </c:pt>
                <c:pt idx="14">
                  <c:v>Jun-20</c:v>
                </c:pt>
                <c:pt idx="15">
                  <c:v>Jul-20</c:v>
                </c:pt>
                <c:pt idx="16">
                  <c:v>Aug-20</c:v>
                </c:pt>
                <c:pt idx="17">
                  <c:v>Sep-20</c:v>
                </c:pt>
                <c:pt idx="18">
                  <c:v>Oct-20</c:v>
                </c:pt>
                <c:pt idx="19">
                  <c:v>Nov-20</c:v>
                </c:pt>
                <c:pt idx="20">
                  <c:v>Dec-20</c:v>
                </c:pt>
                <c:pt idx="21">
                  <c:v>Jan-21</c:v>
                </c:pt>
                <c:pt idx="22">
                  <c:v>Feb-21</c:v>
                </c:pt>
                <c:pt idx="23">
                  <c:v>Mar-21</c:v>
                </c:pt>
                <c:pt idx="24">
                  <c:v>Apr-21</c:v>
                </c:pt>
                <c:pt idx="25">
                  <c:v>May-21</c:v>
                </c:pt>
                <c:pt idx="26">
                  <c:v>Jun-21</c:v>
                </c:pt>
                <c:pt idx="27">
                  <c:v>Jul-21</c:v>
                </c:pt>
                <c:pt idx="28">
                  <c:v>Aug-21</c:v>
                </c:pt>
                <c:pt idx="29">
                  <c:v>Sep-21</c:v>
                </c:pt>
                <c:pt idx="30">
                  <c:v>Oct-21</c:v>
                </c:pt>
                <c:pt idx="31">
                  <c:v>Nov-21</c:v>
                </c:pt>
                <c:pt idx="32">
                  <c:v>Dec-21</c:v>
                </c:pt>
                <c:pt idx="33">
                  <c:v>Jan-22</c:v>
                </c:pt>
                <c:pt idx="34">
                  <c:v>Feb-22</c:v>
                </c:pt>
                <c:pt idx="35">
                  <c:v>Mar-22</c:v>
                </c:pt>
                <c:pt idx="36">
                  <c:v>Apr-22</c:v>
                </c:pt>
                <c:pt idx="37">
                  <c:v>May-22</c:v>
                </c:pt>
                <c:pt idx="38">
                  <c:v>Jun-22</c:v>
                </c:pt>
                <c:pt idx="39">
                  <c:v>Jul-22</c:v>
                </c:pt>
                <c:pt idx="40">
                  <c:v>Aug-22</c:v>
                </c:pt>
                <c:pt idx="41">
                  <c:v>Sep-22</c:v>
                </c:pt>
                <c:pt idx="42">
                  <c:v>Oct-22</c:v>
                </c:pt>
                <c:pt idx="43">
                  <c:v>Nov-22</c:v>
                </c:pt>
                <c:pt idx="44">
                  <c:v>Dec-22</c:v>
                </c:pt>
                <c:pt idx="45">
                  <c:v>Jan-23</c:v>
                </c:pt>
                <c:pt idx="46">
                  <c:v>Feb-23</c:v>
                </c:pt>
                <c:pt idx="47">
                  <c:v>Mar-23</c:v>
                </c:pt>
                <c:pt idx="48">
                  <c:v>Apr-23</c:v>
                </c:pt>
                <c:pt idx="49">
                  <c:v>May-23</c:v>
                </c:pt>
                <c:pt idx="50">
                  <c:v>Jun-23</c:v>
                </c:pt>
                <c:pt idx="51">
                  <c:v>Jul-23</c:v>
                </c:pt>
                <c:pt idx="52">
                  <c:v>Aug-23</c:v>
                </c:pt>
                <c:pt idx="53">
                  <c:v>Sep-23</c:v>
                </c:pt>
                <c:pt idx="54">
                  <c:v>Oct-23</c:v>
                </c:pt>
                <c:pt idx="55">
                  <c:v>Nov-23</c:v>
                </c:pt>
                <c:pt idx="56">
                  <c:v>Dec-23</c:v>
                </c:pt>
                <c:pt idx="57">
                  <c:v>Jan-24</c:v>
                </c:pt>
                <c:pt idx="58">
                  <c:v>Feb-24</c:v>
                </c:pt>
                <c:pt idx="59">
                  <c:v>Mar-24</c:v>
                </c:pt>
                <c:pt idx="60">
                  <c:v>Apr-24</c:v>
                </c:pt>
                <c:pt idx="61">
                  <c:v>May-24</c:v>
                </c:pt>
                <c:pt idx="62">
                  <c:v>Jun-24</c:v>
                </c:pt>
                <c:pt idx="63">
                  <c:v>Jul-24</c:v>
                </c:pt>
                <c:pt idx="64">
                  <c:v>Aug-24</c:v>
                </c:pt>
                <c:pt idx="65">
                  <c:v>Sep-24</c:v>
                </c:pt>
                <c:pt idx="66">
                  <c:v>Oct-24</c:v>
                </c:pt>
                <c:pt idx="67">
                  <c:v>Nov-24</c:v>
                </c:pt>
                <c:pt idx="68">
                  <c:v>Dec-24</c:v>
                </c:pt>
                <c:pt idx="69">
                  <c:v>Jan-25</c:v>
                </c:pt>
                <c:pt idx="70">
                  <c:v>Feb-25</c:v>
                </c:pt>
                <c:pt idx="71">
                  <c:v>Mar-25</c:v>
                </c:pt>
              </c:strCache>
            </c:strRef>
          </c:cat>
          <c:val>
            <c:numRef>
              <c:f>'A1 Graphs - Finance'!$B$20:$BU$20</c:f>
              <c:numCache>
                <c:formatCode>#,##0,;\(#,##0,\);"-";@</c:formatCode>
                <c:ptCount val="72"/>
                <c:pt idx="0">
                  <c:v>4078.9749999999999</c:v>
                </c:pt>
                <c:pt idx="1">
                  <c:v>4305.2820000000002</c:v>
                </c:pt>
                <c:pt idx="2">
                  <c:v>4102.0069999999996</c:v>
                </c:pt>
                <c:pt idx="3">
                  <c:v>4428.3919999999998</c:v>
                </c:pt>
                <c:pt idx="4">
                  <c:v>4434.1790000000001</c:v>
                </c:pt>
                <c:pt idx="5">
                  <c:v>4396.2</c:v>
                </c:pt>
                <c:pt idx="6">
                  <c:v>4499.47</c:v>
                </c:pt>
                <c:pt idx="7">
                  <c:v>4503.7070000000003</c:v>
                </c:pt>
                <c:pt idx="8">
                  <c:v>5035.3339999999998</c:v>
                </c:pt>
                <c:pt idx="9">
                  <c:v>4356.4560000000001</c:v>
                </c:pt>
                <c:pt idx="10">
                  <c:v>4336.6750000000002</c:v>
                </c:pt>
                <c:pt idx="11">
                  <c:v>4612.2150000000001</c:v>
                </c:pt>
                <c:pt idx="12">
                  <c:v>4601.5680000000002</c:v>
                </c:pt>
                <c:pt idx="13">
                  <c:v>4717.3220000000001</c:v>
                </c:pt>
                <c:pt idx="14">
                  <c:v>4538.2079999999996</c:v>
                </c:pt>
                <c:pt idx="15">
                  <c:v>4969.2169999999996</c:v>
                </c:pt>
                <c:pt idx="16">
                  <c:v>4900.1210000000001</c:v>
                </c:pt>
                <c:pt idx="17">
                  <c:v>5834.0990000000002</c:v>
                </c:pt>
                <c:pt idx="18">
                  <c:v>5560.1629999999996</c:v>
                </c:pt>
                <c:pt idx="19">
                  <c:v>5121.3779999999997</c:v>
                </c:pt>
                <c:pt idx="20">
                  <c:v>5292.8379999999997</c:v>
                </c:pt>
                <c:pt idx="21">
                  <c:v>5751.5209999999997</c:v>
                </c:pt>
                <c:pt idx="22">
                  <c:v>5199.3460000000096</c:v>
                </c:pt>
                <c:pt idx="23">
                  <c:v>7384.3050000000003</c:v>
                </c:pt>
                <c:pt idx="24">
                  <c:v>5248.7579999999998</c:v>
                </c:pt>
                <c:pt idx="25">
                  <c:v>5180.8670000000002</c:v>
                </c:pt>
                <c:pt idx="26">
                  <c:v>4923.6499999999996</c:v>
                </c:pt>
                <c:pt idx="27">
                  <c:v>5190.9350000000004</c:v>
                </c:pt>
                <c:pt idx="28">
                  <c:v>5108.1009999999997</c:v>
                </c:pt>
                <c:pt idx="29">
                  <c:v>5522.2120000000004</c:v>
                </c:pt>
                <c:pt idx="30">
                  <c:v>5579.6769999999997</c:v>
                </c:pt>
                <c:pt idx="31">
                  <c:v>5296.3770000000004</c:v>
                </c:pt>
                <c:pt idx="32">
                  <c:v>6124.9080000000004</c:v>
                </c:pt>
                <c:pt idx="33">
                  <c:v>5312.2749999999996</c:v>
                </c:pt>
                <c:pt idx="34">
                  <c:v>6317.2160000000003</c:v>
                </c:pt>
                <c:pt idx="35">
                  <c:v>8562.6219999999994</c:v>
                </c:pt>
                <c:pt idx="36">
                  <c:v>5541.5119999999997</c:v>
                </c:pt>
                <c:pt idx="37">
                  <c:v>5886.0119999999997</c:v>
                </c:pt>
                <c:pt idx="38">
                  <c:v>5639.8739999999998</c:v>
                </c:pt>
                <c:pt idx="39">
                  <c:v>5347.4189999999999</c:v>
                </c:pt>
                <c:pt idx="40">
                  <c:v>6043.6580000000004</c:v>
                </c:pt>
                <c:pt idx="41">
                  <c:v>6155.4350000000004</c:v>
                </c:pt>
                <c:pt idx="42">
                  <c:v>6014.9269999999997</c:v>
                </c:pt>
                <c:pt idx="43">
                  <c:v>6114.1509999999998</c:v>
                </c:pt>
                <c:pt idx="44">
                  <c:v>6934.0680000000002</c:v>
                </c:pt>
                <c:pt idx="45">
                  <c:v>6487.81</c:v>
                </c:pt>
                <c:pt idx="46">
                  <c:v>5725.6090000000004</c:v>
                </c:pt>
                <c:pt idx="47">
                  <c:v>3905.9319999999998</c:v>
                </c:pt>
                <c:pt idx="48">
                  <c:v>6388.8959999999997</c:v>
                </c:pt>
                <c:pt idx="49">
                  <c:v>6045.8360000000002</c:v>
                </c:pt>
                <c:pt idx="50">
                  <c:v>7274.4010000000017</c:v>
                </c:pt>
                <c:pt idx="51">
                  <c:v>6822.739999999998</c:v>
                </c:pt>
                <c:pt idx="52">
                  <c:v>7471.2510000000038</c:v>
                </c:pt>
                <c:pt idx="53">
                  <c:v>6010.3379999999961</c:v>
                </c:pt>
                <c:pt idx="54">
                  <c:v>8010.038999999997</c:v>
                </c:pt>
                <c:pt idx="55">
                  <c:v>7987.5920000000042</c:v>
                </c:pt>
                <c:pt idx="56">
                  <c:v>7904.273000000001</c:v>
                </c:pt>
                <c:pt idx="57">
                  <c:v>8202.7049999999945</c:v>
                </c:pt>
                <c:pt idx="58">
                  <c:v>7381.8559999999998</c:v>
                </c:pt>
                <c:pt idx="59">
                  <c:v>7228.5870000000004</c:v>
                </c:pt>
                <c:pt idx="60">
                  <c:v>7287.1459999999997</c:v>
                </c:pt>
                <c:pt idx="61">
                  <c:v>6944.0860000000002</c:v>
                </c:pt>
                <c:pt idx="62">
                  <c:v>8172.6510000000026</c:v>
                </c:pt>
                <c:pt idx="63">
                  <c:v>7720.9899999999989</c:v>
                </c:pt>
                <c:pt idx="64">
                  <c:v>8369.5010000000038</c:v>
                </c:pt>
                <c:pt idx="65">
                  <c:v>6908.5879999999961</c:v>
                </c:pt>
                <c:pt idx="66">
                  <c:v>8908.288999999997</c:v>
                </c:pt>
                <c:pt idx="67">
                  <c:v>8885.8420000000042</c:v>
                </c:pt>
                <c:pt idx="68">
                  <c:v>8802.523000000001</c:v>
                </c:pt>
                <c:pt idx="69">
                  <c:v>9100.9549999999945</c:v>
                </c:pt>
                <c:pt idx="70">
                  <c:v>8280.1059999999998</c:v>
                </c:pt>
                <c:pt idx="71">
                  <c:v>8126.8370000000004</c:v>
                </c:pt>
              </c:numCache>
            </c:numRef>
          </c:val>
          <c:smooth val="0"/>
          <c:extLst>
            <c:ext xmlns:c16="http://schemas.microsoft.com/office/drawing/2014/chart" uri="{C3380CC4-5D6E-409C-BE32-E72D297353CC}">
              <c16:uniqueId val="{00000000-2963-4FA6-A330-C874E0ED73C5}"/>
            </c:ext>
          </c:extLst>
        </c:ser>
        <c:dLbls>
          <c:showLegendKey val="0"/>
          <c:showVal val="0"/>
          <c:showCatName val="0"/>
          <c:showSerName val="0"/>
          <c:showPercent val="0"/>
          <c:showBubbleSize val="0"/>
        </c:dLbls>
        <c:smooth val="0"/>
        <c:axId val="1100990704"/>
        <c:axId val="1100989264"/>
      </c:lineChart>
      <c:dateAx>
        <c:axId val="1100990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89264"/>
        <c:crosses val="autoZero"/>
        <c:auto val="0"/>
        <c:lblOffset val="100"/>
        <c:baseTimeUnit val="days"/>
        <c:majorUnit val="12"/>
        <c:minorUnit val="12"/>
      </c:dateAx>
      <c:valAx>
        <c:axId val="1100989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£'m</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009907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25" r="0.25" t="0.75" header="0.3" footer="0.3"/>
    <c:pageSetup paperSize="9" orientation="landscape"/>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cx:f>
      </cx:strDim>
      <cx:numDim type="val">
        <cx:f>_xlchart.v1.0</cx:f>
      </cx:numDim>
    </cx:data>
  </cx:chartData>
  <cx:chart>
    <cx:title pos="t" align="ctr" overlay="0">
      <cx:tx>
        <cx:txData>
          <cx:v>Movement in Substantive Staff WTE</cx:v>
        </cx:txData>
      </cx:tx>
      <cx:txPr>
        <a:bodyPr spcFirstLastPara="1" vertOverflow="ellipsis" horzOverflow="overflow" wrap="square" lIns="0" tIns="0" rIns="0" bIns="0" anchor="ctr" anchorCtr="1"/>
        <a:lstStyle/>
        <a:p>
          <a:pPr algn="ctr" rtl="0">
            <a:defRPr b="1"/>
          </a:pPr>
          <a:r>
            <a:rPr lang="en-US" sz="1400" b="1" i="0" u="none" strike="noStrike" baseline="0">
              <a:solidFill>
                <a:sysClr val="windowText" lastClr="000000">
                  <a:lumMod val="65000"/>
                  <a:lumOff val="35000"/>
                </a:sysClr>
              </a:solidFill>
              <a:latin typeface="Calibri" panose="020F0502020204030204"/>
            </a:rPr>
            <a:t>Movement in Substantive Staff WTE</a:t>
          </a:r>
        </a:p>
      </cx:txPr>
    </cx:title>
    <cx:plotArea>
      <cx:plotAreaRegion>
        <cx:series layoutId="waterfall" uniqueId="{5EE04192-8175-427C-9B9A-43DC57492747}" formatIdx="0">
          <cx:dataId val="0"/>
          <cx:layoutPr>
            <cx:subtotals>
              <cx:idx val="5"/>
            </cx:subtotals>
          </cx:layoutPr>
        </cx:series>
      </cx:plotAreaRegion>
      <cx:axis id="0">
        <cx:catScaling/>
        <cx:tickLabels/>
      </cx:axis>
      <cx:axis id="1">
        <cx:valScaling/>
        <cx:tickLabels/>
      </cx:axis>
    </cx:plotArea>
    <cx:legend pos="b"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2.xml"/><Relationship Id="rId7" Type="http://schemas.openxmlformats.org/officeDocument/2006/relationships/chart" Target="../charts/chart15.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14/relationships/chartEx" Target="../charts/chartEx1.xml"/><Relationship Id="rId5" Type="http://schemas.openxmlformats.org/officeDocument/2006/relationships/chart" Target="../charts/chart14.xml"/><Relationship Id="rId4"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0</xdr:col>
      <xdr:colOff>37351</xdr:colOff>
      <xdr:row>22</xdr:row>
      <xdr:rowOff>34115</xdr:rowOff>
    </xdr:from>
    <xdr:to>
      <xdr:col>4</xdr:col>
      <xdr:colOff>719469</xdr:colOff>
      <xdr:row>43</xdr:row>
      <xdr:rowOff>170586</xdr:rowOff>
    </xdr:to>
    <xdr:graphicFrame macro="">
      <xdr:nvGraphicFramePr>
        <xdr:cNvPr id="282" name="Chart 1">
          <a:extLst>
            <a:ext uri="{FF2B5EF4-FFF2-40B4-BE49-F238E27FC236}">
              <a16:creationId xmlns:a16="http://schemas.microsoft.com/office/drawing/2014/main" id="{CA6AD1F0-FE11-9DF3-38CD-15D2F869D3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37349</xdr:colOff>
      <xdr:row>44</xdr:row>
      <xdr:rowOff>4984</xdr:rowOff>
    </xdr:from>
    <xdr:to>
      <xdr:col>4</xdr:col>
      <xdr:colOff>719467</xdr:colOff>
      <xdr:row>65</xdr:row>
      <xdr:rowOff>141455</xdr:rowOff>
    </xdr:to>
    <xdr:graphicFrame macro="">
      <xdr:nvGraphicFramePr>
        <xdr:cNvPr id="295" name="Chart 5">
          <a:extLst>
            <a:ext uri="{FF2B5EF4-FFF2-40B4-BE49-F238E27FC236}">
              <a16:creationId xmlns:a16="http://schemas.microsoft.com/office/drawing/2014/main" id="{8B510903-B179-4FF6-B2CA-6C435607090F}"/>
            </a:ext>
            <a:ext uri="{147F2762-F138-4A5C-976F-8EAC2B608ADB}">
              <a16:predDERef xmlns:a16="http://schemas.microsoft.com/office/drawing/2014/main" pred="{CA6AD1F0-FE11-9DF3-38CD-15D2F869D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39843</xdr:colOff>
      <xdr:row>65</xdr:row>
      <xdr:rowOff>179298</xdr:rowOff>
    </xdr:from>
    <xdr:to>
      <xdr:col>4</xdr:col>
      <xdr:colOff>721961</xdr:colOff>
      <xdr:row>87</xdr:row>
      <xdr:rowOff>116553</xdr:rowOff>
    </xdr:to>
    <xdr:graphicFrame macro="">
      <xdr:nvGraphicFramePr>
        <xdr:cNvPr id="301" name="Chart 8">
          <a:extLst>
            <a:ext uri="{FF2B5EF4-FFF2-40B4-BE49-F238E27FC236}">
              <a16:creationId xmlns:a16="http://schemas.microsoft.com/office/drawing/2014/main" id="{FAAE6121-C090-4246-BC83-BDE8DB4369E2}"/>
            </a:ext>
            <a:ext uri="{147F2762-F138-4A5C-976F-8EAC2B608ADB}">
              <a16:predDERef xmlns:a16="http://schemas.microsoft.com/office/drawing/2014/main" pred="{8B510903-B179-4FF6-B2CA-6C43560709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28072</xdr:colOff>
      <xdr:row>22</xdr:row>
      <xdr:rowOff>32825</xdr:rowOff>
    </xdr:from>
    <xdr:to>
      <xdr:col>13</xdr:col>
      <xdr:colOff>236826</xdr:colOff>
      <xdr:row>43</xdr:row>
      <xdr:rowOff>169296</xdr:rowOff>
    </xdr:to>
    <xdr:graphicFrame macro="">
      <xdr:nvGraphicFramePr>
        <xdr:cNvPr id="284" name="Chart 15">
          <a:extLst>
            <a:ext uri="{FF2B5EF4-FFF2-40B4-BE49-F238E27FC236}">
              <a16:creationId xmlns:a16="http://schemas.microsoft.com/office/drawing/2014/main" id="{B6522DB4-4057-4180-980C-73EFD5E7E650}"/>
            </a:ext>
            <a:ext uri="{147F2762-F138-4A5C-976F-8EAC2B608ADB}">
              <a16:predDERef xmlns:a16="http://schemas.microsoft.com/office/drawing/2014/main" pred="{FAAE6121-C090-4246-BC83-BDE8DB4369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28070</xdr:colOff>
      <xdr:row>44</xdr:row>
      <xdr:rowOff>3694</xdr:rowOff>
    </xdr:from>
    <xdr:to>
      <xdr:col>13</xdr:col>
      <xdr:colOff>236824</xdr:colOff>
      <xdr:row>65</xdr:row>
      <xdr:rowOff>140165</xdr:rowOff>
    </xdr:to>
    <xdr:graphicFrame macro="">
      <xdr:nvGraphicFramePr>
        <xdr:cNvPr id="304" name="Chart 16">
          <a:extLst>
            <a:ext uri="{FF2B5EF4-FFF2-40B4-BE49-F238E27FC236}">
              <a16:creationId xmlns:a16="http://schemas.microsoft.com/office/drawing/2014/main" id="{1B866E37-23EF-4FD8-934E-64FD9406FF9E}"/>
            </a:ext>
            <a:ext uri="{147F2762-F138-4A5C-976F-8EAC2B608ADB}">
              <a16:predDERef xmlns:a16="http://schemas.microsoft.com/office/drawing/2014/main" pred="{B6522DB4-4057-4180-980C-73EFD5E7E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18114</xdr:colOff>
      <xdr:row>65</xdr:row>
      <xdr:rowOff>165559</xdr:rowOff>
    </xdr:from>
    <xdr:to>
      <xdr:col>13</xdr:col>
      <xdr:colOff>226868</xdr:colOff>
      <xdr:row>87</xdr:row>
      <xdr:rowOff>102814</xdr:rowOff>
    </xdr:to>
    <xdr:graphicFrame macro="">
      <xdr:nvGraphicFramePr>
        <xdr:cNvPr id="306" name="Chart 17">
          <a:extLst>
            <a:ext uri="{FF2B5EF4-FFF2-40B4-BE49-F238E27FC236}">
              <a16:creationId xmlns:a16="http://schemas.microsoft.com/office/drawing/2014/main" id="{9588DCF3-8958-4C5F-A900-94EA326E81FF}"/>
            </a:ext>
            <a:ext uri="{147F2762-F138-4A5C-976F-8EAC2B608ADB}">
              <a16:predDERef xmlns:a16="http://schemas.microsoft.com/office/drawing/2014/main" pred="{1B866E37-23EF-4FD8-934E-64FD9406F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315350</xdr:colOff>
      <xdr:row>22</xdr:row>
      <xdr:rowOff>31919</xdr:rowOff>
    </xdr:from>
    <xdr:to>
      <xdr:col>21</xdr:col>
      <xdr:colOff>524104</xdr:colOff>
      <xdr:row>43</xdr:row>
      <xdr:rowOff>168390</xdr:rowOff>
    </xdr:to>
    <xdr:graphicFrame macro="">
      <xdr:nvGraphicFramePr>
        <xdr:cNvPr id="286" name="Chart 18">
          <a:extLst>
            <a:ext uri="{FF2B5EF4-FFF2-40B4-BE49-F238E27FC236}">
              <a16:creationId xmlns:a16="http://schemas.microsoft.com/office/drawing/2014/main" id="{2B297F58-BBAA-4967-96C3-12653D8D6666}"/>
            </a:ext>
            <a:ext uri="{147F2762-F138-4A5C-976F-8EAC2B608ADB}">
              <a16:predDERef xmlns:a16="http://schemas.microsoft.com/office/drawing/2014/main" pred="{9588DCF3-8958-4C5F-A900-94EA326E8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327801</xdr:colOff>
      <xdr:row>44</xdr:row>
      <xdr:rowOff>7020</xdr:rowOff>
    </xdr:from>
    <xdr:to>
      <xdr:col>21</xdr:col>
      <xdr:colOff>536555</xdr:colOff>
      <xdr:row>65</xdr:row>
      <xdr:rowOff>143491</xdr:rowOff>
    </xdr:to>
    <xdr:graphicFrame macro="">
      <xdr:nvGraphicFramePr>
        <xdr:cNvPr id="305" name="Chart 19">
          <a:extLst>
            <a:ext uri="{FF2B5EF4-FFF2-40B4-BE49-F238E27FC236}">
              <a16:creationId xmlns:a16="http://schemas.microsoft.com/office/drawing/2014/main" id="{139F3C73-0BFF-42F0-89F5-F429F5DDCCEB}"/>
            </a:ext>
            <a:ext uri="{147F2762-F138-4A5C-976F-8EAC2B608ADB}">
              <a16:predDERef xmlns:a16="http://schemas.microsoft.com/office/drawing/2014/main" pred="{2B297F58-BBAA-4967-96C3-12653D8D6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322821</xdr:colOff>
      <xdr:row>65</xdr:row>
      <xdr:rowOff>148962</xdr:rowOff>
    </xdr:from>
    <xdr:to>
      <xdr:col>21</xdr:col>
      <xdr:colOff>531575</xdr:colOff>
      <xdr:row>87</xdr:row>
      <xdr:rowOff>86217</xdr:rowOff>
    </xdr:to>
    <xdr:graphicFrame macro="">
      <xdr:nvGraphicFramePr>
        <xdr:cNvPr id="307" name="Chart 20">
          <a:extLst>
            <a:ext uri="{FF2B5EF4-FFF2-40B4-BE49-F238E27FC236}">
              <a16:creationId xmlns:a16="http://schemas.microsoft.com/office/drawing/2014/main" id="{353579C2-52B3-4445-A54D-6961E27665F5}"/>
            </a:ext>
            <a:ext uri="{147F2762-F138-4A5C-976F-8EAC2B608ADB}">
              <a16:predDERef xmlns:a16="http://schemas.microsoft.com/office/drawing/2014/main" pred="{139F3C73-0BFF-42F0-89F5-F429F5DDC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3</xdr:row>
      <xdr:rowOff>59417</xdr:rowOff>
    </xdr:from>
    <xdr:to>
      <xdr:col>4</xdr:col>
      <xdr:colOff>638750</xdr:colOff>
      <xdr:row>18</xdr:row>
      <xdr:rowOff>8167</xdr:rowOff>
    </xdr:to>
    <xdr:graphicFrame macro="">
      <xdr:nvGraphicFramePr>
        <xdr:cNvPr id="35" name="Chart 3">
          <a:extLst>
            <a:ext uri="{FF2B5EF4-FFF2-40B4-BE49-F238E27FC236}">
              <a16:creationId xmlns:a16="http://schemas.microsoft.com/office/drawing/2014/main" id="{CCDBB13F-D085-8587-C1FE-0B5418AAA9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724388</xdr:colOff>
      <xdr:row>3</xdr:row>
      <xdr:rowOff>59417</xdr:rowOff>
    </xdr:from>
    <xdr:to>
      <xdr:col>8</xdr:col>
      <xdr:colOff>347138</xdr:colOff>
      <xdr:row>18</xdr:row>
      <xdr:rowOff>8167</xdr:rowOff>
    </xdr:to>
    <xdr:graphicFrame macro="">
      <xdr:nvGraphicFramePr>
        <xdr:cNvPr id="63" name="Chart 1">
          <a:extLst>
            <a:ext uri="{FF2B5EF4-FFF2-40B4-BE49-F238E27FC236}">
              <a16:creationId xmlns:a16="http://schemas.microsoft.com/office/drawing/2014/main" id="{3A1AECFB-E3EC-371D-64D6-12AD9F619856}"/>
            </a:ext>
            <a:ext uri="{147F2762-F138-4A5C-976F-8EAC2B608ADB}">
              <a16:predDERef xmlns:a16="http://schemas.microsoft.com/office/drawing/2014/main" pred="{CCDBB13F-D085-8587-C1FE-0B5418AAA9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457472</xdr:colOff>
      <xdr:row>18</xdr:row>
      <xdr:rowOff>53318</xdr:rowOff>
    </xdr:from>
    <xdr:to>
      <xdr:col>11</xdr:col>
      <xdr:colOff>715222</xdr:colOff>
      <xdr:row>33</xdr:row>
      <xdr:rowOff>305</xdr:rowOff>
    </xdr:to>
    <xdr:graphicFrame macro="">
      <xdr:nvGraphicFramePr>
        <xdr:cNvPr id="5" name="Chart 2">
          <a:extLst>
            <a:ext uri="{FF2B5EF4-FFF2-40B4-BE49-F238E27FC236}">
              <a16:creationId xmlns:a16="http://schemas.microsoft.com/office/drawing/2014/main" id="{D4127B97-5902-C211-C9BF-DA46B0875FE8}"/>
            </a:ext>
            <a:ext uri="{147F2762-F138-4A5C-976F-8EAC2B608ADB}">
              <a16:predDERef xmlns:a16="http://schemas.microsoft.com/office/drawing/2014/main" pred="{3A1AECFB-E3EC-371D-64D6-12AD9F6198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726656</xdr:colOff>
      <xdr:row>18</xdr:row>
      <xdr:rowOff>46262</xdr:rowOff>
    </xdr:from>
    <xdr:to>
      <xdr:col>8</xdr:col>
      <xdr:colOff>349406</xdr:colOff>
      <xdr:row>32</xdr:row>
      <xdr:rowOff>233137</xdr:rowOff>
    </xdr:to>
    <xdr:graphicFrame macro="">
      <xdr:nvGraphicFramePr>
        <xdr:cNvPr id="69" name="Chart 4">
          <a:extLst>
            <a:ext uri="{FF2B5EF4-FFF2-40B4-BE49-F238E27FC236}">
              <a16:creationId xmlns:a16="http://schemas.microsoft.com/office/drawing/2014/main" id="{E86B4EFF-5EF0-3EAD-E630-36C9C6B3A29F}"/>
            </a:ext>
            <a:ext uri="{147F2762-F138-4A5C-976F-8EAC2B608ADB}">
              <a16:predDERef xmlns:a16="http://schemas.microsoft.com/office/drawing/2014/main" pred="{D4127B97-5902-C211-C9BF-DA46B0875F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31750</xdr:colOff>
      <xdr:row>18</xdr:row>
      <xdr:rowOff>46262</xdr:rowOff>
    </xdr:from>
    <xdr:to>
      <xdr:col>4</xdr:col>
      <xdr:colOff>622875</xdr:colOff>
      <xdr:row>32</xdr:row>
      <xdr:rowOff>233137</xdr:rowOff>
    </xdr:to>
    <xdr:graphicFrame macro="">
      <xdr:nvGraphicFramePr>
        <xdr:cNvPr id="67" name="Chart 5">
          <a:extLst>
            <a:ext uri="{FF2B5EF4-FFF2-40B4-BE49-F238E27FC236}">
              <a16:creationId xmlns:a16="http://schemas.microsoft.com/office/drawing/2014/main" id="{A297BBAC-099F-D11C-7911-6CFC27BA3D23}"/>
            </a:ext>
            <a:ext uri="{147F2762-F138-4A5C-976F-8EAC2B608ADB}">
              <a16:predDERef xmlns:a16="http://schemas.microsoft.com/office/drawing/2014/main" pred="{E86B4EFF-5EF0-3EAD-E630-36C9C6B3A2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455707</xdr:colOff>
      <xdr:row>3</xdr:row>
      <xdr:rowOff>62945</xdr:rowOff>
    </xdr:from>
    <xdr:to>
      <xdr:col>11</xdr:col>
      <xdr:colOff>713457</xdr:colOff>
      <xdr:row>18</xdr:row>
      <xdr:rowOff>11694</xdr:rowOff>
    </xdr:to>
    <mc:AlternateContent xmlns:mc="http://schemas.openxmlformats.org/markup-compatibility/2006">
      <mc:Choice xmlns:cx1="http://schemas.microsoft.com/office/drawing/2015/9/8/chartex" Requires="cx1">
        <xdr:graphicFrame macro="">
          <xdr:nvGraphicFramePr>
            <xdr:cNvPr id="36" name="Chart 6">
              <a:extLst>
                <a:ext uri="{FF2B5EF4-FFF2-40B4-BE49-F238E27FC236}">
                  <a16:creationId xmlns:a16="http://schemas.microsoft.com/office/drawing/2014/main" id="{F70E999A-AA82-BDEC-217F-22F22EC60E32}"/>
                </a:ext>
                <a:ext uri="{147F2762-F138-4A5C-976F-8EAC2B608ADB}">
                  <a16:predDERef xmlns:a16="http://schemas.microsoft.com/office/drawing/2014/main" pred="{A297BBAC-099F-D11C-7911-6CFC27BA3D2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7631207" y="748745"/>
              <a:ext cx="3534350" cy="3568249"/>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31749</xdr:colOff>
      <xdr:row>34</xdr:row>
      <xdr:rowOff>76201</xdr:rowOff>
    </xdr:from>
    <xdr:to>
      <xdr:col>11</xdr:col>
      <xdr:colOff>857249</xdr:colOff>
      <xdr:row>67</xdr:row>
      <xdr:rowOff>95250</xdr:rowOff>
    </xdr:to>
    <xdr:graphicFrame macro="">
      <xdr:nvGraphicFramePr>
        <xdr:cNvPr id="131" name="Chart 8">
          <a:extLst>
            <a:ext uri="{FF2B5EF4-FFF2-40B4-BE49-F238E27FC236}">
              <a16:creationId xmlns:a16="http://schemas.microsoft.com/office/drawing/2014/main" id="{0F493F11-0A2F-477F-882A-F68698EE7BC9}"/>
            </a:ext>
            <a:ext uri="{147F2762-F138-4A5C-976F-8EAC2B608ADB}">
              <a16:predDERef xmlns:a16="http://schemas.microsoft.com/office/drawing/2014/main" pred="{F70E999A-AA82-BDEC-217F-22F22EC60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1</xdr:row>
      <xdr:rowOff>28575</xdr:rowOff>
    </xdr:from>
    <xdr:to>
      <xdr:col>10</xdr:col>
      <xdr:colOff>180975</xdr:colOff>
      <xdr:row>15</xdr:row>
      <xdr:rowOff>50801</xdr:rowOff>
    </xdr:to>
    <xdr:graphicFrame macro="">
      <xdr:nvGraphicFramePr>
        <xdr:cNvPr id="91" name="Chart 1">
          <a:extLst>
            <a:ext uri="{FF2B5EF4-FFF2-40B4-BE49-F238E27FC236}">
              <a16:creationId xmlns:a16="http://schemas.microsoft.com/office/drawing/2014/main" id="{662CA720-9B5F-6046-6DAA-73FE3389B9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263526</xdr:colOff>
      <xdr:row>1</xdr:row>
      <xdr:rowOff>31747</xdr:rowOff>
    </xdr:from>
    <xdr:to>
      <xdr:col>15</xdr:col>
      <xdr:colOff>537883</xdr:colOff>
      <xdr:row>15</xdr:row>
      <xdr:rowOff>47624</xdr:rowOff>
    </xdr:to>
    <xdr:graphicFrame macro="">
      <xdr:nvGraphicFramePr>
        <xdr:cNvPr id="93" name="Chart 2">
          <a:extLst>
            <a:ext uri="{FF2B5EF4-FFF2-40B4-BE49-F238E27FC236}">
              <a16:creationId xmlns:a16="http://schemas.microsoft.com/office/drawing/2014/main" id="{A5502E52-8C71-E200-02C0-27740234095B}"/>
            </a:ext>
            <a:ext uri="{147F2762-F138-4A5C-976F-8EAC2B608ADB}">
              <a16:predDERef xmlns:a16="http://schemas.microsoft.com/office/drawing/2014/main" pred="{662CA720-9B5F-6046-6DAA-73FE3389B9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31750</xdr:colOff>
      <xdr:row>15</xdr:row>
      <xdr:rowOff>111124</xdr:rowOff>
    </xdr:from>
    <xdr:to>
      <xdr:col>10</xdr:col>
      <xdr:colOff>180975</xdr:colOff>
      <xdr:row>30</xdr:row>
      <xdr:rowOff>66674</xdr:rowOff>
    </xdr:to>
    <xdr:graphicFrame macro="">
      <xdr:nvGraphicFramePr>
        <xdr:cNvPr id="4" name="Chart 3">
          <a:extLst>
            <a:ext uri="{FF2B5EF4-FFF2-40B4-BE49-F238E27FC236}">
              <a16:creationId xmlns:a16="http://schemas.microsoft.com/office/drawing/2014/main" id="{6F0D854E-6CB3-4DBB-A1B1-055A6321ACC9}"/>
            </a:ext>
            <a:ext uri="{147F2762-F138-4A5C-976F-8EAC2B608ADB}">
              <a16:predDERef xmlns:a16="http://schemas.microsoft.com/office/drawing/2014/main" pred="{A5502E52-8C71-E200-02C0-277402340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266700</xdr:colOff>
      <xdr:row>15</xdr:row>
      <xdr:rowOff>88898</xdr:rowOff>
    </xdr:from>
    <xdr:to>
      <xdr:col>15</xdr:col>
      <xdr:colOff>542344</xdr:colOff>
      <xdr:row>30</xdr:row>
      <xdr:rowOff>66674</xdr:rowOff>
    </xdr:to>
    <xdr:graphicFrame macro="">
      <xdr:nvGraphicFramePr>
        <xdr:cNvPr id="95" name="Chart 4">
          <a:extLst>
            <a:ext uri="{FF2B5EF4-FFF2-40B4-BE49-F238E27FC236}">
              <a16:creationId xmlns:a16="http://schemas.microsoft.com/office/drawing/2014/main" id="{0F5E9360-DB81-4561-9C8E-71A44198DCD3}"/>
            </a:ext>
            <a:ext uri="{147F2762-F138-4A5C-976F-8EAC2B608ADB}">
              <a16:predDERef xmlns:a16="http://schemas.microsoft.com/office/drawing/2014/main" pred="{6F0D854E-6CB3-4DBB-A1B1-055A6321A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02.%20%20Support%20and%20Challenge\IMTP%20&amp;%20MDS%20Reviews\2024-25\ObjConnect%20Downloads\SB%20Annex%201a_MDS%202024-25_Part%20A%20Service%20&amp;%20Activity_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h005112\AppData\Local\Microsoft\Windows\INetCache\Content.Outlook\SIYXSKUY\Copy%20of%2020240110%20-%20Plan%20MDS%202024-25%20FINAL%20ISSU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bushare.cymru.nhs.uk/sites/Finance/Corp/Resources/Annual%20Plans/IMTP%202024-25/B.%20Financial%20Plan%20-%20Master%20Document/FINANCIAL%20PLAN%202024-25%20MASTER%20v%20M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and Checklist"/>
      <sheetName val="General Notes"/>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Sheet1"/>
      <sheetName val="Planned Care Activity"/>
      <sheetName val="Cost Drivers"/>
      <sheetName val="Data.Finance"/>
      <sheetName val="Ref Net Exp"/>
      <sheetName val="Ref Workforce"/>
      <sheetName val="Tie up with MMR"/>
      <sheetName val="Ref Lists"/>
      <sheetName val="Data.Capital"/>
      <sheetName val="Ref Net Spend"/>
      <sheetName val="Ref Historic Spend"/>
    </sheetNames>
    <sheetDataSet>
      <sheetData sheetId="0">
        <row r="5">
          <cell r="C5" t="str">
            <v>(please select from drop down)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 and Checklist"/>
      <sheetName val="General Notes"/>
      <sheetName val="Ref.Staff"/>
      <sheetName val="Validation"/>
      <sheetName val="Data.Activity"/>
      <sheetName val="Vaccinations"/>
      <sheetName val="Bedplan"/>
      <sheetName val="Workforce WTE"/>
      <sheetName val="Ref Bedplan"/>
      <sheetName val="Primary Care Activity"/>
      <sheetName val="Definitions and Guidance"/>
      <sheetName val="CHC &amp; FNC"/>
      <sheetName val="Mental Health Activity"/>
      <sheetName val="Cancer Care Activity"/>
      <sheetName val="Unsch.Care &amp; Ambulance Activity"/>
      <sheetName val="Planned Care Activity"/>
      <sheetName val="Cost Drivers"/>
      <sheetName val="Data.Finance"/>
      <sheetName val="F1 - Revenue Plan"/>
      <sheetName val="Ref Net Exp"/>
      <sheetName val="Ref Workforce"/>
      <sheetName val="F2 - Net Expenditure"/>
      <sheetName val="F3 - ULD"/>
      <sheetName val="F4 - Funding Assumptions"/>
      <sheetName val="F5 - Cost Pressures"/>
      <sheetName val="Tie up with MMR"/>
      <sheetName val="F6 - Savings Tracker"/>
      <sheetName val="Ref Lists"/>
      <sheetName val="F7 - Opportunity Pipeline"/>
      <sheetName val="F8 - Pay Split"/>
      <sheetName val="F9 - Project Profile"/>
      <sheetName val="F10 - Risks &amp; Opportunities"/>
      <sheetName val="Data.Capital"/>
      <sheetName val="F11 - Capital Data"/>
      <sheetName val="F12 - Other Estates Data"/>
      <sheetName val="A1 Graphs - Finance"/>
      <sheetName val="A2 Movements by spend area"/>
      <sheetName val="A3 Cost Pressures Summary"/>
      <sheetName val="A4 Savings Summary"/>
      <sheetName val="A5 Capital Summary"/>
      <sheetName val="A6 Workforce &amp; Pay analysis"/>
      <sheetName val="A7 Bed analysis"/>
      <sheetName val="Ref Net Spend"/>
      <sheetName val="Ref Historic Sp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Live"/>
      <sheetName val="App 6"/>
      <sheetName val="Allocation Funding "/>
      <sheetName val="Sheet1"/>
      <sheetName val="Total Funding"/>
      <sheetName val="Workings"/>
      <sheetName val="UDL MDS"/>
      <sheetName val="BF Value Options"/>
      <sheetName val="Investment List"/>
      <sheetName val="Waterfall Overview £82.7"/>
      <sheetName val="Waterfall Overview £82.7&amp;GMO"/>
      <sheetName val="Waterfall &amp; Charts RR"/>
      <sheetName val="RLW "/>
      <sheetName val="Options Presetned 29th Feb"/>
      <sheetName val="Options Presetned 13 March"/>
      <sheetName val="Sheet3"/>
      <sheetName val="What is 87m"/>
      <sheetName val="Options Scale"/>
      <sheetName val="Benchmarking Plans"/>
      <sheetName val="Slides for BB 130324"/>
      <sheetName val="Gov for Thematic "/>
      <sheetName val="Risks"/>
    </sheetNames>
    <sheetDataSet>
      <sheetData sheetId="0">
        <row r="14">
          <cell r="D14">
            <v>2.4344008750000006</v>
          </cell>
          <cell r="E14">
            <v>2.2135510000000003</v>
          </cell>
        </row>
        <row r="15">
          <cell r="D15">
            <v>19.917169845594913</v>
          </cell>
          <cell r="E15">
            <v>19.917169845594913</v>
          </cell>
        </row>
        <row r="16">
          <cell r="D16">
            <v>13.861999655386096</v>
          </cell>
          <cell r="E16">
            <v>13.861999655386096</v>
          </cell>
        </row>
        <row r="23">
          <cell r="D23">
            <v>20</v>
          </cell>
        </row>
        <row r="32">
          <cell r="D32">
            <v>-26.1</v>
          </cell>
        </row>
        <row r="39">
          <cell r="D39">
            <v>-25.717438692098092</v>
          </cell>
          <cell r="G39">
            <v>-31.460999999999999</v>
          </cell>
        </row>
        <row r="40">
          <cell r="D40">
            <v>-2.6043596730245233</v>
          </cell>
          <cell r="G40">
            <v>-2.8649999999999998</v>
          </cell>
        </row>
        <row r="42">
          <cell r="G42">
            <v>-8.1</v>
          </cell>
        </row>
      </sheetData>
      <sheetData sheetId="1"/>
      <sheetData sheetId="2"/>
      <sheetData sheetId="3"/>
      <sheetData sheetId="4"/>
      <sheetData sheetId="5"/>
      <sheetData sheetId="6">
        <row r="4">
          <cell r="C4">
            <v>-4903.9535895815043</v>
          </cell>
        </row>
        <row r="5">
          <cell r="C5">
            <v>-16689.42967267998</v>
          </cell>
        </row>
        <row r="6">
          <cell r="C6">
            <v>-1697.152</v>
          </cell>
        </row>
        <row r="7">
          <cell r="C7">
            <v>-1589.0840000000001</v>
          </cell>
        </row>
        <row r="8">
          <cell r="C8">
            <v>-6800</v>
          </cell>
        </row>
        <row r="9">
          <cell r="C9">
            <v>0</v>
          </cell>
        </row>
        <row r="10">
          <cell r="C10">
            <v>-2595.6776221681494</v>
          </cell>
        </row>
        <row r="11">
          <cell r="C11">
            <v>-8871.7597875903302</v>
          </cell>
        </row>
        <row r="12">
          <cell r="C12">
            <v>-6604.9451155703682</v>
          </cell>
        </row>
        <row r="13">
          <cell r="C13">
            <v>-5140.8689999999997</v>
          </cell>
        </row>
        <row r="14">
          <cell r="C14">
            <v>0</v>
          </cell>
        </row>
      </sheetData>
      <sheetData sheetId="7"/>
      <sheetData sheetId="8"/>
      <sheetData sheetId="9"/>
      <sheetData sheetId="10"/>
      <sheetData sheetId="11"/>
      <sheetData sheetId="12"/>
      <sheetData sheetId="13"/>
      <sheetData sheetId="14">
        <row r="205">
          <cell r="P205">
            <v>-3.6</v>
          </cell>
        </row>
        <row r="206">
          <cell r="P206">
            <v>-9.6</v>
          </cell>
        </row>
        <row r="207">
          <cell r="P207">
            <v>-2.66</v>
          </cell>
        </row>
        <row r="208">
          <cell r="P208">
            <v>-2.6</v>
          </cell>
        </row>
        <row r="209">
          <cell r="P209">
            <v>-3.4787000000000003</v>
          </cell>
        </row>
        <row r="210">
          <cell r="P210">
            <v>-2.6470000000000002</v>
          </cell>
        </row>
        <row r="211">
          <cell r="P211">
            <v>0</v>
          </cell>
        </row>
        <row r="212">
          <cell r="P212">
            <v>-1.05</v>
          </cell>
        </row>
      </sheetData>
      <sheetData sheetId="15"/>
      <sheetData sheetId="16"/>
      <sheetData sheetId="17"/>
      <sheetData sheetId="18"/>
      <sheetData sheetId="19"/>
      <sheetData sheetId="20"/>
      <sheetData sheetId="21">
        <row r="7">
          <cell r="D7">
            <v>3.4550000000000001</v>
          </cell>
        </row>
        <row r="8">
          <cell r="D8">
            <v>0.5</v>
          </cell>
        </row>
        <row r="9">
          <cell r="D9">
            <v>0.47</v>
          </cell>
        </row>
        <row r="10">
          <cell r="D10">
            <v>0.28299999999999997</v>
          </cell>
        </row>
        <row r="11">
          <cell r="D11">
            <v>3.87</v>
          </cell>
        </row>
        <row r="12">
          <cell r="D12">
            <v>0.39</v>
          </cell>
        </row>
        <row r="13">
          <cell r="D13">
            <v>4</v>
          </cell>
        </row>
        <row r="14">
          <cell r="D14">
            <v>3.1</v>
          </cell>
        </row>
        <row r="15">
          <cell r="D15">
            <v>21.895454545454545</v>
          </cell>
        </row>
        <row r="16">
          <cell r="D16">
            <v>7.01</v>
          </cell>
        </row>
        <row r="17">
          <cell r="D17">
            <v>12</v>
          </cell>
        </row>
        <row r="19">
          <cell r="D19" t="str">
            <v>TBC</v>
          </cell>
        </row>
        <row r="20">
          <cell r="D20" t="str">
            <v>TBC</v>
          </cell>
        </row>
        <row r="21">
          <cell r="D21" t="str">
            <v>TBC</v>
          </cell>
        </row>
        <row r="22">
          <cell r="D22" t="str">
            <v>TBC</v>
          </cell>
        </row>
        <row r="23">
          <cell r="D23" t="str">
            <v>TBC</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417930902775" createdVersion="8" refreshedVersion="8" minRefreshableVersion="3" recordCount="4914" xr:uid="{00000000-000A-0000-FFFF-FFFF00000000}">
  <cacheSource type="worksheet">
    <worksheetSource ref="A1:G4915" sheet="Ref Net Exp"/>
  </cacheSource>
  <cacheFields count="7">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Line_item" numFmtId="0">
      <sharedItems containsSemiMixedTypes="0" containsString="0" containsNumber="1" containsInteger="1" minValue="1" maxValue="27"/>
    </cacheField>
    <cacheField name="Description_1" numFmtId="0">
      <sharedItems count="27">
        <s v="Provided Services - Pay"/>
        <s v="Provider Services - Non Pay (excluding drugs &amp; depreciation)"/>
        <s v="Secondary Care - Drugs"/>
        <s v="Revenue Resource Limit"/>
        <s v="Capital Donation / Government Grant Income (Health Board only)"/>
        <s v="Welsh NHS Local Health Boards &amp; Trusts Income"/>
        <s v="WHSSC Income"/>
        <s v="Welsh Government Income (Non RRL)"/>
        <s v="Other Income"/>
        <s v="Income Total"/>
        <s v="Primary Care - Drugs &amp; Appliances"/>
        <s v="Primary Care Contractor (excluding drugs, including non resource limited expenditure)"/>
        <s v="Healthcare Services Provided by Other NHS Bodies"/>
        <s v="Non Healthcare Services Provided by Other NHS Bodies"/>
        <s v="Continuing Care and Funded Nursing Care"/>
        <s v="Other Private &amp; Voluntary Sector"/>
        <s v="Joint Financing and Other "/>
        <s v="Losses, Special Payments and Irrecoverable Debts "/>
        <s v="Exceptional (Income) / Costs - (Trust Only)"/>
        <s v="Total Interest Receivable - (Trust Only)"/>
        <s v="Total Interest Payable - (Trust Only)"/>
        <s v="DEL Depreciation\Accelerated Depreciation\Impairments"/>
        <s v="AME Donated Depreciation\Impairments"/>
        <s v="Uncommitted Reserves &amp; Contingencies"/>
        <s v="Profit\Loss Disposal of Assets"/>
        <s v="Cost - Total"/>
        <s v="Net surplus/ (deficit)"/>
      </sharedItems>
    </cacheField>
    <cacheField name="SubCalDate" numFmtId="14">
      <sharedItems containsSemiMixedTypes="0" containsNonDate="0" containsDate="1" containsString="0" minDate="2023-09-01T00:00:00" maxDate="2023-09-02T00:00:00"/>
    </cacheField>
    <cacheField name="Value" numFmtId="0">
      <sharedItems containsSemiMixedTypes="0" containsString="0" containsNumber="1" minValue="-145680.66580254701" maxValue="2240395"/>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450624189813" createdVersion="8" refreshedVersion="8" minRefreshableVersion="3" recordCount="364" xr:uid="{00000000-000A-0000-FFFF-FFFF01000000}">
  <cacheSource type="worksheet">
    <worksheetSource ref="A1:E365" sheet="Ref Workforce"/>
  </cacheSource>
  <cacheFields count="5">
    <cacheField name="Submission Period" numFmtId="17">
      <sharedItems containsSemiMixedTypes="0" containsNonDate="0" containsDate="1" containsString="0" minDate="2023-09-01T00:00:00" maxDate="2023-09-02T00:00:00" count="1">
        <d v="2023-09-01T00:00:00"/>
      </sharedItems>
    </cacheField>
    <cacheField name="Org" numFmtId="0">
      <sharedItems count="14">
        <s v="Aneurin Bevan UHB"/>
        <s v="Betsi Cadwaladr UHB"/>
        <s v="Cardiff &amp; Vale UHB"/>
        <s v="Cwm Taf Morgannwg UHB"/>
        <s v="Digital Health Care Wales"/>
        <s v="Hywel Dda UHB"/>
        <s v="HEIW"/>
        <s v="NHS Wales Shared Services Partnership"/>
        <s v="Public Health Wales Trust"/>
        <s v="Powys THB"/>
        <s v="Swansea Bay UHB"/>
        <s v="Velindre Trust"/>
        <s v="Welsh Ambulance Trust"/>
        <s v="WHSSC"/>
      </sharedItems>
    </cacheField>
    <cacheField name="Description_2" numFmtId="0">
      <sharedItems count="2">
        <s v="TOTAL PAY EXPENDITURE"/>
        <s v="TOTAL AGENCY/LOCUM (PREMIUM) EXPENDITURE"/>
      </sharedItems>
    </cacheField>
    <cacheField name="Value" numFmtId="0">
      <sharedItems containsSemiMixedTypes="0" containsString="0" containsNumber="1" minValue="0" maxValue="1099018"/>
    </cacheField>
    <cacheField name="Month_Name" numFmtId="0">
      <sharedItems count="13">
        <s v="Apr"/>
        <s v="May"/>
        <s v="Jun"/>
        <s v="Jul"/>
        <s v="Aug"/>
        <s v="Sep"/>
        <s v="Oct"/>
        <s v="Nov"/>
        <s v="Dec"/>
        <s v="Jan"/>
        <s v="Feb"/>
        <s v="Mar"/>
        <s v="Total_MMR"/>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31.61672766204" createdVersion="8" refreshedVersion="8" minRefreshableVersion="3" recordCount="6045" xr:uid="{00000000-000A-0000-FFFF-FFFF02000000}">
  <cacheSource type="worksheet">
    <worksheetSource name="Table3"/>
  </cacheSource>
  <cacheFields count="10">
    <cacheField name="Submission Period" numFmtId="17">
      <sharedItems containsSemiMixedTypes="0" containsNonDate="0" containsDate="1" containsString="0" minDate="2018-03-01T00:00:00" maxDate="2023-03-02T00:00:00" count="6">
        <d v="2020-03-01T00:00:00"/>
        <d v="2021-03-01T00:00:00"/>
        <d v="2022-03-01T00:00:00"/>
        <d v="2023-03-01T00:00:00"/>
        <d v="2018-03-01T00:00:00" u="1"/>
        <d v="2019-03-01T00:00:00" u="1"/>
      </sharedItems>
      <fieldGroup par="9"/>
    </cacheField>
    <cacheField name="Org" numFmtId="0">
      <sharedItems count="17">
        <s v="Aneurin Bevan UHB"/>
        <s v="Betsi Cadwaladr UHB"/>
        <s v="Cwm Taf Morgannwg UHB"/>
        <s v="Cardiff &amp; Vale UHB"/>
        <s v="Hywel Dda UHB"/>
        <s v="HEIW"/>
        <s v="NHS Wales Informatics Service"/>
        <s v="NHS Wales Shared Services Partnership"/>
        <s v="Public Health Wales Trust"/>
        <s v="Powys THB"/>
        <s v="Swansea Bay UHB"/>
        <s v="Velindre Trust"/>
        <s v="Welsh Ambulance Trust"/>
        <s v="WHSSC"/>
        <s v="Digital Health Care Wales"/>
        <s v="Abertawe Bro Morgannwg UHB" u="1"/>
        <s v="Cwm Taf UHB" u="1"/>
      </sharedItems>
    </cacheField>
    <cacheField name="Line_item" numFmtId="0">
      <sharedItems containsSemiMixedTypes="0" containsString="0" containsNumber="1" containsInteger="1" minValue="4" maxValue="58"/>
    </cacheField>
    <cacheField name="Description_1" numFmtId="0">
      <sharedItems count="11">
        <s v="Income Total"/>
        <s v="Primary Care Contractor (excluding drugs, including non resource limited expenditure)"/>
        <s v="Primary Care - Drugs &amp; Appliances"/>
        <s v="Provided Services - Pay"/>
        <s v="Provider Services - Non Pay (excluding drugs &amp; depreciation)"/>
        <s v="Secondary Care - Drugs"/>
        <s v="Healthcare Services Provided by Other NHS Bodies"/>
        <s v="Non Healthcare Services Provided by Other NHS Bodies"/>
        <s v="Continuing Care and Funded Nursing Care"/>
        <s v="13 - Healthcare services - WHSSC &amp; EASC Allocations"/>
        <s v="Primary Care Inflation" u="1"/>
      </sharedItems>
    </cacheField>
    <cacheField name="SubCalDate" numFmtId="14">
      <sharedItems containsSemiMixedTypes="0" containsNonDate="0" containsDate="1" containsString="0" minDate="2020-03-01T00:00:00" maxDate="2023-03-02T00:00:00"/>
    </cacheField>
    <cacheField name="Value" numFmtId="0">
      <sharedItems containsSemiMixedTypes="0" containsString="0" containsNumber="1" minValue="-11454" maxValue="2143780"/>
    </cacheField>
    <cacheField name="Month_Name" numFmtId="49">
      <sharedItems containsDate="1" containsMixedTypes="1" minDate="1900-01-04T21:50:04" maxDate="2023-03-02T00:00:00" count="181">
        <s v="Apr-19"/>
        <s v="May-19"/>
        <s v="Jun-19"/>
        <s v="Jul-19"/>
        <s v="Aug-19"/>
        <s v="Sep-19"/>
        <s v="Oct-19"/>
        <s v="Nov-19"/>
        <s v="Dec-19"/>
        <s v="Jan-20"/>
        <s v="Feb-20"/>
        <s v="Mar-20"/>
        <s v="Total_MMR"/>
        <s v="Apr-20"/>
        <s v="May-20"/>
        <s v="Jun-20"/>
        <s v="Jul-20"/>
        <s v="Aug-20"/>
        <s v="Sep-20"/>
        <s v="Oct-20"/>
        <s v="Nov-20"/>
        <s v="Dec-20"/>
        <s v="Jan-21"/>
        <s v="Feb-21"/>
        <s v="Mar-21"/>
        <s v="Apr-21"/>
        <s v="May-21"/>
        <s v="Jun-21"/>
        <s v="Jul-21"/>
        <s v="Aug-21"/>
        <s v="Sep-21"/>
        <s v="Oct-21"/>
        <s v="Nov-21"/>
        <s v="Dec-21"/>
        <s v="Jan-22"/>
        <s v="Feb-22"/>
        <s v="Mar-22"/>
        <s v="Apr-22"/>
        <s v="May-22"/>
        <s v="Jun-22"/>
        <s v="Jul-22"/>
        <s v="Aug-22"/>
        <s v="Sep-22"/>
        <s v="Oct-22"/>
        <s v="Nov-22"/>
        <s v="Dec-22"/>
        <s v="Jan-23"/>
        <s v="Feb-23"/>
        <s v="Mar-23"/>
        <s v="Apr-17" u="1"/>
        <s v="May-17" u="1"/>
        <s v="Jun-17" u="1"/>
        <s v="Jul-17" u="1"/>
        <s v="Aug-17" u="1"/>
        <s v="Sep-17" u="1"/>
        <s v="Oct-17" u="1"/>
        <s v="Nov-17" u="1"/>
        <s v="Dec-17" u="1"/>
        <s v="Jan-18" u="1"/>
        <s v="Feb-18" u="1"/>
        <s v="Mar-18" u="1"/>
        <s v="Apr-18" u="1"/>
        <s v="May-18" u="1"/>
        <s v="Jun-18" u="1"/>
        <s v="Jul-18" u="1"/>
        <s v="Aug-18" u="1"/>
        <s v="Sep-18" u="1"/>
        <s v="Oct-18" u="1"/>
        <s v="Nov-18" u="1"/>
        <s v="Dec-18" u="1"/>
        <s v="Jan-19" u="1"/>
        <s v="Feb-19" u="1"/>
        <s v="Mar-19" u="1"/>
        <n v="43922" u="1"/>
        <n v="43952" u="1"/>
        <n v="43983" u="1"/>
        <n v="44013" u="1"/>
        <n v="44044" u="1"/>
        <n v="44075" u="1"/>
        <n v="44105" u="1"/>
        <n v="44136" u="1"/>
        <n v="44166" u="1"/>
        <n v="44197" u="1"/>
        <n v="44228" u="1"/>
        <n v="44256" u="1"/>
        <n v="44287" u="1"/>
        <n v="44317" u="1"/>
        <n v="44348" u="1"/>
        <n v="44378" u="1"/>
        <n v="44409" u="1"/>
        <n v="44440" u="1"/>
        <n v="44470" u="1"/>
        <n v="44501" u="1"/>
        <n v="44531" u="1"/>
        <n v="44562" u="1"/>
        <n v="44593" u="1"/>
        <n v="44621" u="1"/>
        <n v="44652" u="1"/>
        <n v="44682" u="1"/>
        <n v="44713" u="1"/>
        <n v="44743" u="1"/>
        <n v="44774" u="1"/>
        <n v="44805" u="1"/>
        <n v="44835" u="1"/>
        <n v="44866" u="1"/>
        <n v="44896" u="1"/>
        <n v="44927" u="1"/>
        <n v="44958" u="1"/>
        <n v="44986" u="1"/>
        <d v="2017-04-01T00:00:00" u="1"/>
        <d v="2017-05-01T00:00:00" u="1"/>
        <d v="2017-06-01T00:00:00" u="1"/>
        <d v="2017-07-01T00:00:00" u="1"/>
        <d v="2017-08-01T00:00:00" u="1"/>
        <d v="2017-09-01T00:00:00" u="1"/>
        <d v="2017-10-01T00:00:00" u="1"/>
        <d v="2017-11-01T00:00:00" u="1"/>
        <d v="2017-12-01T00:00:00" u="1"/>
        <d v="2018-01-01T00:00:00" u="1"/>
        <d v="2018-02-01T00:00:00" u="1"/>
        <d v="2018-03-01T00:00:00" u="1"/>
        <d v="2018-04-01T00:00:00" u="1"/>
        <d v="2018-05-01T00:00:00" u="1"/>
        <d v="2018-06-01T00:00:00" u="1"/>
        <d v="2018-07-01T00:00:00" u="1"/>
        <d v="2018-08-01T00:00:00" u="1"/>
        <d v="2018-09-01T00:00:00" u="1"/>
        <d v="2018-10-01T00:00:00" u="1"/>
        <d v="2018-11-01T00:00:00" u="1"/>
        <d v="2018-12-01T00:00:00" u="1"/>
        <d v="2019-01-01T00:00:00" u="1"/>
        <d v="2019-02-01T00:00:00" u="1"/>
        <d v="2019-03-01T00:00:00" u="1"/>
        <d v="2019-04-01T00:00:00" u="1"/>
        <d v="2019-05-01T00:00:00" u="1"/>
        <d v="2019-06-01T00:00:00" u="1"/>
        <d v="2019-07-01T00:00:00" u="1"/>
        <d v="2019-08-01T00:00:00" u="1"/>
        <d v="2019-09-01T00:00:00" u="1"/>
        <d v="2019-10-01T00:00:00" u="1"/>
        <d v="2019-11-01T00:00:00" u="1"/>
        <d v="2019-12-01T00:00:00" u="1"/>
        <d v="2020-01-01T00:00:00" u="1"/>
        <d v="2020-02-01T00:00:00" u="1"/>
        <d v="2020-03-01T00:00:00" u="1"/>
        <d v="2020-04-01T00:00:00" u="1"/>
        <d v="2020-05-01T00:00:00" u="1"/>
        <d v="2020-06-01T00:00:00" u="1"/>
        <d v="2020-07-01T00:00:00" u="1"/>
        <d v="2020-08-01T00:00:00" u="1"/>
        <d v="2020-09-01T00:00:00" u="1"/>
        <d v="2020-10-01T00:00:00" u="1"/>
        <d v="2020-11-01T00:00:00" u="1"/>
        <d v="2020-12-01T00:00:00" u="1"/>
        <d v="2021-01-01T00:00:00" u="1"/>
        <d v="2021-02-01T00:00:00" u="1"/>
        <d v="2021-03-01T00:00:00" u="1"/>
        <d v="2021-04-01T00:00:00" u="1"/>
        <d v="2021-05-01T00:00:00" u="1"/>
        <d v="2021-06-01T00:00:00" u="1"/>
        <d v="2021-07-01T00:00:00" u="1"/>
        <d v="2021-08-01T00:00:00" u="1"/>
        <d v="2021-09-01T00:00:00" u="1"/>
        <d v="2021-10-01T00:00:00" u="1"/>
        <d v="2021-11-01T00:00:00" u="1"/>
        <d v="2021-12-01T00:00:00" u="1"/>
        <d v="2022-01-01T00:00:00" u="1"/>
        <d v="2022-02-01T00:00:00" u="1"/>
        <d v="2022-03-01T00:00:00" u="1"/>
        <d v="2022-04-01T00:00:00" u="1"/>
        <d v="2022-05-01T00:00:00" u="1"/>
        <d v="2022-06-01T00:00:00" u="1"/>
        <d v="2022-07-01T00:00:00" u="1"/>
        <d v="2022-08-01T00:00:00" u="1"/>
        <d v="2022-09-01T00:00:00" u="1"/>
        <d v="2022-10-01T00:00:00" u="1"/>
        <d v="2022-11-01T00:00:00" u="1"/>
        <d v="2022-12-01T00:00:00" u="1"/>
        <d v="2023-01-01T00:00:00" u="1"/>
        <d v="2023-02-01T00:00:00" u="1"/>
        <d v="2023-03-01T00:00:00" u="1"/>
      </sharedItems>
    </cacheField>
    <cacheField name="Months (Submission Period)" numFmtId="0" databaseField="0">
      <fieldGroup base="0">
        <rangePr groupBy="months" startDate="2020-03-01T00:00:00" endDate="2023-03-02T00:00:00"/>
        <groupItems count="14">
          <s v="&lt;01/03/2020"/>
          <s v="Jan"/>
          <s v="Feb"/>
          <s v="Mar"/>
          <s v="Apr"/>
          <s v="May"/>
          <s v="Jun"/>
          <s v="Jul"/>
          <s v="Aug"/>
          <s v="Sep"/>
          <s v="Oct"/>
          <s v="Nov"/>
          <s v="Dec"/>
          <s v="&gt;02/03/2023"/>
        </groupItems>
      </fieldGroup>
    </cacheField>
    <cacheField name="Quarters (Submission Period)" numFmtId="0" databaseField="0">
      <fieldGroup base="0">
        <rangePr groupBy="quarters" startDate="2020-03-01T00:00:00" endDate="2023-03-02T00:00:00"/>
        <groupItems count="6">
          <s v="&lt;01/03/2020"/>
          <s v="Qtr1"/>
          <s v="Qtr2"/>
          <s v="Qtr3"/>
          <s v="Qtr4"/>
          <s v="&gt;02/03/2023"/>
        </groupItems>
      </fieldGroup>
    </cacheField>
    <cacheField name="Years (Submission Period)" numFmtId="0" databaseField="0">
      <fieldGroup base="0">
        <rangePr groupBy="years" startDate="2020-03-01T00:00:00" endDate="2023-03-02T00:00:00"/>
        <groupItems count="6">
          <s v="&lt;01/03/2020"/>
          <s v="2020"/>
          <s v="2021"/>
          <s v="2022"/>
          <s v="2023"/>
          <s v="&gt;02/03/2023"/>
        </groupItems>
      </fieldGroup>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40.666232291667" createdVersion="8" refreshedVersion="8" minRefreshableVersion="3" recordCount="104" xr:uid="{00000000-000A-0000-FFFF-FFFF03000000}">
  <cacheSource type="worksheet">
    <worksheetSource name="Table5"/>
  </cacheSource>
  <cacheFields count="11">
    <cacheField name="Report Month" numFmtId="0">
      <sharedItems count="52">
        <s v="Apr-19"/>
        <s v="May-19"/>
        <s v="Jun-19"/>
        <s v="Jul-19"/>
        <s v="Aug-19"/>
        <s v="Sep-19"/>
        <s v="Oct-19"/>
        <s v="Nov-19"/>
        <s v="Dec-19"/>
        <s v="Jan-20"/>
        <s v="Feb-20"/>
        <s v="Mar-20"/>
        <s v="Apr-20"/>
        <s v="May-20"/>
        <s v="Jun-20"/>
        <s v="Jul-20"/>
        <s v="Aug-20"/>
        <s v="Sep-20"/>
        <s v="Oct-20"/>
        <s v="Nov-20"/>
        <s v="Dec-20"/>
        <s v="Jan-21"/>
        <s v="Feb-21"/>
        <s v="Mar-21"/>
        <s v="Apr-21"/>
        <s v="May-21"/>
        <s v="Jun-21"/>
        <s v="Jul-21"/>
        <s v="Aug-21"/>
        <s v="Sep-21"/>
        <s v="Oct-21"/>
        <s v="Nov-21"/>
        <s v="Dec-21"/>
        <s v="Jan-22"/>
        <s v="Feb-22"/>
        <s v="Mar-22"/>
        <s v="Apr-22"/>
        <s v="May-22"/>
        <s v="Jun-22"/>
        <s v="Jul-22"/>
        <s v="Aug-22"/>
        <s v="Sep-22"/>
        <s v="Oct-22"/>
        <s v="Nov-22"/>
        <s v="Dec-22"/>
        <s v="Jan-23"/>
        <s v="Feb-23"/>
        <s v="Mar-23"/>
        <s v="Apr-23"/>
        <s v="May-23"/>
        <s v="Jun-23"/>
        <s v="Jul-23"/>
      </sharedItems>
    </cacheField>
    <cacheField name="Avail/Occupied" numFmtId="0">
      <sharedItems count="2">
        <s v="Available"/>
        <s v="Occupied"/>
      </sharedItems>
    </cacheField>
    <cacheField name="Aneurin Bevan UHB" numFmtId="0">
      <sharedItems containsSemiMixedTypes="0" containsString="0" containsNumber="1" containsInteger="1" minValue="863" maxValue="2042"/>
    </cacheField>
    <cacheField name="Betsi Cadwaladr UHB" numFmtId="0">
      <sharedItems containsSemiMixedTypes="0" containsString="0" containsNumber="1" containsInteger="1" minValue="1120" maxValue="2329"/>
    </cacheField>
    <cacheField name="Cardiff &amp; Vale UHB" numFmtId="0">
      <sharedItems containsSemiMixedTypes="0" containsString="0" containsNumber="1" containsInteger="1" minValue="941" maxValue="1993"/>
    </cacheField>
    <cacheField name="Cwm Taf Morgannwg UHB" numFmtId="0">
      <sharedItems containsSemiMixedTypes="0" containsString="0" containsNumber="1" containsInteger="1" minValue="1019" maxValue="1790"/>
    </cacheField>
    <cacheField name="Hywel Dda UHB" numFmtId="0">
      <sharedItems containsSemiMixedTypes="0" containsString="0" containsNumber="1" containsInteger="1" minValue="522" maxValue="1257"/>
    </cacheField>
    <cacheField name="Powys THB" numFmtId="0">
      <sharedItems containsSemiMixedTypes="0" containsString="0" containsNumber="1" containsInteger="1" minValue="80" maxValue="222"/>
    </cacheField>
    <cacheField name="Swansea Bay UHB" numFmtId="0">
      <sharedItems containsSemiMixedTypes="0" containsString="0" containsNumber="1" containsInteger="1" minValue="799" maxValue="1625"/>
    </cacheField>
    <cacheField name="Velindre Trust" numFmtId="0">
      <sharedItems containsSemiMixedTypes="0" containsString="0" containsNumber="1" containsInteger="1" minValue="7" maxValue="49"/>
    </cacheField>
    <cacheField name="All Wales" numFmtId="0">
      <sharedItems containsSemiMixedTypes="0" containsString="0" containsNumber="1" containsInteger="1" minValue="5369" maxValue="10762"/>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ryan Crosland" refreshedDate="45273.479101157405" createdVersion="8" refreshedVersion="8" minRefreshableVersion="3" recordCount="477" xr:uid="{00000000-000A-0000-FFFF-FFFF04000000}">
  <cacheSource type="worksheet">
    <worksheetSource ref="A1:Q478" sheet="Ref.Staff"/>
  </cacheSource>
  <cacheFields count="20">
    <cacheField name="Category" numFmtId="0">
      <sharedItems count="18">
        <s v="Allied Health Professionals"/>
        <s v="Additional Clinical Services"/>
        <s v="Healthcare Scientists"/>
        <s v="Prof Scientific &amp; Technical"/>
        <s v="Administrative, Clerical &amp; Board Members"/>
        <s v="Estates &amp; Ancillary"/>
        <s v="Nursing &amp; Midwifery Registered"/>
        <s v="Medical &amp; Dental"/>
        <s v="Students"/>
        <s v="Administrative, Clerical &amp; Board Members " u="1"/>
        <s v="Estates &amp; Ancillary " u="1"/>
        <s v="Nursing &amp; Midwifery Registered " u="1"/>
        <s v="Medical &amp; Dental " u="1"/>
        <s v="Add Prof Scientific and Technic" u="1"/>
        <s v="Administrative and Clerical" u="1"/>
        <s v="Estates and Ancillary" u="1"/>
        <s v="Nursing and Midwifery Registered" u="1"/>
        <s v="Medical and Dental" u="1"/>
      </sharedItems>
    </cacheField>
    <cacheField name="mmm-yy" numFmtId="17">
      <sharedItems count="53">
        <s v="Apr-19"/>
        <s v="May-19"/>
        <s v="Jun-19"/>
        <s v="Jul-19"/>
        <s v="Aug-19"/>
        <s v="Sep-19"/>
        <s v="Oct-19"/>
        <s v="Nov-19"/>
        <s v="Dec-19"/>
        <s v="Jan-20"/>
        <s v="Feb-20"/>
        <s v="Mar-20"/>
        <s v="Apr-20"/>
        <s v="May-20"/>
        <s v="Jun-20"/>
        <s v="Jul-20"/>
        <s v="Aug-20"/>
        <s v="Sep-20"/>
        <s v="Oct-20"/>
        <s v="Nov-20"/>
        <s v="Dec-20"/>
        <s v="Jan-21"/>
        <s v="Feb-21"/>
        <s v="Mar-21"/>
        <s v="Apr-21"/>
        <s v="May-21"/>
        <s v="Jun-21"/>
        <s v="Jul-21"/>
        <s v="Aug-21"/>
        <s v="Sep-21"/>
        <s v="Oct-21"/>
        <s v="Nov-21"/>
        <s v="Dec-21"/>
        <s v="Jan-22"/>
        <s v="Feb-22"/>
        <s v="Mar-22"/>
        <s v="Apr-22"/>
        <s v="Aug-22"/>
        <s v="Sep-22"/>
        <s v="Oct-22"/>
        <s v="Nov-22"/>
        <s v="Dec-22"/>
        <s v="Jan-23"/>
        <s v="Feb-23"/>
        <s v="Mar-23"/>
        <s v="Apr-23"/>
        <s v="May-23"/>
        <s v="Jun-23"/>
        <s v="Jul-23"/>
        <s v="Aug-23"/>
        <s v="May-22"/>
        <s v="Jun-22"/>
        <s v="Jul-22"/>
      </sharedItems>
    </cacheField>
    <cacheField name="Date" numFmtId="14">
      <sharedItems containsSemiMixedTypes="0" containsNonDate="0" containsDate="1" containsString="0" minDate="2019-04-01T00:00:00" maxDate="2023-08-02T00:00:00" count="53">
        <d v="2019-04-01T00:00:00"/>
        <d v="2019-05-01T00:00:00"/>
        <d v="2019-06-01T00:00:00"/>
        <d v="2019-07-01T00:00:00"/>
        <d v="2019-08-01T00:00:00"/>
        <d v="2019-09-01T00:00:00"/>
        <d v="2019-10-01T00:00:00"/>
        <d v="2019-11-01T00:00:00"/>
        <d v="2019-12-01T00:00:00"/>
        <d v="2020-01-01T00:00:00"/>
        <d v="2020-02-01T00:00:00"/>
        <d v="2020-03-01T00:00:00"/>
        <d v="2020-04-01T00:00:00"/>
        <d v="2020-05-01T00:00:00"/>
        <d v="2020-06-01T00:00:00"/>
        <d v="2020-07-01T00:00:00"/>
        <d v="2020-08-01T00:00:00"/>
        <d v="2020-09-01T00:00:00"/>
        <d v="2020-10-01T00:00:00"/>
        <d v="2020-11-01T00:00:00"/>
        <d v="2020-12-01T00:00:00"/>
        <d v="2021-01-01T00:00:00"/>
        <d v="2021-02-01T00:00:00"/>
        <d v="2021-03-01T00:00:00"/>
        <d v="2021-04-01T00:00:00"/>
        <d v="2021-05-01T00:00:00"/>
        <d v="2021-06-01T00:00:00"/>
        <d v="2021-07-01T00:00:00"/>
        <d v="2021-08-01T00:00:00"/>
        <d v="2021-09-01T00:00:00"/>
        <d v="2021-10-01T00:00:00"/>
        <d v="2021-11-01T00:00:00"/>
        <d v="2021-12-01T00:00:00"/>
        <d v="2022-01-01T00:00:00"/>
        <d v="2022-02-01T00:00:00"/>
        <d v="2022-03-01T00:00:00"/>
        <d v="2022-04-01T00:00:00"/>
        <d v="2022-08-01T00:00:00"/>
        <d v="2022-09-01T00:00:00"/>
        <d v="2022-10-01T00:00:00"/>
        <d v="2022-11-01T00:00:00"/>
        <d v="2022-12-01T00:00:00"/>
        <d v="2023-01-01T00:00:00"/>
        <d v="2023-02-01T00:00:00"/>
        <d v="2023-03-01T00:00:00"/>
        <d v="2023-04-01T00:00:00"/>
        <d v="2023-05-01T00:00:00"/>
        <d v="2023-06-01T00:00:00"/>
        <d v="2023-07-01T00:00:00"/>
        <d v="2023-08-01T00:00:00"/>
        <d v="2022-05-01T00:00:00"/>
        <d v="2022-06-01T00:00:00"/>
        <d v="2022-07-01T00:00:00"/>
      </sharedItems>
      <fieldGroup par="19"/>
    </cacheField>
    <cacheField name="NHS Wales" numFmtId="0">
      <sharedItems containsSemiMixedTypes="0" containsString="0" containsNumber="1" minValue="57.52664" maxValue="25098.388049999998"/>
    </cacheField>
    <cacheField name="Aneurin Bevan UHB" numFmtId="0">
      <sharedItems containsSemiMixedTypes="0" containsString="0" containsNumber="1" minValue="1" maxValue="3830.5050299999998"/>
    </cacheField>
    <cacheField name="Betsi Cadwaladr UHB" numFmtId="0">
      <sharedItems containsSemiMixedTypes="0" containsString="0" containsNumber="1" minValue="14.5" maxValue="5424.2373900000002"/>
    </cacheField>
    <cacheField name="Cardiff &amp; Vale UHB" numFmtId="0">
      <sharedItems containsSemiMixedTypes="0" containsString="0" containsNumber="1" minValue="22.066649999999999" maxValue="4477.1110099999996"/>
    </cacheField>
    <cacheField name="Cwm Taf Morgannwg UHB" numFmtId="0">
      <sharedItems containsSemiMixedTypes="0" containsString="0" containsNumber="1" minValue="3.6266600000000002" maxValue="3651.93415"/>
    </cacheField>
    <cacheField name="Hywel Dda UHB" numFmtId="0">
      <sharedItems containsSemiMixedTypes="0" containsString="0" containsNumber="1" minValue="0" maxValue="2983.3835600000002"/>
    </cacheField>
    <cacheField name="Swansea Bay UHB" numFmtId="0">
      <sharedItems containsSemiMixedTypes="0" containsString="0" containsNumber="1" minValue="0" maxValue="3824.66347"/>
    </cacheField>
    <cacheField name="Powys Teaching LHB" numFmtId="0">
      <sharedItems containsSemiMixedTypes="0" containsString="0" containsNumber="1" minValue="0" maxValue="700.71559000000002"/>
    </cacheField>
    <cacheField name="Public Health Wales Trust" numFmtId="0">
      <sharedItems containsSemiMixedTypes="0" containsString="0" containsNumber="1" minValue="0" maxValue="1199.7486699999999"/>
    </cacheField>
    <cacheField name="Velindre UT" numFmtId="0">
      <sharedItems containsSemiMixedTypes="0" containsString="0" containsNumber="1" minValue="0" maxValue="2716.30764"/>
    </cacheField>
    <cacheField name="WAST" numFmtId="0">
      <sharedItems containsSemiMixedTypes="0" containsString="0" containsNumber="1" minValue="0" maxValue="2152.23587"/>
    </cacheField>
    <cacheField name="HEIW" numFmtId="0">
      <sharedItems containsString="0" containsBlank="1" containsNumber="1" minValue="0" maxValue="323.0247500000001"/>
    </cacheField>
    <cacheField name="DHCW" numFmtId="0">
      <sharedItems containsString="0" containsBlank="1" containsNumber="1" minValue="0" maxValue="1121.4000000000001"/>
    </cacheField>
    <cacheField name="NWSSP" numFmtId="0">
      <sharedItems containsString="0" containsBlank="1" containsNumber="1" minValue="0" maxValue="3303.3125"/>
    </cacheField>
    <cacheField name="Months (Date)" numFmtId="0" databaseField="0">
      <fieldGroup base="2">
        <rangePr groupBy="months" startDate="2019-04-01T00:00:00" endDate="2023-08-02T00:00:00"/>
        <groupItems count="14">
          <s v="&lt;01/04/2019"/>
          <s v="Jan"/>
          <s v="Feb"/>
          <s v="Mar"/>
          <s v="Apr"/>
          <s v="May"/>
          <s v="Jun"/>
          <s v="Jul"/>
          <s v="Aug"/>
          <s v="Sep"/>
          <s v="Oct"/>
          <s v="Nov"/>
          <s v="Dec"/>
          <s v="&gt;02/08/2023"/>
        </groupItems>
      </fieldGroup>
    </cacheField>
    <cacheField name="Quarters (Date)" numFmtId="0" databaseField="0">
      <fieldGroup base="2">
        <rangePr groupBy="quarters" startDate="2019-04-01T00:00:00" endDate="2023-08-02T00:00:00"/>
        <groupItems count="6">
          <s v="&lt;01/04/2019"/>
          <s v="Qtr1"/>
          <s v="Qtr2"/>
          <s v="Qtr3"/>
          <s v="Qtr4"/>
          <s v="&gt;02/08/2023"/>
        </groupItems>
      </fieldGroup>
    </cacheField>
    <cacheField name="Years (Date)" numFmtId="0" databaseField="0">
      <fieldGroup base="2">
        <rangePr groupBy="years" startDate="2019-04-01T00:00:00" endDate="2023-08-02T00:00:00"/>
        <groupItems count="7">
          <s v="&lt;01/04/2019"/>
          <s v="2019"/>
          <s v="2020"/>
          <s v="2021"/>
          <s v="2022"/>
          <s v="2023"/>
          <s v="&gt;02/08/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14">
  <r>
    <x v="0"/>
    <x v="0"/>
    <n v="10"/>
    <x v="0"/>
    <d v="2023-09-01T00:00:00"/>
    <n v="59888"/>
    <x v="0"/>
  </r>
  <r>
    <x v="0"/>
    <x v="0"/>
    <n v="10"/>
    <x v="0"/>
    <d v="2023-09-01T00:00:00"/>
    <n v="62050"/>
    <x v="1"/>
  </r>
  <r>
    <x v="0"/>
    <x v="0"/>
    <n v="10"/>
    <x v="0"/>
    <d v="2023-09-01T00:00:00"/>
    <n v="73082"/>
    <x v="2"/>
  </r>
  <r>
    <x v="0"/>
    <x v="0"/>
    <n v="10"/>
    <x v="0"/>
    <d v="2023-09-01T00:00:00"/>
    <n v="69139"/>
    <x v="3"/>
  </r>
  <r>
    <x v="0"/>
    <x v="0"/>
    <n v="10"/>
    <x v="0"/>
    <d v="2023-09-01T00:00:00"/>
    <n v="63642"/>
    <x v="4"/>
  </r>
  <r>
    <x v="0"/>
    <x v="0"/>
    <n v="10"/>
    <x v="0"/>
    <d v="2023-09-01T00:00:00"/>
    <n v="61747"/>
    <x v="5"/>
  </r>
  <r>
    <x v="0"/>
    <x v="0"/>
    <n v="10"/>
    <x v="0"/>
    <d v="2023-09-01T00:00:00"/>
    <n v="63796"/>
    <x v="6"/>
  </r>
  <r>
    <x v="0"/>
    <x v="0"/>
    <n v="10"/>
    <x v="0"/>
    <d v="2023-09-01T00:00:00"/>
    <n v="63430.8"/>
    <x v="7"/>
  </r>
  <r>
    <x v="0"/>
    <x v="0"/>
    <n v="10"/>
    <x v="0"/>
    <d v="2023-09-01T00:00:00"/>
    <n v="63340.800000000003"/>
    <x v="8"/>
  </r>
  <r>
    <x v="0"/>
    <x v="0"/>
    <n v="10"/>
    <x v="0"/>
    <d v="2023-09-01T00:00:00"/>
    <n v="63657.599999999999"/>
    <x v="9"/>
  </r>
  <r>
    <x v="0"/>
    <x v="0"/>
    <n v="10"/>
    <x v="0"/>
    <d v="2023-09-01T00:00:00"/>
    <n v="65946.600000000006"/>
    <x v="10"/>
  </r>
  <r>
    <x v="0"/>
    <x v="0"/>
    <n v="10"/>
    <x v="0"/>
    <d v="2023-09-01T00:00:00"/>
    <n v="63973.599999999999"/>
    <x v="11"/>
  </r>
  <r>
    <x v="0"/>
    <x v="0"/>
    <n v="10"/>
    <x v="0"/>
    <d v="2023-09-01T00:00:00"/>
    <n v="773693.4"/>
    <x v="12"/>
  </r>
  <r>
    <x v="0"/>
    <x v="0"/>
    <n v="11"/>
    <x v="1"/>
    <d v="2023-09-01T00:00:00"/>
    <n v="12972"/>
    <x v="0"/>
  </r>
  <r>
    <x v="0"/>
    <x v="0"/>
    <n v="11"/>
    <x v="1"/>
    <d v="2023-09-01T00:00:00"/>
    <n v="12216"/>
    <x v="1"/>
  </r>
  <r>
    <x v="0"/>
    <x v="0"/>
    <n v="11"/>
    <x v="1"/>
    <d v="2023-09-01T00:00:00"/>
    <n v="13471"/>
    <x v="2"/>
  </r>
  <r>
    <x v="0"/>
    <x v="0"/>
    <n v="11"/>
    <x v="1"/>
    <d v="2023-09-01T00:00:00"/>
    <n v="11188"/>
    <x v="3"/>
  </r>
  <r>
    <x v="0"/>
    <x v="0"/>
    <n v="11"/>
    <x v="1"/>
    <d v="2023-09-01T00:00:00"/>
    <n v="13091"/>
    <x v="4"/>
  </r>
  <r>
    <x v="0"/>
    <x v="0"/>
    <n v="11"/>
    <x v="1"/>
    <d v="2023-09-01T00:00:00"/>
    <n v="12022"/>
    <x v="5"/>
  </r>
  <r>
    <x v="0"/>
    <x v="0"/>
    <n v="11"/>
    <x v="1"/>
    <d v="2023-09-01T00:00:00"/>
    <n v="12214"/>
    <x v="6"/>
  </r>
  <r>
    <x v="0"/>
    <x v="0"/>
    <n v="11"/>
    <x v="1"/>
    <d v="2023-09-01T00:00:00"/>
    <n v="12247"/>
    <x v="7"/>
  </r>
  <r>
    <x v="0"/>
    <x v="0"/>
    <n v="11"/>
    <x v="1"/>
    <d v="2023-09-01T00:00:00"/>
    <n v="12347"/>
    <x v="8"/>
  </r>
  <r>
    <x v="0"/>
    <x v="0"/>
    <n v="11"/>
    <x v="1"/>
    <d v="2023-09-01T00:00:00"/>
    <n v="12497"/>
    <x v="9"/>
  </r>
  <r>
    <x v="0"/>
    <x v="0"/>
    <n v="11"/>
    <x v="1"/>
    <d v="2023-09-01T00:00:00"/>
    <n v="12447"/>
    <x v="10"/>
  </r>
  <r>
    <x v="0"/>
    <x v="0"/>
    <n v="11"/>
    <x v="1"/>
    <d v="2023-09-01T00:00:00"/>
    <n v="13933"/>
    <x v="11"/>
  </r>
  <r>
    <x v="0"/>
    <x v="0"/>
    <n v="11"/>
    <x v="1"/>
    <d v="2023-09-01T00:00:00"/>
    <n v="150645"/>
    <x v="12"/>
  </r>
  <r>
    <x v="0"/>
    <x v="0"/>
    <n v="12"/>
    <x v="2"/>
    <d v="2023-09-01T00:00:00"/>
    <n v="4901"/>
    <x v="0"/>
  </r>
  <r>
    <x v="0"/>
    <x v="0"/>
    <n v="12"/>
    <x v="2"/>
    <d v="2023-09-01T00:00:00"/>
    <n v="4918"/>
    <x v="1"/>
  </r>
  <r>
    <x v="0"/>
    <x v="0"/>
    <n v="12"/>
    <x v="2"/>
    <d v="2023-09-01T00:00:00"/>
    <n v="4279"/>
    <x v="2"/>
  </r>
  <r>
    <x v="0"/>
    <x v="0"/>
    <n v="12"/>
    <x v="2"/>
    <d v="2023-09-01T00:00:00"/>
    <n v="6584"/>
    <x v="3"/>
  </r>
  <r>
    <x v="0"/>
    <x v="0"/>
    <n v="12"/>
    <x v="2"/>
    <d v="2023-09-01T00:00:00"/>
    <n v="4703"/>
    <x v="4"/>
  </r>
  <r>
    <x v="0"/>
    <x v="0"/>
    <n v="12"/>
    <x v="2"/>
    <d v="2023-09-01T00:00:00"/>
    <n v="4733"/>
    <x v="5"/>
  </r>
  <r>
    <x v="0"/>
    <x v="0"/>
    <n v="12"/>
    <x v="2"/>
    <d v="2023-09-01T00:00:00"/>
    <n v="5100"/>
    <x v="6"/>
  </r>
  <r>
    <x v="0"/>
    <x v="0"/>
    <n v="12"/>
    <x v="2"/>
    <d v="2023-09-01T00:00:00"/>
    <n v="5100"/>
    <x v="7"/>
  </r>
  <r>
    <x v="0"/>
    <x v="0"/>
    <n v="12"/>
    <x v="2"/>
    <d v="2023-09-01T00:00:00"/>
    <n v="5100"/>
    <x v="8"/>
  </r>
  <r>
    <x v="0"/>
    <x v="0"/>
    <n v="12"/>
    <x v="2"/>
    <d v="2023-09-01T00:00:00"/>
    <n v="5100"/>
    <x v="9"/>
  </r>
  <r>
    <x v="0"/>
    <x v="0"/>
    <n v="12"/>
    <x v="2"/>
    <d v="2023-09-01T00:00:00"/>
    <n v="5100"/>
    <x v="10"/>
  </r>
  <r>
    <x v="0"/>
    <x v="0"/>
    <n v="12"/>
    <x v="2"/>
    <d v="2023-09-01T00:00:00"/>
    <n v="5012"/>
    <x v="11"/>
  </r>
  <r>
    <x v="0"/>
    <x v="0"/>
    <n v="12"/>
    <x v="2"/>
    <d v="2023-09-01T00:00:00"/>
    <n v="60630"/>
    <x v="12"/>
  </r>
  <r>
    <x v="0"/>
    <x v="0"/>
    <n v="1"/>
    <x v="3"/>
    <d v="2023-09-01T00:00:00"/>
    <n v="126659"/>
    <x v="0"/>
  </r>
  <r>
    <x v="0"/>
    <x v="0"/>
    <n v="1"/>
    <x v="3"/>
    <d v="2023-09-01T00:00:00"/>
    <n v="121997"/>
    <x v="1"/>
  </r>
  <r>
    <x v="0"/>
    <x v="0"/>
    <n v="1"/>
    <x v="3"/>
    <d v="2023-09-01T00:00:00"/>
    <n v="141139"/>
    <x v="2"/>
  </r>
  <r>
    <x v="0"/>
    <x v="0"/>
    <n v="1"/>
    <x v="3"/>
    <d v="2023-09-01T00:00:00"/>
    <n v="136897"/>
    <x v="3"/>
  </r>
  <r>
    <x v="0"/>
    <x v="0"/>
    <n v="1"/>
    <x v="3"/>
    <d v="2023-09-01T00:00:00"/>
    <n v="132781"/>
    <x v="4"/>
  </r>
  <r>
    <x v="0"/>
    <x v="0"/>
    <n v="1"/>
    <x v="3"/>
    <d v="2023-09-01T00:00:00"/>
    <n v="129001"/>
    <x v="5"/>
  </r>
  <r>
    <x v="0"/>
    <x v="0"/>
    <n v="1"/>
    <x v="3"/>
    <d v="2023-09-01T00:00:00"/>
    <n v="133293.72222222199"/>
    <x v="6"/>
  </r>
  <r>
    <x v="0"/>
    <x v="0"/>
    <n v="1"/>
    <x v="3"/>
    <d v="2023-09-01T00:00:00"/>
    <n v="133043.72222222199"/>
    <x v="7"/>
  </r>
  <r>
    <x v="0"/>
    <x v="0"/>
    <n v="1"/>
    <x v="3"/>
    <d v="2023-09-01T00:00:00"/>
    <n v="150505.72222222199"/>
    <x v="8"/>
  </r>
  <r>
    <x v="0"/>
    <x v="0"/>
    <n v="1"/>
    <x v="3"/>
    <d v="2023-09-01T00:00:00"/>
    <n v="133693.72222222199"/>
    <x v="9"/>
  </r>
  <r>
    <x v="0"/>
    <x v="0"/>
    <n v="1"/>
    <x v="3"/>
    <d v="2023-09-01T00:00:00"/>
    <n v="136793.72222222199"/>
    <x v="10"/>
  </r>
  <r>
    <x v="0"/>
    <x v="0"/>
    <n v="1"/>
    <x v="3"/>
    <d v="2023-09-01T00:00:00"/>
    <n v="141340.72222222199"/>
    <x v="11"/>
  </r>
  <r>
    <x v="0"/>
    <x v="0"/>
    <n v="1"/>
    <x v="3"/>
    <d v="2023-09-01T00:00:00"/>
    <n v="1617145.33333333"/>
    <x v="12"/>
  </r>
  <r>
    <x v="0"/>
    <x v="0"/>
    <n v="2"/>
    <x v="4"/>
    <d v="2023-09-01T00:00:00"/>
    <n v="0"/>
    <x v="0"/>
  </r>
  <r>
    <x v="0"/>
    <x v="0"/>
    <n v="2"/>
    <x v="4"/>
    <d v="2023-09-01T00:00:00"/>
    <n v="0"/>
    <x v="1"/>
  </r>
  <r>
    <x v="0"/>
    <x v="0"/>
    <n v="2"/>
    <x v="4"/>
    <d v="2023-09-01T00:00:00"/>
    <n v="41.7"/>
    <x v="2"/>
  </r>
  <r>
    <x v="0"/>
    <x v="0"/>
    <n v="2"/>
    <x v="4"/>
    <d v="2023-09-01T00:00:00"/>
    <n v="0"/>
    <x v="3"/>
  </r>
  <r>
    <x v="0"/>
    <x v="0"/>
    <n v="2"/>
    <x v="4"/>
    <d v="2023-09-01T00:00:00"/>
    <n v="0"/>
    <x v="4"/>
  </r>
  <r>
    <x v="0"/>
    <x v="0"/>
    <n v="2"/>
    <x v="4"/>
    <d v="2023-09-01T00:00:00"/>
    <n v="60"/>
    <x v="5"/>
  </r>
  <r>
    <x v="0"/>
    <x v="0"/>
    <n v="2"/>
    <x v="4"/>
    <d v="2023-09-01T00:00:00"/>
    <n v="0"/>
    <x v="6"/>
  </r>
  <r>
    <x v="0"/>
    <x v="0"/>
    <n v="2"/>
    <x v="4"/>
    <d v="2023-09-01T00:00:00"/>
    <n v="0"/>
    <x v="7"/>
  </r>
  <r>
    <x v="0"/>
    <x v="0"/>
    <n v="2"/>
    <x v="4"/>
    <d v="2023-09-01T00:00:00"/>
    <n v="35"/>
    <x v="8"/>
  </r>
  <r>
    <x v="0"/>
    <x v="0"/>
    <n v="2"/>
    <x v="4"/>
    <d v="2023-09-01T00:00:00"/>
    <n v="0"/>
    <x v="9"/>
  </r>
  <r>
    <x v="0"/>
    <x v="0"/>
    <n v="2"/>
    <x v="4"/>
    <d v="2023-09-01T00:00:00"/>
    <n v="0"/>
    <x v="10"/>
  </r>
  <r>
    <x v="0"/>
    <x v="0"/>
    <n v="2"/>
    <x v="4"/>
    <d v="2023-09-01T00:00:00"/>
    <n v="113.3"/>
    <x v="11"/>
  </r>
  <r>
    <x v="0"/>
    <x v="0"/>
    <n v="2"/>
    <x v="4"/>
    <d v="2023-09-01T00:00:00"/>
    <n v="250"/>
    <x v="12"/>
  </r>
  <r>
    <x v="0"/>
    <x v="0"/>
    <n v="3"/>
    <x v="5"/>
    <d v="2023-09-01T00:00:00"/>
    <n v="1837"/>
    <x v="0"/>
  </r>
  <r>
    <x v="0"/>
    <x v="0"/>
    <n v="3"/>
    <x v="5"/>
    <d v="2023-09-01T00:00:00"/>
    <n v="1739"/>
    <x v="1"/>
  </r>
  <r>
    <x v="0"/>
    <x v="0"/>
    <n v="3"/>
    <x v="5"/>
    <d v="2023-09-01T00:00:00"/>
    <n v="1891"/>
    <x v="2"/>
  </r>
  <r>
    <x v="0"/>
    <x v="0"/>
    <n v="3"/>
    <x v="5"/>
    <d v="2023-09-01T00:00:00"/>
    <n v="2043"/>
    <x v="3"/>
  </r>
  <r>
    <x v="0"/>
    <x v="0"/>
    <n v="3"/>
    <x v="5"/>
    <d v="2023-09-01T00:00:00"/>
    <n v="1912"/>
    <x v="4"/>
  </r>
  <r>
    <x v="0"/>
    <x v="0"/>
    <n v="3"/>
    <x v="5"/>
    <d v="2023-09-01T00:00:00"/>
    <n v="1844"/>
    <x v="5"/>
  </r>
  <r>
    <x v="0"/>
    <x v="0"/>
    <n v="3"/>
    <x v="5"/>
    <d v="2023-09-01T00:00:00"/>
    <n v="1958.75"/>
    <x v="6"/>
  </r>
  <r>
    <x v="0"/>
    <x v="0"/>
    <n v="3"/>
    <x v="5"/>
    <d v="2023-09-01T00:00:00"/>
    <n v="1958.75"/>
    <x v="7"/>
  </r>
  <r>
    <x v="0"/>
    <x v="0"/>
    <n v="3"/>
    <x v="5"/>
    <d v="2023-09-01T00:00:00"/>
    <n v="1958.75"/>
    <x v="8"/>
  </r>
  <r>
    <x v="0"/>
    <x v="0"/>
    <n v="3"/>
    <x v="5"/>
    <d v="2023-09-01T00:00:00"/>
    <n v="1958.75"/>
    <x v="9"/>
  </r>
  <r>
    <x v="0"/>
    <x v="0"/>
    <n v="3"/>
    <x v="5"/>
    <d v="2023-09-01T00:00:00"/>
    <n v="1958.75"/>
    <x v="10"/>
  </r>
  <r>
    <x v="0"/>
    <x v="0"/>
    <n v="3"/>
    <x v="5"/>
    <d v="2023-09-01T00:00:00"/>
    <n v="1958.75"/>
    <x v="11"/>
  </r>
  <r>
    <x v="0"/>
    <x v="0"/>
    <n v="3"/>
    <x v="5"/>
    <d v="2023-09-01T00:00:00"/>
    <n v="23018.5"/>
    <x v="12"/>
  </r>
  <r>
    <x v="0"/>
    <x v="0"/>
    <n v="4"/>
    <x v="6"/>
    <d v="2023-09-01T00:00:00"/>
    <n v="896"/>
    <x v="0"/>
  </r>
  <r>
    <x v="0"/>
    <x v="0"/>
    <n v="4"/>
    <x v="6"/>
    <d v="2023-09-01T00:00:00"/>
    <n v="896"/>
    <x v="1"/>
  </r>
  <r>
    <x v="0"/>
    <x v="0"/>
    <n v="4"/>
    <x v="6"/>
    <d v="2023-09-01T00:00:00"/>
    <n v="859"/>
    <x v="2"/>
  </r>
  <r>
    <x v="0"/>
    <x v="0"/>
    <n v="4"/>
    <x v="6"/>
    <d v="2023-09-01T00:00:00"/>
    <n v="1046"/>
    <x v="3"/>
  </r>
  <r>
    <x v="0"/>
    <x v="0"/>
    <n v="4"/>
    <x v="6"/>
    <d v="2023-09-01T00:00:00"/>
    <n v="933"/>
    <x v="4"/>
  </r>
  <r>
    <x v="0"/>
    <x v="0"/>
    <n v="4"/>
    <x v="6"/>
    <d v="2023-09-01T00:00:00"/>
    <n v="862"/>
    <x v="5"/>
  </r>
  <r>
    <x v="0"/>
    <x v="0"/>
    <n v="4"/>
    <x v="6"/>
    <d v="2023-09-01T00:00:00"/>
    <n v="914.25"/>
    <x v="6"/>
  </r>
  <r>
    <x v="0"/>
    <x v="0"/>
    <n v="4"/>
    <x v="6"/>
    <d v="2023-09-01T00:00:00"/>
    <n v="914.25"/>
    <x v="7"/>
  </r>
  <r>
    <x v="0"/>
    <x v="0"/>
    <n v="4"/>
    <x v="6"/>
    <d v="2023-09-01T00:00:00"/>
    <n v="914.25"/>
    <x v="8"/>
  </r>
  <r>
    <x v="0"/>
    <x v="0"/>
    <n v="4"/>
    <x v="6"/>
    <d v="2023-09-01T00:00:00"/>
    <n v="914.25"/>
    <x v="9"/>
  </r>
  <r>
    <x v="0"/>
    <x v="0"/>
    <n v="4"/>
    <x v="6"/>
    <d v="2023-09-01T00:00:00"/>
    <n v="914.25"/>
    <x v="10"/>
  </r>
  <r>
    <x v="0"/>
    <x v="0"/>
    <n v="4"/>
    <x v="6"/>
    <d v="2023-09-01T00:00:00"/>
    <n v="914.25"/>
    <x v="11"/>
  </r>
  <r>
    <x v="0"/>
    <x v="0"/>
    <n v="4"/>
    <x v="6"/>
    <d v="2023-09-01T00:00:00"/>
    <n v="10977.5"/>
    <x v="12"/>
  </r>
  <r>
    <x v="0"/>
    <x v="0"/>
    <n v="5"/>
    <x v="7"/>
    <d v="2023-09-01T00:00:00"/>
    <n v="-369"/>
    <x v="0"/>
  </r>
  <r>
    <x v="0"/>
    <x v="0"/>
    <n v="5"/>
    <x v="7"/>
    <d v="2023-09-01T00:00:00"/>
    <n v="419"/>
    <x v="1"/>
  </r>
  <r>
    <x v="0"/>
    <x v="0"/>
    <n v="5"/>
    <x v="7"/>
    <d v="2023-09-01T00:00:00"/>
    <n v="491"/>
    <x v="2"/>
  </r>
  <r>
    <x v="0"/>
    <x v="0"/>
    <n v="5"/>
    <x v="7"/>
    <d v="2023-09-01T00:00:00"/>
    <n v="372"/>
    <x v="3"/>
  </r>
  <r>
    <x v="0"/>
    <x v="0"/>
    <n v="5"/>
    <x v="7"/>
    <d v="2023-09-01T00:00:00"/>
    <n v="103"/>
    <x v="4"/>
  </r>
  <r>
    <x v="0"/>
    <x v="0"/>
    <n v="5"/>
    <x v="7"/>
    <d v="2023-09-01T00:00:00"/>
    <n v="286"/>
    <x v="5"/>
  </r>
  <r>
    <x v="0"/>
    <x v="0"/>
    <n v="5"/>
    <x v="7"/>
    <d v="2023-09-01T00:00:00"/>
    <n v="217"/>
    <x v="6"/>
  </r>
  <r>
    <x v="0"/>
    <x v="0"/>
    <n v="5"/>
    <x v="7"/>
    <d v="2023-09-01T00:00:00"/>
    <n v="217"/>
    <x v="7"/>
  </r>
  <r>
    <x v="0"/>
    <x v="0"/>
    <n v="5"/>
    <x v="7"/>
    <d v="2023-09-01T00:00:00"/>
    <n v="217"/>
    <x v="8"/>
  </r>
  <r>
    <x v="0"/>
    <x v="0"/>
    <n v="5"/>
    <x v="7"/>
    <d v="2023-09-01T00:00:00"/>
    <n v="217"/>
    <x v="9"/>
  </r>
  <r>
    <x v="0"/>
    <x v="0"/>
    <n v="5"/>
    <x v="7"/>
    <d v="2023-09-01T00:00:00"/>
    <n v="217"/>
    <x v="10"/>
  </r>
  <r>
    <x v="0"/>
    <x v="0"/>
    <n v="5"/>
    <x v="7"/>
    <d v="2023-09-01T00:00:00"/>
    <n v="7217"/>
    <x v="11"/>
  </r>
  <r>
    <x v="0"/>
    <x v="0"/>
    <n v="5"/>
    <x v="7"/>
    <d v="2023-09-01T00:00:00"/>
    <n v="9604"/>
    <x v="12"/>
  </r>
  <r>
    <x v="0"/>
    <x v="0"/>
    <n v="6"/>
    <x v="8"/>
    <d v="2023-09-01T00:00:00"/>
    <n v="5070"/>
    <x v="0"/>
  </r>
  <r>
    <x v="0"/>
    <x v="0"/>
    <n v="6"/>
    <x v="8"/>
    <d v="2023-09-01T00:00:00"/>
    <n v="5044"/>
    <x v="1"/>
  </r>
  <r>
    <x v="0"/>
    <x v="0"/>
    <n v="6"/>
    <x v="8"/>
    <d v="2023-09-01T00:00:00"/>
    <n v="5588"/>
    <x v="2"/>
  </r>
  <r>
    <x v="0"/>
    <x v="0"/>
    <n v="6"/>
    <x v="8"/>
    <d v="2023-09-01T00:00:00"/>
    <n v="5737"/>
    <x v="3"/>
  </r>
  <r>
    <x v="0"/>
    <x v="0"/>
    <n v="6"/>
    <x v="8"/>
    <d v="2023-09-01T00:00:00"/>
    <n v="5395.5"/>
    <x v="4"/>
  </r>
  <r>
    <x v="0"/>
    <x v="0"/>
    <n v="6"/>
    <x v="8"/>
    <d v="2023-09-01T00:00:00"/>
    <n v="5393"/>
    <x v="5"/>
  </r>
  <r>
    <x v="0"/>
    <x v="0"/>
    <n v="6"/>
    <x v="8"/>
    <d v="2023-09-01T00:00:00"/>
    <n v="5350"/>
    <x v="6"/>
  </r>
  <r>
    <x v="0"/>
    <x v="0"/>
    <n v="6"/>
    <x v="8"/>
    <d v="2023-09-01T00:00:00"/>
    <n v="5350"/>
    <x v="7"/>
  </r>
  <r>
    <x v="0"/>
    <x v="0"/>
    <n v="6"/>
    <x v="8"/>
    <d v="2023-09-01T00:00:00"/>
    <n v="5350"/>
    <x v="8"/>
  </r>
  <r>
    <x v="0"/>
    <x v="0"/>
    <n v="6"/>
    <x v="8"/>
    <d v="2023-09-01T00:00:00"/>
    <n v="5350"/>
    <x v="9"/>
  </r>
  <r>
    <x v="0"/>
    <x v="0"/>
    <n v="6"/>
    <x v="8"/>
    <d v="2023-09-01T00:00:00"/>
    <n v="5350"/>
    <x v="10"/>
  </r>
  <r>
    <x v="0"/>
    <x v="0"/>
    <n v="6"/>
    <x v="8"/>
    <d v="2023-09-01T00:00:00"/>
    <n v="5350"/>
    <x v="11"/>
  </r>
  <r>
    <x v="0"/>
    <x v="0"/>
    <n v="6"/>
    <x v="8"/>
    <d v="2023-09-01T00:00:00"/>
    <n v="64327.5"/>
    <x v="12"/>
  </r>
  <r>
    <x v="0"/>
    <x v="0"/>
    <n v="7"/>
    <x v="9"/>
    <d v="2023-09-01T00:00:00"/>
    <n v="134093"/>
    <x v="0"/>
  </r>
  <r>
    <x v="0"/>
    <x v="0"/>
    <n v="7"/>
    <x v="9"/>
    <d v="2023-09-01T00:00:00"/>
    <n v="130095"/>
    <x v="1"/>
  </r>
  <r>
    <x v="0"/>
    <x v="0"/>
    <n v="7"/>
    <x v="9"/>
    <d v="2023-09-01T00:00:00"/>
    <n v="150009.70000000001"/>
    <x v="2"/>
  </r>
  <r>
    <x v="0"/>
    <x v="0"/>
    <n v="7"/>
    <x v="9"/>
    <d v="2023-09-01T00:00:00"/>
    <n v="146095"/>
    <x v="3"/>
  </r>
  <r>
    <x v="0"/>
    <x v="0"/>
    <n v="7"/>
    <x v="9"/>
    <d v="2023-09-01T00:00:00"/>
    <n v="141124.5"/>
    <x v="4"/>
  </r>
  <r>
    <x v="0"/>
    <x v="0"/>
    <n v="7"/>
    <x v="9"/>
    <d v="2023-09-01T00:00:00"/>
    <n v="137446"/>
    <x v="5"/>
  </r>
  <r>
    <x v="0"/>
    <x v="0"/>
    <n v="7"/>
    <x v="9"/>
    <d v="2023-09-01T00:00:00"/>
    <n v="141733.72222222199"/>
    <x v="6"/>
  </r>
  <r>
    <x v="0"/>
    <x v="0"/>
    <n v="7"/>
    <x v="9"/>
    <d v="2023-09-01T00:00:00"/>
    <n v="141483.72222222199"/>
    <x v="7"/>
  </r>
  <r>
    <x v="0"/>
    <x v="0"/>
    <n v="7"/>
    <x v="9"/>
    <d v="2023-09-01T00:00:00"/>
    <n v="158980.72222222199"/>
    <x v="8"/>
  </r>
  <r>
    <x v="0"/>
    <x v="0"/>
    <n v="7"/>
    <x v="9"/>
    <d v="2023-09-01T00:00:00"/>
    <n v="142133.72222222199"/>
    <x v="9"/>
  </r>
  <r>
    <x v="0"/>
    <x v="0"/>
    <n v="7"/>
    <x v="9"/>
    <d v="2023-09-01T00:00:00"/>
    <n v="145233.72222222199"/>
    <x v="10"/>
  </r>
  <r>
    <x v="0"/>
    <x v="0"/>
    <n v="7"/>
    <x v="9"/>
    <d v="2023-09-01T00:00:00"/>
    <n v="156894.022222222"/>
    <x v="11"/>
  </r>
  <r>
    <x v="0"/>
    <x v="0"/>
    <n v="7"/>
    <x v="9"/>
    <d v="2023-09-01T00:00:00"/>
    <n v="1725322.83333333"/>
    <x v="12"/>
  </r>
  <r>
    <x v="0"/>
    <x v="0"/>
    <n v="9"/>
    <x v="10"/>
    <d v="2023-09-01T00:00:00"/>
    <n v="9911"/>
    <x v="0"/>
  </r>
  <r>
    <x v="0"/>
    <x v="0"/>
    <n v="9"/>
    <x v="10"/>
    <d v="2023-09-01T00:00:00"/>
    <n v="10119"/>
    <x v="1"/>
  </r>
  <r>
    <x v="0"/>
    <x v="0"/>
    <n v="9"/>
    <x v="10"/>
    <d v="2023-09-01T00:00:00"/>
    <n v="10175"/>
    <x v="2"/>
  </r>
  <r>
    <x v="0"/>
    <x v="0"/>
    <n v="9"/>
    <x v="10"/>
    <d v="2023-09-01T00:00:00"/>
    <n v="10159"/>
    <x v="3"/>
  </r>
  <r>
    <x v="0"/>
    <x v="0"/>
    <n v="9"/>
    <x v="10"/>
    <d v="2023-09-01T00:00:00"/>
    <n v="10594"/>
    <x v="4"/>
  </r>
  <r>
    <x v="0"/>
    <x v="0"/>
    <n v="9"/>
    <x v="10"/>
    <d v="2023-09-01T00:00:00"/>
    <n v="10421"/>
    <x v="5"/>
  </r>
  <r>
    <x v="0"/>
    <x v="0"/>
    <n v="9"/>
    <x v="10"/>
    <d v="2023-09-01T00:00:00"/>
    <n v="10231.096244869101"/>
    <x v="6"/>
  </r>
  <r>
    <x v="0"/>
    <x v="0"/>
    <n v="9"/>
    <x v="10"/>
    <d v="2023-09-01T00:00:00"/>
    <n v="10331.096244869101"/>
    <x v="7"/>
  </r>
  <r>
    <x v="0"/>
    <x v="0"/>
    <n v="9"/>
    <x v="10"/>
    <d v="2023-09-01T00:00:00"/>
    <n v="10285.3459948691"/>
    <x v="8"/>
  </r>
  <r>
    <x v="0"/>
    <x v="0"/>
    <n v="9"/>
    <x v="10"/>
    <d v="2023-09-01T00:00:00"/>
    <n v="10285.3459948691"/>
    <x v="9"/>
  </r>
  <r>
    <x v="0"/>
    <x v="0"/>
    <n v="9"/>
    <x v="10"/>
    <d v="2023-09-01T00:00:00"/>
    <n v="10235.3459948691"/>
    <x v="10"/>
  </r>
  <r>
    <x v="0"/>
    <x v="0"/>
    <n v="9"/>
    <x v="10"/>
    <d v="2023-09-01T00:00:00"/>
    <n v="10235.3459948691"/>
    <x v="11"/>
  </r>
  <r>
    <x v="0"/>
    <x v="0"/>
    <n v="9"/>
    <x v="10"/>
    <d v="2023-09-01T00:00:00"/>
    <n v="122982.576469215"/>
    <x v="12"/>
  </r>
  <r>
    <x v="0"/>
    <x v="0"/>
    <n v="8"/>
    <x v="11"/>
    <d v="2023-09-01T00:00:00"/>
    <n v="15621"/>
    <x v="0"/>
  </r>
  <r>
    <x v="0"/>
    <x v="0"/>
    <n v="8"/>
    <x v="11"/>
    <d v="2023-09-01T00:00:00"/>
    <n v="16175"/>
    <x v="1"/>
  </r>
  <r>
    <x v="0"/>
    <x v="0"/>
    <n v="8"/>
    <x v="11"/>
    <d v="2023-09-01T00:00:00"/>
    <n v="16316"/>
    <x v="2"/>
  </r>
  <r>
    <x v="0"/>
    <x v="0"/>
    <n v="8"/>
    <x v="11"/>
    <d v="2023-09-01T00:00:00"/>
    <n v="16684"/>
    <x v="3"/>
  </r>
  <r>
    <x v="0"/>
    <x v="0"/>
    <n v="8"/>
    <x v="11"/>
    <d v="2023-09-01T00:00:00"/>
    <n v="16428"/>
    <x v="4"/>
  </r>
  <r>
    <x v="0"/>
    <x v="0"/>
    <n v="8"/>
    <x v="11"/>
    <d v="2023-09-01T00:00:00"/>
    <n v="14719"/>
    <x v="5"/>
  </r>
  <r>
    <x v="0"/>
    <x v="0"/>
    <n v="8"/>
    <x v="11"/>
    <d v="2023-09-01T00:00:00"/>
    <n v="16400"/>
    <x v="6"/>
  </r>
  <r>
    <x v="0"/>
    <x v="0"/>
    <n v="8"/>
    <x v="11"/>
    <d v="2023-09-01T00:00:00"/>
    <n v="16400"/>
    <x v="7"/>
  </r>
  <r>
    <x v="0"/>
    <x v="0"/>
    <n v="8"/>
    <x v="11"/>
    <d v="2023-09-01T00:00:00"/>
    <n v="16100"/>
    <x v="8"/>
  </r>
  <r>
    <x v="0"/>
    <x v="0"/>
    <n v="8"/>
    <x v="11"/>
    <d v="2023-09-01T00:00:00"/>
    <n v="16100"/>
    <x v="9"/>
  </r>
  <r>
    <x v="0"/>
    <x v="0"/>
    <n v="8"/>
    <x v="11"/>
    <d v="2023-09-01T00:00:00"/>
    <n v="16100"/>
    <x v="10"/>
  </r>
  <r>
    <x v="0"/>
    <x v="0"/>
    <n v="8"/>
    <x v="11"/>
    <d v="2023-09-01T00:00:00"/>
    <n v="17700"/>
    <x v="11"/>
  </r>
  <r>
    <x v="0"/>
    <x v="0"/>
    <n v="8"/>
    <x v="11"/>
    <d v="2023-09-01T00:00:00"/>
    <n v="194743"/>
    <x v="12"/>
  </r>
  <r>
    <x v="0"/>
    <x v="0"/>
    <n v="13"/>
    <x v="12"/>
    <d v="2023-09-01T00:00:00"/>
    <n v="25297"/>
    <x v="0"/>
  </r>
  <r>
    <x v="0"/>
    <x v="0"/>
    <n v="13"/>
    <x v="12"/>
    <d v="2023-09-01T00:00:00"/>
    <n v="27471"/>
    <x v="1"/>
  </r>
  <r>
    <x v="0"/>
    <x v="0"/>
    <n v="13"/>
    <x v="12"/>
    <d v="2023-09-01T00:00:00"/>
    <n v="28095"/>
    <x v="2"/>
  </r>
  <r>
    <x v="0"/>
    <x v="0"/>
    <n v="13"/>
    <x v="12"/>
    <d v="2023-09-01T00:00:00"/>
    <n v="26476"/>
    <x v="3"/>
  </r>
  <r>
    <x v="0"/>
    <x v="0"/>
    <n v="13"/>
    <x v="12"/>
    <d v="2023-09-01T00:00:00"/>
    <n v="25716"/>
    <x v="4"/>
  </r>
  <r>
    <x v="0"/>
    <x v="0"/>
    <n v="13"/>
    <x v="12"/>
    <d v="2023-09-01T00:00:00"/>
    <n v="26688"/>
    <x v="5"/>
  </r>
  <r>
    <x v="0"/>
    <x v="0"/>
    <n v="13"/>
    <x v="12"/>
    <d v="2023-09-01T00:00:00"/>
    <n v="26258.333333333299"/>
    <x v="6"/>
  </r>
  <r>
    <x v="0"/>
    <x v="0"/>
    <n v="13"/>
    <x v="12"/>
    <d v="2023-09-01T00:00:00"/>
    <n v="26258.333333333299"/>
    <x v="7"/>
  </r>
  <r>
    <x v="0"/>
    <x v="0"/>
    <n v="13"/>
    <x v="12"/>
    <d v="2023-09-01T00:00:00"/>
    <n v="26258.333333333299"/>
    <x v="8"/>
  </r>
  <r>
    <x v="0"/>
    <x v="0"/>
    <n v="13"/>
    <x v="12"/>
    <d v="2023-09-01T00:00:00"/>
    <n v="26258.333333333299"/>
    <x v="9"/>
  </r>
  <r>
    <x v="0"/>
    <x v="0"/>
    <n v="13"/>
    <x v="12"/>
    <d v="2023-09-01T00:00:00"/>
    <n v="26258.333333333299"/>
    <x v="10"/>
  </r>
  <r>
    <x v="0"/>
    <x v="0"/>
    <n v="13"/>
    <x v="12"/>
    <d v="2023-09-01T00:00:00"/>
    <n v="26258.333333333299"/>
    <x v="11"/>
  </r>
  <r>
    <x v="0"/>
    <x v="0"/>
    <n v="13"/>
    <x v="12"/>
    <d v="2023-09-01T00:00:00"/>
    <n v="317293"/>
    <x v="12"/>
  </r>
  <r>
    <x v="0"/>
    <x v="0"/>
    <n v="14"/>
    <x v="13"/>
    <d v="2023-09-01T00:00:00"/>
    <n v="0"/>
    <x v="0"/>
  </r>
  <r>
    <x v="0"/>
    <x v="0"/>
    <n v="14"/>
    <x v="13"/>
    <d v="2023-09-01T00:00:00"/>
    <n v="0"/>
    <x v="1"/>
  </r>
  <r>
    <x v="0"/>
    <x v="0"/>
    <n v="14"/>
    <x v="13"/>
    <d v="2023-09-01T00:00:00"/>
    <n v="0"/>
    <x v="2"/>
  </r>
  <r>
    <x v="0"/>
    <x v="0"/>
    <n v="14"/>
    <x v="13"/>
    <d v="2023-09-01T00:00:00"/>
    <n v="0"/>
    <x v="3"/>
  </r>
  <r>
    <x v="0"/>
    <x v="0"/>
    <n v="14"/>
    <x v="13"/>
    <d v="2023-09-01T00:00:00"/>
    <n v="0"/>
    <x v="4"/>
  </r>
  <r>
    <x v="0"/>
    <x v="0"/>
    <n v="14"/>
    <x v="13"/>
    <d v="2023-09-01T00:00:00"/>
    <n v="0"/>
    <x v="5"/>
  </r>
  <r>
    <x v="0"/>
    <x v="0"/>
    <n v="14"/>
    <x v="13"/>
    <d v="2023-09-01T00:00:00"/>
    <n v="0"/>
    <x v="6"/>
  </r>
  <r>
    <x v="0"/>
    <x v="0"/>
    <n v="14"/>
    <x v="13"/>
    <d v="2023-09-01T00:00:00"/>
    <n v="0"/>
    <x v="7"/>
  </r>
  <r>
    <x v="0"/>
    <x v="0"/>
    <n v="14"/>
    <x v="13"/>
    <d v="2023-09-01T00:00:00"/>
    <n v="0"/>
    <x v="8"/>
  </r>
  <r>
    <x v="0"/>
    <x v="0"/>
    <n v="14"/>
    <x v="13"/>
    <d v="2023-09-01T00:00:00"/>
    <n v="0"/>
    <x v="9"/>
  </r>
  <r>
    <x v="0"/>
    <x v="0"/>
    <n v="14"/>
    <x v="13"/>
    <d v="2023-09-01T00:00:00"/>
    <n v="0"/>
    <x v="10"/>
  </r>
  <r>
    <x v="0"/>
    <x v="0"/>
    <n v="14"/>
    <x v="13"/>
    <d v="2023-09-01T00:00:00"/>
    <n v="0"/>
    <x v="11"/>
  </r>
  <r>
    <x v="0"/>
    <x v="0"/>
    <n v="14"/>
    <x v="13"/>
    <d v="2023-09-01T00:00:00"/>
    <n v="0"/>
    <x v="12"/>
  </r>
  <r>
    <x v="0"/>
    <x v="0"/>
    <n v="15"/>
    <x v="14"/>
    <d v="2023-09-01T00:00:00"/>
    <n v="10665"/>
    <x v="0"/>
  </r>
  <r>
    <x v="0"/>
    <x v="0"/>
    <n v="15"/>
    <x v="14"/>
    <d v="2023-09-01T00:00:00"/>
    <n v="11144"/>
    <x v="1"/>
  </r>
  <r>
    <x v="0"/>
    <x v="0"/>
    <n v="15"/>
    <x v="14"/>
    <d v="2023-09-01T00:00:00"/>
    <n v="10706"/>
    <x v="2"/>
  </r>
  <r>
    <x v="0"/>
    <x v="0"/>
    <n v="15"/>
    <x v="14"/>
    <d v="2023-09-01T00:00:00"/>
    <n v="10591"/>
    <x v="3"/>
  </r>
  <r>
    <x v="0"/>
    <x v="0"/>
    <n v="15"/>
    <x v="14"/>
    <d v="2023-09-01T00:00:00"/>
    <n v="10578"/>
    <x v="4"/>
  </r>
  <r>
    <x v="0"/>
    <x v="0"/>
    <n v="15"/>
    <x v="14"/>
    <d v="2023-09-01T00:00:00"/>
    <n v="10418"/>
    <x v="5"/>
  </r>
  <r>
    <x v="0"/>
    <x v="0"/>
    <n v="15"/>
    <x v="14"/>
    <d v="2023-09-01T00:00:00"/>
    <n v="10602.583333333299"/>
    <x v="6"/>
  </r>
  <r>
    <x v="0"/>
    <x v="0"/>
    <n v="15"/>
    <x v="14"/>
    <d v="2023-09-01T00:00:00"/>
    <n v="10602.583333333299"/>
    <x v="7"/>
  </r>
  <r>
    <x v="0"/>
    <x v="0"/>
    <n v="15"/>
    <x v="14"/>
    <d v="2023-09-01T00:00:00"/>
    <n v="10602.583333333299"/>
    <x v="8"/>
  </r>
  <r>
    <x v="0"/>
    <x v="0"/>
    <n v="15"/>
    <x v="14"/>
    <d v="2023-09-01T00:00:00"/>
    <n v="10602.583333333299"/>
    <x v="9"/>
  </r>
  <r>
    <x v="0"/>
    <x v="0"/>
    <n v="15"/>
    <x v="14"/>
    <d v="2023-09-01T00:00:00"/>
    <n v="10602.583333333299"/>
    <x v="10"/>
  </r>
  <r>
    <x v="0"/>
    <x v="0"/>
    <n v="15"/>
    <x v="14"/>
    <d v="2023-09-01T00:00:00"/>
    <n v="10545"/>
    <x v="11"/>
  </r>
  <r>
    <x v="0"/>
    <x v="0"/>
    <n v="15"/>
    <x v="14"/>
    <d v="2023-09-01T00:00:00"/>
    <n v="127659.916666666"/>
    <x v="12"/>
  </r>
  <r>
    <x v="0"/>
    <x v="0"/>
    <n v="16"/>
    <x v="15"/>
    <d v="2023-09-01T00:00:00"/>
    <n v="1176"/>
    <x v="0"/>
  </r>
  <r>
    <x v="0"/>
    <x v="0"/>
    <n v="16"/>
    <x v="15"/>
    <d v="2023-09-01T00:00:00"/>
    <n v="1236"/>
    <x v="1"/>
  </r>
  <r>
    <x v="0"/>
    <x v="0"/>
    <n v="16"/>
    <x v="15"/>
    <d v="2023-09-01T00:00:00"/>
    <n v="1226"/>
    <x v="2"/>
  </r>
  <r>
    <x v="0"/>
    <x v="0"/>
    <n v="16"/>
    <x v="15"/>
    <d v="2023-09-01T00:00:00"/>
    <n v="1282"/>
    <x v="3"/>
  </r>
  <r>
    <x v="0"/>
    <x v="0"/>
    <n v="16"/>
    <x v="15"/>
    <d v="2023-09-01T00:00:00"/>
    <n v="1611"/>
    <x v="4"/>
  </r>
  <r>
    <x v="0"/>
    <x v="0"/>
    <n v="16"/>
    <x v="15"/>
    <d v="2023-09-01T00:00:00"/>
    <n v="975"/>
    <x v="5"/>
  </r>
  <r>
    <x v="0"/>
    <x v="0"/>
    <n v="16"/>
    <x v="15"/>
    <d v="2023-09-01T00:00:00"/>
    <n v="1200"/>
    <x v="6"/>
  </r>
  <r>
    <x v="0"/>
    <x v="0"/>
    <n v="16"/>
    <x v="15"/>
    <d v="2023-09-01T00:00:00"/>
    <n v="1200"/>
    <x v="7"/>
  </r>
  <r>
    <x v="0"/>
    <x v="0"/>
    <n v="16"/>
    <x v="15"/>
    <d v="2023-09-01T00:00:00"/>
    <n v="1200"/>
    <x v="8"/>
  </r>
  <r>
    <x v="0"/>
    <x v="0"/>
    <n v="16"/>
    <x v="15"/>
    <d v="2023-09-01T00:00:00"/>
    <n v="1200"/>
    <x v="9"/>
  </r>
  <r>
    <x v="0"/>
    <x v="0"/>
    <n v="16"/>
    <x v="15"/>
    <d v="2023-09-01T00:00:00"/>
    <n v="1200"/>
    <x v="10"/>
  </r>
  <r>
    <x v="0"/>
    <x v="0"/>
    <n v="16"/>
    <x v="15"/>
    <d v="2023-09-01T00:00:00"/>
    <n v="1200"/>
    <x v="11"/>
  </r>
  <r>
    <x v="0"/>
    <x v="0"/>
    <n v="16"/>
    <x v="15"/>
    <d v="2023-09-01T00:00:00"/>
    <n v="14706"/>
    <x v="12"/>
  </r>
  <r>
    <x v="0"/>
    <x v="0"/>
    <n v="17"/>
    <x v="16"/>
    <d v="2023-09-01T00:00:00"/>
    <n v="3049"/>
    <x v="0"/>
  </r>
  <r>
    <x v="0"/>
    <x v="0"/>
    <n v="17"/>
    <x v="16"/>
    <d v="2023-09-01T00:00:00"/>
    <n v="2775"/>
    <x v="1"/>
  </r>
  <r>
    <x v="0"/>
    <x v="0"/>
    <n v="17"/>
    <x v="16"/>
    <d v="2023-09-01T00:00:00"/>
    <n v="3455"/>
    <x v="2"/>
  </r>
  <r>
    <x v="0"/>
    <x v="0"/>
    <n v="17"/>
    <x v="16"/>
    <d v="2023-09-01T00:00:00"/>
    <n v="2664"/>
    <x v="3"/>
  </r>
  <r>
    <x v="0"/>
    <x v="0"/>
    <n v="17"/>
    <x v="16"/>
    <d v="2023-09-01T00:00:00"/>
    <n v="4389"/>
    <x v="4"/>
  </r>
  <r>
    <x v="0"/>
    <x v="0"/>
    <n v="17"/>
    <x v="16"/>
    <d v="2023-09-01T00:00:00"/>
    <n v="2307"/>
    <x v="5"/>
  </r>
  <r>
    <x v="0"/>
    <x v="0"/>
    <n v="17"/>
    <x v="16"/>
    <d v="2023-09-01T00:00:00"/>
    <n v="3106.75"/>
    <x v="6"/>
  </r>
  <r>
    <x v="0"/>
    <x v="0"/>
    <n v="17"/>
    <x v="16"/>
    <d v="2023-09-01T00:00:00"/>
    <n v="3106.75"/>
    <x v="7"/>
  </r>
  <r>
    <x v="0"/>
    <x v="0"/>
    <n v="17"/>
    <x v="16"/>
    <d v="2023-09-01T00:00:00"/>
    <n v="3106.75"/>
    <x v="8"/>
  </r>
  <r>
    <x v="0"/>
    <x v="0"/>
    <n v="17"/>
    <x v="16"/>
    <d v="2023-09-01T00:00:00"/>
    <n v="3106.75"/>
    <x v="9"/>
  </r>
  <r>
    <x v="0"/>
    <x v="0"/>
    <n v="17"/>
    <x v="16"/>
    <d v="2023-09-01T00:00:00"/>
    <n v="3106.75"/>
    <x v="10"/>
  </r>
  <r>
    <x v="0"/>
    <x v="0"/>
    <n v="17"/>
    <x v="16"/>
    <d v="2023-09-01T00:00:00"/>
    <n v="10106.75"/>
    <x v="11"/>
  </r>
  <r>
    <x v="0"/>
    <x v="0"/>
    <n v="17"/>
    <x v="16"/>
    <d v="2023-09-01T00:00:00"/>
    <n v="44279.5"/>
    <x v="12"/>
  </r>
  <r>
    <x v="0"/>
    <x v="0"/>
    <n v="18"/>
    <x v="17"/>
    <d v="2023-09-01T00:00:00"/>
    <n v="441"/>
    <x v="0"/>
  </r>
  <r>
    <x v="0"/>
    <x v="0"/>
    <n v="18"/>
    <x v="17"/>
    <d v="2023-09-01T00:00:00"/>
    <n v="440"/>
    <x v="1"/>
  </r>
  <r>
    <x v="0"/>
    <x v="0"/>
    <n v="18"/>
    <x v="17"/>
    <d v="2023-09-01T00:00:00"/>
    <n v="-394"/>
    <x v="2"/>
  </r>
  <r>
    <x v="0"/>
    <x v="0"/>
    <n v="18"/>
    <x v="17"/>
    <d v="2023-09-01T00:00:00"/>
    <n v="383"/>
    <x v="3"/>
  </r>
  <r>
    <x v="0"/>
    <x v="0"/>
    <n v="18"/>
    <x v="17"/>
    <d v="2023-09-01T00:00:00"/>
    <n v="322"/>
    <x v="4"/>
  </r>
  <r>
    <x v="0"/>
    <x v="0"/>
    <n v="18"/>
    <x v="17"/>
    <d v="2023-09-01T00:00:00"/>
    <n v="157"/>
    <x v="5"/>
  </r>
  <r>
    <x v="0"/>
    <x v="0"/>
    <n v="18"/>
    <x v="17"/>
    <d v="2023-09-01T00:00:00"/>
    <n v="163.333333333333"/>
    <x v="6"/>
  </r>
  <r>
    <x v="0"/>
    <x v="0"/>
    <n v="18"/>
    <x v="17"/>
    <d v="2023-09-01T00:00:00"/>
    <n v="163.333333333333"/>
    <x v="7"/>
  </r>
  <r>
    <x v="0"/>
    <x v="0"/>
    <n v="18"/>
    <x v="17"/>
    <d v="2023-09-01T00:00:00"/>
    <n v="163.333333333333"/>
    <x v="8"/>
  </r>
  <r>
    <x v="0"/>
    <x v="0"/>
    <n v="18"/>
    <x v="17"/>
    <d v="2023-09-01T00:00:00"/>
    <n v="163.333333333333"/>
    <x v="9"/>
  </r>
  <r>
    <x v="0"/>
    <x v="0"/>
    <n v="18"/>
    <x v="17"/>
    <d v="2023-09-01T00:00:00"/>
    <n v="163.333333333333"/>
    <x v="10"/>
  </r>
  <r>
    <x v="0"/>
    <x v="0"/>
    <n v="18"/>
    <x v="17"/>
    <d v="2023-09-01T00:00:00"/>
    <n v="163.333333333333"/>
    <x v="11"/>
  </r>
  <r>
    <x v="0"/>
    <x v="0"/>
    <n v="18"/>
    <x v="17"/>
    <d v="2023-09-01T00:00:00"/>
    <n v="2329"/>
    <x v="12"/>
  </r>
  <r>
    <x v="0"/>
    <x v="0"/>
    <n v="19"/>
    <x v="18"/>
    <d v="2023-09-01T00:00:00"/>
    <n v="0"/>
    <x v="0"/>
  </r>
  <r>
    <x v="0"/>
    <x v="0"/>
    <n v="19"/>
    <x v="18"/>
    <d v="2023-09-01T00:00:00"/>
    <n v="0"/>
    <x v="1"/>
  </r>
  <r>
    <x v="0"/>
    <x v="0"/>
    <n v="19"/>
    <x v="18"/>
    <d v="2023-09-01T00:00:00"/>
    <n v="0"/>
    <x v="2"/>
  </r>
  <r>
    <x v="0"/>
    <x v="0"/>
    <n v="19"/>
    <x v="18"/>
    <d v="2023-09-01T00:00:00"/>
    <n v="0"/>
    <x v="3"/>
  </r>
  <r>
    <x v="0"/>
    <x v="0"/>
    <n v="19"/>
    <x v="18"/>
    <d v="2023-09-01T00:00:00"/>
    <n v="0"/>
    <x v="4"/>
  </r>
  <r>
    <x v="0"/>
    <x v="0"/>
    <n v="19"/>
    <x v="18"/>
    <d v="2023-09-01T00:00:00"/>
    <n v="0"/>
    <x v="5"/>
  </r>
  <r>
    <x v="0"/>
    <x v="0"/>
    <n v="19"/>
    <x v="18"/>
    <d v="2023-09-01T00:00:00"/>
    <n v="0"/>
    <x v="6"/>
  </r>
  <r>
    <x v="0"/>
    <x v="0"/>
    <n v="19"/>
    <x v="18"/>
    <d v="2023-09-01T00:00:00"/>
    <n v="0"/>
    <x v="7"/>
  </r>
  <r>
    <x v="0"/>
    <x v="0"/>
    <n v="19"/>
    <x v="18"/>
    <d v="2023-09-01T00:00:00"/>
    <n v="0"/>
    <x v="8"/>
  </r>
  <r>
    <x v="0"/>
    <x v="0"/>
    <n v="19"/>
    <x v="18"/>
    <d v="2023-09-01T00:00:00"/>
    <n v="0"/>
    <x v="9"/>
  </r>
  <r>
    <x v="0"/>
    <x v="0"/>
    <n v="19"/>
    <x v="18"/>
    <d v="2023-09-01T00:00:00"/>
    <n v="0"/>
    <x v="10"/>
  </r>
  <r>
    <x v="0"/>
    <x v="0"/>
    <n v="19"/>
    <x v="18"/>
    <d v="2023-09-01T00:00:00"/>
    <n v="0"/>
    <x v="11"/>
  </r>
  <r>
    <x v="0"/>
    <x v="0"/>
    <n v="19"/>
    <x v="18"/>
    <d v="2023-09-01T00:00:00"/>
    <n v="0"/>
    <x v="12"/>
  </r>
  <r>
    <x v="0"/>
    <x v="0"/>
    <n v="20"/>
    <x v="19"/>
    <d v="2023-09-01T00:00:00"/>
    <n v="0"/>
    <x v="0"/>
  </r>
  <r>
    <x v="0"/>
    <x v="0"/>
    <n v="20"/>
    <x v="19"/>
    <d v="2023-09-01T00:00:00"/>
    <n v="0"/>
    <x v="1"/>
  </r>
  <r>
    <x v="0"/>
    <x v="0"/>
    <n v="20"/>
    <x v="19"/>
    <d v="2023-09-01T00:00:00"/>
    <n v="0"/>
    <x v="2"/>
  </r>
  <r>
    <x v="0"/>
    <x v="0"/>
    <n v="20"/>
    <x v="19"/>
    <d v="2023-09-01T00:00:00"/>
    <n v="0"/>
    <x v="3"/>
  </r>
  <r>
    <x v="0"/>
    <x v="0"/>
    <n v="20"/>
    <x v="19"/>
    <d v="2023-09-01T00:00:00"/>
    <n v="0"/>
    <x v="4"/>
  </r>
  <r>
    <x v="0"/>
    <x v="0"/>
    <n v="20"/>
    <x v="19"/>
    <d v="2023-09-01T00:00:00"/>
    <n v="0"/>
    <x v="5"/>
  </r>
  <r>
    <x v="0"/>
    <x v="0"/>
    <n v="20"/>
    <x v="19"/>
    <d v="2023-09-01T00:00:00"/>
    <n v="0"/>
    <x v="6"/>
  </r>
  <r>
    <x v="0"/>
    <x v="0"/>
    <n v="20"/>
    <x v="19"/>
    <d v="2023-09-01T00:00:00"/>
    <n v="0"/>
    <x v="7"/>
  </r>
  <r>
    <x v="0"/>
    <x v="0"/>
    <n v="20"/>
    <x v="19"/>
    <d v="2023-09-01T00:00:00"/>
    <n v="0"/>
    <x v="8"/>
  </r>
  <r>
    <x v="0"/>
    <x v="0"/>
    <n v="20"/>
    <x v="19"/>
    <d v="2023-09-01T00:00:00"/>
    <n v="0"/>
    <x v="9"/>
  </r>
  <r>
    <x v="0"/>
    <x v="0"/>
    <n v="20"/>
    <x v="19"/>
    <d v="2023-09-01T00:00:00"/>
    <n v="0"/>
    <x v="10"/>
  </r>
  <r>
    <x v="0"/>
    <x v="0"/>
    <n v="20"/>
    <x v="19"/>
    <d v="2023-09-01T00:00:00"/>
    <n v="0"/>
    <x v="11"/>
  </r>
  <r>
    <x v="0"/>
    <x v="0"/>
    <n v="20"/>
    <x v="19"/>
    <d v="2023-09-01T00:00:00"/>
    <n v="0"/>
    <x v="12"/>
  </r>
  <r>
    <x v="0"/>
    <x v="0"/>
    <n v="21"/>
    <x v="20"/>
    <d v="2023-09-01T00:00:00"/>
    <n v="0"/>
    <x v="0"/>
  </r>
  <r>
    <x v="0"/>
    <x v="0"/>
    <n v="21"/>
    <x v="20"/>
    <d v="2023-09-01T00:00:00"/>
    <n v="0"/>
    <x v="1"/>
  </r>
  <r>
    <x v="0"/>
    <x v="0"/>
    <n v="21"/>
    <x v="20"/>
    <d v="2023-09-01T00:00:00"/>
    <n v="0"/>
    <x v="2"/>
  </r>
  <r>
    <x v="0"/>
    <x v="0"/>
    <n v="21"/>
    <x v="20"/>
    <d v="2023-09-01T00:00:00"/>
    <n v="0"/>
    <x v="3"/>
  </r>
  <r>
    <x v="0"/>
    <x v="0"/>
    <n v="21"/>
    <x v="20"/>
    <d v="2023-09-01T00:00:00"/>
    <n v="0"/>
    <x v="4"/>
  </r>
  <r>
    <x v="0"/>
    <x v="0"/>
    <n v="21"/>
    <x v="20"/>
    <d v="2023-09-01T00:00:00"/>
    <n v="0"/>
    <x v="5"/>
  </r>
  <r>
    <x v="0"/>
    <x v="0"/>
    <n v="21"/>
    <x v="20"/>
    <d v="2023-09-01T00:00:00"/>
    <n v="0"/>
    <x v="6"/>
  </r>
  <r>
    <x v="0"/>
    <x v="0"/>
    <n v="21"/>
    <x v="20"/>
    <d v="2023-09-01T00:00:00"/>
    <n v="0"/>
    <x v="7"/>
  </r>
  <r>
    <x v="0"/>
    <x v="0"/>
    <n v="21"/>
    <x v="20"/>
    <d v="2023-09-01T00:00:00"/>
    <n v="0"/>
    <x v="8"/>
  </r>
  <r>
    <x v="0"/>
    <x v="0"/>
    <n v="21"/>
    <x v="20"/>
    <d v="2023-09-01T00:00:00"/>
    <n v="0"/>
    <x v="9"/>
  </r>
  <r>
    <x v="0"/>
    <x v="0"/>
    <n v="21"/>
    <x v="20"/>
    <d v="2023-09-01T00:00:00"/>
    <n v="0"/>
    <x v="10"/>
  </r>
  <r>
    <x v="0"/>
    <x v="0"/>
    <n v="21"/>
    <x v="20"/>
    <d v="2023-09-01T00:00:00"/>
    <n v="0"/>
    <x v="11"/>
  </r>
  <r>
    <x v="0"/>
    <x v="0"/>
    <n v="21"/>
    <x v="20"/>
    <d v="2023-09-01T00:00:00"/>
    <n v="0"/>
    <x v="12"/>
  </r>
  <r>
    <x v="0"/>
    <x v="0"/>
    <n v="22"/>
    <x v="21"/>
    <d v="2023-09-01T00:00:00"/>
    <n v="3637.9250000000002"/>
    <x v="0"/>
  </r>
  <r>
    <x v="0"/>
    <x v="0"/>
    <n v="22"/>
    <x v="21"/>
    <d v="2023-09-01T00:00:00"/>
    <n v="4433.6080000000002"/>
    <x v="1"/>
  </r>
  <r>
    <x v="0"/>
    <x v="0"/>
    <n v="22"/>
    <x v="21"/>
    <d v="2023-09-01T00:00:00"/>
    <n v="4057.0340000000001"/>
    <x v="2"/>
  </r>
  <r>
    <x v="0"/>
    <x v="0"/>
    <n v="22"/>
    <x v="21"/>
    <d v="2023-09-01T00:00:00"/>
    <n v="4012.6729999999998"/>
    <x v="3"/>
  </r>
  <r>
    <x v="0"/>
    <x v="0"/>
    <n v="22"/>
    <x v="21"/>
    <d v="2023-09-01T00:00:00"/>
    <n v="4035.0030000000002"/>
    <x v="4"/>
  </r>
  <r>
    <x v="0"/>
    <x v="0"/>
    <n v="22"/>
    <x v="21"/>
    <d v="2023-09-01T00:00:00"/>
    <n v="3930.0329999999999"/>
    <x v="5"/>
  </r>
  <r>
    <x v="0"/>
    <x v="0"/>
    <n v="22"/>
    <x v="21"/>
    <d v="2023-09-01T00:00:00"/>
    <n v="4049.1350000000002"/>
    <x v="6"/>
  </r>
  <r>
    <x v="0"/>
    <x v="0"/>
    <n v="22"/>
    <x v="21"/>
    <d v="2023-09-01T00:00:00"/>
    <n v="4050.194"/>
    <x v="7"/>
  </r>
  <r>
    <x v="0"/>
    <x v="0"/>
    <n v="22"/>
    <x v="21"/>
    <d v="2023-09-01T00:00:00"/>
    <n v="4049.5610000000001"/>
    <x v="8"/>
  </r>
  <r>
    <x v="0"/>
    <x v="0"/>
    <n v="22"/>
    <x v="21"/>
    <d v="2023-09-01T00:00:00"/>
    <n v="4110.9989999999998"/>
    <x v="9"/>
  </r>
  <r>
    <x v="0"/>
    <x v="0"/>
    <n v="22"/>
    <x v="21"/>
    <d v="2023-09-01T00:00:00"/>
    <n v="4109.22"/>
    <x v="10"/>
  </r>
  <r>
    <x v="0"/>
    <x v="0"/>
    <n v="22"/>
    <x v="21"/>
    <d v="2023-09-01T00:00:00"/>
    <n v="4032.6149999999998"/>
    <x v="11"/>
  </r>
  <r>
    <x v="0"/>
    <x v="0"/>
    <n v="22"/>
    <x v="21"/>
    <d v="2023-09-01T00:00:00"/>
    <n v="48508"/>
    <x v="12"/>
  </r>
  <r>
    <x v="0"/>
    <x v="0"/>
    <n v="23"/>
    <x v="22"/>
    <d v="2023-09-01T00:00:00"/>
    <n v="27.576000000000001"/>
    <x v="0"/>
  </r>
  <r>
    <x v="0"/>
    <x v="0"/>
    <n v="23"/>
    <x v="22"/>
    <d v="2023-09-01T00:00:00"/>
    <n v="-6902.4889999999996"/>
    <x v="1"/>
  </r>
  <r>
    <x v="0"/>
    <x v="0"/>
    <n v="23"/>
    <x v="22"/>
    <d v="2023-09-01T00:00:00"/>
    <n v="56.835999999999999"/>
    <x v="2"/>
  </r>
  <r>
    <x v="0"/>
    <x v="0"/>
    <n v="23"/>
    <x v="22"/>
    <d v="2023-09-01T00:00:00"/>
    <n v="37.771000000000001"/>
    <x v="3"/>
  </r>
  <r>
    <x v="0"/>
    <x v="0"/>
    <n v="23"/>
    <x v="22"/>
    <d v="2023-09-01T00:00:00"/>
    <n v="37.771000000000001"/>
    <x v="4"/>
  </r>
  <r>
    <x v="0"/>
    <x v="0"/>
    <n v="23"/>
    <x v="22"/>
    <d v="2023-09-01T00:00:00"/>
    <n v="37.771999999999998"/>
    <x v="5"/>
  </r>
  <r>
    <x v="0"/>
    <x v="0"/>
    <n v="23"/>
    <x v="22"/>
    <d v="2023-09-01T00:00:00"/>
    <n v="37.695"/>
    <x v="6"/>
  </r>
  <r>
    <x v="0"/>
    <x v="0"/>
    <n v="23"/>
    <x v="22"/>
    <d v="2023-09-01T00:00:00"/>
    <n v="37.695"/>
    <x v="7"/>
  </r>
  <r>
    <x v="0"/>
    <x v="0"/>
    <n v="23"/>
    <x v="22"/>
    <d v="2023-09-01T00:00:00"/>
    <n v="17033.695"/>
    <x v="8"/>
  </r>
  <r>
    <x v="0"/>
    <x v="0"/>
    <n v="23"/>
    <x v="22"/>
    <d v="2023-09-01T00:00:00"/>
    <n v="37.564999999999998"/>
    <x v="9"/>
  </r>
  <r>
    <x v="0"/>
    <x v="0"/>
    <n v="23"/>
    <x v="22"/>
    <d v="2023-09-01T00:00:00"/>
    <n v="37.564999999999998"/>
    <x v="10"/>
  </r>
  <r>
    <x v="0"/>
    <x v="0"/>
    <n v="23"/>
    <x v="22"/>
    <d v="2023-09-01T00:00:00"/>
    <n v="2733.9540000000002"/>
    <x v="11"/>
  </r>
  <r>
    <x v="0"/>
    <x v="0"/>
    <n v="23"/>
    <x v="22"/>
    <d v="2023-09-01T00:00:00"/>
    <n v="13213.406000000001"/>
    <x v="12"/>
  </r>
  <r>
    <x v="0"/>
    <x v="0"/>
    <n v="24"/>
    <x v="23"/>
    <d v="2023-09-01T00:00:00"/>
    <n v="0"/>
    <x v="0"/>
  </r>
  <r>
    <x v="0"/>
    <x v="0"/>
    <n v="24"/>
    <x v="23"/>
    <d v="2023-09-01T00:00:00"/>
    <n v="0"/>
    <x v="1"/>
  </r>
  <r>
    <x v="0"/>
    <x v="0"/>
    <n v="24"/>
    <x v="23"/>
    <d v="2023-09-01T00:00:00"/>
    <n v="0"/>
    <x v="2"/>
  </r>
  <r>
    <x v="0"/>
    <x v="0"/>
    <n v="24"/>
    <x v="23"/>
    <d v="2023-09-01T00:00:00"/>
    <n v="0"/>
    <x v="3"/>
  </r>
  <r>
    <x v="0"/>
    <x v="0"/>
    <n v="24"/>
    <x v="23"/>
    <d v="2023-09-01T00:00:00"/>
    <n v="0"/>
    <x v="4"/>
  </r>
  <r>
    <x v="0"/>
    <x v="0"/>
    <n v="24"/>
    <x v="23"/>
    <d v="2023-09-01T00:00:00"/>
    <n v="0"/>
    <x v="5"/>
  </r>
  <r>
    <x v="0"/>
    <x v="0"/>
    <n v="24"/>
    <x v="23"/>
    <d v="2023-09-01T00:00:00"/>
    <n v="0"/>
    <x v="6"/>
  </r>
  <r>
    <x v="0"/>
    <x v="0"/>
    <n v="24"/>
    <x v="23"/>
    <d v="2023-09-01T00:00:00"/>
    <n v="0"/>
    <x v="7"/>
  </r>
  <r>
    <x v="0"/>
    <x v="0"/>
    <n v="24"/>
    <x v="23"/>
    <d v="2023-09-01T00:00:00"/>
    <n v="0"/>
    <x v="8"/>
  </r>
  <r>
    <x v="0"/>
    <x v="0"/>
    <n v="24"/>
    <x v="23"/>
    <d v="2023-09-01T00:00:00"/>
    <n v="0"/>
    <x v="9"/>
  </r>
  <r>
    <x v="0"/>
    <x v="0"/>
    <n v="24"/>
    <x v="23"/>
    <d v="2023-09-01T00:00:00"/>
    <n v="0"/>
    <x v="10"/>
  </r>
  <r>
    <x v="0"/>
    <x v="0"/>
    <n v="24"/>
    <x v="23"/>
    <d v="2023-09-01T00:00:00"/>
    <n v="0"/>
    <x v="11"/>
  </r>
  <r>
    <x v="0"/>
    <x v="0"/>
    <n v="24"/>
    <x v="23"/>
    <d v="2023-09-01T00:00:00"/>
    <n v="0"/>
    <x v="12"/>
  </r>
  <r>
    <x v="0"/>
    <x v="0"/>
    <n v="25"/>
    <x v="24"/>
    <d v="2023-09-01T00:00:00"/>
    <n v="0"/>
    <x v="0"/>
  </r>
  <r>
    <x v="0"/>
    <x v="0"/>
    <n v="25"/>
    <x v="24"/>
    <d v="2023-09-01T00:00:00"/>
    <n v="-0.3"/>
    <x v="1"/>
  </r>
  <r>
    <x v="0"/>
    <x v="0"/>
    <n v="25"/>
    <x v="24"/>
    <d v="2023-09-01T00:00:00"/>
    <n v="0"/>
    <x v="2"/>
  </r>
  <r>
    <x v="0"/>
    <x v="0"/>
    <n v="25"/>
    <x v="24"/>
    <d v="2023-09-01T00:00:00"/>
    <n v="0"/>
    <x v="3"/>
  </r>
  <r>
    <x v="0"/>
    <x v="0"/>
    <n v="25"/>
    <x v="24"/>
    <d v="2023-09-01T00:00:00"/>
    <n v="294.5"/>
    <x v="4"/>
  </r>
  <r>
    <x v="0"/>
    <x v="0"/>
    <n v="25"/>
    <x v="24"/>
    <d v="2023-09-01T00:00:00"/>
    <n v="26.5"/>
    <x v="5"/>
  </r>
  <r>
    <x v="0"/>
    <x v="0"/>
    <n v="25"/>
    <x v="24"/>
    <d v="2023-09-01T00:00:00"/>
    <n v="0"/>
    <x v="6"/>
  </r>
  <r>
    <x v="0"/>
    <x v="0"/>
    <n v="25"/>
    <x v="24"/>
    <d v="2023-09-01T00:00:00"/>
    <n v="0"/>
    <x v="7"/>
  </r>
  <r>
    <x v="0"/>
    <x v="0"/>
    <n v="25"/>
    <x v="24"/>
    <d v="2023-09-01T00:00:00"/>
    <n v="0"/>
    <x v="8"/>
  </r>
  <r>
    <x v="0"/>
    <x v="0"/>
    <n v="25"/>
    <x v="24"/>
    <d v="2023-09-01T00:00:00"/>
    <n v="0"/>
    <x v="9"/>
  </r>
  <r>
    <x v="0"/>
    <x v="0"/>
    <n v="25"/>
    <x v="24"/>
    <d v="2023-09-01T00:00:00"/>
    <n v="0"/>
    <x v="10"/>
  </r>
  <r>
    <x v="0"/>
    <x v="0"/>
    <n v="25"/>
    <x v="24"/>
    <d v="2023-09-01T00:00:00"/>
    <n v="0"/>
    <x v="11"/>
  </r>
  <r>
    <x v="0"/>
    <x v="0"/>
    <n v="25"/>
    <x v="24"/>
    <d v="2023-09-01T00:00:00"/>
    <n v="320.7"/>
    <x v="12"/>
  </r>
  <r>
    <x v="0"/>
    <x v="0"/>
    <n v="26"/>
    <x v="25"/>
    <d v="2023-09-01T00:00:00"/>
    <n v="147586.50099999999"/>
    <x v="0"/>
  </r>
  <r>
    <x v="0"/>
    <x v="0"/>
    <n v="26"/>
    <x v="25"/>
    <d v="2023-09-01T00:00:00"/>
    <n v="146074.81899999999"/>
    <x v="1"/>
  </r>
  <r>
    <x v="0"/>
    <x v="0"/>
    <n v="26"/>
    <x v="25"/>
    <d v="2023-09-01T00:00:00"/>
    <n v="164524.87"/>
    <x v="2"/>
  </r>
  <r>
    <x v="0"/>
    <x v="0"/>
    <n v="26"/>
    <x v="25"/>
    <d v="2023-09-01T00:00:00"/>
    <n v="159200.44399999999"/>
    <x v="3"/>
  </r>
  <r>
    <x v="0"/>
    <x v="0"/>
    <n v="26"/>
    <x v="25"/>
    <d v="2023-09-01T00:00:00"/>
    <n v="155441.274"/>
    <x v="4"/>
  </r>
  <r>
    <x v="0"/>
    <x v="0"/>
    <n v="26"/>
    <x v="25"/>
    <d v="2023-09-01T00:00:00"/>
    <n v="148181.30499999999"/>
    <x v="5"/>
  </r>
  <r>
    <x v="0"/>
    <x v="0"/>
    <n v="26"/>
    <x v="25"/>
    <d v="2023-09-01T00:00:00"/>
    <n v="153158.92624486901"/>
    <x v="6"/>
  </r>
  <r>
    <x v="0"/>
    <x v="0"/>
    <n v="26"/>
    <x v="25"/>
    <d v="2023-09-01T00:00:00"/>
    <n v="152927.78524486901"/>
    <x v="7"/>
  </r>
  <r>
    <x v="0"/>
    <x v="0"/>
    <n v="26"/>
    <x v="25"/>
    <d v="2023-09-01T00:00:00"/>
    <n v="169587.401994869"/>
    <x v="8"/>
  </r>
  <r>
    <x v="0"/>
    <x v="0"/>
    <n v="26"/>
    <x v="25"/>
    <d v="2023-09-01T00:00:00"/>
    <n v="153119.509994869"/>
    <x v="9"/>
  </r>
  <r>
    <x v="0"/>
    <x v="0"/>
    <n v="26"/>
    <x v="25"/>
    <d v="2023-09-01T00:00:00"/>
    <n v="155306.73099486899"/>
    <x v="10"/>
  </r>
  <r>
    <x v="0"/>
    <x v="0"/>
    <n v="26"/>
    <x v="25"/>
    <d v="2023-09-01T00:00:00"/>
    <n v="165893.93166153599"/>
    <x v="11"/>
  </r>
  <r>
    <x v="0"/>
    <x v="0"/>
    <n v="26"/>
    <x v="25"/>
    <d v="2023-09-01T00:00:00"/>
    <n v="1871003.49913588"/>
    <x v="12"/>
  </r>
  <r>
    <x v="0"/>
    <x v="0"/>
    <n v="27"/>
    <x v="26"/>
    <d v="2023-09-01T00:00:00"/>
    <n v="-13493.501"/>
    <x v="0"/>
  </r>
  <r>
    <x v="0"/>
    <x v="0"/>
    <n v="27"/>
    <x v="26"/>
    <d v="2023-09-01T00:00:00"/>
    <n v="-15979.819"/>
    <x v="1"/>
  </r>
  <r>
    <x v="0"/>
    <x v="0"/>
    <n v="27"/>
    <x v="26"/>
    <d v="2023-09-01T00:00:00"/>
    <n v="-14515.17"/>
    <x v="2"/>
  </r>
  <r>
    <x v="0"/>
    <x v="0"/>
    <n v="27"/>
    <x v="26"/>
    <d v="2023-09-01T00:00:00"/>
    <n v="-13105.444"/>
    <x v="3"/>
  </r>
  <r>
    <x v="0"/>
    <x v="0"/>
    <n v="27"/>
    <x v="26"/>
    <d v="2023-09-01T00:00:00"/>
    <n v="-14316.773999999999"/>
    <x v="4"/>
  </r>
  <r>
    <x v="0"/>
    <x v="0"/>
    <n v="27"/>
    <x v="26"/>
    <d v="2023-09-01T00:00:00"/>
    <n v="-10735.305"/>
    <x v="5"/>
  </r>
  <r>
    <x v="0"/>
    <x v="0"/>
    <n v="27"/>
    <x v="26"/>
    <d v="2023-09-01T00:00:00"/>
    <n v="-11425.2040226468"/>
    <x v="6"/>
  </r>
  <r>
    <x v="0"/>
    <x v="0"/>
    <n v="27"/>
    <x v="26"/>
    <d v="2023-09-01T00:00:00"/>
    <n v="-11444.0630226467"/>
    <x v="7"/>
  </r>
  <r>
    <x v="0"/>
    <x v="0"/>
    <n v="27"/>
    <x v="26"/>
    <d v="2023-09-01T00:00:00"/>
    <n v="-10606.679772646699"/>
    <x v="8"/>
  </r>
  <r>
    <x v="0"/>
    <x v="0"/>
    <n v="27"/>
    <x v="26"/>
    <d v="2023-09-01T00:00:00"/>
    <n v="-10985.7877726468"/>
    <x v="9"/>
  </r>
  <r>
    <x v="0"/>
    <x v="0"/>
    <n v="27"/>
    <x v="26"/>
    <d v="2023-09-01T00:00:00"/>
    <n v="-10073.008772646701"/>
    <x v="10"/>
  </r>
  <r>
    <x v="0"/>
    <x v="0"/>
    <n v="27"/>
    <x v="26"/>
    <d v="2023-09-01T00:00:00"/>
    <n v="-8999.9094393134601"/>
    <x v="11"/>
  </r>
  <r>
    <x v="0"/>
    <x v="0"/>
    <n v="27"/>
    <x v="26"/>
    <d v="2023-09-01T00:00:00"/>
    <n v="-145680.66580254701"/>
    <x v="12"/>
  </r>
  <r>
    <x v="0"/>
    <x v="1"/>
    <n v="5"/>
    <x v="7"/>
    <d v="2023-09-01T00:00:00"/>
    <n v="344"/>
    <x v="0"/>
  </r>
  <r>
    <x v="0"/>
    <x v="1"/>
    <n v="5"/>
    <x v="7"/>
    <d v="2023-09-01T00:00:00"/>
    <n v="-258"/>
    <x v="1"/>
  </r>
  <r>
    <x v="0"/>
    <x v="1"/>
    <n v="5"/>
    <x v="7"/>
    <d v="2023-09-01T00:00:00"/>
    <n v="-957"/>
    <x v="2"/>
  </r>
  <r>
    <x v="0"/>
    <x v="1"/>
    <n v="5"/>
    <x v="7"/>
    <d v="2023-09-01T00:00:00"/>
    <n v="240"/>
    <x v="3"/>
  </r>
  <r>
    <x v="0"/>
    <x v="1"/>
    <n v="5"/>
    <x v="7"/>
    <d v="2023-09-01T00:00:00"/>
    <n v="-69"/>
    <x v="4"/>
  </r>
  <r>
    <x v="0"/>
    <x v="1"/>
    <n v="5"/>
    <x v="7"/>
    <d v="2023-09-01T00:00:00"/>
    <n v="-829"/>
    <x v="5"/>
  </r>
  <r>
    <x v="0"/>
    <x v="1"/>
    <n v="5"/>
    <x v="7"/>
    <d v="2023-09-01T00:00:00"/>
    <n v="60"/>
    <x v="6"/>
  </r>
  <r>
    <x v="0"/>
    <x v="1"/>
    <n v="5"/>
    <x v="7"/>
    <d v="2023-09-01T00:00:00"/>
    <n v="60"/>
    <x v="7"/>
  </r>
  <r>
    <x v="0"/>
    <x v="1"/>
    <n v="5"/>
    <x v="7"/>
    <d v="2023-09-01T00:00:00"/>
    <n v="60"/>
    <x v="8"/>
  </r>
  <r>
    <x v="0"/>
    <x v="1"/>
    <n v="5"/>
    <x v="7"/>
    <d v="2023-09-01T00:00:00"/>
    <n v="60"/>
    <x v="9"/>
  </r>
  <r>
    <x v="0"/>
    <x v="1"/>
    <n v="5"/>
    <x v="7"/>
    <d v="2023-09-01T00:00:00"/>
    <n v="60"/>
    <x v="10"/>
  </r>
  <r>
    <x v="0"/>
    <x v="1"/>
    <n v="5"/>
    <x v="7"/>
    <d v="2023-09-01T00:00:00"/>
    <n v="60"/>
    <x v="11"/>
  </r>
  <r>
    <x v="0"/>
    <x v="1"/>
    <n v="5"/>
    <x v="7"/>
    <d v="2023-09-01T00:00:00"/>
    <n v="-1169"/>
    <x v="12"/>
  </r>
  <r>
    <x v="0"/>
    <x v="1"/>
    <n v="6"/>
    <x v="8"/>
    <d v="2023-09-01T00:00:00"/>
    <n v="7145"/>
    <x v="0"/>
  </r>
  <r>
    <x v="0"/>
    <x v="1"/>
    <n v="6"/>
    <x v="8"/>
    <d v="2023-09-01T00:00:00"/>
    <n v="7084"/>
    <x v="1"/>
  </r>
  <r>
    <x v="0"/>
    <x v="1"/>
    <n v="6"/>
    <x v="8"/>
    <d v="2023-09-01T00:00:00"/>
    <n v="8501"/>
    <x v="2"/>
  </r>
  <r>
    <x v="0"/>
    <x v="1"/>
    <n v="6"/>
    <x v="8"/>
    <d v="2023-09-01T00:00:00"/>
    <n v="6747"/>
    <x v="3"/>
  </r>
  <r>
    <x v="0"/>
    <x v="1"/>
    <n v="6"/>
    <x v="8"/>
    <d v="2023-09-01T00:00:00"/>
    <n v="6876"/>
    <x v="4"/>
  </r>
  <r>
    <x v="0"/>
    <x v="1"/>
    <n v="6"/>
    <x v="8"/>
    <d v="2023-09-01T00:00:00"/>
    <n v="8048"/>
    <x v="5"/>
  </r>
  <r>
    <x v="0"/>
    <x v="1"/>
    <n v="6"/>
    <x v="8"/>
    <d v="2023-09-01T00:00:00"/>
    <n v="7268"/>
    <x v="6"/>
  </r>
  <r>
    <x v="0"/>
    <x v="1"/>
    <n v="6"/>
    <x v="8"/>
    <d v="2023-09-01T00:00:00"/>
    <n v="7240"/>
    <x v="7"/>
  </r>
  <r>
    <x v="0"/>
    <x v="1"/>
    <n v="6"/>
    <x v="8"/>
    <d v="2023-09-01T00:00:00"/>
    <n v="7240"/>
    <x v="8"/>
  </r>
  <r>
    <x v="0"/>
    <x v="1"/>
    <n v="6"/>
    <x v="8"/>
    <d v="2023-09-01T00:00:00"/>
    <n v="7231"/>
    <x v="9"/>
  </r>
  <r>
    <x v="0"/>
    <x v="1"/>
    <n v="6"/>
    <x v="8"/>
    <d v="2023-09-01T00:00:00"/>
    <n v="7230"/>
    <x v="10"/>
  </r>
  <r>
    <x v="0"/>
    <x v="1"/>
    <n v="6"/>
    <x v="8"/>
    <d v="2023-09-01T00:00:00"/>
    <n v="7422"/>
    <x v="11"/>
  </r>
  <r>
    <x v="0"/>
    <x v="1"/>
    <n v="6"/>
    <x v="8"/>
    <d v="2023-09-01T00:00:00"/>
    <n v="88032"/>
    <x v="12"/>
  </r>
  <r>
    <x v="0"/>
    <x v="1"/>
    <n v="7"/>
    <x v="9"/>
    <d v="2023-09-01T00:00:00"/>
    <n v="160913"/>
    <x v="0"/>
  </r>
  <r>
    <x v="0"/>
    <x v="1"/>
    <n v="7"/>
    <x v="9"/>
    <d v="2023-09-01T00:00:00"/>
    <n v="171711"/>
    <x v="1"/>
  </r>
  <r>
    <x v="0"/>
    <x v="1"/>
    <n v="7"/>
    <x v="9"/>
    <d v="2023-09-01T00:00:00"/>
    <n v="183102"/>
    <x v="2"/>
  </r>
  <r>
    <x v="0"/>
    <x v="1"/>
    <n v="7"/>
    <x v="9"/>
    <d v="2023-09-01T00:00:00"/>
    <n v="183203"/>
    <x v="3"/>
  </r>
  <r>
    <x v="0"/>
    <x v="1"/>
    <n v="7"/>
    <x v="9"/>
    <d v="2023-09-01T00:00:00"/>
    <n v="175230"/>
    <x v="4"/>
  </r>
  <r>
    <x v="0"/>
    <x v="1"/>
    <n v="7"/>
    <x v="9"/>
    <d v="2023-09-01T00:00:00"/>
    <n v="172941"/>
    <x v="5"/>
  </r>
  <r>
    <x v="0"/>
    <x v="1"/>
    <n v="7"/>
    <x v="9"/>
    <d v="2023-09-01T00:00:00"/>
    <n v="174258"/>
    <x v="6"/>
  </r>
  <r>
    <x v="0"/>
    <x v="1"/>
    <n v="7"/>
    <x v="9"/>
    <d v="2023-09-01T00:00:00"/>
    <n v="174313"/>
    <x v="7"/>
  </r>
  <r>
    <x v="0"/>
    <x v="1"/>
    <n v="7"/>
    <x v="9"/>
    <d v="2023-09-01T00:00:00"/>
    <n v="177296"/>
    <x v="8"/>
  </r>
  <r>
    <x v="0"/>
    <x v="1"/>
    <n v="7"/>
    <x v="9"/>
    <d v="2023-09-01T00:00:00"/>
    <n v="178920"/>
    <x v="9"/>
  </r>
  <r>
    <x v="0"/>
    <x v="1"/>
    <n v="7"/>
    <x v="9"/>
    <d v="2023-09-01T00:00:00"/>
    <n v="176191"/>
    <x v="10"/>
  </r>
  <r>
    <x v="0"/>
    <x v="1"/>
    <n v="7"/>
    <x v="9"/>
    <d v="2023-09-01T00:00:00"/>
    <n v="178184"/>
    <x v="11"/>
  </r>
  <r>
    <x v="0"/>
    <x v="1"/>
    <n v="7"/>
    <x v="9"/>
    <d v="2023-09-01T00:00:00"/>
    <n v="2106262"/>
    <x v="12"/>
  </r>
  <r>
    <x v="0"/>
    <x v="1"/>
    <n v="1"/>
    <x v="3"/>
    <d v="2023-09-01T00:00:00"/>
    <n v="148705"/>
    <x v="0"/>
  </r>
  <r>
    <x v="0"/>
    <x v="1"/>
    <n v="1"/>
    <x v="3"/>
    <d v="2023-09-01T00:00:00"/>
    <n v="159794"/>
    <x v="1"/>
  </r>
  <r>
    <x v="0"/>
    <x v="1"/>
    <n v="1"/>
    <x v="3"/>
    <d v="2023-09-01T00:00:00"/>
    <n v="169880"/>
    <x v="2"/>
  </r>
  <r>
    <x v="0"/>
    <x v="1"/>
    <n v="1"/>
    <x v="3"/>
    <d v="2023-09-01T00:00:00"/>
    <n v="170934"/>
    <x v="3"/>
  </r>
  <r>
    <x v="0"/>
    <x v="1"/>
    <n v="1"/>
    <x v="3"/>
    <d v="2023-09-01T00:00:00"/>
    <n v="162991"/>
    <x v="4"/>
  </r>
  <r>
    <x v="0"/>
    <x v="1"/>
    <n v="1"/>
    <x v="3"/>
    <d v="2023-09-01T00:00:00"/>
    <n v="160642"/>
    <x v="5"/>
  </r>
  <r>
    <x v="0"/>
    <x v="1"/>
    <n v="1"/>
    <x v="3"/>
    <d v="2023-09-01T00:00:00"/>
    <n v="161633"/>
    <x v="6"/>
  </r>
  <r>
    <x v="0"/>
    <x v="1"/>
    <n v="1"/>
    <x v="3"/>
    <d v="2023-09-01T00:00:00"/>
    <n v="161877"/>
    <x v="7"/>
  </r>
  <r>
    <x v="0"/>
    <x v="1"/>
    <n v="1"/>
    <x v="3"/>
    <d v="2023-09-01T00:00:00"/>
    <n v="164569"/>
    <x v="8"/>
  </r>
  <r>
    <x v="0"/>
    <x v="1"/>
    <n v="1"/>
    <x v="3"/>
    <d v="2023-09-01T00:00:00"/>
    <n v="166493"/>
    <x v="9"/>
  </r>
  <r>
    <x v="0"/>
    <x v="1"/>
    <n v="1"/>
    <x v="3"/>
    <d v="2023-09-01T00:00:00"/>
    <n v="163765"/>
    <x v="10"/>
  </r>
  <r>
    <x v="0"/>
    <x v="1"/>
    <n v="1"/>
    <x v="3"/>
    <d v="2023-09-01T00:00:00"/>
    <n v="165565"/>
    <x v="11"/>
  </r>
  <r>
    <x v="0"/>
    <x v="1"/>
    <n v="1"/>
    <x v="3"/>
    <d v="2023-09-01T00:00:00"/>
    <n v="1956848"/>
    <x v="12"/>
  </r>
  <r>
    <x v="0"/>
    <x v="1"/>
    <n v="2"/>
    <x v="4"/>
    <d v="2023-09-01T00:00:00"/>
    <n v="0"/>
    <x v="0"/>
  </r>
  <r>
    <x v="0"/>
    <x v="1"/>
    <n v="2"/>
    <x v="4"/>
    <d v="2023-09-01T00:00:00"/>
    <n v="0"/>
    <x v="1"/>
  </r>
  <r>
    <x v="0"/>
    <x v="1"/>
    <n v="2"/>
    <x v="4"/>
    <d v="2023-09-01T00:00:00"/>
    <n v="0"/>
    <x v="2"/>
  </r>
  <r>
    <x v="0"/>
    <x v="1"/>
    <n v="2"/>
    <x v="4"/>
    <d v="2023-09-01T00:00:00"/>
    <n v="92"/>
    <x v="3"/>
  </r>
  <r>
    <x v="0"/>
    <x v="1"/>
    <n v="2"/>
    <x v="4"/>
    <d v="2023-09-01T00:00:00"/>
    <n v="0"/>
    <x v="4"/>
  </r>
  <r>
    <x v="0"/>
    <x v="1"/>
    <n v="2"/>
    <x v="4"/>
    <d v="2023-09-01T00:00:00"/>
    <n v="0"/>
    <x v="5"/>
  </r>
  <r>
    <x v="0"/>
    <x v="1"/>
    <n v="2"/>
    <x v="4"/>
    <d v="2023-09-01T00:00:00"/>
    <n v="159"/>
    <x v="6"/>
  </r>
  <r>
    <x v="0"/>
    <x v="1"/>
    <n v="2"/>
    <x v="4"/>
    <d v="2023-09-01T00:00:00"/>
    <n v="0"/>
    <x v="7"/>
  </r>
  <r>
    <x v="0"/>
    <x v="1"/>
    <n v="2"/>
    <x v="4"/>
    <d v="2023-09-01T00:00:00"/>
    <n v="291"/>
    <x v="8"/>
  </r>
  <r>
    <x v="0"/>
    <x v="1"/>
    <n v="2"/>
    <x v="4"/>
    <d v="2023-09-01T00:00:00"/>
    <n v="0"/>
    <x v="9"/>
  </r>
  <r>
    <x v="0"/>
    <x v="1"/>
    <n v="2"/>
    <x v="4"/>
    <d v="2023-09-01T00:00:00"/>
    <n v="0"/>
    <x v="10"/>
  </r>
  <r>
    <x v="0"/>
    <x v="1"/>
    <n v="2"/>
    <x v="4"/>
    <d v="2023-09-01T00:00:00"/>
    <n v="0"/>
    <x v="11"/>
  </r>
  <r>
    <x v="0"/>
    <x v="1"/>
    <n v="2"/>
    <x v="4"/>
    <d v="2023-09-01T00:00:00"/>
    <n v="542"/>
    <x v="12"/>
  </r>
  <r>
    <x v="0"/>
    <x v="1"/>
    <n v="3"/>
    <x v="5"/>
    <d v="2023-09-01T00:00:00"/>
    <n v="808"/>
    <x v="0"/>
  </r>
  <r>
    <x v="0"/>
    <x v="1"/>
    <n v="3"/>
    <x v="5"/>
    <d v="2023-09-01T00:00:00"/>
    <n v="995"/>
    <x v="1"/>
  </r>
  <r>
    <x v="0"/>
    <x v="1"/>
    <n v="3"/>
    <x v="5"/>
    <d v="2023-09-01T00:00:00"/>
    <n v="1117"/>
    <x v="2"/>
  </r>
  <r>
    <x v="0"/>
    <x v="1"/>
    <n v="3"/>
    <x v="5"/>
    <d v="2023-09-01T00:00:00"/>
    <n v="942"/>
    <x v="3"/>
  </r>
  <r>
    <x v="0"/>
    <x v="1"/>
    <n v="3"/>
    <x v="5"/>
    <d v="2023-09-01T00:00:00"/>
    <n v="1082"/>
    <x v="4"/>
  </r>
  <r>
    <x v="0"/>
    <x v="1"/>
    <n v="3"/>
    <x v="5"/>
    <d v="2023-09-01T00:00:00"/>
    <n v="969"/>
    <x v="5"/>
  </r>
  <r>
    <x v="0"/>
    <x v="1"/>
    <n v="3"/>
    <x v="5"/>
    <d v="2023-09-01T00:00:00"/>
    <n v="973"/>
    <x v="6"/>
  </r>
  <r>
    <x v="0"/>
    <x v="1"/>
    <n v="3"/>
    <x v="5"/>
    <d v="2023-09-01T00:00:00"/>
    <n v="971"/>
    <x v="7"/>
  </r>
  <r>
    <x v="0"/>
    <x v="1"/>
    <n v="3"/>
    <x v="5"/>
    <d v="2023-09-01T00:00:00"/>
    <n v="971"/>
    <x v="8"/>
  </r>
  <r>
    <x v="0"/>
    <x v="1"/>
    <n v="3"/>
    <x v="5"/>
    <d v="2023-09-01T00:00:00"/>
    <n v="971"/>
    <x v="9"/>
  </r>
  <r>
    <x v="0"/>
    <x v="1"/>
    <n v="3"/>
    <x v="5"/>
    <d v="2023-09-01T00:00:00"/>
    <n v="971"/>
    <x v="10"/>
  </r>
  <r>
    <x v="0"/>
    <x v="1"/>
    <n v="3"/>
    <x v="5"/>
    <d v="2023-09-01T00:00:00"/>
    <n v="972"/>
    <x v="11"/>
  </r>
  <r>
    <x v="0"/>
    <x v="1"/>
    <n v="3"/>
    <x v="5"/>
    <d v="2023-09-01T00:00:00"/>
    <n v="11742"/>
    <x v="12"/>
  </r>
  <r>
    <x v="0"/>
    <x v="1"/>
    <n v="4"/>
    <x v="6"/>
    <d v="2023-09-01T00:00:00"/>
    <n v="3911"/>
    <x v="0"/>
  </r>
  <r>
    <x v="0"/>
    <x v="1"/>
    <n v="4"/>
    <x v="6"/>
    <d v="2023-09-01T00:00:00"/>
    <n v="4096"/>
    <x v="1"/>
  </r>
  <r>
    <x v="0"/>
    <x v="1"/>
    <n v="4"/>
    <x v="6"/>
    <d v="2023-09-01T00:00:00"/>
    <n v="4561"/>
    <x v="2"/>
  </r>
  <r>
    <x v="0"/>
    <x v="1"/>
    <n v="4"/>
    <x v="6"/>
    <d v="2023-09-01T00:00:00"/>
    <n v="4248"/>
    <x v="3"/>
  </r>
  <r>
    <x v="0"/>
    <x v="1"/>
    <n v="4"/>
    <x v="6"/>
    <d v="2023-09-01T00:00:00"/>
    <n v="4350"/>
    <x v="4"/>
  </r>
  <r>
    <x v="0"/>
    <x v="1"/>
    <n v="4"/>
    <x v="6"/>
    <d v="2023-09-01T00:00:00"/>
    <n v="4111"/>
    <x v="5"/>
  </r>
  <r>
    <x v="0"/>
    <x v="1"/>
    <n v="4"/>
    <x v="6"/>
    <d v="2023-09-01T00:00:00"/>
    <n v="4165"/>
    <x v="6"/>
  </r>
  <r>
    <x v="0"/>
    <x v="1"/>
    <n v="4"/>
    <x v="6"/>
    <d v="2023-09-01T00:00:00"/>
    <n v="4165"/>
    <x v="7"/>
  </r>
  <r>
    <x v="0"/>
    <x v="1"/>
    <n v="4"/>
    <x v="6"/>
    <d v="2023-09-01T00:00:00"/>
    <n v="4165"/>
    <x v="8"/>
  </r>
  <r>
    <x v="0"/>
    <x v="1"/>
    <n v="4"/>
    <x v="6"/>
    <d v="2023-09-01T00:00:00"/>
    <n v="4165"/>
    <x v="9"/>
  </r>
  <r>
    <x v="0"/>
    <x v="1"/>
    <n v="4"/>
    <x v="6"/>
    <d v="2023-09-01T00:00:00"/>
    <n v="4165"/>
    <x v="10"/>
  </r>
  <r>
    <x v="0"/>
    <x v="1"/>
    <n v="4"/>
    <x v="6"/>
    <d v="2023-09-01T00:00:00"/>
    <n v="4165"/>
    <x v="11"/>
  </r>
  <r>
    <x v="0"/>
    <x v="1"/>
    <n v="4"/>
    <x v="6"/>
    <d v="2023-09-01T00:00:00"/>
    <n v="50267"/>
    <x v="12"/>
  </r>
  <r>
    <x v="0"/>
    <x v="1"/>
    <n v="8"/>
    <x v="11"/>
    <d v="2023-09-01T00:00:00"/>
    <n v="18650"/>
    <x v="0"/>
  </r>
  <r>
    <x v="0"/>
    <x v="1"/>
    <n v="8"/>
    <x v="11"/>
    <d v="2023-09-01T00:00:00"/>
    <n v="18254"/>
    <x v="1"/>
  </r>
  <r>
    <x v="0"/>
    <x v="1"/>
    <n v="8"/>
    <x v="11"/>
    <d v="2023-09-01T00:00:00"/>
    <n v="18914"/>
    <x v="2"/>
  </r>
  <r>
    <x v="0"/>
    <x v="1"/>
    <n v="8"/>
    <x v="11"/>
    <d v="2023-09-01T00:00:00"/>
    <n v="19128"/>
    <x v="3"/>
  </r>
  <r>
    <x v="0"/>
    <x v="1"/>
    <n v="8"/>
    <x v="11"/>
    <d v="2023-09-01T00:00:00"/>
    <n v="18171"/>
    <x v="4"/>
  </r>
  <r>
    <x v="0"/>
    <x v="1"/>
    <n v="8"/>
    <x v="11"/>
    <d v="2023-09-01T00:00:00"/>
    <n v="19019"/>
    <x v="5"/>
  </r>
  <r>
    <x v="0"/>
    <x v="1"/>
    <n v="8"/>
    <x v="11"/>
    <d v="2023-09-01T00:00:00"/>
    <n v="18870"/>
    <x v="6"/>
  </r>
  <r>
    <x v="0"/>
    <x v="1"/>
    <n v="8"/>
    <x v="11"/>
    <d v="2023-09-01T00:00:00"/>
    <n v="18667"/>
    <x v="7"/>
  </r>
  <r>
    <x v="0"/>
    <x v="1"/>
    <n v="8"/>
    <x v="11"/>
    <d v="2023-09-01T00:00:00"/>
    <n v="18870"/>
    <x v="8"/>
  </r>
  <r>
    <x v="0"/>
    <x v="1"/>
    <n v="8"/>
    <x v="11"/>
    <d v="2023-09-01T00:00:00"/>
    <n v="18870"/>
    <x v="9"/>
  </r>
  <r>
    <x v="0"/>
    <x v="1"/>
    <n v="8"/>
    <x v="11"/>
    <d v="2023-09-01T00:00:00"/>
    <n v="18262"/>
    <x v="10"/>
  </r>
  <r>
    <x v="0"/>
    <x v="1"/>
    <n v="8"/>
    <x v="11"/>
    <d v="2023-09-01T00:00:00"/>
    <n v="18870"/>
    <x v="11"/>
  </r>
  <r>
    <x v="0"/>
    <x v="1"/>
    <n v="8"/>
    <x v="11"/>
    <d v="2023-09-01T00:00:00"/>
    <n v="224545"/>
    <x v="12"/>
  </r>
  <r>
    <x v="0"/>
    <x v="1"/>
    <n v="9"/>
    <x v="10"/>
    <d v="2023-09-01T00:00:00"/>
    <n v="9311"/>
    <x v="0"/>
  </r>
  <r>
    <x v="0"/>
    <x v="1"/>
    <n v="9"/>
    <x v="10"/>
    <d v="2023-09-01T00:00:00"/>
    <n v="10367"/>
    <x v="1"/>
  </r>
  <r>
    <x v="0"/>
    <x v="1"/>
    <n v="9"/>
    <x v="10"/>
    <d v="2023-09-01T00:00:00"/>
    <n v="11368"/>
    <x v="2"/>
  </r>
  <r>
    <x v="0"/>
    <x v="1"/>
    <n v="9"/>
    <x v="10"/>
    <d v="2023-09-01T00:00:00"/>
    <n v="10969"/>
    <x v="3"/>
  </r>
  <r>
    <x v="0"/>
    <x v="1"/>
    <n v="9"/>
    <x v="10"/>
    <d v="2023-09-01T00:00:00"/>
    <n v="12193"/>
    <x v="4"/>
  </r>
  <r>
    <x v="0"/>
    <x v="1"/>
    <n v="9"/>
    <x v="10"/>
    <d v="2023-09-01T00:00:00"/>
    <n v="10794"/>
    <x v="5"/>
  </r>
  <r>
    <x v="0"/>
    <x v="1"/>
    <n v="9"/>
    <x v="10"/>
    <d v="2023-09-01T00:00:00"/>
    <n v="11038"/>
    <x v="6"/>
  </r>
  <r>
    <x v="0"/>
    <x v="1"/>
    <n v="9"/>
    <x v="10"/>
    <d v="2023-09-01T00:00:00"/>
    <n v="10886"/>
    <x v="7"/>
  </r>
  <r>
    <x v="0"/>
    <x v="1"/>
    <n v="9"/>
    <x v="10"/>
    <d v="2023-09-01T00:00:00"/>
    <n v="10751"/>
    <x v="8"/>
  </r>
  <r>
    <x v="0"/>
    <x v="1"/>
    <n v="9"/>
    <x v="10"/>
    <d v="2023-09-01T00:00:00"/>
    <n v="11326"/>
    <x v="9"/>
  </r>
  <r>
    <x v="0"/>
    <x v="1"/>
    <n v="9"/>
    <x v="10"/>
    <d v="2023-09-01T00:00:00"/>
    <n v="10296"/>
    <x v="10"/>
  </r>
  <r>
    <x v="0"/>
    <x v="1"/>
    <n v="9"/>
    <x v="10"/>
    <d v="2023-09-01T00:00:00"/>
    <n v="10462"/>
    <x v="11"/>
  </r>
  <r>
    <x v="0"/>
    <x v="1"/>
    <n v="9"/>
    <x v="10"/>
    <d v="2023-09-01T00:00:00"/>
    <n v="129761"/>
    <x v="12"/>
  </r>
  <r>
    <x v="0"/>
    <x v="1"/>
    <n v="10"/>
    <x v="0"/>
    <d v="2023-09-01T00:00:00"/>
    <n v="81090"/>
    <x v="0"/>
  </r>
  <r>
    <x v="0"/>
    <x v="1"/>
    <n v="10"/>
    <x v="0"/>
    <d v="2023-09-01T00:00:00"/>
    <n v="85302"/>
    <x v="1"/>
  </r>
  <r>
    <x v="0"/>
    <x v="1"/>
    <n v="10"/>
    <x v="0"/>
    <d v="2023-09-01T00:00:00"/>
    <n v="102663"/>
    <x v="2"/>
  </r>
  <r>
    <x v="0"/>
    <x v="1"/>
    <n v="10"/>
    <x v="0"/>
    <d v="2023-09-01T00:00:00"/>
    <n v="96188"/>
    <x v="3"/>
  </r>
  <r>
    <x v="0"/>
    <x v="1"/>
    <n v="10"/>
    <x v="0"/>
    <d v="2023-09-01T00:00:00"/>
    <n v="87990"/>
    <x v="4"/>
  </r>
  <r>
    <x v="0"/>
    <x v="1"/>
    <n v="10"/>
    <x v="0"/>
    <d v="2023-09-01T00:00:00"/>
    <n v="86790"/>
    <x v="5"/>
  </r>
  <r>
    <x v="0"/>
    <x v="1"/>
    <n v="10"/>
    <x v="0"/>
    <d v="2023-09-01T00:00:00"/>
    <n v="87602"/>
    <x v="6"/>
  </r>
  <r>
    <x v="0"/>
    <x v="1"/>
    <n v="10"/>
    <x v="0"/>
    <d v="2023-09-01T00:00:00"/>
    <n v="87667"/>
    <x v="7"/>
  </r>
  <r>
    <x v="0"/>
    <x v="1"/>
    <n v="10"/>
    <x v="0"/>
    <d v="2023-09-01T00:00:00"/>
    <n v="87642"/>
    <x v="8"/>
  </r>
  <r>
    <x v="0"/>
    <x v="1"/>
    <n v="10"/>
    <x v="0"/>
    <d v="2023-09-01T00:00:00"/>
    <n v="87965"/>
    <x v="9"/>
  </r>
  <r>
    <x v="0"/>
    <x v="1"/>
    <n v="10"/>
    <x v="0"/>
    <d v="2023-09-01T00:00:00"/>
    <n v="87795"/>
    <x v="10"/>
  </r>
  <r>
    <x v="0"/>
    <x v="1"/>
    <n v="10"/>
    <x v="0"/>
    <d v="2023-09-01T00:00:00"/>
    <n v="87659"/>
    <x v="11"/>
  </r>
  <r>
    <x v="0"/>
    <x v="1"/>
    <n v="10"/>
    <x v="0"/>
    <d v="2023-09-01T00:00:00"/>
    <n v="1066353"/>
    <x v="12"/>
  </r>
  <r>
    <x v="0"/>
    <x v="1"/>
    <n v="11"/>
    <x v="1"/>
    <d v="2023-09-01T00:00:00"/>
    <n v="16004"/>
    <x v="0"/>
  </r>
  <r>
    <x v="0"/>
    <x v="1"/>
    <n v="11"/>
    <x v="1"/>
    <d v="2023-09-01T00:00:00"/>
    <n v="18405"/>
    <x v="1"/>
  </r>
  <r>
    <x v="0"/>
    <x v="1"/>
    <n v="11"/>
    <x v="1"/>
    <d v="2023-09-01T00:00:00"/>
    <n v="18429"/>
    <x v="2"/>
  </r>
  <r>
    <x v="0"/>
    <x v="1"/>
    <n v="11"/>
    <x v="1"/>
    <d v="2023-09-01T00:00:00"/>
    <n v="17149"/>
    <x v="3"/>
  </r>
  <r>
    <x v="0"/>
    <x v="1"/>
    <n v="11"/>
    <x v="1"/>
    <d v="2023-09-01T00:00:00"/>
    <n v="18832"/>
    <x v="4"/>
  </r>
  <r>
    <x v="0"/>
    <x v="1"/>
    <n v="11"/>
    <x v="1"/>
    <d v="2023-09-01T00:00:00"/>
    <n v="18748"/>
    <x v="5"/>
  </r>
  <r>
    <x v="0"/>
    <x v="1"/>
    <n v="11"/>
    <x v="1"/>
    <d v="2023-09-01T00:00:00"/>
    <n v="15318"/>
    <x v="6"/>
  </r>
  <r>
    <x v="0"/>
    <x v="1"/>
    <n v="11"/>
    <x v="1"/>
    <d v="2023-09-01T00:00:00"/>
    <n v="14285"/>
    <x v="7"/>
  </r>
  <r>
    <x v="0"/>
    <x v="1"/>
    <n v="11"/>
    <x v="1"/>
    <d v="2023-09-01T00:00:00"/>
    <n v="14302"/>
    <x v="8"/>
  </r>
  <r>
    <x v="0"/>
    <x v="1"/>
    <n v="11"/>
    <x v="1"/>
    <d v="2023-09-01T00:00:00"/>
    <n v="14491"/>
    <x v="9"/>
  </r>
  <r>
    <x v="0"/>
    <x v="1"/>
    <n v="11"/>
    <x v="1"/>
    <d v="2023-09-01T00:00:00"/>
    <n v="14505"/>
    <x v="10"/>
  </r>
  <r>
    <x v="0"/>
    <x v="1"/>
    <n v="11"/>
    <x v="1"/>
    <d v="2023-09-01T00:00:00"/>
    <n v="14661"/>
    <x v="11"/>
  </r>
  <r>
    <x v="0"/>
    <x v="1"/>
    <n v="11"/>
    <x v="1"/>
    <d v="2023-09-01T00:00:00"/>
    <n v="195129"/>
    <x v="12"/>
  </r>
  <r>
    <x v="0"/>
    <x v="1"/>
    <n v="12"/>
    <x v="2"/>
    <d v="2023-09-01T00:00:00"/>
    <n v="6528"/>
    <x v="0"/>
  </r>
  <r>
    <x v="0"/>
    <x v="1"/>
    <n v="12"/>
    <x v="2"/>
    <d v="2023-09-01T00:00:00"/>
    <n v="7625"/>
    <x v="1"/>
  </r>
  <r>
    <x v="0"/>
    <x v="1"/>
    <n v="12"/>
    <x v="2"/>
    <d v="2023-09-01T00:00:00"/>
    <n v="7879"/>
    <x v="2"/>
  </r>
  <r>
    <x v="0"/>
    <x v="1"/>
    <n v="12"/>
    <x v="2"/>
    <d v="2023-09-01T00:00:00"/>
    <n v="8113"/>
    <x v="3"/>
  </r>
  <r>
    <x v="0"/>
    <x v="1"/>
    <n v="12"/>
    <x v="2"/>
    <d v="2023-09-01T00:00:00"/>
    <n v="8408"/>
    <x v="4"/>
  </r>
  <r>
    <x v="0"/>
    <x v="1"/>
    <n v="12"/>
    <x v="2"/>
    <d v="2023-09-01T00:00:00"/>
    <n v="7711"/>
    <x v="5"/>
  </r>
  <r>
    <x v="0"/>
    <x v="1"/>
    <n v="12"/>
    <x v="2"/>
    <d v="2023-09-01T00:00:00"/>
    <n v="8039"/>
    <x v="6"/>
  </r>
  <r>
    <x v="0"/>
    <x v="1"/>
    <n v="12"/>
    <x v="2"/>
    <d v="2023-09-01T00:00:00"/>
    <n v="8015"/>
    <x v="7"/>
  </r>
  <r>
    <x v="0"/>
    <x v="1"/>
    <n v="12"/>
    <x v="2"/>
    <d v="2023-09-01T00:00:00"/>
    <n v="8018"/>
    <x v="8"/>
  </r>
  <r>
    <x v="0"/>
    <x v="1"/>
    <n v="12"/>
    <x v="2"/>
    <d v="2023-09-01T00:00:00"/>
    <n v="8038"/>
    <x v="9"/>
  </r>
  <r>
    <x v="0"/>
    <x v="1"/>
    <n v="12"/>
    <x v="2"/>
    <d v="2023-09-01T00:00:00"/>
    <n v="7909"/>
    <x v="10"/>
  </r>
  <r>
    <x v="0"/>
    <x v="1"/>
    <n v="12"/>
    <x v="2"/>
    <d v="2023-09-01T00:00:00"/>
    <n v="8044"/>
    <x v="11"/>
  </r>
  <r>
    <x v="0"/>
    <x v="1"/>
    <n v="12"/>
    <x v="2"/>
    <d v="2023-09-01T00:00:00"/>
    <n v="94327"/>
    <x v="12"/>
  </r>
  <r>
    <x v="0"/>
    <x v="1"/>
    <n v="13"/>
    <x v="12"/>
    <d v="2023-09-01T00:00:00"/>
    <n v="26228"/>
    <x v="0"/>
  </r>
  <r>
    <x v="0"/>
    <x v="1"/>
    <n v="13"/>
    <x v="12"/>
    <d v="2023-09-01T00:00:00"/>
    <n v="28071"/>
    <x v="1"/>
  </r>
  <r>
    <x v="0"/>
    <x v="1"/>
    <n v="13"/>
    <x v="12"/>
    <d v="2023-09-01T00:00:00"/>
    <n v="27614"/>
    <x v="2"/>
  </r>
  <r>
    <x v="0"/>
    <x v="1"/>
    <n v="13"/>
    <x v="12"/>
    <d v="2023-09-01T00:00:00"/>
    <n v="29113"/>
    <x v="3"/>
  </r>
  <r>
    <x v="0"/>
    <x v="1"/>
    <n v="13"/>
    <x v="12"/>
    <d v="2023-09-01T00:00:00"/>
    <n v="28912"/>
    <x v="4"/>
  </r>
  <r>
    <x v="0"/>
    <x v="1"/>
    <n v="13"/>
    <x v="12"/>
    <d v="2023-09-01T00:00:00"/>
    <n v="27065"/>
    <x v="5"/>
  </r>
  <r>
    <x v="0"/>
    <x v="1"/>
    <n v="13"/>
    <x v="12"/>
    <d v="2023-09-01T00:00:00"/>
    <n v="28099"/>
    <x v="6"/>
  </r>
  <r>
    <x v="0"/>
    <x v="1"/>
    <n v="13"/>
    <x v="12"/>
    <d v="2023-09-01T00:00:00"/>
    <n v="27959"/>
    <x v="7"/>
  </r>
  <r>
    <x v="0"/>
    <x v="1"/>
    <n v="13"/>
    <x v="12"/>
    <d v="2023-09-01T00:00:00"/>
    <n v="27890"/>
    <x v="8"/>
  </r>
  <r>
    <x v="0"/>
    <x v="1"/>
    <n v="13"/>
    <x v="12"/>
    <d v="2023-09-01T00:00:00"/>
    <n v="27845"/>
    <x v="9"/>
  </r>
  <r>
    <x v="0"/>
    <x v="1"/>
    <n v="13"/>
    <x v="12"/>
    <d v="2023-09-01T00:00:00"/>
    <n v="27817"/>
    <x v="10"/>
  </r>
  <r>
    <x v="0"/>
    <x v="1"/>
    <n v="13"/>
    <x v="12"/>
    <d v="2023-09-01T00:00:00"/>
    <n v="27807"/>
    <x v="11"/>
  </r>
  <r>
    <x v="0"/>
    <x v="1"/>
    <n v="13"/>
    <x v="12"/>
    <d v="2023-09-01T00:00:00"/>
    <n v="334420"/>
    <x v="12"/>
  </r>
  <r>
    <x v="0"/>
    <x v="1"/>
    <n v="14"/>
    <x v="13"/>
    <d v="2023-09-01T00:00:00"/>
    <n v="0"/>
    <x v="0"/>
  </r>
  <r>
    <x v="0"/>
    <x v="1"/>
    <n v="14"/>
    <x v="13"/>
    <d v="2023-09-01T00:00:00"/>
    <n v="0"/>
    <x v="1"/>
  </r>
  <r>
    <x v="0"/>
    <x v="1"/>
    <n v="14"/>
    <x v="13"/>
    <d v="2023-09-01T00:00:00"/>
    <n v="0"/>
    <x v="2"/>
  </r>
  <r>
    <x v="0"/>
    <x v="1"/>
    <n v="14"/>
    <x v="13"/>
    <d v="2023-09-01T00:00:00"/>
    <n v="0"/>
    <x v="3"/>
  </r>
  <r>
    <x v="0"/>
    <x v="1"/>
    <n v="14"/>
    <x v="13"/>
    <d v="2023-09-01T00:00:00"/>
    <n v="0"/>
    <x v="4"/>
  </r>
  <r>
    <x v="0"/>
    <x v="1"/>
    <n v="14"/>
    <x v="13"/>
    <d v="2023-09-01T00:00:00"/>
    <n v="0"/>
    <x v="5"/>
  </r>
  <r>
    <x v="0"/>
    <x v="1"/>
    <n v="14"/>
    <x v="13"/>
    <d v="2023-09-01T00:00:00"/>
    <n v="0"/>
    <x v="6"/>
  </r>
  <r>
    <x v="0"/>
    <x v="1"/>
    <n v="14"/>
    <x v="13"/>
    <d v="2023-09-01T00:00:00"/>
    <n v="0"/>
    <x v="7"/>
  </r>
  <r>
    <x v="0"/>
    <x v="1"/>
    <n v="14"/>
    <x v="13"/>
    <d v="2023-09-01T00:00:00"/>
    <n v="0"/>
    <x v="8"/>
  </r>
  <r>
    <x v="0"/>
    <x v="1"/>
    <n v="14"/>
    <x v="13"/>
    <d v="2023-09-01T00:00:00"/>
    <n v="0"/>
    <x v="9"/>
  </r>
  <r>
    <x v="0"/>
    <x v="1"/>
    <n v="14"/>
    <x v="13"/>
    <d v="2023-09-01T00:00:00"/>
    <n v="0"/>
    <x v="10"/>
  </r>
  <r>
    <x v="0"/>
    <x v="1"/>
    <n v="14"/>
    <x v="13"/>
    <d v="2023-09-01T00:00:00"/>
    <n v="0"/>
    <x v="11"/>
  </r>
  <r>
    <x v="0"/>
    <x v="1"/>
    <n v="14"/>
    <x v="13"/>
    <d v="2023-09-01T00:00:00"/>
    <n v="0"/>
    <x v="12"/>
  </r>
  <r>
    <x v="0"/>
    <x v="1"/>
    <n v="15"/>
    <x v="14"/>
    <d v="2023-09-01T00:00:00"/>
    <n v="10068"/>
    <x v="0"/>
  </r>
  <r>
    <x v="0"/>
    <x v="1"/>
    <n v="15"/>
    <x v="14"/>
    <d v="2023-09-01T00:00:00"/>
    <n v="10242"/>
    <x v="1"/>
  </r>
  <r>
    <x v="0"/>
    <x v="1"/>
    <n v="15"/>
    <x v="14"/>
    <d v="2023-09-01T00:00:00"/>
    <n v="10026"/>
    <x v="2"/>
  </r>
  <r>
    <x v="0"/>
    <x v="1"/>
    <n v="15"/>
    <x v="14"/>
    <d v="2023-09-01T00:00:00"/>
    <n v="12336"/>
    <x v="3"/>
  </r>
  <r>
    <x v="0"/>
    <x v="1"/>
    <n v="15"/>
    <x v="14"/>
    <d v="2023-09-01T00:00:00"/>
    <n v="11321"/>
    <x v="4"/>
  </r>
  <r>
    <x v="0"/>
    <x v="1"/>
    <n v="15"/>
    <x v="14"/>
    <d v="2023-09-01T00:00:00"/>
    <n v="10817"/>
    <x v="5"/>
  </r>
  <r>
    <x v="0"/>
    <x v="1"/>
    <n v="15"/>
    <x v="14"/>
    <d v="2023-09-01T00:00:00"/>
    <n v="10399"/>
    <x v="6"/>
  </r>
  <r>
    <x v="0"/>
    <x v="1"/>
    <n v="15"/>
    <x v="14"/>
    <d v="2023-09-01T00:00:00"/>
    <n v="10136"/>
    <x v="7"/>
  </r>
  <r>
    <x v="0"/>
    <x v="1"/>
    <n v="15"/>
    <x v="14"/>
    <d v="2023-09-01T00:00:00"/>
    <n v="10399"/>
    <x v="8"/>
  </r>
  <r>
    <x v="0"/>
    <x v="1"/>
    <n v="15"/>
    <x v="14"/>
    <d v="2023-09-01T00:00:00"/>
    <n v="10399"/>
    <x v="9"/>
  </r>
  <r>
    <x v="0"/>
    <x v="1"/>
    <n v="15"/>
    <x v="14"/>
    <d v="2023-09-01T00:00:00"/>
    <n v="9610"/>
    <x v="10"/>
  </r>
  <r>
    <x v="0"/>
    <x v="1"/>
    <n v="15"/>
    <x v="14"/>
    <d v="2023-09-01T00:00:00"/>
    <n v="10399"/>
    <x v="11"/>
  </r>
  <r>
    <x v="0"/>
    <x v="1"/>
    <n v="15"/>
    <x v="14"/>
    <d v="2023-09-01T00:00:00"/>
    <n v="126152"/>
    <x v="12"/>
  </r>
  <r>
    <x v="0"/>
    <x v="1"/>
    <n v="16"/>
    <x v="15"/>
    <d v="2023-09-01T00:00:00"/>
    <n v="2119"/>
    <x v="0"/>
  </r>
  <r>
    <x v="0"/>
    <x v="1"/>
    <n v="16"/>
    <x v="15"/>
    <d v="2023-09-01T00:00:00"/>
    <n v="2112"/>
    <x v="1"/>
  </r>
  <r>
    <x v="0"/>
    <x v="1"/>
    <n v="16"/>
    <x v="15"/>
    <d v="2023-09-01T00:00:00"/>
    <n v="2171"/>
    <x v="2"/>
  </r>
  <r>
    <x v="0"/>
    <x v="1"/>
    <n v="16"/>
    <x v="15"/>
    <d v="2023-09-01T00:00:00"/>
    <n v="2437"/>
    <x v="3"/>
  </r>
  <r>
    <x v="0"/>
    <x v="1"/>
    <n v="16"/>
    <x v="15"/>
    <d v="2023-09-01T00:00:00"/>
    <n v="1613"/>
    <x v="4"/>
  </r>
  <r>
    <x v="0"/>
    <x v="1"/>
    <n v="16"/>
    <x v="15"/>
    <d v="2023-09-01T00:00:00"/>
    <n v="2090"/>
    <x v="5"/>
  </r>
  <r>
    <x v="0"/>
    <x v="1"/>
    <n v="16"/>
    <x v="15"/>
    <d v="2023-09-01T00:00:00"/>
    <n v="1492"/>
    <x v="6"/>
  </r>
  <r>
    <x v="0"/>
    <x v="1"/>
    <n v="16"/>
    <x v="15"/>
    <d v="2023-09-01T00:00:00"/>
    <n v="1376"/>
    <x v="7"/>
  </r>
  <r>
    <x v="0"/>
    <x v="1"/>
    <n v="16"/>
    <x v="15"/>
    <d v="2023-09-01T00:00:00"/>
    <n v="1364"/>
    <x v="8"/>
  </r>
  <r>
    <x v="0"/>
    <x v="1"/>
    <n v="16"/>
    <x v="15"/>
    <d v="2023-09-01T00:00:00"/>
    <n v="1409"/>
    <x v="9"/>
  </r>
  <r>
    <x v="0"/>
    <x v="1"/>
    <n v="16"/>
    <x v="15"/>
    <d v="2023-09-01T00:00:00"/>
    <n v="1308"/>
    <x v="10"/>
  </r>
  <r>
    <x v="0"/>
    <x v="1"/>
    <n v="16"/>
    <x v="15"/>
    <d v="2023-09-01T00:00:00"/>
    <n v="1258"/>
    <x v="11"/>
  </r>
  <r>
    <x v="0"/>
    <x v="1"/>
    <n v="16"/>
    <x v="15"/>
    <d v="2023-09-01T00:00:00"/>
    <n v="20749"/>
    <x v="12"/>
  </r>
  <r>
    <x v="0"/>
    <x v="1"/>
    <n v="17"/>
    <x v="16"/>
    <d v="2023-09-01T00:00:00"/>
    <n v="242"/>
    <x v="0"/>
  </r>
  <r>
    <x v="0"/>
    <x v="1"/>
    <n v="17"/>
    <x v="16"/>
    <d v="2023-09-01T00:00:00"/>
    <n v="140"/>
    <x v="1"/>
  </r>
  <r>
    <x v="0"/>
    <x v="1"/>
    <n v="17"/>
    <x v="16"/>
    <d v="2023-09-01T00:00:00"/>
    <n v="299"/>
    <x v="2"/>
  </r>
  <r>
    <x v="0"/>
    <x v="1"/>
    <n v="17"/>
    <x v="16"/>
    <d v="2023-09-01T00:00:00"/>
    <n v="316"/>
    <x v="3"/>
  </r>
  <r>
    <x v="0"/>
    <x v="1"/>
    <n v="17"/>
    <x v="16"/>
    <d v="2023-09-01T00:00:00"/>
    <n v="333"/>
    <x v="4"/>
  </r>
  <r>
    <x v="0"/>
    <x v="1"/>
    <n v="17"/>
    <x v="16"/>
    <d v="2023-09-01T00:00:00"/>
    <n v="242"/>
    <x v="5"/>
  </r>
  <r>
    <x v="0"/>
    <x v="1"/>
    <n v="17"/>
    <x v="16"/>
    <d v="2023-09-01T00:00:00"/>
    <n v="264"/>
    <x v="6"/>
  </r>
  <r>
    <x v="0"/>
    <x v="1"/>
    <n v="17"/>
    <x v="16"/>
    <d v="2023-09-01T00:00:00"/>
    <n v="264"/>
    <x v="7"/>
  </r>
  <r>
    <x v="0"/>
    <x v="1"/>
    <n v="17"/>
    <x v="16"/>
    <d v="2023-09-01T00:00:00"/>
    <n v="264"/>
    <x v="8"/>
  </r>
  <r>
    <x v="0"/>
    <x v="1"/>
    <n v="17"/>
    <x v="16"/>
    <d v="2023-09-01T00:00:00"/>
    <n v="264"/>
    <x v="9"/>
  </r>
  <r>
    <x v="0"/>
    <x v="1"/>
    <n v="17"/>
    <x v="16"/>
    <d v="2023-09-01T00:00:00"/>
    <n v="264"/>
    <x v="10"/>
  </r>
  <r>
    <x v="0"/>
    <x v="1"/>
    <n v="17"/>
    <x v="16"/>
    <d v="2023-09-01T00:00:00"/>
    <n v="264"/>
    <x v="11"/>
  </r>
  <r>
    <x v="0"/>
    <x v="1"/>
    <n v="17"/>
    <x v="16"/>
    <d v="2023-09-01T00:00:00"/>
    <n v="3156"/>
    <x v="12"/>
  </r>
  <r>
    <x v="0"/>
    <x v="1"/>
    <n v="18"/>
    <x v="17"/>
    <d v="2023-09-01T00:00:00"/>
    <n v="339"/>
    <x v="0"/>
  </r>
  <r>
    <x v="0"/>
    <x v="1"/>
    <n v="18"/>
    <x v="17"/>
    <d v="2023-09-01T00:00:00"/>
    <n v="778"/>
    <x v="1"/>
  </r>
  <r>
    <x v="0"/>
    <x v="1"/>
    <n v="18"/>
    <x v="17"/>
    <d v="2023-09-01T00:00:00"/>
    <n v="-3553"/>
    <x v="2"/>
  </r>
  <r>
    <x v="0"/>
    <x v="1"/>
    <n v="18"/>
    <x v="17"/>
    <d v="2023-09-01T00:00:00"/>
    <n v="563"/>
    <x v="3"/>
  </r>
  <r>
    <x v="0"/>
    <x v="1"/>
    <n v="18"/>
    <x v="17"/>
    <d v="2023-09-01T00:00:00"/>
    <n v="477"/>
    <x v="4"/>
  </r>
  <r>
    <x v="0"/>
    <x v="1"/>
    <n v="18"/>
    <x v="17"/>
    <d v="2023-09-01T00:00:00"/>
    <n v="521"/>
    <x v="5"/>
  </r>
  <r>
    <x v="0"/>
    <x v="1"/>
    <n v="18"/>
    <x v="17"/>
    <d v="2023-09-01T00:00:00"/>
    <n v="533"/>
    <x v="6"/>
  </r>
  <r>
    <x v="0"/>
    <x v="1"/>
    <n v="18"/>
    <x v="17"/>
    <d v="2023-09-01T00:00:00"/>
    <n v="533"/>
    <x v="7"/>
  </r>
  <r>
    <x v="0"/>
    <x v="1"/>
    <n v="18"/>
    <x v="17"/>
    <d v="2023-09-01T00:00:00"/>
    <n v="533"/>
    <x v="8"/>
  </r>
  <r>
    <x v="0"/>
    <x v="1"/>
    <n v="18"/>
    <x v="17"/>
    <d v="2023-09-01T00:00:00"/>
    <n v="533"/>
    <x v="9"/>
  </r>
  <r>
    <x v="0"/>
    <x v="1"/>
    <n v="18"/>
    <x v="17"/>
    <d v="2023-09-01T00:00:00"/>
    <n v="533"/>
    <x v="10"/>
  </r>
  <r>
    <x v="0"/>
    <x v="1"/>
    <n v="18"/>
    <x v="17"/>
    <d v="2023-09-01T00:00:00"/>
    <n v="533"/>
    <x v="11"/>
  </r>
  <r>
    <x v="0"/>
    <x v="1"/>
    <n v="18"/>
    <x v="17"/>
    <d v="2023-09-01T00:00:00"/>
    <n v="2323"/>
    <x v="12"/>
  </r>
  <r>
    <x v="0"/>
    <x v="1"/>
    <n v="19"/>
    <x v="18"/>
    <d v="2023-09-01T00:00:00"/>
    <n v="0"/>
    <x v="0"/>
  </r>
  <r>
    <x v="0"/>
    <x v="1"/>
    <n v="19"/>
    <x v="18"/>
    <d v="2023-09-01T00:00:00"/>
    <n v="0"/>
    <x v="1"/>
  </r>
  <r>
    <x v="0"/>
    <x v="1"/>
    <n v="19"/>
    <x v="18"/>
    <d v="2023-09-01T00:00:00"/>
    <n v="0"/>
    <x v="2"/>
  </r>
  <r>
    <x v="0"/>
    <x v="1"/>
    <n v="19"/>
    <x v="18"/>
    <d v="2023-09-01T00:00:00"/>
    <n v="0"/>
    <x v="3"/>
  </r>
  <r>
    <x v="0"/>
    <x v="1"/>
    <n v="19"/>
    <x v="18"/>
    <d v="2023-09-01T00:00:00"/>
    <n v="0"/>
    <x v="4"/>
  </r>
  <r>
    <x v="0"/>
    <x v="1"/>
    <n v="19"/>
    <x v="18"/>
    <d v="2023-09-01T00:00:00"/>
    <n v="0"/>
    <x v="5"/>
  </r>
  <r>
    <x v="0"/>
    <x v="1"/>
    <n v="19"/>
    <x v="18"/>
    <d v="2023-09-01T00:00:00"/>
    <n v="0"/>
    <x v="6"/>
  </r>
  <r>
    <x v="0"/>
    <x v="1"/>
    <n v="19"/>
    <x v="18"/>
    <d v="2023-09-01T00:00:00"/>
    <n v="0"/>
    <x v="7"/>
  </r>
  <r>
    <x v="0"/>
    <x v="1"/>
    <n v="19"/>
    <x v="18"/>
    <d v="2023-09-01T00:00:00"/>
    <n v="0"/>
    <x v="8"/>
  </r>
  <r>
    <x v="0"/>
    <x v="1"/>
    <n v="19"/>
    <x v="18"/>
    <d v="2023-09-01T00:00:00"/>
    <n v="0"/>
    <x v="9"/>
  </r>
  <r>
    <x v="0"/>
    <x v="1"/>
    <n v="19"/>
    <x v="18"/>
    <d v="2023-09-01T00:00:00"/>
    <n v="0"/>
    <x v="10"/>
  </r>
  <r>
    <x v="0"/>
    <x v="1"/>
    <n v="19"/>
    <x v="18"/>
    <d v="2023-09-01T00:00:00"/>
    <n v="0"/>
    <x v="11"/>
  </r>
  <r>
    <x v="0"/>
    <x v="1"/>
    <n v="19"/>
    <x v="18"/>
    <d v="2023-09-01T00:00:00"/>
    <n v="0"/>
    <x v="12"/>
  </r>
  <r>
    <x v="0"/>
    <x v="1"/>
    <n v="20"/>
    <x v="19"/>
    <d v="2023-09-01T00:00:00"/>
    <n v="0"/>
    <x v="0"/>
  </r>
  <r>
    <x v="0"/>
    <x v="1"/>
    <n v="20"/>
    <x v="19"/>
    <d v="2023-09-01T00:00:00"/>
    <n v="0"/>
    <x v="1"/>
  </r>
  <r>
    <x v="0"/>
    <x v="1"/>
    <n v="20"/>
    <x v="19"/>
    <d v="2023-09-01T00:00:00"/>
    <n v="0"/>
    <x v="2"/>
  </r>
  <r>
    <x v="0"/>
    <x v="1"/>
    <n v="20"/>
    <x v="19"/>
    <d v="2023-09-01T00:00:00"/>
    <n v="0"/>
    <x v="3"/>
  </r>
  <r>
    <x v="0"/>
    <x v="1"/>
    <n v="20"/>
    <x v="19"/>
    <d v="2023-09-01T00:00:00"/>
    <n v="0"/>
    <x v="4"/>
  </r>
  <r>
    <x v="0"/>
    <x v="1"/>
    <n v="20"/>
    <x v="19"/>
    <d v="2023-09-01T00:00:00"/>
    <n v="0"/>
    <x v="5"/>
  </r>
  <r>
    <x v="0"/>
    <x v="1"/>
    <n v="20"/>
    <x v="19"/>
    <d v="2023-09-01T00:00:00"/>
    <n v="0"/>
    <x v="6"/>
  </r>
  <r>
    <x v="0"/>
    <x v="1"/>
    <n v="20"/>
    <x v="19"/>
    <d v="2023-09-01T00:00:00"/>
    <n v="0"/>
    <x v="7"/>
  </r>
  <r>
    <x v="0"/>
    <x v="1"/>
    <n v="20"/>
    <x v="19"/>
    <d v="2023-09-01T00:00:00"/>
    <n v="0"/>
    <x v="8"/>
  </r>
  <r>
    <x v="0"/>
    <x v="1"/>
    <n v="20"/>
    <x v="19"/>
    <d v="2023-09-01T00:00:00"/>
    <n v="0"/>
    <x v="9"/>
  </r>
  <r>
    <x v="0"/>
    <x v="1"/>
    <n v="20"/>
    <x v="19"/>
    <d v="2023-09-01T00:00:00"/>
    <n v="0"/>
    <x v="10"/>
  </r>
  <r>
    <x v="0"/>
    <x v="1"/>
    <n v="20"/>
    <x v="19"/>
    <d v="2023-09-01T00:00:00"/>
    <n v="0"/>
    <x v="11"/>
  </r>
  <r>
    <x v="0"/>
    <x v="1"/>
    <n v="20"/>
    <x v="19"/>
    <d v="2023-09-01T00:00:00"/>
    <n v="0"/>
    <x v="12"/>
  </r>
  <r>
    <x v="0"/>
    <x v="1"/>
    <n v="21"/>
    <x v="20"/>
    <d v="2023-09-01T00:00:00"/>
    <n v="0"/>
    <x v="0"/>
  </r>
  <r>
    <x v="0"/>
    <x v="1"/>
    <n v="21"/>
    <x v="20"/>
    <d v="2023-09-01T00:00:00"/>
    <n v="0"/>
    <x v="1"/>
  </r>
  <r>
    <x v="0"/>
    <x v="1"/>
    <n v="21"/>
    <x v="20"/>
    <d v="2023-09-01T00:00:00"/>
    <n v="0"/>
    <x v="2"/>
  </r>
  <r>
    <x v="0"/>
    <x v="1"/>
    <n v="21"/>
    <x v="20"/>
    <d v="2023-09-01T00:00:00"/>
    <n v="0"/>
    <x v="3"/>
  </r>
  <r>
    <x v="0"/>
    <x v="1"/>
    <n v="21"/>
    <x v="20"/>
    <d v="2023-09-01T00:00:00"/>
    <n v="0"/>
    <x v="4"/>
  </r>
  <r>
    <x v="0"/>
    <x v="1"/>
    <n v="21"/>
    <x v="20"/>
    <d v="2023-09-01T00:00:00"/>
    <n v="0"/>
    <x v="5"/>
  </r>
  <r>
    <x v="0"/>
    <x v="1"/>
    <n v="21"/>
    <x v="20"/>
    <d v="2023-09-01T00:00:00"/>
    <n v="0"/>
    <x v="6"/>
  </r>
  <r>
    <x v="0"/>
    <x v="1"/>
    <n v="21"/>
    <x v="20"/>
    <d v="2023-09-01T00:00:00"/>
    <n v="0"/>
    <x v="7"/>
  </r>
  <r>
    <x v="0"/>
    <x v="1"/>
    <n v="21"/>
    <x v="20"/>
    <d v="2023-09-01T00:00:00"/>
    <n v="0"/>
    <x v="8"/>
  </r>
  <r>
    <x v="0"/>
    <x v="1"/>
    <n v="21"/>
    <x v="20"/>
    <d v="2023-09-01T00:00:00"/>
    <n v="0"/>
    <x v="9"/>
  </r>
  <r>
    <x v="0"/>
    <x v="1"/>
    <n v="21"/>
    <x v="20"/>
    <d v="2023-09-01T00:00:00"/>
    <n v="0"/>
    <x v="10"/>
  </r>
  <r>
    <x v="0"/>
    <x v="1"/>
    <n v="21"/>
    <x v="20"/>
    <d v="2023-09-01T00:00:00"/>
    <n v="0"/>
    <x v="11"/>
  </r>
  <r>
    <x v="0"/>
    <x v="1"/>
    <n v="21"/>
    <x v="20"/>
    <d v="2023-09-01T00:00:00"/>
    <n v="0"/>
    <x v="12"/>
  </r>
  <r>
    <x v="0"/>
    <x v="1"/>
    <n v="22"/>
    <x v="21"/>
    <d v="2023-09-01T00:00:00"/>
    <n v="2367"/>
    <x v="0"/>
  </r>
  <r>
    <x v="0"/>
    <x v="1"/>
    <n v="22"/>
    <x v="21"/>
    <d v="2023-09-01T00:00:00"/>
    <n v="4387"/>
    <x v="1"/>
  </r>
  <r>
    <x v="0"/>
    <x v="1"/>
    <n v="22"/>
    <x v="21"/>
    <d v="2023-09-01T00:00:00"/>
    <n v="3717"/>
    <x v="2"/>
  </r>
  <r>
    <x v="0"/>
    <x v="1"/>
    <n v="22"/>
    <x v="21"/>
    <d v="2023-09-01T00:00:00"/>
    <n v="3490"/>
    <x v="3"/>
  </r>
  <r>
    <x v="0"/>
    <x v="1"/>
    <n v="22"/>
    <x v="21"/>
    <d v="2023-09-01T00:00:00"/>
    <n v="3490"/>
    <x v="4"/>
  </r>
  <r>
    <x v="0"/>
    <x v="1"/>
    <n v="22"/>
    <x v="21"/>
    <d v="2023-09-01T00:00:00"/>
    <n v="3490"/>
    <x v="5"/>
  </r>
  <r>
    <x v="0"/>
    <x v="1"/>
    <n v="22"/>
    <x v="21"/>
    <d v="2023-09-01T00:00:00"/>
    <n v="3490"/>
    <x v="6"/>
  </r>
  <r>
    <x v="0"/>
    <x v="1"/>
    <n v="22"/>
    <x v="21"/>
    <d v="2023-09-01T00:00:00"/>
    <n v="3490"/>
    <x v="7"/>
  </r>
  <r>
    <x v="0"/>
    <x v="1"/>
    <n v="22"/>
    <x v="21"/>
    <d v="2023-09-01T00:00:00"/>
    <n v="3490"/>
    <x v="8"/>
  </r>
  <r>
    <x v="0"/>
    <x v="1"/>
    <n v="22"/>
    <x v="21"/>
    <d v="2023-09-01T00:00:00"/>
    <n v="3490"/>
    <x v="9"/>
  </r>
  <r>
    <x v="0"/>
    <x v="1"/>
    <n v="22"/>
    <x v="21"/>
    <d v="2023-09-01T00:00:00"/>
    <n v="3490"/>
    <x v="10"/>
  </r>
  <r>
    <x v="0"/>
    <x v="1"/>
    <n v="22"/>
    <x v="21"/>
    <d v="2023-09-01T00:00:00"/>
    <n v="3490"/>
    <x v="11"/>
  </r>
  <r>
    <x v="0"/>
    <x v="1"/>
    <n v="22"/>
    <x v="21"/>
    <d v="2023-09-01T00:00:00"/>
    <n v="41881"/>
    <x v="12"/>
  </r>
  <r>
    <x v="0"/>
    <x v="1"/>
    <n v="23"/>
    <x v="22"/>
    <d v="2023-09-01T00:00:00"/>
    <n v="137"/>
    <x v="0"/>
  </r>
  <r>
    <x v="0"/>
    <x v="1"/>
    <n v="23"/>
    <x v="22"/>
    <d v="2023-09-01T00:00:00"/>
    <n v="138"/>
    <x v="1"/>
  </r>
  <r>
    <x v="0"/>
    <x v="1"/>
    <n v="23"/>
    <x v="22"/>
    <d v="2023-09-01T00:00:00"/>
    <n v="160"/>
    <x v="2"/>
  </r>
  <r>
    <x v="0"/>
    <x v="1"/>
    <n v="23"/>
    <x v="22"/>
    <d v="2023-09-01T00:00:00"/>
    <n v="145"/>
    <x v="3"/>
  </r>
  <r>
    <x v="0"/>
    <x v="1"/>
    <n v="23"/>
    <x v="22"/>
    <d v="2023-09-01T00:00:00"/>
    <n v="145"/>
    <x v="4"/>
  </r>
  <r>
    <x v="0"/>
    <x v="1"/>
    <n v="23"/>
    <x v="22"/>
    <d v="2023-09-01T00:00:00"/>
    <n v="145"/>
    <x v="5"/>
  </r>
  <r>
    <x v="0"/>
    <x v="1"/>
    <n v="23"/>
    <x v="22"/>
    <d v="2023-09-01T00:00:00"/>
    <n v="145"/>
    <x v="6"/>
  </r>
  <r>
    <x v="0"/>
    <x v="1"/>
    <n v="23"/>
    <x v="22"/>
    <d v="2023-09-01T00:00:00"/>
    <n v="145"/>
    <x v="7"/>
  </r>
  <r>
    <x v="0"/>
    <x v="1"/>
    <n v="23"/>
    <x v="22"/>
    <d v="2023-09-01T00:00:00"/>
    <n v="145"/>
    <x v="8"/>
  </r>
  <r>
    <x v="0"/>
    <x v="1"/>
    <n v="23"/>
    <x v="22"/>
    <d v="2023-09-01T00:00:00"/>
    <n v="145"/>
    <x v="9"/>
  </r>
  <r>
    <x v="0"/>
    <x v="1"/>
    <n v="23"/>
    <x v="22"/>
    <d v="2023-09-01T00:00:00"/>
    <n v="145"/>
    <x v="10"/>
  </r>
  <r>
    <x v="0"/>
    <x v="1"/>
    <n v="23"/>
    <x v="22"/>
    <d v="2023-09-01T00:00:00"/>
    <n v="145"/>
    <x v="11"/>
  </r>
  <r>
    <x v="0"/>
    <x v="1"/>
    <n v="23"/>
    <x v="22"/>
    <d v="2023-09-01T00:00:00"/>
    <n v="1740"/>
    <x v="12"/>
  </r>
  <r>
    <x v="0"/>
    <x v="1"/>
    <n v="24"/>
    <x v="23"/>
    <d v="2023-09-01T00:00:00"/>
    <n v="0"/>
    <x v="0"/>
  </r>
  <r>
    <x v="0"/>
    <x v="1"/>
    <n v="24"/>
    <x v="23"/>
    <d v="2023-09-01T00:00:00"/>
    <n v="0"/>
    <x v="1"/>
  </r>
  <r>
    <x v="0"/>
    <x v="1"/>
    <n v="24"/>
    <x v="23"/>
    <d v="2023-09-01T00:00:00"/>
    <n v="0"/>
    <x v="2"/>
  </r>
  <r>
    <x v="0"/>
    <x v="1"/>
    <n v="24"/>
    <x v="23"/>
    <d v="2023-09-01T00:00:00"/>
    <n v="0"/>
    <x v="3"/>
  </r>
  <r>
    <x v="0"/>
    <x v="1"/>
    <n v="24"/>
    <x v="23"/>
    <d v="2023-09-01T00:00:00"/>
    <n v="0"/>
    <x v="4"/>
  </r>
  <r>
    <x v="0"/>
    <x v="1"/>
    <n v="24"/>
    <x v="23"/>
    <d v="2023-09-01T00:00:00"/>
    <n v="0"/>
    <x v="5"/>
  </r>
  <r>
    <x v="0"/>
    <x v="1"/>
    <n v="24"/>
    <x v="23"/>
    <d v="2023-09-01T00:00:00"/>
    <n v="0"/>
    <x v="6"/>
  </r>
  <r>
    <x v="0"/>
    <x v="1"/>
    <n v="24"/>
    <x v="23"/>
    <d v="2023-09-01T00:00:00"/>
    <n v="0"/>
    <x v="7"/>
  </r>
  <r>
    <x v="0"/>
    <x v="1"/>
    <n v="24"/>
    <x v="23"/>
    <d v="2023-09-01T00:00:00"/>
    <n v="0"/>
    <x v="8"/>
  </r>
  <r>
    <x v="0"/>
    <x v="1"/>
    <n v="24"/>
    <x v="23"/>
    <d v="2023-09-01T00:00:00"/>
    <n v="0"/>
    <x v="9"/>
  </r>
  <r>
    <x v="0"/>
    <x v="1"/>
    <n v="24"/>
    <x v="23"/>
    <d v="2023-09-01T00:00:00"/>
    <n v="0"/>
    <x v="10"/>
  </r>
  <r>
    <x v="0"/>
    <x v="1"/>
    <n v="24"/>
    <x v="23"/>
    <d v="2023-09-01T00:00:00"/>
    <n v="0"/>
    <x v="11"/>
  </r>
  <r>
    <x v="0"/>
    <x v="1"/>
    <n v="24"/>
    <x v="23"/>
    <d v="2023-09-01T00:00:00"/>
    <n v="0"/>
    <x v="12"/>
  </r>
  <r>
    <x v="0"/>
    <x v="1"/>
    <n v="25"/>
    <x v="24"/>
    <d v="2023-09-01T00:00:00"/>
    <n v="0"/>
    <x v="0"/>
  </r>
  <r>
    <x v="0"/>
    <x v="1"/>
    <n v="25"/>
    <x v="24"/>
    <d v="2023-09-01T00:00:00"/>
    <n v="0"/>
    <x v="1"/>
  </r>
  <r>
    <x v="0"/>
    <x v="1"/>
    <n v="25"/>
    <x v="24"/>
    <d v="2023-09-01T00:00:00"/>
    <n v="0"/>
    <x v="2"/>
  </r>
  <r>
    <x v="0"/>
    <x v="1"/>
    <n v="25"/>
    <x v="24"/>
    <d v="2023-09-01T00:00:00"/>
    <n v="0"/>
    <x v="3"/>
  </r>
  <r>
    <x v="0"/>
    <x v="1"/>
    <n v="25"/>
    <x v="24"/>
    <d v="2023-09-01T00:00:00"/>
    <n v="0"/>
    <x v="4"/>
  </r>
  <r>
    <x v="0"/>
    <x v="1"/>
    <n v="25"/>
    <x v="24"/>
    <d v="2023-09-01T00:00:00"/>
    <n v="0"/>
    <x v="5"/>
  </r>
  <r>
    <x v="0"/>
    <x v="1"/>
    <n v="25"/>
    <x v="24"/>
    <d v="2023-09-01T00:00:00"/>
    <n v="0"/>
    <x v="6"/>
  </r>
  <r>
    <x v="0"/>
    <x v="1"/>
    <n v="25"/>
    <x v="24"/>
    <d v="2023-09-01T00:00:00"/>
    <n v="0"/>
    <x v="7"/>
  </r>
  <r>
    <x v="0"/>
    <x v="1"/>
    <n v="25"/>
    <x v="24"/>
    <d v="2023-09-01T00:00:00"/>
    <n v="0"/>
    <x v="8"/>
  </r>
  <r>
    <x v="0"/>
    <x v="1"/>
    <n v="25"/>
    <x v="24"/>
    <d v="2023-09-01T00:00:00"/>
    <n v="0"/>
    <x v="9"/>
  </r>
  <r>
    <x v="0"/>
    <x v="1"/>
    <n v="25"/>
    <x v="24"/>
    <d v="2023-09-01T00:00:00"/>
    <n v="0"/>
    <x v="10"/>
  </r>
  <r>
    <x v="0"/>
    <x v="1"/>
    <n v="25"/>
    <x v="24"/>
    <d v="2023-09-01T00:00:00"/>
    <n v="-141"/>
    <x v="11"/>
  </r>
  <r>
    <x v="0"/>
    <x v="1"/>
    <n v="25"/>
    <x v="24"/>
    <d v="2023-09-01T00:00:00"/>
    <n v="-141"/>
    <x v="12"/>
  </r>
  <r>
    <x v="0"/>
    <x v="1"/>
    <n v="26"/>
    <x v="25"/>
    <d v="2023-09-01T00:00:00"/>
    <n v="173083"/>
    <x v="0"/>
  </r>
  <r>
    <x v="0"/>
    <x v="1"/>
    <n v="26"/>
    <x v="25"/>
    <d v="2023-09-01T00:00:00"/>
    <n v="185821"/>
    <x v="1"/>
  </r>
  <r>
    <x v="0"/>
    <x v="1"/>
    <n v="26"/>
    <x v="25"/>
    <d v="2023-09-01T00:00:00"/>
    <n v="199687"/>
    <x v="2"/>
  </r>
  <r>
    <x v="0"/>
    <x v="1"/>
    <n v="26"/>
    <x v="25"/>
    <d v="2023-09-01T00:00:00"/>
    <n v="199947"/>
    <x v="3"/>
  </r>
  <r>
    <x v="0"/>
    <x v="1"/>
    <n v="26"/>
    <x v="25"/>
    <d v="2023-09-01T00:00:00"/>
    <n v="191885"/>
    <x v="4"/>
  </r>
  <r>
    <x v="0"/>
    <x v="1"/>
    <n v="26"/>
    <x v="25"/>
    <d v="2023-09-01T00:00:00"/>
    <n v="187432"/>
    <x v="5"/>
  </r>
  <r>
    <x v="0"/>
    <x v="1"/>
    <n v="26"/>
    <x v="25"/>
    <d v="2023-09-01T00:00:00"/>
    <n v="185289"/>
    <x v="6"/>
  </r>
  <r>
    <x v="0"/>
    <x v="1"/>
    <n v="26"/>
    <x v="25"/>
    <d v="2023-09-01T00:00:00"/>
    <n v="183423"/>
    <x v="7"/>
  </r>
  <r>
    <x v="0"/>
    <x v="1"/>
    <n v="26"/>
    <x v="25"/>
    <d v="2023-09-01T00:00:00"/>
    <n v="183668"/>
    <x v="8"/>
  </r>
  <r>
    <x v="0"/>
    <x v="1"/>
    <n v="26"/>
    <x v="25"/>
    <d v="2023-09-01T00:00:00"/>
    <n v="184775"/>
    <x v="9"/>
  </r>
  <r>
    <x v="0"/>
    <x v="1"/>
    <n v="26"/>
    <x v="25"/>
    <d v="2023-09-01T00:00:00"/>
    <n v="181934"/>
    <x v="10"/>
  </r>
  <r>
    <x v="0"/>
    <x v="1"/>
    <n v="26"/>
    <x v="25"/>
    <d v="2023-09-01T00:00:00"/>
    <n v="183451"/>
    <x v="11"/>
  </r>
  <r>
    <x v="0"/>
    <x v="1"/>
    <n v="26"/>
    <x v="25"/>
    <d v="2023-09-01T00:00:00"/>
    <n v="2240395"/>
    <x v="12"/>
  </r>
  <r>
    <x v="0"/>
    <x v="1"/>
    <n v="27"/>
    <x v="26"/>
    <d v="2023-09-01T00:00:00"/>
    <n v="-12170"/>
    <x v="0"/>
  </r>
  <r>
    <x v="0"/>
    <x v="1"/>
    <n v="27"/>
    <x v="26"/>
    <d v="2023-09-01T00:00:00"/>
    <n v="-14110"/>
    <x v="1"/>
  </r>
  <r>
    <x v="0"/>
    <x v="1"/>
    <n v="27"/>
    <x v="26"/>
    <d v="2023-09-01T00:00:00"/>
    <n v="-16585"/>
    <x v="2"/>
  </r>
  <r>
    <x v="0"/>
    <x v="1"/>
    <n v="27"/>
    <x v="26"/>
    <d v="2023-09-01T00:00:00"/>
    <n v="-16744"/>
    <x v="3"/>
  </r>
  <r>
    <x v="0"/>
    <x v="1"/>
    <n v="27"/>
    <x v="26"/>
    <d v="2023-09-01T00:00:00"/>
    <n v="-16655"/>
    <x v="4"/>
  </r>
  <r>
    <x v="0"/>
    <x v="1"/>
    <n v="27"/>
    <x v="26"/>
    <d v="2023-09-01T00:00:00"/>
    <n v="-14491"/>
    <x v="5"/>
  </r>
  <r>
    <x v="0"/>
    <x v="1"/>
    <n v="27"/>
    <x v="26"/>
    <d v="2023-09-01T00:00:00"/>
    <n v="-11031"/>
    <x v="6"/>
  </r>
  <r>
    <x v="0"/>
    <x v="1"/>
    <n v="27"/>
    <x v="26"/>
    <d v="2023-09-01T00:00:00"/>
    <n v="-9110"/>
    <x v="7"/>
  </r>
  <r>
    <x v="0"/>
    <x v="1"/>
    <n v="27"/>
    <x v="26"/>
    <d v="2023-09-01T00:00:00"/>
    <n v="-6372"/>
    <x v="8"/>
  </r>
  <r>
    <x v="0"/>
    <x v="1"/>
    <n v="27"/>
    <x v="26"/>
    <d v="2023-09-01T00:00:00"/>
    <n v="-5855"/>
    <x v="9"/>
  </r>
  <r>
    <x v="0"/>
    <x v="1"/>
    <n v="27"/>
    <x v="26"/>
    <d v="2023-09-01T00:00:00"/>
    <n v="-5743"/>
    <x v="10"/>
  </r>
  <r>
    <x v="0"/>
    <x v="1"/>
    <n v="27"/>
    <x v="26"/>
    <d v="2023-09-01T00:00:00"/>
    <n v="-5267"/>
    <x v="11"/>
  </r>
  <r>
    <x v="0"/>
    <x v="1"/>
    <n v="27"/>
    <x v="26"/>
    <d v="2023-09-01T00:00:00"/>
    <n v="-134133"/>
    <x v="12"/>
  </r>
  <r>
    <x v="0"/>
    <x v="2"/>
    <n v="1"/>
    <x v="3"/>
    <d v="2023-09-01T00:00:00"/>
    <n v="94338"/>
    <x v="0"/>
  </r>
  <r>
    <x v="0"/>
    <x v="2"/>
    <n v="1"/>
    <x v="3"/>
    <d v="2023-09-01T00:00:00"/>
    <n v="103445"/>
    <x v="1"/>
  </r>
  <r>
    <x v="0"/>
    <x v="2"/>
    <n v="1"/>
    <x v="3"/>
    <d v="2023-09-01T00:00:00"/>
    <n v="102923"/>
    <x v="2"/>
  </r>
  <r>
    <x v="0"/>
    <x v="2"/>
    <n v="1"/>
    <x v="3"/>
    <d v="2023-09-01T00:00:00"/>
    <n v="111350"/>
    <x v="3"/>
  </r>
  <r>
    <x v="0"/>
    <x v="2"/>
    <n v="1"/>
    <x v="3"/>
    <d v="2023-09-01T00:00:00"/>
    <n v="99856"/>
    <x v="4"/>
  </r>
  <r>
    <x v="0"/>
    <x v="2"/>
    <n v="1"/>
    <x v="3"/>
    <d v="2023-09-01T00:00:00"/>
    <n v="97742"/>
    <x v="5"/>
  </r>
  <r>
    <x v="0"/>
    <x v="2"/>
    <n v="1"/>
    <x v="3"/>
    <d v="2023-09-01T00:00:00"/>
    <n v="104567.54988095201"/>
    <x v="6"/>
  </r>
  <r>
    <x v="0"/>
    <x v="2"/>
    <n v="1"/>
    <x v="3"/>
    <d v="2023-09-01T00:00:00"/>
    <n v="103750.12130952399"/>
    <x v="7"/>
  </r>
  <r>
    <x v="0"/>
    <x v="2"/>
    <n v="1"/>
    <x v="3"/>
    <d v="2023-09-01T00:00:00"/>
    <n v="103857.04988095201"/>
    <x v="8"/>
  </r>
  <r>
    <x v="0"/>
    <x v="2"/>
    <n v="1"/>
    <x v="3"/>
    <d v="2023-09-01T00:00:00"/>
    <n v="104001.04988095201"/>
    <x v="9"/>
  </r>
  <r>
    <x v="0"/>
    <x v="2"/>
    <n v="1"/>
    <x v="3"/>
    <d v="2023-09-01T00:00:00"/>
    <n v="102916.04988095201"/>
    <x v="10"/>
  </r>
  <r>
    <x v="0"/>
    <x v="2"/>
    <n v="1"/>
    <x v="3"/>
    <d v="2023-09-01T00:00:00"/>
    <n v="128707.764166667"/>
    <x v="11"/>
  </r>
  <r>
    <x v="0"/>
    <x v="2"/>
    <n v="1"/>
    <x v="3"/>
    <d v="2023-09-01T00:00:00"/>
    <n v="1257453.585"/>
    <x v="12"/>
  </r>
  <r>
    <x v="0"/>
    <x v="2"/>
    <n v="2"/>
    <x v="4"/>
    <d v="2023-09-01T00:00:00"/>
    <n v="0"/>
    <x v="0"/>
  </r>
  <r>
    <x v="0"/>
    <x v="2"/>
    <n v="2"/>
    <x v="4"/>
    <d v="2023-09-01T00:00:00"/>
    <n v="0"/>
    <x v="1"/>
  </r>
  <r>
    <x v="0"/>
    <x v="2"/>
    <n v="2"/>
    <x v="4"/>
    <d v="2023-09-01T00:00:00"/>
    <n v="0"/>
    <x v="2"/>
  </r>
  <r>
    <x v="0"/>
    <x v="2"/>
    <n v="2"/>
    <x v="4"/>
    <d v="2023-09-01T00:00:00"/>
    <n v="0"/>
    <x v="3"/>
  </r>
  <r>
    <x v="0"/>
    <x v="2"/>
    <n v="2"/>
    <x v="4"/>
    <d v="2023-09-01T00:00:00"/>
    <n v="0"/>
    <x v="4"/>
  </r>
  <r>
    <x v="0"/>
    <x v="2"/>
    <n v="2"/>
    <x v="4"/>
    <d v="2023-09-01T00:00:00"/>
    <n v="0"/>
    <x v="5"/>
  </r>
  <r>
    <x v="0"/>
    <x v="2"/>
    <n v="2"/>
    <x v="4"/>
    <d v="2023-09-01T00:00:00"/>
    <n v="0"/>
    <x v="6"/>
  </r>
  <r>
    <x v="0"/>
    <x v="2"/>
    <n v="2"/>
    <x v="4"/>
    <d v="2023-09-01T00:00:00"/>
    <n v="0"/>
    <x v="7"/>
  </r>
  <r>
    <x v="0"/>
    <x v="2"/>
    <n v="2"/>
    <x v="4"/>
    <d v="2023-09-01T00:00:00"/>
    <n v="0"/>
    <x v="8"/>
  </r>
  <r>
    <x v="0"/>
    <x v="2"/>
    <n v="2"/>
    <x v="4"/>
    <d v="2023-09-01T00:00:00"/>
    <n v="0"/>
    <x v="9"/>
  </r>
  <r>
    <x v="0"/>
    <x v="2"/>
    <n v="2"/>
    <x v="4"/>
    <d v="2023-09-01T00:00:00"/>
    <n v="0"/>
    <x v="10"/>
  </r>
  <r>
    <x v="0"/>
    <x v="2"/>
    <n v="2"/>
    <x v="4"/>
    <d v="2023-09-01T00:00:00"/>
    <n v="0"/>
    <x v="11"/>
  </r>
  <r>
    <x v="0"/>
    <x v="2"/>
    <n v="2"/>
    <x v="4"/>
    <d v="2023-09-01T00:00:00"/>
    <n v="0"/>
    <x v="12"/>
  </r>
  <r>
    <x v="0"/>
    <x v="2"/>
    <n v="3"/>
    <x v="5"/>
    <d v="2023-09-01T00:00:00"/>
    <n v="6947"/>
    <x v="0"/>
  </r>
  <r>
    <x v="0"/>
    <x v="2"/>
    <n v="3"/>
    <x v="5"/>
    <d v="2023-09-01T00:00:00"/>
    <n v="8673"/>
    <x v="1"/>
  </r>
  <r>
    <x v="0"/>
    <x v="2"/>
    <n v="3"/>
    <x v="5"/>
    <d v="2023-09-01T00:00:00"/>
    <n v="8916"/>
    <x v="2"/>
  </r>
  <r>
    <x v="0"/>
    <x v="2"/>
    <n v="3"/>
    <x v="5"/>
    <d v="2023-09-01T00:00:00"/>
    <n v="8406"/>
    <x v="3"/>
  </r>
  <r>
    <x v="0"/>
    <x v="2"/>
    <n v="3"/>
    <x v="5"/>
    <d v="2023-09-01T00:00:00"/>
    <n v="9310"/>
    <x v="4"/>
  </r>
  <r>
    <x v="0"/>
    <x v="2"/>
    <n v="3"/>
    <x v="5"/>
    <d v="2023-09-01T00:00:00"/>
    <n v="7975"/>
    <x v="5"/>
  </r>
  <r>
    <x v="0"/>
    <x v="2"/>
    <n v="3"/>
    <x v="5"/>
    <d v="2023-09-01T00:00:00"/>
    <n v="8110.5714285714303"/>
    <x v="6"/>
  </r>
  <r>
    <x v="0"/>
    <x v="2"/>
    <n v="3"/>
    <x v="5"/>
    <d v="2023-09-01T00:00:00"/>
    <n v="7774.5714285714303"/>
    <x v="7"/>
  </r>
  <r>
    <x v="0"/>
    <x v="2"/>
    <n v="3"/>
    <x v="5"/>
    <d v="2023-09-01T00:00:00"/>
    <n v="7755.5714285714303"/>
    <x v="8"/>
  </r>
  <r>
    <x v="0"/>
    <x v="2"/>
    <n v="3"/>
    <x v="5"/>
    <d v="2023-09-01T00:00:00"/>
    <n v="7750.5714285714303"/>
    <x v="9"/>
  </r>
  <r>
    <x v="0"/>
    <x v="2"/>
    <n v="3"/>
    <x v="5"/>
    <d v="2023-09-01T00:00:00"/>
    <n v="7750.5714285714303"/>
    <x v="10"/>
  </r>
  <r>
    <x v="0"/>
    <x v="2"/>
    <n v="3"/>
    <x v="5"/>
    <d v="2023-09-01T00:00:00"/>
    <n v="7570.5714285714303"/>
    <x v="11"/>
  </r>
  <r>
    <x v="0"/>
    <x v="2"/>
    <n v="3"/>
    <x v="5"/>
    <d v="2023-09-01T00:00:00"/>
    <n v="96939.428571428594"/>
    <x v="12"/>
  </r>
  <r>
    <x v="0"/>
    <x v="2"/>
    <n v="4"/>
    <x v="6"/>
    <d v="2023-09-01T00:00:00"/>
    <n v="26175"/>
    <x v="0"/>
  </r>
  <r>
    <x v="0"/>
    <x v="2"/>
    <n v="4"/>
    <x v="6"/>
    <d v="2023-09-01T00:00:00"/>
    <n v="25538"/>
    <x v="1"/>
  </r>
  <r>
    <x v="0"/>
    <x v="2"/>
    <n v="4"/>
    <x v="6"/>
    <d v="2023-09-01T00:00:00"/>
    <n v="36078"/>
    <x v="2"/>
  </r>
  <r>
    <x v="0"/>
    <x v="2"/>
    <n v="4"/>
    <x v="6"/>
    <d v="2023-09-01T00:00:00"/>
    <n v="25229"/>
    <x v="3"/>
  </r>
  <r>
    <x v="0"/>
    <x v="2"/>
    <n v="4"/>
    <x v="6"/>
    <d v="2023-09-01T00:00:00"/>
    <n v="29327"/>
    <x v="4"/>
  </r>
  <r>
    <x v="0"/>
    <x v="2"/>
    <n v="4"/>
    <x v="6"/>
    <d v="2023-09-01T00:00:00"/>
    <n v="29397"/>
    <x v="5"/>
  </r>
  <r>
    <x v="0"/>
    <x v="2"/>
    <n v="4"/>
    <x v="6"/>
    <d v="2023-09-01T00:00:00"/>
    <n v="27869"/>
    <x v="6"/>
  </r>
  <r>
    <x v="0"/>
    <x v="2"/>
    <n v="4"/>
    <x v="6"/>
    <d v="2023-09-01T00:00:00"/>
    <n v="27997"/>
    <x v="7"/>
  </r>
  <r>
    <x v="0"/>
    <x v="2"/>
    <n v="4"/>
    <x v="6"/>
    <d v="2023-09-01T00:00:00"/>
    <n v="27997"/>
    <x v="8"/>
  </r>
  <r>
    <x v="0"/>
    <x v="2"/>
    <n v="4"/>
    <x v="6"/>
    <d v="2023-09-01T00:00:00"/>
    <n v="27997"/>
    <x v="9"/>
  </r>
  <r>
    <x v="0"/>
    <x v="2"/>
    <n v="4"/>
    <x v="6"/>
    <d v="2023-09-01T00:00:00"/>
    <n v="27997"/>
    <x v="10"/>
  </r>
  <r>
    <x v="0"/>
    <x v="2"/>
    <n v="4"/>
    <x v="6"/>
    <d v="2023-09-01T00:00:00"/>
    <n v="28031"/>
    <x v="11"/>
  </r>
  <r>
    <x v="0"/>
    <x v="2"/>
    <n v="4"/>
    <x v="6"/>
    <d v="2023-09-01T00:00:00"/>
    <n v="339632"/>
    <x v="12"/>
  </r>
  <r>
    <x v="0"/>
    <x v="2"/>
    <n v="5"/>
    <x v="7"/>
    <d v="2023-09-01T00:00:00"/>
    <n v="1238"/>
    <x v="0"/>
  </r>
  <r>
    <x v="0"/>
    <x v="2"/>
    <n v="5"/>
    <x v="7"/>
    <d v="2023-09-01T00:00:00"/>
    <n v="1113"/>
    <x v="1"/>
  </r>
  <r>
    <x v="0"/>
    <x v="2"/>
    <n v="5"/>
    <x v="7"/>
    <d v="2023-09-01T00:00:00"/>
    <n v="1145"/>
    <x v="2"/>
  </r>
  <r>
    <x v="0"/>
    <x v="2"/>
    <n v="5"/>
    <x v="7"/>
    <d v="2023-09-01T00:00:00"/>
    <n v="1196"/>
    <x v="3"/>
  </r>
  <r>
    <x v="0"/>
    <x v="2"/>
    <n v="5"/>
    <x v="7"/>
    <d v="2023-09-01T00:00:00"/>
    <n v="1294"/>
    <x v="4"/>
  </r>
  <r>
    <x v="0"/>
    <x v="2"/>
    <n v="5"/>
    <x v="7"/>
    <d v="2023-09-01T00:00:00"/>
    <n v="1099"/>
    <x v="5"/>
  </r>
  <r>
    <x v="0"/>
    <x v="2"/>
    <n v="5"/>
    <x v="7"/>
    <d v="2023-09-01T00:00:00"/>
    <n v="1115.73583333333"/>
    <x v="6"/>
  </r>
  <r>
    <x v="0"/>
    <x v="2"/>
    <n v="5"/>
    <x v="7"/>
    <d v="2023-09-01T00:00:00"/>
    <n v="1115.73583333333"/>
    <x v="7"/>
  </r>
  <r>
    <x v="0"/>
    <x v="2"/>
    <n v="5"/>
    <x v="7"/>
    <d v="2023-09-01T00:00:00"/>
    <n v="1115.73583333333"/>
    <x v="8"/>
  </r>
  <r>
    <x v="0"/>
    <x v="2"/>
    <n v="5"/>
    <x v="7"/>
    <d v="2023-09-01T00:00:00"/>
    <n v="1115.73583333333"/>
    <x v="9"/>
  </r>
  <r>
    <x v="0"/>
    <x v="2"/>
    <n v="5"/>
    <x v="7"/>
    <d v="2023-09-01T00:00:00"/>
    <n v="1115.73583333333"/>
    <x v="10"/>
  </r>
  <r>
    <x v="0"/>
    <x v="2"/>
    <n v="5"/>
    <x v="7"/>
    <d v="2023-09-01T00:00:00"/>
    <n v="1115.73583333333"/>
    <x v="11"/>
  </r>
  <r>
    <x v="0"/>
    <x v="2"/>
    <n v="5"/>
    <x v="7"/>
    <d v="2023-09-01T00:00:00"/>
    <n v="13779.415000000001"/>
    <x v="12"/>
  </r>
  <r>
    <x v="0"/>
    <x v="2"/>
    <n v="6"/>
    <x v="8"/>
    <d v="2023-09-01T00:00:00"/>
    <n v="10046"/>
    <x v="0"/>
  </r>
  <r>
    <x v="0"/>
    <x v="2"/>
    <n v="6"/>
    <x v="8"/>
    <d v="2023-09-01T00:00:00"/>
    <n v="10047"/>
    <x v="1"/>
  </r>
  <r>
    <x v="0"/>
    <x v="2"/>
    <n v="6"/>
    <x v="8"/>
    <d v="2023-09-01T00:00:00"/>
    <n v="10092"/>
    <x v="2"/>
  </r>
  <r>
    <x v="0"/>
    <x v="2"/>
    <n v="6"/>
    <x v="8"/>
    <d v="2023-09-01T00:00:00"/>
    <n v="10428"/>
    <x v="3"/>
  </r>
  <r>
    <x v="0"/>
    <x v="2"/>
    <n v="6"/>
    <x v="8"/>
    <d v="2023-09-01T00:00:00"/>
    <n v="8550"/>
    <x v="4"/>
  </r>
  <r>
    <x v="0"/>
    <x v="2"/>
    <n v="6"/>
    <x v="8"/>
    <d v="2023-09-01T00:00:00"/>
    <n v="12146"/>
    <x v="5"/>
  </r>
  <r>
    <x v="0"/>
    <x v="2"/>
    <n v="6"/>
    <x v="8"/>
    <d v="2023-09-01T00:00:00"/>
    <n v="8475"/>
    <x v="6"/>
  </r>
  <r>
    <x v="0"/>
    <x v="2"/>
    <n v="6"/>
    <x v="8"/>
    <d v="2023-09-01T00:00:00"/>
    <n v="9789"/>
    <x v="7"/>
  </r>
  <r>
    <x v="0"/>
    <x v="2"/>
    <n v="6"/>
    <x v="8"/>
    <d v="2023-09-01T00:00:00"/>
    <n v="9756"/>
    <x v="8"/>
  </r>
  <r>
    <x v="0"/>
    <x v="2"/>
    <n v="6"/>
    <x v="8"/>
    <d v="2023-09-01T00:00:00"/>
    <n v="9661"/>
    <x v="9"/>
  </r>
  <r>
    <x v="0"/>
    <x v="2"/>
    <n v="6"/>
    <x v="8"/>
    <d v="2023-09-01T00:00:00"/>
    <n v="10158"/>
    <x v="10"/>
  </r>
  <r>
    <x v="0"/>
    <x v="2"/>
    <n v="6"/>
    <x v="8"/>
    <d v="2023-09-01T00:00:00"/>
    <n v="10458"/>
    <x v="11"/>
  </r>
  <r>
    <x v="0"/>
    <x v="2"/>
    <n v="6"/>
    <x v="8"/>
    <d v="2023-09-01T00:00:00"/>
    <n v="119606"/>
    <x v="12"/>
  </r>
  <r>
    <x v="0"/>
    <x v="2"/>
    <n v="7"/>
    <x v="9"/>
    <d v="2023-09-01T00:00:00"/>
    <n v="138744"/>
    <x v="0"/>
  </r>
  <r>
    <x v="0"/>
    <x v="2"/>
    <n v="7"/>
    <x v="9"/>
    <d v="2023-09-01T00:00:00"/>
    <n v="148816"/>
    <x v="1"/>
  </r>
  <r>
    <x v="0"/>
    <x v="2"/>
    <n v="7"/>
    <x v="9"/>
    <d v="2023-09-01T00:00:00"/>
    <n v="159154"/>
    <x v="2"/>
  </r>
  <r>
    <x v="0"/>
    <x v="2"/>
    <n v="7"/>
    <x v="9"/>
    <d v="2023-09-01T00:00:00"/>
    <n v="156609"/>
    <x v="3"/>
  </r>
  <r>
    <x v="0"/>
    <x v="2"/>
    <n v="7"/>
    <x v="9"/>
    <d v="2023-09-01T00:00:00"/>
    <n v="148337"/>
    <x v="4"/>
  </r>
  <r>
    <x v="0"/>
    <x v="2"/>
    <n v="7"/>
    <x v="9"/>
    <d v="2023-09-01T00:00:00"/>
    <n v="148359"/>
    <x v="5"/>
  </r>
  <r>
    <x v="0"/>
    <x v="2"/>
    <n v="7"/>
    <x v="9"/>
    <d v="2023-09-01T00:00:00"/>
    <n v="150137.85714285701"/>
    <x v="6"/>
  </r>
  <r>
    <x v="0"/>
    <x v="2"/>
    <n v="7"/>
    <x v="9"/>
    <d v="2023-09-01T00:00:00"/>
    <n v="150426.42857142899"/>
    <x v="7"/>
  </r>
  <r>
    <x v="0"/>
    <x v="2"/>
    <n v="7"/>
    <x v="9"/>
    <d v="2023-09-01T00:00:00"/>
    <n v="150481.35714285701"/>
    <x v="8"/>
  </r>
  <r>
    <x v="0"/>
    <x v="2"/>
    <n v="7"/>
    <x v="9"/>
    <d v="2023-09-01T00:00:00"/>
    <n v="150525.35714285701"/>
    <x v="9"/>
  </r>
  <r>
    <x v="0"/>
    <x v="2"/>
    <n v="7"/>
    <x v="9"/>
    <d v="2023-09-01T00:00:00"/>
    <n v="149937.35714285701"/>
    <x v="10"/>
  </r>
  <r>
    <x v="0"/>
    <x v="2"/>
    <n v="7"/>
    <x v="9"/>
    <d v="2023-09-01T00:00:00"/>
    <n v="175883.071428572"/>
    <x v="11"/>
  </r>
  <r>
    <x v="0"/>
    <x v="2"/>
    <n v="7"/>
    <x v="9"/>
    <d v="2023-09-01T00:00:00"/>
    <n v="1827410.42857143"/>
    <x v="12"/>
  </r>
  <r>
    <x v="0"/>
    <x v="2"/>
    <n v="8"/>
    <x v="11"/>
    <d v="2023-09-01T00:00:00"/>
    <n v="14048"/>
    <x v="0"/>
  </r>
  <r>
    <x v="0"/>
    <x v="2"/>
    <n v="8"/>
    <x v="11"/>
    <d v="2023-09-01T00:00:00"/>
    <n v="14387"/>
    <x v="1"/>
  </r>
  <r>
    <x v="0"/>
    <x v="2"/>
    <n v="8"/>
    <x v="11"/>
    <d v="2023-09-01T00:00:00"/>
    <n v="14371"/>
    <x v="2"/>
  </r>
  <r>
    <x v="0"/>
    <x v="2"/>
    <n v="8"/>
    <x v="11"/>
    <d v="2023-09-01T00:00:00"/>
    <n v="14022"/>
    <x v="3"/>
  </r>
  <r>
    <x v="0"/>
    <x v="2"/>
    <n v="8"/>
    <x v="11"/>
    <d v="2023-09-01T00:00:00"/>
    <n v="14164"/>
    <x v="4"/>
  </r>
  <r>
    <x v="0"/>
    <x v="2"/>
    <n v="8"/>
    <x v="11"/>
    <d v="2023-09-01T00:00:00"/>
    <n v="14622"/>
    <x v="5"/>
  </r>
  <r>
    <x v="0"/>
    <x v="2"/>
    <n v="8"/>
    <x v="11"/>
    <d v="2023-09-01T00:00:00"/>
    <n v="14303"/>
    <x v="6"/>
  </r>
  <r>
    <x v="0"/>
    <x v="2"/>
    <n v="8"/>
    <x v="11"/>
    <d v="2023-09-01T00:00:00"/>
    <n v="14206"/>
    <x v="7"/>
  </r>
  <r>
    <x v="0"/>
    <x v="2"/>
    <n v="8"/>
    <x v="11"/>
    <d v="2023-09-01T00:00:00"/>
    <n v="14314.9285714286"/>
    <x v="8"/>
  </r>
  <r>
    <x v="0"/>
    <x v="2"/>
    <n v="8"/>
    <x v="11"/>
    <d v="2023-09-01T00:00:00"/>
    <n v="14298.9285714286"/>
    <x v="9"/>
  </r>
  <r>
    <x v="0"/>
    <x v="2"/>
    <n v="8"/>
    <x v="11"/>
    <d v="2023-09-01T00:00:00"/>
    <n v="14154.9285714286"/>
    <x v="10"/>
  </r>
  <r>
    <x v="0"/>
    <x v="2"/>
    <n v="8"/>
    <x v="11"/>
    <d v="2023-09-01T00:00:00"/>
    <n v="14228.9285714286"/>
    <x v="11"/>
  </r>
  <r>
    <x v="0"/>
    <x v="2"/>
    <n v="8"/>
    <x v="11"/>
    <d v="2023-09-01T00:00:00"/>
    <n v="171120.714285714"/>
    <x v="12"/>
  </r>
  <r>
    <x v="0"/>
    <x v="2"/>
    <n v="9"/>
    <x v="10"/>
    <d v="2023-09-01T00:00:00"/>
    <n v="7245"/>
    <x v="0"/>
  </r>
  <r>
    <x v="0"/>
    <x v="2"/>
    <n v="9"/>
    <x v="10"/>
    <d v="2023-09-01T00:00:00"/>
    <n v="7356"/>
    <x v="1"/>
  </r>
  <r>
    <x v="0"/>
    <x v="2"/>
    <n v="9"/>
    <x v="10"/>
    <d v="2023-09-01T00:00:00"/>
    <n v="8003"/>
    <x v="2"/>
  </r>
  <r>
    <x v="0"/>
    <x v="2"/>
    <n v="9"/>
    <x v="10"/>
    <d v="2023-09-01T00:00:00"/>
    <n v="8164"/>
    <x v="3"/>
  </r>
  <r>
    <x v="0"/>
    <x v="2"/>
    <n v="9"/>
    <x v="10"/>
    <d v="2023-09-01T00:00:00"/>
    <n v="7735"/>
    <x v="4"/>
  </r>
  <r>
    <x v="0"/>
    <x v="2"/>
    <n v="9"/>
    <x v="10"/>
    <d v="2023-09-01T00:00:00"/>
    <n v="7828"/>
    <x v="5"/>
  </r>
  <r>
    <x v="0"/>
    <x v="2"/>
    <n v="9"/>
    <x v="10"/>
    <d v="2023-09-01T00:00:00"/>
    <n v="7675"/>
    <x v="6"/>
  </r>
  <r>
    <x v="0"/>
    <x v="2"/>
    <n v="9"/>
    <x v="10"/>
    <d v="2023-09-01T00:00:00"/>
    <n v="7798"/>
    <x v="7"/>
  </r>
  <r>
    <x v="0"/>
    <x v="2"/>
    <n v="9"/>
    <x v="10"/>
    <d v="2023-09-01T00:00:00"/>
    <n v="7676"/>
    <x v="8"/>
  </r>
  <r>
    <x v="0"/>
    <x v="2"/>
    <n v="9"/>
    <x v="10"/>
    <d v="2023-09-01T00:00:00"/>
    <n v="7659"/>
    <x v="9"/>
  </r>
  <r>
    <x v="0"/>
    <x v="2"/>
    <n v="9"/>
    <x v="10"/>
    <d v="2023-09-01T00:00:00"/>
    <n v="7505"/>
    <x v="10"/>
  </r>
  <r>
    <x v="0"/>
    <x v="2"/>
    <n v="9"/>
    <x v="10"/>
    <d v="2023-09-01T00:00:00"/>
    <n v="7788"/>
    <x v="11"/>
  </r>
  <r>
    <x v="0"/>
    <x v="2"/>
    <n v="9"/>
    <x v="10"/>
    <d v="2023-09-01T00:00:00"/>
    <n v="92432"/>
    <x v="12"/>
  </r>
  <r>
    <x v="0"/>
    <x v="2"/>
    <n v="10"/>
    <x v="0"/>
    <d v="2023-09-01T00:00:00"/>
    <n v="68092"/>
    <x v="0"/>
  </r>
  <r>
    <x v="0"/>
    <x v="2"/>
    <n v="10"/>
    <x v="0"/>
    <d v="2023-09-01T00:00:00"/>
    <n v="70434"/>
    <x v="1"/>
  </r>
  <r>
    <x v="0"/>
    <x v="2"/>
    <n v="10"/>
    <x v="0"/>
    <d v="2023-09-01T00:00:00"/>
    <n v="83477"/>
    <x v="2"/>
  </r>
  <r>
    <x v="0"/>
    <x v="2"/>
    <n v="10"/>
    <x v="0"/>
    <d v="2023-09-01T00:00:00"/>
    <n v="79607"/>
    <x v="3"/>
  </r>
  <r>
    <x v="0"/>
    <x v="2"/>
    <n v="10"/>
    <x v="0"/>
    <d v="2023-09-01T00:00:00"/>
    <n v="71821"/>
    <x v="4"/>
  </r>
  <r>
    <x v="0"/>
    <x v="2"/>
    <n v="10"/>
    <x v="0"/>
    <d v="2023-09-01T00:00:00"/>
    <n v="71858"/>
    <x v="5"/>
  </r>
  <r>
    <x v="0"/>
    <x v="2"/>
    <n v="10"/>
    <x v="0"/>
    <d v="2023-09-01T00:00:00"/>
    <n v="71977.428571428594"/>
    <x v="6"/>
  </r>
  <r>
    <x v="0"/>
    <x v="2"/>
    <n v="10"/>
    <x v="0"/>
    <d v="2023-09-01T00:00:00"/>
    <n v="71825"/>
    <x v="7"/>
  </r>
  <r>
    <x v="0"/>
    <x v="2"/>
    <n v="10"/>
    <x v="0"/>
    <d v="2023-09-01T00:00:00"/>
    <n v="71840"/>
    <x v="8"/>
  </r>
  <r>
    <x v="0"/>
    <x v="2"/>
    <n v="10"/>
    <x v="0"/>
    <d v="2023-09-01T00:00:00"/>
    <n v="71823"/>
    <x v="9"/>
  </r>
  <r>
    <x v="0"/>
    <x v="2"/>
    <n v="10"/>
    <x v="0"/>
    <d v="2023-09-01T00:00:00"/>
    <n v="71752"/>
    <x v="10"/>
  </r>
  <r>
    <x v="0"/>
    <x v="2"/>
    <n v="10"/>
    <x v="0"/>
    <d v="2023-09-01T00:00:00"/>
    <n v="72202"/>
    <x v="11"/>
  </r>
  <r>
    <x v="0"/>
    <x v="2"/>
    <n v="10"/>
    <x v="0"/>
    <d v="2023-09-01T00:00:00"/>
    <n v="876708.42857142899"/>
    <x v="12"/>
  </r>
  <r>
    <x v="0"/>
    <x v="2"/>
    <n v="11"/>
    <x v="1"/>
    <d v="2023-09-01T00:00:00"/>
    <n v="15410"/>
    <x v="0"/>
  </r>
  <r>
    <x v="0"/>
    <x v="2"/>
    <n v="11"/>
    <x v="1"/>
    <d v="2023-09-01T00:00:00"/>
    <n v="20243"/>
    <x v="1"/>
  </r>
  <r>
    <x v="0"/>
    <x v="2"/>
    <n v="11"/>
    <x v="1"/>
    <d v="2023-09-01T00:00:00"/>
    <n v="17168"/>
    <x v="2"/>
  </r>
  <r>
    <x v="0"/>
    <x v="2"/>
    <n v="11"/>
    <x v="1"/>
    <d v="2023-09-01T00:00:00"/>
    <n v="18353"/>
    <x v="3"/>
  </r>
  <r>
    <x v="0"/>
    <x v="2"/>
    <n v="11"/>
    <x v="1"/>
    <d v="2023-09-01T00:00:00"/>
    <n v="16964"/>
    <x v="4"/>
  </r>
  <r>
    <x v="0"/>
    <x v="2"/>
    <n v="11"/>
    <x v="1"/>
    <d v="2023-09-01T00:00:00"/>
    <n v="19071"/>
    <x v="5"/>
  </r>
  <r>
    <x v="0"/>
    <x v="2"/>
    <n v="11"/>
    <x v="1"/>
    <d v="2023-09-01T00:00:00"/>
    <n v="18487.278333333299"/>
    <x v="6"/>
  </r>
  <r>
    <x v="0"/>
    <x v="2"/>
    <n v="11"/>
    <x v="1"/>
    <d v="2023-09-01T00:00:00"/>
    <n v="17943.278333333299"/>
    <x v="7"/>
  </r>
  <r>
    <x v="0"/>
    <x v="2"/>
    <n v="11"/>
    <x v="1"/>
    <d v="2023-09-01T00:00:00"/>
    <n v="18022.278333333299"/>
    <x v="8"/>
  </r>
  <r>
    <x v="0"/>
    <x v="2"/>
    <n v="11"/>
    <x v="1"/>
    <d v="2023-09-01T00:00:00"/>
    <n v="18097.278333333299"/>
    <x v="9"/>
  </r>
  <r>
    <x v="0"/>
    <x v="2"/>
    <n v="11"/>
    <x v="1"/>
    <d v="2023-09-01T00:00:00"/>
    <n v="17944.278333333299"/>
    <x v="10"/>
  </r>
  <r>
    <x v="0"/>
    <x v="2"/>
    <n v="11"/>
    <x v="1"/>
    <d v="2023-09-01T00:00:00"/>
    <n v="17555.9926190476"/>
    <x v="11"/>
  </r>
  <r>
    <x v="0"/>
    <x v="2"/>
    <n v="11"/>
    <x v="1"/>
    <d v="2023-09-01T00:00:00"/>
    <n v="215259.38428571401"/>
    <x v="12"/>
  </r>
  <r>
    <x v="0"/>
    <x v="2"/>
    <n v="12"/>
    <x v="2"/>
    <d v="2023-09-01T00:00:00"/>
    <n v="10095"/>
    <x v="0"/>
  </r>
  <r>
    <x v="0"/>
    <x v="2"/>
    <n v="12"/>
    <x v="2"/>
    <d v="2023-09-01T00:00:00"/>
    <n v="11533"/>
    <x v="1"/>
  </r>
  <r>
    <x v="0"/>
    <x v="2"/>
    <n v="12"/>
    <x v="2"/>
    <d v="2023-09-01T00:00:00"/>
    <n v="9602"/>
    <x v="2"/>
  </r>
  <r>
    <x v="0"/>
    <x v="2"/>
    <n v="12"/>
    <x v="2"/>
    <d v="2023-09-01T00:00:00"/>
    <n v="11528"/>
    <x v="3"/>
  </r>
  <r>
    <x v="0"/>
    <x v="2"/>
    <n v="12"/>
    <x v="2"/>
    <d v="2023-09-01T00:00:00"/>
    <n v="11523"/>
    <x v="4"/>
  </r>
  <r>
    <x v="0"/>
    <x v="2"/>
    <n v="12"/>
    <x v="2"/>
    <d v="2023-09-01T00:00:00"/>
    <n v="11509"/>
    <x v="5"/>
  </r>
  <r>
    <x v="0"/>
    <x v="2"/>
    <n v="12"/>
    <x v="2"/>
    <d v="2023-09-01T00:00:00"/>
    <n v="11663"/>
    <x v="6"/>
  </r>
  <r>
    <x v="0"/>
    <x v="2"/>
    <n v="12"/>
    <x v="2"/>
    <d v="2023-09-01T00:00:00"/>
    <n v="11562"/>
    <x v="7"/>
  </r>
  <r>
    <x v="0"/>
    <x v="2"/>
    <n v="12"/>
    <x v="2"/>
    <d v="2023-09-01T00:00:00"/>
    <n v="11539"/>
    <x v="8"/>
  </r>
  <r>
    <x v="0"/>
    <x v="2"/>
    <n v="12"/>
    <x v="2"/>
    <d v="2023-09-01T00:00:00"/>
    <n v="11558"/>
    <x v="9"/>
  </r>
  <r>
    <x v="0"/>
    <x v="2"/>
    <n v="12"/>
    <x v="2"/>
    <d v="2023-09-01T00:00:00"/>
    <n v="11458"/>
    <x v="10"/>
  </r>
  <r>
    <x v="0"/>
    <x v="2"/>
    <n v="12"/>
    <x v="2"/>
    <d v="2023-09-01T00:00:00"/>
    <n v="11545"/>
    <x v="11"/>
  </r>
  <r>
    <x v="0"/>
    <x v="2"/>
    <n v="12"/>
    <x v="2"/>
    <d v="2023-09-01T00:00:00"/>
    <n v="135115"/>
    <x v="12"/>
  </r>
  <r>
    <x v="0"/>
    <x v="2"/>
    <n v="13"/>
    <x v="12"/>
    <d v="2023-09-01T00:00:00"/>
    <n v="19569"/>
    <x v="0"/>
  </r>
  <r>
    <x v="0"/>
    <x v="2"/>
    <n v="13"/>
    <x v="12"/>
    <d v="2023-09-01T00:00:00"/>
    <n v="19933"/>
    <x v="1"/>
  </r>
  <r>
    <x v="0"/>
    <x v="2"/>
    <n v="13"/>
    <x v="12"/>
    <d v="2023-09-01T00:00:00"/>
    <n v="20197"/>
    <x v="2"/>
  </r>
  <r>
    <x v="0"/>
    <x v="2"/>
    <n v="13"/>
    <x v="12"/>
    <d v="2023-09-01T00:00:00"/>
    <n v="19862"/>
    <x v="3"/>
  </r>
  <r>
    <x v="0"/>
    <x v="2"/>
    <n v="13"/>
    <x v="12"/>
    <d v="2023-09-01T00:00:00"/>
    <n v="20089"/>
    <x v="4"/>
  </r>
  <r>
    <x v="0"/>
    <x v="2"/>
    <n v="13"/>
    <x v="12"/>
    <d v="2023-09-01T00:00:00"/>
    <n v="18220"/>
    <x v="5"/>
  </r>
  <r>
    <x v="0"/>
    <x v="2"/>
    <n v="13"/>
    <x v="12"/>
    <d v="2023-09-01T00:00:00"/>
    <n v="18321.714285714301"/>
    <x v="6"/>
  </r>
  <r>
    <x v="0"/>
    <x v="2"/>
    <n v="13"/>
    <x v="12"/>
    <d v="2023-09-01T00:00:00"/>
    <n v="19243.714285714301"/>
    <x v="7"/>
  </r>
  <r>
    <x v="0"/>
    <x v="2"/>
    <n v="13"/>
    <x v="12"/>
    <d v="2023-09-01T00:00:00"/>
    <n v="19243.714285714301"/>
    <x v="8"/>
  </r>
  <r>
    <x v="0"/>
    <x v="2"/>
    <n v="13"/>
    <x v="12"/>
    <d v="2023-09-01T00:00:00"/>
    <n v="19243.714285714301"/>
    <x v="9"/>
  </r>
  <r>
    <x v="0"/>
    <x v="2"/>
    <n v="13"/>
    <x v="12"/>
    <d v="2023-09-01T00:00:00"/>
    <n v="19243.714285714301"/>
    <x v="10"/>
  </r>
  <r>
    <x v="0"/>
    <x v="2"/>
    <n v="13"/>
    <x v="12"/>
    <d v="2023-09-01T00:00:00"/>
    <n v="19959.714285714301"/>
    <x v="11"/>
  </r>
  <r>
    <x v="0"/>
    <x v="2"/>
    <n v="13"/>
    <x v="12"/>
    <d v="2023-09-01T00:00:00"/>
    <n v="233126.285714286"/>
    <x v="12"/>
  </r>
  <r>
    <x v="0"/>
    <x v="2"/>
    <n v="14"/>
    <x v="13"/>
    <d v="2023-09-01T00:00:00"/>
    <n v="0"/>
    <x v="0"/>
  </r>
  <r>
    <x v="0"/>
    <x v="2"/>
    <n v="14"/>
    <x v="13"/>
    <d v="2023-09-01T00:00:00"/>
    <n v="0"/>
    <x v="1"/>
  </r>
  <r>
    <x v="0"/>
    <x v="2"/>
    <n v="14"/>
    <x v="13"/>
    <d v="2023-09-01T00:00:00"/>
    <n v="0"/>
    <x v="2"/>
  </r>
  <r>
    <x v="0"/>
    <x v="2"/>
    <n v="14"/>
    <x v="13"/>
    <d v="2023-09-01T00:00:00"/>
    <n v="0"/>
    <x v="3"/>
  </r>
  <r>
    <x v="0"/>
    <x v="2"/>
    <n v="14"/>
    <x v="13"/>
    <d v="2023-09-01T00:00:00"/>
    <n v="0"/>
    <x v="4"/>
  </r>
  <r>
    <x v="0"/>
    <x v="2"/>
    <n v="14"/>
    <x v="13"/>
    <d v="2023-09-01T00:00:00"/>
    <n v="0"/>
    <x v="5"/>
  </r>
  <r>
    <x v="0"/>
    <x v="2"/>
    <n v="14"/>
    <x v="13"/>
    <d v="2023-09-01T00:00:00"/>
    <n v="0"/>
    <x v="6"/>
  </r>
  <r>
    <x v="0"/>
    <x v="2"/>
    <n v="14"/>
    <x v="13"/>
    <d v="2023-09-01T00:00:00"/>
    <n v="0"/>
    <x v="7"/>
  </r>
  <r>
    <x v="0"/>
    <x v="2"/>
    <n v="14"/>
    <x v="13"/>
    <d v="2023-09-01T00:00:00"/>
    <n v="0"/>
    <x v="8"/>
  </r>
  <r>
    <x v="0"/>
    <x v="2"/>
    <n v="14"/>
    <x v="13"/>
    <d v="2023-09-01T00:00:00"/>
    <n v="0"/>
    <x v="9"/>
  </r>
  <r>
    <x v="0"/>
    <x v="2"/>
    <n v="14"/>
    <x v="13"/>
    <d v="2023-09-01T00:00:00"/>
    <n v="0"/>
    <x v="10"/>
  </r>
  <r>
    <x v="0"/>
    <x v="2"/>
    <n v="14"/>
    <x v="13"/>
    <d v="2023-09-01T00:00:00"/>
    <n v="0"/>
    <x v="11"/>
  </r>
  <r>
    <x v="0"/>
    <x v="2"/>
    <n v="14"/>
    <x v="13"/>
    <d v="2023-09-01T00:00:00"/>
    <n v="0"/>
    <x v="12"/>
  </r>
  <r>
    <x v="0"/>
    <x v="2"/>
    <n v="15"/>
    <x v="14"/>
    <d v="2023-09-01T00:00:00"/>
    <n v="7061"/>
    <x v="0"/>
  </r>
  <r>
    <x v="0"/>
    <x v="2"/>
    <n v="15"/>
    <x v="14"/>
    <d v="2023-09-01T00:00:00"/>
    <n v="7268"/>
    <x v="1"/>
  </r>
  <r>
    <x v="0"/>
    <x v="2"/>
    <n v="15"/>
    <x v="14"/>
    <d v="2023-09-01T00:00:00"/>
    <n v="8854"/>
    <x v="2"/>
  </r>
  <r>
    <x v="0"/>
    <x v="2"/>
    <n v="15"/>
    <x v="14"/>
    <d v="2023-09-01T00:00:00"/>
    <n v="7776"/>
    <x v="3"/>
  </r>
  <r>
    <x v="0"/>
    <x v="2"/>
    <n v="15"/>
    <x v="14"/>
    <d v="2023-09-01T00:00:00"/>
    <n v="8111"/>
    <x v="4"/>
  </r>
  <r>
    <x v="0"/>
    <x v="2"/>
    <n v="15"/>
    <x v="14"/>
    <d v="2023-09-01T00:00:00"/>
    <n v="7408"/>
    <x v="5"/>
  </r>
  <r>
    <x v="0"/>
    <x v="2"/>
    <n v="15"/>
    <x v="14"/>
    <d v="2023-09-01T00:00:00"/>
    <n v="7716"/>
    <x v="6"/>
  </r>
  <r>
    <x v="0"/>
    <x v="2"/>
    <n v="15"/>
    <x v="14"/>
    <d v="2023-09-01T00:00:00"/>
    <n v="7705"/>
    <x v="7"/>
  </r>
  <r>
    <x v="0"/>
    <x v="2"/>
    <n v="15"/>
    <x v="14"/>
    <d v="2023-09-01T00:00:00"/>
    <n v="7702"/>
    <x v="8"/>
  </r>
  <r>
    <x v="0"/>
    <x v="2"/>
    <n v="15"/>
    <x v="14"/>
    <d v="2023-09-01T00:00:00"/>
    <n v="7702"/>
    <x v="9"/>
  </r>
  <r>
    <x v="0"/>
    <x v="2"/>
    <n v="15"/>
    <x v="14"/>
    <d v="2023-09-01T00:00:00"/>
    <n v="7736"/>
    <x v="10"/>
  </r>
  <r>
    <x v="0"/>
    <x v="2"/>
    <n v="15"/>
    <x v="14"/>
    <d v="2023-09-01T00:00:00"/>
    <n v="7715"/>
    <x v="11"/>
  </r>
  <r>
    <x v="0"/>
    <x v="2"/>
    <n v="15"/>
    <x v="14"/>
    <d v="2023-09-01T00:00:00"/>
    <n v="92754"/>
    <x v="12"/>
  </r>
  <r>
    <x v="0"/>
    <x v="2"/>
    <n v="16"/>
    <x v="15"/>
    <d v="2023-09-01T00:00:00"/>
    <n v="2459"/>
    <x v="0"/>
  </r>
  <r>
    <x v="0"/>
    <x v="2"/>
    <n v="16"/>
    <x v="15"/>
    <d v="2023-09-01T00:00:00"/>
    <n v="2166"/>
    <x v="1"/>
  </r>
  <r>
    <x v="0"/>
    <x v="2"/>
    <n v="16"/>
    <x v="15"/>
    <d v="2023-09-01T00:00:00"/>
    <n v="2287"/>
    <x v="2"/>
  </r>
  <r>
    <x v="0"/>
    <x v="2"/>
    <n v="16"/>
    <x v="15"/>
    <d v="2023-09-01T00:00:00"/>
    <n v="1963"/>
    <x v="3"/>
  </r>
  <r>
    <x v="0"/>
    <x v="2"/>
    <n v="16"/>
    <x v="15"/>
    <d v="2023-09-01T00:00:00"/>
    <n v="2288"/>
    <x v="4"/>
  </r>
  <r>
    <x v="0"/>
    <x v="2"/>
    <n v="16"/>
    <x v="15"/>
    <d v="2023-09-01T00:00:00"/>
    <n v="1943"/>
    <x v="5"/>
  </r>
  <r>
    <x v="0"/>
    <x v="2"/>
    <n v="16"/>
    <x v="15"/>
    <d v="2023-09-01T00:00:00"/>
    <n v="2253.7142857142899"/>
    <x v="6"/>
  </r>
  <r>
    <x v="0"/>
    <x v="2"/>
    <n v="16"/>
    <x v="15"/>
    <d v="2023-09-01T00:00:00"/>
    <n v="2402.7142857142899"/>
    <x v="7"/>
  </r>
  <r>
    <x v="0"/>
    <x v="2"/>
    <n v="16"/>
    <x v="15"/>
    <d v="2023-09-01T00:00:00"/>
    <n v="2402.7142857142899"/>
    <x v="8"/>
  </r>
  <r>
    <x v="0"/>
    <x v="2"/>
    <n v="16"/>
    <x v="15"/>
    <d v="2023-09-01T00:00:00"/>
    <n v="2402.7142857142899"/>
    <x v="9"/>
  </r>
  <r>
    <x v="0"/>
    <x v="2"/>
    <n v="16"/>
    <x v="15"/>
    <d v="2023-09-01T00:00:00"/>
    <n v="2402.7142857142899"/>
    <x v="10"/>
  </r>
  <r>
    <x v="0"/>
    <x v="2"/>
    <n v="16"/>
    <x v="15"/>
    <d v="2023-09-01T00:00:00"/>
    <n v="2313.7142857142799"/>
    <x v="11"/>
  </r>
  <r>
    <x v="0"/>
    <x v="2"/>
    <n v="16"/>
    <x v="15"/>
    <d v="2023-09-01T00:00:00"/>
    <n v="27284.285714285699"/>
    <x v="12"/>
  </r>
  <r>
    <x v="0"/>
    <x v="2"/>
    <n v="17"/>
    <x v="16"/>
    <d v="2023-09-01T00:00:00"/>
    <n v="30"/>
    <x v="0"/>
  </r>
  <r>
    <x v="0"/>
    <x v="2"/>
    <n v="17"/>
    <x v="16"/>
    <d v="2023-09-01T00:00:00"/>
    <n v="151"/>
    <x v="1"/>
  </r>
  <r>
    <x v="0"/>
    <x v="2"/>
    <n v="17"/>
    <x v="16"/>
    <d v="2023-09-01T00:00:00"/>
    <n v="194"/>
    <x v="2"/>
  </r>
  <r>
    <x v="0"/>
    <x v="2"/>
    <n v="17"/>
    <x v="16"/>
    <d v="2023-09-01T00:00:00"/>
    <n v="263"/>
    <x v="3"/>
  </r>
  <r>
    <x v="0"/>
    <x v="2"/>
    <n v="17"/>
    <x v="16"/>
    <d v="2023-09-01T00:00:00"/>
    <n v="192"/>
    <x v="4"/>
  </r>
  <r>
    <x v="0"/>
    <x v="2"/>
    <n v="17"/>
    <x v="16"/>
    <d v="2023-09-01T00:00:00"/>
    <n v="210"/>
    <x v="5"/>
  </r>
  <r>
    <x v="0"/>
    <x v="2"/>
    <n v="17"/>
    <x v="16"/>
    <d v="2023-09-01T00:00:00"/>
    <n v="0"/>
    <x v="6"/>
  </r>
  <r>
    <x v="0"/>
    <x v="2"/>
    <n v="17"/>
    <x v="16"/>
    <d v="2023-09-01T00:00:00"/>
    <n v="0"/>
    <x v="7"/>
  </r>
  <r>
    <x v="0"/>
    <x v="2"/>
    <n v="17"/>
    <x v="16"/>
    <d v="2023-09-01T00:00:00"/>
    <n v="0"/>
    <x v="8"/>
  </r>
  <r>
    <x v="0"/>
    <x v="2"/>
    <n v="17"/>
    <x v="16"/>
    <d v="2023-09-01T00:00:00"/>
    <n v="0"/>
    <x v="9"/>
  </r>
  <r>
    <x v="0"/>
    <x v="2"/>
    <n v="17"/>
    <x v="16"/>
    <d v="2023-09-01T00:00:00"/>
    <n v="0"/>
    <x v="10"/>
  </r>
  <r>
    <x v="0"/>
    <x v="2"/>
    <n v="17"/>
    <x v="16"/>
    <d v="2023-09-01T00:00:00"/>
    <n v="0"/>
    <x v="11"/>
  </r>
  <r>
    <x v="0"/>
    <x v="2"/>
    <n v="17"/>
    <x v="16"/>
    <d v="2023-09-01T00:00:00"/>
    <n v="1040"/>
    <x v="12"/>
  </r>
  <r>
    <x v="0"/>
    <x v="2"/>
    <n v="18"/>
    <x v="17"/>
    <d v="2023-09-01T00:00:00"/>
    <n v="0"/>
    <x v="0"/>
  </r>
  <r>
    <x v="0"/>
    <x v="2"/>
    <n v="18"/>
    <x v="17"/>
    <d v="2023-09-01T00:00:00"/>
    <n v="0"/>
    <x v="1"/>
  </r>
  <r>
    <x v="0"/>
    <x v="2"/>
    <n v="18"/>
    <x v="17"/>
    <d v="2023-09-01T00:00:00"/>
    <n v="0"/>
    <x v="2"/>
  </r>
  <r>
    <x v="0"/>
    <x v="2"/>
    <n v="18"/>
    <x v="17"/>
    <d v="2023-09-01T00:00:00"/>
    <n v="0"/>
    <x v="3"/>
  </r>
  <r>
    <x v="0"/>
    <x v="2"/>
    <n v="18"/>
    <x v="17"/>
    <d v="2023-09-01T00:00:00"/>
    <n v="0"/>
    <x v="4"/>
  </r>
  <r>
    <x v="0"/>
    <x v="2"/>
    <n v="18"/>
    <x v="17"/>
    <d v="2023-09-01T00:00:00"/>
    <n v="0"/>
    <x v="5"/>
  </r>
  <r>
    <x v="0"/>
    <x v="2"/>
    <n v="18"/>
    <x v="17"/>
    <d v="2023-09-01T00:00:00"/>
    <n v="0"/>
    <x v="6"/>
  </r>
  <r>
    <x v="0"/>
    <x v="2"/>
    <n v="18"/>
    <x v="17"/>
    <d v="2023-09-01T00:00:00"/>
    <n v="0"/>
    <x v="7"/>
  </r>
  <r>
    <x v="0"/>
    <x v="2"/>
    <n v="18"/>
    <x v="17"/>
    <d v="2023-09-01T00:00:00"/>
    <n v="0"/>
    <x v="8"/>
  </r>
  <r>
    <x v="0"/>
    <x v="2"/>
    <n v="18"/>
    <x v="17"/>
    <d v="2023-09-01T00:00:00"/>
    <n v="0"/>
    <x v="9"/>
  </r>
  <r>
    <x v="0"/>
    <x v="2"/>
    <n v="18"/>
    <x v="17"/>
    <d v="2023-09-01T00:00:00"/>
    <n v="0"/>
    <x v="10"/>
  </r>
  <r>
    <x v="0"/>
    <x v="2"/>
    <n v="18"/>
    <x v="17"/>
    <d v="2023-09-01T00:00:00"/>
    <n v="0"/>
    <x v="11"/>
  </r>
  <r>
    <x v="0"/>
    <x v="2"/>
    <n v="18"/>
    <x v="17"/>
    <d v="2023-09-01T00:00:00"/>
    <n v="0"/>
    <x v="12"/>
  </r>
  <r>
    <x v="0"/>
    <x v="2"/>
    <n v="19"/>
    <x v="18"/>
    <d v="2023-09-01T00:00:00"/>
    <n v="0"/>
    <x v="0"/>
  </r>
  <r>
    <x v="0"/>
    <x v="2"/>
    <n v="19"/>
    <x v="18"/>
    <d v="2023-09-01T00:00:00"/>
    <n v="0"/>
    <x v="1"/>
  </r>
  <r>
    <x v="0"/>
    <x v="2"/>
    <n v="19"/>
    <x v="18"/>
    <d v="2023-09-01T00:00:00"/>
    <n v="0"/>
    <x v="2"/>
  </r>
  <r>
    <x v="0"/>
    <x v="2"/>
    <n v="19"/>
    <x v="18"/>
    <d v="2023-09-01T00:00:00"/>
    <n v="0"/>
    <x v="3"/>
  </r>
  <r>
    <x v="0"/>
    <x v="2"/>
    <n v="19"/>
    <x v="18"/>
    <d v="2023-09-01T00:00:00"/>
    <n v="0"/>
    <x v="4"/>
  </r>
  <r>
    <x v="0"/>
    <x v="2"/>
    <n v="19"/>
    <x v="18"/>
    <d v="2023-09-01T00:00:00"/>
    <n v="0"/>
    <x v="5"/>
  </r>
  <r>
    <x v="0"/>
    <x v="2"/>
    <n v="19"/>
    <x v="18"/>
    <d v="2023-09-01T00:00:00"/>
    <n v="0"/>
    <x v="6"/>
  </r>
  <r>
    <x v="0"/>
    <x v="2"/>
    <n v="19"/>
    <x v="18"/>
    <d v="2023-09-01T00:00:00"/>
    <n v="0"/>
    <x v="7"/>
  </r>
  <r>
    <x v="0"/>
    <x v="2"/>
    <n v="19"/>
    <x v="18"/>
    <d v="2023-09-01T00:00:00"/>
    <n v="0"/>
    <x v="8"/>
  </r>
  <r>
    <x v="0"/>
    <x v="2"/>
    <n v="19"/>
    <x v="18"/>
    <d v="2023-09-01T00:00:00"/>
    <n v="0"/>
    <x v="9"/>
  </r>
  <r>
    <x v="0"/>
    <x v="2"/>
    <n v="19"/>
    <x v="18"/>
    <d v="2023-09-01T00:00:00"/>
    <n v="0"/>
    <x v="10"/>
  </r>
  <r>
    <x v="0"/>
    <x v="2"/>
    <n v="19"/>
    <x v="18"/>
    <d v="2023-09-01T00:00:00"/>
    <n v="0"/>
    <x v="11"/>
  </r>
  <r>
    <x v="0"/>
    <x v="2"/>
    <n v="19"/>
    <x v="18"/>
    <d v="2023-09-01T00:00:00"/>
    <n v="0"/>
    <x v="12"/>
  </r>
  <r>
    <x v="0"/>
    <x v="2"/>
    <n v="20"/>
    <x v="19"/>
    <d v="2023-09-01T00:00:00"/>
    <n v="0"/>
    <x v="0"/>
  </r>
  <r>
    <x v="0"/>
    <x v="2"/>
    <n v="20"/>
    <x v="19"/>
    <d v="2023-09-01T00:00:00"/>
    <n v="0"/>
    <x v="1"/>
  </r>
  <r>
    <x v="0"/>
    <x v="2"/>
    <n v="20"/>
    <x v="19"/>
    <d v="2023-09-01T00:00:00"/>
    <n v="0"/>
    <x v="2"/>
  </r>
  <r>
    <x v="0"/>
    <x v="2"/>
    <n v="20"/>
    <x v="19"/>
    <d v="2023-09-01T00:00:00"/>
    <n v="0"/>
    <x v="3"/>
  </r>
  <r>
    <x v="0"/>
    <x v="2"/>
    <n v="20"/>
    <x v="19"/>
    <d v="2023-09-01T00:00:00"/>
    <n v="0"/>
    <x v="4"/>
  </r>
  <r>
    <x v="0"/>
    <x v="2"/>
    <n v="20"/>
    <x v="19"/>
    <d v="2023-09-01T00:00:00"/>
    <n v="0"/>
    <x v="5"/>
  </r>
  <r>
    <x v="0"/>
    <x v="2"/>
    <n v="20"/>
    <x v="19"/>
    <d v="2023-09-01T00:00:00"/>
    <n v="0"/>
    <x v="6"/>
  </r>
  <r>
    <x v="0"/>
    <x v="2"/>
    <n v="20"/>
    <x v="19"/>
    <d v="2023-09-01T00:00:00"/>
    <n v="0"/>
    <x v="7"/>
  </r>
  <r>
    <x v="0"/>
    <x v="2"/>
    <n v="20"/>
    <x v="19"/>
    <d v="2023-09-01T00:00:00"/>
    <n v="0"/>
    <x v="8"/>
  </r>
  <r>
    <x v="0"/>
    <x v="2"/>
    <n v="20"/>
    <x v="19"/>
    <d v="2023-09-01T00:00:00"/>
    <n v="0"/>
    <x v="9"/>
  </r>
  <r>
    <x v="0"/>
    <x v="2"/>
    <n v="20"/>
    <x v="19"/>
    <d v="2023-09-01T00:00:00"/>
    <n v="0"/>
    <x v="10"/>
  </r>
  <r>
    <x v="0"/>
    <x v="2"/>
    <n v="20"/>
    <x v="19"/>
    <d v="2023-09-01T00:00:00"/>
    <n v="0"/>
    <x v="11"/>
  </r>
  <r>
    <x v="0"/>
    <x v="2"/>
    <n v="20"/>
    <x v="19"/>
    <d v="2023-09-01T00:00:00"/>
    <n v="0"/>
    <x v="12"/>
  </r>
  <r>
    <x v="0"/>
    <x v="2"/>
    <n v="21"/>
    <x v="20"/>
    <d v="2023-09-01T00:00:00"/>
    <n v="0"/>
    <x v="0"/>
  </r>
  <r>
    <x v="0"/>
    <x v="2"/>
    <n v="21"/>
    <x v="20"/>
    <d v="2023-09-01T00:00:00"/>
    <n v="0"/>
    <x v="1"/>
  </r>
  <r>
    <x v="0"/>
    <x v="2"/>
    <n v="21"/>
    <x v="20"/>
    <d v="2023-09-01T00:00:00"/>
    <n v="0"/>
    <x v="2"/>
  </r>
  <r>
    <x v="0"/>
    <x v="2"/>
    <n v="21"/>
    <x v="20"/>
    <d v="2023-09-01T00:00:00"/>
    <n v="0"/>
    <x v="3"/>
  </r>
  <r>
    <x v="0"/>
    <x v="2"/>
    <n v="21"/>
    <x v="20"/>
    <d v="2023-09-01T00:00:00"/>
    <n v="0"/>
    <x v="4"/>
  </r>
  <r>
    <x v="0"/>
    <x v="2"/>
    <n v="21"/>
    <x v="20"/>
    <d v="2023-09-01T00:00:00"/>
    <n v="0"/>
    <x v="5"/>
  </r>
  <r>
    <x v="0"/>
    <x v="2"/>
    <n v="21"/>
    <x v="20"/>
    <d v="2023-09-01T00:00:00"/>
    <n v="0"/>
    <x v="6"/>
  </r>
  <r>
    <x v="0"/>
    <x v="2"/>
    <n v="21"/>
    <x v="20"/>
    <d v="2023-09-01T00:00:00"/>
    <n v="0"/>
    <x v="7"/>
  </r>
  <r>
    <x v="0"/>
    <x v="2"/>
    <n v="21"/>
    <x v="20"/>
    <d v="2023-09-01T00:00:00"/>
    <n v="0"/>
    <x v="8"/>
  </r>
  <r>
    <x v="0"/>
    <x v="2"/>
    <n v="21"/>
    <x v="20"/>
    <d v="2023-09-01T00:00:00"/>
    <n v="0"/>
    <x v="9"/>
  </r>
  <r>
    <x v="0"/>
    <x v="2"/>
    <n v="21"/>
    <x v="20"/>
    <d v="2023-09-01T00:00:00"/>
    <n v="0"/>
    <x v="10"/>
  </r>
  <r>
    <x v="0"/>
    <x v="2"/>
    <n v="21"/>
    <x v="20"/>
    <d v="2023-09-01T00:00:00"/>
    <n v="0"/>
    <x v="11"/>
  </r>
  <r>
    <x v="0"/>
    <x v="2"/>
    <n v="21"/>
    <x v="20"/>
    <d v="2023-09-01T00:00:00"/>
    <n v="0"/>
    <x v="12"/>
  </r>
  <r>
    <x v="0"/>
    <x v="2"/>
    <n v="22"/>
    <x v="21"/>
    <d v="2023-09-01T00:00:00"/>
    <n v="3556"/>
    <x v="0"/>
  </r>
  <r>
    <x v="0"/>
    <x v="2"/>
    <n v="22"/>
    <x v="21"/>
    <d v="2023-09-01T00:00:00"/>
    <n v="3553"/>
    <x v="1"/>
  </r>
  <r>
    <x v="0"/>
    <x v="2"/>
    <n v="22"/>
    <x v="21"/>
    <d v="2023-09-01T00:00:00"/>
    <n v="3502.482"/>
    <x v="2"/>
  </r>
  <r>
    <x v="0"/>
    <x v="2"/>
    <n v="22"/>
    <x v="21"/>
    <d v="2023-09-01T00:00:00"/>
    <n v="3593"/>
    <x v="3"/>
  </r>
  <r>
    <x v="0"/>
    <x v="2"/>
    <n v="22"/>
    <x v="21"/>
    <d v="2023-09-01T00:00:00"/>
    <n v="3839"/>
    <x v="4"/>
  </r>
  <r>
    <x v="0"/>
    <x v="2"/>
    <n v="22"/>
    <x v="21"/>
    <d v="2023-09-01T00:00:00"/>
    <n v="4078"/>
    <x v="5"/>
  </r>
  <r>
    <x v="0"/>
    <x v="2"/>
    <n v="22"/>
    <x v="21"/>
    <d v="2023-09-01T00:00:00"/>
    <n v="3839"/>
    <x v="6"/>
  </r>
  <r>
    <x v="0"/>
    <x v="2"/>
    <n v="22"/>
    <x v="21"/>
    <d v="2023-09-01T00:00:00"/>
    <n v="3839"/>
    <x v="7"/>
  </r>
  <r>
    <x v="0"/>
    <x v="2"/>
    <n v="22"/>
    <x v="21"/>
    <d v="2023-09-01T00:00:00"/>
    <n v="3839"/>
    <x v="8"/>
  </r>
  <r>
    <x v="0"/>
    <x v="2"/>
    <n v="22"/>
    <x v="21"/>
    <d v="2023-09-01T00:00:00"/>
    <n v="3839"/>
    <x v="9"/>
  </r>
  <r>
    <x v="0"/>
    <x v="2"/>
    <n v="22"/>
    <x v="21"/>
    <d v="2023-09-01T00:00:00"/>
    <n v="3839"/>
    <x v="10"/>
  </r>
  <r>
    <x v="0"/>
    <x v="2"/>
    <n v="22"/>
    <x v="21"/>
    <d v="2023-09-01T00:00:00"/>
    <n v="3603"/>
    <x v="11"/>
  </r>
  <r>
    <x v="0"/>
    <x v="2"/>
    <n v="22"/>
    <x v="21"/>
    <d v="2023-09-01T00:00:00"/>
    <n v="44919.482000000004"/>
    <x v="12"/>
  </r>
  <r>
    <x v="0"/>
    <x v="2"/>
    <n v="23"/>
    <x v="22"/>
    <d v="2023-09-01T00:00:00"/>
    <n v="75"/>
    <x v="0"/>
  </r>
  <r>
    <x v="0"/>
    <x v="2"/>
    <n v="23"/>
    <x v="22"/>
    <d v="2023-09-01T00:00:00"/>
    <n v="78.5"/>
    <x v="1"/>
  </r>
  <r>
    <x v="0"/>
    <x v="2"/>
    <n v="23"/>
    <x v="22"/>
    <d v="2023-09-01T00:00:00"/>
    <n v="72.347999999999999"/>
    <x v="2"/>
  </r>
  <r>
    <x v="0"/>
    <x v="2"/>
    <n v="23"/>
    <x v="22"/>
    <d v="2023-09-01T00:00:00"/>
    <n v="75"/>
    <x v="3"/>
  </r>
  <r>
    <x v="0"/>
    <x v="2"/>
    <n v="23"/>
    <x v="22"/>
    <d v="2023-09-01T00:00:00"/>
    <n v="85"/>
    <x v="4"/>
  </r>
  <r>
    <x v="0"/>
    <x v="2"/>
    <n v="23"/>
    <x v="22"/>
    <d v="2023-09-01T00:00:00"/>
    <n v="85"/>
    <x v="5"/>
  </r>
  <r>
    <x v="0"/>
    <x v="2"/>
    <n v="23"/>
    <x v="22"/>
    <d v="2023-09-01T00:00:00"/>
    <n v="85"/>
    <x v="6"/>
  </r>
  <r>
    <x v="0"/>
    <x v="2"/>
    <n v="23"/>
    <x v="22"/>
    <d v="2023-09-01T00:00:00"/>
    <n v="85"/>
    <x v="7"/>
  </r>
  <r>
    <x v="0"/>
    <x v="2"/>
    <n v="23"/>
    <x v="22"/>
    <d v="2023-09-01T00:00:00"/>
    <n v="85"/>
    <x v="8"/>
  </r>
  <r>
    <x v="0"/>
    <x v="2"/>
    <n v="23"/>
    <x v="22"/>
    <d v="2023-09-01T00:00:00"/>
    <n v="85"/>
    <x v="9"/>
  </r>
  <r>
    <x v="0"/>
    <x v="2"/>
    <n v="23"/>
    <x v="22"/>
    <d v="2023-09-01T00:00:00"/>
    <n v="85"/>
    <x v="10"/>
  </r>
  <r>
    <x v="0"/>
    <x v="2"/>
    <n v="23"/>
    <x v="22"/>
    <d v="2023-09-01T00:00:00"/>
    <n v="25155"/>
    <x v="11"/>
  </r>
  <r>
    <x v="0"/>
    <x v="2"/>
    <n v="23"/>
    <x v="22"/>
    <d v="2023-09-01T00:00:00"/>
    <n v="26050.848000000002"/>
    <x v="12"/>
  </r>
  <r>
    <x v="0"/>
    <x v="2"/>
    <n v="24"/>
    <x v="23"/>
    <d v="2023-09-01T00:00:00"/>
    <n v="0"/>
    <x v="0"/>
  </r>
  <r>
    <x v="0"/>
    <x v="2"/>
    <n v="24"/>
    <x v="23"/>
    <d v="2023-09-01T00:00:00"/>
    <n v="0"/>
    <x v="1"/>
  </r>
  <r>
    <x v="0"/>
    <x v="2"/>
    <n v="24"/>
    <x v="23"/>
    <d v="2023-09-01T00:00:00"/>
    <n v="0"/>
    <x v="2"/>
  </r>
  <r>
    <x v="0"/>
    <x v="2"/>
    <n v="24"/>
    <x v="23"/>
    <d v="2023-09-01T00:00:00"/>
    <n v="0"/>
    <x v="3"/>
  </r>
  <r>
    <x v="0"/>
    <x v="2"/>
    <n v="24"/>
    <x v="23"/>
    <d v="2023-09-01T00:00:00"/>
    <n v="0"/>
    <x v="4"/>
  </r>
  <r>
    <x v="0"/>
    <x v="2"/>
    <n v="24"/>
    <x v="23"/>
    <d v="2023-09-01T00:00:00"/>
    <n v="0"/>
    <x v="5"/>
  </r>
  <r>
    <x v="0"/>
    <x v="2"/>
    <n v="24"/>
    <x v="23"/>
    <d v="2023-09-01T00:00:00"/>
    <n v="0"/>
    <x v="6"/>
  </r>
  <r>
    <x v="0"/>
    <x v="2"/>
    <n v="24"/>
    <x v="23"/>
    <d v="2023-09-01T00:00:00"/>
    <n v="0"/>
    <x v="7"/>
  </r>
  <r>
    <x v="0"/>
    <x v="2"/>
    <n v="24"/>
    <x v="23"/>
    <d v="2023-09-01T00:00:00"/>
    <n v="0"/>
    <x v="8"/>
  </r>
  <r>
    <x v="0"/>
    <x v="2"/>
    <n v="24"/>
    <x v="23"/>
    <d v="2023-09-01T00:00:00"/>
    <n v="0"/>
    <x v="9"/>
  </r>
  <r>
    <x v="0"/>
    <x v="2"/>
    <n v="24"/>
    <x v="23"/>
    <d v="2023-09-01T00:00:00"/>
    <n v="0"/>
    <x v="10"/>
  </r>
  <r>
    <x v="0"/>
    <x v="2"/>
    <n v="24"/>
    <x v="23"/>
    <d v="2023-09-01T00:00:00"/>
    <n v="0"/>
    <x v="11"/>
  </r>
  <r>
    <x v="0"/>
    <x v="2"/>
    <n v="24"/>
    <x v="23"/>
    <d v="2023-09-01T00:00:00"/>
    <n v="0"/>
    <x v="12"/>
  </r>
  <r>
    <x v="0"/>
    <x v="2"/>
    <n v="25"/>
    <x v="24"/>
    <d v="2023-09-01T00:00:00"/>
    <n v="0"/>
    <x v="0"/>
  </r>
  <r>
    <x v="0"/>
    <x v="2"/>
    <n v="25"/>
    <x v="24"/>
    <d v="2023-09-01T00:00:00"/>
    <n v="0"/>
    <x v="1"/>
  </r>
  <r>
    <x v="0"/>
    <x v="2"/>
    <n v="25"/>
    <x v="24"/>
    <d v="2023-09-01T00:00:00"/>
    <n v="0"/>
    <x v="2"/>
  </r>
  <r>
    <x v="0"/>
    <x v="2"/>
    <n v="25"/>
    <x v="24"/>
    <d v="2023-09-01T00:00:00"/>
    <n v="0"/>
    <x v="3"/>
  </r>
  <r>
    <x v="0"/>
    <x v="2"/>
    <n v="25"/>
    <x v="24"/>
    <d v="2023-09-01T00:00:00"/>
    <n v="0"/>
    <x v="4"/>
  </r>
  <r>
    <x v="0"/>
    <x v="2"/>
    <n v="25"/>
    <x v="24"/>
    <d v="2023-09-01T00:00:00"/>
    <n v="0"/>
    <x v="5"/>
  </r>
  <r>
    <x v="0"/>
    <x v="2"/>
    <n v="25"/>
    <x v="24"/>
    <d v="2023-09-01T00:00:00"/>
    <n v="0"/>
    <x v="6"/>
  </r>
  <r>
    <x v="0"/>
    <x v="2"/>
    <n v="25"/>
    <x v="24"/>
    <d v="2023-09-01T00:00:00"/>
    <n v="0"/>
    <x v="7"/>
  </r>
  <r>
    <x v="0"/>
    <x v="2"/>
    <n v="25"/>
    <x v="24"/>
    <d v="2023-09-01T00:00:00"/>
    <n v="0"/>
    <x v="8"/>
  </r>
  <r>
    <x v="0"/>
    <x v="2"/>
    <n v="25"/>
    <x v="24"/>
    <d v="2023-09-01T00:00:00"/>
    <n v="0"/>
    <x v="9"/>
  </r>
  <r>
    <x v="0"/>
    <x v="2"/>
    <n v="25"/>
    <x v="24"/>
    <d v="2023-09-01T00:00:00"/>
    <n v="0"/>
    <x v="10"/>
  </r>
  <r>
    <x v="0"/>
    <x v="2"/>
    <n v="25"/>
    <x v="24"/>
    <d v="2023-09-01T00:00:00"/>
    <n v="0"/>
    <x v="11"/>
  </r>
  <r>
    <x v="0"/>
    <x v="2"/>
    <n v="25"/>
    <x v="24"/>
    <d v="2023-09-01T00:00:00"/>
    <n v="0"/>
    <x v="12"/>
  </r>
  <r>
    <x v="0"/>
    <x v="2"/>
    <n v="26"/>
    <x v="25"/>
    <d v="2023-09-01T00:00:00"/>
    <n v="147640"/>
    <x v="0"/>
  </r>
  <r>
    <x v="0"/>
    <x v="2"/>
    <n v="26"/>
    <x v="25"/>
    <d v="2023-09-01T00:00:00"/>
    <n v="157102.5"/>
    <x v="1"/>
  </r>
  <r>
    <x v="0"/>
    <x v="2"/>
    <n v="26"/>
    <x v="25"/>
    <d v="2023-09-01T00:00:00"/>
    <n v="167727.82999999999"/>
    <x v="2"/>
  </r>
  <r>
    <x v="0"/>
    <x v="2"/>
    <n v="26"/>
    <x v="25"/>
    <d v="2023-09-01T00:00:00"/>
    <n v="165206"/>
    <x v="3"/>
  </r>
  <r>
    <x v="0"/>
    <x v="2"/>
    <n v="26"/>
    <x v="25"/>
    <d v="2023-09-01T00:00:00"/>
    <n v="156811"/>
    <x v="4"/>
  </r>
  <r>
    <x v="0"/>
    <x v="2"/>
    <n v="26"/>
    <x v="25"/>
    <d v="2023-09-01T00:00:00"/>
    <n v="156832"/>
    <x v="5"/>
  </r>
  <r>
    <x v="0"/>
    <x v="2"/>
    <n v="26"/>
    <x v="25"/>
    <d v="2023-09-01T00:00:00"/>
    <n v="156321.13547618999"/>
    <x v="6"/>
  </r>
  <r>
    <x v="0"/>
    <x v="2"/>
    <n v="26"/>
    <x v="25"/>
    <d v="2023-09-01T00:00:00"/>
    <n v="156609.70690476199"/>
    <x v="7"/>
  </r>
  <r>
    <x v="0"/>
    <x v="2"/>
    <n v="26"/>
    <x v="25"/>
    <d v="2023-09-01T00:00:00"/>
    <n v="156664.63547618999"/>
    <x v="8"/>
  </r>
  <r>
    <x v="0"/>
    <x v="2"/>
    <n v="26"/>
    <x v="25"/>
    <d v="2023-09-01T00:00:00"/>
    <n v="156708.63547618999"/>
    <x v="9"/>
  </r>
  <r>
    <x v="0"/>
    <x v="2"/>
    <n v="26"/>
    <x v="25"/>
    <d v="2023-09-01T00:00:00"/>
    <n v="156120.63547618999"/>
    <x v="10"/>
  </r>
  <r>
    <x v="0"/>
    <x v="2"/>
    <n v="26"/>
    <x v="25"/>
    <d v="2023-09-01T00:00:00"/>
    <n v="182066.349761905"/>
    <x v="11"/>
  </r>
  <r>
    <x v="0"/>
    <x v="2"/>
    <n v="26"/>
    <x v="25"/>
    <d v="2023-09-01T00:00:00"/>
    <n v="1915810.42857143"/>
    <x v="12"/>
  </r>
  <r>
    <x v="0"/>
    <x v="2"/>
    <n v="27"/>
    <x v="26"/>
    <d v="2023-09-01T00:00:00"/>
    <n v="-8896"/>
    <x v="0"/>
  </r>
  <r>
    <x v="0"/>
    <x v="2"/>
    <n v="27"/>
    <x v="26"/>
    <d v="2023-09-01T00:00:00"/>
    <n v="-8286.5"/>
    <x v="1"/>
  </r>
  <r>
    <x v="0"/>
    <x v="2"/>
    <n v="27"/>
    <x v="26"/>
    <d v="2023-09-01T00:00:00"/>
    <n v="-8573.8299999999908"/>
    <x v="2"/>
  </r>
  <r>
    <x v="0"/>
    <x v="2"/>
    <n v="27"/>
    <x v="26"/>
    <d v="2023-09-01T00:00:00"/>
    <n v="-8597"/>
    <x v="3"/>
  </r>
  <r>
    <x v="0"/>
    <x v="2"/>
    <n v="27"/>
    <x v="26"/>
    <d v="2023-09-01T00:00:00"/>
    <n v="-8474"/>
    <x v="4"/>
  </r>
  <r>
    <x v="0"/>
    <x v="2"/>
    <n v="27"/>
    <x v="26"/>
    <d v="2023-09-01T00:00:00"/>
    <n v="-8473"/>
    <x v="5"/>
  </r>
  <r>
    <x v="0"/>
    <x v="2"/>
    <n v="27"/>
    <x v="26"/>
    <d v="2023-09-01T00:00:00"/>
    <n v="-6183.27833333332"/>
    <x v="6"/>
  </r>
  <r>
    <x v="0"/>
    <x v="2"/>
    <n v="27"/>
    <x v="26"/>
    <d v="2023-09-01T00:00:00"/>
    <n v="-6183.27833333332"/>
    <x v="7"/>
  </r>
  <r>
    <x v="0"/>
    <x v="2"/>
    <n v="27"/>
    <x v="26"/>
    <d v="2023-09-01T00:00:00"/>
    <n v="-6183.27833333332"/>
    <x v="8"/>
  </r>
  <r>
    <x v="0"/>
    <x v="2"/>
    <n v="27"/>
    <x v="26"/>
    <d v="2023-09-01T00:00:00"/>
    <n v="-6183.27833333332"/>
    <x v="9"/>
  </r>
  <r>
    <x v="0"/>
    <x v="2"/>
    <n v="27"/>
    <x v="26"/>
    <d v="2023-09-01T00:00:00"/>
    <n v="-6183.27833333332"/>
    <x v="10"/>
  </r>
  <r>
    <x v="0"/>
    <x v="2"/>
    <n v="27"/>
    <x v="26"/>
    <d v="2023-09-01T00:00:00"/>
    <n v="-6183.2783333329999"/>
    <x v="11"/>
  </r>
  <r>
    <x v="0"/>
    <x v="2"/>
    <n v="27"/>
    <x v="26"/>
    <d v="2023-09-01T00:00:00"/>
    <n v="-88399.999999999796"/>
    <x v="12"/>
  </r>
  <r>
    <x v="0"/>
    <x v="3"/>
    <n v="1"/>
    <x v="3"/>
    <d v="2023-09-01T00:00:00"/>
    <n v="97133"/>
    <x v="0"/>
  </r>
  <r>
    <x v="0"/>
    <x v="3"/>
    <n v="1"/>
    <x v="3"/>
    <d v="2023-09-01T00:00:00"/>
    <n v="102121"/>
    <x v="1"/>
  </r>
  <r>
    <x v="0"/>
    <x v="3"/>
    <n v="1"/>
    <x v="3"/>
    <d v="2023-09-01T00:00:00"/>
    <n v="115073"/>
    <x v="2"/>
  </r>
  <r>
    <x v="0"/>
    <x v="3"/>
    <n v="1"/>
    <x v="3"/>
    <d v="2023-09-01T00:00:00"/>
    <n v="109636"/>
    <x v="3"/>
  </r>
  <r>
    <x v="0"/>
    <x v="3"/>
    <n v="1"/>
    <x v="3"/>
    <d v="2023-09-01T00:00:00"/>
    <n v="104213"/>
    <x v="4"/>
  </r>
  <r>
    <x v="0"/>
    <x v="3"/>
    <n v="1"/>
    <x v="3"/>
    <d v="2023-09-01T00:00:00"/>
    <n v="102422"/>
    <x v="5"/>
  </r>
  <r>
    <x v="0"/>
    <x v="3"/>
    <n v="1"/>
    <x v="3"/>
    <d v="2023-09-01T00:00:00"/>
    <n v="110705"/>
    <x v="6"/>
  </r>
  <r>
    <x v="0"/>
    <x v="3"/>
    <n v="1"/>
    <x v="3"/>
    <d v="2023-09-01T00:00:00"/>
    <n v="107947"/>
    <x v="7"/>
  </r>
  <r>
    <x v="0"/>
    <x v="3"/>
    <n v="1"/>
    <x v="3"/>
    <d v="2023-09-01T00:00:00"/>
    <n v="108260"/>
    <x v="8"/>
  </r>
  <r>
    <x v="0"/>
    <x v="3"/>
    <n v="1"/>
    <x v="3"/>
    <d v="2023-09-01T00:00:00"/>
    <n v="107196"/>
    <x v="9"/>
  </r>
  <r>
    <x v="0"/>
    <x v="3"/>
    <n v="1"/>
    <x v="3"/>
    <d v="2023-09-01T00:00:00"/>
    <n v="107310"/>
    <x v="10"/>
  </r>
  <r>
    <x v="0"/>
    <x v="3"/>
    <n v="1"/>
    <x v="3"/>
    <d v="2023-09-01T00:00:00"/>
    <n v="103883"/>
    <x v="11"/>
  </r>
  <r>
    <x v="0"/>
    <x v="3"/>
    <n v="1"/>
    <x v="3"/>
    <d v="2023-09-01T00:00:00"/>
    <n v="1275899"/>
    <x v="12"/>
  </r>
  <r>
    <x v="0"/>
    <x v="3"/>
    <n v="2"/>
    <x v="4"/>
    <d v="2023-09-01T00:00:00"/>
    <n v="23"/>
    <x v="0"/>
  </r>
  <r>
    <x v="0"/>
    <x v="3"/>
    <n v="2"/>
    <x v="4"/>
    <d v="2023-09-01T00:00:00"/>
    <n v="0"/>
    <x v="1"/>
  </r>
  <r>
    <x v="0"/>
    <x v="3"/>
    <n v="2"/>
    <x v="4"/>
    <d v="2023-09-01T00:00:00"/>
    <n v="-16"/>
    <x v="2"/>
  </r>
  <r>
    <x v="0"/>
    <x v="3"/>
    <n v="2"/>
    <x v="4"/>
    <d v="2023-09-01T00:00:00"/>
    <n v="0"/>
    <x v="3"/>
  </r>
  <r>
    <x v="0"/>
    <x v="3"/>
    <n v="2"/>
    <x v="4"/>
    <d v="2023-09-01T00:00:00"/>
    <n v="37"/>
    <x v="4"/>
  </r>
  <r>
    <x v="0"/>
    <x v="3"/>
    <n v="2"/>
    <x v="4"/>
    <d v="2023-09-01T00:00:00"/>
    <n v="0"/>
    <x v="5"/>
  </r>
  <r>
    <x v="0"/>
    <x v="3"/>
    <n v="2"/>
    <x v="4"/>
    <d v="2023-09-01T00:00:00"/>
    <n v="0"/>
    <x v="6"/>
  </r>
  <r>
    <x v="0"/>
    <x v="3"/>
    <n v="2"/>
    <x v="4"/>
    <d v="2023-09-01T00:00:00"/>
    <n v="0"/>
    <x v="7"/>
  </r>
  <r>
    <x v="0"/>
    <x v="3"/>
    <n v="2"/>
    <x v="4"/>
    <d v="2023-09-01T00:00:00"/>
    <n v="0"/>
    <x v="8"/>
  </r>
  <r>
    <x v="0"/>
    <x v="3"/>
    <n v="2"/>
    <x v="4"/>
    <d v="2023-09-01T00:00:00"/>
    <n v="0"/>
    <x v="9"/>
  </r>
  <r>
    <x v="0"/>
    <x v="3"/>
    <n v="2"/>
    <x v="4"/>
    <d v="2023-09-01T00:00:00"/>
    <n v="0"/>
    <x v="10"/>
  </r>
  <r>
    <x v="0"/>
    <x v="3"/>
    <n v="2"/>
    <x v="4"/>
    <d v="2023-09-01T00:00:00"/>
    <n v="156"/>
    <x v="11"/>
  </r>
  <r>
    <x v="0"/>
    <x v="3"/>
    <n v="2"/>
    <x v="4"/>
    <d v="2023-09-01T00:00:00"/>
    <n v="200"/>
    <x v="12"/>
  </r>
  <r>
    <x v="0"/>
    <x v="3"/>
    <n v="3"/>
    <x v="5"/>
    <d v="2023-09-01T00:00:00"/>
    <n v="6810"/>
    <x v="0"/>
  </r>
  <r>
    <x v="0"/>
    <x v="3"/>
    <n v="3"/>
    <x v="5"/>
    <d v="2023-09-01T00:00:00"/>
    <n v="6904"/>
    <x v="1"/>
  </r>
  <r>
    <x v="0"/>
    <x v="3"/>
    <n v="3"/>
    <x v="5"/>
    <d v="2023-09-01T00:00:00"/>
    <n v="7676"/>
    <x v="2"/>
  </r>
  <r>
    <x v="0"/>
    <x v="3"/>
    <n v="3"/>
    <x v="5"/>
    <d v="2023-09-01T00:00:00"/>
    <n v="7262"/>
    <x v="3"/>
  </r>
  <r>
    <x v="0"/>
    <x v="3"/>
    <n v="3"/>
    <x v="5"/>
    <d v="2023-09-01T00:00:00"/>
    <n v="8181"/>
    <x v="4"/>
  </r>
  <r>
    <x v="0"/>
    <x v="3"/>
    <n v="3"/>
    <x v="5"/>
    <d v="2023-09-01T00:00:00"/>
    <n v="5957"/>
    <x v="5"/>
  </r>
  <r>
    <x v="0"/>
    <x v="3"/>
    <n v="3"/>
    <x v="5"/>
    <d v="2023-09-01T00:00:00"/>
    <n v="6885"/>
    <x v="6"/>
  </r>
  <r>
    <x v="0"/>
    <x v="3"/>
    <n v="3"/>
    <x v="5"/>
    <d v="2023-09-01T00:00:00"/>
    <n v="6885"/>
    <x v="7"/>
  </r>
  <r>
    <x v="0"/>
    <x v="3"/>
    <n v="3"/>
    <x v="5"/>
    <d v="2023-09-01T00:00:00"/>
    <n v="6885"/>
    <x v="8"/>
  </r>
  <r>
    <x v="0"/>
    <x v="3"/>
    <n v="3"/>
    <x v="5"/>
    <d v="2023-09-01T00:00:00"/>
    <n v="6885"/>
    <x v="9"/>
  </r>
  <r>
    <x v="0"/>
    <x v="3"/>
    <n v="3"/>
    <x v="5"/>
    <d v="2023-09-01T00:00:00"/>
    <n v="6885"/>
    <x v="10"/>
  </r>
  <r>
    <x v="0"/>
    <x v="3"/>
    <n v="3"/>
    <x v="5"/>
    <d v="2023-09-01T00:00:00"/>
    <n v="6885"/>
    <x v="11"/>
  </r>
  <r>
    <x v="0"/>
    <x v="3"/>
    <n v="3"/>
    <x v="5"/>
    <d v="2023-09-01T00:00:00"/>
    <n v="84100"/>
    <x v="12"/>
  </r>
  <r>
    <x v="0"/>
    <x v="3"/>
    <n v="4"/>
    <x v="6"/>
    <d v="2023-09-01T00:00:00"/>
    <n v="1018"/>
    <x v="0"/>
  </r>
  <r>
    <x v="0"/>
    <x v="3"/>
    <n v="4"/>
    <x v="6"/>
    <d v="2023-09-01T00:00:00"/>
    <n v="997"/>
    <x v="1"/>
  </r>
  <r>
    <x v="0"/>
    <x v="3"/>
    <n v="4"/>
    <x v="6"/>
    <d v="2023-09-01T00:00:00"/>
    <n v="1004"/>
    <x v="2"/>
  </r>
  <r>
    <x v="0"/>
    <x v="3"/>
    <n v="4"/>
    <x v="6"/>
    <d v="2023-09-01T00:00:00"/>
    <n v="995"/>
    <x v="3"/>
  </r>
  <r>
    <x v="0"/>
    <x v="3"/>
    <n v="4"/>
    <x v="6"/>
    <d v="2023-09-01T00:00:00"/>
    <n v="993"/>
    <x v="4"/>
  </r>
  <r>
    <x v="0"/>
    <x v="3"/>
    <n v="4"/>
    <x v="6"/>
    <d v="2023-09-01T00:00:00"/>
    <n v="996"/>
    <x v="5"/>
  </r>
  <r>
    <x v="0"/>
    <x v="3"/>
    <n v="4"/>
    <x v="6"/>
    <d v="2023-09-01T00:00:00"/>
    <n v="1018"/>
    <x v="6"/>
  </r>
  <r>
    <x v="0"/>
    <x v="3"/>
    <n v="4"/>
    <x v="6"/>
    <d v="2023-09-01T00:00:00"/>
    <n v="1018"/>
    <x v="7"/>
  </r>
  <r>
    <x v="0"/>
    <x v="3"/>
    <n v="4"/>
    <x v="6"/>
    <d v="2023-09-01T00:00:00"/>
    <n v="1018"/>
    <x v="8"/>
  </r>
  <r>
    <x v="0"/>
    <x v="3"/>
    <n v="4"/>
    <x v="6"/>
    <d v="2023-09-01T00:00:00"/>
    <n v="1018"/>
    <x v="9"/>
  </r>
  <r>
    <x v="0"/>
    <x v="3"/>
    <n v="4"/>
    <x v="6"/>
    <d v="2023-09-01T00:00:00"/>
    <n v="1018"/>
    <x v="10"/>
  </r>
  <r>
    <x v="0"/>
    <x v="3"/>
    <n v="4"/>
    <x v="6"/>
    <d v="2023-09-01T00:00:00"/>
    <n v="1018"/>
    <x v="11"/>
  </r>
  <r>
    <x v="0"/>
    <x v="3"/>
    <n v="4"/>
    <x v="6"/>
    <d v="2023-09-01T00:00:00"/>
    <n v="12111"/>
    <x v="12"/>
  </r>
  <r>
    <x v="0"/>
    <x v="3"/>
    <n v="5"/>
    <x v="7"/>
    <d v="2023-09-01T00:00:00"/>
    <n v="10"/>
    <x v="0"/>
  </r>
  <r>
    <x v="0"/>
    <x v="3"/>
    <n v="5"/>
    <x v="7"/>
    <d v="2023-09-01T00:00:00"/>
    <n v="-570"/>
    <x v="1"/>
  </r>
  <r>
    <x v="0"/>
    <x v="3"/>
    <n v="5"/>
    <x v="7"/>
    <d v="2023-09-01T00:00:00"/>
    <n v="-67"/>
    <x v="2"/>
  </r>
  <r>
    <x v="0"/>
    <x v="3"/>
    <n v="5"/>
    <x v="7"/>
    <d v="2023-09-01T00:00:00"/>
    <n v="264"/>
    <x v="3"/>
  </r>
  <r>
    <x v="0"/>
    <x v="3"/>
    <n v="5"/>
    <x v="7"/>
    <d v="2023-09-01T00:00:00"/>
    <n v="-582"/>
    <x v="4"/>
  </r>
  <r>
    <x v="0"/>
    <x v="3"/>
    <n v="5"/>
    <x v="7"/>
    <d v="2023-09-01T00:00:00"/>
    <n v="-73"/>
    <x v="5"/>
  </r>
  <r>
    <x v="0"/>
    <x v="3"/>
    <n v="5"/>
    <x v="7"/>
    <d v="2023-09-01T00:00:00"/>
    <n v="10"/>
    <x v="6"/>
  </r>
  <r>
    <x v="0"/>
    <x v="3"/>
    <n v="5"/>
    <x v="7"/>
    <d v="2023-09-01T00:00:00"/>
    <n v="10"/>
    <x v="7"/>
  </r>
  <r>
    <x v="0"/>
    <x v="3"/>
    <n v="5"/>
    <x v="7"/>
    <d v="2023-09-01T00:00:00"/>
    <n v="10"/>
    <x v="8"/>
  </r>
  <r>
    <x v="0"/>
    <x v="3"/>
    <n v="5"/>
    <x v="7"/>
    <d v="2023-09-01T00:00:00"/>
    <n v="10"/>
    <x v="9"/>
  </r>
  <r>
    <x v="0"/>
    <x v="3"/>
    <n v="5"/>
    <x v="7"/>
    <d v="2023-09-01T00:00:00"/>
    <n v="10"/>
    <x v="10"/>
  </r>
  <r>
    <x v="0"/>
    <x v="3"/>
    <n v="5"/>
    <x v="7"/>
    <d v="2023-09-01T00:00:00"/>
    <n v="10"/>
    <x v="11"/>
  </r>
  <r>
    <x v="0"/>
    <x v="3"/>
    <n v="5"/>
    <x v="7"/>
    <d v="2023-09-01T00:00:00"/>
    <n v="-958"/>
    <x v="12"/>
  </r>
  <r>
    <x v="0"/>
    <x v="3"/>
    <n v="6"/>
    <x v="8"/>
    <d v="2023-09-01T00:00:00"/>
    <n v="3455"/>
    <x v="0"/>
  </r>
  <r>
    <x v="0"/>
    <x v="3"/>
    <n v="6"/>
    <x v="8"/>
    <d v="2023-09-01T00:00:00"/>
    <n v="3394"/>
    <x v="1"/>
  </r>
  <r>
    <x v="0"/>
    <x v="3"/>
    <n v="6"/>
    <x v="8"/>
    <d v="2023-09-01T00:00:00"/>
    <n v="3437"/>
    <x v="2"/>
  </r>
  <r>
    <x v="0"/>
    <x v="3"/>
    <n v="6"/>
    <x v="8"/>
    <d v="2023-09-01T00:00:00"/>
    <n v="3439"/>
    <x v="3"/>
  </r>
  <r>
    <x v="0"/>
    <x v="3"/>
    <n v="6"/>
    <x v="8"/>
    <d v="2023-09-01T00:00:00"/>
    <n v="3210"/>
    <x v="4"/>
  </r>
  <r>
    <x v="0"/>
    <x v="3"/>
    <n v="6"/>
    <x v="8"/>
    <d v="2023-09-01T00:00:00"/>
    <n v="3980"/>
    <x v="5"/>
  </r>
  <r>
    <x v="0"/>
    <x v="3"/>
    <n v="6"/>
    <x v="8"/>
    <d v="2023-09-01T00:00:00"/>
    <n v="3455"/>
    <x v="6"/>
  </r>
  <r>
    <x v="0"/>
    <x v="3"/>
    <n v="6"/>
    <x v="8"/>
    <d v="2023-09-01T00:00:00"/>
    <n v="3455"/>
    <x v="7"/>
  </r>
  <r>
    <x v="0"/>
    <x v="3"/>
    <n v="6"/>
    <x v="8"/>
    <d v="2023-09-01T00:00:00"/>
    <n v="3455"/>
    <x v="8"/>
  </r>
  <r>
    <x v="0"/>
    <x v="3"/>
    <n v="6"/>
    <x v="8"/>
    <d v="2023-09-01T00:00:00"/>
    <n v="3455"/>
    <x v="9"/>
  </r>
  <r>
    <x v="0"/>
    <x v="3"/>
    <n v="6"/>
    <x v="8"/>
    <d v="2023-09-01T00:00:00"/>
    <n v="3455"/>
    <x v="10"/>
  </r>
  <r>
    <x v="0"/>
    <x v="3"/>
    <n v="6"/>
    <x v="8"/>
    <d v="2023-09-01T00:00:00"/>
    <n v="3455"/>
    <x v="11"/>
  </r>
  <r>
    <x v="0"/>
    <x v="3"/>
    <n v="6"/>
    <x v="8"/>
    <d v="2023-09-01T00:00:00"/>
    <n v="41645"/>
    <x v="12"/>
  </r>
  <r>
    <x v="0"/>
    <x v="3"/>
    <n v="7"/>
    <x v="9"/>
    <d v="2023-09-01T00:00:00"/>
    <n v="108449"/>
    <x v="0"/>
  </r>
  <r>
    <x v="0"/>
    <x v="3"/>
    <n v="7"/>
    <x v="9"/>
    <d v="2023-09-01T00:00:00"/>
    <n v="112846"/>
    <x v="1"/>
  </r>
  <r>
    <x v="0"/>
    <x v="3"/>
    <n v="7"/>
    <x v="9"/>
    <d v="2023-09-01T00:00:00"/>
    <n v="127107"/>
    <x v="2"/>
  </r>
  <r>
    <x v="0"/>
    <x v="3"/>
    <n v="7"/>
    <x v="9"/>
    <d v="2023-09-01T00:00:00"/>
    <n v="121596"/>
    <x v="3"/>
  </r>
  <r>
    <x v="0"/>
    <x v="3"/>
    <n v="7"/>
    <x v="9"/>
    <d v="2023-09-01T00:00:00"/>
    <n v="116052"/>
    <x v="4"/>
  </r>
  <r>
    <x v="0"/>
    <x v="3"/>
    <n v="7"/>
    <x v="9"/>
    <d v="2023-09-01T00:00:00"/>
    <n v="113282"/>
    <x v="5"/>
  </r>
  <r>
    <x v="0"/>
    <x v="3"/>
    <n v="7"/>
    <x v="9"/>
    <d v="2023-09-01T00:00:00"/>
    <n v="122073"/>
    <x v="6"/>
  </r>
  <r>
    <x v="0"/>
    <x v="3"/>
    <n v="7"/>
    <x v="9"/>
    <d v="2023-09-01T00:00:00"/>
    <n v="119315"/>
    <x v="7"/>
  </r>
  <r>
    <x v="0"/>
    <x v="3"/>
    <n v="7"/>
    <x v="9"/>
    <d v="2023-09-01T00:00:00"/>
    <n v="119628"/>
    <x v="8"/>
  </r>
  <r>
    <x v="0"/>
    <x v="3"/>
    <n v="7"/>
    <x v="9"/>
    <d v="2023-09-01T00:00:00"/>
    <n v="118564"/>
    <x v="9"/>
  </r>
  <r>
    <x v="0"/>
    <x v="3"/>
    <n v="7"/>
    <x v="9"/>
    <d v="2023-09-01T00:00:00"/>
    <n v="118678"/>
    <x v="10"/>
  </r>
  <r>
    <x v="0"/>
    <x v="3"/>
    <n v="7"/>
    <x v="9"/>
    <d v="2023-09-01T00:00:00"/>
    <n v="115407"/>
    <x v="11"/>
  </r>
  <r>
    <x v="0"/>
    <x v="3"/>
    <n v="7"/>
    <x v="9"/>
    <d v="2023-09-01T00:00:00"/>
    <n v="1412997"/>
    <x v="12"/>
  </r>
  <r>
    <x v="0"/>
    <x v="3"/>
    <n v="8"/>
    <x v="11"/>
    <d v="2023-09-01T00:00:00"/>
    <n v="12115"/>
    <x v="0"/>
  </r>
  <r>
    <x v="0"/>
    <x v="3"/>
    <n v="8"/>
    <x v="11"/>
    <d v="2023-09-01T00:00:00"/>
    <n v="11918"/>
    <x v="1"/>
  </r>
  <r>
    <x v="0"/>
    <x v="3"/>
    <n v="8"/>
    <x v="11"/>
    <d v="2023-09-01T00:00:00"/>
    <n v="13127"/>
    <x v="2"/>
  </r>
  <r>
    <x v="0"/>
    <x v="3"/>
    <n v="8"/>
    <x v="11"/>
    <d v="2023-09-01T00:00:00"/>
    <n v="12624"/>
    <x v="3"/>
  </r>
  <r>
    <x v="0"/>
    <x v="3"/>
    <n v="8"/>
    <x v="11"/>
    <d v="2023-09-01T00:00:00"/>
    <n v="13280"/>
    <x v="4"/>
  </r>
  <r>
    <x v="0"/>
    <x v="3"/>
    <n v="8"/>
    <x v="11"/>
    <d v="2023-09-01T00:00:00"/>
    <n v="12706"/>
    <x v="5"/>
  </r>
  <r>
    <x v="0"/>
    <x v="3"/>
    <n v="8"/>
    <x v="11"/>
    <d v="2023-09-01T00:00:00"/>
    <n v="12710"/>
    <x v="6"/>
  </r>
  <r>
    <x v="0"/>
    <x v="3"/>
    <n v="8"/>
    <x v="11"/>
    <d v="2023-09-01T00:00:00"/>
    <n v="12840"/>
    <x v="7"/>
  </r>
  <r>
    <x v="0"/>
    <x v="3"/>
    <n v="8"/>
    <x v="11"/>
    <d v="2023-09-01T00:00:00"/>
    <n v="12840"/>
    <x v="8"/>
  </r>
  <r>
    <x v="0"/>
    <x v="3"/>
    <n v="8"/>
    <x v="11"/>
    <d v="2023-09-01T00:00:00"/>
    <n v="12840"/>
    <x v="9"/>
  </r>
  <r>
    <x v="0"/>
    <x v="3"/>
    <n v="8"/>
    <x v="11"/>
    <d v="2023-09-01T00:00:00"/>
    <n v="12840"/>
    <x v="10"/>
  </r>
  <r>
    <x v="0"/>
    <x v="3"/>
    <n v="8"/>
    <x v="11"/>
    <d v="2023-09-01T00:00:00"/>
    <n v="13073"/>
    <x v="11"/>
  </r>
  <r>
    <x v="0"/>
    <x v="3"/>
    <n v="8"/>
    <x v="11"/>
    <d v="2023-09-01T00:00:00"/>
    <n v="152913"/>
    <x v="12"/>
  </r>
  <r>
    <x v="0"/>
    <x v="3"/>
    <n v="9"/>
    <x v="10"/>
    <d v="2023-09-01T00:00:00"/>
    <n v="8680"/>
    <x v="0"/>
  </r>
  <r>
    <x v="0"/>
    <x v="3"/>
    <n v="9"/>
    <x v="10"/>
    <d v="2023-09-01T00:00:00"/>
    <n v="9370"/>
    <x v="1"/>
  </r>
  <r>
    <x v="0"/>
    <x v="3"/>
    <n v="9"/>
    <x v="10"/>
    <d v="2023-09-01T00:00:00"/>
    <n v="8867"/>
    <x v="2"/>
  </r>
  <r>
    <x v="0"/>
    <x v="3"/>
    <n v="9"/>
    <x v="10"/>
    <d v="2023-09-01T00:00:00"/>
    <n v="8758"/>
    <x v="3"/>
  </r>
  <r>
    <x v="0"/>
    <x v="3"/>
    <n v="9"/>
    <x v="10"/>
    <d v="2023-09-01T00:00:00"/>
    <n v="8795"/>
    <x v="4"/>
  </r>
  <r>
    <x v="0"/>
    <x v="3"/>
    <n v="9"/>
    <x v="10"/>
    <d v="2023-09-01T00:00:00"/>
    <n v="7796"/>
    <x v="5"/>
  </r>
  <r>
    <x v="0"/>
    <x v="3"/>
    <n v="9"/>
    <x v="10"/>
    <d v="2023-09-01T00:00:00"/>
    <n v="8172"/>
    <x v="6"/>
  </r>
  <r>
    <x v="0"/>
    <x v="3"/>
    <n v="9"/>
    <x v="10"/>
    <d v="2023-09-01T00:00:00"/>
    <n v="8872"/>
    <x v="7"/>
  </r>
  <r>
    <x v="0"/>
    <x v="3"/>
    <n v="9"/>
    <x v="10"/>
    <d v="2023-09-01T00:00:00"/>
    <n v="8872"/>
    <x v="8"/>
  </r>
  <r>
    <x v="0"/>
    <x v="3"/>
    <n v="9"/>
    <x v="10"/>
    <d v="2023-09-01T00:00:00"/>
    <n v="8172"/>
    <x v="9"/>
  </r>
  <r>
    <x v="0"/>
    <x v="3"/>
    <n v="9"/>
    <x v="10"/>
    <d v="2023-09-01T00:00:00"/>
    <n v="8172"/>
    <x v="10"/>
  </r>
  <r>
    <x v="0"/>
    <x v="3"/>
    <n v="9"/>
    <x v="10"/>
    <d v="2023-09-01T00:00:00"/>
    <n v="8486"/>
    <x v="11"/>
  </r>
  <r>
    <x v="0"/>
    <x v="3"/>
    <n v="9"/>
    <x v="10"/>
    <d v="2023-09-01T00:00:00"/>
    <n v="103012"/>
    <x v="12"/>
  </r>
  <r>
    <x v="0"/>
    <x v="3"/>
    <n v="10"/>
    <x v="0"/>
    <d v="2023-09-01T00:00:00"/>
    <n v="51950"/>
    <x v="0"/>
  </r>
  <r>
    <x v="0"/>
    <x v="3"/>
    <n v="10"/>
    <x v="0"/>
    <d v="2023-09-01T00:00:00"/>
    <n v="52205"/>
    <x v="1"/>
  </r>
  <r>
    <x v="0"/>
    <x v="3"/>
    <n v="10"/>
    <x v="0"/>
    <d v="2023-09-01T00:00:00"/>
    <n v="63719"/>
    <x v="2"/>
  </r>
  <r>
    <x v="0"/>
    <x v="3"/>
    <n v="10"/>
    <x v="0"/>
    <d v="2023-09-01T00:00:00"/>
    <n v="60804"/>
    <x v="3"/>
  </r>
  <r>
    <x v="0"/>
    <x v="3"/>
    <n v="10"/>
    <x v="0"/>
    <d v="2023-09-01T00:00:00"/>
    <n v="54238"/>
    <x v="4"/>
  </r>
  <r>
    <x v="0"/>
    <x v="3"/>
    <n v="10"/>
    <x v="0"/>
    <d v="2023-09-01T00:00:00"/>
    <n v="54810"/>
    <x v="5"/>
  </r>
  <r>
    <x v="0"/>
    <x v="3"/>
    <n v="10"/>
    <x v="0"/>
    <d v="2023-09-01T00:00:00"/>
    <n v="58714"/>
    <x v="6"/>
  </r>
  <r>
    <x v="0"/>
    <x v="3"/>
    <n v="10"/>
    <x v="0"/>
    <d v="2023-09-01T00:00:00"/>
    <n v="56364"/>
    <x v="7"/>
  </r>
  <r>
    <x v="0"/>
    <x v="3"/>
    <n v="10"/>
    <x v="0"/>
    <d v="2023-09-01T00:00:00"/>
    <n v="56404"/>
    <x v="8"/>
  </r>
  <r>
    <x v="0"/>
    <x v="3"/>
    <n v="10"/>
    <x v="0"/>
    <d v="2023-09-01T00:00:00"/>
    <n v="56104"/>
    <x v="9"/>
  </r>
  <r>
    <x v="0"/>
    <x v="3"/>
    <n v="10"/>
    <x v="0"/>
    <d v="2023-09-01T00:00:00"/>
    <n v="56104"/>
    <x v="10"/>
  </r>
  <r>
    <x v="0"/>
    <x v="3"/>
    <n v="10"/>
    <x v="0"/>
    <d v="2023-09-01T00:00:00"/>
    <n v="56184"/>
    <x v="11"/>
  </r>
  <r>
    <x v="0"/>
    <x v="3"/>
    <n v="10"/>
    <x v="0"/>
    <d v="2023-09-01T00:00:00"/>
    <n v="677600"/>
    <x v="12"/>
  </r>
  <r>
    <x v="0"/>
    <x v="3"/>
    <n v="11"/>
    <x v="1"/>
    <d v="2023-09-01T00:00:00"/>
    <n v="8415"/>
    <x v="0"/>
  </r>
  <r>
    <x v="0"/>
    <x v="3"/>
    <n v="11"/>
    <x v="1"/>
    <d v="2023-09-01T00:00:00"/>
    <n v="9324"/>
    <x v="1"/>
  </r>
  <r>
    <x v="0"/>
    <x v="3"/>
    <n v="11"/>
    <x v="1"/>
    <d v="2023-09-01T00:00:00"/>
    <n v="13175"/>
    <x v="2"/>
  </r>
  <r>
    <x v="0"/>
    <x v="3"/>
    <n v="11"/>
    <x v="1"/>
    <d v="2023-09-01T00:00:00"/>
    <n v="9236"/>
    <x v="3"/>
  </r>
  <r>
    <x v="0"/>
    <x v="3"/>
    <n v="11"/>
    <x v="1"/>
    <d v="2023-09-01T00:00:00"/>
    <n v="9311"/>
    <x v="4"/>
  </r>
  <r>
    <x v="0"/>
    <x v="3"/>
    <n v="11"/>
    <x v="1"/>
    <d v="2023-09-01T00:00:00"/>
    <n v="10344"/>
    <x v="5"/>
  </r>
  <r>
    <x v="0"/>
    <x v="3"/>
    <n v="11"/>
    <x v="1"/>
    <d v="2023-09-01T00:00:00"/>
    <n v="10767"/>
    <x v="6"/>
  </r>
  <r>
    <x v="0"/>
    <x v="3"/>
    <n v="11"/>
    <x v="1"/>
    <d v="2023-09-01T00:00:00"/>
    <n v="10927"/>
    <x v="7"/>
  </r>
  <r>
    <x v="0"/>
    <x v="3"/>
    <n v="11"/>
    <x v="1"/>
    <d v="2023-09-01T00:00:00"/>
    <n v="10977"/>
    <x v="8"/>
  </r>
  <r>
    <x v="0"/>
    <x v="3"/>
    <n v="11"/>
    <x v="1"/>
    <d v="2023-09-01T00:00:00"/>
    <n v="11063"/>
    <x v="9"/>
  </r>
  <r>
    <x v="0"/>
    <x v="3"/>
    <n v="11"/>
    <x v="1"/>
    <d v="2023-09-01T00:00:00"/>
    <n v="11177"/>
    <x v="10"/>
  </r>
  <r>
    <x v="0"/>
    <x v="3"/>
    <n v="11"/>
    <x v="1"/>
    <d v="2023-09-01T00:00:00"/>
    <n v="10065"/>
    <x v="11"/>
  </r>
  <r>
    <x v="0"/>
    <x v="3"/>
    <n v="11"/>
    <x v="1"/>
    <d v="2023-09-01T00:00:00"/>
    <n v="124781"/>
    <x v="12"/>
  </r>
  <r>
    <x v="0"/>
    <x v="3"/>
    <n v="12"/>
    <x v="2"/>
    <d v="2023-09-01T00:00:00"/>
    <n v="3649"/>
    <x v="0"/>
  </r>
  <r>
    <x v="0"/>
    <x v="3"/>
    <n v="12"/>
    <x v="2"/>
    <d v="2023-09-01T00:00:00"/>
    <n v="5213"/>
    <x v="1"/>
  </r>
  <r>
    <x v="0"/>
    <x v="3"/>
    <n v="12"/>
    <x v="2"/>
    <d v="2023-09-01T00:00:00"/>
    <n v="4563"/>
    <x v="2"/>
  </r>
  <r>
    <x v="0"/>
    <x v="3"/>
    <n v="12"/>
    <x v="2"/>
    <d v="2023-09-01T00:00:00"/>
    <n v="4408"/>
    <x v="3"/>
  </r>
  <r>
    <x v="0"/>
    <x v="3"/>
    <n v="12"/>
    <x v="2"/>
    <d v="2023-09-01T00:00:00"/>
    <n v="4462"/>
    <x v="4"/>
  </r>
  <r>
    <x v="0"/>
    <x v="3"/>
    <n v="12"/>
    <x v="2"/>
    <d v="2023-09-01T00:00:00"/>
    <n v="4774"/>
    <x v="5"/>
  </r>
  <r>
    <x v="0"/>
    <x v="3"/>
    <n v="12"/>
    <x v="2"/>
    <d v="2023-09-01T00:00:00"/>
    <n v="4597"/>
    <x v="6"/>
  </r>
  <r>
    <x v="0"/>
    <x v="3"/>
    <n v="12"/>
    <x v="2"/>
    <d v="2023-09-01T00:00:00"/>
    <n v="4597"/>
    <x v="7"/>
  </r>
  <r>
    <x v="0"/>
    <x v="3"/>
    <n v="12"/>
    <x v="2"/>
    <d v="2023-09-01T00:00:00"/>
    <n v="4597"/>
    <x v="8"/>
  </r>
  <r>
    <x v="0"/>
    <x v="3"/>
    <n v="12"/>
    <x v="2"/>
    <d v="2023-09-01T00:00:00"/>
    <n v="4647"/>
    <x v="9"/>
  </r>
  <r>
    <x v="0"/>
    <x v="3"/>
    <n v="12"/>
    <x v="2"/>
    <d v="2023-09-01T00:00:00"/>
    <n v="4647"/>
    <x v="10"/>
  </r>
  <r>
    <x v="0"/>
    <x v="3"/>
    <n v="12"/>
    <x v="2"/>
    <d v="2023-09-01T00:00:00"/>
    <n v="4647"/>
    <x v="11"/>
  </r>
  <r>
    <x v="0"/>
    <x v="3"/>
    <n v="12"/>
    <x v="2"/>
    <d v="2023-09-01T00:00:00"/>
    <n v="54801"/>
    <x v="12"/>
  </r>
  <r>
    <x v="0"/>
    <x v="3"/>
    <n v="13"/>
    <x v="12"/>
    <d v="2023-09-01T00:00:00"/>
    <n v="21227"/>
    <x v="0"/>
  </r>
  <r>
    <x v="0"/>
    <x v="3"/>
    <n v="13"/>
    <x v="12"/>
    <d v="2023-09-01T00:00:00"/>
    <n v="20588"/>
    <x v="1"/>
  </r>
  <r>
    <x v="0"/>
    <x v="3"/>
    <n v="13"/>
    <x v="12"/>
    <d v="2023-09-01T00:00:00"/>
    <n v="22214"/>
    <x v="2"/>
  </r>
  <r>
    <x v="0"/>
    <x v="3"/>
    <n v="13"/>
    <x v="12"/>
    <d v="2023-09-01T00:00:00"/>
    <n v="21920"/>
    <x v="3"/>
  </r>
  <r>
    <x v="0"/>
    <x v="3"/>
    <n v="13"/>
    <x v="12"/>
    <d v="2023-09-01T00:00:00"/>
    <n v="21997"/>
    <x v="4"/>
  </r>
  <r>
    <x v="0"/>
    <x v="3"/>
    <n v="13"/>
    <x v="12"/>
    <d v="2023-09-01T00:00:00"/>
    <n v="21409"/>
    <x v="5"/>
  </r>
  <r>
    <x v="0"/>
    <x v="3"/>
    <n v="13"/>
    <x v="12"/>
    <d v="2023-09-01T00:00:00"/>
    <n v="23258"/>
    <x v="6"/>
  </r>
  <r>
    <x v="0"/>
    <x v="3"/>
    <n v="13"/>
    <x v="12"/>
    <d v="2023-09-01T00:00:00"/>
    <n v="21860"/>
    <x v="7"/>
  </r>
  <r>
    <x v="0"/>
    <x v="3"/>
    <n v="13"/>
    <x v="12"/>
    <d v="2023-09-01T00:00:00"/>
    <n v="22083"/>
    <x v="8"/>
  </r>
  <r>
    <x v="0"/>
    <x v="3"/>
    <n v="13"/>
    <x v="12"/>
    <d v="2023-09-01T00:00:00"/>
    <n v="22083"/>
    <x v="9"/>
  </r>
  <r>
    <x v="0"/>
    <x v="3"/>
    <n v="13"/>
    <x v="12"/>
    <d v="2023-09-01T00:00:00"/>
    <n v="22083"/>
    <x v="10"/>
  </r>
  <r>
    <x v="0"/>
    <x v="3"/>
    <n v="13"/>
    <x v="12"/>
    <d v="2023-09-01T00:00:00"/>
    <n v="22059"/>
    <x v="11"/>
  </r>
  <r>
    <x v="0"/>
    <x v="3"/>
    <n v="13"/>
    <x v="12"/>
    <d v="2023-09-01T00:00:00"/>
    <n v="262781"/>
    <x v="12"/>
  </r>
  <r>
    <x v="0"/>
    <x v="3"/>
    <n v="14"/>
    <x v="13"/>
    <d v="2023-09-01T00:00:00"/>
    <n v="293"/>
    <x v="0"/>
  </r>
  <r>
    <x v="0"/>
    <x v="3"/>
    <n v="14"/>
    <x v="13"/>
    <d v="2023-09-01T00:00:00"/>
    <n v="293"/>
    <x v="1"/>
  </r>
  <r>
    <x v="0"/>
    <x v="3"/>
    <n v="14"/>
    <x v="13"/>
    <d v="2023-09-01T00:00:00"/>
    <n v="293"/>
    <x v="2"/>
  </r>
  <r>
    <x v="0"/>
    <x v="3"/>
    <n v="14"/>
    <x v="13"/>
    <d v="2023-09-01T00:00:00"/>
    <n v="316"/>
    <x v="3"/>
  </r>
  <r>
    <x v="0"/>
    <x v="3"/>
    <n v="14"/>
    <x v="13"/>
    <d v="2023-09-01T00:00:00"/>
    <n v="624"/>
    <x v="4"/>
  </r>
  <r>
    <x v="0"/>
    <x v="3"/>
    <n v="14"/>
    <x v="13"/>
    <d v="2023-09-01T00:00:00"/>
    <n v="363"/>
    <x v="5"/>
  </r>
  <r>
    <x v="0"/>
    <x v="3"/>
    <n v="14"/>
    <x v="13"/>
    <d v="2023-09-01T00:00:00"/>
    <n v="322"/>
    <x v="6"/>
  </r>
  <r>
    <x v="0"/>
    <x v="3"/>
    <n v="14"/>
    <x v="13"/>
    <d v="2023-09-01T00:00:00"/>
    <n v="322"/>
    <x v="7"/>
  </r>
  <r>
    <x v="0"/>
    <x v="3"/>
    <n v="14"/>
    <x v="13"/>
    <d v="2023-09-01T00:00:00"/>
    <n v="322"/>
    <x v="8"/>
  </r>
  <r>
    <x v="0"/>
    <x v="3"/>
    <n v="14"/>
    <x v="13"/>
    <d v="2023-09-01T00:00:00"/>
    <n v="322"/>
    <x v="9"/>
  </r>
  <r>
    <x v="0"/>
    <x v="3"/>
    <n v="14"/>
    <x v="13"/>
    <d v="2023-09-01T00:00:00"/>
    <n v="322"/>
    <x v="10"/>
  </r>
  <r>
    <x v="0"/>
    <x v="3"/>
    <n v="14"/>
    <x v="13"/>
    <d v="2023-09-01T00:00:00"/>
    <n v="322"/>
    <x v="11"/>
  </r>
  <r>
    <x v="0"/>
    <x v="3"/>
    <n v="14"/>
    <x v="13"/>
    <d v="2023-09-01T00:00:00"/>
    <n v="4114"/>
    <x v="12"/>
  </r>
  <r>
    <x v="0"/>
    <x v="3"/>
    <n v="15"/>
    <x v="14"/>
    <d v="2023-09-01T00:00:00"/>
    <n v="5630"/>
    <x v="0"/>
  </r>
  <r>
    <x v="0"/>
    <x v="3"/>
    <n v="15"/>
    <x v="14"/>
    <d v="2023-09-01T00:00:00"/>
    <n v="5588"/>
    <x v="1"/>
  </r>
  <r>
    <x v="0"/>
    <x v="3"/>
    <n v="15"/>
    <x v="14"/>
    <d v="2023-09-01T00:00:00"/>
    <n v="5829"/>
    <x v="2"/>
  </r>
  <r>
    <x v="0"/>
    <x v="3"/>
    <n v="15"/>
    <x v="14"/>
    <d v="2023-09-01T00:00:00"/>
    <n v="6106"/>
    <x v="3"/>
  </r>
  <r>
    <x v="0"/>
    <x v="3"/>
    <n v="15"/>
    <x v="14"/>
    <d v="2023-09-01T00:00:00"/>
    <n v="5732"/>
    <x v="4"/>
  </r>
  <r>
    <x v="0"/>
    <x v="3"/>
    <n v="15"/>
    <x v="14"/>
    <d v="2023-09-01T00:00:00"/>
    <n v="1654"/>
    <x v="5"/>
  </r>
  <r>
    <x v="0"/>
    <x v="3"/>
    <n v="15"/>
    <x v="14"/>
    <d v="2023-09-01T00:00:00"/>
    <n v="5782"/>
    <x v="6"/>
  </r>
  <r>
    <x v="0"/>
    <x v="3"/>
    <n v="15"/>
    <x v="14"/>
    <d v="2023-09-01T00:00:00"/>
    <n v="5782"/>
    <x v="7"/>
  </r>
  <r>
    <x v="0"/>
    <x v="3"/>
    <n v="15"/>
    <x v="14"/>
    <d v="2023-09-01T00:00:00"/>
    <n v="5782"/>
    <x v="8"/>
  </r>
  <r>
    <x v="0"/>
    <x v="3"/>
    <n v="15"/>
    <x v="14"/>
    <d v="2023-09-01T00:00:00"/>
    <n v="5782"/>
    <x v="9"/>
  </r>
  <r>
    <x v="0"/>
    <x v="3"/>
    <n v="15"/>
    <x v="14"/>
    <d v="2023-09-01T00:00:00"/>
    <n v="5782"/>
    <x v="10"/>
  </r>
  <r>
    <x v="0"/>
    <x v="3"/>
    <n v="15"/>
    <x v="14"/>
    <d v="2023-09-01T00:00:00"/>
    <n v="5778"/>
    <x v="11"/>
  </r>
  <r>
    <x v="0"/>
    <x v="3"/>
    <n v="15"/>
    <x v="14"/>
    <d v="2023-09-01T00:00:00"/>
    <n v="65227"/>
    <x v="12"/>
  </r>
  <r>
    <x v="0"/>
    <x v="3"/>
    <n v="16"/>
    <x v="15"/>
    <d v="2023-09-01T00:00:00"/>
    <n v="905"/>
    <x v="0"/>
  </r>
  <r>
    <x v="0"/>
    <x v="3"/>
    <n v="16"/>
    <x v="15"/>
    <d v="2023-09-01T00:00:00"/>
    <n v="1511"/>
    <x v="1"/>
  </r>
  <r>
    <x v="0"/>
    <x v="3"/>
    <n v="16"/>
    <x v="15"/>
    <d v="2023-09-01T00:00:00"/>
    <n v="1057"/>
    <x v="2"/>
  </r>
  <r>
    <x v="0"/>
    <x v="3"/>
    <n v="16"/>
    <x v="15"/>
    <d v="2023-09-01T00:00:00"/>
    <n v="1293"/>
    <x v="3"/>
  </r>
  <r>
    <x v="0"/>
    <x v="3"/>
    <n v="16"/>
    <x v="15"/>
    <d v="2023-09-01T00:00:00"/>
    <n v="1540"/>
    <x v="4"/>
  </r>
  <r>
    <x v="0"/>
    <x v="3"/>
    <n v="16"/>
    <x v="15"/>
    <d v="2023-09-01T00:00:00"/>
    <n v="1696"/>
    <x v="5"/>
  </r>
  <r>
    <x v="0"/>
    <x v="3"/>
    <n v="16"/>
    <x v="15"/>
    <d v="2023-09-01T00:00:00"/>
    <n v="1360"/>
    <x v="6"/>
  </r>
  <r>
    <x v="0"/>
    <x v="3"/>
    <n v="16"/>
    <x v="15"/>
    <d v="2023-09-01T00:00:00"/>
    <n v="1360"/>
    <x v="7"/>
  </r>
  <r>
    <x v="0"/>
    <x v="3"/>
    <n v="16"/>
    <x v="15"/>
    <d v="2023-09-01T00:00:00"/>
    <n v="1360"/>
    <x v="8"/>
  </r>
  <r>
    <x v="0"/>
    <x v="3"/>
    <n v="16"/>
    <x v="15"/>
    <d v="2023-09-01T00:00:00"/>
    <n v="1160"/>
    <x v="9"/>
  </r>
  <r>
    <x v="0"/>
    <x v="3"/>
    <n v="16"/>
    <x v="15"/>
    <d v="2023-09-01T00:00:00"/>
    <n v="1160"/>
    <x v="10"/>
  </r>
  <r>
    <x v="0"/>
    <x v="3"/>
    <n v="16"/>
    <x v="15"/>
    <d v="2023-09-01T00:00:00"/>
    <n v="1160"/>
    <x v="11"/>
  </r>
  <r>
    <x v="0"/>
    <x v="3"/>
    <n v="16"/>
    <x v="15"/>
    <d v="2023-09-01T00:00:00"/>
    <n v="15562"/>
    <x v="12"/>
  </r>
  <r>
    <x v="0"/>
    <x v="3"/>
    <n v="17"/>
    <x v="16"/>
    <d v="2023-09-01T00:00:00"/>
    <n v="179"/>
    <x v="0"/>
  </r>
  <r>
    <x v="0"/>
    <x v="3"/>
    <n v="17"/>
    <x v="16"/>
    <d v="2023-09-01T00:00:00"/>
    <n v="150"/>
    <x v="1"/>
  </r>
  <r>
    <x v="0"/>
    <x v="3"/>
    <n v="17"/>
    <x v="16"/>
    <d v="2023-09-01T00:00:00"/>
    <n v="171"/>
    <x v="2"/>
  </r>
  <r>
    <x v="0"/>
    <x v="3"/>
    <n v="17"/>
    <x v="16"/>
    <d v="2023-09-01T00:00:00"/>
    <n v="246"/>
    <x v="3"/>
  </r>
  <r>
    <x v="0"/>
    <x v="3"/>
    <n v="17"/>
    <x v="16"/>
    <d v="2023-09-01T00:00:00"/>
    <n v="375"/>
    <x v="4"/>
  </r>
  <r>
    <x v="0"/>
    <x v="3"/>
    <n v="17"/>
    <x v="16"/>
    <d v="2023-09-01T00:00:00"/>
    <n v="136"/>
    <x v="5"/>
  </r>
  <r>
    <x v="0"/>
    <x v="3"/>
    <n v="17"/>
    <x v="16"/>
    <d v="2023-09-01T00:00:00"/>
    <n v="269"/>
    <x v="6"/>
  </r>
  <r>
    <x v="0"/>
    <x v="3"/>
    <n v="17"/>
    <x v="16"/>
    <d v="2023-09-01T00:00:00"/>
    <n v="269"/>
    <x v="7"/>
  </r>
  <r>
    <x v="0"/>
    <x v="3"/>
    <n v="17"/>
    <x v="16"/>
    <d v="2023-09-01T00:00:00"/>
    <n v="269"/>
    <x v="8"/>
  </r>
  <r>
    <x v="0"/>
    <x v="3"/>
    <n v="17"/>
    <x v="16"/>
    <d v="2023-09-01T00:00:00"/>
    <n v="269"/>
    <x v="9"/>
  </r>
  <r>
    <x v="0"/>
    <x v="3"/>
    <n v="17"/>
    <x v="16"/>
    <d v="2023-09-01T00:00:00"/>
    <n v="269"/>
    <x v="10"/>
  </r>
  <r>
    <x v="0"/>
    <x v="3"/>
    <n v="17"/>
    <x v="16"/>
    <d v="2023-09-01T00:00:00"/>
    <n v="169"/>
    <x v="11"/>
  </r>
  <r>
    <x v="0"/>
    <x v="3"/>
    <n v="17"/>
    <x v="16"/>
    <d v="2023-09-01T00:00:00"/>
    <n v="2771"/>
    <x v="12"/>
  </r>
  <r>
    <x v="0"/>
    <x v="3"/>
    <n v="18"/>
    <x v="17"/>
    <d v="2023-09-01T00:00:00"/>
    <n v="0"/>
    <x v="0"/>
  </r>
  <r>
    <x v="0"/>
    <x v="3"/>
    <n v="18"/>
    <x v="17"/>
    <d v="2023-09-01T00:00:00"/>
    <n v="0"/>
    <x v="1"/>
  </r>
  <r>
    <x v="0"/>
    <x v="3"/>
    <n v="18"/>
    <x v="17"/>
    <d v="2023-09-01T00:00:00"/>
    <n v="0"/>
    <x v="2"/>
  </r>
  <r>
    <x v="0"/>
    <x v="3"/>
    <n v="18"/>
    <x v="17"/>
    <d v="2023-09-01T00:00:00"/>
    <n v="0"/>
    <x v="3"/>
  </r>
  <r>
    <x v="0"/>
    <x v="3"/>
    <n v="18"/>
    <x v="17"/>
    <d v="2023-09-01T00:00:00"/>
    <n v="0"/>
    <x v="4"/>
  </r>
  <r>
    <x v="0"/>
    <x v="3"/>
    <n v="18"/>
    <x v="17"/>
    <d v="2023-09-01T00:00:00"/>
    <n v="0"/>
    <x v="5"/>
  </r>
  <r>
    <x v="0"/>
    <x v="3"/>
    <n v="18"/>
    <x v="17"/>
    <d v="2023-09-01T00:00:00"/>
    <n v="0"/>
    <x v="6"/>
  </r>
  <r>
    <x v="0"/>
    <x v="3"/>
    <n v="18"/>
    <x v="17"/>
    <d v="2023-09-01T00:00:00"/>
    <n v="0"/>
    <x v="7"/>
  </r>
  <r>
    <x v="0"/>
    <x v="3"/>
    <n v="18"/>
    <x v="17"/>
    <d v="2023-09-01T00:00:00"/>
    <n v="0"/>
    <x v="8"/>
  </r>
  <r>
    <x v="0"/>
    <x v="3"/>
    <n v="18"/>
    <x v="17"/>
    <d v="2023-09-01T00:00:00"/>
    <n v="0"/>
    <x v="9"/>
  </r>
  <r>
    <x v="0"/>
    <x v="3"/>
    <n v="18"/>
    <x v="17"/>
    <d v="2023-09-01T00:00:00"/>
    <n v="0"/>
    <x v="10"/>
  </r>
  <r>
    <x v="0"/>
    <x v="3"/>
    <n v="18"/>
    <x v="17"/>
    <d v="2023-09-01T00:00:00"/>
    <n v="0"/>
    <x v="11"/>
  </r>
  <r>
    <x v="0"/>
    <x v="3"/>
    <n v="18"/>
    <x v="17"/>
    <d v="2023-09-01T00:00:00"/>
    <n v="0"/>
    <x v="12"/>
  </r>
  <r>
    <x v="0"/>
    <x v="3"/>
    <n v="19"/>
    <x v="18"/>
    <d v="2023-09-01T00:00:00"/>
    <n v="0"/>
    <x v="0"/>
  </r>
  <r>
    <x v="0"/>
    <x v="3"/>
    <n v="19"/>
    <x v="18"/>
    <d v="2023-09-01T00:00:00"/>
    <n v="0"/>
    <x v="1"/>
  </r>
  <r>
    <x v="0"/>
    <x v="3"/>
    <n v="19"/>
    <x v="18"/>
    <d v="2023-09-01T00:00:00"/>
    <n v="0"/>
    <x v="2"/>
  </r>
  <r>
    <x v="0"/>
    <x v="3"/>
    <n v="19"/>
    <x v="18"/>
    <d v="2023-09-01T00:00:00"/>
    <n v="0"/>
    <x v="3"/>
  </r>
  <r>
    <x v="0"/>
    <x v="3"/>
    <n v="19"/>
    <x v="18"/>
    <d v="2023-09-01T00:00:00"/>
    <n v="0"/>
    <x v="4"/>
  </r>
  <r>
    <x v="0"/>
    <x v="3"/>
    <n v="19"/>
    <x v="18"/>
    <d v="2023-09-01T00:00:00"/>
    <n v="0"/>
    <x v="5"/>
  </r>
  <r>
    <x v="0"/>
    <x v="3"/>
    <n v="19"/>
    <x v="18"/>
    <d v="2023-09-01T00:00:00"/>
    <n v="0"/>
    <x v="6"/>
  </r>
  <r>
    <x v="0"/>
    <x v="3"/>
    <n v="19"/>
    <x v="18"/>
    <d v="2023-09-01T00:00:00"/>
    <n v="0"/>
    <x v="7"/>
  </r>
  <r>
    <x v="0"/>
    <x v="3"/>
    <n v="19"/>
    <x v="18"/>
    <d v="2023-09-01T00:00:00"/>
    <n v="0"/>
    <x v="8"/>
  </r>
  <r>
    <x v="0"/>
    <x v="3"/>
    <n v="19"/>
    <x v="18"/>
    <d v="2023-09-01T00:00:00"/>
    <n v="0"/>
    <x v="9"/>
  </r>
  <r>
    <x v="0"/>
    <x v="3"/>
    <n v="19"/>
    <x v="18"/>
    <d v="2023-09-01T00:00:00"/>
    <n v="0"/>
    <x v="10"/>
  </r>
  <r>
    <x v="0"/>
    <x v="3"/>
    <n v="19"/>
    <x v="18"/>
    <d v="2023-09-01T00:00:00"/>
    <n v="0"/>
    <x v="11"/>
  </r>
  <r>
    <x v="0"/>
    <x v="3"/>
    <n v="19"/>
    <x v="18"/>
    <d v="2023-09-01T00:00:00"/>
    <n v="0"/>
    <x v="12"/>
  </r>
  <r>
    <x v="0"/>
    <x v="3"/>
    <n v="20"/>
    <x v="19"/>
    <d v="2023-09-01T00:00:00"/>
    <n v="0"/>
    <x v="0"/>
  </r>
  <r>
    <x v="0"/>
    <x v="3"/>
    <n v="20"/>
    <x v="19"/>
    <d v="2023-09-01T00:00:00"/>
    <n v="0"/>
    <x v="1"/>
  </r>
  <r>
    <x v="0"/>
    <x v="3"/>
    <n v="20"/>
    <x v="19"/>
    <d v="2023-09-01T00:00:00"/>
    <n v="0"/>
    <x v="2"/>
  </r>
  <r>
    <x v="0"/>
    <x v="3"/>
    <n v="20"/>
    <x v="19"/>
    <d v="2023-09-01T00:00:00"/>
    <n v="0"/>
    <x v="3"/>
  </r>
  <r>
    <x v="0"/>
    <x v="3"/>
    <n v="20"/>
    <x v="19"/>
    <d v="2023-09-01T00:00:00"/>
    <n v="0"/>
    <x v="4"/>
  </r>
  <r>
    <x v="0"/>
    <x v="3"/>
    <n v="20"/>
    <x v="19"/>
    <d v="2023-09-01T00:00:00"/>
    <n v="0"/>
    <x v="5"/>
  </r>
  <r>
    <x v="0"/>
    <x v="3"/>
    <n v="20"/>
    <x v="19"/>
    <d v="2023-09-01T00:00:00"/>
    <n v="0"/>
    <x v="6"/>
  </r>
  <r>
    <x v="0"/>
    <x v="3"/>
    <n v="20"/>
    <x v="19"/>
    <d v="2023-09-01T00:00:00"/>
    <n v="0"/>
    <x v="7"/>
  </r>
  <r>
    <x v="0"/>
    <x v="3"/>
    <n v="20"/>
    <x v="19"/>
    <d v="2023-09-01T00:00:00"/>
    <n v="0"/>
    <x v="8"/>
  </r>
  <r>
    <x v="0"/>
    <x v="3"/>
    <n v="20"/>
    <x v="19"/>
    <d v="2023-09-01T00:00:00"/>
    <n v="0"/>
    <x v="9"/>
  </r>
  <r>
    <x v="0"/>
    <x v="3"/>
    <n v="20"/>
    <x v="19"/>
    <d v="2023-09-01T00:00:00"/>
    <n v="0"/>
    <x v="10"/>
  </r>
  <r>
    <x v="0"/>
    <x v="3"/>
    <n v="20"/>
    <x v="19"/>
    <d v="2023-09-01T00:00:00"/>
    <n v="0"/>
    <x v="11"/>
  </r>
  <r>
    <x v="0"/>
    <x v="3"/>
    <n v="20"/>
    <x v="19"/>
    <d v="2023-09-01T00:00:00"/>
    <n v="0"/>
    <x v="12"/>
  </r>
  <r>
    <x v="0"/>
    <x v="3"/>
    <n v="21"/>
    <x v="20"/>
    <d v="2023-09-01T00:00:00"/>
    <n v="0"/>
    <x v="0"/>
  </r>
  <r>
    <x v="0"/>
    <x v="3"/>
    <n v="21"/>
    <x v="20"/>
    <d v="2023-09-01T00:00:00"/>
    <n v="0"/>
    <x v="1"/>
  </r>
  <r>
    <x v="0"/>
    <x v="3"/>
    <n v="21"/>
    <x v="20"/>
    <d v="2023-09-01T00:00:00"/>
    <n v="0"/>
    <x v="2"/>
  </r>
  <r>
    <x v="0"/>
    <x v="3"/>
    <n v="21"/>
    <x v="20"/>
    <d v="2023-09-01T00:00:00"/>
    <n v="0"/>
    <x v="3"/>
  </r>
  <r>
    <x v="0"/>
    <x v="3"/>
    <n v="21"/>
    <x v="20"/>
    <d v="2023-09-01T00:00:00"/>
    <n v="0"/>
    <x v="4"/>
  </r>
  <r>
    <x v="0"/>
    <x v="3"/>
    <n v="21"/>
    <x v="20"/>
    <d v="2023-09-01T00:00:00"/>
    <n v="0"/>
    <x v="5"/>
  </r>
  <r>
    <x v="0"/>
    <x v="3"/>
    <n v="21"/>
    <x v="20"/>
    <d v="2023-09-01T00:00:00"/>
    <n v="0"/>
    <x v="6"/>
  </r>
  <r>
    <x v="0"/>
    <x v="3"/>
    <n v="21"/>
    <x v="20"/>
    <d v="2023-09-01T00:00:00"/>
    <n v="0"/>
    <x v="7"/>
  </r>
  <r>
    <x v="0"/>
    <x v="3"/>
    <n v="21"/>
    <x v="20"/>
    <d v="2023-09-01T00:00:00"/>
    <n v="0"/>
    <x v="8"/>
  </r>
  <r>
    <x v="0"/>
    <x v="3"/>
    <n v="21"/>
    <x v="20"/>
    <d v="2023-09-01T00:00:00"/>
    <n v="0"/>
    <x v="9"/>
  </r>
  <r>
    <x v="0"/>
    <x v="3"/>
    <n v="21"/>
    <x v="20"/>
    <d v="2023-09-01T00:00:00"/>
    <n v="0"/>
    <x v="10"/>
  </r>
  <r>
    <x v="0"/>
    <x v="3"/>
    <n v="21"/>
    <x v="20"/>
    <d v="2023-09-01T00:00:00"/>
    <n v="0"/>
    <x v="11"/>
  </r>
  <r>
    <x v="0"/>
    <x v="3"/>
    <n v="21"/>
    <x v="20"/>
    <d v="2023-09-01T00:00:00"/>
    <n v="0"/>
    <x v="12"/>
  </r>
  <r>
    <x v="0"/>
    <x v="3"/>
    <n v="22"/>
    <x v="21"/>
    <d v="2023-09-01T00:00:00"/>
    <n v="2010"/>
    <x v="0"/>
  </r>
  <r>
    <x v="0"/>
    <x v="3"/>
    <n v="22"/>
    <x v="21"/>
    <d v="2023-09-01T00:00:00"/>
    <n v="3449"/>
    <x v="1"/>
  </r>
  <r>
    <x v="0"/>
    <x v="3"/>
    <n v="22"/>
    <x v="21"/>
    <d v="2023-09-01T00:00:00"/>
    <n v="2897"/>
    <x v="2"/>
  </r>
  <r>
    <x v="0"/>
    <x v="3"/>
    <n v="22"/>
    <x v="21"/>
    <d v="2023-09-01T00:00:00"/>
    <n v="2785"/>
    <x v="3"/>
  </r>
  <r>
    <x v="0"/>
    <x v="3"/>
    <n v="22"/>
    <x v="21"/>
    <d v="2023-09-01T00:00:00"/>
    <n v="2391"/>
    <x v="4"/>
  </r>
  <r>
    <x v="0"/>
    <x v="3"/>
    <n v="22"/>
    <x v="21"/>
    <d v="2023-09-01T00:00:00"/>
    <n v="2722"/>
    <x v="5"/>
  </r>
  <r>
    <x v="0"/>
    <x v="3"/>
    <n v="22"/>
    <x v="21"/>
    <d v="2023-09-01T00:00:00"/>
    <n v="2698.9"/>
    <x v="6"/>
  </r>
  <r>
    <x v="0"/>
    <x v="3"/>
    <n v="22"/>
    <x v="21"/>
    <d v="2023-09-01T00:00:00"/>
    <n v="2698.9"/>
    <x v="7"/>
  </r>
  <r>
    <x v="0"/>
    <x v="3"/>
    <n v="22"/>
    <x v="21"/>
    <d v="2023-09-01T00:00:00"/>
    <n v="2698.9"/>
    <x v="8"/>
  </r>
  <r>
    <x v="0"/>
    <x v="3"/>
    <n v="22"/>
    <x v="21"/>
    <d v="2023-09-01T00:00:00"/>
    <n v="2698.9"/>
    <x v="9"/>
  </r>
  <r>
    <x v="0"/>
    <x v="3"/>
    <n v="22"/>
    <x v="21"/>
    <d v="2023-09-01T00:00:00"/>
    <n v="2698.9"/>
    <x v="10"/>
  </r>
  <r>
    <x v="0"/>
    <x v="3"/>
    <n v="22"/>
    <x v="21"/>
    <d v="2023-09-01T00:00:00"/>
    <n v="2797.9"/>
    <x v="11"/>
  </r>
  <r>
    <x v="0"/>
    <x v="3"/>
    <n v="22"/>
    <x v="21"/>
    <d v="2023-09-01T00:00:00"/>
    <n v="32546.400000000001"/>
    <x v="12"/>
  </r>
  <r>
    <x v="0"/>
    <x v="3"/>
    <n v="23"/>
    <x v="22"/>
    <d v="2023-09-01T00:00:00"/>
    <n v="10"/>
    <x v="0"/>
  </r>
  <r>
    <x v="0"/>
    <x v="3"/>
    <n v="23"/>
    <x v="22"/>
    <d v="2023-09-01T00:00:00"/>
    <n v="10"/>
    <x v="1"/>
  </r>
  <r>
    <x v="0"/>
    <x v="3"/>
    <n v="23"/>
    <x v="22"/>
    <d v="2023-09-01T00:00:00"/>
    <n v="148"/>
    <x v="2"/>
  </r>
  <r>
    <x v="0"/>
    <x v="3"/>
    <n v="23"/>
    <x v="22"/>
    <d v="2023-09-01T00:00:00"/>
    <n v="56"/>
    <x v="3"/>
  </r>
  <r>
    <x v="0"/>
    <x v="3"/>
    <n v="23"/>
    <x v="22"/>
    <d v="2023-09-01T00:00:00"/>
    <n v="56"/>
    <x v="4"/>
  </r>
  <r>
    <x v="0"/>
    <x v="3"/>
    <n v="23"/>
    <x v="22"/>
    <d v="2023-09-01T00:00:00"/>
    <n v="56"/>
    <x v="5"/>
  </r>
  <r>
    <x v="0"/>
    <x v="3"/>
    <n v="23"/>
    <x v="22"/>
    <d v="2023-09-01T00:00:00"/>
    <n v="56"/>
    <x v="6"/>
  </r>
  <r>
    <x v="0"/>
    <x v="3"/>
    <n v="23"/>
    <x v="22"/>
    <d v="2023-09-01T00:00:00"/>
    <n v="56"/>
    <x v="7"/>
  </r>
  <r>
    <x v="0"/>
    <x v="3"/>
    <n v="23"/>
    <x v="22"/>
    <d v="2023-09-01T00:00:00"/>
    <n v="56"/>
    <x v="8"/>
  </r>
  <r>
    <x v="0"/>
    <x v="3"/>
    <n v="23"/>
    <x v="22"/>
    <d v="2023-09-01T00:00:00"/>
    <n v="56"/>
    <x v="9"/>
  </r>
  <r>
    <x v="0"/>
    <x v="3"/>
    <n v="23"/>
    <x v="22"/>
    <d v="2023-09-01T00:00:00"/>
    <n v="56"/>
    <x v="10"/>
  </r>
  <r>
    <x v="0"/>
    <x v="3"/>
    <n v="23"/>
    <x v="22"/>
    <d v="2023-09-01T00:00:00"/>
    <n v="-4092"/>
    <x v="11"/>
  </r>
  <r>
    <x v="0"/>
    <x v="3"/>
    <n v="23"/>
    <x v="22"/>
    <d v="2023-09-01T00:00:00"/>
    <n v="-3476"/>
    <x v="12"/>
  </r>
  <r>
    <x v="0"/>
    <x v="3"/>
    <n v="24"/>
    <x v="23"/>
    <d v="2023-09-01T00:00:00"/>
    <n v="0"/>
    <x v="0"/>
  </r>
  <r>
    <x v="0"/>
    <x v="3"/>
    <n v="24"/>
    <x v="23"/>
    <d v="2023-09-01T00:00:00"/>
    <n v="0"/>
    <x v="1"/>
  </r>
  <r>
    <x v="0"/>
    <x v="3"/>
    <n v="24"/>
    <x v="23"/>
    <d v="2023-09-01T00:00:00"/>
    <n v="0"/>
    <x v="2"/>
  </r>
  <r>
    <x v="0"/>
    <x v="3"/>
    <n v="24"/>
    <x v="23"/>
    <d v="2023-09-01T00:00:00"/>
    <n v="0"/>
    <x v="3"/>
  </r>
  <r>
    <x v="0"/>
    <x v="3"/>
    <n v="24"/>
    <x v="23"/>
    <d v="2023-09-01T00:00:00"/>
    <n v="0"/>
    <x v="4"/>
  </r>
  <r>
    <x v="0"/>
    <x v="3"/>
    <n v="24"/>
    <x v="23"/>
    <d v="2023-09-01T00:00:00"/>
    <n v="0"/>
    <x v="5"/>
  </r>
  <r>
    <x v="0"/>
    <x v="3"/>
    <n v="24"/>
    <x v="23"/>
    <d v="2023-09-01T00:00:00"/>
    <n v="0"/>
    <x v="6"/>
  </r>
  <r>
    <x v="0"/>
    <x v="3"/>
    <n v="24"/>
    <x v="23"/>
    <d v="2023-09-01T00:00:00"/>
    <n v="0"/>
    <x v="7"/>
  </r>
  <r>
    <x v="0"/>
    <x v="3"/>
    <n v="24"/>
    <x v="23"/>
    <d v="2023-09-01T00:00:00"/>
    <n v="0"/>
    <x v="8"/>
  </r>
  <r>
    <x v="0"/>
    <x v="3"/>
    <n v="24"/>
    <x v="23"/>
    <d v="2023-09-01T00:00:00"/>
    <n v="0"/>
    <x v="9"/>
  </r>
  <r>
    <x v="0"/>
    <x v="3"/>
    <n v="24"/>
    <x v="23"/>
    <d v="2023-09-01T00:00:00"/>
    <n v="0"/>
    <x v="10"/>
  </r>
  <r>
    <x v="0"/>
    <x v="3"/>
    <n v="24"/>
    <x v="23"/>
    <d v="2023-09-01T00:00:00"/>
    <n v="0"/>
    <x v="11"/>
  </r>
  <r>
    <x v="0"/>
    <x v="3"/>
    <n v="24"/>
    <x v="23"/>
    <d v="2023-09-01T00:00:00"/>
    <n v="0"/>
    <x v="12"/>
  </r>
  <r>
    <x v="0"/>
    <x v="3"/>
    <n v="25"/>
    <x v="24"/>
    <d v="2023-09-01T00:00:00"/>
    <n v="0"/>
    <x v="0"/>
  </r>
  <r>
    <x v="0"/>
    <x v="3"/>
    <n v="25"/>
    <x v="24"/>
    <d v="2023-09-01T00:00:00"/>
    <n v="-3"/>
    <x v="1"/>
  </r>
  <r>
    <x v="0"/>
    <x v="3"/>
    <n v="25"/>
    <x v="24"/>
    <d v="2023-09-01T00:00:00"/>
    <n v="-1"/>
    <x v="2"/>
  </r>
  <r>
    <x v="0"/>
    <x v="3"/>
    <n v="25"/>
    <x v="24"/>
    <d v="2023-09-01T00:00:00"/>
    <n v="1"/>
    <x v="3"/>
  </r>
  <r>
    <x v="0"/>
    <x v="3"/>
    <n v="25"/>
    <x v="24"/>
    <d v="2023-09-01T00:00:00"/>
    <n v="-14"/>
    <x v="4"/>
  </r>
  <r>
    <x v="0"/>
    <x v="3"/>
    <n v="25"/>
    <x v="24"/>
    <d v="2023-09-01T00:00:00"/>
    <n v="-19"/>
    <x v="5"/>
  </r>
  <r>
    <x v="0"/>
    <x v="3"/>
    <n v="25"/>
    <x v="24"/>
    <d v="2023-09-01T00:00:00"/>
    <n v="0"/>
    <x v="6"/>
  </r>
  <r>
    <x v="0"/>
    <x v="3"/>
    <n v="25"/>
    <x v="24"/>
    <d v="2023-09-01T00:00:00"/>
    <n v="0"/>
    <x v="7"/>
  </r>
  <r>
    <x v="0"/>
    <x v="3"/>
    <n v="25"/>
    <x v="24"/>
    <d v="2023-09-01T00:00:00"/>
    <n v="0"/>
    <x v="8"/>
  </r>
  <r>
    <x v="0"/>
    <x v="3"/>
    <n v="25"/>
    <x v="24"/>
    <d v="2023-09-01T00:00:00"/>
    <n v="0"/>
    <x v="9"/>
  </r>
  <r>
    <x v="0"/>
    <x v="3"/>
    <n v="25"/>
    <x v="24"/>
    <d v="2023-09-01T00:00:00"/>
    <n v="0"/>
    <x v="10"/>
  </r>
  <r>
    <x v="0"/>
    <x v="3"/>
    <n v="25"/>
    <x v="24"/>
    <d v="2023-09-01T00:00:00"/>
    <n v="0"/>
    <x v="11"/>
  </r>
  <r>
    <x v="0"/>
    <x v="3"/>
    <n v="25"/>
    <x v="24"/>
    <d v="2023-09-01T00:00:00"/>
    <n v="-36"/>
    <x v="12"/>
  </r>
  <r>
    <x v="0"/>
    <x v="3"/>
    <n v="26"/>
    <x v="25"/>
    <d v="2023-09-01T00:00:00"/>
    <n v="115063"/>
    <x v="0"/>
  </r>
  <r>
    <x v="0"/>
    <x v="3"/>
    <n v="26"/>
    <x v="25"/>
    <d v="2023-09-01T00:00:00"/>
    <n v="119616"/>
    <x v="1"/>
  </r>
  <r>
    <x v="0"/>
    <x v="3"/>
    <n v="26"/>
    <x v="25"/>
    <d v="2023-09-01T00:00:00"/>
    <n v="136059"/>
    <x v="2"/>
  </r>
  <r>
    <x v="0"/>
    <x v="3"/>
    <n v="26"/>
    <x v="25"/>
    <d v="2023-09-01T00:00:00"/>
    <n v="128553"/>
    <x v="3"/>
  </r>
  <r>
    <x v="0"/>
    <x v="3"/>
    <n v="26"/>
    <x v="25"/>
    <d v="2023-09-01T00:00:00"/>
    <n v="122787"/>
    <x v="4"/>
  </r>
  <r>
    <x v="0"/>
    <x v="3"/>
    <n v="26"/>
    <x v="25"/>
    <d v="2023-09-01T00:00:00"/>
    <n v="118447"/>
    <x v="5"/>
  </r>
  <r>
    <x v="0"/>
    <x v="3"/>
    <n v="26"/>
    <x v="25"/>
    <d v="2023-09-01T00:00:00"/>
    <n v="128705.9"/>
    <x v="6"/>
  </r>
  <r>
    <x v="0"/>
    <x v="3"/>
    <n v="26"/>
    <x v="25"/>
    <d v="2023-09-01T00:00:00"/>
    <n v="125947.9"/>
    <x v="7"/>
  </r>
  <r>
    <x v="0"/>
    <x v="3"/>
    <n v="26"/>
    <x v="25"/>
    <d v="2023-09-01T00:00:00"/>
    <n v="126260.9"/>
    <x v="8"/>
  </r>
  <r>
    <x v="0"/>
    <x v="3"/>
    <n v="26"/>
    <x v="25"/>
    <d v="2023-09-01T00:00:00"/>
    <n v="125196.9"/>
    <x v="9"/>
  </r>
  <r>
    <x v="0"/>
    <x v="3"/>
    <n v="26"/>
    <x v="25"/>
    <d v="2023-09-01T00:00:00"/>
    <n v="125310.9"/>
    <x v="10"/>
  </r>
  <r>
    <x v="0"/>
    <x v="3"/>
    <n v="26"/>
    <x v="25"/>
    <d v="2023-09-01T00:00:00"/>
    <n v="120648.9"/>
    <x v="11"/>
  </r>
  <r>
    <x v="0"/>
    <x v="3"/>
    <n v="26"/>
    <x v="25"/>
    <d v="2023-09-01T00:00:00"/>
    <n v="1492596.4"/>
    <x v="12"/>
  </r>
  <r>
    <x v="0"/>
    <x v="3"/>
    <n v="27"/>
    <x v="26"/>
    <d v="2023-09-01T00:00:00"/>
    <n v="-6614"/>
    <x v="0"/>
  </r>
  <r>
    <x v="0"/>
    <x v="3"/>
    <n v="27"/>
    <x v="26"/>
    <d v="2023-09-01T00:00:00"/>
    <n v="-6770"/>
    <x v="1"/>
  </r>
  <r>
    <x v="0"/>
    <x v="3"/>
    <n v="27"/>
    <x v="26"/>
    <d v="2023-09-01T00:00:00"/>
    <n v="-8952"/>
    <x v="2"/>
  </r>
  <r>
    <x v="0"/>
    <x v="3"/>
    <n v="27"/>
    <x v="26"/>
    <d v="2023-09-01T00:00:00"/>
    <n v="-6957"/>
    <x v="3"/>
  </r>
  <r>
    <x v="0"/>
    <x v="3"/>
    <n v="27"/>
    <x v="26"/>
    <d v="2023-09-01T00:00:00"/>
    <n v="-6735"/>
    <x v="4"/>
  </r>
  <r>
    <x v="0"/>
    <x v="3"/>
    <n v="27"/>
    <x v="26"/>
    <d v="2023-09-01T00:00:00"/>
    <n v="-5165"/>
    <x v="5"/>
  </r>
  <r>
    <x v="0"/>
    <x v="3"/>
    <n v="27"/>
    <x v="26"/>
    <d v="2023-09-01T00:00:00"/>
    <n v="-6632.8999999999896"/>
    <x v="6"/>
  </r>
  <r>
    <x v="0"/>
    <x v="3"/>
    <n v="27"/>
    <x v="26"/>
    <d v="2023-09-01T00:00:00"/>
    <n v="-6632.8999999999896"/>
    <x v="7"/>
  </r>
  <r>
    <x v="0"/>
    <x v="3"/>
    <n v="27"/>
    <x v="26"/>
    <d v="2023-09-01T00:00:00"/>
    <n v="-6632.8999999999896"/>
    <x v="8"/>
  </r>
  <r>
    <x v="0"/>
    <x v="3"/>
    <n v="27"/>
    <x v="26"/>
    <d v="2023-09-01T00:00:00"/>
    <n v="-6632.8999999999896"/>
    <x v="9"/>
  </r>
  <r>
    <x v="0"/>
    <x v="3"/>
    <n v="27"/>
    <x v="26"/>
    <d v="2023-09-01T00:00:00"/>
    <n v="-6632.8999999999896"/>
    <x v="10"/>
  </r>
  <r>
    <x v="0"/>
    <x v="3"/>
    <n v="27"/>
    <x v="26"/>
    <d v="2023-09-01T00:00:00"/>
    <n v="-5241.8999999999896"/>
    <x v="11"/>
  </r>
  <r>
    <x v="0"/>
    <x v="3"/>
    <n v="27"/>
    <x v="26"/>
    <d v="2023-09-01T00:00:00"/>
    <n v="-79599.399999999907"/>
    <x v="12"/>
  </r>
  <r>
    <x v="0"/>
    <x v="4"/>
    <n v="1"/>
    <x v="3"/>
    <d v="2023-09-01T00:00:00"/>
    <n v="8708"/>
    <x v="0"/>
  </r>
  <r>
    <x v="0"/>
    <x v="4"/>
    <n v="1"/>
    <x v="3"/>
    <d v="2023-09-01T00:00:00"/>
    <n v="8958"/>
    <x v="1"/>
  </r>
  <r>
    <x v="0"/>
    <x v="4"/>
    <n v="1"/>
    <x v="3"/>
    <d v="2023-09-01T00:00:00"/>
    <n v="10308"/>
    <x v="2"/>
  </r>
  <r>
    <x v="0"/>
    <x v="4"/>
    <n v="1"/>
    <x v="3"/>
    <d v="2023-09-01T00:00:00"/>
    <n v="10093"/>
    <x v="3"/>
  </r>
  <r>
    <x v="0"/>
    <x v="4"/>
    <n v="1"/>
    <x v="3"/>
    <d v="2023-09-01T00:00:00"/>
    <n v="8786"/>
    <x v="4"/>
  </r>
  <r>
    <x v="0"/>
    <x v="4"/>
    <n v="1"/>
    <x v="3"/>
    <d v="2023-09-01T00:00:00"/>
    <n v="8759"/>
    <x v="5"/>
  </r>
  <r>
    <x v="0"/>
    <x v="4"/>
    <n v="1"/>
    <x v="3"/>
    <d v="2023-09-01T00:00:00"/>
    <n v="10601"/>
    <x v="6"/>
  </r>
  <r>
    <x v="0"/>
    <x v="4"/>
    <n v="1"/>
    <x v="3"/>
    <d v="2023-09-01T00:00:00"/>
    <n v="10117"/>
    <x v="7"/>
  </r>
  <r>
    <x v="0"/>
    <x v="4"/>
    <n v="1"/>
    <x v="3"/>
    <d v="2023-09-01T00:00:00"/>
    <n v="10829"/>
    <x v="8"/>
  </r>
  <r>
    <x v="0"/>
    <x v="4"/>
    <n v="1"/>
    <x v="3"/>
    <d v="2023-09-01T00:00:00"/>
    <n v="10534"/>
    <x v="9"/>
  </r>
  <r>
    <x v="0"/>
    <x v="4"/>
    <n v="1"/>
    <x v="3"/>
    <d v="2023-09-01T00:00:00"/>
    <n v="10186"/>
    <x v="10"/>
  </r>
  <r>
    <x v="0"/>
    <x v="4"/>
    <n v="1"/>
    <x v="3"/>
    <d v="2023-09-01T00:00:00"/>
    <n v="11210"/>
    <x v="11"/>
  </r>
  <r>
    <x v="0"/>
    <x v="4"/>
    <n v="1"/>
    <x v="3"/>
    <d v="2023-09-01T00:00:00"/>
    <n v="119089"/>
    <x v="12"/>
  </r>
  <r>
    <x v="0"/>
    <x v="4"/>
    <n v="2"/>
    <x v="4"/>
    <d v="2023-09-01T00:00:00"/>
    <n v="0"/>
    <x v="0"/>
  </r>
  <r>
    <x v="0"/>
    <x v="4"/>
    <n v="2"/>
    <x v="4"/>
    <d v="2023-09-01T00:00:00"/>
    <n v="0"/>
    <x v="1"/>
  </r>
  <r>
    <x v="0"/>
    <x v="4"/>
    <n v="2"/>
    <x v="4"/>
    <d v="2023-09-01T00:00:00"/>
    <n v="0"/>
    <x v="2"/>
  </r>
  <r>
    <x v="0"/>
    <x v="4"/>
    <n v="2"/>
    <x v="4"/>
    <d v="2023-09-01T00:00:00"/>
    <n v="0"/>
    <x v="3"/>
  </r>
  <r>
    <x v="0"/>
    <x v="4"/>
    <n v="2"/>
    <x v="4"/>
    <d v="2023-09-01T00:00:00"/>
    <n v="0"/>
    <x v="4"/>
  </r>
  <r>
    <x v="0"/>
    <x v="4"/>
    <n v="2"/>
    <x v="4"/>
    <d v="2023-09-01T00:00:00"/>
    <n v="0"/>
    <x v="5"/>
  </r>
  <r>
    <x v="0"/>
    <x v="4"/>
    <n v="2"/>
    <x v="4"/>
    <d v="2023-09-01T00:00:00"/>
    <n v="0"/>
    <x v="6"/>
  </r>
  <r>
    <x v="0"/>
    <x v="4"/>
    <n v="2"/>
    <x v="4"/>
    <d v="2023-09-01T00:00:00"/>
    <n v="0"/>
    <x v="7"/>
  </r>
  <r>
    <x v="0"/>
    <x v="4"/>
    <n v="2"/>
    <x v="4"/>
    <d v="2023-09-01T00:00:00"/>
    <n v="0"/>
    <x v="8"/>
  </r>
  <r>
    <x v="0"/>
    <x v="4"/>
    <n v="2"/>
    <x v="4"/>
    <d v="2023-09-01T00:00:00"/>
    <n v="0"/>
    <x v="9"/>
  </r>
  <r>
    <x v="0"/>
    <x v="4"/>
    <n v="2"/>
    <x v="4"/>
    <d v="2023-09-01T00:00:00"/>
    <n v="0"/>
    <x v="10"/>
  </r>
  <r>
    <x v="0"/>
    <x v="4"/>
    <n v="2"/>
    <x v="4"/>
    <d v="2023-09-01T00:00:00"/>
    <n v="0"/>
    <x v="11"/>
  </r>
  <r>
    <x v="0"/>
    <x v="4"/>
    <n v="2"/>
    <x v="4"/>
    <d v="2023-09-01T00:00:00"/>
    <n v="0"/>
    <x v="12"/>
  </r>
  <r>
    <x v="0"/>
    <x v="4"/>
    <n v="3"/>
    <x v="5"/>
    <d v="2023-09-01T00:00:00"/>
    <n v="3275"/>
    <x v="0"/>
  </r>
  <r>
    <x v="0"/>
    <x v="4"/>
    <n v="3"/>
    <x v="5"/>
    <d v="2023-09-01T00:00:00"/>
    <n v="3452"/>
    <x v="1"/>
  </r>
  <r>
    <x v="0"/>
    <x v="4"/>
    <n v="3"/>
    <x v="5"/>
    <d v="2023-09-01T00:00:00"/>
    <n v="3278"/>
    <x v="2"/>
  </r>
  <r>
    <x v="0"/>
    <x v="4"/>
    <n v="3"/>
    <x v="5"/>
    <d v="2023-09-01T00:00:00"/>
    <n v="3692"/>
    <x v="3"/>
  </r>
  <r>
    <x v="0"/>
    <x v="4"/>
    <n v="3"/>
    <x v="5"/>
    <d v="2023-09-01T00:00:00"/>
    <n v="3585"/>
    <x v="4"/>
  </r>
  <r>
    <x v="0"/>
    <x v="4"/>
    <n v="3"/>
    <x v="5"/>
    <d v="2023-09-01T00:00:00"/>
    <n v="3592"/>
    <x v="5"/>
  </r>
  <r>
    <x v="0"/>
    <x v="4"/>
    <n v="3"/>
    <x v="5"/>
    <d v="2023-09-01T00:00:00"/>
    <n v="3592"/>
    <x v="6"/>
  </r>
  <r>
    <x v="0"/>
    <x v="4"/>
    <n v="3"/>
    <x v="5"/>
    <d v="2023-09-01T00:00:00"/>
    <n v="3592"/>
    <x v="7"/>
  </r>
  <r>
    <x v="0"/>
    <x v="4"/>
    <n v="3"/>
    <x v="5"/>
    <d v="2023-09-01T00:00:00"/>
    <n v="3592"/>
    <x v="8"/>
  </r>
  <r>
    <x v="0"/>
    <x v="4"/>
    <n v="3"/>
    <x v="5"/>
    <d v="2023-09-01T00:00:00"/>
    <n v="3592"/>
    <x v="9"/>
  </r>
  <r>
    <x v="0"/>
    <x v="4"/>
    <n v="3"/>
    <x v="5"/>
    <d v="2023-09-01T00:00:00"/>
    <n v="3592"/>
    <x v="10"/>
  </r>
  <r>
    <x v="0"/>
    <x v="4"/>
    <n v="3"/>
    <x v="5"/>
    <d v="2023-09-01T00:00:00"/>
    <n v="3586"/>
    <x v="11"/>
  </r>
  <r>
    <x v="0"/>
    <x v="4"/>
    <n v="3"/>
    <x v="5"/>
    <d v="2023-09-01T00:00:00"/>
    <n v="42420"/>
    <x v="12"/>
  </r>
  <r>
    <x v="0"/>
    <x v="4"/>
    <n v="4"/>
    <x v="6"/>
    <d v="2023-09-01T00:00:00"/>
    <n v="17"/>
    <x v="0"/>
  </r>
  <r>
    <x v="0"/>
    <x v="4"/>
    <n v="4"/>
    <x v="6"/>
    <d v="2023-09-01T00:00:00"/>
    <n v="18"/>
    <x v="1"/>
  </r>
  <r>
    <x v="0"/>
    <x v="4"/>
    <n v="4"/>
    <x v="6"/>
    <d v="2023-09-01T00:00:00"/>
    <n v="43"/>
    <x v="2"/>
  </r>
  <r>
    <x v="0"/>
    <x v="4"/>
    <n v="4"/>
    <x v="6"/>
    <d v="2023-09-01T00:00:00"/>
    <n v="23"/>
    <x v="3"/>
  </r>
  <r>
    <x v="0"/>
    <x v="4"/>
    <n v="4"/>
    <x v="6"/>
    <d v="2023-09-01T00:00:00"/>
    <n v="18"/>
    <x v="4"/>
  </r>
  <r>
    <x v="0"/>
    <x v="4"/>
    <n v="4"/>
    <x v="6"/>
    <d v="2023-09-01T00:00:00"/>
    <n v="17"/>
    <x v="5"/>
  </r>
  <r>
    <x v="0"/>
    <x v="4"/>
    <n v="4"/>
    <x v="6"/>
    <d v="2023-09-01T00:00:00"/>
    <n v="18"/>
    <x v="6"/>
  </r>
  <r>
    <x v="0"/>
    <x v="4"/>
    <n v="4"/>
    <x v="6"/>
    <d v="2023-09-01T00:00:00"/>
    <n v="18"/>
    <x v="7"/>
  </r>
  <r>
    <x v="0"/>
    <x v="4"/>
    <n v="4"/>
    <x v="6"/>
    <d v="2023-09-01T00:00:00"/>
    <n v="18"/>
    <x v="8"/>
  </r>
  <r>
    <x v="0"/>
    <x v="4"/>
    <n v="4"/>
    <x v="6"/>
    <d v="2023-09-01T00:00:00"/>
    <n v="18"/>
    <x v="9"/>
  </r>
  <r>
    <x v="0"/>
    <x v="4"/>
    <n v="4"/>
    <x v="6"/>
    <d v="2023-09-01T00:00:00"/>
    <n v="18"/>
    <x v="10"/>
  </r>
  <r>
    <x v="0"/>
    <x v="4"/>
    <n v="4"/>
    <x v="6"/>
    <d v="2023-09-01T00:00:00"/>
    <n v="14"/>
    <x v="11"/>
  </r>
  <r>
    <x v="0"/>
    <x v="4"/>
    <n v="4"/>
    <x v="6"/>
    <d v="2023-09-01T00:00:00"/>
    <n v="240"/>
    <x v="12"/>
  </r>
  <r>
    <x v="0"/>
    <x v="4"/>
    <n v="5"/>
    <x v="7"/>
    <d v="2023-09-01T00:00:00"/>
    <n v="0"/>
    <x v="0"/>
  </r>
  <r>
    <x v="0"/>
    <x v="4"/>
    <n v="5"/>
    <x v="7"/>
    <d v="2023-09-01T00:00:00"/>
    <n v="4"/>
    <x v="1"/>
  </r>
  <r>
    <x v="0"/>
    <x v="4"/>
    <n v="5"/>
    <x v="7"/>
    <d v="2023-09-01T00:00:00"/>
    <n v="0"/>
    <x v="2"/>
  </r>
  <r>
    <x v="0"/>
    <x v="4"/>
    <n v="5"/>
    <x v="7"/>
    <d v="2023-09-01T00:00:00"/>
    <n v="0"/>
    <x v="3"/>
  </r>
  <r>
    <x v="0"/>
    <x v="4"/>
    <n v="5"/>
    <x v="7"/>
    <d v="2023-09-01T00:00:00"/>
    <n v="0"/>
    <x v="4"/>
  </r>
  <r>
    <x v="0"/>
    <x v="4"/>
    <n v="5"/>
    <x v="7"/>
    <d v="2023-09-01T00:00:00"/>
    <n v="0"/>
    <x v="5"/>
  </r>
  <r>
    <x v="0"/>
    <x v="4"/>
    <n v="5"/>
    <x v="7"/>
    <d v="2023-09-01T00:00:00"/>
    <n v="0"/>
    <x v="6"/>
  </r>
  <r>
    <x v="0"/>
    <x v="4"/>
    <n v="5"/>
    <x v="7"/>
    <d v="2023-09-01T00:00:00"/>
    <n v="0"/>
    <x v="7"/>
  </r>
  <r>
    <x v="0"/>
    <x v="4"/>
    <n v="5"/>
    <x v="7"/>
    <d v="2023-09-01T00:00:00"/>
    <n v="0"/>
    <x v="8"/>
  </r>
  <r>
    <x v="0"/>
    <x v="4"/>
    <n v="5"/>
    <x v="7"/>
    <d v="2023-09-01T00:00:00"/>
    <n v="0"/>
    <x v="9"/>
  </r>
  <r>
    <x v="0"/>
    <x v="4"/>
    <n v="5"/>
    <x v="7"/>
    <d v="2023-09-01T00:00:00"/>
    <n v="0"/>
    <x v="10"/>
  </r>
  <r>
    <x v="0"/>
    <x v="4"/>
    <n v="5"/>
    <x v="7"/>
    <d v="2023-09-01T00:00:00"/>
    <n v="0"/>
    <x v="11"/>
  </r>
  <r>
    <x v="0"/>
    <x v="4"/>
    <n v="5"/>
    <x v="7"/>
    <d v="2023-09-01T00:00:00"/>
    <n v="4"/>
    <x v="12"/>
  </r>
  <r>
    <x v="0"/>
    <x v="4"/>
    <n v="6"/>
    <x v="8"/>
    <d v="2023-09-01T00:00:00"/>
    <n v="84"/>
    <x v="0"/>
  </r>
  <r>
    <x v="0"/>
    <x v="4"/>
    <n v="6"/>
    <x v="8"/>
    <d v="2023-09-01T00:00:00"/>
    <n v="88"/>
    <x v="1"/>
  </r>
  <r>
    <x v="0"/>
    <x v="4"/>
    <n v="6"/>
    <x v="8"/>
    <d v="2023-09-01T00:00:00"/>
    <n v="79"/>
    <x v="2"/>
  </r>
  <r>
    <x v="0"/>
    <x v="4"/>
    <n v="6"/>
    <x v="8"/>
    <d v="2023-09-01T00:00:00"/>
    <n v="160"/>
    <x v="3"/>
  </r>
  <r>
    <x v="0"/>
    <x v="4"/>
    <n v="6"/>
    <x v="8"/>
    <d v="2023-09-01T00:00:00"/>
    <n v="62"/>
    <x v="4"/>
  </r>
  <r>
    <x v="0"/>
    <x v="4"/>
    <n v="6"/>
    <x v="8"/>
    <d v="2023-09-01T00:00:00"/>
    <n v="74"/>
    <x v="5"/>
  </r>
  <r>
    <x v="0"/>
    <x v="4"/>
    <n v="6"/>
    <x v="8"/>
    <d v="2023-09-01T00:00:00"/>
    <n v="80"/>
    <x v="6"/>
  </r>
  <r>
    <x v="0"/>
    <x v="4"/>
    <n v="6"/>
    <x v="8"/>
    <d v="2023-09-01T00:00:00"/>
    <n v="80"/>
    <x v="7"/>
  </r>
  <r>
    <x v="0"/>
    <x v="4"/>
    <n v="6"/>
    <x v="8"/>
    <d v="2023-09-01T00:00:00"/>
    <n v="80"/>
    <x v="8"/>
  </r>
  <r>
    <x v="0"/>
    <x v="4"/>
    <n v="6"/>
    <x v="8"/>
    <d v="2023-09-01T00:00:00"/>
    <n v="80"/>
    <x v="9"/>
  </r>
  <r>
    <x v="0"/>
    <x v="4"/>
    <n v="6"/>
    <x v="8"/>
    <d v="2023-09-01T00:00:00"/>
    <n v="80"/>
    <x v="10"/>
  </r>
  <r>
    <x v="0"/>
    <x v="4"/>
    <n v="6"/>
    <x v="8"/>
    <d v="2023-09-01T00:00:00"/>
    <n v="76"/>
    <x v="11"/>
  </r>
  <r>
    <x v="0"/>
    <x v="4"/>
    <n v="6"/>
    <x v="8"/>
    <d v="2023-09-01T00:00:00"/>
    <n v="1023"/>
    <x v="12"/>
  </r>
  <r>
    <x v="0"/>
    <x v="4"/>
    <n v="7"/>
    <x v="9"/>
    <d v="2023-09-01T00:00:00"/>
    <n v="12084"/>
    <x v="0"/>
  </r>
  <r>
    <x v="0"/>
    <x v="4"/>
    <n v="7"/>
    <x v="9"/>
    <d v="2023-09-01T00:00:00"/>
    <n v="12520"/>
    <x v="1"/>
  </r>
  <r>
    <x v="0"/>
    <x v="4"/>
    <n v="7"/>
    <x v="9"/>
    <d v="2023-09-01T00:00:00"/>
    <n v="13708"/>
    <x v="2"/>
  </r>
  <r>
    <x v="0"/>
    <x v="4"/>
    <n v="7"/>
    <x v="9"/>
    <d v="2023-09-01T00:00:00"/>
    <n v="13968"/>
    <x v="3"/>
  </r>
  <r>
    <x v="0"/>
    <x v="4"/>
    <n v="7"/>
    <x v="9"/>
    <d v="2023-09-01T00:00:00"/>
    <n v="12451"/>
    <x v="4"/>
  </r>
  <r>
    <x v="0"/>
    <x v="4"/>
    <n v="7"/>
    <x v="9"/>
    <d v="2023-09-01T00:00:00"/>
    <n v="12442"/>
    <x v="5"/>
  </r>
  <r>
    <x v="0"/>
    <x v="4"/>
    <n v="7"/>
    <x v="9"/>
    <d v="2023-09-01T00:00:00"/>
    <n v="14291"/>
    <x v="6"/>
  </r>
  <r>
    <x v="0"/>
    <x v="4"/>
    <n v="7"/>
    <x v="9"/>
    <d v="2023-09-01T00:00:00"/>
    <n v="13807"/>
    <x v="7"/>
  </r>
  <r>
    <x v="0"/>
    <x v="4"/>
    <n v="7"/>
    <x v="9"/>
    <d v="2023-09-01T00:00:00"/>
    <n v="14519"/>
    <x v="8"/>
  </r>
  <r>
    <x v="0"/>
    <x v="4"/>
    <n v="7"/>
    <x v="9"/>
    <d v="2023-09-01T00:00:00"/>
    <n v="14224"/>
    <x v="9"/>
  </r>
  <r>
    <x v="0"/>
    <x v="4"/>
    <n v="7"/>
    <x v="9"/>
    <d v="2023-09-01T00:00:00"/>
    <n v="13876"/>
    <x v="10"/>
  </r>
  <r>
    <x v="0"/>
    <x v="4"/>
    <n v="7"/>
    <x v="9"/>
    <d v="2023-09-01T00:00:00"/>
    <n v="14886"/>
    <x v="11"/>
  </r>
  <r>
    <x v="0"/>
    <x v="4"/>
    <n v="7"/>
    <x v="9"/>
    <d v="2023-09-01T00:00:00"/>
    <n v="162776"/>
    <x v="12"/>
  </r>
  <r>
    <x v="0"/>
    <x v="4"/>
    <n v="8"/>
    <x v="11"/>
    <d v="2023-09-01T00:00:00"/>
    <n v="0"/>
    <x v="0"/>
  </r>
  <r>
    <x v="0"/>
    <x v="4"/>
    <n v="8"/>
    <x v="11"/>
    <d v="2023-09-01T00:00:00"/>
    <n v="0"/>
    <x v="1"/>
  </r>
  <r>
    <x v="0"/>
    <x v="4"/>
    <n v="8"/>
    <x v="11"/>
    <d v="2023-09-01T00:00:00"/>
    <n v="0"/>
    <x v="2"/>
  </r>
  <r>
    <x v="0"/>
    <x v="4"/>
    <n v="8"/>
    <x v="11"/>
    <d v="2023-09-01T00:00:00"/>
    <n v="0"/>
    <x v="3"/>
  </r>
  <r>
    <x v="0"/>
    <x v="4"/>
    <n v="8"/>
    <x v="11"/>
    <d v="2023-09-01T00:00:00"/>
    <n v="0"/>
    <x v="4"/>
  </r>
  <r>
    <x v="0"/>
    <x v="4"/>
    <n v="8"/>
    <x v="11"/>
    <d v="2023-09-01T00:00:00"/>
    <n v="0"/>
    <x v="5"/>
  </r>
  <r>
    <x v="0"/>
    <x v="4"/>
    <n v="8"/>
    <x v="11"/>
    <d v="2023-09-01T00:00:00"/>
    <n v="0"/>
    <x v="6"/>
  </r>
  <r>
    <x v="0"/>
    <x v="4"/>
    <n v="8"/>
    <x v="11"/>
    <d v="2023-09-01T00:00:00"/>
    <n v="0"/>
    <x v="7"/>
  </r>
  <r>
    <x v="0"/>
    <x v="4"/>
    <n v="8"/>
    <x v="11"/>
    <d v="2023-09-01T00:00:00"/>
    <n v="0"/>
    <x v="8"/>
  </r>
  <r>
    <x v="0"/>
    <x v="4"/>
    <n v="8"/>
    <x v="11"/>
    <d v="2023-09-01T00:00:00"/>
    <n v="0"/>
    <x v="9"/>
  </r>
  <r>
    <x v="0"/>
    <x v="4"/>
    <n v="8"/>
    <x v="11"/>
    <d v="2023-09-01T00:00:00"/>
    <n v="0"/>
    <x v="10"/>
  </r>
  <r>
    <x v="0"/>
    <x v="4"/>
    <n v="8"/>
    <x v="11"/>
    <d v="2023-09-01T00:00:00"/>
    <n v="0"/>
    <x v="11"/>
  </r>
  <r>
    <x v="0"/>
    <x v="4"/>
    <n v="8"/>
    <x v="11"/>
    <d v="2023-09-01T00:00:00"/>
    <n v="0"/>
    <x v="12"/>
  </r>
  <r>
    <x v="0"/>
    <x v="4"/>
    <n v="9"/>
    <x v="10"/>
    <d v="2023-09-01T00:00:00"/>
    <n v="0"/>
    <x v="0"/>
  </r>
  <r>
    <x v="0"/>
    <x v="4"/>
    <n v="9"/>
    <x v="10"/>
    <d v="2023-09-01T00:00:00"/>
    <n v="0"/>
    <x v="1"/>
  </r>
  <r>
    <x v="0"/>
    <x v="4"/>
    <n v="9"/>
    <x v="10"/>
    <d v="2023-09-01T00:00:00"/>
    <n v="0"/>
    <x v="2"/>
  </r>
  <r>
    <x v="0"/>
    <x v="4"/>
    <n v="9"/>
    <x v="10"/>
    <d v="2023-09-01T00:00:00"/>
    <n v="0"/>
    <x v="3"/>
  </r>
  <r>
    <x v="0"/>
    <x v="4"/>
    <n v="9"/>
    <x v="10"/>
    <d v="2023-09-01T00:00:00"/>
    <n v="0"/>
    <x v="4"/>
  </r>
  <r>
    <x v="0"/>
    <x v="4"/>
    <n v="9"/>
    <x v="10"/>
    <d v="2023-09-01T00:00:00"/>
    <n v="0"/>
    <x v="5"/>
  </r>
  <r>
    <x v="0"/>
    <x v="4"/>
    <n v="9"/>
    <x v="10"/>
    <d v="2023-09-01T00:00:00"/>
    <n v="0"/>
    <x v="6"/>
  </r>
  <r>
    <x v="0"/>
    <x v="4"/>
    <n v="9"/>
    <x v="10"/>
    <d v="2023-09-01T00:00:00"/>
    <n v="0"/>
    <x v="7"/>
  </r>
  <r>
    <x v="0"/>
    <x v="4"/>
    <n v="9"/>
    <x v="10"/>
    <d v="2023-09-01T00:00:00"/>
    <n v="0"/>
    <x v="8"/>
  </r>
  <r>
    <x v="0"/>
    <x v="4"/>
    <n v="9"/>
    <x v="10"/>
    <d v="2023-09-01T00:00:00"/>
    <n v="0"/>
    <x v="9"/>
  </r>
  <r>
    <x v="0"/>
    <x v="4"/>
    <n v="9"/>
    <x v="10"/>
    <d v="2023-09-01T00:00:00"/>
    <n v="0"/>
    <x v="10"/>
  </r>
  <r>
    <x v="0"/>
    <x v="4"/>
    <n v="9"/>
    <x v="10"/>
    <d v="2023-09-01T00:00:00"/>
    <n v="0"/>
    <x v="11"/>
  </r>
  <r>
    <x v="0"/>
    <x v="4"/>
    <n v="9"/>
    <x v="10"/>
    <d v="2023-09-01T00:00:00"/>
    <n v="0"/>
    <x v="12"/>
  </r>
  <r>
    <x v="0"/>
    <x v="4"/>
    <n v="10"/>
    <x v="0"/>
    <d v="2023-09-01T00:00:00"/>
    <n v="4701"/>
    <x v="0"/>
  </r>
  <r>
    <x v="0"/>
    <x v="4"/>
    <n v="10"/>
    <x v="0"/>
    <d v="2023-09-01T00:00:00"/>
    <n v="4775"/>
    <x v="1"/>
  </r>
  <r>
    <x v="0"/>
    <x v="4"/>
    <n v="10"/>
    <x v="0"/>
    <d v="2023-09-01T00:00:00"/>
    <n v="5880"/>
    <x v="2"/>
  </r>
  <r>
    <x v="0"/>
    <x v="4"/>
    <n v="10"/>
    <x v="0"/>
    <d v="2023-09-01T00:00:00"/>
    <n v="5736"/>
    <x v="3"/>
  </r>
  <r>
    <x v="0"/>
    <x v="4"/>
    <n v="10"/>
    <x v="0"/>
    <d v="2023-09-01T00:00:00"/>
    <n v="5089"/>
    <x v="4"/>
  </r>
  <r>
    <x v="0"/>
    <x v="4"/>
    <n v="10"/>
    <x v="0"/>
    <d v="2023-09-01T00:00:00"/>
    <n v="5094"/>
    <x v="5"/>
  </r>
  <r>
    <x v="0"/>
    <x v="4"/>
    <n v="10"/>
    <x v="0"/>
    <d v="2023-09-01T00:00:00"/>
    <n v="5194"/>
    <x v="6"/>
  </r>
  <r>
    <x v="0"/>
    <x v="4"/>
    <n v="10"/>
    <x v="0"/>
    <d v="2023-09-01T00:00:00"/>
    <n v="5252"/>
    <x v="7"/>
  </r>
  <r>
    <x v="0"/>
    <x v="4"/>
    <n v="10"/>
    <x v="0"/>
    <d v="2023-09-01T00:00:00"/>
    <n v="5261"/>
    <x v="8"/>
  </r>
  <r>
    <x v="0"/>
    <x v="4"/>
    <n v="10"/>
    <x v="0"/>
    <d v="2023-09-01T00:00:00"/>
    <n v="5529"/>
    <x v="9"/>
  </r>
  <r>
    <x v="0"/>
    <x v="4"/>
    <n v="10"/>
    <x v="0"/>
    <d v="2023-09-01T00:00:00"/>
    <n v="5619"/>
    <x v="10"/>
  </r>
  <r>
    <x v="0"/>
    <x v="4"/>
    <n v="10"/>
    <x v="0"/>
    <d v="2023-09-01T00:00:00"/>
    <n v="5633"/>
    <x v="11"/>
  </r>
  <r>
    <x v="0"/>
    <x v="4"/>
    <n v="10"/>
    <x v="0"/>
    <d v="2023-09-01T00:00:00"/>
    <n v="63763"/>
    <x v="12"/>
  </r>
  <r>
    <x v="0"/>
    <x v="4"/>
    <n v="11"/>
    <x v="1"/>
    <d v="2023-09-01T00:00:00"/>
    <n v="6484"/>
    <x v="0"/>
  </r>
  <r>
    <x v="0"/>
    <x v="4"/>
    <n v="11"/>
    <x v="1"/>
    <d v="2023-09-01T00:00:00"/>
    <n v="6964"/>
    <x v="1"/>
  </r>
  <r>
    <x v="0"/>
    <x v="4"/>
    <n v="11"/>
    <x v="1"/>
    <d v="2023-09-01T00:00:00"/>
    <n v="7051"/>
    <x v="2"/>
  </r>
  <r>
    <x v="0"/>
    <x v="4"/>
    <n v="11"/>
    <x v="1"/>
    <d v="2023-09-01T00:00:00"/>
    <n v="7454"/>
    <x v="3"/>
  </r>
  <r>
    <x v="0"/>
    <x v="4"/>
    <n v="11"/>
    <x v="1"/>
    <d v="2023-09-01T00:00:00"/>
    <n v="6605"/>
    <x v="4"/>
  </r>
  <r>
    <x v="0"/>
    <x v="4"/>
    <n v="11"/>
    <x v="1"/>
    <d v="2023-09-01T00:00:00"/>
    <n v="6478"/>
    <x v="5"/>
  </r>
  <r>
    <x v="0"/>
    <x v="4"/>
    <n v="11"/>
    <x v="1"/>
    <d v="2023-09-01T00:00:00"/>
    <n v="8366"/>
    <x v="6"/>
  </r>
  <r>
    <x v="0"/>
    <x v="4"/>
    <n v="11"/>
    <x v="1"/>
    <d v="2023-09-01T00:00:00"/>
    <n v="7824"/>
    <x v="7"/>
  </r>
  <r>
    <x v="0"/>
    <x v="4"/>
    <n v="11"/>
    <x v="1"/>
    <d v="2023-09-01T00:00:00"/>
    <n v="8527"/>
    <x v="8"/>
  </r>
  <r>
    <x v="0"/>
    <x v="4"/>
    <n v="11"/>
    <x v="1"/>
    <d v="2023-09-01T00:00:00"/>
    <n v="7964"/>
    <x v="9"/>
  </r>
  <r>
    <x v="0"/>
    <x v="4"/>
    <n v="11"/>
    <x v="1"/>
    <d v="2023-09-01T00:00:00"/>
    <n v="7526"/>
    <x v="10"/>
  </r>
  <r>
    <x v="0"/>
    <x v="4"/>
    <n v="11"/>
    <x v="1"/>
    <d v="2023-09-01T00:00:00"/>
    <n v="8682"/>
    <x v="11"/>
  </r>
  <r>
    <x v="0"/>
    <x v="4"/>
    <n v="11"/>
    <x v="1"/>
    <d v="2023-09-01T00:00:00"/>
    <n v="89925"/>
    <x v="12"/>
  </r>
  <r>
    <x v="0"/>
    <x v="4"/>
    <n v="12"/>
    <x v="2"/>
    <d v="2023-09-01T00:00:00"/>
    <n v="0"/>
    <x v="0"/>
  </r>
  <r>
    <x v="0"/>
    <x v="4"/>
    <n v="12"/>
    <x v="2"/>
    <d v="2023-09-01T00:00:00"/>
    <n v="0"/>
    <x v="1"/>
  </r>
  <r>
    <x v="0"/>
    <x v="4"/>
    <n v="12"/>
    <x v="2"/>
    <d v="2023-09-01T00:00:00"/>
    <n v="0"/>
    <x v="2"/>
  </r>
  <r>
    <x v="0"/>
    <x v="4"/>
    <n v="12"/>
    <x v="2"/>
    <d v="2023-09-01T00:00:00"/>
    <n v="0"/>
    <x v="3"/>
  </r>
  <r>
    <x v="0"/>
    <x v="4"/>
    <n v="12"/>
    <x v="2"/>
    <d v="2023-09-01T00:00:00"/>
    <n v="0"/>
    <x v="4"/>
  </r>
  <r>
    <x v="0"/>
    <x v="4"/>
    <n v="12"/>
    <x v="2"/>
    <d v="2023-09-01T00:00:00"/>
    <n v="0"/>
    <x v="5"/>
  </r>
  <r>
    <x v="0"/>
    <x v="4"/>
    <n v="12"/>
    <x v="2"/>
    <d v="2023-09-01T00:00:00"/>
    <n v="0"/>
    <x v="6"/>
  </r>
  <r>
    <x v="0"/>
    <x v="4"/>
    <n v="12"/>
    <x v="2"/>
    <d v="2023-09-01T00:00:00"/>
    <n v="0"/>
    <x v="7"/>
  </r>
  <r>
    <x v="0"/>
    <x v="4"/>
    <n v="12"/>
    <x v="2"/>
    <d v="2023-09-01T00:00:00"/>
    <n v="0"/>
    <x v="8"/>
  </r>
  <r>
    <x v="0"/>
    <x v="4"/>
    <n v="12"/>
    <x v="2"/>
    <d v="2023-09-01T00:00:00"/>
    <n v="0"/>
    <x v="9"/>
  </r>
  <r>
    <x v="0"/>
    <x v="4"/>
    <n v="12"/>
    <x v="2"/>
    <d v="2023-09-01T00:00:00"/>
    <n v="0"/>
    <x v="10"/>
  </r>
  <r>
    <x v="0"/>
    <x v="4"/>
    <n v="12"/>
    <x v="2"/>
    <d v="2023-09-01T00:00:00"/>
    <n v="0"/>
    <x v="11"/>
  </r>
  <r>
    <x v="0"/>
    <x v="4"/>
    <n v="12"/>
    <x v="2"/>
    <d v="2023-09-01T00:00:00"/>
    <n v="0"/>
    <x v="12"/>
  </r>
  <r>
    <x v="0"/>
    <x v="4"/>
    <n v="13"/>
    <x v="12"/>
    <d v="2023-09-01T00:00:00"/>
    <n v="0"/>
    <x v="0"/>
  </r>
  <r>
    <x v="0"/>
    <x v="4"/>
    <n v="13"/>
    <x v="12"/>
    <d v="2023-09-01T00:00:00"/>
    <n v="0"/>
    <x v="1"/>
  </r>
  <r>
    <x v="0"/>
    <x v="4"/>
    <n v="13"/>
    <x v="12"/>
    <d v="2023-09-01T00:00:00"/>
    <n v="0"/>
    <x v="2"/>
  </r>
  <r>
    <x v="0"/>
    <x v="4"/>
    <n v="13"/>
    <x v="12"/>
    <d v="2023-09-01T00:00:00"/>
    <n v="0"/>
    <x v="3"/>
  </r>
  <r>
    <x v="0"/>
    <x v="4"/>
    <n v="13"/>
    <x v="12"/>
    <d v="2023-09-01T00:00:00"/>
    <n v="0"/>
    <x v="4"/>
  </r>
  <r>
    <x v="0"/>
    <x v="4"/>
    <n v="13"/>
    <x v="12"/>
    <d v="2023-09-01T00:00:00"/>
    <n v="0"/>
    <x v="5"/>
  </r>
  <r>
    <x v="0"/>
    <x v="4"/>
    <n v="13"/>
    <x v="12"/>
    <d v="2023-09-01T00:00:00"/>
    <n v="0"/>
    <x v="6"/>
  </r>
  <r>
    <x v="0"/>
    <x v="4"/>
    <n v="13"/>
    <x v="12"/>
    <d v="2023-09-01T00:00:00"/>
    <n v="0"/>
    <x v="7"/>
  </r>
  <r>
    <x v="0"/>
    <x v="4"/>
    <n v="13"/>
    <x v="12"/>
    <d v="2023-09-01T00:00:00"/>
    <n v="0"/>
    <x v="8"/>
  </r>
  <r>
    <x v="0"/>
    <x v="4"/>
    <n v="13"/>
    <x v="12"/>
    <d v="2023-09-01T00:00:00"/>
    <n v="0"/>
    <x v="9"/>
  </r>
  <r>
    <x v="0"/>
    <x v="4"/>
    <n v="13"/>
    <x v="12"/>
    <d v="2023-09-01T00:00:00"/>
    <n v="0"/>
    <x v="10"/>
  </r>
  <r>
    <x v="0"/>
    <x v="4"/>
    <n v="13"/>
    <x v="12"/>
    <d v="2023-09-01T00:00:00"/>
    <n v="0"/>
    <x v="11"/>
  </r>
  <r>
    <x v="0"/>
    <x v="4"/>
    <n v="13"/>
    <x v="12"/>
    <d v="2023-09-01T00:00:00"/>
    <n v="0"/>
    <x v="12"/>
  </r>
  <r>
    <x v="0"/>
    <x v="4"/>
    <n v="14"/>
    <x v="13"/>
    <d v="2023-09-01T00:00:00"/>
    <n v="0"/>
    <x v="0"/>
  </r>
  <r>
    <x v="0"/>
    <x v="4"/>
    <n v="14"/>
    <x v="13"/>
    <d v="2023-09-01T00:00:00"/>
    <n v="0"/>
    <x v="1"/>
  </r>
  <r>
    <x v="0"/>
    <x v="4"/>
    <n v="14"/>
    <x v="13"/>
    <d v="2023-09-01T00:00:00"/>
    <n v="0"/>
    <x v="2"/>
  </r>
  <r>
    <x v="0"/>
    <x v="4"/>
    <n v="14"/>
    <x v="13"/>
    <d v="2023-09-01T00:00:00"/>
    <n v="0"/>
    <x v="3"/>
  </r>
  <r>
    <x v="0"/>
    <x v="4"/>
    <n v="14"/>
    <x v="13"/>
    <d v="2023-09-01T00:00:00"/>
    <n v="0"/>
    <x v="4"/>
  </r>
  <r>
    <x v="0"/>
    <x v="4"/>
    <n v="14"/>
    <x v="13"/>
    <d v="2023-09-01T00:00:00"/>
    <n v="0"/>
    <x v="5"/>
  </r>
  <r>
    <x v="0"/>
    <x v="4"/>
    <n v="14"/>
    <x v="13"/>
    <d v="2023-09-01T00:00:00"/>
    <n v="0"/>
    <x v="6"/>
  </r>
  <r>
    <x v="0"/>
    <x v="4"/>
    <n v="14"/>
    <x v="13"/>
    <d v="2023-09-01T00:00:00"/>
    <n v="0"/>
    <x v="7"/>
  </r>
  <r>
    <x v="0"/>
    <x v="4"/>
    <n v="14"/>
    <x v="13"/>
    <d v="2023-09-01T00:00:00"/>
    <n v="0"/>
    <x v="8"/>
  </r>
  <r>
    <x v="0"/>
    <x v="4"/>
    <n v="14"/>
    <x v="13"/>
    <d v="2023-09-01T00:00:00"/>
    <n v="0"/>
    <x v="9"/>
  </r>
  <r>
    <x v="0"/>
    <x v="4"/>
    <n v="14"/>
    <x v="13"/>
    <d v="2023-09-01T00:00:00"/>
    <n v="0"/>
    <x v="10"/>
  </r>
  <r>
    <x v="0"/>
    <x v="4"/>
    <n v="14"/>
    <x v="13"/>
    <d v="2023-09-01T00:00:00"/>
    <n v="0"/>
    <x v="11"/>
  </r>
  <r>
    <x v="0"/>
    <x v="4"/>
    <n v="14"/>
    <x v="13"/>
    <d v="2023-09-01T00:00:00"/>
    <n v="0"/>
    <x v="12"/>
  </r>
  <r>
    <x v="0"/>
    <x v="4"/>
    <n v="15"/>
    <x v="14"/>
    <d v="2023-09-01T00:00:00"/>
    <n v="0"/>
    <x v="0"/>
  </r>
  <r>
    <x v="0"/>
    <x v="4"/>
    <n v="15"/>
    <x v="14"/>
    <d v="2023-09-01T00:00:00"/>
    <n v="0"/>
    <x v="1"/>
  </r>
  <r>
    <x v="0"/>
    <x v="4"/>
    <n v="15"/>
    <x v="14"/>
    <d v="2023-09-01T00:00:00"/>
    <n v="0"/>
    <x v="2"/>
  </r>
  <r>
    <x v="0"/>
    <x v="4"/>
    <n v="15"/>
    <x v="14"/>
    <d v="2023-09-01T00:00:00"/>
    <n v="0"/>
    <x v="3"/>
  </r>
  <r>
    <x v="0"/>
    <x v="4"/>
    <n v="15"/>
    <x v="14"/>
    <d v="2023-09-01T00:00:00"/>
    <n v="0"/>
    <x v="4"/>
  </r>
  <r>
    <x v="0"/>
    <x v="4"/>
    <n v="15"/>
    <x v="14"/>
    <d v="2023-09-01T00:00:00"/>
    <n v="0"/>
    <x v="5"/>
  </r>
  <r>
    <x v="0"/>
    <x v="4"/>
    <n v="15"/>
    <x v="14"/>
    <d v="2023-09-01T00:00:00"/>
    <n v="0"/>
    <x v="6"/>
  </r>
  <r>
    <x v="0"/>
    <x v="4"/>
    <n v="15"/>
    <x v="14"/>
    <d v="2023-09-01T00:00:00"/>
    <n v="0"/>
    <x v="7"/>
  </r>
  <r>
    <x v="0"/>
    <x v="4"/>
    <n v="15"/>
    <x v="14"/>
    <d v="2023-09-01T00:00:00"/>
    <n v="0"/>
    <x v="8"/>
  </r>
  <r>
    <x v="0"/>
    <x v="4"/>
    <n v="15"/>
    <x v="14"/>
    <d v="2023-09-01T00:00:00"/>
    <n v="0"/>
    <x v="9"/>
  </r>
  <r>
    <x v="0"/>
    <x v="4"/>
    <n v="15"/>
    <x v="14"/>
    <d v="2023-09-01T00:00:00"/>
    <n v="0"/>
    <x v="10"/>
  </r>
  <r>
    <x v="0"/>
    <x v="4"/>
    <n v="15"/>
    <x v="14"/>
    <d v="2023-09-01T00:00:00"/>
    <n v="0"/>
    <x v="11"/>
  </r>
  <r>
    <x v="0"/>
    <x v="4"/>
    <n v="15"/>
    <x v="14"/>
    <d v="2023-09-01T00:00:00"/>
    <n v="0"/>
    <x v="12"/>
  </r>
  <r>
    <x v="0"/>
    <x v="4"/>
    <n v="16"/>
    <x v="15"/>
    <d v="2023-09-01T00:00:00"/>
    <n v="0"/>
    <x v="0"/>
  </r>
  <r>
    <x v="0"/>
    <x v="4"/>
    <n v="16"/>
    <x v="15"/>
    <d v="2023-09-01T00:00:00"/>
    <n v="0"/>
    <x v="1"/>
  </r>
  <r>
    <x v="0"/>
    <x v="4"/>
    <n v="16"/>
    <x v="15"/>
    <d v="2023-09-01T00:00:00"/>
    <n v="0"/>
    <x v="2"/>
  </r>
  <r>
    <x v="0"/>
    <x v="4"/>
    <n v="16"/>
    <x v="15"/>
    <d v="2023-09-01T00:00:00"/>
    <n v="0"/>
    <x v="3"/>
  </r>
  <r>
    <x v="0"/>
    <x v="4"/>
    <n v="16"/>
    <x v="15"/>
    <d v="2023-09-01T00:00:00"/>
    <n v="0"/>
    <x v="4"/>
  </r>
  <r>
    <x v="0"/>
    <x v="4"/>
    <n v="16"/>
    <x v="15"/>
    <d v="2023-09-01T00:00:00"/>
    <n v="0"/>
    <x v="5"/>
  </r>
  <r>
    <x v="0"/>
    <x v="4"/>
    <n v="16"/>
    <x v="15"/>
    <d v="2023-09-01T00:00:00"/>
    <n v="0"/>
    <x v="6"/>
  </r>
  <r>
    <x v="0"/>
    <x v="4"/>
    <n v="16"/>
    <x v="15"/>
    <d v="2023-09-01T00:00:00"/>
    <n v="0"/>
    <x v="7"/>
  </r>
  <r>
    <x v="0"/>
    <x v="4"/>
    <n v="16"/>
    <x v="15"/>
    <d v="2023-09-01T00:00:00"/>
    <n v="0"/>
    <x v="8"/>
  </r>
  <r>
    <x v="0"/>
    <x v="4"/>
    <n v="16"/>
    <x v="15"/>
    <d v="2023-09-01T00:00:00"/>
    <n v="0"/>
    <x v="9"/>
  </r>
  <r>
    <x v="0"/>
    <x v="4"/>
    <n v="16"/>
    <x v="15"/>
    <d v="2023-09-01T00:00:00"/>
    <n v="0"/>
    <x v="10"/>
  </r>
  <r>
    <x v="0"/>
    <x v="4"/>
    <n v="16"/>
    <x v="15"/>
    <d v="2023-09-01T00:00:00"/>
    <n v="0"/>
    <x v="11"/>
  </r>
  <r>
    <x v="0"/>
    <x v="4"/>
    <n v="16"/>
    <x v="15"/>
    <d v="2023-09-01T00:00:00"/>
    <n v="0"/>
    <x v="12"/>
  </r>
  <r>
    <x v="0"/>
    <x v="4"/>
    <n v="17"/>
    <x v="16"/>
    <d v="2023-09-01T00:00:00"/>
    <n v="0"/>
    <x v="0"/>
  </r>
  <r>
    <x v="0"/>
    <x v="4"/>
    <n v="17"/>
    <x v="16"/>
    <d v="2023-09-01T00:00:00"/>
    <n v="0"/>
    <x v="1"/>
  </r>
  <r>
    <x v="0"/>
    <x v="4"/>
    <n v="17"/>
    <x v="16"/>
    <d v="2023-09-01T00:00:00"/>
    <n v="0"/>
    <x v="2"/>
  </r>
  <r>
    <x v="0"/>
    <x v="4"/>
    <n v="17"/>
    <x v="16"/>
    <d v="2023-09-01T00:00:00"/>
    <n v="0"/>
    <x v="3"/>
  </r>
  <r>
    <x v="0"/>
    <x v="4"/>
    <n v="17"/>
    <x v="16"/>
    <d v="2023-09-01T00:00:00"/>
    <n v="0"/>
    <x v="4"/>
  </r>
  <r>
    <x v="0"/>
    <x v="4"/>
    <n v="17"/>
    <x v="16"/>
    <d v="2023-09-01T00:00:00"/>
    <n v="0"/>
    <x v="5"/>
  </r>
  <r>
    <x v="0"/>
    <x v="4"/>
    <n v="17"/>
    <x v="16"/>
    <d v="2023-09-01T00:00:00"/>
    <n v="0"/>
    <x v="6"/>
  </r>
  <r>
    <x v="0"/>
    <x v="4"/>
    <n v="17"/>
    <x v="16"/>
    <d v="2023-09-01T00:00:00"/>
    <n v="0"/>
    <x v="7"/>
  </r>
  <r>
    <x v="0"/>
    <x v="4"/>
    <n v="17"/>
    <x v="16"/>
    <d v="2023-09-01T00:00:00"/>
    <n v="0"/>
    <x v="8"/>
  </r>
  <r>
    <x v="0"/>
    <x v="4"/>
    <n v="17"/>
    <x v="16"/>
    <d v="2023-09-01T00:00:00"/>
    <n v="0"/>
    <x v="9"/>
  </r>
  <r>
    <x v="0"/>
    <x v="4"/>
    <n v="17"/>
    <x v="16"/>
    <d v="2023-09-01T00:00:00"/>
    <n v="0"/>
    <x v="10"/>
  </r>
  <r>
    <x v="0"/>
    <x v="4"/>
    <n v="17"/>
    <x v="16"/>
    <d v="2023-09-01T00:00:00"/>
    <n v="0"/>
    <x v="11"/>
  </r>
  <r>
    <x v="0"/>
    <x v="4"/>
    <n v="17"/>
    <x v="16"/>
    <d v="2023-09-01T00:00:00"/>
    <n v="0"/>
    <x v="12"/>
  </r>
  <r>
    <x v="0"/>
    <x v="4"/>
    <n v="18"/>
    <x v="17"/>
    <d v="2023-09-01T00:00:00"/>
    <n v="0"/>
    <x v="0"/>
  </r>
  <r>
    <x v="0"/>
    <x v="4"/>
    <n v="18"/>
    <x v="17"/>
    <d v="2023-09-01T00:00:00"/>
    <n v="0"/>
    <x v="1"/>
  </r>
  <r>
    <x v="0"/>
    <x v="4"/>
    <n v="18"/>
    <x v="17"/>
    <d v="2023-09-01T00:00:00"/>
    <n v="0"/>
    <x v="2"/>
  </r>
  <r>
    <x v="0"/>
    <x v="4"/>
    <n v="18"/>
    <x v="17"/>
    <d v="2023-09-01T00:00:00"/>
    <n v="0"/>
    <x v="3"/>
  </r>
  <r>
    <x v="0"/>
    <x v="4"/>
    <n v="18"/>
    <x v="17"/>
    <d v="2023-09-01T00:00:00"/>
    <n v="0"/>
    <x v="4"/>
  </r>
  <r>
    <x v="0"/>
    <x v="4"/>
    <n v="18"/>
    <x v="17"/>
    <d v="2023-09-01T00:00:00"/>
    <n v="0"/>
    <x v="5"/>
  </r>
  <r>
    <x v="0"/>
    <x v="4"/>
    <n v="18"/>
    <x v="17"/>
    <d v="2023-09-01T00:00:00"/>
    <n v="0"/>
    <x v="6"/>
  </r>
  <r>
    <x v="0"/>
    <x v="4"/>
    <n v="18"/>
    <x v="17"/>
    <d v="2023-09-01T00:00:00"/>
    <n v="0"/>
    <x v="7"/>
  </r>
  <r>
    <x v="0"/>
    <x v="4"/>
    <n v="18"/>
    <x v="17"/>
    <d v="2023-09-01T00:00:00"/>
    <n v="0"/>
    <x v="8"/>
  </r>
  <r>
    <x v="0"/>
    <x v="4"/>
    <n v="18"/>
    <x v="17"/>
    <d v="2023-09-01T00:00:00"/>
    <n v="0"/>
    <x v="9"/>
  </r>
  <r>
    <x v="0"/>
    <x v="4"/>
    <n v="18"/>
    <x v="17"/>
    <d v="2023-09-01T00:00:00"/>
    <n v="0"/>
    <x v="10"/>
  </r>
  <r>
    <x v="0"/>
    <x v="4"/>
    <n v="18"/>
    <x v="17"/>
    <d v="2023-09-01T00:00:00"/>
    <n v="0"/>
    <x v="11"/>
  </r>
  <r>
    <x v="0"/>
    <x v="4"/>
    <n v="18"/>
    <x v="17"/>
    <d v="2023-09-01T00:00:00"/>
    <n v="0"/>
    <x v="12"/>
  </r>
  <r>
    <x v="0"/>
    <x v="4"/>
    <n v="19"/>
    <x v="18"/>
    <d v="2023-09-01T00:00:00"/>
    <n v="0"/>
    <x v="0"/>
  </r>
  <r>
    <x v="0"/>
    <x v="4"/>
    <n v="19"/>
    <x v="18"/>
    <d v="2023-09-01T00:00:00"/>
    <n v="0"/>
    <x v="1"/>
  </r>
  <r>
    <x v="0"/>
    <x v="4"/>
    <n v="19"/>
    <x v="18"/>
    <d v="2023-09-01T00:00:00"/>
    <n v="0"/>
    <x v="2"/>
  </r>
  <r>
    <x v="0"/>
    <x v="4"/>
    <n v="19"/>
    <x v="18"/>
    <d v="2023-09-01T00:00:00"/>
    <n v="0"/>
    <x v="3"/>
  </r>
  <r>
    <x v="0"/>
    <x v="4"/>
    <n v="19"/>
    <x v="18"/>
    <d v="2023-09-01T00:00:00"/>
    <n v="0"/>
    <x v="4"/>
  </r>
  <r>
    <x v="0"/>
    <x v="4"/>
    <n v="19"/>
    <x v="18"/>
    <d v="2023-09-01T00:00:00"/>
    <n v="0"/>
    <x v="5"/>
  </r>
  <r>
    <x v="0"/>
    <x v="4"/>
    <n v="19"/>
    <x v="18"/>
    <d v="2023-09-01T00:00:00"/>
    <n v="0"/>
    <x v="6"/>
  </r>
  <r>
    <x v="0"/>
    <x v="4"/>
    <n v="19"/>
    <x v="18"/>
    <d v="2023-09-01T00:00:00"/>
    <n v="0"/>
    <x v="7"/>
  </r>
  <r>
    <x v="0"/>
    <x v="4"/>
    <n v="19"/>
    <x v="18"/>
    <d v="2023-09-01T00:00:00"/>
    <n v="0"/>
    <x v="8"/>
  </r>
  <r>
    <x v="0"/>
    <x v="4"/>
    <n v="19"/>
    <x v="18"/>
    <d v="2023-09-01T00:00:00"/>
    <n v="0"/>
    <x v="9"/>
  </r>
  <r>
    <x v="0"/>
    <x v="4"/>
    <n v="19"/>
    <x v="18"/>
    <d v="2023-09-01T00:00:00"/>
    <n v="0"/>
    <x v="10"/>
  </r>
  <r>
    <x v="0"/>
    <x v="4"/>
    <n v="19"/>
    <x v="18"/>
    <d v="2023-09-01T00:00:00"/>
    <n v="0"/>
    <x v="11"/>
  </r>
  <r>
    <x v="0"/>
    <x v="4"/>
    <n v="19"/>
    <x v="18"/>
    <d v="2023-09-01T00:00:00"/>
    <n v="0"/>
    <x v="12"/>
  </r>
  <r>
    <x v="0"/>
    <x v="4"/>
    <n v="20"/>
    <x v="19"/>
    <d v="2023-09-01T00:00:00"/>
    <n v="0"/>
    <x v="0"/>
  </r>
  <r>
    <x v="0"/>
    <x v="4"/>
    <n v="20"/>
    <x v="19"/>
    <d v="2023-09-01T00:00:00"/>
    <n v="0"/>
    <x v="1"/>
  </r>
  <r>
    <x v="0"/>
    <x v="4"/>
    <n v="20"/>
    <x v="19"/>
    <d v="2023-09-01T00:00:00"/>
    <n v="0"/>
    <x v="2"/>
  </r>
  <r>
    <x v="0"/>
    <x v="4"/>
    <n v="20"/>
    <x v="19"/>
    <d v="2023-09-01T00:00:00"/>
    <n v="0"/>
    <x v="3"/>
  </r>
  <r>
    <x v="0"/>
    <x v="4"/>
    <n v="20"/>
    <x v="19"/>
    <d v="2023-09-01T00:00:00"/>
    <n v="0"/>
    <x v="4"/>
  </r>
  <r>
    <x v="0"/>
    <x v="4"/>
    <n v="20"/>
    <x v="19"/>
    <d v="2023-09-01T00:00:00"/>
    <n v="0"/>
    <x v="5"/>
  </r>
  <r>
    <x v="0"/>
    <x v="4"/>
    <n v="20"/>
    <x v="19"/>
    <d v="2023-09-01T00:00:00"/>
    <n v="0"/>
    <x v="6"/>
  </r>
  <r>
    <x v="0"/>
    <x v="4"/>
    <n v="20"/>
    <x v="19"/>
    <d v="2023-09-01T00:00:00"/>
    <n v="0"/>
    <x v="7"/>
  </r>
  <r>
    <x v="0"/>
    <x v="4"/>
    <n v="20"/>
    <x v="19"/>
    <d v="2023-09-01T00:00:00"/>
    <n v="0"/>
    <x v="8"/>
  </r>
  <r>
    <x v="0"/>
    <x v="4"/>
    <n v="20"/>
    <x v="19"/>
    <d v="2023-09-01T00:00:00"/>
    <n v="0"/>
    <x v="9"/>
  </r>
  <r>
    <x v="0"/>
    <x v="4"/>
    <n v="20"/>
    <x v="19"/>
    <d v="2023-09-01T00:00:00"/>
    <n v="0"/>
    <x v="10"/>
  </r>
  <r>
    <x v="0"/>
    <x v="4"/>
    <n v="20"/>
    <x v="19"/>
    <d v="2023-09-01T00:00:00"/>
    <n v="0"/>
    <x v="11"/>
  </r>
  <r>
    <x v="0"/>
    <x v="4"/>
    <n v="20"/>
    <x v="19"/>
    <d v="2023-09-01T00:00:00"/>
    <n v="0"/>
    <x v="12"/>
  </r>
  <r>
    <x v="0"/>
    <x v="4"/>
    <n v="21"/>
    <x v="20"/>
    <d v="2023-09-01T00:00:00"/>
    <n v="0"/>
    <x v="0"/>
  </r>
  <r>
    <x v="0"/>
    <x v="4"/>
    <n v="21"/>
    <x v="20"/>
    <d v="2023-09-01T00:00:00"/>
    <n v="0"/>
    <x v="1"/>
  </r>
  <r>
    <x v="0"/>
    <x v="4"/>
    <n v="21"/>
    <x v="20"/>
    <d v="2023-09-01T00:00:00"/>
    <n v="0"/>
    <x v="2"/>
  </r>
  <r>
    <x v="0"/>
    <x v="4"/>
    <n v="21"/>
    <x v="20"/>
    <d v="2023-09-01T00:00:00"/>
    <n v="0"/>
    <x v="3"/>
  </r>
  <r>
    <x v="0"/>
    <x v="4"/>
    <n v="21"/>
    <x v="20"/>
    <d v="2023-09-01T00:00:00"/>
    <n v="0"/>
    <x v="4"/>
  </r>
  <r>
    <x v="0"/>
    <x v="4"/>
    <n v="21"/>
    <x v="20"/>
    <d v="2023-09-01T00:00:00"/>
    <n v="0"/>
    <x v="5"/>
  </r>
  <r>
    <x v="0"/>
    <x v="4"/>
    <n v="21"/>
    <x v="20"/>
    <d v="2023-09-01T00:00:00"/>
    <n v="0"/>
    <x v="6"/>
  </r>
  <r>
    <x v="0"/>
    <x v="4"/>
    <n v="21"/>
    <x v="20"/>
    <d v="2023-09-01T00:00:00"/>
    <n v="0"/>
    <x v="7"/>
  </r>
  <r>
    <x v="0"/>
    <x v="4"/>
    <n v="21"/>
    <x v="20"/>
    <d v="2023-09-01T00:00:00"/>
    <n v="0"/>
    <x v="8"/>
  </r>
  <r>
    <x v="0"/>
    <x v="4"/>
    <n v="21"/>
    <x v="20"/>
    <d v="2023-09-01T00:00:00"/>
    <n v="0"/>
    <x v="9"/>
  </r>
  <r>
    <x v="0"/>
    <x v="4"/>
    <n v="21"/>
    <x v="20"/>
    <d v="2023-09-01T00:00:00"/>
    <n v="0"/>
    <x v="10"/>
  </r>
  <r>
    <x v="0"/>
    <x v="4"/>
    <n v="21"/>
    <x v="20"/>
    <d v="2023-09-01T00:00:00"/>
    <n v="0"/>
    <x v="11"/>
  </r>
  <r>
    <x v="0"/>
    <x v="4"/>
    <n v="21"/>
    <x v="20"/>
    <d v="2023-09-01T00:00:00"/>
    <n v="0"/>
    <x v="12"/>
  </r>
  <r>
    <x v="0"/>
    <x v="4"/>
    <n v="22"/>
    <x v="21"/>
    <d v="2023-09-01T00:00:00"/>
    <n v="937"/>
    <x v="0"/>
  </r>
  <r>
    <x v="0"/>
    <x v="4"/>
    <n v="22"/>
    <x v="21"/>
    <d v="2023-09-01T00:00:00"/>
    <n v="702"/>
    <x v="1"/>
  </r>
  <r>
    <x v="0"/>
    <x v="4"/>
    <n v="22"/>
    <x v="21"/>
    <d v="2023-09-01T00:00:00"/>
    <n v="737"/>
    <x v="2"/>
  </r>
  <r>
    <x v="0"/>
    <x v="4"/>
    <n v="22"/>
    <x v="21"/>
    <d v="2023-09-01T00:00:00"/>
    <n v="729"/>
    <x v="3"/>
  </r>
  <r>
    <x v="0"/>
    <x v="4"/>
    <n v="22"/>
    <x v="21"/>
    <d v="2023-09-01T00:00:00"/>
    <n v="735"/>
    <x v="4"/>
  </r>
  <r>
    <x v="0"/>
    <x v="4"/>
    <n v="22"/>
    <x v="21"/>
    <d v="2023-09-01T00:00:00"/>
    <n v="853"/>
    <x v="5"/>
  </r>
  <r>
    <x v="0"/>
    <x v="4"/>
    <n v="22"/>
    <x v="21"/>
    <d v="2023-09-01T00:00:00"/>
    <n v="731"/>
    <x v="6"/>
  </r>
  <r>
    <x v="0"/>
    <x v="4"/>
    <n v="22"/>
    <x v="21"/>
    <d v="2023-09-01T00:00:00"/>
    <n v="731"/>
    <x v="7"/>
  </r>
  <r>
    <x v="0"/>
    <x v="4"/>
    <n v="22"/>
    <x v="21"/>
    <d v="2023-09-01T00:00:00"/>
    <n v="731"/>
    <x v="8"/>
  </r>
  <r>
    <x v="0"/>
    <x v="4"/>
    <n v="22"/>
    <x v="21"/>
    <d v="2023-09-01T00:00:00"/>
    <n v="731"/>
    <x v="9"/>
  </r>
  <r>
    <x v="0"/>
    <x v="4"/>
    <n v="22"/>
    <x v="21"/>
    <d v="2023-09-01T00:00:00"/>
    <n v="731"/>
    <x v="10"/>
  </r>
  <r>
    <x v="0"/>
    <x v="4"/>
    <n v="22"/>
    <x v="21"/>
    <d v="2023-09-01T00:00:00"/>
    <n v="740"/>
    <x v="11"/>
  </r>
  <r>
    <x v="0"/>
    <x v="4"/>
    <n v="22"/>
    <x v="21"/>
    <d v="2023-09-01T00:00:00"/>
    <n v="9088"/>
    <x v="12"/>
  </r>
  <r>
    <x v="0"/>
    <x v="4"/>
    <n v="23"/>
    <x v="22"/>
    <d v="2023-09-01T00:00:00"/>
    <n v="0"/>
    <x v="0"/>
  </r>
  <r>
    <x v="0"/>
    <x v="4"/>
    <n v="23"/>
    <x v="22"/>
    <d v="2023-09-01T00:00:00"/>
    <n v="0"/>
    <x v="1"/>
  </r>
  <r>
    <x v="0"/>
    <x v="4"/>
    <n v="23"/>
    <x v="22"/>
    <d v="2023-09-01T00:00:00"/>
    <n v="0"/>
    <x v="2"/>
  </r>
  <r>
    <x v="0"/>
    <x v="4"/>
    <n v="23"/>
    <x v="22"/>
    <d v="2023-09-01T00:00:00"/>
    <n v="0"/>
    <x v="3"/>
  </r>
  <r>
    <x v="0"/>
    <x v="4"/>
    <n v="23"/>
    <x v="22"/>
    <d v="2023-09-01T00:00:00"/>
    <n v="0"/>
    <x v="4"/>
  </r>
  <r>
    <x v="0"/>
    <x v="4"/>
    <n v="23"/>
    <x v="22"/>
    <d v="2023-09-01T00:00:00"/>
    <n v="0"/>
    <x v="5"/>
  </r>
  <r>
    <x v="0"/>
    <x v="4"/>
    <n v="23"/>
    <x v="22"/>
    <d v="2023-09-01T00:00:00"/>
    <n v="0"/>
    <x v="6"/>
  </r>
  <r>
    <x v="0"/>
    <x v="4"/>
    <n v="23"/>
    <x v="22"/>
    <d v="2023-09-01T00:00:00"/>
    <n v="0"/>
    <x v="7"/>
  </r>
  <r>
    <x v="0"/>
    <x v="4"/>
    <n v="23"/>
    <x v="22"/>
    <d v="2023-09-01T00:00:00"/>
    <n v="0"/>
    <x v="8"/>
  </r>
  <r>
    <x v="0"/>
    <x v="4"/>
    <n v="23"/>
    <x v="22"/>
    <d v="2023-09-01T00:00:00"/>
    <n v="0"/>
    <x v="9"/>
  </r>
  <r>
    <x v="0"/>
    <x v="4"/>
    <n v="23"/>
    <x v="22"/>
    <d v="2023-09-01T00:00:00"/>
    <n v="0"/>
    <x v="10"/>
  </r>
  <r>
    <x v="0"/>
    <x v="4"/>
    <n v="23"/>
    <x v="22"/>
    <d v="2023-09-01T00:00:00"/>
    <n v="0"/>
    <x v="11"/>
  </r>
  <r>
    <x v="0"/>
    <x v="4"/>
    <n v="23"/>
    <x v="22"/>
    <d v="2023-09-01T00:00:00"/>
    <n v="0"/>
    <x v="12"/>
  </r>
  <r>
    <x v="0"/>
    <x v="4"/>
    <n v="24"/>
    <x v="23"/>
    <d v="2023-09-01T00:00:00"/>
    <n v="0"/>
    <x v="0"/>
  </r>
  <r>
    <x v="0"/>
    <x v="4"/>
    <n v="24"/>
    <x v="23"/>
    <d v="2023-09-01T00:00:00"/>
    <n v="0"/>
    <x v="1"/>
  </r>
  <r>
    <x v="0"/>
    <x v="4"/>
    <n v="24"/>
    <x v="23"/>
    <d v="2023-09-01T00:00:00"/>
    <n v="0"/>
    <x v="2"/>
  </r>
  <r>
    <x v="0"/>
    <x v="4"/>
    <n v="24"/>
    <x v="23"/>
    <d v="2023-09-01T00:00:00"/>
    <n v="0"/>
    <x v="3"/>
  </r>
  <r>
    <x v="0"/>
    <x v="4"/>
    <n v="24"/>
    <x v="23"/>
    <d v="2023-09-01T00:00:00"/>
    <n v="0"/>
    <x v="4"/>
  </r>
  <r>
    <x v="0"/>
    <x v="4"/>
    <n v="24"/>
    <x v="23"/>
    <d v="2023-09-01T00:00:00"/>
    <n v="0"/>
    <x v="5"/>
  </r>
  <r>
    <x v="0"/>
    <x v="4"/>
    <n v="24"/>
    <x v="23"/>
    <d v="2023-09-01T00:00:00"/>
    <n v="0"/>
    <x v="6"/>
  </r>
  <r>
    <x v="0"/>
    <x v="4"/>
    <n v="24"/>
    <x v="23"/>
    <d v="2023-09-01T00:00:00"/>
    <n v="0"/>
    <x v="7"/>
  </r>
  <r>
    <x v="0"/>
    <x v="4"/>
    <n v="24"/>
    <x v="23"/>
    <d v="2023-09-01T00:00:00"/>
    <n v="0"/>
    <x v="8"/>
  </r>
  <r>
    <x v="0"/>
    <x v="4"/>
    <n v="24"/>
    <x v="23"/>
    <d v="2023-09-01T00:00:00"/>
    <n v="0"/>
    <x v="9"/>
  </r>
  <r>
    <x v="0"/>
    <x v="4"/>
    <n v="24"/>
    <x v="23"/>
    <d v="2023-09-01T00:00:00"/>
    <n v="0"/>
    <x v="10"/>
  </r>
  <r>
    <x v="0"/>
    <x v="4"/>
    <n v="24"/>
    <x v="23"/>
    <d v="2023-09-01T00:00:00"/>
    <n v="0"/>
    <x v="11"/>
  </r>
  <r>
    <x v="0"/>
    <x v="4"/>
    <n v="24"/>
    <x v="23"/>
    <d v="2023-09-01T00:00:00"/>
    <n v="0"/>
    <x v="12"/>
  </r>
  <r>
    <x v="0"/>
    <x v="4"/>
    <n v="25"/>
    <x v="24"/>
    <d v="2023-09-01T00:00:00"/>
    <n v="0"/>
    <x v="0"/>
  </r>
  <r>
    <x v="0"/>
    <x v="4"/>
    <n v="25"/>
    <x v="24"/>
    <d v="2023-09-01T00:00:00"/>
    <n v="0"/>
    <x v="1"/>
  </r>
  <r>
    <x v="0"/>
    <x v="4"/>
    <n v="25"/>
    <x v="24"/>
    <d v="2023-09-01T00:00:00"/>
    <n v="0"/>
    <x v="2"/>
  </r>
  <r>
    <x v="0"/>
    <x v="4"/>
    <n v="25"/>
    <x v="24"/>
    <d v="2023-09-01T00:00:00"/>
    <n v="0"/>
    <x v="3"/>
  </r>
  <r>
    <x v="0"/>
    <x v="4"/>
    <n v="25"/>
    <x v="24"/>
    <d v="2023-09-01T00:00:00"/>
    <n v="0"/>
    <x v="4"/>
  </r>
  <r>
    <x v="0"/>
    <x v="4"/>
    <n v="25"/>
    <x v="24"/>
    <d v="2023-09-01T00:00:00"/>
    <n v="0"/>
    <x v="5"/>
  </r>
  <r>
    <x v="0"/>
    <x v="4"/>
    <n v="25"/>
    <x v="24"/>
    <d v="2023-09-01T00:00:00"/>
    <n v="0"/>
    <x v="6"/>
  </r>
  <r>
    <x v="0"/>
    <x v="4"/>
    <n v="25"/>
    <x v="24"/>
    <d v="2023-09-01T00:00:00"/>
    <n v="0"/>
    <x v="7"/>
  </r>
  <r>
    <x v="0"/>
    <x v="4"/>
    <n v="25"/>
    <x v="24"/>
    <d v="2023-09-01T00:00:00"/>
    <n v="0"/>
    <x v="8"/>
  </r>
  <r>
    <x v="0"/>
    <x v="4"/>
    <n v="25"/>
    <x v="24"/>
    <d v="2023-09-01T00:00:00"/>
    <n v="0"/>
    <x v="9"/>
  </r>
  <r>
    <x v="0"/>
    <x v="4"/>
    <n v="25"/>
    <x v="24"/>
    <d v="2023-09-01T00:00:00"/>
    <n v="0"/>
    <x v="10"/>
  </r>
  <r>
    <x v="0"/>
    <x v="4"/>
    <n v="25"/>
    <x v="24"/>
    <d v="2023-09-01T00:00:00"/>
    <n v="0"/>
    <x v="11"/>
  </r>
  <r>
    <x v="0"/>
    <x v="4"/>
    <n v="25"/>
    <x v="24"/>
    <d v="2023-09-01T00:00:00"/>
    <n v="0"/>
    <x v="12"/>
  </r>
  <r>
    <x v="0"/>
    <x v="4"/>
    <n v="26"/>
    <x v="25"/>
    <d v="2023-09-01T00:00:00"/>
    <n v="12122"/>
    <x v="0"/>
  </r>
  <r>
    <x v="0"/>
    <x v="4"/>
    <n v="26"/>
    <x v="25"/>
    <d v="2023-09-01T00:00:00"/>
    <n v="12441"/>
    <x v="1"/>
  </r>
  <r>
    <x v="0"/>
    <x v="4"/>
    <n v="26"/>
    <x v="25"/>
    <d v="2023-09-01T00:00:00"/>
    <n v="13668"/>
    <x v="2"/>
  </r>
  <r>
    <x v="0"/>
    <x v="4"/>
    <n v="26"/>
    <x v="25"/>
    <d v="2023-09-01T00:00:00"/>
    <n v="13919"/>
    <x v="3"/>
  </r>
  <r>
    <x v="0"/>
    <x v="4"/>
    <n v="26"/>
    <x v="25"/>
    <d v="2023-09-01T00:00:00"/>
    <n v="12429"/>
    <x v="4"/>
  </r>
  <r>
    <x v="0"/>
    <x v="4"/>
    <n v="26"/>
    <x v="25"/>
    <d v="2023-09-01T00:00:00"/>
    <n v="12425"/>
    <x v="5"/>
  </r>
  <r>
    <x v="0"/>
    <x v="4"/>
    <n v="26"/>
    <x v="25"/>
    <d v="2023-09-01T00:00:00"/>
    <n v="14291"/>
    <x v="6"/>
  </r>
  <r>
    <x v="0"/>
    <x v="4"/>
    <n v="26"/>
    <x v="25"/>
    <d v="2023-09-01T00:00:00"/>
    <n v="13807"/>
    <x v="7"/>
  </r>
  <r>
    <x v="0"/>
    <x v="4"/>
    <n v="26"/>
    <x v="25"/>
    <d v="2023-09-01T00:00:00"/>
    <n v="14519"/>
    <x v="8"/>
  </r>
  <r>
    <x v="0"/>
    <x v="4"/>
    <n v="26"/>
    <x v="25"/>
    <d v="2023-09-01T00:00:00"/>
    <n v="14224"/>
    <x v="9"/>
  </r>
  <r>
    <x v="0"/>
    <x v="4"/>
    <n v="26"/>
    <x v="25"/>
    <d v="2023-09-01T00:00:00"/>
    <n v="13876"/>
    <x v="10"/>
  </r>
  <r>
    <x v="0"/>
    <x v="4"/>
    <n v="26"/>
    <x v="25"/>
    <d v="2023-09-01T00:00:00"/>
    <n v="15055"/>
    <x v="11"/>
  </r>
  <r>
    <x v="0"/>
    <x v="4"/>
    <n v="26"/>
    <x v="25"/>
    <d v="2023-09-01T00:00:00"/>
    <n v="162776"/>
    <x v="12"/>
  </r>
  <r>
    <x v="0"/>
    <x v="4"/>
    <n v="27"/>
    <x v="26"/>
    <d v="2023-09-01T00:00:00"/>
    <n v="-38"/>
    <x v="0"/>
  </r>
  <r>
    <x v="0"/>
    <x v="4"/>
    <n v="27"/>
    <x v="26"/>
    <d v="2023-09-01T00:00:00"/>
    <n v="79"/>
    <x v="1"/>
  </r>
  <r>
    <x v="0"/>
    <x v="4"/>
    <n v="27"/>
    <x v="26"/>
    <d v="2023-09-01T00:00:00"/>
    <n v="40"/>
    <x v="2"/>
  </r>
  <r>
    <x v="0"/>
    <x v="4"/>
    <n v="27"/>
    <x v="26"/>
    <d v="2023-09-01T00:00:00"/>
    <n v="49"/>
    <x v="3"/>
  </r>
  <r>
    <x v="0"/>
    <x v="4"/>
    <n v="27"/>
    <x v="26"/>
    <d v="2023-09-01T00:00:00"/>
    <n v="22"/>
    <x v="4"/>
  </r>
  <r>
    <x v="0"/>
    <x v="4"/>
    <n v="27"/>
    <x v="26"/>
    <d v="2023-09-01T00:00:00"/>
    <n v="17"/>
    <x v="5"/>
  </r>
  <r>
    <x v="0"/>
    <x v="4"/>
    <n v="27"/>
    <x v="26"/>
    <d v="2023-09-01T00:00:00"/>
    <n v="0"/>
    <x v="6"/>
  </r>
  <r>
    <x v="0"/>
    <x v="4"/>
    <n v="27"/>
    <x v="26"/>
    <d v="2023-09-01T00:00:00"/>
    <n v="0"/>
    <x v="7"/>
  </r>
  <r>
    <x v="0"/>
    <x v="4"/>
    <n v="27"/>
    <x v="26"/>
    <d v="2023-09-01T00:00:00"/>
    <n v="0"/>
    <x v="8"/>
  </r>
  <r>
    <x v="0"/>
    <x v="4"/>
    <n v="27"/>
    <x v="26"/>
    <d v="2023-09-01T00:00:00"/>
    <n v="0"/>
    <x v="9"/>
  </r>
  <r>
    <x v="0"/>
    <x v="4"/>
    <n v="27"/>
    <x v="26"/>
    <d v="2023-09-01T00:00:00"/>
    <n v="0"/>
    <x v="10"/>
  </r>
  <r>
    <x v="0"/>
    <x v="4"/>
    <n v="27"/>
    <x v="26"/>
    <d v="2023-09-01T00:00:00"/>
    <n v="-169"/>
    <x v="11"/>
  </r>
  <r>
    <x v="0"/>
    <x v="4"/>
    <n v="27"/>
    <x v="26"/>
    <d v="2023-09-01T00:00:00"/>
    <n v="0"/>
    <x v="12"/>
  </r>
  <r>
    <x v="0"/>
    <x v="5"/>
    <n v="1"/>
    <x v="3"/>
    <d v="2023-09-01T00:00:00"/>
    <n v="83734"/>
    <x v="0"/>
  </r>
  <r>
    <x v="0"/>
    <x v="5"/>
    <n v="1"/>
    <x v="3"/>
    <d v="2023-09-01T00:00:00"/>
    <n v="86240.8"/>
    <x v="1"/>
  </r>
  <r>
    <x v="0"/>
    <x v="5"/>
    <n v="1"/>
    <x v="3"/>
    <d v="2023-09-01T00:00:00"/>
    <n v="92032.888000000006"/>
    <x v="2"/>
  </r>
  <r>
    <x v="0"/>
    <x v="5"/>
    <n v="1"/>
    <x v="3"/>
    <d v="2023-09-01T00:00:00"/>
    <n v="91291"/>
    <x v="3"/>
  </r>
  <r>
    <x v="0"/>
    <x v="5"/>
    <n v="1"/>
    <x v="3"/>
    <d v="2023-09-01T00:00:00"/>
    <n v="87000"/>
    <x v="4"/>
  </r>
  <r>
    <x v="0"/>
    <x v="5"/>
    <n v="1"/>
    <x v="3"/>
    <d v="2023-09-01T00:00:00"/>
    <n v="88043.308999999994"/>
    <x v="5"/>
  </r>
  <r>
    <x v="0"/>
    <x v="5"/>
    <n v="1"/>
    <x v="3"/>
    <d v="2023-09-01T00:00:00"/>
    <n v="94198.683655615794"/>
    <x v="6"/>
  </r>
  <r>
    <x v="0"/>
    <x v="5"/>
    <n v="1"/>
    <x v="3"/>
    <d v="2023-09-01T00:00:00"/>
    <n v="91374.785367470802"/>
    <x v="7"/>
  </r>
  <r>
    <x v="0"/>
    <x v="5"/>
    <n v="1"/>
    <x v="3"/>
    <d v="2023-09-01T00:00:00"/>
    <n v="90719.263991615298"/>
    <x v="8"/>
  </r>
  <r>
    <x v="0"/>
    <x v="5"/>
    <n v="1"/>
    <x v="3"/>
    <d v="2023-09-01T00:00:00"/>
    <n v="91022.454140780101"/>
    <x v="9"/>
  </r>
  <r>
    <x v="0"/>
    <x v="5"/>
    <n v="1"/>
    <x v="3"/>
    <d v="2023-09-01T00:00:00"/>
    <n v="88872.094386088196"/>
    <x v="10"/>
  </r>
  <r>
    <x v="0"/>
    <x v="5"/>
    <n v="1"/>
    <x v="3"/>
    <d v="2023-09-01T00:00:00"/>
    <n v="113423.465244466"/>
    <x v="11"/>
  </r>
  <r>
    <x v="0"/>
    <x v="5"/>
    <n v="1"/>
    <x v="3"/>
    <d v="2023-09-01T00:00:00"/>
    <n v="1097952.74378604"/>
    <x v="12"/>
  </r>
  <r>
    <x v="0"/>
    <x v="5"/>
    <n v="2"/>
    <x v="4"/>
    <d v="2023-09-01T00:00:00"/>
    <n v="0"/>
    <x v="0"/>
  </r>
  <r>
    <x v="0"/>
    <x v="5"/>
    <n v="2"/>
    <x v="4"/>
    <d v="2023-09-01T00:00:00"/>
    <n v="0"/>
    <x v="1"/>
  </r>
  <r>
    <x v="0"/>
    <x v="5"/>
    <n v="2"/>
    <x v="4"/>
    <d v="2023-09-01T00:00:00"/>
    <n v="0"/>
    <x v="2"/>
  </r>
  <r>
    <x v="0"/>
    <x v="5"/>
    <n v="2"/>
    <x v="4"/>
    <d v="2023-09-01T00:00:00"/>
    <n v="247"/>
    <x v="3"/>
  </r>
  <r>
    <x v="0"/>
    <x v="5"/>
    <n v="2"/>
    <x v="4"/>
    <d v="2023-09-01T00:00:00"/>
    <n v="0"/>
    <x v="4"/>
  </r>
  <r>
    <x v="0"/>
    <x v="5"/>
    <n v="2"/>
    <x v="4"/>
    <d v="2023-09-01T00:00:00"/>
    <n v="0"/>
    <x v="5"/>
  </r>
  <r>
    <x v="0"/>
    <x v="5"/>
    <n v="2"/>
    <x v="4"/>
    <d v="2023-09-01T00:00:00"/>
    <n v="66"/>
    <x v="6"/>
  </r>
  <r>
    <x v="0"/>
    <x v="5"/>
    <n v="2"/>
    <x v="4"/>
    <d v="2023-09-01T00:00:00"/>
    <n v="66"/>
    <x v="7"/>
  </r>
  <r>
    <x v="0"/>
    <x v="5"/>
    <n v="2"/>
    <x v="4"/>
    <d v="2023-09-01T00:00:00"/>
    <n v="66"/>
    <x v="8"/>
  </r>
  <r>
    <x v="0"/>
    <x v="5"/>
    <n v="2"/>
    <x v="4"/>
    <d v="2023-09-01T00:00:00"/>
    <n v="66"/>
    <x v="9"/>
  </r>
  <r>
    <x v="0"/>
    <x v="5"/>
    <n v="2"/>
    <x v="4"/>
    <d v="2023-09-01T00:00:00"/>
    <n v="66"/>
    <x v="10"/>
  </r>
  <r>
    <x v="0"/>
    <x v="5"/>
    <n v="2"/>
    <x v="4"/>
    <d v="2023-09-01T00:00:00"/>
    <n v="17"/>
    <x v="11"/>
  </r>
  <r>
    <x v="0"/>
    <x v="5"/>
    <n v="2"/>
    <x v="4"/>
    <d v="2023-09-01T00:00:00"/>
    <n v="594"/>
    <x v="12"/>
  </r>
  <r>
    <x v="0"/>
    <x v="5"/>
    <n v="3"/>
    <x v="5"/>
    <d v="2023-09-01T00:00:00"/>
    <n v="2547"/>
    <x v="0"/>
  </r>
  <r>
    <x v="0"/>
    <x v="5"/>
    <n v="3"/>
    <x v="5"/>
    <d v="2023-09-01T00:00:00"/>
    <n v="2663"/>
    <x v="1"/>
  </r>
  <r>
    <x v="0"/>
    <x v="5"/>
    <n v="3"/>
    <x v="5"/>
    <d v="2023-09-01T00:00:00"/>
    <n v="2980"/>
    <x v="2"/>
  </r>
  <r>
    <x v="0"/>
    <x v="5"/>
    <n v="3"/>
    <x v="5"/>
    <d v="2023-09-01T00:00:00"/>
    <n v="3255"/>
    <x v="3"/>
  </r>
  <r>
    <x v="0"/>
    <x v="5"/>
    <n v="3"/>
    <x v="5"/>
    <d v="2023-09-01T00:00:00"/>
    <n v="3353"/>
    <x v="4"/>
  </r>
  <r>
    <x v="0"/>
    <x v="5"/>
    <n v="3"/>
    <x v="5"/>
    <d v="2023-09-01T00:00:00"/>
    <n v="2624"/>
    <x v="5"/>
  </r>
  <r>
    <x v="0"/>
    <x v="5"/>
    <n v="3"/>
    <x v="5"/>
    <d v="2023-09-01T00:00:00"/>
    <n v="2852"/>
    <x v="6"/>
  </r>
  <r>
    <x v="0"/>
    <x v="5"/>
    <n v="3"/>
    <x v="5"/>
    <d v="2023-09-01T00:00:00"/>
    <n v="3094"/>
    <x v="7"/>
  </r>
  <r>
    <x v="0"/>
    <x v="5"/>
    <n v="3"/>
    <x v="5"/>
    <d v="2023-09-01T00:00:00"/>
    <n v="3112"/>
    <x v="8"/>
  </r>
  <r>
    <x v="0"/>
    <x v="5"/>
    <n v="3"/>
    <x v="5"/>
    <d v="2023-09-01T00:00:00"/>
    <n v="3107"/>
    <x v="9"/>
  </r>
  <r>
    <x v="0"/>
    <x v="5"/>
    <n v="3"/>
    <x v="5"/>
    <d v="2023-09-01T00:00:00"/>
    <n v="3081"/>
    <x v="10"/>
  </r>
  <r>
    <x v="0"/>
    <x v="5"/>
    <n v="3"/>
    <x v="5"/>
    <d v="2023-09-01T00:00:00"/>
    <n v="3145"/>
    <x v="11"/>
  </r>
  <r>
    <x v="0"/>
    <x v="5"/>
    <n v="3"/>
    <x v="5"/>
    <d v="2023-09-01T00:00:00"/>
    <n v="35813"/>
    <x v="12"/>
  </r>
  <r>
    <x v="0"/>
    <x v="5"/>
    <n v="4"/>
    <x v="6"/>
    <d v="2023-09-01T00:00:00"/>
    <n v="205"/>
    <x v="0"/>
  </r>
  <r>
    <x v="0"/>
    <x v="5"/>
    <n v="4"/>
    <x v="6"/>
    <d v="2023-09-01T00:00:00"/>
    <n v="279"/>
    <x v="1"/>
  </r>
  <r>
    <x v="0"/>
    <x v="5"/>
    <n v="4"/>
    <x v="6"/>
    <d v="2023-09-01T00:00:00"/>
    <n v="238"/>
    <x v="2"/>
  </r>
  <r>
    <x v="0"/>
    <x v="5"/>
    <n v="4"/>
    <x v="6"/>
    <d v="2023-09-01T00:00:00"/>
    <n v="330"/>
    <x v="3"/>
  </r>
  <r>
    <x v="0"/>
    <x v="5"/>
    <n v="4"/>
    <x v="6"/>
    <d v="2023-09-01T00:00:00"/>
    <n v="262"/>
    <x v="4"/>
  </r>
  <r>
    <x v="0"/>
    <x v="5"/>
    <n v="4"/>
    <x v="6"/>
    <d v="2023-09-01T00:00:00"/>
    <n v="269"/>
    <x v="5"/>
  </r>
  <r>
    <x v="0"/>
    <x v="5"/>
    <n v="4"/>
    <x v="6"/>
    <d v="2023-09-01T00:00:00"/>
    <n v="287"/>
    <x v="6"/>
  </r>
  <r>
    <x v="0"/>
    <x v="5"/>
    <n v="4"/>
    <x v="6"/>
    <d v="2023-09-01T00:00:00"/>
    <n v="287"/>
    <x v="7"/>
  </r>
  <r>
    <x v="0"/>
    <x v="5"/>
    <n v="4"/>
    <x v="6"/>
    <d v="2023-09-01T00:00:00"/>
    <n v="287"/>
    <x v="8"/>
  </r>
  <r>
    <x v="0"/>
    <x v="5"/>
    <n v="4"/>
    <x v="6"/>
    <d v="2023-09-01T00:00:00"/>
    <n v="287"/>
    <x v="9"/>
  </r>
  <r>
    <x v="0"/>
    <x v="5"/>
    <n v="4"/>
    <x v="6"/>
    <d v="2023-09-01T00:00:00"/>
    <n v="287"/>
    <x v="10"/>
  </r>
  <r>
    <x v="0"/>
    <x v="5"/>
    <n v="4"/>
    <x v="6"/>
    <d v="2023-09-01T00:00:00"/>
    <n v="287"/>
    <x v="11"/>
  </r>
  <r>
    <x v="0"/>
    <x v="5"/>
    <n v="4"/>
    <x v="6"/>
    <d v="2023-09-01T00:00:00"/>
    <n v="3305"/>
    <x v="12"/>
  </r>
  <r>
    <x v="0"/>
    <x v="5"/>
    <n v="5"/>
    <x v="7"/>
    <d v="2023-09-01T00:00:00"/>
    <n v="170"/>
    <x v="0"/>
  </r>
  <r>
    <x v="0"/>
    <x v="5"/>
    <n v="5"/>
    <x v="7"/>
    <d v="2023-09-01T00:00:00"/>
    <n v="140"/>
    <x v="1"/>
  </r>
  <r>
    <x v="0"/>
    <x v="5"/>
    <n v="5"/>
    <x v="7"/>
    <d v="2023-09-01T00:00:00"/>
    <n v="188"/>
    <x v="2"/>
  </r>
  <r>
    <x v="0"/>
    <x v="5"/>
    <n v="5"/>
    <x v="7"/>
    <d v="2023-09-01T00:00:00"/>
    <n v="144"/>
    <x v="3"/>
  </r>
  <r>
    <x v="0"/>
    <x v="5"/>
    <n v="5"/>
    <x v="7"/>
    <d v="2023-09-01T00:00:00"/>
    <n v="167"/>
    <x v="4"/>
  </r>
  <r>
    <x v="0"/>
    <x v="5"/>
    <n v="5"/>
    <x v="7"/>
    <d v="2023-09-01T00:00:00"/>
    <n v="116"/>
    <x v="5"/>
  </r>
  <r>
    <x v="0"/>
    <x v="5"/>
    <n v="5"/>
    <x v="7"/>
    <d v="2023-09-01T00:00:00"/>
    <n v="154.166666666667"/>
    <x v="6"/>
  </r>
  <r>
    <x v="0"/>
    <x v="5"/>
    <n v="5"/>
    <x v="7"/>
    <d v="2023-09-01T00:00:00"/>
    <n v="154.166666666667"/>
    <x v="7"/>
  </r>
  <r>
    <x v="0"/>
    <x v="5"/>
    <n v="5"/>
    <x v="7"/>
    <d v="2023-09-01T00:00:00"/>
    <n v="154.166666666667"/>
    <x v="8"/>
  </r>
  <r>
    <x v="0"/>
    <x v="5"/>
    <n v="5"/>
    <x v="7"/>
    <d v="2023-09-01T00:00:00"/>
    <n v="154.166666666667"/>
    <x v="9"/>
  </r>
  <r>
    <x v="0"/>
    <x v="5"/>
    <n v="5"/>
    <x v="7"/>
    <d v="2023-09-01T00:00:00"/>
    <n v="154.166666666667"/>
    <x v="10"/>
  </r>
  <r>
    <x v="0"/>
    <x v="5"/>
    <n v="5"/>
    <x v="7"/>
    <d v="2023-09-01T00:00:00"/>
    <n v="154.166666666667"/>
    <x v="11"/>
  </r>
  <r>
    <x v="0"/>
    <x v="5"/>
    <n v="5"/>
    <x v="7"/>
    <d v="2023-09-01T00:00:00"/>
    <n v="1850"/>
    <x v="12"/>
  </r>
  <r>
    <x v="0"/>
    <x v="5"/>
    <n v="6"/>
    <x v="8"/>
    <d v="2023-09-01T00:00:00"/>
    <n v="2449"/>
    <x v="0"/>
  </r>
  <r>
    <x v="0"/>
    <x v="5"/>
    <n v="6"/>
    <x v="8"/>
    <d v="2023-09-01T00:00:00"/>
    <n v="2406"/>
    <x v="1"/>
  </r>
  <r>
    <x v="0"/>
    <x v="5"/>
    <n v="6"/>
    <x v="8"/>
    <d v="2023-09-01T00:00:00"/>
    <n v="2051"/>
    <x v="2"/>
  </r>
  <r>
    <x v="0"/>
    <x v="5"/>
    <n v="6"/>
    <x v="8"/>
    <d v="2023-09-01T00:00:00"/>
    <n v="2586"/>
    <x v="3"/>
  </r>
  <r>
    <x v="0"/>
    <x v="5"/>
    <n v="6"/>
    <x v="8"/>
    <d v="2023-09-01T00:00:00"/>
    <n v="3079"/>
    <x v="4"/>
  </r>
  <r>
    <x v="0"/>
    <x v="5"/>
    <n v="6"/>
    <x v="8"/>
    <d v="2023-09-01T00:00:00"/>
    <n v="2358"/>
    <x v="5"/>
  </r>
  <r>
    <x v="0"/>
    <x v="5"/>
    <n v="6"/>
    <x v="8"/>
    <d v="2023-09-01T00:00:00"/>
    <n v="2505"/>
    <x v="6"/>
  </r>
  <r>
    <x v="0"/>
    <x v="5"/>
    <n v="6"/>
    <x v="8"/>
    <d v="2023-09-01T00:00:00"/>
    <n v="2422"/>
    <x v="7"/>
  </r>
  <r>
    <x v="0"/>
    <x v="5"/>
    <n v="6"/>
    <x v="8"/>
    <d v="2023-09-01T00:00:00"/>
    <n v="2473"/>
    <x v="8"/>
  </r>
  <r>
    <x v="0"/>
    <x v="5"/>
    <n v="6"/>
    <x v="8"/>
    <d v="2023-09-01T00:00:00"/>
    <n v="2472"/>
    <x v="9"/>
  </r>
  <r>
    <x v="0"/>
    <x v="5"/>
    <n v="6"/>
    <x v="8"/>
    <d v="2023-09-01T00:00:00"/>
    <n v="2476"/>
    <x v="10"/>
  </r>
  <r>
    <x v="0"/>
    <x v="5"/>
    <n v="6"/>
    <x v="8"/>
    <d v="2023-09-01T00:00:00"/>
    <n v="2477"/>
    <x v="11"/>
  </r>
  <r>
    <x v="0"/>
    <x v="5"/>
    <n v="6"/>
    <x v="8"/>
    <d v="2023-09-01T00:00:00"/>
    <n v="29754"/>
    <x v="12"/>
  </r>
  <r>
    <x v="0"/>
    <x v="5"/>
    <n v="7"/>
    <x v="9"/>
    <d v="2023-09-01T00:00:00"/>
    <n v="89105"/>
    <x v="0"/>
  </r>
  <r>
    <x v="0"/>
    <x v="5"/>
    <n v="7"/>
    <x v="9"/>
    <d v="2023-09-01T00:00:00"/>
    <n v="91728.8"/>
    <x v="1"/>
  </r>
  <r>
    <x v="0"/>
    <x v="5"/>
    <n v="7"/>
    <x v="9"/>
    <d v="2023-09-01T00:00:00"/>
    <n v="97489.888000000006"/>
    <x v="2"/>
  </r>
  <r>
    <x v="0"/>
    <x v="5"/>
    <n v="7"/>
    <x v="9"/>
    <d v="2023-09-01T00:00:00"/>
    <n v="97853"/>
    <x v="3"/>
  </r>
  <r>
    <x v="0"/>
    <x v="5"/>
    <n v="7"/>
    <x v="9"/>
    <d v="2023-09-01T00:00:00"/>
    <n v="93861"/>
    <x v="4"/>
  </r>
  <r>
    <x v="0"/>
    <x v="5"/>
    <n v="7"/>
    <x v="9"/>
    <d v="2023-09-01T00:00:00"/>
    <n v="93410.308999999994"/>
    <x v="5"/>
  </r>
  <r>
    <x v="0"/>
    <x v="5"/>
    <n v="7"/>
    <x v="9"/>
    <d v="2023-09-01T00:00:00"/>
    <n v="100062.850322282"/>
    <x v="6"/>
  </r>
  <r>
    <x v="0"/>
    <x v="5"/>
    <n v="7"/>
    <x v="9"/>
    <d v="2023-09-01T00:00:00"/>
    <n v="97397.952034137503"/>
    <x v="7"/>
  </r>
  <r>
    <x v="0"/>
    <x v="5"/>
    <n v="7"/>
    <x v="9"/>
    <d v="2023-09-01T00:00:00"/>
    <n v="96811.430658281999"/>
    <x v="8"/>
  </r>
  <r>
    <x v="0"/>
    <x v="5"/>
    <n v="7"/>
    <x v="9"/>
    <d v="2023-09-01T00:00:00"/>
    <n v="97108.620807446801"/>
    <x v="9"/>
  </r>
  <r>
    <x v="0"/>
    <x v="5"/>
    <n v="7"/>
    <x v="9"/>
    <d v="2023-09-01T00:00:00"/>
    <n v="94936.261052754897"/>
    <x v="10"/>
  </r>
  <r>
    <x v="0"/>
    <x v="5"/>
    <n v="7"/>
    <x v="9"/>
    <d v="2023-09-01T00:00:00"/>
    <n v="119503.63191113299"/>
    <x v="11"/>
  </r>
  <r>
    <x v="0"/>
    <x v="5"/>
    <n v="7"/>
    <x v="9"/>
    <d v="2023-09-01T00:00:00"/>
    <n v="1169268.74378604"/>
    <x v="12"/>
  </r>
  <r>
    <x v="0"/>
    <x v="5"/>
    <n v="8"/>
    <x v="11"/>
    <d v="2023-09-01T00:00:00"/>
    <n v="11348"/>
    <x v="0"/>
  </r>
  <r>
    <x v="0"/>
    <x v="5"/>
    <n v="8"/>
    <x v="11"/>
    <d v="2023-09-01T00:00:00"/>
    <n v="10645"/>
    <x v="1"/>
  </r>
  <r>
    <x v="0"/>
    <x v="5"/>
    <n v="8"/>
    <x v="11"/>
    <d v="2023-09-01T00:00:00"/>
    <n v="11425"/>
    <x v="2"/>
  </r>
  <r>
    <x v="0"/>
    <x v="5"/>
    <n v="8"/>
    <x v="11"/>
    <d v="2023-09-01T00:00:00"/>
    <n v="11016"/>
    <x v="3"/>
  </r>
  <r>
    <x v="0"/>
    <x v="5"/>
    <n v="8"/>
    <x v="11"/>
    <d v="2023-09-01T00:00:00"/>
    <n v="10808"/>
    <x v="4"/>
  </r>
  <r>
    <x v="0"/>
    <x v="5"/>
    <n v="8"/>
    <x v="11"/>
    <d v="2023-09-01T00:00:00"/>
    <n v="10743"/>
    <x v="5"/>
  </r>
  <r>
    <x v="0"/>
    <x v="5"/>
    <n v="8"/>
    <x v="11"/>
    <d v="2023-09-01T00:00:00"/>
    <n v="13401"/>
    <x v="6"/>
  </r>
  <r>
    <x v="0"/>
    <x v="5"/>
    <n v="8"/>
    <x v="11"/>
    <d v="2023-09-01T00:00:00"/>
    <n v="11997"/>
    <x v="7"/>
  </r>
  <r>
    <x v="0"/>
    <x v="5"/>
    <n v="8"/>
    <x v="11"/>
    <d v="2023-09-01T00:00:00"/>
    <n v="11731"/>
    <x v="8"/>
  </r>
  <r>
    <x v="0"/>
    <x v="5"/>
    <n v="8"/>
    <x v="11"/>
    <d v="2023-09-01T00:00:00"/>
    <n v="11729"/>
    <x v="9"/>
  </r>
  <r>
    <x v="0"/>
    <x v="5"/>
    <n v="8"/>
    <x v="11"/>
    <d v="2023-09-01T00:00:00"/>
    <n v="11137"/>
    <x v="10"/>
  </r>
  <r>
    <x v="0"/>
    <x v="5"/>
    <n v="8"/>
    <x v="11"/>
    <d v="2023-09-01T00:00:00"/>
    <n v="11329"/>
    <x v="11"/>
  </r>
  <r>
    <x v="0"/>
    <x v="5"/>
    <n v="8"/>
    <x v="11"/>
    <d v="2023-09-01T00:00:00"/>
    <n v="137309"/>
    <x v="12"/>
  </r>
  <r>
    <x v="0"/>
    <x v="5"/>
    <n v="9"/>
    <x v="10"/>
    <d v="2023-09-01T00:00:00"/>
    <n v="6767"/>
    <x v="0"/>
  </r>
  <r>
    <x v="0"/>
    <x v="5"/>
    <n v="9"/>
    <x v="10"/>
    <d v="2023-09-01T00:00:00"/>
    <n v="7453"/>
    <x v="1"/>
  </r>
  <r>
    <x v="0"/>
    <x v="5"/>
    <n v="9"/>
    <x v="10"/>
    <d v="2023-09-01T00:00:00"/>
    <n v="7830"/>
    <x v="2"/>
  </r>
  <r>
    <x v="0"/>
    <x v="5"/>
    <n v="9"/>
    <x v="10"/>
    <d v="2023-09-01T00:00:00"/>
    <n v="8092"/>
    <x v="3"/>
  </r>
  <r>
    <x v="0"/>
    <x v="5"/>
    <n v="9"/>
    <x v="10"/>
    <d v="2023-09-01T00:00:00"/>
    <n v="7995"/>
    <x v="4"/>
  </r>
  <r>
    <x v="0"/>
    <x v="5"/>
    <n v="9"/>
    <x v="10"/>
    <d v="2023-09-01T00:00:00"/>
    <n v="7834"/>
    <x v="5"/>
  </r>
  <r>
    <x v="0"/>
    <x v="5"/>
    <n v="9"/>
    <x v="10"/>
    <d v="2023-09-01T00:00:00"/>
    <n v="7825"/>
    <x v="6"/>
  </r>
  <r>
    <x v="0"/>
    <x v="5"/>
    <n v="9"/>
    <x v="10"/>
    <d v="2023-09-01T00:00:00"/>
    <n v="7992"/>
    <x v="7"/>
  </r>
  <r>
    <x v="0"/>
    <x v="5"/>
    <n v="9"/>
    <x v="10"/>
    <d v="2023-09-01T00:00:00"/>
    <n v="7612"/>
    <x v="8"/>
  </r>
  <r>
    <x v="0"/>
    <x v="5"/>
    <n v="9"/>
    <x v="10"/>
    <d v="2023-09-01T00:00:00"/>
    <n v="8228"/>
    <x v="9"/>
  </r>
  <r>
    <x v="0"/>
    <x v="5"/>
    <n v="9"/>
    <x v="10"/>
    <d v="2023-09-01T00:00:00"/>
    <n v="7447"/>
    <x v="10"/>
  </r>
  <r>
    <x v="0"/>
    <x v="5"/>
    <n v="9"/>
    <x v="10"/>
    <d v="2023-09-01T00:00:00"/>
    <n v="7189"/>
    <x v="11"/>
  </r>
  <r>
    <x v="0"/>
    <x v="5"/>
    <n v="9"/>
    <x v="10"/>
    <d v="2023-09-01T00:00:00"/>
    <n v="92264"/>
    <x v="12"/>
  </r>
  <r>
    <x v="0"/>
    <x v="5"/>
    <n v="10"/>
    <x v="0"/>
    <d v="2023-09-01T00:00:00"/>
    <n v="46474"/>
    <x v="0"/>
  </r>
  <r>
    <x v="0"/>
    <x v="5"/>
    <n v="10"/>
    <x v="0"/>
    <d v="2023-09-01T00:00:00"/>
    <n v="48556"/>
    <x v="1"/>
  </r>
  <r>
    <x v="0"/>
    <x v="5"/>
    <n v="10"/>
    <x v="0"/>
    <d v="2023-09-01T00:00:00"/>
    <n v="57388"/>
    <x v="2"/>
  </r>
  <r>
    <x v="0"/>
    <x v="5"/>
    <n v="10"/>
    <x v="0"/>
    <d v="2023-09-01T00:00:00"/>
    <n v="52889"/>
    <x v="3"/>
  </r>
  <r>
    <x v="0"/>
    <x v="5"/>
    <n v="10"/>
    <x v="0"/>
    <d v="2023-09-01T00:00:00"/>
    <n v="49010"/>
    <x v="4"/>
  </r>
  <r>
    <x v="0"/>
    <x v="5"/>
    <n v="10"/>
    <x v="0"/>
    <d v="2023-09-01T00:00:00"/>
    <n v="47997"/>
    <x v="5"/>
  </r>
  <r>
    <x v="0"/>
    <x v="5"/>
    <n v="10"/>
    <x v="0"/>
    <d v="2023-09-01T00:00:00"/>
    <n v="48284"/>
    <x v="6"/>
  </r>
  <r>
    <x v="0"/>
    <x v="5"/>
    <n v="10"/>
    <x v="0"/>
    <d v="2023-09-01T00:00:00"/>
    <n v="47903"/>
    <x v="7"/>
  </r>
  <r>
    <x v="0"/>
    <x v="5"/>
    <n v="10"/>
    <x v="0"/>
    <d v="2023-09-01T00:00:00"/>
    <n v="47676"/>
    <x v="8"/>
  </r>
  <r>
    <x v="0"/>
    <x v="5"/>
    <n v="10"/>
    <x v="0"/>
    <d v="2023-09-01T00:00:00"/>
    <n v="47537"/>
    <x v="9"/>
  </r>
  <r>
    <x v="0"/>
    <x v="5"/>
    <n v="10"/>
    <x v="0"/>
    <d v="2023-09-01T00:00:00"/>
    <n v="47341"/>
    <x v="10"/>
  </r>
  <r>
    <x v="0"/>
    <x v="5"/>
    <n v="10"/>
    <x v="0"/>
    <d v="2023-09-01T00:00:00"/>
    <n v="47431"/>
    <x v="11"/>
  </r>
  <r>
    <x v="0"/>
    <x v="5"/>
    <n v="10"/>
    <x v="0"/>
    <d v="2023-09-01T00:00:00"/>
    <n v="588486"/>
    <x v="12"/>
  </r>
  <r>
    <x v="0"/>
    <x v="5"/>
    <n v="11"/>
    <x v="1"/>
    <d v="2023-09-01T00:00:00"/>
    <n v="8963"/>
    <x v="0"/>
  </r>
  <r>
    <x v="0"/>
    <x v="5"/>
    <n v="11"/>
    <x v="1"/>
    <d v="2023-09-01T00:00:00"/>
    <n v="9363"/>
    <x v="1"/>
  </r>
  <r>
    <x v="0"/>
    <x v="5"/>
    <n v="11"/>
    <x v="1"/>
    <d v="2023-09-01T00:00:00"/>
    <n v="9508"/>
    <x v="2"/>
  </r>
  <r>
    <x v="0"/>
    <x v="5"/>
    <n v="11"/>
    <x v="1"/>
    <d v="2023-09-01T00:00:00"/>
    <n v="10181"/>
    <x v="3"/>
  </r>
  <r>
    <x v="0"/>
    <x v="5"/>
    <n v="11"/>
    <x v="1"/>
    <d v="2023-09-01T00:00:00"/>
    <n v="9552"/>
    <x v="4"/>
  </r>
  <r>
    <x v="0"/>
    <x v="5"/>
    <n v="11"/>
    <x v="1"/>
    <d v="2023-09-01T00:00:00"/>
    <n v="9226"/>
    <x v="5"/>
  </r>
  <r>
    <x v="0"/>
    <x v="5"/>
    <n v="11"/>
    <x v="1"/>
    <d v="2023-09-01T00:00:00"/>
    <n v="9746"/>
    <x v="6"/>
  </r>
  <r>
    <x v="0"/>
    <x v="5"/>
    <n v="11"/>
    <x v="1"/>
    <d v="2023-09-01T00:00:00"/>
    <n v="7721"/>
    <x v="7"/>
  </r>
  <r>
    <x v="0"/>
    <x v="5"/>
    <n v="11"/>
    <x v="1"/>
    <d v="2023-09-01T00:00:00"/>
    <n v="7641"/>
    <x v="8"/>
  </r>
  <r>
    <x v="0"/>
    <x v="5"/>
    <n v="11"/>
    <x v="1"/>
    <d v="2023-09-01T00:00:00"/>
    <n v="7500"/>
    <x v="9"/>
  </r>
  <r>
    <x v="0"/>
    <x v="5"/>
    <n v="11"/>
    <x v="1"/>
    <d v="2023-09-01T00:00:00"/>
    <n v="7650"/>
    <x v="10"/>
  </r>
  <r>
    <x v="0"/>
    <x v="5"/>
    <n v="11"/>
    <x v="1"/>
    <d v="2023-09-01T00:00:00"/>
    <n v="12213"/>
    <x v="11"/>
  </r>
  <r>
    <x v="0"/>
    <x v="5"/>
    <n v="11"/>
    <x v="1"/>
    <d v="2023-09-01T00:00:00"/>
    <n v="109264"/>
    <x v="12"/>
  </r>
  <r>
    <x v="0"/>
    <x v="5"/>
    <n v="12"/>
    <x v="2"/>
    <d v="2023-09-01T00:00:00"/>
    <n v="4718"/>
    <x v="0"/>
  </r>
  <r>
    <x v="0"/>
    <x v="5"/>
    <n v="12"/>
    <x v="2"/>
    <d v="2023-09-01T00:00:00"/>
    <n v="4844"/>
    <x v="1"/>
  </r>
  <r>
    <x v="0"/>
    <x v="5"/>
    <n v="12"/>
    <x v="2"/>
    <d v="2023-09-01T00:00:00"/>
    <n v="5158"/>
    <x v="2"/>
  </r>
  <r>
    <x v="0"/>
    <x v="5"/>
    <n v="12"/>
    <x v="2"/>
    <d v="2023-09-01T00:00:00"/>
    <n v="4755"/>
    <x v="3"/>
  </r>
  <r>
    <x v="0"/>
    <x v="5"/>
    <n v="12"/>
    <x v="2"/>
    <d v="2023-09-01T00:00:00"/>
    <n v="4988"/>
    <x v="4"/>
  </r>
  <r>
    <x v="0"/>
    <x v="5"/>
    <n v="12"/>
    <x v="2"/>
    <d v="2023-09-01T00:00:00"/>
    <n v="5355"/>
    <x v="5"/>
  </r>
  <r>
    <x v="0"/>
    <x v="5"/>
    <n v="12"/>
    <x v="2"/>
    <d v="2023-09-01T00:00:00"/>
    <n v="5402"/>
    <x v="6"/>
  </r>
  <r>
    <x v="0"/>
    <x v="5"/>
    <n v="12"/>
    <x v="2"/>
    <d v="2023-09-01T00:00:00"/>
    <n v="4800"/>
    <x v="7"/>
  </r>
  <r>
    <x v="0"/>
    <x v="5"/>
    <n v="12"/>
    <x v="2"/>
    <d v="2023-09-01T00:00:00"/>
    <n v="4667"/>
    <x v="8"/>
  </r>
  <r>
    <x v="0"/>
    <x v="5"/>
    <n v="12"/>
    <x v="2"/>
    <d v="2023-09-01T00:00:00"/>
    <n v="4676"/>
    <x v="9"/>
  </r>
  <r>
    <x v="0"/>
    <x v="5"/>
    <n v="12"/>
    <x v="2"/>
    <d v="2023-09-01T00:00:00"/>
    <n v="4685"/>
    <x v="10"/>
  </r>
  <r>
    <x v="0"/>
    <x v="5"/>
    <n v="12"/>
    <x v="2"/>
    <d v="2023-09-01T00:00:00"/>
    <n v="4626"/>
    <x v="11"/>
  </r>
  <r>
    <x v="0"/>
    <x v="5"/>
    <n v="12"/>
    <x v="2"/>
    <d v="2023-09-01T00:00:00"/>
    <n v="58674"/>
    <x v="12"/>
  </r>
  <r>
    <x v="0"/>
    <x v="5"/>
    <n v="13"/>
    <x v="12"/>
    <d v="2023-09-01T00:00:00"/>
    <n v="15430"/>
    <x v="0"/>
  </r>
  <r>
    <x v="0"/>
    <x v="5"/>
    <n v="13"/>
    <x v="12"/>
    <d v="2023-09-01T00:00:00"/>
    <n v="15691"/>
    <x v="1"/>
  </r>
  <r>
    <x v="0"/>
    <x v="5"/>
    <n v="13"/>
    <x v="12"/>
    <d v="2023-09-01T00:00:00"/>
    <n v="15625"/>
    <x v="2"/>
  </r>
  <r>
    <x v="0"/>
    <x v="5"/>
    <n v="13"/>
    <x v="12"/>
    <d v="2023-09-01T00:00:00"/>
    <n v="15472"/>
    <x v="3"/>
  </r>
  <r>
    <x v="0"/>
    <x v="5"/>
    <n v="13"/>
    <x v="12"/>
    <d v="2023-09-01T00:00:00"/>
    <n v="15568"/>
    <x v="4"/>
  </r>
  <r>
    <x v="0"/>
    <x v="5"/>
    <n v="13"/>
    <x v="12"/>
    <d v="2023-09-01T00:00:00"/>
    <n v="15939"/>
    <x v="5"/>
  </r>
  <r>
    <x v="0"/>
    <x v="5"/>
    <n v="13"/>
    <x v="12"/>
    <d v="2023-09-01T00:00:00"/>
    <n v="15315"/>
    <x v="6"/>
  </r>
  <r>
    <x v="0"/>
    <x v="5"/>
    <n v="13"/>
    <x v="12"/>
    <d v="2023-09-01T00:00:00"/>
    <n v="15461"/>
    <x v="7"/>
  </r>
  <r>
    <x v="0"/>
    <x v="5"/>
    <n v="13"/>
    <x v="12"/>
    <d v="2023-09-01T00:00:00"/>
    <n v="15451"/>
    <x v="8"/>
  </r>
  <r>
    <x v="0"/>
    <x v="5"/>
    <n v="13"/>
    <x v="12"/>
    <d v="2023-09-01T00:00:00"/>
    <n v="15493"/>
    <x v="9"/>
  </r>
  <r>
    <x v="0"/>
    <x v="5"/>
    <n v="13"/>
    <x v="12"/>
    <d v="2023-09-01T00:00:00"/>
    <n v="15493"/>
    <x v="10"/>
  </r>
  <r>
    <x v="0"/>
    <x v="5"/>
    <n v="13"/>
    <x v="12"/>
    <d v="2023-09-01T00:00:00"/>
    <n v="15493"/>
    <x v="11"/>
  </r>
  <r>
    <x v="0"/>
    <x v="5"/>
    <n v="13"/>
    <x v="12"/>
    <d v="2023-09-01T00:00:00"/>
    <n v="186431"/>
    <x v="12"/>
  </r>
  <r>
    <x v="0"/>
    <x v="5"/>
    <n v="14"/>
    <x v="13"/>
    <d v="2023-09-01T00:00:00"/>
    <n v="0"/>
    <x v="0"/>
  </r>
  <r>
    <x v="0"/>
    <x v="5"/>
    <n v="14"/>
    <x v="13"/>
    <d v="2023-09-01T00:00:00"/>
    <n v="0"/>
    <x v="1"/>
  </r>
  <r>
    <x v="0"/>
    <x v="5"/>
    <n v="14"/>
    <x v="13"/>
    <d v="2023-09-01T00:00:00"/>
    <n v="0"/>
    <x v="2"/>
  </r>
  <r>
    <x v="0"/>
    <x v="5"/>
    <n v="14"/>
    <x v="13"/>
    <d v="2023-09-01T00:00:00"/>
    <n v="0"/>
    <x v="3"/>
  </r>
  <r>
    <x v="0"/>
    <x v="5"/>
    <n v="14"/>
    <x v="13"/>
    <d v="2023-09-01T00:00:00"/>
    <n v="0"/>
    <x v="4"/>
  </r>
  <r>
    <x v="0"/>
    <x v="5"/>
    <n v="14"/>
    <x v="13"/>
    <d v="2023-09-01T00:00:00"/>
    <n v="0"/>
    <x v="5"/>
  </r>
  <r>
    <x v="0"/>
    <x v="5"/>
    <n v="14"/>
    <x v="13"/>
    <d v="2023-09-01T00:00:00"/>
    <n v="0"/>
    <x v="6"/>
  </r>
  <r>
    <x v="0"/>
    <x v="5"/>
    <n v="14"/>
    <x v="13"/>
    <d v="2023-09-01T00:00:00"/>
    <n v="0"/>
    <x v="7"/>
  </r>
  <r>
    <x v="0"/>
    <x v="5"/>
    <n v="14"/>
    <x v="13"/>
    <d v="2023-09-01T00:00:00"/>
    <n v="0"/>
    <x v="8"/>
  </r>
  <r>
    <x v="0"/>
    <x v="5"/>
    <n v="14"/>
    <x v="13"/>
    <d v="2023-09-01T00:00:00"/>
    <n v="0"/>
    <x v="9"/>
  </r>
  <r>
    <x v="0"/>
    <x v="5"/>
    <n v="14"/>
    <x v="13"/>
    <d v="2023-09-01T00:00:00"/>
    <n v="0"/>
    <x v="10"/>
  </r>
  <r>
    <x v="0"/>
    <x v="5"/>
    <n v="14"/>
    <x v="13"/>
    <d v="2023-09-01T00:00:00"/>
    <n v="0"/>
    <x v="11"/>
  </r>
  <r>
    <x v="0"/>
    <x v="5"/>
    <n v="14"/>
    <x v="13"/>
    <d v="2023-09-01T00:00:00"/>
    <n v="0"/>
    <x v="12"/>
  </r>
  <r>
    <x v="0"/>
    <x v="5"/>
    <n v="15"/>
    <x v="14"/>
    <d v="2023-09-01T00:00:00"/>
    <n v="4464"/>
    <x v="0"/>
  </r>
  <r>
    <x v="0"/>
    <x v="5"/>
    <n v="15"/>
    <x v="14"/>
    <d v="2023-09-01T00:00:00"/>
    <n v="4616"/>
    <x v="1"/>
  </r>
  <r>
    <x v="0"/>
    <x v="5"/>
    <n v="15"/>
    <x v="14"/>
    <d v="2023-09-01T00:00:00"/>
    <n v="4571"/>
    <x v="2"/>
  </r>
  <r>
    <x v="0"/>
    <x v="5"/>
    <n v="15"/>
    <x v="14"/>
    <d v="2023-09-01T00:00:00"/>
    <n v="4865"/>
    <x v="3"/>
  </r>
  <r>
    <x v="0"/>
    <x v="5"/>
    <n v="15"/>
    <x v="14"/>
    <d v="2023-09-01T00:00:00"/>
    <n v="4829"/>
    <x v="4"/>
  </r>
  <r>
    <x v="0"/>
    <x v="5"/>
    <n v="15"/>
    <x v="14"/>
    <d v="2023-09-01T00:00:00"/>
    <n v="5523"/>
    <x v="5"/>
  </r>
  <r>
    <x v="0"/>
    <x v="5"/>
    <n v="15"/>
    <x v="14"/>
    <d v="2023-09-01T00:00:00"/>
    <n v="8117"/>
    <x v="6"/>
  </r>
  <r>
    <x v="0"/>
    <x v="5"/>
    <n v="15"/>
    <x v="14"/>
    <d v="2023-09-01T00:00:00"/>
    <n v="5102"/>
    <x v="7"/>
  </r>
  <r>
    <x v="0"/>
    <x v="5"/>
    <n v="15"/>
    <x v="14"/>
    <d v="2023-09-01T00:00:00"/>
    <n v="5256"/>
    <x v="8"/>
  </r>
  <r>
    <x v="0"/>
    <x v="5"/>
    <n v="15"/>
    <x v="14"/>
    <d v="2023-09-01T00:00:00"/>
    <n v="5217"/>
    <x v="9"/>
  </r>
  <r>
    <x v="0"/>
    <x v="5"/>
    <n v="15"/>
    <x v="14"/>
    <d v="2023-09-01T00:00:00"/>
    <n v="4909"/>
    <x v="10"/>
  </r>
  <r>
    <x v="0"/>
    <x v="5"/>
    <n v="15"/>
    <x v="14"/>
    <d v="2023-09-01T00:00:00"/>
    <n v="5217"/>
    <x v="11"/>
  </r>
  <r>
    <x v="0"/>
    <x v="5"/>
    <n v="15"/>
    <x v="14"/>
    <d v="2023-09-01T00:00:00"/>
    <n v="62686"/>
    <x v="12"/>
  </r>
  <r>
    <x v="0"/>
    <x v="5"/>
    <n v="16"/>
    <x v="15"/>
    <d v="2023-09-01T00:00:00"/>
    <n v="198"/>
    <x v="0"/>
  </r>
  <r>
    <x v="0"/>
    <x v="5"/>
    <n v="16"/>
    <x v="15"/>
    <d v="2023-09-01T00:00:00"/>
    <n v="171"/>
    <x v="1"/>
  </r>
  <r>
    <x v="0"/>
    <x v="5"/>
    <n v="16"/>
    <x v="15"/>
    <d v="2023-09-01T00:00:00"/>
    <n v="251"/>
    <x v="2"/>
  </r>
  <r>
    <x v="0"/>
    <x v="5"/>
    <n v="16"/>
    <x v="15"/>
    <d v="2023-09-01T00:00:00"/>
    <n v="238"/>
    <x v="3"/>
  </r>
  <r>
    <x v="0"/>
    <x v="5"/>
    <n v="16"/>
    <x v="15"/>
    <d v="2023-09-01T00:00:00"/>
    <n v="259"/>
    <x v="4"/>
  </r>
  <r>
    <x v="0"/>
    <x v="5"/>
    <n v="16"/>
    <x v="15"/>
    <d v="2023-09-01T00:00:00"/>
    <n v="230"/>
    <x v="5"/>
  </r>
  <r>
    <x v="0"/>
    <x v="5"/>
    <n v="16"/>
    <x v="15"/>
    <d v="2023-09-01T00:00:00"/>
    <n v="142"/>
    <x v="6"/>
  </r>
  <r>
    <x v="0"/>
    <x v="5"/>
    <n v="16"/>
    <x v="15"/>
    <d v="2023-09-01T00:00:00"/>
    <n v="142"/>
    <x v="7"/>
  </r>
  <r>
    <x v="0"/>
    <x v="5"/>
    <n v="16"/>
    <x v="15"/>
    <d v="2023-09-01T00:00:00"/>
    <n v="154"/>
    <x v="8"/>
  </r>
  <r>
    <x v="0"/>
    <x v="5"/>
    <n v="16"/>
    <x v="15"/>
    <d v="2023-09-01T00:00:00"/>
    <n v="142"/>
    <x v="9"/>
  </r>
  <r>
    <x v="0"/>
    <x v="5"/>
    <n v="16"/>
    <x v="15"/>
    <d v="2023-09-01T00:00:00"/>
    <n v="142"/>
    <x v="10"/>
  </r>
  <r>
    <x v="0"/>
    <x v="5"/>
    <n v="16"/>
    <x v="15"/>
    <d v="2023-09-01T00:00:00"/>
    <n v="142"/>
    <x v="11"/>
  </r>
  <r>
    <x v="0"/>
    <x v="5"/>
    <n v="16"/>
    <x v="15"/>
    <d v="2023-09-01T00:00:00"/>
    <n v="2211"/>
    <x v="12"/>
  </r>
  <r>
    <x v="0"/>
    <x v="5"/>
    <n v="17"/>
    <x v="16"/>
    <d v="2023-09-01T00:00:00"/>
    <n v="104"/>
    <x v="0"/>
  </r>
  <r>
    <x v="0"/>
    <x v="5"/>
    <n v="17"/>
    <x v="16"/>
    <d v="2023-09-01T00:00:00"/>
    <n v="108"/>
    <x v="1"/>
  </r>
  <r>
    <x v="0"/>
    <x v="5"/>
    <n v="17"/>
    <x v="16"/>
    <d v="2023-09-01T00:00:00"/>
    <n v="1"/>
    <x v="2"/>
  </r>
  <r>
    <x v="0"/>
    <x v="5"/>
    <n v="17"/>
    <x v="16"/>
    <d v="2023-09-01T00:00:00"/>
    <n v="114"/>
    <x v="3"/>
  </r>
  <r>
    <x v="0"/>
    <x v="5"/>
    <n v="17"/>
    <x v="16"/>
    <d v="2023-09-01T00:00:00"/>
    <n v="-51"/>
    <x v="4"/>
  </r>
  <r>
    <x v="0"/>
    <x v="5"/>
    <n v="17"/>
    <x v="16"/>
    <d v="2023-09-01T00:00:00"/>
    <n v="88"/>
    <x v="5"/>
  </r>
  <r>
    <x v="0"/>
    <x v="5"/>
    <n v="17"/>
    <x v="16"/>
    <d v="2023-09-01T00:00:00"/>
    <n v="96"/>
    <x v="6"/>
  </r>
  <r>
    <x v="0"/>
    <x v="5"/>
    <n v="17"/>
    <x v="16"/>
    <d v="2023-09-01T00:00:00"/>
    <n v="61"/>
    <x v="7"/>
  </r>
  <r>
    <x v="0"/>
    <x v="5"/>
    <n v="17"/>
    <x v="16"/>
    <d v="2023-09-01T00:00:00"/>
    <n v="61"/>
    <x v="8"/>
  </r>
  <r>
    <x v="0"/>
    <x v="5"/>
    <n v="17"/>
    <x v="16"/>
    <d v="2023-09-01T00:00:00"/>
    <n v="61"/>
    <x v="9"/>
  </r>
  <r>
    <x v="0"/>
    <x v="5"/>
    <n v="17"/>
    <x v="16"/>
    <d v="2023-09-01T00:00:00"/>
    <n v="61"/>
    <x v="10"/>
  </r>
  <r>
    <x v="0"/>
    <x v="5"/>
    <n v="17"/>
    <x v="16"/>
    <d v="2023-09-01T00:00:00"/>
    <n v="61"/>
    <x v="11"/>
  </r>
  <r>
    <x v="0"/>
    <x v="5"/>
    <n v="17"/>
    <x v="16"/>
    <d v="2023-09-01T00:00:00"/>
    <n v="765"/>
    <x v="12"/>
  </r>
  <r>
    <x v="0"/>
    <x v="5"/>
    <n v="18"/>
    <x v="17"/>
    <d v="2023-09-01T00:00:00"/>
    <n v="127"/>
    <x v="0"/>
  </r>
  <r>
    <x v="0"/>
    <x v="5"/>
    <n v="18"/>
    <x v="17"/>
    <d v="2023-09-01T00:00:00"/>
    <n v="-15"/>
    <x v="1"/>
  </r>
  <r>
    <x v="0"/>
    <x v="5"/>
    <n v="18"/>
    <x v="17"/>
    <d v="2023-09-01T00:00:00"/>
    <n v="36"/>
    <x v="2"/>
  </r>
  <r>
    <x v="0"/>
    <x v="5"/>
    <n v="18"/>
    <x v="17"/>
    <d v="2023-09-01T00:00:00"/>
    <n v="70"/>
    <x v="3"/>
  </r>
  <r>
    <x v="0"/>
    <x v="5"/>
    <n v="18"/>
    <x v="17"/>
    <d v="2023-09-01T00:00:00"/>
    <n v="182"/>
    <x v="4"/>
  </r>
  <r>
    <x v="0"/>
    <x v="5"/>
    <n v="18"/>
    <x v="17"/>
    <d v="2023-09-01T00:00:00"/>
    <n v="107"/>
    <x v="5"/>
  </r>
  <r>
    <x v="0"/>
    <x v="5"/>
    <n v="18"/>
    <x v="17"/>
    <d v="2023-09-01T00:00:00"/>
    <n v="143"/>
    <x v="6"/>
  </r>
  <r>
    <x v="0"/>
    <x v="5"/>
    <n v="18"/>
    <x v="17"/>
    <d v="2023-09-01T00:00:00"/>
    <n v="85"/>
    <x v="7"/>
  </r>
  <r>
    <x v="0"/>
    <x v="5"/>
    <n v="18"/>
    <x v="17"/>
    <d v="2023-09-01T00:00:00"/>
    <n v="85"/>
    <x v="8"/>
  </r>
  <r>
    <x v="0"/>
    <x v="5"/>
    <n v="18"/>
    <x v="17"/>
    <d v="2023-09-01T00:00:00"/>
    <n v="85"/>
    <x v="9"/>
  </r>
  <r>
    <x v="0"/>
    <x v="5"/>
    <n v="18"/>
    <x v="17"/>
    <d v="2023-09-01T00:00:00"/>
    <n v="85"/>
    <x v="10"/>
  </r>
  <r>
    <x v="0"/>
    <x v="5"/>
    <n v="18"/>
    <x v="17"/>
    <d v="2023-09-01T00:00:00"/>
    <n v="85"/>
    <x v="11"/>
  </r>
  <r>
    <x v="0"/>
    <x v="5"/>
    <n v="18"/>
    <x v="17"/>
    <d v="2023-09-01T00:00:00"/>
    <n v="1075"/>
    <x v="12"/>
  </r>
  <r>
    <x v="0"/>
    <x v="5"/>
    <n v="19"/>
    <x v="18"/>
    <d v="2023-09-01T00:00:00"/>
    <n v="0"/>
    <x v="0"/>
  </r>
  <r>
    <x v="0"/>
    <x v="5"/>
    <n v="19"/>
    <x v="18"/>
    <d v="2023-09-01T00:00:00"/>
    <n v="0"/>
    <x v="1"/>
  </r>
  <r>
    <x v="0"/>
    <x v="5"/>
    <n v="19"/>
    <x v="18"/>
    <d v="2023-09-01T00:00:00"/>
    <n v="0"/>
    <x v="2"/>
  </r>
  <r>
    <x v="0"/>
    <x v="5"/>
    <n v="19"/>
    <x v="18"/>
    <d v="2023-09-01T00:00:00"/>
    <n v="0"/>
    <x v="3"/>
  </r>
  <r>
    <x v="0"/>
    <x v="5"/>
    <n v="19"/>
    <x v="18"/>
    <d v="2023-09-01T00:00:00"/>
    <n v="0"/>
    <x v="4"/>
  </r>
  <r>
    <x v="0"/>
    <x v="5"/>
    <n v="19"/>
    <x v="18"/>
    <d v="2023-09-01T00:00:00"/>
    <n v="0"/>
    <x v="5"/>
  </r>
  <r>
    <x v="0"/>
    <x v="5"/>
    <n v="19"/>
    <x v="18"/>
    <d v="2023-09-01T00:00:00"/>
    <n v="0"/>
    <x v="6"/>
  </r>
  <r>
    <x v="0"/>
    <x v="5"/>
    <n v="19"/>
    <x v="18"/>
    <d v="2023-09-01T00:00:00"/>
    <n v="0"/>
    <x v="7"/>
  </r>
  <r>
    <x v="0"/>
    <x v="5"/>
    <n v="19"/>
    <x v="18"/>
    <d v="2023-09-01T00:00:00"/>
    <n v="0"/>
    <x v="8"/>
  </r>
  <r>
    <x v="0"/>
    <x v="5"/>
    <n v="19"/>
    <x v="18"/>
    <d v="2023-09-01T00:00:00"/>
    <n v="0"/>
    <x v="9"/>
  </r>
  <r>
    <x v="0"/>
    <x v="5"/>
    <n v="19"/>
    <x v="18"/>
    <d v="2023-09-01T00:00:00"/>
    <n v="0"/>
    <x v="10"/>
  </r>
  <r>
    <x v="0"/>
    <x v="5"/>
    <n v="19"/>
    <x v="18"/>
    <d v="2023-09-01T00:00:00"/>
    <n v="0"/>
    <x v="11"/>
  </r>
  <r>
    <x v="0"/>
    <x v="5"/>
    <n v="19"/>
    <x v="18"/>
    <d v="2023-09-01T00:00:00"/>
    <n v="0"/>
    <x v="12"/>
  </r>
  <r>
    <x v="0"/>
    <x v="5"/>
    <n v="20"/>
    <x v="19"/>
    <d v="2023-09-01T00:00:00"/>
    <n v="0"/>
    <x v="0"/>
  </r>
  <r>
    <x v="0"/>
    <x v="5"/>
    <n v="20"/>
    <x v="19"/>
    <d v="2023-09-01T00:00:00"/>
    <n v="0"/>
    <x v="1"/>
  </r>
  <r>
    <x v="0"/>
    <x v="5"/>
    <n v="20"/>
    <x v="19"/>
    <d v="2023-09-01T00:00:00"/>
    <n v="0"/>
    <x v="2"/>
  </r>
  <r>
    <x v="0"/>
    <x v="5"/>
    <n v="20"/>
    <x v="19"/>
    <d v="2023-09-01T00:00:00"/>
    <n v="0"/>
    <x v="3"/>
  </r>
  <r>
    <x v="0"/>
    <x v="5"/>
    <n v="20"/>
    <x v="19"/>
    <d v="2023-09-01T00:00:00"/>
    <n v="0"/>
    <x v="4"/>
  </r>
  <r>
    <x v="0"/>
    <x v="5"/>
    <n v="20"/>
    <x v="19"/>
    <d v="2023-09-01T00:00:00"/>
    <n v="0"/>
    <x v="5"/>
  </r>
  <r>
    <x v="0"/>
    <x v="5"/>
    <n v="20"/>
    <x v="19"/>
    <d v="2023-09-01T00:00:00"/>
    <n v="0"/>
    <x v="6"/>
  </r>
  <r>
    <x v="0"/>
    <x v="5"/>
    <n v="20"/>
    <x v="19"/>
    <d v="2023-09-01T00:00:00"/>
    <n v="0"/>
    <x v="7"/>
  </r>
  <r>
    <x v="0"/>
    <x v="5"/>
    <n v="20"/>
    <x v="19"/>
    <d v="2023-09-01T00:00:00"/>
    <n v="0"/>
    <x v="8"/>
  </r>
  <r>
    <x v="0"/>
    <x v="5"/>
    <n v="20"/>
    <x v="19"/>
    <d v="2023-09-01T00:00:00"/>
    <n v="0"/>
    <x v="9"/>
  </r>
  <r>
    <x v="0"/>
    <x v="5"/>
    <n v="20"/>
    <x v="19"/>
    <d v="2023-09-01T00:00:00"/>
    <n v="0"/>
    <x v="10"/>
  </r>
  <r>
    <x v="0"/>
    <x v="5"/>
    <n v="20"/>
    <x v="19"/>
    <d v="2023-09-01T00:00:00"/>
    <n v="0"/>
    <x v="11"/>
  </r>
  <r>
    <x v="0"/>
    <x v="5"/>
    <n v="20"/>
    <x v="19"/>
    <d v="2023-09-01T00:00:00"/>
    <n v="0"/>
    <x v="12"/>
  </r>
  <r>
    <x v="0"/>
    <x v="5"/>
    <n v="21"/>
    <x v="20"/>
    <d v="2023-09-01T00:00:00"/>
    <n v="0"/>
    <x v="0"/>
  </r>
  <r>
    <x v="0"/>
    <x v="5"/>
    <n v="21"/>
    <x v="20"/>
    <d v="2023-09-01T00:00:00"/>
    <n v="0"/>
    <x v="1"/>
  </r>
  <r>
    <x v="0"/>
    <x v="5"/>
    <n v="21"/>
    <x v="20"/>
    <d v="2023-09-01T00:00:00"/>
    <n v="0"/>
    <x v="2"/>
  </r>
  <r>
    <x v="0"/>
    <x v="5"/>
    <n v="21"/>
    <x v="20"/>
    <d v="2023-09-01T00:00:00"/>
    <n v="0"/>
    <x v="3"/>
  </r>
  <r>
    <x v="0"/>
    <x v="5"/>
    <n v="21"/>
    <x v="20"/>
    <d v="2023-09-01T00:00:00"/>
    <n v="0"/>
    <x v="4"/>
  </r>
  <r>
    <x v="0"/>
    <x v="5"/>
    <n v="21"/>
    <x v="20"/>
    <d v="2023-09-01T00:00:00"/>
    <n v="0"/>
    <x v="5"/>
  </r>
  <r>
    <x v="0"/>
    <x v="5"/>
    <n v="21"/>
    <x v="20"/>
    <d v="2023-09-01T00:00:00"/>
    <n v="0"/>
    <x v="6"/>
  </r>
  <r>
    <x v="0"/>
    <x v="5"/>
    <n v="21"/>
    <x v="20"/>
    <d v="2023-09-01T00:00:00"/>
    <n v="0"/>
    <x v="7"/>
  </r>
  <r>
    <x v="0"/>
    <x v="5"/>
    <n v="21"/>
    <x v="20"/>
    <d v="2023-09-01T00:00:00"/>
    <n v="0"/>
    <x v="8"/>
  </r>
  <r>
    <x v="0"/>
    <x v="5"/>
    <n v="21"/>
    <x v="20"/>
    <d v="2023-09-01T00:00:00"/>
    <n v="0"/>
    <x v="9"/>
  </r>
  <r>
    <x v="0"/>
    <x v="5"/>
    <n v="21"/>
    <x v="20"/>
    <d v="2023-09-01T00:00:00"/>
    <n v="0"/>
    <x v="10"/>
  </r>
  <r>
    <x v="0"/>
    <x v="5"/>
    <n v="21"/>
    <x v="20"/>
    <d v="2023-09-01T00:00:00"/>
    <n v="0"/>
    <x v="11"/>
  </r>
  <r>
    <x v="0"/>
    <x v="5"/>
    <n v="21"/>
    <x v="20"/>
    <d v="2023-09-01T00:00:00"/>
    <n v="0"/>
    <x v="12"/>
  </r>
  <r>
    <x v="0"/>
    <x v="5"/>
    <n v="22"/>
    <x v="21"/>
    <d v="2023-09-01T00:00:00"/>
    <n v="2179"/>
    <x v="0"/>
  </r>
  <r>
    <x v="0"/>
    <x v="5"/>
    <n v="22"/>
    <x v="21"/>
    <d v="2023-09-01T00:00:00"/>
    <n v="2176"/>
    <x v="1"/>
  </r>
  <r>
    <x v="0"/>
    <x v="5"/>
    <n v="22"/>
    <x v="21"/>
    <d v="2023-09-01T00:00:00"/>
    <n v="2072"/>
    <x v="2"/>
  </r>
  <r>
    <x v="0"/>
    <x v="5"/>
    <n v="22"/>
    <x v="21"/>
    <d v="2023-09-01T00:00:00"/>
    <n v="2127"/>
    <x v="3"/>
  </r>
  <r>
    <x v="0"/>
    <x v="5"/>
    <n v="22"/>
    <x v="21"/>
    <d v="2023-09-01T00:00:00"/>
    <n v="2266"/>
    <x v="4"/>
  </r>
  <r>
    <x v="0"/>
    <x v="5"/>
    <n v="22"/>
    <x v="21"/>
    <d v="2023-09-01T00:00:00"/>
    <n v="2236"/>
    <x v="5"/>
  </r>
  <r>
    <x v="0"/>
    <x v="5"/>
    <n v="22"/>
    <x v="21"/>
    <d v="2023-09-01T00:00:00"/>
    <n v="2247"/>
    <x v="6"/>
  </r>
  <r>
    <x v="0"/>
    <x v="5"/>
    <n v="22"/>
    <x v="21"/>
    <d v="2023-09-01T00:00:00"/>
    <n v="2247"/>
    <x v="7"/>
  </r>
  <r>
    <x v="0"/>
    <x v="5"/>
    <n v="22"/>
    <x v="21"/>
    <d v="2023-09-01T00:00:00"/>
    <n v="2247"/>
    <x v="8"/>
  </r>
  <r>
    <x v="0"/>
    <x v="5"/>
    <n v="22"/>
    <x v="21"/>
    <d v="2023-09-01T00:00:00"/>
    <n v="2247"/>
    <x v="9"/>
  </r>
  <r>
    <x v="0"/>
    <x v="5"/>
    <n v="22"/>
    <x v="21"/>
    <d v="2023-09-01T00:00:00"/>
    <n v="2247"/>
    <x v="10"/>
  </r>
  <r>
    <x v="0"/>
    <x v="5"/>
    <n v="22"/>
    <x v="21"/>
    <d v="2023-09-01T00:00:00"/>
    <n v="1797"/>
    <x v="11"/>
  </r>
  <r>
    <x v="0"/>
    <x v="5"/>
    <n v="22"/>
    <x v="21"/>
    <d v="2023-09-01T00:00:00"/>
    <n v="26088"/>
    <x v="12"/>
  </r>
  <r>
    <x v="0"/>
    <x v="5"/>
    <n v="23"/>
    <x v="22"/>
    <d v="2023-09-01T00:00:00"/>
    <n v="65"/>
    <x v="0"/>
  </r>
  <r>
    <x v="0"/>
    <x v="5"/>
    <n v="23"/>
    <x v="22"/>
    <d v="2023-09-01T00:00:00"/>
    <n v="65"/>
    <x v="1"/>
  </r>
  <r>
    <x v="0"/>
    <x v="5"/>
    <n v="23"/>
    <x v="22"/>
    <d v="2023-09-01T00:00:00"/>
    <n v="-3574"/>
    <x v="2"/>
  </r>
  <r>
    <x v="0"/>
    <x v="5"/>
    <n v="23"/>
    <x v="22"/>
    <d v="2023-09-01T00:00:00"/>
    <n v="69"/>
    <x v="3"/>
  </r>
  <r>
    <x v="0"/>
    <x v="5"/>
    <n v="23"/>
    <x v="22"/>
    <d v="2023-09-01T00:00:00"/>
    <n v="69"/>
    <x v="4"/>
  </r>
  <r>
    <x v="0"/>
    <x v="5"/>
    <n v="23"/>
    <x v="22"/>
    <d v="2023-09-01T00:00:00"/>
    <n v="69"/>
    <x v="5"/>
  </r>
  <r>
    <x v="0"/>
    <x v="5"/>
    <n v="23"/>
    <x v="22"/>
    <d v="2023-09-01T00:00:00"/>
    <n v="72"/>
    <x v="6"/>
  </r>
  <r>
    <x v="0"/>
    <x v="5"/>
    <n v="23"/>
    <x v="22"/>
    <d v="2023-09-01T00:00:00"/>
    <n v="72"/>
    <x v="7"/>
  </r>
  <r>
    <x v="0"/>
    <x v="5"/>
    <n v="23"/>
    <x v="22"/>
    <d v="2023-09-01T00:00:00"/>
    <n v="72"/>
    <x v="8"/>
  </r>
  <r>
    <x v="0"/>
    <x v="5"/>
    <n v="23"/>
    <x v="22"/>
    <d v="2023-09-01T00:00:00"/>
    <n v="72"/>
    <x v="9"/>
  </r>
  <r>
    <x v="0"/>
    <x v="5"/>
    <n v="23"/>
    <x v="22"/>
    <d v="2023-09-01T00:00:00"/>
    <n v="72"/>
    <x v="10"/>
  </r>
  <r>
    <x v="0"/>
    <x v="5"/>
    <n v="23"/>
    <x v="22"/>
    <d v="2023-09-01T00:00:00"/>
    <n v="19793"/>
    <x v="11"/>
  </r>
  <r>
    <x v="0"/>
    <x v="5"/>
    <n v="23"/>
    <x v="22"/>
    <d v="2023-09-01T00:00:00"/>
    <n v="16916"/>
    <x v="12"/>
  </r>
  <r>
    <x v="0"/>
    <x v="5"/>
    <n v="24"/>
    <x v="23"/>
    <d v="2023-09-01T00:00:00"/>
    <n v="0"/>
    <x v="0"/>
  </r>
  <r>
    <x v="0"/>
    <x v="5"/>
    <n v="24"/>
    <x v="23"/>
    <d v="2023-09-01T00:00:00"/>
    <n v="0"/>
    <x v="1"/>
  </r>
  <r>
    <x v="0"/>
    <x v="5"/>
    <n v="24"/>
    <x v="23"/>
    <d v="2023-09-01T00:00:00"/>
    <n v="0"/>
    <x v="2"/>
  </r>
  <r>
    <x v="0"/>
    <x v="5"/>
    <n v="24"/>
    <x v="23"/>
    <d v="2023-09-01T00:00:00"/>
    <n v="0"/>
    <x v="3"/>
  </r>
  <r>
    <x v="0"/>
    <x v="5"/>
    <n v="24"/>
    <x v="23"/>
    <d v="2023-09-01T00:00:00"/>
    <n v="0"/>
    <x v="4"/>
  </r>
  <r>
    <x v="0"/>
    <x v="5"/>
    <n v="24"/>
    <x v="23"/>
    <d v="2023-09-01T00:00:00"/>
    <n v="0"/>
    <x v="5"/>
  </r>
  <r>
    <x v="0"/>
    <x v="5"/>
    <n v="24"/>
    <x v="23"/>
    <d v="2023-09-01T00:00:00"/>
    <n v="0"/>
    <x v="6"/>
  </r>
  <r>
    <x v="0"/>
    <x v="5"/>
    <n v="24"/>
    <x v="23"/>
    <d v="2023-09-01T00:00:00"/>
    <n v="0"/>
    <x v="7"/>
  </r>
  <r>
    <x v="0"/>
    <x v="5"/>
    <n v="24"/>
    <x v="23"/>
    <d v="2023-09-01T00:00:00"/>
    <n v="0"/>
    <x v="8"/>
  </r>
  <r>
    <x v="0"/>
    <x v="5"/>
    <n v="24"/>
    <x v="23"/>
    <d v="2023-09-01T00:00:00"/>
    <n v="0"/>
    <x v="9"/>
  </r>
  <r>
    <x v="0"/>
    <x v="5"/>
    <n v="24"/>
    <x v="23"/>
    <d v="2023-09-01T00:00:00"/>
    <n v="0"/>
    <x v="10"/>
  </r>
  <r>
    <x v="0"/>
    <x v="5"/>
    <n v="24"/>
    <x v="23"/>
    <d v="2023-09-01T00:00:00"/>
    <n v="0"/>
    <x v="11"/>
  </r>
  <r>
    <x v="0"/>
    <x v="5"/>
    <n v="24"/>
    <x v="23"/>
    <d v="2023-09-01T00:00:00"/>
    <n v="0"/>
    <x v="12"/>
  </r>
  <r>
    <x v="0"/>
    <x v="5"/>
    <n v="25"/>
    <x v="24"/>
    <d v="2023-09-01T00:00:00"/>
    <n v="0"/>
    <x v="0"/>
  </r>
  <r>
    <x v="0"/>
    <x v="5"/>
    <n v="25"/>
    <x v="24"/>
    <d v="2023-09-01T00:00:00"/>
    <n v="0"/>
    <x v="1"/>
  </r>
  <r>
    <x v="0"/>
    <x v="5"/>
    <n v="25"/>
    <x v="24"/>
    <d v="2023-09-01T00:00:00"/>
    <n v="0"/>
    <x v="2"/>
  </r>
  <r>
    <x v="0"/>
    <x v="5"/>
    <n v="25"/>
    <x v="24"/>
    <d v="2023-09-01T00:00:00"/>
    <n v="0"/>
    <x v="3"/>
  </r>
  <r>
    <x v="0"/>
    <x v="5"/>
    <n v="25"/>
    <x v="24"/>
    <d v="2023-09-01T00:00:00"/>
    <n v="0"/>
    <x v="4"/>
  </r>
  <r>
    <x v="0"/>
    <x v="5"/>
    <n v="25"/>
    <x v="24"/>
    <d v="2023-09-01T00:00:00"/>
    <n v="0"/>
    <x v="5"/>
  </r>
  <r>
    <x v="0"/>
    <x v="5"/>
    <n v="25"/>
    <x v="24"/>
    <d v="2023-09-01T00:00:00"/>
    <n v="0"/>
    <x v="6"/>
  </r>
  <r>
    <x v="0"/>
    <x v="5"/>
    <n v="25"/>
    <x v="24"/>
    <d v="2023-09-01T00:00:00"/>
    <n v="0"/>
    <x v="7"/>
  </r>
  <r>
    <x v="0"/>
    <x v="5"/>
    <n v="25"/>
    <x v="24"/>
    <d v="2023-09-01T00:00:00"/>
    <n v="0"/>
    <x v="8"/>
  </r>
  <r>
    <x v="0"/>
    <x v="5"/>
    <n v="25"/>
    <x v="24"/>
    <d v="2023-09-01T00:00:00"/>
    <n v="0"/>
    <x v="9"/>
  </r>
  <r>
    <x v="0"/>
    <x v="5"/>
    <n v="25"/>
    <x v="24"/>
    <d v="2023-09-01T00:00:00"/>
    <n v="0"/>
    <x v="10"/>
  </r>
  <r>
    <x v="0"/>
    <x v="5"/>
    <n v="25"/>
    <x v="24"/>
    <d v="2023-09-01T00:00:00"/>
    <n v="0"/>
    <x v="11"/>
  </r>
  <r>
    <x v="0"/>
    <x v="5"/>
    <n v="25"/>
    <x v="24"/>
    <d v="2023-09-01T00:00:00"/>
    <n v="0"/>
    <x v="12"/>
  </r>
  <r>
    <x v="0"/>
    <x v="5"/>
    <n v="26"/>
    <x v="25"/>
    <d v="2023-09-01T00:00:00"/>
    <n v="100837"/>
    <x v="0"/>
  </r>
  <r>
    <x v="0"/>
    <x v="5"/>
    <n v="26"/>
    <x v="25"/>
    <d v="2023-09-01T00:00:00"/>
    <n v="103673"/>
    <x v="1"/>
  </r>
  <r>
    <x v="0"/>
    <x v="5"/>
    <n v="26"/>
    <x v="25"/>
    <d v="2023-09-01T00:00:00"/>
    <n v="110291"/>
    <x v="2"/>
  </r>
  <r>
    <x v="0"/>
    <x v="5"/>
    <n v="26"/>
    <x v="25"/>
    <d v="2023-09-01T00:00:00"/>
    <n v="109888"/>
    <x v="3"/>
  </r>
  <r>
    <x v="0"/>
    <x v="5"/>
    <n v="26"/>
    <x v="25"/>
    <d v="2023-09-01T00:00:00"/>
    <n v="105475"/>
    <x v="4"/>
  </r>
  <r>
    <x v="0"/>
    <x v="5"/>
    <n v="26"/>
    <x v="25"/>
    <d v="2023-09-01T00:00:00"/>
    <n v="105347"/>
    <x v="5"/>
  </r>
  <r>
    <x v="0"/>
    <x v="5"/>
    <n v="26"/>
    <x v="25"/>
    <d v="2023-09-01T00:00:00"/>
    <n v="110790"/>
    <x v="6"/>
  </r>
  <r>
    <x v="0"/>
    <x v="5"/>
    <n v="26"/>
    <x v="25"/>
    <d v="2023-09-01T00:00:00"/>
    <n v="103583"/>
    <x v="7"/>
  </r>
  <r>
    <x v="0"/>
    <x v="5"/>
    <n v="26"/>
    <x v="25"/>
    <d v="2023-09-01T00:00:00"/>
    <n v="102653"/>
    <x v="8"/>
  </r>
  <r>
    <x v="0"/>
    <x v="5"/>
    <n v="26"/>
    <x v="25"/>
    <d v="2023-09-01T00:00:00"/>
    <n v="102987"/>
    <x v="9"/>
  </r>
  <r>
    <x v="0"/>
    <x v="5"/>
    <n v="26"/>
    <x v="25"/>
    <d v="2023-09-01T00:00:00"/>
    <n v="101269"/>
    <x v="10"/>
  </r>
  <r>
    <x v="0"/>
    <x v="5"/>
    <n v="26"/>
    <x v="25"/>
    <d v="2023-09-01T00:00:00"/>
    <n v="125376"/>
    <x v="11"/>
  </r>
  <r>
    <x v="0"/>
    <x v="5"/>
    <n v="26"/>
    <x v="25"/>
    <d v="2023-09-01T00:00:00"/>
    <n v="1282169"/>
    <x v="12"/>
  </r>
  <r>
    <x v="0"/>
    <x v="5"/>
    <n v="27"/>
    <x v="26"/>
    <d v="2023-09-01T00:00:00"/>
    <n v="-11732"/>
    <x v="0"/>
  </r>
  <r>
    <x v="0"/>
    <x v="5"/>
    <n v="27"/>
    <x v="26"/>
    <d v="2023-09-01T00:00:00"/>
    <n v="-11944.2"/>
    <x v="1"/>
  </r>
  <r>
    <x v="0"/>
    <x v="5"/>
    <n v="27"/>
    <x v="26"/>
    <d v="2023-09-01T00:00:00"/>
    <n v="-12801.111999999999"/>
    <x v="2"/>
  </r>
  <r>
    <x v="0"/>
    <x v="5"/>
    <n v="27"/>
    <x v="26"/>
    <d v="2023-09-01T00:00:00"/>
    <n v="-12035"/>
    <x v="3"/>
  </r>
  <r>
    <x v="0"/>
    <x v="5"/>
    <n v="27"/>
    <x v="26"/>
    <d v="2023-09-01T00:00:00"/>
    <n v="-11614"/>
    <x v="4"/>
  </r>
  <r>
    <x v="0"/>
    <x v="5"/>
    <n v="27"/>
    <x v="26"/>
    <d v="2023-09-01T00:00:00"/>
    <n v="-11936.691000000001"/>
    <x v="5"/>
  </r>
  <r>
    <x v="0"/>
    <x v="5"/>
    <n v="27"/>
    <x v="26"/>
    <d v="2023-09-01T00:00:00"/>
    <n v="-10727.1496777175"/>
    <x v="6"/>
  </r>
  <r>
    <x v="0"/>
    <x v="5"/>
    <n v="27"/>
    <x v="26"/>
    <d v="2023-09-01T00:00:00"/>
    <n v="-6185.0479658624799"/>
    <x v="7"/>
  </r>
  <r>
    <x v="0"/>
    <x v="5"/>
    <n v="27"/>
    <x v="26"/>
    <d v="2023-09-01T00:00:00"/>
    <n v="-5841.56934171802"/>
    <x v="8"/>
  </r>
  <r>
    <x v="0"/>
    <x v="5"/>
    <n v="27"/>
    <x v="26"/>
    <d v="2023-09-01T00:00:00"/>
    <n v="-5878.3791925532096"/>
    <x v="9"/>
  </r>
  <r>
    <x v="0"/>
    <x v="5"/>
    <n v="27"/>
    <x v="26"/>
    <d v="2023-09-01T00:00:00"/>
    <n v="-6332.7389472451296"/>
    <x v="10"/>
  </r>
  <r>
    <x v="0"/>
    <x v="5"/>
    <n v="27"/>
    <x v="26"/>
    <d v="2023-09-01T00:00:00"/>
    <n v="-5872.3680888672397"/>
    <x v="11"/>
  </r>
  <r>
    <x v="0"/>
    <x v="5"/>
    <n v="27"/>
    <x v="26"/>
    <d v="2023-09-01T00:00:00"/>
    <n v="-112900.256213963"/>
    <x v="12"/>
  </r>
  <r>
    <x v="0"/>
    <x v="6"/>
    <n v="1"/>
    <x v="3"/>
    <d v="2023-09-01T00:00:00"/>
    <n v="23314"/>
    <x v="0"/>
  </r>
  <r>
    <x v="0"/>
    <x v="6"/>
    <n v="1"/>
    <x v="3"/>
    <d v="2023-09-01T00:00:00"/>
    <n v="23602"/>
    <x v="1"/>
  </r>
  <r>
    <x v="0"/>
    <x v="6"/>
    <n v="1"/>
    <x v="3"/>
    <d v="2023-09-01T00:00:00"/>
    <n v="24453"/>
    <x v="2"/>
  </r>
  <r>
    <x v="0"/>
    <x v="6"/>
    <n v="1"/>
    <x v="3"/>
    <d v="2023-09-01T00:00:00"/>
    <n v="19934"/>
    <x v="3"/>
  </r>
  <r>
    <x v="0"/>
    <x v="6"/>
    <n v="1"/>
    <x v="3"/>
    <d v="2023-09-01T00:00:00"/>
    <n v="28060"/>
    <x v="4"/>
  </r>
  <r>
    <x v="0"/>
    <x v="6"/>
    <n v="1"/>
    <x v="3"/>
    <d v="2023-09-01T00:00:00"/>
    <n v="25377"/>
    <x v="5"/>
  </r>
  <r>
    <x v="0"/>
    <x v="6"/>
    <n v="1"/>
    <x v="3"/>
    <d v="2023-09-01T00:00:00"/>
    <n v="27950"/>
    <x v="6"/>
  </r>
  <r>
    <x v="0"/>
    <x v="6"/>
    <n v="1"/>
    <x v="3"/>
    <d v="2023-09-01T00:00:00"/>
    <n v="28450"/>
    <x v="7"/>
  </r>
  <r>
    <x v="0"/>
    <x v="6"/>
    <n v="1"/>
    <x v="3"/>
    <d v="2023-09-01T00:00:00"/>
    <n v="31850"/>
    <x v="8"/>
  </r>
  <r>
    <x v="0"/>
    <x v="6"/>
    <n v="1"/>
    <x v="3"/>
    <d v="2023-09-01T00:00:00"/>
    <n v="27750"/>
    <x v="9"/>
  </r>
  <r>
    <x v="0"/>
    <x v="6"/>
    <n v="1"/>
    <x v="3"/>
    <d v="2023-09-01T00:00:00"/>
    <n v="30050"/>
    <x v="10"/>
  </r>
  <r>
    <x v="0"/>
    <x v="6"/>
    <n v="1"/>
    <x v="3"/>
    <d v="2023-09-01T00:00:00"/>
    <n v="29071"/>
    <x v="11"/>
  </r>
  <r>
    <x v="0"/>
    <x v="6"/>
    <n v="1"/>
    <x v="3"/>
    <d v="2023-09-01T00:00:00"/>
    <n v="319861"/>
    <x v="12"/>
  </r>
  <r>
    <x v="0"/>
    <x v="6"/>
    <n v="2"/>
    <x v="4"/>
    <d v="2023-09-01T00:00:00"/>
    <n v="0"/>
    <x v="0"/>
  </r>
  <r>
    <x v="0"/>
    <x v="6"/>
    <n v="2"/>
    <x v="4"/>
    <d v="2023-09-01T00:00:00"/>
    <n v="0"/>
    <x v="1"/>
  </r>
  <r>
    <x v="0"/>
    <x v="6"/>
    <n v="2"/>
    <x v="4"/>
    <d v="2023-09-01T00:00:00"/>
    <n v="0"/>
    <x v="2"/>
  </r>
  <r>
    <x v="0"/>
    <x v="6"/>
    <n v="2"/>
    <x v="4"/>
    <d v="2023-09-01T00:00:00"/>
    <n v="0"/>
    <x v="3"/>
  </r>
  <r>
    <x v="0"/>
    <x v="6"/>
    <n v="2"/>
    <x v="4"/>
    <d v="2023-09-01T00:00:00"/>
    <n v="0"/>
    <x v="4"/>
  </r>
  <r>
    <x v="0"/>
    <x v="6"/>
    <n v="2"/>
    <x v="4"/>
    <d v="2023-09-01T00:00:00"/>
    <n v="0"/>
    <x v="5"/>
  </r>
  <r>
    <x v="0"/>
    <x v="6"/>
    <n v="2"/>
    <x v="4"/>
    <d v="2023-09-01T00:00:00"/>
    <n v="0"/>
    <x v="6"/>
  </r>
  <r>
    <x v="0"/>
    <x v="6"/>
    <n v="2"/>
    <x v="4"/>
    <d v="2023-09-01T00:00:00"/>
    <n v="0"/>
    <x v="7"/>
  </r>
  <r>
    <x v="0"/>
    <x v="6"/>
    <n v="2"/>
    <x v="4"/>
    <d v="2023-09-01T00:00:00"/>
    <n v="0"/>
    <x v="8"/>
  </r>
  <r>
    <x v="0"/>
    <x v="6"/>
    <n v="2"/>
    <x v="4"/>
    <d v="2023-09-01T00:00:00"/>
    <n v="0"/>
    <x v="9"/>
  </r>
  <r>
    <x v="0"/>
    <x v="6"/>
    <n v="2"/>
    <x v="4"/>
    <d v="2023-09-01T00:00:00"/>
    <n v="0"/>
    <x v="10"/>
  </r>
  <r>
    <x v="0"/>
    <x v="6"/>
    <n v="2"/>
    <x v="4"/>
    <d v="2023-09-01T00:00:00"/>
    <n v="0"/>
    <x v="11"/>
  </r>
  <r>
    <x v="0"/>
    <x v="6"/>
    <n v="2"/>
    <x v="4"/>
    <d v="2023-09-01T00:00:00"/>
    <n v="0"/>
    <x v="12"/>
  </r>
  <r>
    <x v="0"/>
    <x v="6"/>
    <n v="3"/>
    <x v="5"/>
    <d v="2023-09-01T00:00:00"/>
    <n v="0"/>
    <x v="0"/>
  </r>
  <r>
    <x v="0"/>
    <x v="6"/>
    <n v="3"/>
    <x v="5"/>
    <d v="2023-09-01T00:00:00"/>
    <n v="0"/>
    <x v="1"/>
  </r>
  <r>
    <x v="0"/>
    <x v="6"/>
    <n v="3"/>
    <x v="5"/>
    <d v="2023-09-01T00:00:00"/>
    <n v="0"/>
    <x v="2"/>
  </r>
  <r>
    <x v="0"/>
    <x v="6"/>
    <n v="3"/>
    <x v="5"/>
    <d v="2023-09-01T00:00:00"/>
    <n v="0"/>
    <x v="3"/>
  </r>
  <r>
    <x v="0"/>
    <x v="6"/>
    <n v="3"/>
    <x v="5"/>
    <d v="2023-09-01T00:00:00"/>
    <n v="0"/>
    <x v="4"/>
  </r>
  <r>
    <x v="0"/>
    <x v="6"/>
    <n v="3"/>
    <x v="5"/>
    <d v="2023-09-01T00:00:00"/>
    <n v="94"/>
    <x v="5"/>
  </r>
  <r>
    <x v="0"/>
    <x v="6"/>
    <n v="3"/>
    <x v="5"/>
    <d v="2023-09-01T00:00:00"/>
    <n v="0"/>
    <x v="6"/>
  </r>
  <r>
    <x v="0"/>
    <x v="6"/>
    <n v="3"/>
    <x v="5"/>
    <d v="2023-09-01T00:00:00"/>
    <n v="0"/>
    <x v="7"/>
  </r>
  <r>
    <x v="0"/>
    <x v="6"/>
    <n v="3"/>
    <x v="5"/>
    <d v="2023-09-01T00:00:00"/>
    <n v="0"/>
    <x v="8"/>
  </r>
  <r>
    <x v="0"/>
    <x v="6"/>
    <n v="3"/>
    <x v="5"/>
    <d v="2023-09-01T00:00:00"/>
    <n v="0"/>
    <x v="9"/>
  </r>
  <r>
    <x v="0"/>
    <x v="6"/>
    <n v="3"/>
    <x v="5"/>
    <d v="2023-09-01T00:00:00"/>
    <n v="0"/>
    <x v="10"/>
  </r>
  <r>
    <x v="0"/>
    <x v="6"/>
    <n v="3"/>
    <x v="5"/>
    <d v="2023-09-01T00:00:00"/>
    <n v="0"/>
    <x v="11"/>
  </r>
  <r>
    <x v="0"/>
    <x v="6"/>
    <n v="3"/>
    <x v="5"/>
    <d v="2023-09-01T00:00:00"/>
    <n v="94"/>
    <x v="12"/>
  </r>
  <r>
    <x v="0"/>
    <x v="6"/>
    <n v="4"/>
    <x v="6"/>
    <d v="2023-09-01T00:00:00"/>
    <n v="0"/>
    <x v="0"/>
  </r>
  <r>
    <x v="0"/>
    <x v="6"/>
    <n v="4"/>
    <x v="6"/>
    <d v="2023-09-01T00:00:00"/>
    <n v="0"/>
    <x v="1"/>
  </r>
  <r>
    <x v="0"/>
    <x v="6"/>
    <n v="4"/>
    <x v="6"/>
    <d v="2023-09-01T00:00:00"/>
    <n v="0"/>
    <x v="2"/>
  </r>
  <r>
    <x v="0"/>
    <x v="6"/>
    <n v="4"/>
    <x v="6"/>
    <d v="2023-09-01T00:00:00"/>
    <n v="0"/>
    <x v="3"/>
  </r>
  <r>
    <x v="0"/>
    <x v="6"/>
    <n v="4"/>
    <x v="6"/>
    <d v="2023-09-01T00:00:00"/>
    <n v="0"/>
    <x v="4"/>
  </r>
  <r>
    <x v="0"/>
    <x v="6"/>
    <n v="4"/>
    <x v="6"/>
    <d v="2023-09-01T00:00:00"/>
    <n v="0"/>
    <x v="5"/>
  </r>
  <r>
    <x v="0"/>
    <x v="6"/>
    <n v="4"/>
    <x v="6"/>
    <d v="2023-09-01T00:00:00"/>
    <n v="0"/>
    <x v="6"/>
  </r>
  <r>
    <x v="0"/>
    <x v="6"/>
    <n v="4"/>
    <x v="6"/>
    <d v="2023-09-01T00:00:00"/>
    <n v="0"/>
    <x v="7"/>
  </r>
  <r>
    <x v="0"/>
    <x v="6"/>
    <n v="4"/>
    <x v="6"/>
    <d v="2023-09-01T00:00:00"/>
    <n v="0"/>
    <x v="8"/>
  </r>
  <r>
    <x v="0"/>
    <x v="6"/>
    <n v="4"/>
    <x v="6"/>
    <d v="2023-09-01T00:00:00"/>
    <n v="0"/>
    <x v="9"/>
  </r>
  <r>
    <x v="0"/>
    <x v="6"/>
    <n v="4"/>
    <x v="6"/>
    <d v="2023-09-01T00:00:00"/>
    <n v="0"/>
    <x v="10"/>
  </r>
  <r>
    <x v="0"/>
    <x v="6"/>
    <n v="4"/>
    <x v="6"/>
    <d v="2023-09-01T00:00:00"/>
    <n v="0"/>
    <x v="11"/>
  </r>
  <r>
    <x v="0"/>
    <x v="6"/>
    <n v="4"/>
    <x v="6"/>
    <d v="2023-09-01T00:00:00"/>
    <n v="0"/>
    <x v="12"/>
  </r>
  <r>
    <x v="0"/>
    <x v="6"/>
    <n v="5"/>
    <x v="7"/>
    <d v="2023-09-01T00:00:00"/>
    <n v="0"/>
    <x v="0"/>
  </r>
  <r>
    <x v="0"/>
    <x v="6"/>
    <n v="5"/>
    <x v="7"/>
    <d v="2023-09-01T00:00:00"/>
    <n v="0"/>
    <x v="1"/>
  </r>
  <r>
    <x v="0"/>
    <x v="6"/>
    <n v="5"/>
    <x v="7"/>
    <d v="2023-09-01T00:00:00"/>
    <n v="0"/>
    <x v="2"/>
  </r>
  <r>
    <x v="0"/>
    <x v="6"/>
    <n v="5"/>
    <x v="7"/>
    <d v="2023-09-01T00:00:00"/>
    <n v="0"/>
    <x v="3"/>
  </r>
  <r>
    <x v="0"/>
    <x v="6"/>
    <n v="5"/>
    <x v="7"/>
    <d v="2023-09-01T00:00:00"/>
    <n v="0"/>
    <x v="4"/>
  </r>
  <r>
    <x v="0"/>
    <x v="6"/>
    <n v="5"/>
    <x v="7"/>
    <d v="2023-09-01T00:00:00"/>
    <n v="0"/>
    <x v="5"/>
  </r>
  <r>
    <x v="0"/>
    <x v="6"/>
    <n v="5"/>
    <x v="7"/>
    <d v="2023-09-01T00:00:00"/>
    <n v="0"/>
    <x v="6"/>
  </r>
  <r>
    <x v="0"/>
    <x v="6"/>
    <n v="5"/>
    <x v="7"/>
    <d v="2023-09-01T00:00:00"/>
    <n v="0"/>
    <x v="7"/>
  </r>
  <r>
    <x v="0"/>
    <x v="6"/>
    <n v="5"/>
    <x v="7"/>
    <d v="2023-09-01T00:00:00"/>
    <n v="0"/>
    <x v="8"/>
  </r>
  <r>
    <x v="0"/>
    <x v="6"/>
    <n v="5"/>
    <x v="7"/>
    <d v="2023-09-01T00:00:00"/>
    <n v="0"/>
    <x v="9"/>
  </r>
  <r>
    <x v="0"/>
    <x v="6"/>
    <n v="5"/>
    <x v="7"/>
    <d v="2023-09-01T00:00:00"/>
    <n v="0"/>
    <x v="10"/>
  </r>
  <r>
    <x v="0"/>
    <x v="6"/>
    <n v="5"/>
    <x v="7"/>
    <d v="2023-09-01T00:00:00"/>
    <n v="213"/>
    <x v="11"/>
  </r>
  <r>
    <x v="0"/>
    <x v="6"/>
    <n v="5"/>
    <x v="7"/>
    <d v="2023-09-01T00:00:00"/>
    <n v="213"/>
    <x v="12"/>
  </r>
  <r>
    <x v="0"/>
    <x v="6"/>
    <n v="6"/>
    <x v="8"/>
    <d v="2023-09-01T00:00:00"/>
    <n v="29"/>
    <x v="0"/>
  </r>
  <r>
    <x v="0"/>
    <x v="6"/>
    <n v="6"/>
    <x v="8"/>
    <d v="2023-09-01T00:00:00"/>
    <n v="25"/>
    <x v="1"/>
  </r>
  <r>
    <x v="0"/>
    <x v="6"/>
    <n v="6"/>
    <x v="8"/>
    <d v="2023-09-01T00:00:00"/>
    <n v="31"/>
    <x v="2"/>
  </r>
  <r>
    <x v="0"/>
    <x v="6"/>
    <n v="6"/>
    <x v="8"/>
    <d v="2023-09-01T00:00:00"/>
    <n v="17"/>
    <x v="3"/>
  </r>
  <r>
    <x v="0"/>
    <x v="6"/>
    <n v="6"/>
    <x v="8"/>
    <d v="2023-09-01T00:00:00"/>
    <n v="23"/>
    <x v="4"/>
  </r>
  <r>
    <x v="0"/>
    <x v="6"/>
    <n v="6"/>
    <x v="8"/>
    <d v="2023-09-01T00:00:00"/>
    <n v="52"/>
    <x v="5"/>
  </r>
  <r>
    <x v="0"/>
    <x v="6"/>
    <n v="6"/>
    <x v="8"/>
    <d v="2023-09-01T00:00:00"/>
    <n v="24"/>
    <x v="6"/>
  </r>
  <r>
    <x v="0"/>
    <x v="6"/>
    <n v="6"/>
    <x v="8"/>
    <d v="2023-09-01T00:00:00"/>
    <n v="24"/>
    <x v="7"/>
  </r>
  <r>
    <x v="0"/>
    <x v="6"/>
    <n v="6"/>
    <x v="8"/>
    <d v="2023-09-01T00:00:00"/>
    <n v="24"/>
    <x v="8"/>
  </r>
  <r>
    <x v="0"/>
    <x v="6"/>
    <n v="6"/>
    <x v="8"/>
    <d v="2023-09-01T00:00:00"/>
    <n v="24"/>
    <x v="9"/>
  </r>
  <r>
    <x v="0"/>
    <x v="6"/>
    <n v="6"/>
    <x v="8"/>
    <d v="2023-09-01T00:00:00"/>
    <n v="24"/>
    <x v="10"/>
  </r>
  <r>
    <x v="0"/>
    <x v="6"/>
    <n v="6"/>
    <x v="8"/>
    <d v="2023-09-01T00:00:00"/>
    <n v="15"/>
    <x v="11"/>
  </r>
  <r>
    <x v="0"/>
    <x v="6"/>
    <n v="6"/>
    <x v="8"/>
    <d v="2023-09-01T00:00:00"/>
    <n v="312"/>
    <x v="12"/>
  </r>
  <r>
    <x v="0"/>
    <x v="6"/>
    <n v="7"/>
    <x v="9"/>
    <d v="2023-09-01T00:00:00"/>
    <n v="23343"/>
    <x v="0"/>
  </r>
  <r>
    <x v="0"/>
    <x v="6"/>
    <n v="7"/>
    <x v="9"/>
    <d v="2023-09-01T00:00:00"/>
    <n v="23627"/>
    <x v="1"/>
  </r>
  <r>
    <x v="0"/>
    <x v="6"/>
    <n v="7"/>
    <x v="9"/>
    <d v="2023-09-01T00:00:00"/>
    <n v="24484"/>
    <x v="2"/>
  </r>
  <r>
    <x v="0"/>
    <x v="6"/>
    <n v="7"/>
    <x v="9"/>
    <d v="2023-09-01T00:00:00"/>
    <n v="19951"/>
    <x v="3"/>
  </r>
  <r>
    <x v="0"/>
    <x v="6"/>
    <n v="7"/>
    <x v="9"/>
    <d v="2023-09-01T00:00:00"/>
    <n v="28083"/>
    <x v="4"/>
  </r>
  <r>
    <x v="0"/>
    <x v="6"/>
    <n v="7"/>
    <x v="9"/>
    <d v="2023-09-01T00:00:00"/>
    <n v="25523"/>
    <x v="5"/>
  </r>
  <r>
    <x v="0"/>
    <x v="6"/>
    <n v="7"/>
    <x v="9"/>
    <d v="2023-09-01T00:00:00"/>
    <n v="27974"/>
    <x v="6"/>
  </r>
  <r>
    <x v="0"/>
    <x v="6"/>
    <n v="7"/>
    <x v="9"/>
    <d v="2023-09-01T00:00:00"/>
    <n v="28474"/>
    <x v="7"/>
  </r>
  <r>
    <x v="0"/>
    <x v="6"/>
    <n v="7"/>
    <x v="9"/>
    <d v="2023-09-01T00:00:00"/>
    <n v="31874"/>
    <x v="8"/>
  </r>
  <r>
    <x v="0"/>
    <x v="6"/>
    <n v="7"/>
    <x v="9"/>
    <d v="2023-09-01T00:00:00"/>
    <n v="27774"/>
    <x v="9"/>
  </r>
  <r>
    <x v="0"/>
    <x v="6"/>
    <n v="7"/>
    <x v="9"/>
    <d v="2023-09-01T00:00:00"/>
    <n v="30074"/>
    <x v="10"/>
  </r>
  <r>
    <x v="0"/>
    <x v="6"/>
    <n v="7"/>
    <x v="9"/>
    <d v="2023-09-01T00:00:00"/>
    <n v="29299"/>
    <x v="11"/>
  </r>
  <r>
    <x v="0"/>
    <x v="6"/>
    <n v="7"/>
    <x v="9"/>
    <d v="2023-09-01T00:00:00"/>
    <n v="320480"/>
    <x v="12"/>
  </r>
  <r>
    <x v="0"/>
    <x v="6"/>
    <n v="8"/>
    <x v="11"/>
    <d v="2023-09-01T00:00:00"/>
    <n v="0"/>
    <x v="0"/>
  </r>
  <r>
    <x v="0"/>
    <x v="6"/>
    <n v="8"/>
    <x v="11"/>
    <d v="2023-09-01T00:00:00"/>
    <n v="0"/>
    <x v="1"/>
  </r>
  <r>
    <x v="0"/>
    <x v="6"/>
    <n v="8"/>
    <x v="11"/>
    <d v="2023-09-01T00:00:00"/>
    <n v="0"/>
    <x v="2"/>
  </r>
  <r>
    <x v="0"/>
    <x v="6"/>
    <n v="8"/>
    <x v="11"/>
    <d v="2023-09-01T00:00:00"/>
    <n v="0"/>
    <x v="3"/>
  </r>
  <r>
    <x v="0"/>
    <x v="6"/>
    <n v="8"/>
    <x v="11"/>
    <d v="2023-09-01T00:00:00"/>
    <n v="0"/>
    <x v="4"/>
  </r>
  <r>
    <x v="0"/>
    <x v="6"/>
    <n v="8"/>
    <x v="11"/>
    <d v="2023-09-01T00:00:00"/>
    <n v="0"/>
    <x v="5"/>
  </r>
  <r>
    <x v="0"/>
    <x v="6"/>
    <n v="8"/>
    <x v="11"/>
    <d v="2023-09-01T00:00:00"/>
    <n v="0"/>
    <x v="6"/>
  </r>
  <r>
    <x v="0"/>
    <x v="6"/>
    <n v="8"/>
    <x v="11"/>
    <d v="2023-09-01T00:00:00"/>
    <n v="0"/>
    <x v="7"/>
  </r>
  <r>
    <x v="0"/>
    <x v="6"/>
    <n v="8"/>
    <x v="11"/>
    <d v="2023-09-01T00:00:00"/>
    <n v="0"/>
    <x v="8"/>
  </r>
  <r>
    <x v="0"/>
    <x v="6"/>
    <n v="8"/>
    <x v="11"/>
    <d v="2023-09-01T00:00:00"/>
    <n v="0"/>
    <x v="9"/>
  </r>
  <r>
    <x v="0"/>
    <x v="6"/>
    <n v="8"/>
    <x v="11"/>
    <d v="2023-09-01T00:00:00"/>
    <n v="0"/>
    <x v="10"/>
  </r>
  <r>
    <x v="0"/>
    <x v="6"/>
    <n v="8"/>
    <x v="11"/>
    <d v="2023-09-01T00:00:00"/>
    <n v="0"/>
    <x v="11"/>
  </r>
  <r>
    <x v="0"/>
    <x v="6"/>
    <n v="8"/>
    <x v="11"/>
    <d v="2023-09-01T00:00:00"/>
    <n v="0"/>
    <x v="12"/>
  </r>
  <r>
    <x v="0"/>
    <x v="6"/>
    <n v="9"/>
    <x v="10"/>
    <d v="2023-09-01T00:00:00"/>
    <n v="0"/>
    <x v="0"/>
  </r>
  <r>
    <x v="0"/>
    <x v="6"/>
    <n v="9"/>
    <x v="10"/>
    <d v="2023-09-01T00:00:00"/>
    <n v="0"/>
    <x v="1"/>
  </r>
  <r>
    <x v="0"/>
    <x v="6"/>
    <n v="9"/>
    <x v="10"/>
    <d v="2023-09-01T00:00:00"/>
    <n v="0"/>
    <x v="2"/>
  </r>
  <r>
    <x v="0"/>
    <x v="6"/>
    <n v="9"/>
    <x v="10"/>
    <d v="2023-09-01T00:00:00"/>
    <n v="0"/>
    <x v="3"/>
  </r>
  <r>
    <x v="0"/>
    <x v="6"/>
    <n v="9"/>
    <x v="10"/>
    <d v="2023-09-01T00:00:00"/>
    <n v="0"/>
    <x v="4"/>
  </r>
  <r>
    <x v="0"/>
    <x v="6"/>
    <n v="9"/>
    <x v="10"/>
    <d v="2023-09-01T00:00:00"/>
    <n v="0"/>
    <x v="5"/>
  </r>
  <r>
    <x v="0"/>
    <x v="6"/>
    <n v="9"/>
    <x v="10"/>
    <d v="2023-09-01T00:00:00"/>
    <n v="0"/>
    <x v="6"/>
  </r>
  <r>
    <x v="0"/>
    <x v="6"/>
    <n v="9"/>
    <x v="10"/>
    <d v="2023-09-01T00:00:00"/>
    <n v="0"/>
    <x v="7"/>
  </r>
  <r>
    <x v="0"/>
    <x v="6"/>
    <n v="9"/>
    <x v="10"/>
    <d v="2023-09-01T00:00:00"/>
    <n v="0"/>
    <x v="8"/>
  </r>
  <r>
    <x v="0"/>
    <x v="6"/>
    <n v="9"/>
    <x v="10"/>
    <d v="2023-09-01T00:00:00"/>
    <n v="0"/>
    <x v="9"/>
  </r>
  <r>
    <x v="0"/>
    <x v="6"/>
    <n v="9"/>
    <x v="10"/>
    <d v="2023-09-01T00:00:00"/>
    <n v="0"/>
    <x v="10"/>
  </r>
  <r>
    <x v="0"/>
    <x v="6"/>
    <n v="9"/>
    <x v="10"/>
    <d v="2023-09-01T00:00:00"/>
    <n v="0"/>
    <x v="11"/>
  </r>
  <r>
    <x v="0"/>
    <x v="6"/>
    <n v="9"/>
    <x v="10"/>
    <d v="2023-09-01T00:00:00"/>
    <n v="0"/>
    <x v="12"/>
  </r>
  <r>
    <x v="0"/>
    <x v="6"/>
    <n v="10"/>
    <x v="0"/>
    <d v="2023-09-01T00:00:00"/>
    <n v="2121"/>
    <x v="0"/>
  </r>
  <r>
    <x v="0"/>
    <x v="6"/>
    <n v="10"/>
    <x v="0"/>
    <d v="2023-09-01T00:00:00"/>
    <n v="2195"/>
    <x v="1"/>
  </r>
  <r>
    <x v="0"/>
    <x v="6"/>
    <n v="10"/>
    <x v="0"/>
    <d v="2023-09-01T00:00:00"/>
    <n v="2442"/>
    <x v="2"/>
  </r>
  <r>
    <x v="0"/>
    <x v="6"/>
    <n v="10"/>
    <x v="0"/>
    <d v="2023-09-01T00:00:00"/>
    <n v="2583"/>
    <x v="3"/>
  </r>
  <r>
    <x v="0"/>
    <x v="6"/>
    <n v="10"/>
    <x v="0"/>
    <d v="2023-09-01T00:00:00"/>
    <n v="2342"/>
    <x v="4"/>
  </r>
  <r>
    <x v="0"/>
    <x v="6"/>
    <n v="10"/>
    <x v="0"/>
    <d v="2023-09-01T00:00:00"/>
    <n v="2450"/>
    <x v="5"/>
  </r>
  <r>
    <x v="0"/>
    <x v="6"/>
    <n v="10"/>
    <x v="0"/>
    <d v="2023-09-01T00:00:00"/>
    <n v="2574"/>
    <x v="6"/>
  </r>
  <r>
    <x v="0"/>
    <x v="6"/>
    <n v="10"/>
    <x v="0"/>
    <d v="2023-09-01T00:00:00"/>
    <n v="2492"/>
    <x v="7"/>
  </r>
  <r>
    <x v="0"/>
    <x v="6"/>
    <n v="10"/>
    <x v="0"/>
    <d v="2023-09-01T00:00:00"/>
    <n v="2503"/>
    <x v="8"/>
  </r>
  <r>
    <x v="0"/>
    <x v="6"/>
    <n v="10"/>
    <x v="0"/>
    <d v="2023-09-01T00:00:00"/>
    <n v="2504"/>
    <x v="9"/>
  </r>
  <r>
    <x v="0"/>
    <x v="6"/>
    <n v="10"/>
    <x v="0"/>
    <d v="2023-09-01T00:00:00"/>
    <n v="2589"/>
    <x v="10"/>
  </r>
  <r>
    <x v="0"/>
    <x v="6"/>
    <n v="10"/>
    <x v="0"/>
    <d v="2023-09-01T00:00:00"/>
    <n v="2631"/>
    <x v="11"/>
  </r>
  <r>
    <x v="0"/>
    <x v="6"/>
    <n v="10"/>
    <x v="0"/>
    <d v="2023-09-01T00:00:00"/>
    <n v="29426"/>
    <x v="12"/>
  </r>
  <r>
    <x v="0"/>
    <x v="6"/>
    <n v="11"/>
    <x v="1"/>
    <d v="2023-09-01T00:00:00"/>
    <n v="735"/>
    <x v="0"/>
  </r>
  <r>
    <x v="0"/>
    <x v="6"/>
    <n v="11"/>
    <x v="1"/>
    <d v="2023-09-01T00:00:00"/>
    <n v="885"/>
    <x v="1"/>
  </r>
  <r>
    <x v="0"/>
    <x v="6"/>
    <n v="11"/>
    <x v="1"/>
    <d v="2023-09-01T00:00:00"/>
    <n v="946"/>
    <x v="2"/>
  </r>
  <r>
    <x v="0"/>
    <x v="6"/>
    <n v="11"/>
    <x v="1"/>
    <d v="2023-09-01T00:00:00"/>
    <n v="1386"/>
    <x v="3"/>
  </r>
  <r>
    <x v="0"/>
    <x v="6"/>
    <n v="11"/>
    <x v="1"/>
    <d v="2023-09-01T00:00:00"/>
    <n v="1311"/>
    <x v="4"/>
  </r>
  <r>
    <x v="0"/>
    <x v="6"/>
    <n v="11"/>
    <x v="1"/>
    <d v="2023-09-01T00:00:00"/>
    <n v="1193"/>
    <x v="5"/>
  </r>
  <r>
    <x v="0"/>
    <x v="6"/>
    <n v="11"/>
    <x v="1"/>
    <d v="2023-09-01T00:00:00"/>
    <n v="1621"/>
    <x v="6"/>
  </r>
  <r>
    <x v="0"/>
    <x v="6"/>
    <n v="11"/>
    <x v="1"/>
    <d v="2023-09-01T00:00:00"/>
    <n v="1590"/>
    <x v="7"/>
  </r>
  <r>
    <x v="0"/>
    <x v="6"/>
    <n v="11"/>
    <x v="1"/>
    <d v="2023-09-01T00:00:00"/>
    <n v="1857"/>
    <x v="8"/>
  </r>
  <r>
    <x v="0"/>
    <x v="6"/>
    <n v="11"/>
    <x v="1"/>
    <d v="2023-09-01T00:00:00"/>
    <n v="1430"/>
    <x v="9"/>
  </r>
  <r>
    <x v="0"/>
    <x v="6"/>
    <n v="11"/>
    <x v="1"/>
    <d v="2023-09-01T00:00:00"/>
    <n v="1996"/>
    <x v="10"/>
  </r>
  <r>
    <x v="0"/>
    <x v="6"/>
    <n v="11"/>
    <x v="1"/>
    <d v="2023-09-01T00:00:00"/>
    <n v="3676"/>
    <x v="11"/>
  </r>
  <r>
    <x v="0"/>
    <x v="6"/>
    <n v="11"/>
    <x v="1"/>
    <d v="2023-09-01T00:00:00"/>
    <n v="18626"/>
    <x v="12"/>
  </r>
  <r>
    <x v="0"/>
    <x v="6"/>
    <n v="12"/>
    <x v="2"/>
    <d v="2023-09-01T00:00:00"/>
    <n v="0"/>
    <x v="0"/>
  </r>
  <r>
    <x v="0"/>
    <x v="6"/>
    <n v="12"/>
    <x v="2"/>
    <d v="2023-09-01T00:00:00"/>
    <n v="0"/>
    <x v="1"/>
  </r>
  <r>
    <x v="0"/>
    <x v="6"/>
    <n v="12"/>
    <x v="2"/>
    <d v="2023-09-01T00:00:00"/>
    <n v="0"/>
    <x v="2"/>
  </r>
  <r>
    <x v="0"/>
    <x v="6"/>
    <n v="12"/>
    <x v="2"/>
    <d v="2023-09-01T00:00:00"/>
    <n v="0"/>
    <x v="3"/>
  </r>
  <r>
    <x v="0"/>
    <x v="6"/>
    <n v="12"/>
    <x v="2"/>
    <d v="2023-09-01T00:00:00"/>
    <n v="0"/>
    <x v="4"/>
  </r>
  <r>
    <x v="0"/>
    <x v="6"/>
    <n v="12"/>
    <x v="2"/>
    <d v="2023-09-01T00:00:00"/>
    <n v="0"/>
    <x v="5"/>
  </r>
  <r>
    <x v="0"/>
    <x v="6"/>
    <n v="12"/>
    <x v="2"/>
    <d v="2023-09-01T00:00:00"/>
    <n v="0"/>
    <x v="6"/>
  </r>
  <r>
    <x v="0"/>
    <x v="6"/>
    <n v="12"/>
    <x v="2"/>
    <d v="2023-09-01T00:00:00"/>
    <n v="0"/>
    <x v="7"/>
  </r>
  <r>
    <x v="0"/>
    <x v="6"/>
    <n v="12"/>
    <x v="2"/>
    <d v="2023-09-01T00:00:00"/>
    <n v="0"/>
    <x v="8"/>
  </r>
  <r>
    <x v="0"/>
    <x v="6"/>
    <n v="12"/>
    <x v="2"/>
    <d v="2023-09-01T00:00:00"/>
    <n v="0"/>
    <x v="9"/>
  </r>
  <r>
    <x v="0"/>
    <x v="6"/>
    <n v="12"/>
    <x v="2"/>
    <d v="2023-09-01T00:00:00"/>
    <n v="0"/>
    <x v="10"/>
  </r>
  <r>
    <x v="0"/>
    <x v="6"/>
    <n v="12"/>
    <x v="2"/>
    <d v="2023-09-01T00:00:00"/>
    <n v="0"/>
    <x v="11"/>
  </r>
  <r>
    <x v="0"/>
    <x v="6"/>
    <n v="12"/>
    <x v="2"/>
    <d v="2023-09-01T00:00:00"/>
    <n v="0"/>
    <x v="12"/>
  </r>
  <r>
    <x v="0"/>
    <x v="6"/>
    <n v="13"/>
    <x v="12"/>
    <d v="2023-09-01T00:00:00"/>
    <n v="0"/>
    <x v="0"/>
  </r>
  <r>
    <x v="0"/>
    <x v="6"/>
    <n v="13"/>
    <x v="12"/>
    <d v="2023-09-01T00:00:00"/>
    <n v="0"/>
    <x v="1"/>
  </r>
  <r>
    <x v="0"/>
    <x v="6"/>
    <n v="13"/>
    <x v="12"/>
    <d v="2023-09-01T00:00:00"/>
    <n v="0"/>
    <x v="2"/>
  </r>
  <r>
    <x v="0"/>
    <x v="6"/>
    <n v="13"/>
    <x v="12"/>
    <d v="2023-09-01T00:00:00"/>
    <n v="0"/>
    <x v="3"/>
  </r>
  <r>
    <x v="0"/>
    <x v="6"/>
    <n v="13"/>
    <x v="12"/>
    <d v="2023-09-01T00:00:00"/>
    <n v="0"/>
    <x v="4"/>
  </r>
  <r>
    <x v="0"/>
    <x v="6"/>
    <n v="13"/>
    <x v="12"/>
    <d v="2023-09-01T00:00:00"/>
    <n v="0"/>
    <x v="5"/>
  </r>
  <r>
    <x v="0"/>
    <x v="6"/>
    <n v="13"/>
    <x v="12"/>
    <d v="2023-09-01T00:00:00"/>
    <n v="0"/>
    <x v="6"/>
  </r>
  <r>
    <x v="0"/>
    <x v="6"/>
    <n v="13"/>
    <x v="12"/>
    <d v="2023-09-01T00:00:00"/>
    <n v="0"/>
    <x v="7"/>
  </r>
  <r>
    <x v="0"/>
    <x v="6"/>
    <n v="13"/>
    <x v="12"/>
    <d v="2023-09-01T00:00:00"/>
    <n v="0"/>
    <x v="8"/>
  </r>
  <r>
    <x v="0"/>
    <x v="6"/>
    <n v="13"/>
    <x v="12"/>
    <d v="2023-09-01T00:00:00"/>
    <n v="0"/>
    <x v="9"/>
  </r>
  <r>
    <x v="0"/>
    <x v="6"/>
    <n v="13"/>
    <x v="12"/>
    <d v="2023-09-01T00:00:00"/>
    <n v="0"/>
    <x v="10"/>
  </r>
  <r>
    <x v="0"/>
    <x v="6"/>
    <n v="13"/>
    <x v="12"/>
    <d v="2023-09-01T00:00:00"/>
    <n v="0"/>
    <x v="11"/>
  </r>
  <r>
    <x v="0"/>
    <x v="6"/>
    <n v="13"/>
    <x v="12"/>
    <d v="2023-09-01T00:00:00"/>
    <n v="0"/>
    <x v="12"/>
  </r>
  <r>
    <x v="0"/>
    <x v="6"/>
    <n v="14"/>
    <x v="13"/>
    <d v="2023-09-01T00:00:00"/>
    <n v="0"/>
    <x v="0"/>
  </r>
  <r>
    <x v="0"/>
    <x v="6"/>
    <n v="14"/>
    <x v="13"/>
    <d v="2023-09-01T00:00:00"/>
    <n v="0"/>
    <x v="1"/>
  </r>
  <r>
    <x v="0"/>
    <x v="6"/>
    <n v="14"/>
    <x v="13"/>
    <d v="2023-09-01T00:00:00"/>
    <n v="0"/>
    <x v="2"/>
  </r>
  <r>
    <x v="0"/>
    <x v="6"/>
    <n v="14"/>
    <x v="13"/>
    <d v="2023-09-01T00:00:00"/>
    <n v="0"/>
    <x v="3"/>
  </r>
  <r>
    <x v="0"/>
    <x v="6"/>
    <n v="14"/>
    <x v="13"/>
    <d v="2023-09-01T00:00:00"/>
    <n v="0"/>
    <x v="4"/>
  </r>
  <r>
    <x v="0"/>
    <x v="6"/>
    <n v="14"/>
    <x v="13"/>
    <d v="2023-09-01T00:00:00"/>
    <n v="0"/>
    <x v="5"/>
  </r>
  <r>
    <x v="0"/>
    <x v="6"/>
    <n v="14"/>
    <x v="13"/>
    <d v="2023-09-01T00:00:00"/>
    <n v="0"/>
    <x v="6"/>
  </r>
  <r>
    <x v="0"/>
    <x v="6"/>
    <n v="14"/>
    <x v="13"/>
    <d v="2023-09-01T00:00:00"/>
    <n v="0"/>
    <x v="7"/>
  </r>
  <r>
    <x v="0"/>
    <x v="6"/>
    <n v="14"/>
    <x v="13"/>
    <d v="2023-09-01T00:00:00"/>
    <n v="0"/>
    <x v="8"/>
  </r>
  <r>
    <x v="0"/>
    <x v="6"/>
    <n v="14"/>
    <x v="13"/>
    <d v="2023-09-01T00:00:00"/>
    <n v="0"/>
    <x v="9"/>
  </r>
  <r>
    <x v="0"/>
    <x v="6"/>
    <n v="14"/>
    <x v="13"/>
    <d v="2023-09-01T00:00:00"/>
    <n v="0"/>
    <x v="10"/>
  </r>
  <r>
    <x v="0"/>
    <x v="6"/>
    <n v="14"/>
    <x v="13"/>
    <d v="2023-09-01T00:00:00"/>
    <n v="0"/>
    <x v="11"/>
  </r>
  <r>
    <x v="0"/>
    <x v="6"/>
    <n v="14"/>
    <x v="13"/>
    <d v="2023-09-01T00:00:00"/>
    <n v="0"/>
    <x v="12"/>
  </r>
  <r>
    <x v="0"/>
    <x v="6"/>
    <n v="15"/>
    <x v="14"/>
    <d v="2023-09-01T00:00:00"/>
    <n v="0"/>
    <x v="0"/>
  </r>
  <r>
    <x v="0"/>
    <x v="6"/>
    <n v="15"/>
    <x v="14"/>
    <d v="2023-09-01T00:00:00"/>
    <n v="0"/>
    <x v="1"/>
  </r>
  <r>
    <x v="0"/>
    <x v="6"/>
    <n v="15"/>
    <x v="14"/>
    <d v="2023-09-01T00:00:00"/>
    <n v="0"/>
    <x v="2"/>
  </r>
  <r>
    <x v="0"/>
    <x v="6"/>
    <n v="15"/>
    <x v="14"/>
    <d v="2023-09-01T00:00:00"/>
    <n v="0"/>
    <x v="3"/>
  </r>
  <r>
    <x v="0"/>
    <x v="6"/>
    <n v="15"/>
    <x v="14"/>
    <d v="2023-09-01T00:00:00"/>
    <n v="0"/>
    <x v="4"/>
  </r>
  <r>
    <x v="0"/>
    <x v="6"/>
    <n v="15"/>
    <x v="14"/>
    <d v="2023-09-01T00:00:00"/>
    <n v="0"/>
    <x v="5"/>
  </r>
  <r>
    <x v="0"/>
    <x v="6"/>
    <n v="15"/>
    <x v="14"/>
    <d v="2023-09-01T00:00:00"/>
    <n v="0"/>
    <x v="6"/>
  </r>
  <r>
    <x v="0"/>
    <x v="6"/>
    <n v="15"/>
    <x v="14"/>
    <d v="2023-09-01T00:00:00"/>
    <n v="0"/>
    <x v="7"/>
  </r>
  <r>
    <x v="0"/>
    <x v="6"/>
    <n v="15"/>
    <x v="14"/>
    <d v="2023-09-01T00:00:00"/>
    <n v="0"/>
    <x v="8"/>
  </r>
  <r>
    <x v="0"/>
    <x v="6"/>
    <n v="15"/>
    <x v="14"/>
    <d v="2023-09-01T00:00:00"/>
    <n v="0"/>
    <x v="9"/>
  </r>
  <r>
    <x v="0"/>
    <x v="6"/>
    <n v="15"/>
    <x v="14"/>
    <d v="2023-09-01T00:00:00"/>
    <n v="0"/>
    <x v="10"/>
  </r>
  <r>
    <x v="0"/>
    <x v="6"/>
    <n v="15"/>
    <x v="14"/>
    <d v="2023-09-01T00:00:00"/>
    <n v="0"/>
    <x v="11"/>
  </r>
  <r>
    <x v="0"/>
    <x v="6"/>
    <n v="15"/>
    <x v="14"/>
    <d v="2023-09-01T00:00:00"/>
    <n v="0"/>
    <x v="12"/>
  </r>
  <r>
    <x v="0"/>
    <x v="6"/>
    <n v="16"/>
    <x v="15"/>
    <d v="2023-09-01T00:00:00"/>
    <n v="20413"/>
    <x v="0"/>
  </r>
  <r>
    <x v="0"/>
    <x v="6"/>
    <n v="16"/>
    <x v="15"/>
    <d v="2023-09-01T00:00:00"/>
    <n v="20447"/>
    <x v="1"/>
  </r>
  <r>
    <x v="0"/>
    <x v="6"/>
    <n v="16"/>
    <x v="15"/>
    <d v="2023-09-01T00:00:00"/>
    <n v="20913"/>
    <x v="2"/>
  </r>
  <r>
    <x v="0"/>
    <x v="6"/>
    <n v="16"/>
    <x v="15"/>
    <d v="2023-09-01T00:00:00"/>
    <n v="15877"/>
    <x v="3"/>
  </r>
  <r>
    <x v="0"/>
    <x v="6"/>
    <n v="16"/>
    <x v="15"/>
    <d v="2023-09-01T00:00:00"/>
    <n v="24245"/>
    <x v="4"/>
  </r>
  <r>
    <x v="0"/>
    <x v="6"/>
    <n v="16"/>
    <x v="15"/>
    <d v="2023-09-01T00:00:00"/>
    <n v="21670"/>
    <x v="5"/>
  </r>
  <r>
    <x v="0"/>
    <x v="6"/>
    <n v="16"/>
    <x v="15"/>
    <d v="2023-09-01T00:00:00"/>
    <n v="23764"/>
    <x v="6"/>
  </r>
  <r>
    <x v="0"/>
    <x v="6"/>
    <n v="16"/>
    <x v="15"/>
    <d v="2023-09-01T00:00:00"/>
    <n v="24407"/>
    <x v="7"/>
  </r>
  <r>
    <x v="0"/>
    <x v="6"/>
    <n v="16"/>
    <x v="15"/>
    <d v="2023-09-01T00:00:00"/>
    <n v="27535"/>
    <x v="8"/>
  </r>
  <r>
    <x v="0"/>
    <x v="6"/>
    <n v="16"/>
    <x v="15"/>
    <d v="2023-09-01T00:00:00"/>
    <n v="23882"/>
    <x v="9"/>
  </r>
  <r>
    <x v="0"/>
    <x v="6"/>
    <n v="16"/>
    <x v="15"/>
    <d v="2023-09-01T00:00:00"/>
    <n v="25505"/>
    <x v="10"/>
  </r>
  <r>
    <x v="0"/>
    <x v="6"/>
    <n v="16"/>
    <x v="15"/>
    <d v="2023-09-01T00:00:00"/>
    <n v="22953"/>
    <x v="11"/>
  </r>
  <r>
    <x v="0"/>
    <x v="6"/>
    <n v="16"/>
    <x v="15"/>
    <d v="2023-09-01T00:00:00"/>
    <n v="271611"/>
    <x v="12"/>
  </r>
  <r>
    <x v="0"/>
    <x v="6"/>
    <n v="17"/>
    <x v="16"/>
    <d v="2023-09-01T00:00:00"/>
    <n v="0"/>
    <x v="0"/>
  </r>
  <r>
    <x v="0"/>
    <x v="6"/>
    <n v="17"/>
    <x v="16"/>
    <d v="2023-09-01T00:00:00"/>
    <n v="0"/>
    <x v="1"/>
  </r>
  <r>
    <x v="0"/>
    <x v="6"/>
    <n v="17"/>
    <x v="16"/>
    <d v="2023-09-01T00:00:00"/>
    <n v="0"/>
    <x v="2"/>
  </r>
  <r>
    <x v="0"/>
    <x v="6"/>
    <n v="17"/>
    <x v="16"/>
    <d v="2023-09-01T00:00:00"/>
    <n v="0"/>
    <x v="3"/>
  </r>
  <r>
    <x v="0"/>
    <x v="6"/>
    <n v="17"/>
    <x v="16"/>
    <d v="2023-09-01T00:00:00"/>
    <n v="0"/>
    <x v="4"/>
  </r>
  <r>
    <x v="0"/>
    <x v="6"/>
    <n v="17"/>
    <x v="16"/>
    <d v="2023-09-01T00:00:00"/>
    <n v="0"/>
    <x v="5"/>
  </r>
  <r>
    <x v="0"/>
    <x v="6"/>
    <n v="17"/>
    <x v="16"/>
    <d v="2023-09-01T00:00:00"/>
    <n v="0"/>
    <x v="6"/>
  </r>
  <r>
    <x v="0"/>
    <x v="6"/>
    <n v="17"/>
    <x v="16"/>
    <d v="2023-09-01T00:00:00"/>
    <n v="0"/>
    <x v="7"/>
  </r>
  <r>
    <x v="0"/>
    <x v="6"/>
    <n v="17"/>
    <x v="16"/>
    <d v="2023-09-01T00:00:00"/>
    <n v="0"/>
    <x v="8"/>
  </r>
  <r>
    <x v="0"/>
    <x v="6"/>
    <n v="17"/>
    <x v="16"/>
    <d v="2023-09-01T00:00:00"/>
    <n v="0"/>
    <x v="9"/>
  </r>
  <r>
    <x v="0"/>
    <x v="6"/>
    <n v="17"/>
    <x v="16"/>
    <d v="2023-09-01T00:00:00"/>
    <n v="0"/>
    <x v="10"/>
  </r>
  <r>
    <x v="0"/>
    <x v="6"/>
    <n v="17"/>
    <x v="16"/>
    <d v="2023-09-01T00:00:00"/>
    <n v="0"/>
    <x v="11"/>
  </r>
  <r>
    <x v="0"/>
    <x v="6"/>
    <n v="17"/>
    <x v="16"/>
    <d v="2023-09-01T00:00:00"/>
    <n v="0"/>
    <x v="12"/>
  </r>
  <r>
    <x v="0"/>
    <x v="6"/>
    <n v="18"/>
    <x v="17"/>
    <d v="2023-09-01T00:00:00"/>
    <n v="0"/>
    <x v="0"/>
  </r>
  <r>
    <x v="0"/>
    <x v="6"/>
    <n v="18"/>
    <x v="17"/>
    <d v="2023-09-01T00:00:00"/>
    <n v="0"/>
    <x v="1"/>
  </r>
  <r>
    <x v="0"/>
    <x v="6"/>
    <n v="18"/>
    <x v="17"/>
    <d v="2023-09-01T00:00:00"/>
    <n v="0"/>
    <x v="2"/>
  </r>
  <r>
    <x v="0"/>
    <x v="6"/>
    <n v="18"/>
    <x v="17"/>
    <d v="2023-09-01T00:00:00"/>
    <n v="0"/>
    <x v="3"/>
  </r>
  <r>
    <x v="0"/>
    <x v="6"/>
    <n v="18"/>
    <x v="17"/>
    <d v="2023-09-01T00:00:00"/>
    <n v="0"/>
    <x v="4"/>
  </r>
  <r>
    <x v="0"/>
    <x v="6"/>
    <n v="18"/>
    <x v="17"/>
    <d v="2023-09-01T00:00:00"/>
    <n v="0"/>
    <x v="5"/>
  </r>
  <r>
    <x v="0"/>
    <x v="6"/>
    <n v="18"/>
    <x v="17"/>
    <d v="2023-09-01T00:00:00"/>
    <n v="0"/>
    <x v="6"/>
  </r>
  <r>
    <x v="0"/>
    <x v="6"/>
    <n v="18"/>
    <x v="17"/>
    <d v="2023-09-01T00:00:00"/>
    <n v="0"/>
    <x v="7"/>
  </r>
  <r>
    <x v="0"/>
    <x v="6"/>
    <n v="18"/>
    <x v="17"/>
    <d v="2023-09-01T00:00:00"/>
    <n v="0"/>
    <x v="8"/>
  </r>
  <r>
    <x v="0"/>
    <x v="6"/>
    <n v="18"/>
    <x v="17"/>
    <d v="2023-09-01T00:00:00"/>
    <n v="0"/>
    <x v="9"/>
  </r>
  <r>
    <x v="0"/>
    <x v="6"/>
    <n v="18"/>
    <x v="17"/>
    <d v="2023-09-01T00:00:00"/>
    <n v="0"/>
    <x v="10"/>
  </r>
  <r>
    <x v="0"/>
    <x v="6"/>
    <n v="18"/>
    <x v="17"/>
    <d v="2023-09-01T00:00:00"/>
    <n v="0"/>
    <x v="11"/>
  </r>
  <r>
    <x v="0"/>
    <x v="6"/>
    <n v="18"/>
    <x v="17"/>
    <d v="2023-09-01T00:00:00"/>
    <n v="0"/>
    <x v="12"/>
  </r>
  <r>
    <x v="0"/>
    <x v="6"/>
    <n v="19"/>
    <x v="18"/>
    <d v="2023-09-01T00:00:00"/>
    <n v="0"/>
    <x v="0"/>
  </r>
  <r>
    <x v="0"/>
    <x v="6"/>
    <n v="19"/>
    <x v="18"/>
    <d v="2023-09-01T00:00:00"/>
    <n v="0"/>
    <x v="1"/>
  </r>
  <r>
    <x v="0"/>
    <x v="6"/>
    <n v="19"/>
    <x v="18"/>
    <d v="2023-09-01T00:00:00"/>
    <n v="0"/>
    <x v="2"/>
  </r>
  <r>
    <x v="0"/>
    <x v="6"/>
    <n v="19"/>
    <x v="18"/>
    <d v="2023-09-01T00:00:00"/>
    <n v="0"/>
    <x v="3"/>
  </r>
  <r>
    <x v="0"/>
    <x v="6"/>
    <n v="19"/>
    <x v="18"/>
    <d v="2023-09-01T00:00:00"/>
    <n v="0"/>
    <x v="4"/>
  </r>
  <r>
    <x v="0"/>
    <x v="6"/>
    <n v="19"/>
    <x v="18"/>
    <d v="2023-09-01T00:00:00"/>
    <n v="0"/>
    <x v="5"/>
  </r>
  <r>
    <x v="0"/>
    <x v="6"/>
    <n v="19"/>
    <x v="18"/>
    <d v="2023-09-01T00:00:00"/>
    <n v="0"/>
    <x v="6"/>
  </r>
  <r>
    <x v="0"/>
    <x v="6"/>
    <n v="19"/>
    <x v="18"/>
    <d v="2023-09-01T00:00:00"/>
    <n v="0"/>
    <x v="7"/>
  </r>
  <r>
    <x v="0"/>
    <x v="6"/>
    <n v="19"/>
    <x v="18"/>
    <d v="2023-09-01T00:00:00"/>
    <n v="0"/>
    <x v="8"/>
  </r>
  <r>
    <x v="0"/>
    <x v="6"/>
    <n v="19"/>
    <x v="18"/>
    <d v="2023-09-01T00:00:00"/>
    <n v="0"/>
    <x v="9"/>
  </r>
  <r>
    <x v="0"/>
    <x v="6"/>
    <n v="19"/>
    <x v="18"/>
    <d v="2023-09-01T00:00:00"/>
    <n v="0"/>
    <x v="10"/>
  </r>
  <r>
    <x v="0"/>
    <x v="6"/>
    <n v="19"/>
    <x v="18"/>
    <d v="2023-09-01T00:00:00"/>
    <n v="0"/>
    <x v="11"/>
  </r>
  <r>
    <x v="0"/>
    <x v="6"/>
    <n v="19"/>
    <x v="18"/>
    <d v="2023-09-01T00:00:00"/>
    <n v="0"/>
    <x v="12"/>
  </r>
  <r>
    <x v="0"/>
    <x v="6"/>
    <n v="20"/>
    <x v="19"/>
    <d v="2023-09-01T00:00:00"/>
    <n v="0"/>
    <x v="0"/>
  </r>
  <r>
    <x v="0"/>
    <x v="6"/>
    <n v="20"/>
    <x v="19"/>
    <d v="2023-09-01T00:00:00"/>
    <n v="0"/>
    <x v="1"/>
  </r>
  <r>
    <x v="0"/>
    <x v="6"/>
    <n v="20"/>
    <x v="19"/>
    <d v="2023-09-01T00:00:00"/>
    <n v="0"/>
    <x v="2"/>
  </r>
  <r>
    <x v="0"/>
    <x v="6"/>
    <n v="20"/>
    <x v="19"/>
    <d v="2023-09-01T00:00:00"/>
    <n v="0"/>
    <x v="3"/>
  </r>
  <r>
    <x v="0"/>
    <x v="6"/>
    <n v="20"/>
    <x v="19"/>
    <d v="2023-09-01T00:00:00"/>
    <n v="0"/>
    <x v="4"/>
  </r>
  <r>
    <x v="0"/>
    <x v="6"/>
    <n v="20"/>
    <x v="19"/>
    <d v="2023-09-01T00:00:00"/>
    <n v="0"/>
    <x v="5"/>
  </r>
  <r>
    <x v="0"/>
    <x v="6"/>
    <n v="20"/>
    <x v="19"/>
    <d v="2023-09-01T00:00:00"/>
    <n v="0"/>
    <x v="6"/>
  </r>
  <r>
    <x v="0"/>
    <x v="6"/>
    <n v="20"/>
    <x v="19"/>
    <d v="2023-09-01T00:00:00"/>
    <n v="0"/>
    <x v="7"/>
  </r>
  <r>
    <x v="0"/>
    <x v="6"/>
    <n v="20"/>
    <x v="19"/>
    <d v="2023-09-01T00:00:00"/>
    <n v="0"/>
    <x v="8"/>
  </r>
  <r>
    <x v="0"/>
    <x v="6"/>
    <n v="20"/>
    <x v="19"/>
    <d v="2023-09-01T00:00:00"/>
    <n v="0"/>
    <x v="9"/>
  </r>
  <r>
    <x v="0"/>
    <x v="6"/>
    <n v="20"/>
    <x v="19"/>
    <d v="2023-09-01T00:00:00"/>
    <n v="0"/>
    <x v="10"/>
  </r>
  <r>
    <x v="0"/>
    <x v="6"/>
    <n v="20"/>
    <x v="19"/>
    <d v="2023-09-01T00:00:00"/>
    <n v="0"/>
    <x v="11"/>
  </r>
  <r>
    <x v="0"/>
    <x v="6"/>
    <n v="20"/>
    <x v="19"/>
    <d v="2023-09-01T00:00:00"/>
    <n v="0"/>
    <x v="12"/>
  </r>
  <r>
    <x v="0"/>
    <x v="6"/>
    <n v="21"/>
    <x v="20"/>
    <d v="2023-09-01T00:00:00"/>
    <n v="0"/>
    <x v="0"/>
  </r>
  <r>
    <x v="0"/>
    <x v="6"/>
    <n v="21"/>
    <x v="20"/>
    <d v="2023-09-01T00:00:00"/>
    <n v="0"/>
    <x v="1"/>
  </r>
  <r>
    <x v="0"/>
    <x v="6"/>
    <n v="21"/>
    <x v="20"/>
    <d v="2023-09-01T00:00:00"/>
    <n v="0"/>
    <x v="2"/>
  </r>
  <r>
    <x v="0"/>
    <x v="6"/>
    <n v="21"/>
    <x v="20"/>
    <d v="2023-09-01T00:00:00"/>
    <n v="0"/>
    <x v="3"/>
  </r>
  <r>
    <x v="0"/>
    <x v="6"/>
    <n v="21"/>
    <x v="20"/>
    <d v="2023-09-01T00:00:00"/>
    <n v="0"/>
    <x v="4"/>
  </r>
  <r>
    <x v="0"/>
    <x v="6"/>
    <n v="21"/>
    <x v="20"/>
    <d v="2023-09-01T00:00:00"/>
    <n v="0"/>
    <x v="5"/>
  </r>
  <r>
    <x v="0"/>
    <x v="6"/>
    <n v="21"/>
    <x v="20"/>
    <d v="2023-09-01T00:00:00"/>
    <n v="0"/>
    <x v="6"/>
  </r>
  <r>
    <x v="0"/>
    <x v="6"/>
    <n v="21"/>
    <x v="20"/>
    <d v="2023-09-01T00:00:00"/>
    <n v="0"/>
    <x v="7"/>
  </r>
  <r>
    <x v="0"/>
    <x v="6"/>
    <n v="21"/>
    <x v="20"/>
    <d v="2023-09-01T00:00:00"/>
    <n v="0"/>
    <x v="8"/>
  </r>
  <r>
    <x v="0"/>
    <x v="6"/>
    <n v="21"/>
    <x v="20"/>
    <d v="2023-09-01T00:00:00"/>
    <n v="0"/>
    <x v="9"/>
  </r>
  <r>
    <x v="0"/>
    <x v="6"/>
    <n v="21"/>
    <x v="20"/>
    <d v="2023-09-01T00:00:00"/>
    <n v="0"/>
    <x v="10"/>
  </r>
  <r>
    <x v="0"/>
    <x v="6"/>
    <n v="21"/>
    <x v="20"/>
    <d v="2023-09-01T00:00:00"/>
    <n v="0"/>
    <x v="11"/>
  </r>
  <r>
    <x v="0"/>
    <x v="6"/>
    <n v="21"/>
    <x v="20"/>
    <d v="2023-09-01T00:00:00"/>
    <n v="0"/>
    <x v="12"/>
  </r>
  <r>
    <x v="0"/>
    <x v="6"/>
    <n v="22"/>
    <x v="21"/>
    <d v="2023-09-01T00:00:00"/>
    <n v="72"/>
    <x v="0"/>
  </r>
  <r>
    <x v="0"/>
    <x v="6"/>
    <n v="22"/>
    <x v="21"/>
    <d v="2023-09-01T00:00:00"/>
    <n v="69"/>
    <x v="1"/>
  </r>
  <r>
    <x v="0"/>
    <x v="6"/>
    <n v="22"/>
    <x v="21"/>
    <d v="2023-09-01T00:00:00"/>
    <n v="80"/>
    <x v="2"/>
  </r>
  <r>
    <x v="0"/>
    <x v="6"/>
    <n v="22"/>
    <x v="21"/>
    <d v="2023-09-01T00:00:00"/>
    <n v="74"/>
    <x v="3"/>
  </r>
  <r>
    <x v="0"/>
    <x v="6"/>
    <n v="22"/>
    <x v="21"/>
    <d v="2023-09-01T00:00:00"/>
    <n v="74"/>
    <x v="4"/>
  </r>
  <r>
    <x v="0"/>
    <x v="6"/>
    <n v="22"/>
    <x v="21"/>
    <d v="2023-09-01T00:00:00"/>
    <n v="74"/>
    <x v="5"/>
  </r>
  <r>
    <x v="0"/>
    <x v="6"/>
    <n v="22"/>
    <x v="21"/>
    <d v="2023-09-01T00:00:00"/>
    <n v="74"/>
    <x v="6"/>
  </r>
  <r>
    <x v="0"/>
    <x v="6"/>
    <n v="22"/>
    <x v="21"/>
    <d v="2023-09-01T00:00:00"/>
    <n v="74"/>
    <x v="7"/>
  </r>
  <r>
    <x v="0"/>
    <x v="6"/>
    <n v="22"/>
    <x v="21"/>
    <d v="2023-09-01T00:00:00"/>
    <n v="74"/>
    <x v="8"/>
  </r>
  <r>
    <x v="0"/>
    <x v="6"/>
    <n v="22"/>
    <x v="21"/>
    <d v="2023-09-01T00:00:00"/>
    <n v="50"/>
    <x v="9"/>
  </r>
  <r>
    <x v="0"/>
    <x v="6"/>
    <n v="22"/>
    <x v="21"/>
    <d v="2023-09-01T00:00:00"/>
    <n v="51"/>
    <x v="10"/>
  </r>
  <r>
    <x v="0"/>
    <x v="6"/>
    <n v="22"/>
    <x v="21"/>
    <d v="2023-09-01T00:00:00"/>
    <n v="51"/>
    <x v="11"/>
  </r>
  <r>
    <x v="0"/>
    <x v="6"/>
    <n v="22"/>
    <x v="21"/>
    <d v="2023-09-01T00:00:00"/>
    <n v="817"/>
    <x v="12"/>
  </r>
  <r>
    <x v="0"/>
    <x v="6"/>
    <n v="23"/>
    <x v="22"/>
    <d v="2023-09-01T00:00:00"/>
    <n v="0"/>
    <x v="0"/>
  </r>
  <r>
    <x v="0"/>
    <x v="6"/>
    <n v="23"/>
    <x v="22"/>
    <d v="2023-09-01T00:00:00"/>
    <n v="0"/>
    <x v="1"/>
  </r>
  <r>
    <x v="0"/>
    <x v="6"/>
    <n v="23"/>
    <x v="22"/>
    <d v="2023-09-01T00:00:00"/>
    <n v="0"/>
    <x v="2"/>
  </r>
  <r>
    <x v="0"/>
    <x v="6"/>
    <n v="23"/>
    <x v="22"/>
    <d v="2023-09-01T00:00:00"/>
    <n v="0"/>
    <x v="3"/>
  </r>
  <r>
    <x v="0"/>
    <x v="6"/>
    <n v="23"/>
    <x v="22"/>
    <d v="2023-09-01T00:00:00"/>
    <n v="0"/>
    <x v="4"/>
  </r>
  <r>
    <x v="0"/>
    <x v="6"/>
    <n v="23"/>
    <x v="22"/>
    <d v="2023-09-01T00:00:00"/>
    <n v="0"/>
    <x v="5"/>
  </r>
  <r>
    <x v="0"/>
    <x v="6"/>
    <n v="23"/>
    <x v="22"/>
    <d v="2023-09-01T00:00:00"/>
    <n v="0"/>
    <x v="6"/>
  </r>
  <r>
    <x v="0"/>
    <x v="6"/>
    <n v="23"/>
    <x v="22"/>
    <d v="2023-09-01T00:00:00"/>
    <n v="0"/>
    <x v="7"/>
  </r>
  <r>
    <x v="0"/>
    <x v="6"/>
    <n v="23"/>
    <x v="22"/>
    <d v="2023-09-01T00:00:00"/>
    <n v="0"/>
    <x v="8"/>
  </r>
  <r>
    <x v="0"/>
    <x v="6"/>
    <n v="23"/>
    <x v="22"/>
    <d v="2023-09-01T00:00:00"/>
    <n v="0"/>
    <x v="9"/>
  </r>
  <r>
    <x v="0"/>
    <x v="6"/>
    <n v="23"/>
    <x v="22"/>
    <d v="2023-09-01T00:00:00"/>
    <n v="0"/>
    <x v="10"/>
  </r>
  <r>
    <x v="0"/>
    <x v="6"/>
    <n v="23"/>
    <x v="22"/>
    <d v="2023-09-01T00:00:00"/>
    <n v="0"/>
    <x v="11"/>
  </r>
  <r>
    <x v="0"/>
    <x v="6"/>
    <n v="23"/>
    <x v="22"/>
    <d v="2023-09-01T00:00:00"/>
    <n v="0"/>
    <x v="12"/>
  </r>
  <r>
    <x v="0"/>
    <x v="6"/>
    <n v="24"/>
    <x v="23"/>
    <d v="2023-09-01T00:00:00"/>
    <n v="0"/>
    <x v="0"/>
  </r>
  <r>
    <x v="0"/>
    <x v="6"/>
    <n v="24"/>
    <x v="23"/>
    <d v="2023-09-01T00:00:00"/>
    <n v="0"/>
    <x v="1"/>
  </r>
  <r>
    <x v="0"/>
    <x v="6"/>
    <n v="24"/>
    <x v="23"/>
    <d v="2023-09-01T00:00:00"/>
    <n v="0"/>
    <x v="2"/>
  </r>
  <r>
    <x v="0"/>
    <x v="6"/>
    <n v="24"/>
    <x v="23"/>
    <d v="2023-09-01T00:00:00"/>
    <n v="0"/>
    <x v="3"/>
  </r>
  <r>
    <x v="0"/>
    <x v="6"/>
    <n v="24"/>
    <x v="23"/>
    <d v="2023-09-01T00:00:00"/>
    <n v="0"/>
    <x v="4"/>
  </r>
  <r>
    <x v="0"/>
    <x v="6"/>
    <n v="24"/>
    <x v="23"/>
    <d v="2023-09-01T00:00:00"/>
    <n v="0"/>
    <x v="5"/>
  </r>
  <r>
    <x v="0"/>
    <x v="6"/>
    <n v="24"/>
    <x v="23"/>
    <d v="2023-09-01T00:00:00"/>
    <n v="0"/>
    <x v="6"/>
  </r>
  <r>
    <x v="0"/>
    <x v="6"/>
    <n v="24"/>
    <x v="23"/>
    <d v="2023-09-01T00:00:00"/>
    <n v="0"/>
    <x v="7"/>
  </r>
  <r>
    <x v="0"/>
    <x v="6"/>
    <n v="24"/>
    <x v="23"/>
    <d v="2023-09-01T00:00:00"/>
    <n v="0"/>
    <x v="8"/>
  </r>
  <r>
    <x v="0"/>
    <x v="6"/>
    <n v="24"/>
    <x v="23"/>
    <d v="2023-09-01T00:00:00"/>
    <n v="0"/>
    <x v="9"/>
  </r>
  <r>
    <x v="0"/>
    <x v="6"/>
    <n v="24"/>
    <x v="23"/>
    <d v="2023-09-01T00:00:00"/>
    <n v="0"/>
    <x v="10"/>
  </r>
  <r>
    <x v="0"/>
    <x v="6"/>
    <n v="24"/>
    <x v="23"/>
    <d v="2023-09-01T00:00:00"/>
    <n v="0"/>
    <x v="11"/>
  </r>
  <r>
    <x v="0"/>
    <x v="6"/>
    <n v="24"/>
    <x v="23"/>
    <d v="2023-09-01T00:00:00"/>
    <n v="0"/>
    <x v="12"/>
  </r>
  <r>
    <x v="0"/>
    <x v="6"/>
    <n v="25"/>
    <x v="24"/>
    <d v="2023-09-01T00:00:00"/>
    <n v="0"/>
    <x v="0"/>
  </r>
  <r>
    <x v="0"/>
    <x v="6"/>
    <n v="25"/>
    <x v="24"/>
    <d v="2023-09-01T00:00:00"/>
    <n v="0"/>
    <x v="1"/>
  </r>
  <r>
    <x v="0"/>
    <x v="6"/>
    <n v="25"/>
    <x v="24"/>
    <d v="2023-09-01T00:00:00"/>
    <n v="0"/>
    <x v="2"/>
  </r>
  <r>
    <x v="0"/>
    <x v="6"/>
    <n v="25"/>
    <x v="24"/>
    <d v="2023-09-01T00:00:00"/>
    <n v="0"/>
    <x v="3"/>
  </r>
  <r>
    <x v="0"/>
    <x v="6"/>
    <n v="25"/>
    <x v="24"/>
    <d v="2023-09-01T00:00:00"/>
    <n v="0"/>
    <x v="4"/>
  </r>
  <r>
    <x v="0"/>
    <x v="6"/>
    <n v="25"/>
    <x v="24"/>
    <d v="2023-09-01T00:00:00"/>
    <n v="0"/>
    <x v="5"/>
  </r>
  <r>
    <x v="0"/>
    <x v="6"/>
    <n v="25"/>
    <x v="24"/>
    <d v="2023-09-01T00:00:00"/>
    <n v="0"/>
    <x v="6"/>
  </r>
  <r>
    <x v="0"/>
    <x v="6"/>
    <n v="25"/>
    <x v="24"/>
    <d v="2023-09-01T00:00:00"/>
    <n v="0"/>
    <x v="7"/>
  </r>
  <r>
    <x v="0"/>
    <x v="6"/>
    <n v="25"/>
    <x v="24"/>
    <d v="2023-09-01T00:00:00"/>
    <n v="0"/>
    <x v="8"/>
  </r>
  <r>
    <x v="0"/>
    <x v="6"/>
    <n v="25"/>
    <x v="24"/>
    <d v="2023-09-01T00:00:00"/>
    <n v="0"/>
    <x v="9"/>
  </r>
  <r>
    <x v="0"/>
    <x v="6"/>
    <n v="25"/>
    <x v="24"/>
    <d v="2023-09-01T00:00:00"/>
    <n v="0"/>
    <x v="10"/>
  </r>
  <r>
    <x v="0"/>
    <x v="6"/>
    <n v="25"/>
    <x v="24"/>
    <d v="2023-09-01T00:00:00"/>
    <n v="0"/>
    <x v="11"/>
  </r>
  <r>
    <x v="0"/>
    <x v="6"/>
    <n v="25"/>
    <x v="24"/>
    <d v="2023-09-01T00:00:00"/>
    <n v="0"/>
    <x v="12"/>
  </r>
  <r>
    <x v="0"/>
    <x v="6"/>
    <n v="26"/>
    <x v="25"/>
    <d v="2023-09-01T00:00:00"/>
    <n v="23341"/>
    <x v="0"/>
  </r>
  <r>
    <x v="0"/>
    <x v="6"/>
    <n v="26"/>
    <x v="25"/>
    <d v="2023-09-01T00:00:00"/>
    <n v="23596"/>
    <x v="1"/>
  </r>
  <r>
    <x v="0"/>
    <x v="6"/>
    <n v="26"/>
    <x v="25"/>
    <d v="2023-09-01T00:00:00"/>
    <n v="24381"/>
    <x v="2"/>
  </r>
  <r>
    <x v="0"/>
    <x v="6"/>
    <n v="26"/>
    <x v="25"/>
    <d v="2023-09-01T00:00:00"/>
    <n v="19920"/>
    <x v="3"/>
  </r>
  <r>
    <x v="0"/>
    <x v="6"/>
    <n v="26"/>
    <x v="25"/>
    <d v="2023-09-01T00:00:00"/>
    <n v="27972"/>
    <x v="4"/>
  </r>
  <r>
    <x v="0"/>
    <x v="6"/>
    <n v="26"/>
    <x v="25"/>
    <d v="2023-09-01T00:00:00"/>
    <n v="25387"/>
    <x v="5"/>
  </r>
  <r>
    <x v="0"/>
    <x v="6"/>
    <n v="26"/>
    <x v="25"/>
    <d v="2023-09-01T00:00:00"/>
    <n v="28033"/>
    <x v="6"/>
  </r>
  <r>
    <x v="0"/>
    <x v="6"/>
    <n v="26"/>
    <x v="25"/>
    <d v="2023-09-01T00:00:00"/>
    <n v="28563"/>
    <x v="7"/>
  </r>
  <r>
    <x v="0"/>
    <x v="6"/>
    <n v="26"/>
    <x v="25"/>
    <d v="2023-09-01T00:00:00"/>
    <n v="31969"/>
    <x v="8"/>
  </r>
  <r>
    <x v="0"/>
    <x v="6"/>
    <n v="26"/>
    <x v="25"/>
    <d v="2023-09-01T00:00:00"/>
    <n v="27866"/>
    <x v="9"/>
  </r>
  <r>
    <x v="0"/>
    <x v="6"/>
    <n v="26"/>
    <x v="25"/>
    <d v="2023-09-01T00:00:00"/>
    <n v="30141"/>
    <x v="10"/>
  </r>
  <r>
    <x v="0"/>
    <x v="6"/>
    <n v="26"/>
    <x v="25"/>
    <d v="2023-09-01T00:00:00"/>
    <n v="29311"/>
    <x v="11"/>
  </r>
  <r>
    <x v="0"/>
    <x v="6"/>
    <n v="26"/>
    <x v="25"/>
    <d v="2023-09-01T00:00:00"/>
    <n v="320480"/>
    <x v="12"/>
  </r>
  <r>
    <x v="0"/>
    <x v="6"/>
    <n v="27"/>
    <x v="26"/>
    <d v="2023-09-01T00:00:00"/>
    <n v="2"/>
    <x v="0"/>
  </r>
  <r>
    <x v="0"/>
    <x v="6"/>
    <n v="27"/>
    <x v="26"/>
    <d v="2023-09-01T00:00:00"/>
    <n v="31"/>
    <x v="1"/>
  </r>
  <r>
    <x v="0"/>
    <x v="6"/>
    <n v="27"/>
    <x v="26"/>
    <d v="2023-09-01T00:00:00"/>
    <n v="103"/>
    <x v="2"/>
  </r>
  <r>
    <x v="0"/>
    <x v="6"/>
    <n v="27"/>
    <x v="26"/>
    <d v="2023-09-01T00:00:00"/>
    <n v="31"/>
    <x v="3"/>
  </r>
  <r>
    <x v="0"/>
    <x v="6"/>
    <n v="27"/>
    <x v="26"/>
    <d v="2023-09-01T00:00:00"/>
    <n v="111"/>
    <x v="4"/>
  </r>
  <r>
    <x v="0"/>
    <x v="6"/>
    <n v="27"/>
    <x v="26"/>
    <d v="2023-09-01T00:00:00"/>
    <n v="136"/>
    <x v="5"/>
  </r>
  <r>
    <x v="0"/>
    <x v="6"/>
    <n v="27"/>
    <x v="26"/>
    <d v="2023-09-01T00:00:00"/>
    <n v="-59"/>
    <x v="6"/>
  </r>
  <r>
    <x v="0"/>
    <x v="6"/>
    <n v="27"/>
    <x v="26"/>
    <d v="2023-09-01T00:00:00"/>
    <n v="-89"/>
    <x v="7"/>
  </r>
  <r>
    <x v="0"/>
    <x v="6"/>
    <n v="27"/>
    <x v="26"/>
    <d v="2023-09-01T00:00:00"/>
    <n v="-95"/>
    <x v="8"/>
  </r>
  <r>
    <x v="0"/>
    <x v="6"/>
    <n v="27"/>
    <x v="26"/>
    <d v="2023-09-01T00:00:00"/>
    <n v="-92"/>
    <x v="9"/>
  </r>
  <r>
    <x v="0"/>
    <x v="6"/>
    <n v="27"/>
    <x v="26"/>
    <d v="2023-09-01T00:00:00"/>
    <n v="-67"/>
    <x v="10"/>
  </r>
  <r>
    <x v="0"/>
    <x v="6"/>
    <n v="27"/>
    <x v="26"/>
    <d v="2023-09-01T00:00:00"/>
    <n v="-12"/>
    <x v="11"/>
  </r>
  <r>
    <x v="0"/>
    <x v="6"/>
    <n v="27"/>
    <x v="26"/>
    <d v="2023-09-01T00:00:00"/>
    <n v="0"/>
    <x v="12"/>
  </r>
  <r>
    <x v="0"/>
    <x v="7"/>
    <n v="1"/>
    <x v="3"/>
    <d v="2023-09-01T00:00:00"/>
    <n v="0"/>
    <x v="0"/>
  </r>
  <r>
    <x v="0"/>
    <x v="7"/>
    <n v="1"/>
    <x v="3"/>
    <d v="2023-09-01T00:00:00"/>
    <n v="0"/>
    <x v="1"/>
  </r>
  <r>
    <x v="0"/>
    <x v="7"/>
    <n v="1"/>
    <x v="3"/>
    <d v="2023-09-01T00:00:00"/>
    <n v="0"/>
    <x v="2"/>
  </r>
  <r>
    <x v="0"/>
    <x v="7"/>
    <n v="1"/>
    <x v="3"/>
    <d v="2023-09-01T00:00:00"/>
    <n v="0"/>
    <x v="3"/>
  </r>
  <r>
    <x v="0"/>
    <x v="7"/>
    <n v="1"/>
    <x v="3"/>
    <d v="2023-09-01T00:00:00"/>
    <n v="0"/>
    <x v="4"/>
  </r>
  <r>
    <x v="0"/>
    <x v="7"/>
    <n v="1"/>
    <x v="3"/>
    <d v="2023-09-01T00:00:00"/>
    <n v="0"/>
    <x v="5"/>
  </r>
  <r>
    <x v="0"/>
    <x v="7"/>
    <n v="1"/>
    <x v="3"/>
    <d v="2023-09-01T00:00:00"/>
    <n v="0"/>
    <x v="6"/>
  </r>
  <r>
    <x v="0"/>
    <x v="7"/>
    <n v="1"/>
    <x v="3"/>
    <d v="2023-09-01T00:00:00"/>
    <n v="0"/>
    <x v="7"/>
  </r>
  <r>
    <x v="0"/>
    <x v="7"/>
    <n v="1"/>
    <x v="3"/>
    <d v="2023-09-01T00:00:00"/>
    <n v="0"/>
    <x v="8"/>
  </r>
  <r>
    <x v="0"/>
    <x v="7"/>
    <n v="1"/>
    <x v="3"/>
    <d v="2023-09-01T00:00:00"/>
    <n v="0"/>
    <x v="9"/>
  </r>
  <r>
    <x v="0"/>
    <x v="7"/>
    <n v="1"/>
    <x v="3"/>
    <d v="2023-09-01T00:00:00"/>
    <n v="0"/>
    <x v="10"/>
  </r>
  <r>
    <x v="0"/>
    <x v="7"/>
    <n v="1"/>
    <x v="3"/>
    <d v="2023-09-01T00:00:00"/>
    <n v="0"/>
    <x v="11"/>
  </r>
  <r>
    <x v="0"/>
    <x v="7"/>
    <n v="1"/>
    <x v="3"/>
    <d v="2023-09-01T00:00:00"/>
    <n v="0"/>
    <x v="12"/>
  </r>
  <r>
    <x v="0"/>
    <x v="7"/>
    <n v="2"/>
    <x v="4"/>
    <d v="2023-09-01T00:00:00"/>
    <n v="0"/>
    <x v="0"/>
  </r>
  <r>
    <x v="0"/>
    <x v="7"/>
    <n v="2"/>
    <x v="4"/>
    <d v="2023-09-01T00:00:00"/>
    <n v="0"/>
    <x v="1"/>
  </r>
  <r>
    <x v="0"/>
    <x v="7"/>
    <n v="2"/>
    <x v="4"/>
    <d v="2023-09-01T00:00:00"/>
    <n v="0"/>
    <x v="2"/>
  </r>
  <r>
    <x v="0"/>
    <x v="7"/>
    <n v="2"/>
    <x v="4"/>
    <d v="2023-09-01T00:00:00"/>
    <n v="0"/>
    <x v="3"/>
  </r>
  <r>
    <x v="0"/>
    <x v="7"/>
    <n v="2"/>
    <x v="4"/>
    <d v="2023-09-01T00:00:00"/>
    <n v="0"/>
    <x v="4"/>
  </r>
  <r>
    <x v="0"/>
    <x v="7"/>
    <n v="2"/>
    <x v="4"/>
    <d v="2023-09-01T00:00:00"/>
    <n v="0"/>
    <x v="5"/>
  </r>
  <r>
    <x v="0"/>
    <x v="7"/>
    <n v="2"/>
    <x v="4"/>
    <d v="2023-09-01T00:00:00"/>
    <n v="0"/>
    <x v="6"/>
  </r>
  <r>
    <x v="0"/>
    <x v="7"/>
    <n v="2"/>
    <x v="4"/>
    <d v="2023-09-01T00:00:00"/>
    <n v="0"/>
    <x v="7"/>
  </r>
  <r>
    <x v="0"/>
    <x v="7"/>
    <n v="2"/>
    <x v="4"/>
    <d v="2023-09-01T00:00:00"/>
    <n v="0"/>
    <x v="8"/>
  </r>
  <r>
    <x v="0"/>
    <x v="7"/>
    <n v="2"/>
    <x v="4"/>
    <d v="2023-09-01T00:00:00"/>
    <n v="0"/>
    <x v="9"/>
  </r>
  <r>
    <x v="0"/>
    <x v="7"/>
    <n v="2"/>
    <x v="4"/>
    <d v="2023-09-01T00:00:00"/>
    <n v="0"/>
    <x v="10"/>
  </r>
  <r>
    <x v="0"/>
    <x v="7"/>
    <n v="2"/>
    <x v="4"/>
    <d v="2023-09-01T00:00:00"/>
    <n v="0"/>
    <x v="11"/>
  </r>
  <r>
    <x v="0"/>
    <x v="7"/>
    <n v="2"/>
    <x v="4"/>
    <d v="2023-09-01T00:00:00"/>
    <n v="0"/>
    <x v="12"/>
  </r>
  <r>
    <x v="0"/>
    <x v="7"/>
    <n v="3"/>
    <x v="5"/>
    <d v="2023-09-01T00:00:00"/>
    <n v="27825"/>
    <x v="0"/>
  </r>
  <r>
    <x v="0"/>
    <x v="7"/>
    <n v="3"/>
    <x v="5"/>
    <d v="2023-09-01T00:00:00"/>
    <n v="27334"/>
    <x v="1"/>
  </r>
  <r>
    <x v="0"/>
    <x v="7"/>
    <n v="3"/>
    <x v="5"/>
    <d v="2023-09-01T00:00:00"/>
    <n v="28886"/>
    <x v="2"/>
  </r>
  <r>
    <x v="0"/>
    <x v="7"/>
    <n v="3"/>
    <x v="5"/>
    <d v="2023-09-01T00:00:00"/>
    <n v="27108"/>
    <x v="3"/>
  </r>
  <r>
    <x v="0"/>
    <x v="7"/>
    <n v="3"/>
    <x v="5"/>
    <d v="2023-09-01T00:00:00"/>
    <n v="29889"/>
    <x v="4"/>
  </r>
  <r>
    <x v="0"/>
    <x v="7"/>
    <n v="3"/>
    <x v="5"/>
    <d v="2023-09-01T00:00:00"/>
    <n v="29879"/>
    <x v="5"/>
  </r>
  <r>
    <x v="0"/>
    <x v="7"/>
    <n v="3"/>
    <x v="5"/>
    <d v="2023-09-01T00:00:00"/>
    <n v="36900"/>
    <x v="6"/>
  </r>
  <r>
    <x v="0"/>
    <x v="7"/>
    <n v="3"/>
    <x v="5"/>
    <d v="2023-09-01T00:00:00"/>
    <n v="30166"/>
    <x v="7"/>
  </r>
  <r>
    <x v="0"/>
    <x v="7"/>
    <n v="3"/>
    <x v="5"/>
    <d v="2023-09-01T00:00:00"/>
    <n v="30110"/>
    <x v="8"/>
  </r>
  <r>
    <x v="0"/>
    <x v="7"/>
    <n v="3"/>
    <x v="5"/>
    <d v="2023-09-01T00:00:00"/>
    <n v="30161"/>
    <x v="9"/>
  </r>
  <r>
    <x v="0"/>
    <x v="7"/>
    <n v="3"/>
    <x v="5"/>
    <d v="2023-09-01T00:00:00"/>
    <n v="30162"/>
    <x v="10"/>
  </r>
  <r>
    <x v="0"/>
    <x v="7"/>
    <n v="3"/>
    <x v="5"/>
    <d v="2023-09-01T00:00:00"/>
    <n v="31638"/>
    <x v="11"/>
  </r>
  <r>
    <x v="0"/>
    <x v="7"/>
    <n v="3"/>
    <x v="5"/>
    <d v="2023-09-01T00:00:00"/>
    <n v="360058"/>
    <x v="12"/>
  </r>
  <r>
    <x v="0"/>
    <x v="7"/>
    <n v="4"/>
    <x v="6"/>
    <d v="2023-09-01T00:00:00"/>
    <n v="0"/>
    <x v="0"/>
  </r>
  <r>
    <x v="0"/>
    <x v="7"/>
    <n v="4"/>
    <x v="6"/>
    <d v="2023-09-01T00:00:00"/>
    <n v="0"/>
    <x v="1"/>
  </r>
  <r>
    <x v="0"/>
    <x v="7"/>
    <n v="4"/>
    <x v="6"/>
    <d v="2023-09-01T00:00:00"/>
    <n v="0"/>
    <x v="2"/>
  </r>
  <r>
    <x v="0"/>
    <x v="7"/>
    <n v="4"/>
    <x v="6"/>
    <d v="2023-09-01T00:00:00"/>
    <n v="0"/>
    <x v="3"/>
  </r>
  <r>
    <x v="0"/>
    <x v="7"/>
    <n v="4"/>
    <x v="6"/>
    <d v="2023-09-01T00:00:00"/>
    <n v="0"/>
    <x v="4"/>
  </r>
  <r>
    <x v="0"/>
    <x v="7"/>
    <n v="4"/>
    <x v="6"/>
    <d v="2023-09-01T00:00:00"/>
    <n v="0"/>
    <x v="5"/>
  </r>
  <r>
    <x v="0"/>
    <x v="7"/>
    <n v="4"/>
    <x v="6"/>
    <d v="2023-09-01T00:00:00"/>
    <n v="0"/>
    <x v="6"/>
  </r>
  <r>
    <x v="0"/>
    <x v="7"/>
    <n v="4"/>
    <x v="6"/>
    <d v="2023-09-01T00:00:00"/>
    <n v="0"/>
    <x v="7"/>
  </r>
  <r>
    <x v="0"/>
    <x v="7"/>
    <n v="4"/>
    <x v="6"/>
    <d v="2023-09-01T00:00:00"/>
    <n v="0"/>
    <x v="8"/>
  </r>
  <r>
    <x v="0"/>
    <x v="7"/>
    <n v="4"/>
    <x v="6"/>
    <d v="2023-09-01T00:00:00"/>
    <n v="0"/>
    <x v="9"/>
  </r>
  <r>
    <x v="0"/>
    <x v="7"/>
    <n v="4"/>
    <x v="6"/>
    <d v="2023-09-01T00:00:00"/>
    <n v="0"/>
    <x v="10"/>
  </r>
  <r>
    <x v="0"/>
    <x v="7"/>
    <n v="4"/>
    <x v="6"/>
    <d v="2023-09-01T00:00:00"/>
    <n v="0"/>
    <x v="11"/>
  </r>
  <r>
    <x v="0"/>
    <x v="7"/>
    <n v="4"/>
    <x v="6"/>
    <d v="2023-09-01T00:00:00"/>
    <n v="0"/>
    <x v="12"/>
  </r>
  <r>
    <x v="0"/>
    <x v="7"/>
    <n v="5"/>
    <x v="7"/>
    <d v="2023-09-01T00:00:00"/>
    <n v="9839"/>
    <x v="0"/>
  </r>
  <r>
    <x v="0"/>
    <x v="7"/>
    <n v="5"/>
    <x v="7"/>
    <d v="2023-09-01T00:00:00"/>
    <n v="11341"/>
    <x v="1"/>
  </r>
  <r>
    <x v="0"/>
    <x v="7"/>
    <n v="5"/>
    <x v="7"/>
    <d v="2023-09-01T00:00:00"/>
    <n v="15833"/>
    <x v="2"/>
  </r>
  <r>
    <x v="0"/>
    <x v="7"/>
    <n v="5"/>
    <x v="7"/>
    <d v="2023-09-01T00:00:00"/>
    <n v="19358"/>
    <x v="3"/>
  </r>
  <r>
    <x v="0"/>
    <x v="7"/>
    <n v="5"/>
    <x v="7"/>
    <d v="2023-09-01T00:00:00"/>
    <n v="11401"/>
    <x v="4"/>
  </r>
  <r>
    <x v="0"/>
    <x v="7"/>
    <n v="5"/>
    <x v="7"/>
    <d v="2023-09-01T00:00:00"/>
    <n v="13717"/>
    <x v="5"/>
  </r>
  <r>
    <x v="0"/>
    <x v="7"/>
    <n v="5"/>
    <x v="7"/>
    <d v="2023-09-01T00:00:00"/>
    <n v="28691"/>
    <x v="6"/>
  </r>
  <r>
    <x v="0"/>
    <x v="7"/>
    <n v="5"/>
    <x v="7"/>
    <d v="2023-09-01T00:00:00"/>
    <n v="28681"/>
    <x v="7"/>
  </r>
  <r>
    <x v="0"/>
    <x v="7"/>
    <n v="5"/>
    <x v="7"/>
    <d v="2023-09-01T00:00:00"/>
    <n v="28681"/>
    <x v="8"/>
  </r>
  <r>
    <x v="0"/>
    <x v="7"/>
    <n v="5"/>
    <x v="7"/>
    <d v="2023-09-01T00:00:00"/>
    <n v="28681"/>
    <x v="9"/>
  </r>
  <r>
    <x v="0"/>
    <x v="7"/>
    <n v="5"/>
    <x v="7"/>
    <d v="2023-09-01T00:00:00"/>
    <n v="28683"/>
    <x v="10"/>
  </r>
  <r>
    <x v="0"/>
    <x v="7"/>
    <n v="5"/>
    <x v="7"/>
    <d v="2023-09-01T00:00:00"/>
    <n v="30681"/>
    <x v="11"/>
  </r>
  <r>
    <x v="0"/>
    <x v="7"/>
    <n v="5"/>
    <x v="7"/>
    <d v="2023-09-01T00:00:00"/>
    <n v="255587"/>
    <x v="12"/>
  </r>
  <r>
    <x v="0"/>
    <x v="7"/>
    <n v="6"/>
    <x v="8"/>
    <d v="2023-09-01T00:00:00"/>
    <n v="4504"/>
    <x v="0"/>
  </r>
  <r>
    <x v="0"/>
    <x v="7"/>
    <n v="6"/>
    <x v="8"/>
    <d v="2023-09-01T00:00:00"/>
    <n v="4270"/>
    <x v="1"/>
  </r>
  <r>
    <x v="0"/>
    <x v="7"/>
    <n v="6"/>
    <x v="8"/>
    <d v="2023-09-01T00:00:00"/>
    <n v="2440"/>
    <x v="2"/>
  </r>
  <r>
    <x v="0"/>
    <x v="7"/>
    <n v="6"/>
    <x v="8"/>
    <d v="2023-09-01T00:00:00"/>
    <n v="3661"/>
    <x v="3"/>
  </r>
  <r>
    <x v="0"/>
    <x v="7"/>
    <n v="6"/>
    <x v="8"/>
    <d v="2023-09-01T00:00:00"/>
    <n v="3693"/>
    <x v="4"/>
  </r>
  <r>
    <x v="0"/>
    <x v="7"/>
    <n v="6"/>
    <x v="8"/>
    <d v="2023-09-01T00:00:00"/>
    <n v="6388"/>
    <x v="5"/>
  </r>
  <r>
    <x v="0"/>
    <x v="7"/>
    <n v="6"/>
    <x v="8"/>
    <d v="2023-09-01T00:00:00"/>
    <n v="3363"/>
    <x v="6"/>
  </r>
  <r>
    <x v="0"/>
    <x v="7"/>
    <n v="6"/>
    <x v="8"/>
    <d v="2023-09-01T00:00:00"/>
    <n v="3363"/>
    <x v="7"/>
  </r>
  <r>
    <x v="0"/>
    <x v="7"/>
    <n v="6"/>
    <x v="8"/>
    <d v="2023-09-01T00:00:00"/>
    <n v="11266"/>
    <x v="8"/>
  </r>
  <r>
    <x v="0"/>
    <x v="7"/>
    <n v="6"/>
    <x v="8"/>
    <d v="2023-09-01T00:00:00"/>
    <n v="3363"/>
    <x v="9"/>
  </r>
  <r>
    <x v="0"/>
    <x v="7"/>
    <n v="6"/>
    <x v="8"/>
    <d v="2023-09-01T00:00:00"/>
    <n v="3363"/>
    <x v="10"/>
  </r>
  <r>
    <x v="0"/>
    <x v="7"/>
    <n v="6"/>
    <x v="8"/>
    <d v="2023-09-01T00:00:00"/>
    <n v="10205"/>
    <x v="11"/>
  </r>
  <r>
    <x v="0"/>
    <x v="7"/>
    <n v="6"/>
    <x v="8"/>
    <d v="2023-09-01T00:00:00"/>
    <n v="59879"/>
    <x v="12"/>
  </r>
  <r>
    <x v="0"/>
    <x v="7"/>
    <n v="7"/>
    <x v="9"/>
    <d v="2023-09-01T00:00:00"/>
    <n v="42168"/>
    <x v="0"/>
  </r>
  <r>
    <x v="0"/>
    <x v="7"/>
    <n v="7"/>
    <x v="9"/>
    <d v="2023-09-01T00:00:00"/>
    <n v="42945"/>
    <x v="1"/>
  </r>
  <r>
    <x v="0"/>
    <x v="7"/>
    <n v="7"/>
    <x v="9"/>
    <d v="2023-09-01T00:00:00"/>
    <n v="47159"/>
    <x v="2"/>
  </r>
  <r>
    <x v="0"/>
    <x v="7"/>
    <n v="7"/>
    <x v="9"/>
    <d v="2023-09-01T00:00:00"/>
    <n v="50127"/>
    <x v="3"/>
  </r>
  <r>
    <x v="0"/>
    <x v="7"/>
    <n v="7"/>
    <x v="9"/>
    <d v="2023-09-01T00:00:00"/>
    <n v="44983"/>
    <x v="4"/>
  </r>
  <r>
    <x v="0"/>
    <x v="7"/>
    <n v="7"/>
    <x v="9"/>
    <d v="2023-09-01T00:00:00"/>
    <n v="49984"/>
    <x v="5"/>
  </r>
  <r>
    <x v="0"/>
    <x v="7"/>
    <n v="7"/>
    <x v="9"/>
    <d v="2023-09-01T00:00:00"/>
    <n v="68954"/>
    <x v="6"/>
  </r>
  <r>
    <x v="0"/>
    <x v="7"/>
    <n v="7"/>
    <x v="9"/>
    <d v="2023-09-01T00:00:00"/>
    <n v="62210"/>
    <x v="7"/>
  </r>
  <r>
    <x v="0"/>
    <x v="7"/>
    <n v="7"/>
    <x v="9"/>
    <d v="2023-09-01T00:00:00"/>
    <n v="70057"/>
    <x v="8"/>
  </r>
  <r>
    <x v="0"/>
    <x v="7"/>
    <n v="7"/>
    <x v="9"/>
    <d v="2023-09-01T00:00:00"/>
    <n v="62205"/>
    <x v="9"/>
  </r>
  <r>
    <x v="0"/>
    <x v="7"/>
    <n v="7"/>
    <x v="9"/>
    <d v="2023-09-01T00:00:00"/>
    <n v="62208"/>
    <x v="10"/>
  </r>
  <r>
    <x v="0"/>
    <x v="7"/>
    <n v="7"/>
    <x v="9"/>
    <d v="2023-09-01T00:00:00"/>
    <n v="72524"/>
    <x v="11"/>
  </r>
  <r>
    <x v="0"/>
    <x v="7"/>
    <n v="7"/>
    <x v="9"/>
    <d v="2023-09-01T00:00:00"/>
    <n v="675524"/>
    <x v="12"/>
  </r>
  <r>
    <x v="0"/>
    <x v="7"/>
    <n v="8"/>
    <x v="11"/>
    <d v="2023-09-01T00:00:00"/>
    <n v="0"/>
    <x v="0"/>
  </r>
  <r>
    <x v="0"/>
    <x v="7"/>
    <n v="8"/>
    <x v="11"/>
    <d v="2023-09-01T00:00:00"/>
    <n v="0"/>
    <x v="1"/>
  </r>
  <r>
    <x v="0"/>
    <x v="7"/>
    <n v="8"/>
    <x v="11"/>
    <d v="2023-09-01T00:00:00"/>
    <n v="0"/>
    <x v="2"/>
  </r>
  <r>
    <x v="0"/>
    <x v="7"/>
    <n v="8"/>
    <x v="11"/>
    <d v="2023-09-01T00:00:00"/>
    <n v="0"/>
    <x v="3"/>
  </r>
  <r>
    <x v="0"/>
    <x v="7"/>
    <n v="8"/>
    <x v="11"/>
    <d v="2023-09-01T00:00:00"/>
    <n v="0"/>
    <x v="4"/>
  </r>
  <r>
    <x v="0"/>
    <x v="7"/>
    <n v="8"/>
    <x v="11"/>
    <d v="2023-09-01T00:00:00"/>
    <n v="0"/>
    <x v="5"/>
  </r>
  <r>
    <x v="0"/>
    <x v="7"/>
    <n v="8"/>
    <x v="11"/>
    <d v="2023-09-01T00:00:00"/>
    <n v="0"/>
    <x v="6"/>
  </r>
  <r>
    <x v="0"/>
    <x v="7"/>
    <n v="8"/>
    <x v="11"/>
    <d v="2023-09-01T00:00:00"/>
    <n v="0"/>
    <x v="7"/>
  </r>
  <r>
    <x v="0"/>
    <x v="7"/>
    <n v="8"/>
    <x v="11"/>
    <d v="2023-09-01T00:00:00"/>
    <n v="0"/>
    <x v="8"/>
  </r>
  <r>
    <x v="0"/>
    <x v="7"/>
    <n v="8"/>
    <x v="11"/>
    <d v="2023-09-01T00:00:00"/>
    <n v="0"/>
    <x v="9"/>
  </r>
  <r>
    <x v="0"/>
    <x v="7"/>
    <n v="8"/>
    <x v="11"/>
    <d v="2023-09-01T00:00:00"/>
    <n v="0"/>
    <x v="10"/>
  </r>
  <r>
    <x v="0"/>
    <x v="7"/>
    <n v="8"/>
    <x v="11"/>
    <d v="2023-09-01T00:00:00"/>
    <n v="0"/>
    <x v="11"/>
  </r>
  <r>
    <x v="0"/>
    <x v="7"/>
    <n v="8"/>
    <x v="11"/>
    <d v="2023-09-01T00:00:00"/>
    <n v="0"/>
    <x v="12"/>
  </r>
  <r>
    <x v="0"/>
    <x v="7"/>
    <n v="9"/>
    <x v="10"/>
    <d v="2023-09-01T00:00:00"/>
    <n v="0"/>
    <x v="0"/>
  </r>
  <r>
    <x v="0"/>
    <x v="7"/>
    <n v="9"/>
    <x v="10"/>
    <d v="2023-09-01T00:00:00"/>
    <n v="0"/>
    <x v="1"/>
  </r>
  <r>
    <x v="0"/>
    <x v="7"/>
    <n v="9"/>
    <x v="10"/>
    <d v="2023-09-01T00:00:00"/>
    <n v="0"/>
    <x v="2"/>
  </r>
  <r>
    <x v="0"/>
    <x v="7"/>
    <n v="9"/>
    <x v="10"/>
    <d v="2023-09-01T00:00:00"/>
    <n v="0"/>
    <x v="3"/>
  </r>
  <r>
    <x v="0"/>
    <x v="7"/>
    <n v="9"/>
    <x v="10"/>
    <d v="2023-09-01T00:00:00"/>
    <n v="0"/>
    <x v="4"/>
  </r>
  <r>
    <x v="0"/>
    <x v="7"/>
    <n v="9"/>
    <x v="10"/>
    <d v="2023-09-01T00:00:00"/>
    <n v="0"/>
    <x v="5"/>
  </r>
  <r>
    <x v="0"/>
    <x v="7"/>
    <n v="9"/>
    <x v="10"/>
    <d v="2023-09-01T00:00:00"/>
    <n v="0"/>
    <x v="6"/>
  </r>
  <r>
    <x v="0"/>
    <x v="7"/>
    <n v="9"/>
    <x v="10"/>
    <d v="2023-09-01T00:00:00"/>
    <n v="0"/>
    <x v="7"/>
  </r>
  <r>
    <x v="0"/>
    <x v="7"/>
    <n v="9"/>
    <x v="10"/>
    <d v="2023-09-01T00:00:00"/>
    <n v="0"/>
    <x v="8"/>
  </r>
  <r>
    <x v="0"/>
    <x v="7"/>
    <n v="9"/>
    <x v="10"/>
    <d v="2023-09-01T00:00:00"/>
    <n v="0"/>
    <x v="9"/>
  </r>
  <r>
    <x v="0"/>
    <x v="7"/>
    <n v="9"/>
    <x v="10"/>
    <d v="2023-09-01T00:00:00"/>
    <n v="0"/>
    <x v="10"/>
  </r>
  <r>
    <x v="0"/>
    <x v="7"/>
    <n v="9"/>
    <x v="10"/>
    <d v="2023-09-01T00:00:00"/>
    <n v="0"/>
    <x v="11"/>
  </r>
  <r>
    <x v="0"/>
    <x v="7"/>
    <n v="9"/>
    <x v="10"/>
    <d v="2023-09-01T00:00:00"/>
    <n v="0"/>
    <x v="12"/>
  </r>
  <r>
    <x v="0"/>
    <x v="7"/>
    <n v="10"/>
    <x v="0"/>
    <d v="2023-09-01T00:00:00"/>
    <n v="25731.563279999998"/>
    <x v="0"/>
  </r>
  <r>
    <x v="0"/>
    <x v="7"/>
    <n v="10"/>
    <x v="0"/>
    <d v="2023-09-01T00:00:00"/>
    <n v="24866.887419999999"/>
    <x v="1"/>
  </r>
  <r>
    <x v="0"/>
    <x v="7"/>
    <n v="10"/>
    <x v="0"/>
    <d v="2023-09-01T00:00:00"/>
    <n v="27803"/>
    <x v="2"/>
  </r>
  <r>
    <x v="0"/>
    <x v="7"/>
    <n v="10"/>
    <x v="0"/>
    <d v="2023-09-01T00:00:00"/>
    <n v="26976.671490000001"/>
    <x v="3"/>
  </r>
  <r>
    <x v="0"/>
    <x v="7"/>
    <n v="10"/>
    <x v="0"/>
    <d v="2023-09-01T00:00:00"/>
    <n v="27757.798650000001"/>
    <x v="4"/>
  </r>
  <r>
    <x v="0"/>
    <x v="7"/>
    <n v="10"/>
    <x v="0"/>
    <d v="2023-09-01T00:00:00"/>
    <n v="27956.778719999998"/>
    <x v="5"/>
  </r>
  <r>
    <x v="0"/>
    <x v="7"/>
    <n v="10"/>
    <x v="0"/>
    <d v="2023-09-01T00:00:00"/>
    <n v="34623.230000000003"/>
    <x v="6"/>
  </r>
  <r>
    <x v="0"/>
    <x v="7"/>
    <n v="10"/>
    <x v="0"/>
    <d v="2023-09-01T00:00:00"/>
    <n v="29114.46"/>
    <x v="7"/>
  </r>
  <r>
    <x v="0"/>
    <x v="7"/>
    <n v="10"/>
    <x v="0"/>
    <d v="2023-09-01T00:00:00"/>
    <n v="29111.564999999999"/>
    <x v="8"/>
  </r>
  <r>
    <x v="0"/>
    <x v="7"/>
    <n v="10"/>
    <x v="0"/>
    <d v="2023-09-01T00:00:00"/>
    <n v="29109.552"/>
    <x v="9"/>
  </r>
  <r>
    <x v="0"/>
    <x v="7"/>
    <n v="10"/>
    <x v="0"/>
    <d v="2023-09-01T00:00:00"/>
    <n v="29120.659"/>
    <x v="10"/>
  </r>
  <r>
    <x v="0"/>
    <x v="7"/>
    <n v="10"/>
    <x v="0"/>
    <d v="2023-09-01T00:00:00"/>
    <n v="29076.255000000001"/>
    <x v="11"/>
  </r>
  <r>
    <x v="0"/>
    <x v="7"/>
    <n v="10"/>
    <x v="0"/>
    <d v="2023-09-01T00:00:00"/>
    <n v="341248.42056"/>
    <x v="12"/>
  </r>
  <r>
    <x v="0"/>
    <x v="7"/>
    <n v="11"/>
    <x v="1"/>
    <d v="2023-09-01T00:00:00"/>
    <n v="15385.5"/>
    <x v="0"/>
  </r>
  <r>
    <x v="0"/>
    <x v="7"/>
    <n v="11"/>
    <x v="1"/>
    <d v="2023-09-01T00:00:00"/>
    <n v="16432.2"/>
    <x v="1"/>
  </r>
  <r>
    <x v="0"/>
    <x v="7"/>
    <n v="11"/>
    <x v="1"/>
    <d v="2023-09-01T00:00:00"/>
    <n v="14123"/>
    <x v="2"/>
  </r>
  <r>
    <x v="0"/>
    <x v="7"/>
    <n v="11"/>
    <x v="1"/>
    <d v="2023-09-01T00:00:00"/>
    <n v="17460.900000000001"/>
    <x v="3"/>
  </r>
  <r>
    <x v="0"/>
    <x v="7"/>
    <n v="11"/>
    <x v="1"/>
    <d v="2023-09-01T00:00:00"/>
    <n v="14737.8"/>
    <x v="4"/>
  </r>
  <r>
    <x v="0"/>
    <x v="7"/>
    <n v="11"/>
    <x v="1"/>
    <d v="2023-09-01T00:00:00"/>
    <n v="16507.3"/>
    <x v="5"/>
  </r>
  <r>
    <x v="0"/>
    <x v="7"/>
    <n v="11"/>
    <x v="1"/>
    <d v="2023-09-01T00:00:00"/>
    <n v="14301"/>
    <x v="6"/>
  </r>
  <r>
    <x v="0"/>
    <x v="7"/>
    <n v="11"/>
    <x v="1"/>
    <d v="2023-09-01T00:00:00"/>
    <n v="13066"/>
    <x v="7"/>
  </r>
  <r>
    <x v="0"/>
    <x v="7"/>
    <n v="11"/>
    <x v="1"/>
    <d v="2023-09-01T00:00:00"/>
    <n v="20915"/>
    <x v="8"/>
  </r>
  <r>
    <x v="0"/>
    <x v="7"/>
    <n v="11"/>
    <x v="1"/>
    <d v="2023-09-01T00:00:00"/>
    <n v="13065"/>
    <x v="9"/>
  </r>
  <r>
    <x v="0"/>
    <x v="7"/>
    <n v="11"/>
    <x v="1"/>
    <d v="2023-09-01T00:00:00"/>
    <n v="13057"/>
    <x v="10"/>
  </r>
  <r>
    <x v="0"/>
    <x v="7"/>
    <n v="11"/>
    <x v="1"/>
    <d v="2023-09-01T00:00:00"/>
    <n v="23324"/>
    <x v="11"/>
  </r>
  <r>
    <x v="0"/>
    <x v="7"/>
    <n v="11"/>
    <x v="1"/>
    <d v="2023-09-01T00:00:00"/>
    <n v="192374.7"/>
    <x v="12"/>
  </r>
  <r>
    <x v="0"/>
    <x v="7"/>
    <n v="12"/>
    <x v="2"/>
    <d v="2023-09-01T00:00:00"/>
    <n v="0"/>
    <x v="0"/>
  </r>
  <r>
    <x v="0"/>
    <x v="7"/>
    <n v="12"/>
    <x v="2"/>
    <d v="2023-09-01T00:00:00"/>
    <n v="0"/>
    <x v="1"/>
  </r>
  <r>
    <x v="0"/>
    <x v="7"/>
    <n v="12"/>
    <x v="2"/>
    <d v="2023-09-01T00:00:00"/>
    <n v="0"/>
    <x v="2"/>
  </r>
  <r>
    <x v="0"/>
    <x v="7"/>
    <n v="12"/>
    <x v="2"/>
    <d v="2023-09-01T00:00:00"/>
    <n v="0"/>
    <x v="3"/>
  </r>
  <r>
    <x v="0"/>
    <x v="7"/>
    <n v="12"/>
    <x v="2"/>
    <d v="2023-09-01T00:00:00"/>
    <n v="0"/>
    <x v="4"/>
  </r>
  <r>
    <x v="0"/>
    <x v="7"/>
    <n v="12"/>
    <x v="2"/>
    <d v="2023-09-01T00:00:00"/>
    <n v="0"/>
    <x v="5"/>
  </r>
  <r>
    <x v="0"/>
    <x v="7"/>
    <n v="12"/>
    <x v="2"/>
    <d v="2023-09-01T00:00:00"/>
    <n v="0"/>
    <x v="6"/>
  </r>
  <r>
    <x v="0"/>
    <x v="7"/>
    <n v="12"/>
    <x v="2"/>
    <d v="2023-09-01T00:00:00"/>
    <n v="0"/>
    <x v="7"/>
  </r>
  <r>
    <x v="0"/>
    <x v="7"/>
    <n v="12"/>
    <x v="2"/>
    <d v="2023-09-01T00:00:00"/>
    <n v="0"/>
    <x v="8"/>
  </r>
  <r>
    <x v="0"/>
    <x v="7"/>
    <n v="12"/>
    <x v="2"/>
    <d v="2023-09-01T00:00:00"/>
    <n v="0"/>
    <x v="9"/>
  </r>
  <r>
    <x v="0"/>
    <x v="7"/>
    <n v="12"/>
    <x v="2"/>
    <d v="2023-09-01T00:00:00"/>
    <n v="0"/>
    <x v="10"/>
  </r>
  <r>
    <x v="0"/>
    <x v="7"/>
    <n v="12"/>
    <x v="2"/>
    <d v="2023-09-01T00:00:00"/>
    <n v="0"/>
    <x v="11"/>
  </r>
  <r>
    <x v="0"/>
    <x v="7"/>
    <n v="12"/>
    <x v="2"/>
    <d v="2023-09-01T00:00:00"/>
    <n v="0"/>
    <x v="12"/>
  </r>
  <r>
    <x v="0"/>
    <x v="7"/>
    <n v="13"/>
    <x v="12"/>
    <d v="2023-09-01T00:00:00"/>
    <n v="0"/>
    <x v="0"/>
  </r>
  <r>
    <x v="0"/>
    <x v="7"/>
    <n v="13"/>
    <x v="12"/>
    <d v="2023-09-01T00:00:00"/>
    <n v="0"/>
    <x v="1"/>
  </r>
  <r>
    <x v="0"/>
    <x v="7"/>
    <n v="13"/>
    <x v="12"/>
    <d v="2023-09-01T00:00:00"/>
    <n v="0"/>
    <x v="2"/>
  </r>
  <r>
    <x v="0"/>
    <x v="7"/>
    <n v="13"/>
    <x v="12"/>
    <d v="2023-09-01T00:00:00"/>
    <n v="0"/>
    <x v="3"/>
  </r>
  <r>
    <x v="0"/>
    <x v="7"/>
    <n v="13"/>
    <x v="12"/>
    <d v="2023-09-01T00:00:00"/>
    <n v="0"/>
    <x v="4"/>
  </r>
  <r>
    <x v="0"/>
    <x v="7"/>
    <n v="13"/>
    <x v="12"/>
    <d v="2023-09-01T00:00:00"/>
    <n v="0"/>
    <x v="5"/>
  </r>
  <r>
    <x v="0"/>
    <x v="7"/>
    <n v="13"/>
    <x v="12"/>
    <d v="2023-09-01T00:00:00"/>
    <n v="0"/>
    <x v="6"/>
  </r>
  <r>
    <x v="0"/>
    <x v="7"/>
    <n v="13"/>
    <x v="12"/>
    <d v="2023-09-01T00:00:00"/>
    <n v="0"/>
    <x v="7"/>
  </r>
  <r>
    <x v="0"/>
    <x v="7"/>
    <n v="13"/>
    <x v="12"/>
    <d v="2023-09-01T00:00:00"/>
    <n v="0"/>
    <x v="8"/>
  </r>
  <r>
    <x v="0"/>
    <x v="7"/>
    <n v="13"/>
    <x v="12"/>
    <d v="2023-09-01T00:00:00"/>
    <n v="0"/>
    <x v="9"/>
  </r>
  <r>
    <x v="0"/>
    <x v="7"/>
    <n v="13"/>
    <x v="12"/>
    <d v="2023-09-01T00:00:00"/>
    <n v="0"/>
    <x v="10"/>
  </r>
  <r>
    <x v="0"/>
    <x v="7"/>
    <n v="13"/>
    <x v="12"/>
    <d v="2023-09-01T00:00:00"/>
    <n v="0"/>
    <x v="11"/>
  </r>
  <r>
    <x v="0"/>
    <x v="7"/>
    <n v="13"/>
    <x v="12"/>
    <d v="2023-09-01T00:00:00"/>
    <n v="0"/>
    <x v="12"/>
  </r>
  <r>
    <x v="0"/>
    <x v="7"/>
    <n v="14"/>
    <x v="13"/>
    <d v="2023-09-01T00:00:00"/>
    <n v="0"/>
    <x v="0"/>
  </r>
  <r>
    <x v="0"/>
    <x v="7"/>
    <n v="14"/>
    <x v="13"/>
    <d v="2023-09-01T00:00:00"/>
    <n v="0"/>
    <x v="1"/>
  </r>
  <r>
    <x v="0"/>
    <x v="7"/>
    <n v="14"/>
    <x v="13"/>
    <d v="2023-09-01T00:00:00"/>
    <n v="0"/>
    <x v="2"/>
  </r>
  <r>
    <x v="0"/>
    <x v="7"/>
    <n v="14"/>
    <x v="13"/>
    <d v="2023-09-01T00:00:00"/>
    <n v="0"/>
    <x v="3"/>
  </r>
  <r>
    <x v="0"/>
    <x v="7"/>
    <n v="14"/>
    <x v="13"/>
    <d v="2023-09-01T00:00:00"/>
    <n v="0"/>
    <x v="4"/>
  </r>
  <r>
    <x v="0"/>
    <x v="7"/>
    <n v="14"/>
    <x v="13"/>
    <d v="2023-09-01T00:00:00"/>
    <n v="0"/>
    <x v="5"/>
  </r>
  <r>
    <x v="0"/>
    <x v="7"/>
    <n v="14"/>
    <x v="13"/>
    <d v="2023-09-01T00:00:00"/>
    <n v="0"/>
    <x v="6"/>
  </r>
  <r>
    <x v="0"/>
    <x v="7"/>
    <n v="14"/>
    <x v="13"/>
    <d v="2023-09-01T00:00:00"/>
    <n v="0"/>
    <x v="7"/>
  </r>
  <r>
    <x v="0"/>
    <x v="7"/>
    <n v="14"/>
    <x v="13"/>
    <d v="2023-09-01T00:00:00"/>
    <n v="0"/>
    <x v="8"/>
  </r>
  <r>
    <x v="0"/>
    <x v="7"/>
    <n v="14"/>
    <x v="13"/>
    <d v="2023-09-01T00:00:00"/>
    <n v="0"/>
    <x v="9"/>
  </r>
  <r>
    <x v="0"/>
    <x v="7"/>
    <n v="14"/>
    <x v="13"/>
    <d v="2023-09-01T00:00:00"/>
    <n v="0"/>
    <x v="10"/>
  </r>
  <r>
    <x v="0"/>
    <x v="7"/>
    <n v="14"/>
    <x v="13"/>
    <d v="2023-09-01T00:00:00"/>
    <n v="0"/>
    <x v="11"/>
  </r>
  <r>
    <x v="0"/>
    <x v="7"/>
    <n v="14"/>
    <x v="13"/>
    <d v="2023-09-01T00:00:00"/>
    <n v="0"/>
    <x v="12"/>
  </r>
  <r>
    <x v="0"/>
    <x v="7"/>
    <n v="15"/>
    <x v="14"/>
    <d v="2023-09-01T00:00:00"/>
    <n v="0"/>
    <x v="0"/>
  </r>
  <r>
    <x v="0"/>
    <x v="7"/>
    <n v="15"/>
    <x v="14"/>
    <d v="2023-09-01T00:00:00"/>
    <n v="0"/>
    <x v="1"/>
  </r>
  <r>
    <x v="0"/>
    <x v="7"/>
    <n v="15"/>
    <x v="14"/>
    <d v="2023-09-01T00:00:00"/>
    <n v="0"/>
    <x v="2"/>
  </r>
  <r>
    <x v="0"/>
    <x v="7"/>
    <n v="15"/>
    <x v="14"/>
    <d v="2023-09-01T00:00:00"/>
    <n v="0"/>
    <x v="3"/>
  </r>
  <r>
    <x v="0"/>
    <x v="7"/>
    <n v="15"/>
    <x v="14"/>
    <d v="2023-09-01T00:00:00"/>
    <n v="0"/>
    <x v="4"/>
  </r>
  <r>
    <x v="0"/>
    <x v="7"/>
    <n v="15"/>
    <x v="14"/>
    <d v="2023-09-01T00:00:00"/>
    <n v="0"/>
    <x v="5"/>
  </r>
  <r>
    <x v="0"/>
    <x v="7"/>
    <n v="15"/>
    <x v="14"/>
    <d v="2023-09-01T00:00:00"/>
    <n v="0"/>
    <x v="6"/>
  </r>
  <r>
    <x v="0"/>
    <x v="7"/>
    <n v="15"/>
    <x v="14"/>
    <d v="2023-09-01T00:00:00"/>
    <n v="0"/>
    <x v="7"/>
  </r>
  <r>
    <x v="0"/>
    <x v="7"/>
    <n v="15"/>
    <x v="14"/>
    <d v="2023-09-01T00:00:00"/>
    <n v="0"/>
    <x v="8"/>
  </r>
  <r>
    <x v="0"/>
    <x v="7"/>
    <n v="15"/>
    <x v="14"/>
    <d v="2023-09-01T00:00:00"/>
    <n v="0"/>
    <x v="9"/>
  </r>
  <r>
    <x v="0"/>
    <x v="7"/>
    <n v="15"/>
    <x v="14"/>
    <d v="2023-09-01T00:00:00"/>
    <n v="0"/>
    <x v="10"/>
  </r>
  <r>
    <x v="0"/>
    <x v="7"/>
    <n v="15"/>
    <x v="14"/>
    <d v="2023-09-01T00:00:00"/>
    <n v="0"/>
    <x v="11"/>
  </r>
  <r>
    <x v="0"/>
    <x v="7"/>
    <n v="15"/>
    <x v="14"/>
    <d v="2023-09-01T00:00:00"/>
    <n v="0"/>
    <x v="12"/>
  </r>
  <r>
    <x v="0"/>
    <x v="7"/>
    <n v="16"/>
    <x v="15"/>
    <d v="2023-09-01T00:00:00"/>
    <n v="0"/>
    <x v="0"/>
  </r>
  <r>
    <x v="0"/>
    <x v="7"/>
    <n v="16"/>
    <x v="15"/>
    <d v="2023-09-01T00:00:00"/>
    <n v="0"/>
    <x v="1"/>
  </r>
  <r>
    <x v="0"/>
    <x v="7"/>
    <n v="16"/>
    <x v="15"/>
    <d v="2023-09-01T00:00:00"/>
    <n v="0"/>
    <x v="2"/>
  </r>
  <r>
    <x v="0"/>
    <x v="7"/>
    <n v="16"/>
    <x v="15"/>
    <d v="2023-09-01T00:00:00"/>
    <n v="0"/>
    <x v="3"/>
  </r>
  <r>
    <x v="0"/>
    <x v="7"/>
    <n v="16"/>
    <x v="15"/>
    <d v="2023-09-01T00:00:00"/>
    <n v="0"/>
    <x v="4"/>
  </r>
  <r>
    <x v="0"/>
    <x v="7"/>
    <n v="16"/>
    <x v="15"/>
    <d v="2023-09-01T00:00:00"/>
    <n v="0"/>
    <x v="5"/>
  </r>
  <r>
    <x v="0"/>
    <x v="7"/>
    <n v="16"/>
    <x v="15"/>
    <d v="2023-09-01T00:00:00"/>
    <n v="0"/>
    <x v="6"/>
  </r>
  <r>
    <x v="0"/>
    <x v="7"/>
    <n v="16"/>
    <x v="15"/>
    <d v="2023-09-01T00:00:00"/>
    <n v="0"/>
    <x v="7"/>
  </r>
  <r>
    <x v="0"/>
    <x v="7"/>
    <n v="16"/>
    <x v="15"/>
    <d v="2023-09-01T00:00:00"/>
    <n v="0"/>
    <x v="8"/>
  </r>
  <r>
    <x v="0"/>
    <x v="7"/>
    <n v="16"/>
    <x v="15"/>
    <d v="2023-09-01T00:00:00"/>
    <n v="0"/>
    <x v="9"/>
  </r>
  <r>
    <x v="0"/>
    <x v="7"/>
    <n v="16"/>
    <x v="15"/>
    <d v="2023-09-01T00:00:00"/>
    <n v="0"/>
    <x v="10"/>
  </r>
  <r>
    <x v="0"/>
    <x v="7"/>
    <n v="16"/>
    <x v="15"/>
    <d v="2023-09-01T00:00:00"/>
    <n v="0"/>
    <x v="11"/>
  </r>
  <r>
    <x v="0"/>
    <x v="7"/>
    <n v="16"/>
    <x v="15"/>
    <d v="2023-09-01T00:00:00"/>
    <n v="0"/>
    <x v="12"/>
  </r>
  <r>
    <x v="0"/>
    <x v="7"/>
    <n v="17"/>
    <x v="16"/>
    <d v="2023-09-01T00:00:00"/>
    <n v="0"/>
    <x v="0"/>
  </r>
  <r>
    <x v="0"/>
    <x v="7"/>
    <n v="17"/>
    <x v="16"/>
    <d v="2023-09-01T00:00:00"/>
    <n v="0"/>
    <x v="1"/>
  </r>
  <r>
    <x v="0"/>
    <x v="7"/>
    <n v="17"/>
    <x v="16"/>
    <d v="2023-09-01T00:00:00"/>
    <n v="0"/>
    <x v="2"/>
  </r>
  <r>
    <x v="0"/>
    <x v="7"/>
    <n v="17"/>
    <x v="16"/>
    <d v="2023-09-01T00:00:00"/>
    <n v="0"/>
    <x v="3"/>
  </r>
  <r>
    <x v="0"/>
    <x v="7"/>
    <n v="17"/>
    <x v="16"/>
    <d v="2023-09-01T00:00:00"/>
    <n v="0"/>
    <x v="4"/>
  </r>
  <r>
    <x v="0"/>
    <x v="7"/>
    <n v="17"/>
    <x v="16"/>
    <d v="2023-09-01T00:00:00"/>
    <n v="0"/>
    <x v="5"/>
  </r>
  <r>
    <x v="0"/>
    <x v="7"/>
    <n v="17"/>
    <x v="16"/>
    <d v="2023-09-01T00:00:00"/>
    <n v="0"/>
    <x v="6"/>
  </r>
  <r>
    <x v="0"/>
    <x v="7"/>
    <n v="17"/>
    <x v="16"/>
    <d v="2023-09-01T00:00:00"/>
    <n v="0"/>
    <x v="7"/>
  </r>
  <r>
    <x v="0"/>
    <x v="7"/>
    <n v="17"/>
    <x v="16"/>
    <d v="2023-09-01T00:00:00"/>
    <n v="0"/>
    <x v="8"/>
  </r>
  <r>
    <x v="0"/>
    <x v="7"/>
    <n v="17"/>
    <x v="16"/>
    <d v="2023-09-01T00:00:00"/>
    <n v="0"/>
    <x v="9"/>
  </r>
  <r>
    <x v="0"/>
    <x v="7"/>
    <n v="17"/>
    <x v="16"/>
    <d v="2023-09-01T00:00:00"/>
    <n v="0"/>
    <x v="10"/>
  </r>
  <r>
    <x v="0"/>
    <x v="7"/>
    <n v="17"/>
    <x v="16"/>
    <d v="2023-09-01T00:00:00"/>
    <n v="0"/>
    <x v="11"/>
  </r>
  <r>
    <x v="0"/>
    <x v="7"/>
    <n v="17"/>
    <x v="16"/>
    <d v="2023-09-01T00:00:00"/>
    <n v="0"/>
    <x v="12"/>
  </r>
  <r>
    <x v="0"/>
    <x v="7"/>
    <n v="18"/>
    <x v="17"/>
    <d v="2023-09-01T00:00:00"/>
    <n v="508"/>
    <x v="0"/>
  </r>
  <r>
    <x v="0"/>
    <x v="7"/>
    <n v="18"/>
    <x v="17"/>
    <d v="2023-09-01T00:00:00"/>
    <n v="1207"/>
    <x v="1"/>
  </r>
  <r>
    <x v="0"/>
    <x v="7"/>
    <n v="18"/>
    <x v="17"/>
    <d v="2023-09-01T00:00:00"/>
    <n v="4741"/>
    <x v="2"/>
  </r>
  <r>
    <x v="0"/>
    <x v="7"/>
    <n v="18"/>
    <x v="17"/>
    <d v="2023-09-01T00:00:00"/>
    <n v="5206"/>
    <x v="3"/>
  </r>
  <r>
    <x v="0"/>
    <x v="7"/>
    <n v="18"/>
    <x v="17"/>
    <d v="2023-09-01T00:00:00"/>
    <n v="1975"/>
    <x v="4"/>
  </r>
  <r>
    <x v="0"/>
    <x v="7"/>
    <n v="18"/>
    <x v="17"/>
    <d v="2023-09-01T00:00:00"/>
    <n v="5042"/>
    <x v="5"/>
  </r>
  <r>
    <x v="0"/>
    <x v="7"/>
    <n v="18"/>
    <x v="17"/>
    <d v="2023-09-01T00:00:00"/>
    <n v="19541.7278416667"/>
    <x v="6"/>
  </r>
  <r>
    <x v="0"/>
    <x v="7"/>
    <n v="18"/>
    <x v="17"/>
    <d v="2023-09-01T00:00:00"/>
    <n v="19541.7278416667"/>
    <x v="7"/>
  </r>
  <r>
    <x v="0"/>
    <x v="7"/>
    <n v="18"/>
    <x v="17"/>
    <d v="2023-09-01T00:00:00"/>
    <n v="19541.7278416667"/>
    <x v="8"/>
  </r>
  <r>
    <x v="0"/>
    <x v="7"/>
    <n v="18"/>
    <x v="17"/>
    <d v="2023-09-01T00:00:00"/>
    <n v="19541.7278416667"/>
    <x v="9"/>
  </r>
  <r>
    <x v="0"/>
    <x v="7"/>
    <n v="18"/>
    <x v="17"/>
    <d v="2023-09-01T00:00:00"/>
    <n v="19541.7278416667"/>
    <x v="10"/>
  </r>
  <r>
    <x v="0"/>
    <x v="7"/>
    <n v="18"/>
    <x v="17"/>
    <d v="2023-09-01T00:00:00"/>
    <n v="19541.7278416667"/>
    <x v="11"/>
  </r>
  <r>
    <x v="0"/>
    <x v="7"/>
    <n v="18"/>
    <x v="17"/>
    <d v="2023-09-01T00:00:00"/>
    <n v="135929.36705"/>
    <x v="12"/>
  </r>
  <r>
    <x v="0"/>
    <x v="7"/>
    <n v="19"/>
    <x v="18"/>
    <d v="2023-09-01T00:00:00"/>
    <n v="0"/>
    <x v="0"/>
  </r>
  <r>
    <x v="0"/>
    <x v="7"/>
    <n v="19"/>
    <x v="18"/>
    <d v="2023-09-01T00:00:00"/>
    <n v="0"/>
    <x v="1"/>
  </r>
  <r>
    <x v="0"/>
    <x v="7"/>
    <n v="19"/>
    <x v="18"/>
    <d v="2023-09-01T00:00:00"/>
    <n v="0"/>
    <x v="2"/>
  </r>
  <r>
    <x v="0"/>
    <x v="7"/>
    <n v="19"/>
    <x v="18"/>
    <d v="2023-09-01T00:00:00"/>
    <n v="0"/>
    <x v="3"/>
  </r>
  <r>
    <x v="0"/>
    <x v="7"/>
    <n v="19"/>
    <x v="18"/>
    <d v="2023-09-01T00:00:00"/>
    <n v="0"/>
    <x v="4"/>
  </r>
  <r>
    <x v="0"/>
    <x v="7"/>
    <n v="19"/>
    <x v="18"/>
    <d v="2023-09-01T00:00:00"/>
    <n v="0"/>
    <x v="5"/>
  </r>
  <r>
    <x v="0"/>
    <x v="7"/>
    <n v="19"/>
    <x v="18"/>
    <d v="2023-09-01T00:00:00"/>
    <n v="0"/>
    <x v="6"/>
  </r>
  <r>
    <x v="0"/>
    <x v="7"/>
    <n v="19"/>
    <x v="18"/>
    <d v="2023-09-01T00:00:00"/>
    <n v="0"/>
    <x v="7"/>
  </r>
  <r>
    <x v="0"/>
    <x v="7"/>
    <n v="19"/>
    <x v="18"/>
    <d v="2023-09-01T00:00:00"/>
    <n v="0"/>
    <x v="8"/>
  </r>
  <r>
    <x v="0"/>
    <x v="7"/>
    <n v="19"/>
    <x v="18"/>
    <d v="2023-09-01T00:00:00"/>
    <n v="0"/>
    <x v="9"/>
  </r>
  <r>
    <x v="0"/>
    <x v="7"/>
    <n v="19"/>
    <x v="18"/>
    <d v="2023-09-01T00:00:00"/>
    <n v="0"/>
    <x v="10"/>
  </r>
  <r>
    <x v="0"/>
    <x v="7"/>
    <n v="19"/>
    <x v="18"/>
    <d v="2023-09-01T00:00:00"/>
    <n v="0"/>
    <x v="11"/>
  </r>
  <r>
    <x v="0"/>
    <x v="7"/>
    <n v="19"/>
    <x v="18"/>
    <d v="2023-09-01T00:00:00"/>
    <n v="0"/>
    <x v="12"/>
  </r>
  <r>
    <x v="0"/>
    <x v="7"/>
    <n v="20"/>
    <x v="19"/>
    <d v="2023-09-01T00:00:00"/>
    <n v="0"/>
    <x v="0"/>
  </r>
  <r>
    <x v="0"/>
    <x v="7"/>
    <n v="20"/>
    <x v="19"/>
    <d v="2023-09-01T00:00:00"/>
    <n v="0"/>
    <x v="1"/>
  </r>
  <r>
    <x v="0"/>
    <x v="7"/>
    <n v="20"/>
    <x v="19"/>
    <d v="2023-09-01T00:00:00"/>
    <n v="0"/>
    <x v="2"/>
  </r>
  <r>
    <x v="0"/>
    <x v="7"/>
    <n v="20"/>
    <x v="19"/>
    <d v="2023-09-01T00:00:00"/>
    <n v="0"/>
    <x v="3"/>
  </r>
  <r>
    <x v="0"/>
    <x v="7"/>
    <n v="20"/>
    <x v="19"/>
    <d v="2023-09-01T00:00:00"/>
    <n v="0"/>
    <x v="4"/>
  </r>
  <r>
    <x v="0"/>
    <x v="7"/>
    <n v="20"/>
    <x v="19"/>
    <d v="2023-09-01T00:00:00"/>
    <n v="0"/>
    <x v="5"/>
  </r>
  <r>
    <x v="0"/>
    <x v="7"/>
    <n v="20"/>
    <x v="19"/>
    <d v="2023-09-01T00:00:00"/>
    <n v="0"/>
    <x v="6"/>
  </r>
  <r>
    <x v="0"/>
    <x v="7"/>
    <n v="20"/>
    <x v="19"/>
    <d v="2023-09-01T00:00:00"/>
    <n v="0"/>
    <x v="7"/>
  </r>
  <r>
    <x v="0"/>
    <x v="7"/>
    <n v="20"/>
    <x v="19"/>
    <d v="2023-09-01T00:00:00"/>
    <n v="0"/>
    <x v="8"/>
  </r>
  <r>
    <x v="0"/>
    <x v="7"/>
    <n v="20"/>
    <x v="19"/>
    <d v="2023-09-01T00:00:00"/>
    <n v="0"/>
    <x v="9"/>
  </r>
  <r>
    <x v="0"/>
    <x v="7"/>
    <n v="20"/>
    <x v="19"/>
    <d v="2023-09-01T00:00:00"/>
    <n v="0"/>
    <x v="10"/>
  </r>
  <r>
    <x v="0"/>
    <x v="7"/>
    <n v="20"/>
    <x v="19"/>
    <d v="2023-09-01T00:00:00"/>
    <n v="0"/>
    <x v="11"/>
  </r>
  <r>
    <x v="0"/>
    <x v="7"/>
    <n v="20"/>
    <x v="19"/>
    <d v="2023-09-01T00:00:00"/>
    <n v="0"/>
    <x v="12"/>
  </r>
  <r>
    <x v="0"/>
    <x v="7"/>
    <n v="21"/>
    <x v="20"/>
    <d v="2023-09-01T00:00:00"/>
    <n v="0"/>
    <x v="0"/>
  </r>
  <r>
    <x v="0"/>
    <x v="7"/>
    <n v="21"/>
    <x v="20"/>
    <d v="2023-09-01T00:00:00"/>
    <n v="0"/>
    <x v="1"/>
  </r>
  <r>
    <x v="0"/>
    <x v="7"/>
    <n v="21"/>
    <x v="20"/>
    <d v="2023-09-01T00:00:00"/>
    <n v="0"/>
    <x v="2"/>
  </r>
  <r>
    <x v="0"/>
    <x v="7"/>
    <n v="21"/>
    <x v="20"/>
    <d v="2023-09-01T00:00:00"/>
    <n v="0"/>
    <x v="3"/>
  </r>
  <r>
    <x v="0"/>
    <x v="7"/>
    <n v="21"/>
    <x v="20"/>
    <d v="2023-09-01T00:00:00"/>
    <n v="0"/>
    <x v="4"/>
  </r>
  <r>
    <x v="0"/>
    <x v="7"/>
    <n v="21"/>
    <x v="20"/>
    <d v="2023-09-01T00:00:00"/>
    <n v="0"/>
    <x v="5"/>
  </r>
  <r>
    <x v="0"/>
    <x v="7"/>
    <n v="21"/>
    <x v="20"/>
    <d v="2023-09-01T00:00:00"/>
    <n v="0"/>
    <x v="6"/>
  </r>
  <r>
    <x v="0"/>
    <x v="7"/>
    <n v="21"/>
    <x v="20"/>
    <d v="2023-09-01T00:00:00"/>
    <n v="0"/>
    <x v="7"/>
  </r>
  <r>
    <x v="0"/>
    <x v="7"/>
    <n v="21"/>
    <x v="20"/>
    <d v="2023-09-01T00:00:00"/>
    <n v="0"/>
    <x v="8"/>
  </r>
  <r>
    <x v="0"/>
    <x v="7"/>
    <n v="21"/>
    <x v="20"/>
    <d v="2023-09-01T00:00:00"/>
    <n v="0"/>
    <x v="9"/>
  </r>
  <r>
    <x v="0"/>
    <x v="7"/>
    <n v="21"/>
    <x v="20"/>
    <d v="2023-09-01T00:00:00"/>
    <n v="0"/>
    <x v="10"/>
  </r>
  <r>
    <x v="0"/>
    <x v="7"/>
    <n v="21"/>
    <x v="20"/>
    <d v="2023-09-01T00:00:00"/>
    <n v="0"/>
    <x v="11"/>
  </r>
  <r>
    <x v="0"/>
    <x v="7"/>
    <n v="21"/>
    <x v="20"/>
    <d v="2023-09-01T00:00:00"/>
    <n v="0"/>
    <x v="12"/>
  </r>
  <r>
    <x v="0"/>
    <x v="7"/>
    <n v="22"/>
    <x v="21"/>
    <d v="2023-09-01T00:00:00"/>
    <n v="523"/>
    <x v="0"/>
  </r>
  <r>
    <x v="0"/>
    <x v="7"/>
    <n v="22"/>
    <x v="21"/>
    <d v="2023-09-01T00:00:00"/>
    <n v="419.1"/>
    <x v="1"/>
  </r>
  <r>
    <x v="0"/>
    <x v="7"/>
    <n v="22"/>
    <x v="21"/>
    <d v="2023-09-01T00:00:00"/>
    <n v="472.4"/>
    <x v="2"/>
  </r>
  <r>
    <x v="0"/>
    <x v="7"/>
    <n v="22"/>
    <x v="21"/>
    <d v="2023-09-01T00:00:00"/>
    <n v="463.82165906300003"/>
    <x v="3"/>
  </r>
  <r>
    <x v="0"/>
    <x v="7"/>
    <n v="22"/>
    <x v="21"/>
    <d v="2023-09-01T00:00:00"/>
    <n v="492.46911347192901"/>
    <x v="4"/>
  </r>
  <r>
    <x v="0"/>
    <x v="7"/>
    <n v="22"/>
    <x v="21"/>
    <d v="2023-09-01T00:00:00"/>
    <n v="458"/>
    <x v="5"/>
  </r>
  <r>
    <x v="0"/>
    <x v="7"/>
    <n v="22"/>
    <x v="21"/>
    <d v="2023-09-01T00:00:00"/>
    <n v="468"/>
    <x v="6"/>
  </r>
  <r>
    <x v="0"/>
    <x v="7"/>
    <n v="22"/>
    <x v="21"/>
    <d v="2023-09-01T00:00:00"/>
    <n v="468"/>
    <x v="7"/>
  </r>
  <r>
    <x v="0"/>
    <x v="7"/>
    <n v="22"/>
    <x v="21"/>
    <d v="2023-09-01T00:00:00"/>
    <n v="468.4"/>
    <x v="8"/>
  </r>
  <r>
    <x v="0"/>
    <x v="7"/>
    <n v="22"/>
    <x v="21"/>
    <d v="2023-09-01T00:00:00"/>
    <n v="469.4"/>
    <x v="9"/>
  </r>
  <r>
    <x v="0"/>
    <x v="7"/>
    <n v="22"/>
    <x v="21"/>
    <d v="2023-09-01T00:00:00"/>
    <n v="468.9"/>
    <x v="10"/>
  </r>
  <r>
    <x v="0"/>
    <x v="7"/>
    <n v="22"/>
    <x v="21"/>
    <d v="2023-09-01T00:00:00"/>
    <n v="562.29999999999995"/>
    <x v="11"/>
  </r>
  <r>
    <x v="0"/>
    <x v="7"/>
    <n v="22"/>
    <x v="21"/>
    <d v="2023-09-01T00:00:00"/>
    <n v="5733.7907725349296"/>
    <x v="12"/>
  </r>
  <r>
    <x v="0"/>
    <x v="7"/>
    <n v="23"/>
    <x v="22"/>
    <d v="2023-09-01T00:00:00"/>
    <n v="19.9166666666667"/>
    <x v="0"/>
  </r>
  <r>
    <x v="0"/>
    <x v="7"/>
    <n v="23"/>
    <x v="22"/>
    <d v="2023-09-01T00:00:00"/>
    <n v="19.81718"/>
    <x v="1"/>
  </r>
  <r>
    <x v="0"/>
    <x v="7"/>
    <n v="23"/>
    <x v="22"/>
    <d v="2023-09-01T00:00:00"/>
    <n v="19.81718"/>
    <x v="2"/>
  </r>
  <r>
    <x v="0"/>
    <x v="7"/>
    <n v="23"/>
    <x v="22"/>
    <d v="2023-09-01T00:00:00"/>
    <n v="19.81718"/>
    <x v="3"/>
  </r>
  <r>
    <x v="0"/>
    <x v="7"/>
    <n v="23"/>
    <x v="22"/>
    <d v="2023-09-01T00:00:00"/>
    <n v="19.81718"/>
    <x v="4"/>
  </r>
  <r>
    <x v="0"/>
    <x v="7"/>
    <n v="23"/>
    <x v="22"/>
    <d v="2023-09-01T00:00:00"/>
    <n v="19.81718"/>
    <x v="5"/>
  </r>
  <r>
    <x v="0"/>
    <x v="7"/>
    <n v="23"/>
    <x v="22"/>
    <d v="2023-09-01T00:00:00"/>
    <n v="19.81718"/>
    <x v="6"/>
  </r>
  <r>
    <x v="0"/>
    <x v="7"/>
    <n v="23"/>
    <x v="22"/>
    <d v="2023-09-01T00:00:00"/>
    <n v="19.81718"/>
    <x v="7"/>
  </r>
  <r>
    <x v="0"/>
    <x v="7"/>
    <n v="23"/>
    <x v="22"/>
    <d v="2023-09-01T00:00:00"/>
    <n v="19.81718"/>
    <x v="8"/>
  </r>
  <r>
    <x v="0"/>
    <x v="7"/>
    <n v="23"/>
    <x v="22"/>
    <d v="2023-09-01T00:00:00"/>
    <n v="19.81718"/>
    <x v="9"/>
  </r>
  <r>
    <x v="0"/>
    <x v="7"/>
    <n v="23"/>
    <x v="22"/>
    <d v="2023-09-01T00:00:00"/>
    <n v="19.81718"/>
    <x v="10"/>
  </r>
  <r>
    <x v="0"/>
    <x v="7"/>
    <n v="23"/>
    <x v="22"/>
    <d v="2023-09-01T00:00:00"/>
    <n v="19.81718"/>
    <x v="11"/>
  </r>
  <r>
    <x v="0"/>
    <x v="7"/>
    <n v="23"/>
    <x v="22"/>
    <d v="2023-09-01T00:00:00"/>
    <n v="237.905646666667"/>
    <x v="12"/>
  </r>
  <r>
    <x v="0"/>
    <x v="7"/>
    <n v="24"/>
    <x v="23"/>
    <d v="2023-09-01T00:00:00"/>
    <n v="0"/>
    <x v="0"/>
  </r>
  <r>
    <x v="0"/>
    <x v="7"/>
    <n v="24"/>
    <x v="23"/>
    <d v="2023-09-01T00:00:00"/>
    <n v="0"/>
    <x v="1"/>
  </r>
  <r>
    <x v="0"/>
    <x v="7"/>
    <n v="24"/>
    <x v="23"/>
    <d v="2023-09-01T00:00:00"/>
    <n v="0"/>
    <x v="2"/>
  </r>
  <r>
    <x v="0"/>
    <x v="7"/>
    <n v="24"/>
    <x v="23"/>
    <d v="2023-09-01T00:00:00"/>
    <n v="0"/>
    <x v="3"/>
  </r>
  <r>
    <x v="0"/>
    <x v="7"/>
    <n v="24"/>
    <x v="23"/>
    <d v="2023-09-01T00:00:00"/>
    <n v="0"/>
    <x v="4"/>
  </r>
  <r>
    <x v="0"/>
    <x v="7"/>
    <n v="24"/>
    <x v="23"/>
    <d v="2023-09-01T00:00:00"/>
    <n v="0"/>
    <x v="5"/>
  </r>
  <r>
    <x v="0"/>
    <x v="7"/>
    <n v="24"/>
    <x v="23"/>
    <d v="2023-09-01T00:00:00"/>
    <n v="0"/>
    <x v="6"/>
  </r>
  <r>
    <x v="0"/>
    <x v="7"/>
    <n v="24"/>
    <x v="23"/>
    <d v="2023-09-01T00:00:00"/>
    <n v="0"/>
    <x v="7"/>
  </r>
  <r>
    <x v="0"/>
    <x v="7"/>
    <n v="24"/>
    <x v="23"/>
    <d v="2023-09-01T00:00:00"/>
    <n v="0"/>
    <x v="8"/>
  </r>
  <r>
    <x v="0"/>
    <x v="7"/>
    <n v="24"/>
    <x v="23"/>
    <d v="2023-09-01T00:00:00"/>
    <n v="0"/>
    <x v="9"/>
  </r>
  <r>
    <x v="0"/>
    <x v="7"/>
    <n v="24"/>
    <x v="23"/>
    <d v="2023-09-01T00:00:00"/>
    <n v="0"/>
    <x v="10"/>
  </r>
  <r>
    <x v="0"/>
    <x v="7"/>
    <n v="24"/>
    <x v="23"/>
    <d v="2023-09-01T00:00:00"/>
    <n v="0"/>
    <x v="11"/>
  </r>
  <r>
    <x v="0"/>
    <x v="7"/>
    <n v="24"/>
    <x v="23"/>
    <d v="2023-09-01T00:00:00"/>
    <n v="0"/>
    <x v="12"/>
  </r>
  <r>
    <x v="0"/>
    <x v="7"/>
    <n v="25"/>
    <x v="24"/>
    <d v="2023-09-01T00:00:00"/>
    <n v="0"/>
    <x v="0"/>
  </r>
  <r>
    <x v="0"/>
    <x v="7"/>
    <n v="25"/>
    <x v="24"/>
    <d v="2023-09-01T00:00:00"/>
    <n v="0"/>
    <x v="1"/>
  </r>
  <r>
    <x v="0"/>
    <x v="7"/>
    <n v="25"/>
    <x v="24"/>
    <d v="2023-09-01T00:00:00"/>
    <n v="0"/>
    <x v="2"/>
  </r>
  <r>
    <x v="0"/>
    <x v="7"/>
    <n v="25"/>
    <x v="24"/>
    <d v="2023-09-01T00:00:00"/>
    <n v="0"/>
    <x v="3"/>
  </r>
  <r>
    <x v="0"/>
    <x v="7"/>
    <n v="25"/>
    <x v="24"/>
    <d v="2023-09-01T00:00:00"/>
    <n v="0"/>
    <x v="4"/>
  </r>
  <r>
    <x v="0"/>
    <x v="7"/>
    <n v="25"/>
    <x v="24"/>
    <d v="2023-09-01T00:00:00"/>
    <n v="0"/>
    <x v="5"/>
  </r>
  <r>
    <x v="0"/>
    <x v="7"/>
    <n v="25"/>
    <x v="24"/>
    <d v="2023-09-01T00:00:00"/>
    <n v="0"/>
    <x v="6"/>
  </r>
  <r>
    <x v="0"/>
    <x v="7"/>
    <n v="25"/>
    <x v="24"/>
    <d v="2023-09-01T00:00:00"/>
    <n v="0"/>
    <x v="7"/>
  </r>
  <r>
    <x v="0"/>
    <x v="7"/>
    <n v="25"/>
    <x v="24"/>
    <d v="2023-09-01T00:00:00"/>
    <n v="0"/>
    <x v="8"/>
  </r>
  <r>
    <x v="0"/>
    <x v="7"/>
    <n v="25"/>
    <x v="24"/>
    <d v="2023-09-01T00:00:00"/>
    <n v="0"/>
    <x v="9"/>
  </r>
  <r>
    <x v="0"/>
    <x v="7"/>
    <n v="25"/>
    <x v="24"/>
    <d v="2023-09-01T00:00:00"/>
    <n v="0"/>
    <x v="10"/>
  </r>
  <r>
    <x v="0"/>
    <x v="7"/>
    <n v="25"/>
    <x v="24"/>
    <d v="2023-09-01T00:00:00"/>
    <n v="0"/>
    <x v="11"/>
  </r>
  <r>
    <x v="0"/>
    <x v="7"/>
    <n v="25"/>
    <x v="24"/>
    <d v="2023-09-01T00:00:00"/>
    <n v="0"/>
    <x v="12"/>
  </r>
  <r>
    <x v="0"/>
    <x v="7"/>
    <n v="26"/>
    <x v="25"/>
    <d v="2023-09-01T00:00:00"/>
    <n v="42167.979946666703"/>
    <x v="0"/>
  </r>
  <r>
    <x v="0"/>
    <x v="7"/>
    <n v="26"/>
    <x v="25"/>
    <d v="2023-09-01T00:00:00"/>
    <n v="42945.0046"/>
    <x v="1"/>
  </r>
  <r>
    <x v="0"/>
    <x v="7"/>
    <n v="26"/>
    <x v="25"/>
    <d v="2023-09-01T00:00:00"/>
    <n v="47159.21718"/>
    <x v="2"/>
  </r>
  <r>
    <x v="0"/>
    <x v="7"/>
    <n v="26"/>
    <x v="25"/>
    <d v="2023-09-01T00:00:00"/>
    <n v="50127.210329062997"/>
    <x v="3"/>
  </r>
  <r>
    <x v="0"/>
    <x v="7"/>
    <n v="26"/>
    <x v="25"/>
    <d v="2023-09-01T00:00:00"/>
    <n v="44982.884943471901"/>
    <x v="4"/>
  </r>
  <r>
    <x v="0"/>
    <x v="7"/>
    <n v="26"/>
    <x v="25"/>
    <d v="2023-09-01T00:00:00"/>
    <n v="49983.895900000003"/>
    <x v="5"/>
  </r>
  <r>
    <x v="0"/>
    <x v="7"/>
    <n v="26"/>
    <x v="25"/>
    <d v="2023-09-01T00:00:00"/>
    <n v="68953.775021666705"/>
    <x v="6"/>
  </r>
  <r>
    <x v="0"/>
    <x v="7"/>
    <n v="26"/>
    <x v="25"/>
    <d v="2023-09-01T00:00:00"/>
    <n v="62210.0050216667"/>
    <x v="7"/>
  </r>
  <r>
    <x v="0"/>
    <x v="7"/>
    <n v="26"/>
    <x v="25"/>
    <d v="2023-09-01T00:00:00"/>
    <n v="70056.510021666705"/>
    <x v="8"/>
  </r>
  <r>
    <x v="0"/>
    <x v="7"/>
    <n v="26"/>
    <x v="25"/>
    <d v="2023-09-01T00:00:00"/>
    <n v="62205.497021666699"/>
    <x v="9"/>
  </r>
  <r>
    <x v="0"/>
    <x v="7"/>
    <n v="26"/>
    <x v="25"/>
    <d v="2023-09-01T00:00:00"/>
    <n v="62208.104021666702"/>
    <x v="10"/>
  </r>
  <r>
    <x v="0"/>
    <x v="7"/>
    <n v="26"/>
    <x v="25"/>
    <d v="2023-09-01T00:00:00"/>
    <n v="72524.100021666702"/>
    <x v="11"/>
  </r>
  <r>
    <x v="0"/>
    <x v="7"/>
    <n v="26"/>
    <x v="25"/>
    <d v="2023-09-01T00:00:00"/>
    <n v="675524.18402920198"/>
    <x v="12"/>
  </r>
  <r>
    <x v="0"/>
    <x v="7"/>
    <n v="27"/>
    <x v="26"/>
    <d v="2023-09-01T00:00:00"/>
    <n v="2.0053333333635199E-2"/>
    <x v="0"/>
  </r>
  <r>
    <x v="0"/>
    <x v="7"/>
    <n v="27"/>
    <x v="26"/>
    <d v="2023-09-01T00:00:00"/>
    <n v="-4.6000000074855104E-3"/>
    <x v="1"/>
  </r>
  <r>
    <x v="0"/>
    <x v="7"/>
    <n v="27"/>
    <x v="26"/>
    <d v="2023-09-01T00:00:00"/>
    <n v="-0.21717999999964399"/>
    <x v="2"/>
  </r>
  <r>
    <x v="0"/>
    <x v="7"/>
    <n v="27"/>
    <x v="26"/>
    <d v="2023-09-01T00:00:00"/>
    <n v="-0.21032906300388299"/>
    <x v="3"/>
  </r>
  <r>
    <x v="0"/>
    <x v="7"/>
    <n v="27"/>
    <x v="26"/>
    <d v="2023-09-01T00:00:00"/>
    <n v="0.115056528054993"/>
    <x v="4"/>
  </r>
  <r>
    <x v="0"/>
    <x v="7"/>
    <n v="27"/>
    <x v="26"/>
    <d v="2023-09-01T00:00:00"/>
    <n v="0.104099999982282"/>
    <x v="5"/>
  </r>
  <r>
    <x v="0"/>
    <x v="7"/>
    <n v="27"/>
    <x v="26"/>
    <d v="2023-09-01T00:00:00"/>
    <n v="0.22497833329543901"/>
    <x v="6"/>
  </r>
  <r>
    <x v="0"/>
    <x v="7"/>
    <n v="27"/>
    <x v="26"/>
    <d v="2023-09-01T00:00:00"/>
    <n v="-5.0216666713822598E-3"/>
    <x v="7"/>
  </r>
  <r>
    <x v="0"/>
    <x v="7"/>
    <n v="27"/>
    <x v="26"/>
    <d v="2023-09-01T00:00:00"/>
    <n v="0.48997833333851298"/>
    <x v="8"/>
  </r>
  <r>
    <x v="0"/>
    <x v="7"/>
    <n v="27"/>
    <x v="26"/>
    <d v="2023-09-01T00:00:00"/>
    <n v="-0.497021666669752"/>
    <x v="9"/>
  </r>
  <r>
    <x v="0"/>
    <x v="7"/>
    <n v="27"/>
    <x v="26"/>
    <d v="2023-09-01T00:00:00"/>
    <n v="-0.10402166666608501"/>
    <x v="10"/>
  </r>
  <r>
    <x v="0"/>
    <x v="7"/>
    <n v="27"/>
    <x v="26"/>
    <d v="2023-09-01T00:00:00"/>
    <n v="-0.100021666672546"/>
    <x v="11"/>
  </r>
  <r>
    <x v="0"/>
    <x v="7"/>
    <n v="27"/>
    <x v="26"/>
    <d v="2023-09-01T00:00:00"/>
    <n v="-0.18402920174412399"/>
    <x v="12"/>
  </r>
  <r>
    <x v="0"/>
    <x v="8"/>
    <n v="1"/>
    <x v="3"/>
    <d v="2023-09-01T00:00:00"/>
    <n v="0"/>
    <x v="0"/>
  </r>
  <r>
    <x v="0"/>
    <x v="8"/>
    <n v="1"/>
    <x v="3"/>
    <d v="2023-09-01T00:00:00"/>
    <n v="0"/>
    <x v="1"/>
  </r>
  <r>
    <x v="0"/>
    <x v="8"/>
    <n v="1"/>
    <x v="3"/>
    <d v="2023-09-01T00:00:00"/>
    <n v="0"/>
    <x v="2"/>
  </r>
  <r>
    <x v="0"/>
    <x v="8"/>
    <n v="1"/>
    <x v="3"/>
    <d v="2023-09-01T00:00:00"/>
    <n v="0"/>
    <x v="3"/>
  </r>
  <r>
    <x v="0"/>
    <x v="8"/>
    <n v="1"/>
    <x v="3"/>
    <d v="2023-09-01T00:00:00"/>
    <n v="0"/>
    <x v="4"/>
  </r>
  <r>
    <x v="0"/>
    <x v="8"/>
    <n v="1"/>
    <x v="3"/>
    <d v="2023-09-01T00:00:00"/>
    <n v="0"/>
    <x v="5"/>
  </r>
  <r>
    <x v="0"/>
    <x v="8"/>
    <n v="1"/>
    <x v="3"/>
    <d v="2023-09-01T00:00:00"/>
    <n v="0"/>
    <x v="6"/>
  </r>
  <r>
    <x v="0"/>
    <x v="8"/>
    <n v="1"/>
    <x v="3"/>
    <d v="2023-09-01T00:00:00"/>
    <n v="0"/>
    <x v="7"/>
  </r>
  <r>
    <x v="0"/>
    <x v="8"/>
    <n v="1"/>
    <x v="3"/>
    <d v="2023-09-01T00:00:00"/>
    <n v="0"/>
    <x v="8"/>
  </r>
  <r>
    <x v="0"/>
    <x v="8"/>
    <n v="1"/>
    <x v="3"/>
    <d v="2023-09-01T00:00:00"/>
    <n v="0"/>
    <x v="9"/>
  </r>
  <r>
    <x v="0"/>
    <x v="8"/>
    <n v="1"/>
    <x v="3"/>
    <d v="2023-09-01T00:00:00"/>
    <n v="0"/>
    <x v="10"/>
  </r>
  <r>
    <x v="0"/>
    <x v="8"/>
    <n v="1"/>
    <x v="3"/>
    <d v="2023-09-01T00:00:00"/>
    <n v="0"/>
    <x v="11"/>
  </r>
  <r>
    <x v="0"/>
    <x v="8"/>
    <n v="1"/>
    <x v="3"/>
    <d v="2023-09-01T00:00:00"/>
    <n v="0"/>
    <x v="12"/>
  </r>
  <r>
    <x v="0"/>
    <x v="8"/>
    <n v="2"/>
    <x v="4"/>
    <d v="2023-09-01T00:00:00"/>
    <n v="0"/>
    <x v="0"/>
  </r>
  <r>
    <x v="0"/>
    <x v="8"/>
    <n v="2"/>
    <x v="4"/>
    <d v="2023-09-01T00:00:00"/>
    <n v="0"/>
    <x v="1"/>
  </r>
  <r>
    <x v="0"/>
    <x v="8"/>
    <n v="2"/>
    <x v="4"/>
    <d v="2023-09-01T00:00:00"/>
    <n v="0"/>
    <x v="2"/>
  </r>
  <r>
    <x v="0"/>
    <x v="8"/>
    <n v="2"/>
    <x v="4"/>
    <d v="2023-09-01T00:00:00"/>
    <n v="0"/>
    <x v="3"/>
  </r>
  <r>
    <x v="0"/>
    <x v="8"/>
    <n v="2"/>
    <x v="4"/>
    <d v="2023-09-01T00:00:00"/>
    <n v="0"/>
    <x v="4"/>
  </r>
  <r>
    <x v="0"/>
    <x v="8"/>
    <n v="2"/>
    <x v="4"/>
    <d v="2023-09-01T00:00:00"/>
    <n v="0"/>
    <x v="5"/>
  </r>
  <r>
    <x v="0"/>
    <x v="8"/>
    <n v="2"/>
    <x v="4"/>
    <d v="2023-09-01T00:00:00"/>
    <n v="0"/>
    <x v="6"/>
  </r>
  <r>
    <x v="0"/>
    <x v="8"/>
    <n v="2"/>
    <x v="4"/>
    <d v="2023-09-01T00:00:00"/>
    <n v="0"/>
    <x v="7"/>
  </r>
  <r>
    <x v="0"/>
    <x v="8"/>
    <n v="2"/>
    <x v="4"/>
    <d v="2023-09-01T00:00:00"/>
    <n v="0"/>
    <x v="8"/>
  </r>
  <r>
    <x v="0"/>
    <x v="8"/>
    <n v="2"/>
    <x v="4"/>
    <d v="2023-09-01T00:00:00"/>
    <n v="0"/>
    <x v="9"/>
  </r>
  <r>
    <x v="0"/>
    <x v="8"/>
    <n v="2"/>
    <x v="4"/>
    <d v="2023-09-01T00:00:00"/>
    <n v="0"/>
    <x v="10"/>
  </r>
  <r>
    <x v="0"/>
    <x v="8"/>
    <n v="2"/>
    <x v="4"/>
    <d v="2023-09-01T00:00:00"/>
    <n v="0"/>
    <x v="11"/>
  </r>
  <r>
    <x v="0"/>
    <x v="8"/>
    <n v="2"/>
    <x v="4"/>
    <d v="2023-09-01T00:00:00"/>
    <n v="0"/>
    <x v="12"/>
  </r>
  <r>
    <x v="0"/>
    <x v="8"/>
    <n v="3"/>
    <x v="5"/>
    <d v="2023-09-01T00:00:00"/>
    <n v="1922"/>
    <x v="0"/>
  </r>
  <r>
    <x v="0"/>
    <x v="8"/>
    <n v="3"/>
    <x v="5"/>
    <d v="2023-09-01T00:00:00"/>
    <n v="1928"/>
    <x v="1"/>
  </r>
  <r>
    <x v="0"/>
    <x v="8"/>
    <n v="3"/>
    <x v="5"/>
    <d v="2023-09-01T00:00:00"/>
    <n v="2199"/>
    <x v="2"/>
  </r>
  <r>
    <x v="0"/>
    <x v="8"/>
    <n v="3"/>
    <x v="5"/>
    <d v="2023-09-01T00:00:00"/>
    <n v="2258"/>
    <x v="3"/>
  </r>
  <r>
    <x v="0"/>
    <x v="8"/>
    <n v="3"/>
    <x v="5"/>
    <d v="2023-09-01T00:00:00"/>
    <n v="2227"/>
    <x v="4"/>
  </r>
  <r>
    <x v="0"/>
    <x v="8"/>
    <n v="3"/>
    <x v="5"/>
    <d v="2023-09-01T00:00:00"/>
    <n v="2035"/>
    <x v="5"/>
  </r>
  <r>
    <x v="0"/>
    <x v="8"/>
    <n v="3"/>
    <x v="5"/>
    <d v="2023-09-01T00:00:00"/>
    <n v="1978"/>
    <x v="6"/>
  </r>
  <r>
    <x v="0"/>
    <x v="8"/>
    <n v="3"/>
    <x v="5"/>
    <d v="2023-09-01T00:00:00"/>
    <n v="1972"/>
    <x v="7"/>
  </r>
  <r>
    <x v="0"/>
    <x v="8"/>
    <n v="3"/>
    <x v="5"/>
    <d v="2023-09-01T00:00:00"/>
    <n v="1972"/>
    <x v="8"/>
  </r>
  <r>
    <x v="0"/>
    <x v="8"/>
    <n v="3"/>
    <x v="5"/>
    <d v="2023-09-01T00:00:00"/>
    <n v="1972"/>
    <x v="9"/>
  </r>
  <r>
    <x v="0"/>
    <x v="8"/>
    <n v="3"/>
    <x v="5"/>
    <d v="2023-09-01T00:00:00"/>
    <n v="1972"/>
    <x v="10"/>
  </r>
  <r>
    <x v="0"/>
    <x v="8"/>
    <n v="3"/>
    <x v="5"/>
    <d v="2023-09-01T00:00:00"/>
    <n v="1972"/>
    <x v="11"/>
  </r>
  <r>
    <x v="0"/>
    <x v="8"/>
    <n v="3"/>
    <x v="5"/>
    <d v="2023-09-01T00:00:00"/>
    <n v="24407"/>
    <x v="12"/>
  </r>
  <r>
    <x v="0"/>
    <x v="8"/>
    <n v="4"/>
    <x v="6"/>
    <d v="2023-09-01T00:00:00"/>
    <n v="16"/>
    <x v="0"/>
  </r>
  <r>
    <x v="0"/>
    <x v="8"/>
    <n v="4"/>
    <x v="6"/>
    <d v="2023-09-01T00:00:00"/>
    <n v="18"/>
    <x v="1"/>
  </r>
  <r>
    <x v="0"/>
    <x v="8"/>
    <n v="4"/>
    <x v="6"/>
    <d v="2023-09-01T00:00:00"/>
    <n v="16"/>
    <x v="2"/>
  </r>
  <r>
    <x v="0"/>
    <x v="8"/>
    <n v="4"/>
    <x v="6"/>
    <d v="2023-09-01T00:00:00"/>
    <n v="27"/>
    <x v="3"/>
  </r>
  <r>
    <x v="0"/>
    <x v="8"/>
    <n v="4"/>
    <x v="6"/>
    <d v="2023-09-01T00:00:00"/>
    <n v="19"/>
    <x v="4"/>
  </r>
  <r>
    <x v="0"/>
    <x v="8"/>
    <n v="4"/>
    <x v="6"/>
    <d v="2023-09-01T00:00:00"/>
    <n v="19"/>
    <x v="5"/>
  </r>
  <r>
    <x v="0"/>
    <x v="8"/>
    <n v="4"/>
    <x v="6"/>
    <d v="2023-09-01T00:00:00"/>
    <n v="18"/>
    <x v="6"/>
  </r>
  <r>
    <x v="0"/>
    <x v="8"/>
    <n v="4"/>
    <x v="6"/>
    <d v="2023-09-01T00:00:00"/>
    <n v="18"/>
    <x v="7"/>
  </r>
  <r>
    <x v="0"/>
    <x v="8"/>
    <n v="4"/>
    <x v="6"/>
    <d v="2023-09-01T00:00:00"/>
    <n v="18"/>
    <x v="8"/>
  </r>
  <r>
    <x v="0"/>
    <x v="8"/>
    <n v="4"/>
    <x v="6"/>
    <d v="2023-09-01T00:00:00"/>
    <n v="18"/>
    <x v="9"/>
  </r>
  <r>
    <x v="0"/>
    <x v="8"/>
    <n v="4"/>
    <x v="6"/>
    <d v="2023-09-01T00:00:00"/>
    <n v="18"/>
    <x v="10"/>
  </r>
  <r>
    <x v="0"/>
    <x v="8"/>
    <n v="4"/>
    <x v="6"/>
    <d v="2023-09-01T00:00:00"/>
    <n v="18"/>
    <x v="11"/>
  </r>
  <r>
    <x v="0"/>
    <x v="8"/>
    <n v="4"/>
    <x v="6"/>
    <d v="2023-09-01T00:00:00"/>
    <n v="223"/>
    <x v="12"/>
  </r>
  <r>
    <x v="0"/>
    <x v="8"/>
    <n v="5"/>
    <x v="7"/>
    <d v="2023-09-01T00:00:00"/>
    <n v="15778"/>
    <x v="0"/>
  </r>
  <r>
    <x v="0"/>
    <x v="8"/>
    <n v="5"/>
    <x v="7"/>
    <d v="2023-09-01T00:00:00"/>
    <n v="16064"/>
    <x v="1"/>
  </r>
  <r>
    <x v="0"/>
    <x v="8"/>
    <n v="5"/>
    <x v="7"/>
    <d v="2023-09-01T00:00:00"/>
    <n v="16123"/>
    <x v="2"/>
  </r>
  <r>
    <x v="0"/>
    <x v="8"/>
    <n v="5"/>
    <x v="7"/>
    <d v="2023-09-01T00:00:00"/>
    <n v="17884"/>
    <x v="3"/>
  </r>
  <r>
    <x v="0"/>
    <x v="8"/>
    <n v="5"/>
    <x v="7"/>
    <d v="2023-09-01T00:00:00"/>
    <n v="17098"/>
    <x v="4"/>
  </r>
  <r>
    <x v="0"/>
    <x v="8"/>
    <n v="5"/>
    <x v="7"/>
    <d v="2023-09-01T00:00:00"/>
    <n v="17332"/>
    <x v="5"/>
  </r>
  <r>
    <x v="0"/>
    <x v="8"/>
    <n v="5"/>
    <x v="7"/>
    <d v="2023-09-01T00:00:00"/>
    <n v="18761.069911133302"/>
    <x v="6"/>
  </r>
  <r>
    <x v="0"/>
    <x v="8"/>
    <n v="5"/>
    <x v="7"/>
    <d v="2023-09-01T00:00:00"/>
    <n v="18028.777075666701"/>
    <x v="7"/>
  </r>
  <r>
    <x v="0"/>
    <x v="8"/>
    <n v="5"/>
    <x v="7"/>
    <d v="2023-09-01T00:00:00"/>
    <n v="18417.190917799999"/>
    <x v="8"/>
  </r>
  <r>
    <x v="0"/>
    <x v="8"/>
    <n v="5"/>
    <x v="7"/>
    <d v="2023-09-01T00:00:00"/>
    <n v="18179.603191133301"/>
    <x v="9"/>
  </r>
  <r>
    <x v="0"/>
    <x v="8"/>
    <n v="5"/>
    <x v="7"/>
    <d v="2023-09-01T00:00:00"/>
    <n v="18088.476393533299"/>
    <x v="10"/>
  </r>
  <r>
    <x v="0"/>
    <x v="8"/>
    <n v="5"/>
    <x v="7"/>
    <d v="2023-09-01T00:00:00"/>
    <n v="22605.462164466699"/>
    <x v="11"/>
  </r>
  <r>
    <x v="0"/>
    <x v="8"/>
    <n v="5"/>
    <x v="7"/>
    <d v="2023-09-01T00:00:00"/>
    <n v="214359.579653733"/>
    <x v="12"/>
  </r>
  <r>
    <x v="0"/>
    <x v="8"/>
    <n v="6"/>
    <x v="8"/>
    <d v="2023-09-01T00:00:00"/>
    <n v="481"/>
    <x v="0"/>
  </r>
  <r>
    <x v="0"/>
    <x v="8"/>
    <n v="6"/>
    <x v="8"/>
    <d v="2023-09-01T00:00:00"/>
    <n v="507"/>
    <x v="1"/>
  </r>
  <r>
    <x v="0"/>
    <x v="8"/>
    <n v="6"/>
    <x v="8"/>
    <d v="2023-09-01T00:00:00"/>
    <n v="645"/>
    <x v="2"/>
  </r>
  <r>
    <x v="0"/>
    <x v="8"/>
    <n v="6"/>
    <x v="8"/>
    <d v="2023-09-01T00:00:00"/>
    <n v="669"/>
    <x v="3"/>
  </r>
  <r>
    <x v="0"/>
    <x v="8"/>
    <n v="6"/>
    <x v="8"/>
    <d v="2023-09-01T00:00:00"/>
    <n v="561"/>
    <x v="4"/>
  </r>
  <r>
    <x v="0"/>
    <x v="8"/>
    <n v="6"/>
    <x v="8"/>
    <d v="2023-09-01T00:00:00"/>
    <n v="427"/>
    <x v="5"/>
  </r>
  <r>
    <x v="0"/>
    <x v="8"/>
    <n v="6"/>
    <x v="8"/>
    <d v="2023-09-01T00:00:00"/>
    <n v="491"/>
    <x v="6"/>
  </r>
  <r>
    <x v="0"/>
    <x v="8"/>
    <n v="6"/>
    <x v="8"/>
    <d v="2023-09-01T00:00:00"/>
    <n v="461"/>
    <x v="7"/>
  </r>
  <r>
    <x v="0"/>
    <x v="8"/>
    <n v="6"/>
    <x v="8"/>
    <d v="2023-09-01T00:00:00"/>
    <n v="461"/>
    <x v="8"/>
  </r>
  <r>
    <x v="0"/>
    <x v="8"/>
    <n v="6"/>
    <x v="8"/>
    <d v="2023-09-01T00:00:00"/>
    <n v="459"/>
    <x v="9"/>
  </r>
  <r>
    <x v="0"/>
    <x v="8"/>
    <n v="6"/>
    <x v="8"/>
    <d v="2023-09-01T00:00:00"/>
    <n v="457"/>
    <x v="10"/>
  </r>
  <r>
    <x v="0"/>
    <x v="8"/>
    <n v="6"/>
    <x v="8"/>
    <d v="2023-09-01T00:00:00"/>
    <n v="457"/>
    <x v="11"/>
  </r>
  <r>
    <x v="0"/>
    <x v="8"/>
    <n v="6"/>
    <x v="8"/>
    <d v="2023-09-01T00:00:00"/>
    <n v="6076"/>
    <x v="12"/>
  </r>
  <r>
    <x v="0"/>
    <x v="8"/>
    <n v="7"/>
    <x v="9"/>
    <d v="2023-09-01T00:00:00"/>
    <n v="18197"/>
    <x v="0"/>
  </r>
  <r>
    <x v="0"/>
    <x v="8"/>
    <n v="7"/>
    <x v="9"/>
    <d v="2023-09-01T00:00:00"/>
    <n v="18517"/>
    <x v="1"/>
  </r>
  <r>
    <x v="0"/>
    <x v="8"/>
    <n v="7"/>
    <x v="9"/>
    <d v="2023-09-01T00:00:00"/>
    <n v="18983"/>
    <x v="2"/>
  </r>
  <r>
    <x v="0"/>
    <x v="8"/>
    <n v="7"/>
    <x v="9"/>
    <d v="2023-09-01T00:00:00"/>
    <n v="20838"/>
    <x v="3"/>
  </r>
  <r>
    <x v="0"/>
    <x v="8"/>
    <n v="7"/>
    <x v="9"/>
    <d v="2023-09-01T00:00:00"/>
    <n v="19905"/>
    <x v="4"/>
  </r>
  <r>
    <x v="0"/>
    <x v="8"/>
    <n v="7"/>
    <x v="9"/>
    <d v="2023-09-01T00:00:00"/>
    <n v="19813"/>
    <x v="5"/>
  </r>
  <r>
    <x v="0"/>
    <x v="8"/>
    <n v="7"/>
    <x v="9"/>
    <d v="2023-09-01T00:00:00"/>
    <n v="21248.069911133302"/>
    <x v="6"/>
  </r>
  <r>
    <x v="0"/>
    <x v="8"/>
    <n v="7"/>
    <x v="9"/>
    <d v="2023-09-01T00:00:00"/>
    <n v="20479.777075666701"/>
    <x v="7"/>
  </r>
  <r>
    <x v="0"/>
    <x v="8"/>
    <n v="7"/>
    <x v="9"/>
    <d v="2023-09-01T00:00:00"/>
    <n v="20868.190917799999"/>
    <x v="8"/>
  </r>
  <r>
    <x v="0"/>
    <x v="8"/>
    <n v="7"/>
    <x v="9"/>
    <d v="2023-09-01T00:00:00"/>
    <n v="20628.603191133301"/>
    <x v="9"/>
  </r>
  <r>
    <x v="0"/>
    <x v="8"/>
    <n v="7"/>
    <x v="9"/>
    <d v="2023-09-01T00:00:00"/>
    <n v="20535.476393533299"/>
    <x v="10"/>
  </r>
  <r>
    <x v="0"/>
    <x v="8"/>
    <n v="7"/>
    <x v="9"/>
    <d v="2023-09-01T00:00:00"/>
    <n v="25052.462164466699"/>
    <x v="11"/>
  </r>
  <r>
    <x v="0"/>
    <x v="8"/>
    <n v="7"/>
    <x v="9"/>
    <d v="2023-09-01T00:00:00"/>
    <n v="245065.579653733"/>
    <x v="12"/>
  </r>
  <r>
    <x v="0"/>
    <x v="8"/>
    <n v="8"/>
    <x v="11"/>
    <d v="2023-09-01T00:00:00"/>
    <n v="0"/>
    <x v="0"/>
  </r>
  <r>
    <x v="0"/>
    <x v="8"/>
    <n v="8"/>
    <x v="11"/>
    <d v="2023-09-01T00:00:00"/>
    <n v="0"/>
    <x v="1"/>
  </r>
  <r>
    <x v="0"/>
    <x v="8"/>
    <n v="8"/>
    <x v="11"/>
    <d v="2023-09-01T00:00:00"/>
    <n v="0"/>
    <x v="2"/>
  </r>
  <r>
    <x v="0"/>
    <x v="8"/>
    <n v="8"/>
    <x v="11"/>
    <d v="2023-09-01T00:00:00"/>
    <n v="0"/>
    <x v="3"/>
  </r>
  <r>
    <x v="0"/>
    <x v="8"/>
    <n v="8"/>
    <x v="11"/>
    <d v="2023-09-01T00:00:00"/>
    <n v="0"/>
    <x v="4"/>
  </r>
  <r>
    <x v="0"/>
    <x v="8"/>
    <n v="8"/>
    <x v="11"/>
    <d v="2023-09-01T00:00:00"/>
    <n v="0"/>
    <x v="5"/>
  </r>
  <r>
    <x v="0"/>
    <x v="8"/>
    <n v="8"/>
    <x v="11"/>
    <d v="2023-09-01T00:00:00"/>
    <n v="0"/>
    <x v="6"/>
  </r>
  <r>
    <x v="0"/>
    <x v="8"/>
    <n v="8"/>
    <x v="11"/>
    <d v="2023-09-01T00:00:00"/>
    <n v="0"/>
    <x v="7"/>
  </r>
  <r>
    <x v="0"/>
    <x v="8"/>
    <n v="8"/>
    <x v="11"/>
    <d v="2023-09-01T00:00:00"/>
    <n v="0"/>
    <x v="8"/>
  </r>
  <r>
    <x v="0"/>
    <x v="8"/>
    <n v="8"/>
    <x v="11"/>
    <d v="2023-09-01T00:00:00"/>
    <n v="0"/>
    <x v="9"/>
  </r>
  <r>
    <x v="0"/>
    <x v="8"/>
    <n v="8"/>
    <x v="11"/>
    <d v="2023-09-01T00:00:00"/>
    <n v="0"/>
    <x v="10"/>
  </r>
  <r>
    <x v="0"/>
    <x v="8"/>
    <n v="8"/>
    <x v="11"/>
    <d v="2023-09-01T00:00:00"/>
    <n v="0"/>
    <x v="11"/>
  </r>
  <r>
    <x v="0"/>
    <x v="8"/>
    <n v="8"/>
    <x v="11"/>
    <d v="2023-09-01T00:00:00"/>
    <n v="0"/>
    <x v="12"/>
  </r>
  <r>
    <x v="0"/>
    <x v="8"/>
    <n v="9"/>
    <x v="10"/>
    <d v="2023-09-01T00:00:00"/>
    <n v="0"/>
    <x v="0"/>
  </r>
  <r>
    <x v="0"/>
    <x v="8"/>
    <n v="9"/>
    <x v="10"/>
    <d v="2023-09-01T00:00:00"/>
    <n v="0"/>
    <x v="1"/>
  </r>
  <r>
    <x v="0"/>
    <x v="8"/>
    <n v="9"/>
    <x v="10"/>
    <d v="2023-09-01T00:00:00"/>
    <n v="0"/>
    <x v="2"/>
  </r>
  <r>
    <x v="0"/>
    <x v="8"/>
    <n v="9"/>
    <x v="10"/>
    <d v="2023-09-01T00:00:00"/>
    <n v="0"/>
    <x v="3"/>
  </r>
  <r>
    <x v="0"/>
    <x v="8"/>
    <n v="9"/>
    <x v="10"/>
    <d v="2023-09-01T00:00:00"/>
    <n v="0"/>
    <x v="4"/>
  </r>
  <r>
    <x v="0"/>
    <x v="8"/>
    <n v="9"/>
    <x v="10"/>
    <d v="2023-09-01T00:00:00"/>
    <n v="0"/>
    <x v="5"/>
  </r>
  <r>
    <x v="0"/>
    <x v="8"/>
    <n v="9"/>
    <x v="10"/>
    <d v="2023-09-01T00:00:00"/>
    <n v="0"/>
    <x v="6"/>
  </r>
  <r>
    <x v="0"/>
    <x v="8"/>
    <n v="9"/>
    <x v="10"/>
    <d v="2023-09-01T00:00:00"/>
    <n v="0"/>
    <x v="7"/>
  </r>
  <r>
    <x v="0"/>
    <x v="8"/>
    <n v="9"/>
    <x v="10"/>
    <d v="2023-09-01T00:00:00"/>
    <n v="0"/>
    <x v="8"/>
  </r>
  <r>
    <x v="0"/>
    <x v="8"/>
    <n v="9"/>
    <x v="10"/>
    <d v="2023-09-01T00:00:00"/>
    <n v="0"/>
    <x v="9"/>
  </r>
  <r>
    <x v="0"/>
    <x v="8"/>
    <n v="9"/>
    <x v="10"/>
    <d v="2023-09-01T00:00:00"/>
    <n v="0"/>
    <x v="10"/>
  </r>
  <r>
    <x v="0"/>
    <x v="8"/>
    <n v="9"/>
    <x v="10"/>
    <d v="2023-09-01T00:00:00"/>
    <n v="0"/>
    <x v="11"/>
  </r>
  <r>
    <x v="0"/>
    <x v="8"/>
    <n v="9"/>
    <x v="10"/>
    <d v="2023-09-01T00:00:00"/>
    <n v="0"/>
    <x v="12"/>
  </r>
  <r>
    <x v="0"/>
    <x v="8"/>
    <n v="10"/>
    <x v="0"/>
    <d v="2023-09-01T00:00:00"/>
    <n v="10151"/>
    <x v="0"/>
  </r>
  <r>
    <x v="0"/>
    <x v="8"/>
    <n v="10"/>
    <x v="0"/>
    <d v="2023-09-01T00:00:00"/>
    <n v="10557"/>
    <x v="1"/>
  </r>
  <r>
    <x v="0"/>
    <x v="8"/>
    <n v="10"/>
    <x v="0"/>
    <d v="2023-09-01T00:00:00"/>
    <n v="13690"/>
    <x v="2"/>
  </r>
  <r>
    <x v="0"/>
    <x v="8"/>
    <n v="10"/>
    <x v="0"/>
    <d v="2023-09-01T00:00:00"/>
    <n v="12349"/>
    <x v="3"/>
  </r>
  <r>
    <x v="0"/>
    <x v="8"/>
    <n v="10"/>
    <x v="0"/>
    <d v="2023-09-01T00:00:00"/>
    <n v="11570"/>
    <x v="4"/>
  </r>
  <r>
    <x v="0"/>
    <x v="8"/>
    <n v="10"/>
    <x v="0"/>
    <d v="2023-09-01T00:00:00"/>
    <n v="11261"/>
    <x v="5"/>
  </r>
  <r>
    <x v="0"/>
    <x v="8"/>
    <n v="10"/>
    <x v="0"/>
    <d v="2023-09-01T00:00:00"/>
    <n v="11541.033530000001"/>
    <x v="6"/>
  </r>
  <r>
    <x v="0"/>
    <x v="8"/>
    <n v="10"/>
    <x v="0"/>
    <d v="2023-09-01T00:00:00"/>
    <n v="11592.978446666701"/>
    <x v="7"/>
  </r>
  <r>
    <x v="0"/>
    <x v="8"/>
    <n v="10"/>
    <x v="0"/>
    <d v="2023-09-01T00:00:00"/>
    <n v="11611.677956666699"/>
    <x v="8"/>
  </r>
  <r>
    <x v="0"/>
    <x v="8"/>
    <n v="10"/>
    <x v="0"/>
    <d v="2023-09-01T00:00:00"/>
    <n v="11633.622873333299"/>
    <x v="9"/>
  </r>
  <r>
    <x v="0"/>
    <x v="8"/>
    <n v="10"/>
    <x v="0"/>
    <d v="2023-09-01T00:00:00"/>
    <n v="11611.779973333299"/>
    <x v="10"/>
  </r>
  <r>
    <x v="0"/>
    <x v="8"/>
    <n v="10"/>
    <x v="0"/>
    <d v="2023-09-01T00:00:00"/>
    <n v="11998.779973333299"/>
    <x v="11"/>
  </r>
  <r>
    <x v="0"/>
    <x v="8"/>
    <n v="10"/>
    <x v="0"/>
    <d v="2023-09-01T00:00:00"/>
    <n v="139567.87275333301"/>
    <x v="12"/>
  </r>
  <r>
    <x v="0"/>
    <x v="8"/>
    <n v="11"/>
    <x v="1"/>
    <d v="2023-09-01T00:00:00"/>
    <n v="7712.1790000000001"/>
    <x v="0"/>
  </r>
  <r>
    <x v="0"/>
    <x v="8"/>
    <n v="11"/>
    <x v="1"/>
    <d v="2023-09-01T00:00:00"/>
    <n v="7151.71"/>
    <x v="1"/>
  </r>
  <r>
    <x v="0"/>
    <x v="8"/>
    <n v="11"/>
    <x v="1"/>
    <d v="2023-09-01T00:00:00"/>
    <n v="4736.82"/>
    <x v="2"/>
  </r>
  <r>
    <x v="0"/>
    <x v="8"/>
    <n v="11"/>
    <x v="1"/>
    <d v="2023-09-01T00:00:00"/>
    <n v="7849.82"/>
    <x v="3"/>
  </r>
  <r>
    <x v="0"/>
    <x v="8"/>
    <n v="11"/>
    <x v="1"/>
    <d v="2023-09-01T00:00:00"/>
    <n v="7802.41"/>
    <x v="4"/>
  </r>
  <r>
    <x v="0"/>
    <x v="8"/>
    <n v="11"/>
    <x v="1"/>
    <d v="2023-09-01T00:00:00"/>
    <n v="7866.11"/>
    <x v="5"/>
  </r>
  <r>
    <x v="0"/>
    <x v="8"/>
    <n v="11"/>
    <x v="1"/>
    <d v="2023-09-01T00:00:00"/>
    <n v="9135.1463811333306"/>
    <x v="6"/>
  </r>
  <r>
    <x v="0"/>
    <x v="8"/>
    <n v="11"/>
    <x v="1"/>
    <d v="2023-09-01T00:00:00"/>
    <n v="8314.9086289999996"/>
    <x v="7"/>
  </r>
  <r>
    <x v="0"/>
    <x v="8"/>
    <n v="11"/>
    <x v="1"/>
    <d v="2023-09-01T00:00:00"/>
    <n v="8684.6229611333292"/>
    <x v="8"/>
  </r>
  <r>
    <x v="0"/>
    <x v="8"/>
    <n v="11"/>
    <x v="1"/>
    <d v="2023-09-01T00:00:00"/>
    <n v="8423.0903178000008"/>
    <x v="9"/>
  </r>
  <r>
    <x v="0"/>
    <x v="8"/>
    <n v="11"/>
    <x v="1"/>
    <d v="2023-09-01T00:00:00"/>
    <n v="8351.8064202000005"/>
    <x v="10"/>
  </r>
  <r>
    <x v="0"/>
    <x v="8"/>
    <n v="11"/>
    <x v="1"/>
    <d v="2023-09-01T00:00:00"/>
    <n v="12606.092191133301"/>
    <x v="11"/>
  </r>
  <r>
    <x v="0"/>
    <x v="8"/>
    <n v="11"/>
    <x v="1"/>
    <d v="2023-09-01T00:00:00"/>
    <n v="98634.715900399999"/>
    <x v="12"/>
  </r>
  <r>
    <x v="0"/>
    <x v="8"/>
    <n v="12"/>
    <x v="2"/>
    <d v="2023-09-01T00:00:00"/>
    <n v="0"/>
    <x v="0"/>
  </r>
  <r>
    <x v="0"/>
    <x v="8"/>
    <n v="12"/>
    <x v="2"/>
    <d v="2023-09-01T00:00:00"/>
    <n v="0"/>
    <x v="1"/>
  </r>
  <r>
    <x v="0"/>
    <x v="8"/>
    <n v="12"/>
    <x v="2"/>
    <d v="2023-09-01T00:00:00"/>
    <n v="0"/>
    <x v="2"/>
  </r>
  <r>
    <x v="0"/>
    <x v="8"/>
    <n v="12"/>
    <x v="2"/>
    <d v="2023-09-01T00:00:00"/>
    <n v="0"/>
    <x v="3"/>
  </r>
  <r>
    <x v="0"/>
    <x v="8"/>
    <n v="12"/>
    <x v="2"/>
    <d v="2023-09-01T00:00:00"/>
    <n v="0"/>
    <x v="4"/>
  </r>
  <r>
    <x v="0"/>
    <x v="8"/>
    <n v="12"/>
    <x v="2"/>
    <d v="2023-09-01T00:00:00"/>
    <n v="0"/>
    <x v="5"/>
  </r>
  <r>
    <x v="0"/>
    <x v="8"/>
    <n v="12"/>
    <x v="2"/>
    <d v="2023-09-01T00:00:00"/>
    <n v="0"/>
    <x v="6"/>
  </r>
  <r>
    <x v="0"/>
    <x v="8"/>
    <n v="12"/>
    <x v="2"/>
    <d v="2023-09-01T00:00:00"/>
    <n v="0"/>
    <x v="7"/>
  </r>
  <r>
    <x v="0"/>
    <x v="8"/>
    <n v="12"/>
    <x v="2"/>
    <d v="2023-09-01T00:00:00"/>
    <n v="0"/>
    <x v="8"/>
  </r>
  <r>
    <x v="0"/>
    <x v="8"/>
    <n v="12"/>
    <x v="2"/>
    <d v="2023-09-01T00:00:00"/>
    <n v="0"/>
    <x v="9"/>
  </r>
  <r>
    <x v="0"/>
    <x v="8"/>
    <n v="12"/>
    <x v="2"/>
    <d v="2023-09-01T00:00:00"/>
    <n v="0"/>
    <x v="10"/>
  </r>
  <r>
    <x v="0"/>
    <x v="8"/>
    <n v="12"/>
    <x v="2"/>
    <d v="2023-09-01T00:00:00"/>
    <n v="0"/>
    <x v="11"/>
  </r>
  <r>
    <x v="0"/>
    <x v="8"/>
    <n v="12"/>
    <x v="2"/>
    <d v="2023-09-01T00:00:00"/>
    <n v="0"/>
    <x v="12"/>
  </r>
  <r>
    <x v="0"/>
    <x v="8"/>
    <n v="13"/>
    <x v="12"/>
    <d v="2023-09-01T00:00:00"/>
    <n v="0"/>
    <x v="0"/>
  </r>
  <r>
    <x v="0"/>
    <x v="8"/>
    <n v="13"/>
    <x v="12"/>
    <d v="2023-09-01T00:00:00"/>
    <n v="0"/>
    <x v="1"/>
  </r>
  <r>
    <x v="0"/>
    <x v="8"/>
    <n v="13"/>
    <x v="12"/>
    <d v="2023-09-01T00:00:00"/>
    <n v="0"/>
    <x v="2"/>
  </r>
  <r>
    <x v="0"/>
    <x v="8"/>
    <n v="13"/>
    <x v="12"/>
    <d v="2023-09-01T00:00:00"/>
    <n v="0"/>
    <x v="3"/>
  </r>
  <r>
    <x v="0"/>
    <x v="8"/>
    <n v="13"/>
    <x v="12"/>
    <d v="2023-09-01T00:00:00"/>
    <n v="0"/>
    <x v="4"/>
  </r>
  <r>
    <x v="0"/>
    <x v="8"/>
    <n v="13"/>
    <x v="12"/>
    <d v="2023-09-01T00:00:00"/>
    <n v="0"/>
    <x v="5"/>
  </r>
  <r>
    <x v="0"/>
    <x v="8"/>
    <n v="13"/>
    <x v="12"/>
    <d v="2023-09-01T00:00:00"/>
    <n v="0"/>
    <x v="6"/>
  </r>
  <r>
    <x v="0"/>
    <x v="8"/>
    <n v="13"/>
    <x v="12"/>
    <d v="2023-09-01T00:00:00"/>
    <n v="0"/>
    <x v="7"/>
  </r>
  <r>
    <x v="0"/>
    <x v="8"/>
    <n v="13"/>
    <x v="12"/>
    <d v="2023-09-01T00:00:00"/>
    <n v="0"/>
    <x v="8"/>
  </r>
  <r>
    <x v="0"/>
    <x v="8"/>
    <n v="13"/>
    <x v="12"/>
    <d v="2023-09-01T00:00:00"/>
    <n v="0"/>
    <x v="9"/>
  </r>
  <r>
    <x v="0"/>
    <x v="8"/>
    <n v="13"/>
    <x v="12"/>
    <d v="2023-09-01T00:00:00"/>
    <n v="0"/>
    <x v="10"/>
  </r>
  <r>
    <x v="0"/>
    <x v="8"/>
    <n v="13"/>
    <x v="12"/>
    <d v="2023-09-01T00:00:00"/>
    <n v="0"/>
    <x v="11"/>
  </r>
  <r>
    <x v="0"/>
    <x v="8"/>
    <n v="13"/>
    <x v="12"/>
    <d v="2023-09-01T00:00:00"/>
    <n v="0"/>
    <x v="12"/>
  </r>
  <r>
    <x v="0"/>
    <x v="8"/>
    <n v="14"/>
    <x v="13"/>
    <d v="2023-09-01T00:00:00"/>
    <n v="0"/>
    <x v="0"/>
  </r>
  <r>
    <x v="0"/>
    <x v="8"/>
    <n v="14"/>
    <x v="13"/>
    <d v="2023-09-01T00:00:00"/>
    <n v="0"/>
    <x v="1"/>
  </r>
  <r>
    <x v="0"/>
    <x v="8"/>
    <n v="14"/>
    <x v="13"/>
    <d v="2023-09-01T00:00:00"/>
    <n v="0"/>
    <x v="2"/>
  </r>
  <r>
    <x v="0"/>
    <x v="8"/>
    <n v="14"/>
    <x v="13"/>
    <d v="2023-09-01T00:00:00"/>
    <n v="0"/>
    <x v="3"/>
  </r>
  <r>
    <x v="0"/>
    <x v="8"/>
    <n v="14"/>
    <x v="13"/>
    <d v="2023-09-01T00:00:00"/>
    <n v="0"/>
    <x v="4"/>
  </r>
  <r>
    <x v="0"/>
    <x v="8"/>
    <n v="14"/>
    <x v="13"/>
    <d v="2023-09-01T00:00:00"/>
    <n v="0"/>
    <x v="5"/>
  </r>
  <r>
    <x v="0"/>
    <x v="8"/>
    <n v="14"/>
    <x v="13"/>
    <d v="2023-09-01T00:00:00"/>
    <n v="0"/>
    <x v="6"/>
  </r>
  <r>
    <x v="0"/>
    <x v="8"/>
    <n v="14"/>
    <x v="13"/>
    <d v="2023-09-01T00:00:00"/>
    <n v="0"/>
    <x v="7"/>
  </r>
  <r>
    <x v="0"/>
    <x v="8"/>
    <n v="14"/>
    <x v="13"/>
    <d v="2023-09-01T00:00:00"/>
    <n v="0"/>
    <x v="8"/>
  </r>
  <r>
    <x v="0"/>
    <x v="8"/>
    <n v="14"/>
    <x v="13"/>
    <d v="2023-09-01T00:00:00"/>
    <n v="0"/>
    <x v="9"/>
  </r>
  <r>
    <x v="0"/>
    <x v="8"/>
    <n v="14"/>
    <x v="13"/>
    <d v="2023-09-01T00:00:00"/>
    <n v="0"/>
    <x v="10"/>
  </r>
  <r>
    <x v="0"/>
    <x v="8"/>
    <n v="14"/>
    <x v="13"/>
    <d v="2023-09-01T00:00:00"/>
    <n v="0"/>
    <x v="11"/>
  </r>
  <r>
    <x v="0"/>
    <x v="8"/>
    <n v="14"/>
    <x v="13"/>
    <d v="2023-09-01T00:00:00"/>
    <n v="0"/>
    <x v="12"/>
  </r>
  <r>
    <x v="0"/>
    <x v="8"/>
    <n v="15"/>
    <x v="14"/>
    <d v="2023-09-01T00:00:00"/>
    <n v="0"/>
    <x v="0"/>
  </r>
  <r>
    <x v="0"/>
    <x v="8"/>
    <n v="15"/>
    <x v="14"/>
    <d v="2023-09-01T00:00:00"/>
    <n v="0"/>
    <x v="1"/>
  </r>
  <r>
    <x v="0"/>
    <x v="8"/>
    <n v="15"/>
    <x v="14"/>
    <d v="2023-09-01T00:00:00"/>
    <n v="0"/>
    <x v="2"/>
  </r>
  <r>
    <x v="0"/>
    <x v="8"/>
    <n v="15"/>
    <x v="14"/>
    <d v="2023-09-01T00:00:00"/>
    <n v="0"/>
    <x v="3"/>
  </r>
  <r>
    <x v="0"/>
    <x v="8"/>
    <n v="15"/>
    <x v="14"/>
    <d v="2023-09-01T00:00:00"/>
    <n v="0"/>
    <x v="4"/>
  </r>
  <r>
    <x v="0"/>
    <x v="8"/>
    <n v="15"/>
    <x v="14"/>
    <d v="2023-09-01T00:00:00"/>
    <n v="0"/>
    <x v="5"/>
  </r>
  <r>
    <x v="0"/>
    <x v="8"/>
    <n v="15"/>
    <x v="14"/>
    <d v="2023-09-01T00:00:00"/>
    <n v="0"/>
    <x v="6"/>
  </r>
  <r>
    <x v="0"/>
    <x v="8"/>
    <n v="15"/>
    <x v="14"/>
    <d v="2023-09-01T00:00:00"/>
    <n v="0"/>
    <x v="7"/>
  </r>
  <r>
    <x v="0"/>
    <x v="8"/>
    <n v="15"/>
    <x v="14"/>
    <d v="2023-09-01T00:00:00"/>
    <n v="0"/>
    <x v="8"/>
  </r>
  <r>
    <x v="0"/>
    <x v="8"/>
    <n v="15"/>
    <x v="14"/>
    <d v="2023-09-01T00:00:00"/>
    <n v="0"/>
    <x v="9"/>
  </r>
  <r>
    <x v="0"/>
    <x v="8"/>
    <n v="15"/>
    <x v="14"/>
    <d v="2023-09-01T00:00:00"/>
    <n v="0"/>
    <x v="10"/>
  </r>
  <r>
    <x v="0"/>
    <x v="8"/>
    <n v="15"/>
    <x v="14"/>
    <d v="2023-09-01T00:00:00"/>
    <n v="0"/>
    <x v="11"/>
  </r>
  <r>
    <x v="0"/>
    <x v="8"/>
    <n v="15"/>
    <x v="14"/>
    <d v="2023-09-01T00:00:00"/>
    <n v="0"/>
    <x v="12"/>
  </r>
  <r>
    <x v="0"/>
    <x v="8"/>
    <n v="16"/>
    <x v="15"/>
    <d v="2023-09-01T00:00:00"/>
    <n v="0"/>
    <x v="0"/>
  </r>
  <r>
    <x v="0"/>
    <x v="8"/>
    <n v="16"/>
    <x v="15"/>
    <d v="2023-09-01T00:00:00"/>
    <n v="0"/>
    <x v="1"/>
  </r>
  <r>
    <x v="0"/>
    <x v="8"/>
    <n v="16"/>
    <x v="15"/>
    <d v="2023-09-01T00:00:00"/>
    <n v="0"/>
    <x v="2"/>
  </r>
  <r>
    <x v="0"/>
    <x v="8"/>
    <n v="16"/>
    <x v="15"/>
    <d v="2023-09-01T00:00:00"/>
    <n v="0"/>
    <x v="3"/>
  </r>
  <r>
    <x v="0"/>
    <x v="8"/>
    <n v="16"/>
    <x v="15"/>
    <d v="2023-09-01T00:00:00"/>
    <n v="0"/>
    <x v="4"/>
  </r>
  <r>
    <x v="0"/>
    <x v="8"/>
    <n v="16"/>
    <x v="15"/>
    <d v="2023-09-01T00:00:00"/>
    <n v="0"/>
    <x v="5"/>
  </r>
  <r>
    <x v="0"/>
    <x v="8"/>
    <n v="16"/>
    <x v="15"/>
    <d v="2023-09-01T00:00:00"/>
    <n v="0"/>
    <x v="6"/>
  </r>
  <r>
    <x v="0"/>
    <x v="8"/>
    <n v="16"/>
    <x v="15"/>
    <d v="2023-09-01T00:00:00"/>
    <n v="0"/>
    <x v="7"/>
  </r>
  <r>
    <x v="0"/>
    <x v="8"/>
    <n v="16"/>
    <x v="15"/>
    <d v="2023-09-01T00:00:00"/>
    <n v="0"/>
    <x v="8"/>
  </r>
  <r>
    <x v="0"/>
    <x v="8"/>
    <n v="16"/>
    <x v="15"/>
    <d v="2023-09-01T00:00:00"/>
    <n v="0"/>
    <x v="9"/>
  </r>
  <r>
    <x v="0"/>
    <x v="8"/>
    <n v="16"/>
    <x v="15"/>
    <d v="2023-09-01T00:00:00"/>
    <n v="0"/>
    <x v="10"/>
  </r>
  <r>
    <x v="0"/>
    <x v="8"/>
    <n v="16"/>
    <x v="15"/>
    <d v="2023-09-01T00:00:00"/>
    <n v="0"/>
    <x v="11"/>
  </r>
  <r>
    <x v="0"/>
    <x v="8"/>
    <n v="16"/>
    <x v="15"/>
    <d v="2023-09-01T00:00:00"/>
    <n v="0"/>
    <x v="12"/>
  </r>
  <r>
    <x v="0"/>
    <x v="8"/>
    <n v="17"/>
    <x v="16"/>
    <d v="2023-09-01T00:00:00"/>
    <n v="0"/>
    <x v="0"/>
  </r>
  <r>
    <x v="0"/>
    <x v="8"/>
    <n v="17"/>
    <x v="16"/>
    <d v="2023-09-01T00:00:00"/>
    <n v="0"/>
    <x v="1"/>
  </r>
  <r>
    <x v="0"/>
    <x v="8"/>
    <n v="17"/>
    <x v="16"/>
    <d v="2023-09-01T00:00:00"/>
    <n v="0"/>
    <x v="2"/>
  </r>
  <r>
    <x v="0"/>
    <x v="8"/>
    <n v="17"/>
    <x v="16"/>
    <d v="2023-09-01T00:00:00"/>
    <n v="0"/>
    <x v="3"/>
  </r>
  <r>
    <x v="0"/>
    <x v="8"/>
    <n v="17"/>
    <x v="16"/>
    <d v="2023-09-01T00:00:00"/>
    <n v="0"/>
    <x v="4"/>
  </r>
  <r>
    <x v="0"/>
    <x v="8"/>
    <n v="17"/>
    <x v="16"/>
    <d v="2023-09-01T00:00:00"/>
    <n v="0"/>
    <x v="5"/>
  </r>
  <r>
    <x v="0"/>
    <x v="8"/>
    <n v="17"/>
    <x v="16"/>
    <d v="2023-09-01T00:00:00"/>
    <n v="0"/>
    <x v="6"/>
  </r>
  <r>
    <x v="0"/>
    <x v="8"/>
    <n v="17"/>
    <x v="16"/>
    <d v="2023-09-01T00:00:00"/>
    <n v="0"/>
    <x v="7"/>
  </r>
  <r>
    <x v="0"/>
    <x v="8"/>
    <n v="17"/>
    <x v="16"/>
    <d v="2023-09-01T00:00:00"/>
    <n v="0"/>
    <x v="8"/>
  </r>
  <r>
    <x v="0"/>
    <x v="8"/>
    <n v="17"/>
    <x v="16"/>
    <d v="2023-09-01T00:00:00"/>
    <n v="0"/>
    <x v="9"/>
  </r>
  <r>
    <x v="0"/>
    <x v="8"/>
    <n v="17"/>
    <x v="16"/>
    <d v="2023-09-01T00:00:00"/>
    <n v="0"/>
    <x v="10"/>
  </r>
  <r>
    <x v="0"/>
    <x v="8"/>
    <n v="17"/>
    <x v="16"/>
    <d v="2023-09-01T00:00:00"/>
    <n v="0"/>
    <x v="11"/>
  </r>
  <r>
    <x v="0"/>
    <x v="8"/>
    <n v="17"/>
    <x v="16"/>
    <d v="2023-09-01T00:00:00"/>
    <n v="0"/>
    <x v="12"/>
  </r>
  <r>
    <x v="0"/>
    <x v="8"/>
    <n v="18"/>
    <x v="17"/>
    <d v="2023-09-01T00:00:00"/>
    <n v="0"/>
    <x v="0"/>
  </r>
  <r>
    <x v="0"/>
    <x v="8"/>
    <n v="18"/>
    <x v="17"/>
    <d v="2023-09-01T00:00:00"/>
    <n v="0"/>
    <x v="1"/>
  </r>
  <r>
    <x v="0"/>
    <x v="8"/>
    <n v="18"/>
    <x v="17"/>
    <d v="2023-09-01T00:00:00"/>
    <n v="0"/>
    <x v="2"/>
  </r>
  <r>
    <x v="0"/>
    <x v="8"/>
    <n v="18"/>
    <x v="17"/>
    <d v="2023-09-01T00:00:00"/>
    <n v="0"/>
    <x v="3"/>
  </r>
  <r>
    <x v="0"/>
    <x v="8"/>
    <n v="18"/>
    <x v="17"/>
    <d v="2023-09-01T00:00:00"/>
    <n v="0"/>
    <x v="4"/>
  </r>
  <r>
    <x v="0"/>
    <x v="8"/>
    <n v="18"/>
    <x v="17"/>
    <d v="2023-09-01T00:00:00"/>
    <n v="0"/>
    <x v="5"/>
  </r>
  <r>
    <x v="0"/>
    <x v="8"/>
    <n v="18"/>
    <x v="17"/>
    <d v="2023-09-01T00:00:00"/>
    <n v="0"/>
    <x v="6"/>
  </r>
  <r>
    <x v="0"/>
    <x v="8"/>
    <n v="18"/>
    <x v="17"/>
    <d v="2023-09-01T00:00:00"/>
    <n v="0"/>
    <x v="7"/>
  </r>
  <r>
    <x v="0"/>
    <x v="8"/>
    <n v="18"/>
    <x v="17"/>
    <d v="2023-09-01T00:00:00"/>
    <n v="0"/>
    <x v="8"/>
  </r>
  <r>
    <x v="0"/>
    <x v="8"/>
    <n v="18"/>
    <x v="17"/>
    <d v="2023-09-01T00:00:00"/>
    <n v="0"/>
    <x v="9"/>
  </r>
  <r>
    <x v="0"/>
    <x v="8"/>
    <n v="18"/>
    <x v="17"/>
    <d v="2023-09-01T00:00:00"/>
    <n v="0"/>
    <x v="10"/>
  </r>
  <r>
    <x v="0"/>
    <x v="8"/>
    <n v="18"/>
    <x v="17"/>
    <d v="2023-09-01T00:00:00"/>
    <n v="0"/>
    <x v="11"/>
  </r>
  <r>
    <x v="0"/>
    <x v="8"/>
    <n v="18"/>
    <x v="17"/>
    <d v="2023-09-01T00:00:00"/>
    <n v="0"/>
    <x v="12"/>
  </r>
  <r>
    <x v="0"/>
    <x v="8"/>
    <n v="19"/>
    <x v="18"/>
    <d v="2023-09-01T00:00:00"/>
    <n v="0"/>
    <x v="0"/>
  </r>
  <r>
    <x v="0"/>
    <x v="8"/>
    <n v="19"/>
    <x v="18"/>
    <d v="2023-09-01T00:00:00"/>
    <n v="0"/>
    <x v="1"/>
  </r>
  <r>
    <x v="0"/>
    <x v="8"/>
    <n v="19"/>
    <x v="18"/>
    <d v="2023-09-01T00:00:00"/>
    <n v="0"/>
    <x v="2"/>
  </r>
  <r>
    <x v="0"/>
    <x v="8"/>
    <n v="19"/>
    <x v="18"/>
    <d v="2023-09-01T00:00:00"/>
    <n v="0"/>
    <x v="3"/>
  </r>
  <r>
    <x v="0"/>
    <x v="8"/>
    <n v="19"/>
    <x v="18"/>
    <d v="2023-09-01T00:00:00"/>
    <n v="0"/>
    <x v="4"/>
  </r>
  <r>
    <x v="0"/>
    <x v="8"/>
    <n v="19"/>
    <x v="18"/>
    <d v="2023-09-01T00:00:00"/>
    <n v="0"/>
    <x v="5"/>
  </r>
  <r>
    <x v="0"/>
    <x v="8"/>
    <n v="19"/>
    <x v="18"/>
    <d v="2023-09-01T00:00:00"/>
    <n v="0"/>
    <x v="6"/>
  </r>
  <r>
    <x v="0"/>
    <x v="8"/>
    <n v="19"/>
    <x v="18"/>
    <d v="2023-09-01T00:00:00"/>
    <n v="0"/>
    <x v="7"/>
  </r>
  <r>
    <x v="0"/>
    <x v="8"/>
    <n v="19"/>
    <x v="18"/>
    <d v="2023-09-01T00:00:00"/>
    <n v="0"/>
    <x v="8"/>
  </r>
  <r>
    <x v="0"/>
    <x v="8"/>
    <n v="19"/>
    <x v="18"/>
    <d v="2023-09-01T00:00:00"/>
    <n v="0"/>
    <x v="9"/>
  </r>
  <r>
    <x v="0"/>
    <x v="8"/>
    <n v="19"/>
    <x v="18"/>
    <d v="2023-09-01T00:00:00"/>
    <n v="0"/>
    <x v="10"/>
  </r>
  <r>
    <x v="0"/>
    <x v="8"/>
    <n v="19"/>
    <x v="18"/>
    <d v="2023-09-01T00:00:00"/>
    <n v="0"/>
    <x v="11"/>
  </r>
  <r>
    <x v="0"/>
    <x v="8"/>
    <n v="19"/>
    <x v="18"/>
    <d v="2023-09-01T00:00:00"/>
    <n v="0"/>
    <x v="12"/>
  </r>
  <r>
    <x v="0"/>
    <x v="8"/>
    <n v="20"/>
    <x v="19"/>
    <d v="2023-09-01T00:00:00"/>
    <n v="0"/>
    <x v="0"/>
  </r>
  <r>
    <x v="0"/>
    <x v="8"/>
    <n v="20"/>
    <x v="19"/>
    <d v="2023-09-01T00:00:00"/>
    <n v="0"/>
    <x v="1"/>
  </r>
  <r>
    <x v="0"/>
    <x v="8"/>
    <n v="20"/>
    <x v="19"/>
    <d v="2023-09-01T00:00:00"/>
    <n v="0"/>
    <x v="2"/>
  </r>
  <r>
    <x v="0"/>
    <x v="8"/>
    <n v="20"/>
    <x v="19"/>
    <d v="2023-09-01T00:00:00"/>
    <n v="0"/>
    <x v="3"/>
  </r>
  <r>
    <x v="0"/>
    <x v="8"/>
    <n v="20"/>
    <x v="19"/>
    <d v="2023-09-01T00:00:00"/>
    <n v="0"/>
    <x v="4"/>
  </r>
  <r>
    <x v="0"/>
    <x v="8"/>
    <n v="20"/>
    <x v="19"/>
    <d v="2023-09-01T00:00:00"/>
    <n v="0"/>
    <x v="5"/>
  </r>
  <r>
    <x v="0"/>
    <x v="8"/>
    <n v="20"/>
    <x v="19"/>
    <d v="2023-09-01T00:00:00"/>
    <n v="0"/>
    <x v="6"/>
  </r>
  <r>
    <x v="0"/>
    <x v="8"/>
    <n v="20"/>
    <x v="19"/>
    <d v="2023-09-01T00:00:00"/>
    <n v="0"/>
    <x v="7"/>
  </r>
  <r>
    <x v="0"/>
    <x v="8"/>
    <n v="20"/>
    <x v="19"/>
    <d v="2023-09-01T00:00:00"/>
    <n v="0"/>
    <x v="8"/>
  </r>
  <r>
    <x v="0"/>
    <x v="8"/>
    <n v="20"/>
    <x v="19"/>
    <d v="2023-09-01T00:00:00"/>
    <n v="0"/>
    <x v="9"/>
  </r>
  <r>
    <x v="0"/>
    <x v="8"/>
    <n v="20"/>
    <x v="19"/>
    <d v="2023-09-01T00:00:00"/>
    <n v="0"/>
    <x v="10"/>
  </r>
  <r>
    <x v="0"/>
    <x v="8"/>
    <n v="20"/>
    <x v="19"/>
    <d v="2023-09-01T00:00:00"/>
    <n v="0"/>
    <x v="11"/>
  </r>
  <r>
    <x v="0"/>
    <x v="8"/>
    <n v="20"/>
    <x v="19"/>
    <d v="2023-09-01T00:00:00"/>
    <n v="0"/>
    <x v="12"/>
  </r>
  <r>
    <x v="0"/>
    <x v="8"/>
    <n v="21"/>
    <x v="20"/>
    <d v="2023-09-01T00:00:00"/>
    <n v="0"/>
    <x v="0"/>
  </r>
  <r>
    <x v="0"/>
    <x v="8"/>
    <n v="21"/>
    <x v="20"/>
    <d v="2023-09-01T00:00:00"/>
    <n v="0"/>
    <x v="1"/>
  </r>
  <r>
    <x v="0"/>
    <x v="8"/>
    <n v="21"/>
    <x v="20"/>
    <d v="2023-09-01T00:00:00"/>
    <n v="0"/>
    <x v="2"/>
  </r>
  <r>
    <x v="0"/>
    <x v="8"/>
    <n v="21"/>
    <x v="20"/>
    <d v="2023-09-01T00:00:00"/>
    <n v="0"/>
    <x v="3"/>
  </r>
  <r>
    <x v="0"/>
    <x v="8"/>
    <n v="21"/>
    <x v="20"/>
    <d v="2023-09-01T00:00:00"/>
    <n v="0"/>
    <x v="4"/>
  </r>
  <r>
    <x v="0"/>
    <x v="8"/>
    <n v="21"/>
    <x v="20"/>
    <d v="2023-09-01T00:00:00"/>
    <n v="0"/>
    <x v="5"/>
  </r>
  <r>
    <x v="0"/>
    <x v="8"/>
    <n v="21"/>
    <x v="20"/>
    <d v="2023-09-01T00:00:00"/>
    <n v="0"/>
    <x v="6"/>
  </r>
  <r>
    <x v="0"/>
    <x v="8"/>
    <n v="21"/>
    <x v="20"/>
    <d v="2023-09-01T00:00:00"/>
    <n v="0"/>
    <x v="7"/>
  </r>
  <r>
    <x v="0"/>
    <x v="8"/>
    <n v="21"/>
    <x v="20"/>
    <d v="2023-09-01T00:00:00"/>
    <n v="0"/>
    <x v="8"/>
  </r>
  <r>
    <x v="0"/>
    <x v="8"/>
    <n v="21"/>
    <x v="20"/>
    <d v="2023-09-01T00:00:00"/>
    <n v="0"/>
    <x v="9"/>
  </r>
  <r>
    <x v="0"/>
    <x v="8"/>
    <n v="21"/>
    <x v="20"/>
    <d v="2023-09-01T00:00:00"/>
    <n v="0"/>
    <x v="10"/>
  </r>
  <r>
    <x v="0"/>
    <x v="8"/>
    <n v="21"/>
    <x v="20"/>
    <d v="2023-09-01T00:00:00"/>
    <n v="0"/>
    <x v="11"/>
  </r>
  <r>
    <x v="0"/>
    <x v="8"/>
    <n v="21"/>
    <x v="20"/>
    <d v="2023-09-01T00:00:00"/>
    <n v="0"/>
    <x v="12"/>
  </r>
  <r>
    <x v="0"/>
    <x v="8"/>
    <n v="22"/>
    <x v="21"/>
    <d v="2023-09-01T00:00:00"/>
    <n v="283.82100000000003"/>
    <x v="0"/>
  </r>
  <r>
    <x v="0"/>
    <x v="8"/>
    <n v="22"/>
    <x v="21"/>
    <d v="2023-09-01T00:00:00"/>
    <n v="753.16"/>
    <x v="1"/>
  </r>
  <r>
    <x v="0"/>
    <x v="8"/>
    <n v="22"/>
    <x v="21"/>
    <d v="2023-09-01T00:00:00"/>
    <n v="518.59"/>
    <x v="2"/>
  </r>
  <r>
    <x v="0"/>
    <x v="8"/>
    <n v="22"/>
    <x v="21"/>
    <d v="2023-09-01T00:00:00"/>
    <n v="518.59"/>
    <x v="3"/>
  </r>
  <r>
    <x v="0"/>
    <x v="8"/>
    <n v="22"/>
    <x v="21"/>
    <d v="2023-09-01T00:00:00"/>
    <n v="645.16999999999996"/>
    <x v="4"/>
  </r>
  <r>
    <x v="0"/>
    <x v="8"/>
    <n v="22"/>
    <x v="21"/>
    <d v="2023-09-01T00:00:00"/>
    <n v="543.77"/>
    <x v="5"/>
  </r>
  <r>
    <x v="0"/>
    <x v="8"/>
    <n v="22"/>
    <x v="21"/>
    <d v="2023-09-01T00:00:00"/>
    <n v="543.77"/>
    <x v="6"/>
  </r>
  <r>
    <x v="0"/>
    <x v="8"/>
    <n v="22"/>
    <x v="21"/>
    <d v="2023-09-01T00:00:00"/>
    <n v="543.77"/>
    <x v="7"/>
  </r>
  <r>
    <x v="0"/>
    <x v="8"/>
    <n v="22"/>
    <x v="21"/>
    <d v="2023-09-01T00:00:00"/>
    <n v="543.77"/>
    <x v="8"/>
  </r>
  <r>
    <x v="0"/>
    <x v="8"/>
    <n v="22"/>
    <x v="21"/>
    <d v="2023-09-01T00:00:00"/>
    <n v="543.77"/>
    <x v="9"/>
  </r>
  <r>
    <x v="0"/>
    <x v="8"/>
    <n v="22"/>
    <x v="21"/>
    <d v="2023-09-01T00:00:00"/>
    <n v="543.77"/>
    <x v="10"/>
  </r>
  <r>
    <x v="0"/>
    <x v="8"/>
    <n v="22"/>
    <x v="21"/>
    <d v="2023-09-01T00:00:00"/>
    <n v="543.16999999999996"/>
    <x v="11"/>
  </r>
  <r>
    <x v="0"/>
    <x v="8"/>
    <n v="22"/>
    <x v="21"/>
    <d v="2023-09-01T00:00:00"/>
    <n v="6525.1210000000001"/>
    <x v="12"/>
  </r>
  <r>
    <x v="0"/>
    <x v="8"/>
    <n v="23"/>
    <x v="22"/>
    <d v="2023-09-01T00:00:00"/>
    <n v="0"/>
    <x v="0"/>
  </r>
  <r>
    <x v="0"/>
    <x v="8"/>
    <n v="23"/>
    <x v="22"/>
    <d v="2023-09-01T00:00:00"/>
    <n v="53.13"/>
    <x v="1"/>
  </r>
  <r>
    <x v="0"/>
    <x v="8"/>
    <n v="23"/>
    <x v="22"/>
    <d v="2023-09-01T00:00:00"/>
    <n v="26.59"/>
    <x v="2"/>
  </r>
  <r>
    <x v="0"/>
    <x v="8"/>
    <n v="23"/>
    <x v="22"/>
    <d v="2023-09-01T00:00:00"/>
    <n v="26.59"/>
    <x v="3"/>
  </r>
  <r>
    <x v="0"/>
    <x v="8"/>
    <n v="23"/>
    <x v="22"/>
    <d v="2023-09-01T00:00:00"/>
    <n v="34.42"/>
    <x v="4"/>
  </r>
  <r>
    <x v="0"/>
    <x v="8"/>
    <n v="23"/>
    <x v="22"/>
    <d v="2023-09-01T00:00:00"/>
    <n v="28.12"/>
    <x v="5"/>
  </r>
  <r>
    <x v="0"/>
    <x v="8"/>
    <n v="23"/>
    <x v="22"/>
    <d v="2023-09-01T00:00:00"/>
    <n v="28.12"/>
    <x v="6"/>
  </r>
  <r>
    <x v="0"/>
    <x v="8"/>
    <n v="23"/>
    <x v="22"/>
    <d v="2023-09-01T00:00:00"/>
    <n v="28.12"/>
    <x v="7"/>
  </r>
  <r>
    <x v="0"/>
    <x v="8"/>
    <n v="23"/>
    <x v="22"/>
    <d v="2023-09-01T00:00:00"/>
    <n v="28.12"/>
    <x v="8"/>
  </r>
  <r>
    <x v="0"/>
    <x v="8"/>
    <n v="23"/>
    <x v="22"/>
    <d v="2023-09-01T00:00:00"/>
    <n v="28.12"/>
    <x v="9"/>
  </r>
  <r>
    <x v="0"/>
    <x v="8"/>
    <n v="23"/>
    <x v="22"/>
    <d v="2023-09-01T00:00:00"/>
    <n v="28.12"/>
    <x v="10"/>
  </r>
  <r>
    <x v="0"/>
    <x v="8"/>
    <n v="23"/>
    <x v="22"/>
    <d v="2023-09-01T00:00:00"/>
    <n v="28.42"/>
    <x v="11"/>
  </r>
  <r>
    <x v="0"/>
    <x v="8"/>
    <n v="23"/>
    <x v="22"/>
    <d v="2023-09-01T00:00:00"/>
    <n v="337.87"/>
    <x v="12"/>
  </r>
  <r>
    <x v="0"/>
    <x v="8"/>
    <n v="24"/>
    <x v="23"/>
    <d v="2023-09-01T00:00:00"/>
    <n v="0"/>
    <x v="0"/>
  </r>
  <r>
    <x v="0"/>
    <x v="8"/>
    <n v="24"/>
    <x v="23"/>
    <d v="2023-09-01T00:00:00"/>
    <n v="0"/>
    <x v="1"/>
  </r>
  <r>
    <x v="0"/>
    <x v="8"/>
    <n v="24"/>
    <x v="23"/>
    <d v="2023-09-01T00:00:00"/>
    <n v="0"/>
    <x v="2"/>
  </r>
  <r>
    <x v="0"/>
    <x v="8"/>
    <n v="24"/>
    <x v="23"/>
    <d v="2023-09-01T00:00:00"/>
    <n v="0"/>
    <x v="3"/>
  </r>
  <r>
    <x v="0"/>
    <x v="8"/>
    <n v="24"/>
    <x v="23"/>
    <d v="2023-09-01T00:00:00"/>
    <n v="0"/>
    <x v="4"/>
  </r>
  <r>
    <x v="0"/>
    <x v="8"/>
    <n v="24"/>
    <x v="23"/>
    <d v="2023-09-01T00:00:00"/>
    <n v="0"/>
    <x v="5"/>
  </r>
  <r>
    <x v="0"/>
    <x v="8"/>
    <n v="24"/>
    <x v="23"/>
    <d v="2023-09-01T00:00:00"/>
    <n v="0"/>
    <x v="6"/>
  </r>
  <r>
    <x v="0"/>
    <x v="8"/>
    <n v="24"/>
    <x v="23"/>
    <d v="2023-09-01T00:00:00"/>
    <n v="0"/>
    <x v="7"/>
  </r>
  <r>
    <x v="0"/>
    <x v="8"/>
    <n v="24"/>
    <x v="23"/>
    <d v="2023-09-01T00:00:00"/>
    <n v="0"/>
    <x v="8"/>
  </r>
  <r>
    <x v="0"/>
    <x v="8"/>
    <n v="24"/>
    <x v="23"/>
    <d v="2023-09-01T00:00:00"/>
    <n v="0"/>
    <x v="9"/>
  </r>
  <r>
    <x v="0"/>
    <x v="8"/>
    <n v="24"/>
    <x v="23"/>
    <d v="2023-09-01T00:00:00"/>
    <n v="0"/>
    <x v="10"/>
  </r>
  <r>
    <x v="0"/>
    <x v="8"/>
    <n v="24"/>
    <x v="23"/>
    <d v="2023-09-01T00:00:00"/>
    <n v="0"/>
    <x v="11"/>
  </r>
  <r>
    <x v="0"/>
    <x v="8"/>
    <n v="24"/>
    <x v="23"/>
    <d v="2023-09-01T00:00:00"/>
    <n v="0"/>
    <x v="12"/>
  </r>
  <r>
    <x v="0"/>
    <x v="8"/>
    <n v="25"/>
    <x v="24"/>
    <d v="2023-09-01T00:00:00"/>
    <n v="0"/>
    <x v="0"/>
  </r>
  <r>
    <x v="0"/>
    <x v="8"/>
    <n v="25"/>
    <x v="24"/>
    <d v="2023-09-01T00:00:00"/>
    <n v="0"/>
    <x v="1"/>
  </r>
  <r>
    <x v="0"/>
    <x v="8"/>
    <n v="25"/>
    <x v="24"/>
    <d v="2023-09-01T00:00:00"/>
    <n v="0"/>
    <x v="2"/>
  </r>
  <r>
    <x v="0"/>
    <x v="8"/>
    <n v="25"/>
    <x v="24"/>
    <d v="2023-09-01T00:00:00"/>
    <n v="0"/>
    <x v="3"/>
  </r>
  <r>
    <x v="0"/>
    <x v="8"/>
    <n v="25"/>
    <x v="24"/>
    <d v="2023-09-01T00:00:00"/>
    <n v="0"/>
    <x v="4"/>
  </r>
  <r>
    <x v="0"/>
    <x v="8"/>
    <n v="25"/>
    <x v="24"/>
    <d v="2023-09-01T00:00:00"/>
    <n v="0"/>
    <x v="5"/>
  </r>
  <r>
    <x v="0"/>
    <x v="8"/>
    <n v="25"/>
    <x v="24"/>
    <d v="2023-09-01T00:00:00"/>
    <n v="0"/>
    <x v="6"/>
  </r>
  <r>
    <x v="0"/>
    <x v="8"/>
    <n v="25"/>
    <x v="24"/>
    <d v="2023-09-01T00:00:00"/>
    <n v="0"/>
    <x v="7"/>
  </r>
  <r>
    <x v="0"/>
    <x v="8"/>
    <n v="25"/>
    <x v="24"/>
    <d v="2023-09-01T00:00:00"/>
    <n v="0"/>
    <x v="8"/>
  </r>
  <r>
    <x v="0"/>
    <x v="8"/>
    <n v="25"/>
    <x v="24"/>
    <d v="2023-09-01T00:00:00"/>
    <n v="0"/>
    <x v="9"/>
  </r>
  <r>
    <x v="0"/>
    <x v="8"/>
    <n v="25"/>
    <x v="24"/>
    <d v="2023-09-01T00:00:00"/>
    <n v="0"/>
    <x v="10"/>
  </r>
  <r>
    <x v="0"/>
    <x v="8"/>
    <n v="25"/>
    <x v="24"/>
    <d v="2023-09-01T00:00:00"/>
    <n v="0"/>
    <x v="11"/>
  </r>
  <r>
    <x v="0"/>
    <x v="8"/>
    <n v="25"/>
    <x v="24"/>
    <d v="2023-09-01T00:00:00"/>
    <n v="0"/>
    <x v="12"/>
  </r>
  <r>
    <x v="0"/>
    <x v="8"/>
    <n v="26"/>
    <x v="25"/>
    <d v="2023-09-01T00:00:00"/>
    <n v="18147"/>
    <x v="0"/>
  </r>
  <r>
    <x v="0"/>
    <x v="8"/>
    <n v="26"/>
    <x v="25"/>
    <d v="2023-09-01T00:00:00"/>
    <n v="18515"/>
    <x v="1"/>
  </r>
  <r>
    <x v="0"/>
    <x v="8"/>
    <n v="26"/>
    <x v="25"/>
    <d v="2023-09-01T00:00:00"/>
    <n v="18972"/>
    <x v="2"/>
  </r>
  <r>
    <x v="0"/>
    <x v="8"/>
    <n v="26"/>
    <x v="25"/>
    <d v="2023-09-01T00:00:00"/>
    <n v="20744"/>
    <x v="3"/>
  </r>
  <r>
    <x v="0"/>
    <x v="8"/>
    <n v="26"/>
    <x v="25"/>
    <d v="2023-09-01T00:00:00"/>
    <n v="20052"/>
    <x v="4"/>
  </r>
  <r>
    <x v="0"/>
    <x v="8"/>
    <n v="26"/>
    <x v="25"/>
    <d v="2023-09-01T00:00:00"/>
    <n v="19699"/>
    <x v="5"/>
  </r>
  <r>
    <x v="0"/>
    <x v="8"/>
    <n v="26"/>
    <x v="25"/>
    <d v="2023-09-01T00:00:00"/>
    <n v="21248.069911133302"/>
    <x v="6"/>
  </r>
  <r>
    <x v="0"/>
    <x v="8"/>
    <n v="26"/>
    <x v="25"/>
    <d v="2023-09-01T00:00:00"/>
    <n v="20479.777075666701"/>
    <x v="7"/>
  </r>
  <r>
    <x v="0"/>
    <x v="8"/>
    <n v="26"/>
    <x v="25"/>
    <d v="2023-09-01T00:00:00"/>
    <n v="20868.190917799999"/>
    <x v="8"/>
  </r>
  <r>
    <x v="0"/>
    <x v="8"/>
    <n v="26"/>
    <x v="25"/>
    <d v="2023-09-01T00:00:00"/>
    <n v="20628.603191133301"/>
    <x v="9"/>
  </r>
  <r>
    <x v="0"/>
    <x v="8"/>
    <n v="26"/>
    <x v="25"/>
    <d v="2023-09-01T00:00:00"/>
    <n v="20535.476393533299"/>
    <x v="10"/>
  </r>
  <r>
    <x v="0"/>
    <x v="8"/>
    <n v="26"/>
    <x v="25"/>
    <d v="2023-09-01T00:00:00"/>
    <n v="25176.462164466699"/>
    <x v="11"/>
  </r>
  <r>
    <x v="0"/>
    <x v="8"/>
    <n v="26"/>
    <x v="25"/>
    <d v="2023-09-01T00:00:00"/>
    <n v="245065.579653733"/>
    <x v="12"/>
  </r>
  <r>
    <x v="0"/>
    <x v="8"/>
    <n v="27"/>
    <x v="26"/>
    <d v="2023-09-01T00:00:00"/>
    <n v="50"/>
    <x v="0"/>
  </r>
  <r>
    <x v="0"/>
    <x v="8"/>
    <n v="27"/>
    <x v="26"/>
    <d v="2023-09-01T00:00:00"/>
    <n v="2"/>
    <x v="1"/>
  </r>
  <r>
    <x v="0"/>
    <x v="8"/>
    <n v="27"/>
    <x v="26"/>
    <d v="2023-09-01T00:00:00"/>
    <n v="11"/>
    <x v="2"/>
  </r>
  <r>
    <x v="0"/>
    <x v="8"/>
    <n v="27"/>
    <x v="26"/>
    <d v="2023-09-01T00:00:00"/>
    <n v="94"/>
    <x v="3"/>
  </r>
  <r>
    <x v="0"/>
    <x v="8"/>
    <n v="27"/>
    <x v="26"/>
    <d v="2023-09-01T00:00:00"/>
    <n v="-146.99999999999599"/>
    <x v="4"/>
  </r>
  <r>
    <x v="0"/>
    <x v="8"/>
    <n v="27"/>
    <x v="26"/>
    <d v="2023-09-01T00:00:00"/>
    <n v="114"/>
    <x v="5"/>
  </r>
  <r>
    <x v="0"/>
    <x v="8"/>
    <n v="27"/>
    <x v="26"/>
    <d v="2023-09-01T00:00:00"/>
    <n v="3.6379788070917101E-12"/>
    <x v="6"/>
  </r>
  <r>
    <x v="0"/>
    <x v="8"/>
    <n v="27"/>
    <x v="26"/>
    <d v="2023-09-01T00:00:00"/>
    <n v="0"/>
    <x v="7"/>
  </r>
  <r>
    <x v="0"/>
    <x v="8"/>
    <n v="27"/>
    <x v="26"/>
    <d v="2023-09-01T00:00:00"/>
    <n v="0"/>
    <x v="8"/>
  </r>
  <r>
    <x v="0"/>
    <x v="8"/>
    <n v="27"/>
    <x v="26"/>
    <d v="2023-09-01T00:00:00"/>
    <n v="0"/>
    <x v="9"/>
  </r>
  <r>
    <x v="0"/>
    <x v="8"/>
    <n v="27"/>
    <x v="26"/>
    <d v="2023-09-01T00:00:00"/>
    <n v="0"/>
    <x v="10"/>
  </r>
  <r>
    <x v="0"/>
    <x v="8"/>
    <n v="27"/>
    <x v="26"/>
    <d v="2023-09-01T00:00:00"/>
    <n v="-123.99999999999601"/>
    <x v="11"/>
  </r>
  <r>
    <x v="0"/>
    <x v="8"/>
    <n v="27"/>
    <x v="26"/>
    <d v="2023-09-01T00:00:00"/>
    <n v="0"/>
    <x v="12"/>
  </r>
  <r>
    <x v="0"/>
    <x v="9"/>
    <n v="1"/>
    <x v="3"/>
    <d v="2023-09-01T00:00:00"/>
    <n v="31335.03"/>
    <x v="0"/>
  </r>
  <r>
    <x v="0"/>
    <x v="9"/>
    <n v="1"/>
    <x v="3"/>
    <d v="2023-09-01T00:00:00"/>
    <n v="31313.7"/>
    <x v="1"/>
  </r>
  <r>
    <x v="0"/>
    <x v="9"/>
    <n v="1"/>
    <x v="3"/>
    <d v="2023-09-01T00:00:00"/>
    <n v="34523.99"/>
    <x v="2"/>
  </r>
  <r>
    <x v="0"/>
    <x v="9"/>
    <n v="1"/>
    <x v="3"/>
    <d v="2023-09-01T00:00:00"/>
    <n v="32961"/>
    <x v="3"/>
  </r>
  <r>
    <x v="0"/>
    <x v="9"/>
    <n v="1"/>
    <x v="3"/>
    <d v="2023-09-01T00:00:00"/>
    <n v="32220.74"/>
    <x v="4"/>
  </r>
  <r>
    <x v="0"/>
    <x v="9"/>
    <n v="1"/>
    <x v="3"/>
    <d v="2023-09-01T00:00:00"/>
    <n v="31935.34"/>
    <x v="5"/>
  </r>
  <r>
    <x v="0"/>
    <x v="9"/>
    <n v="1"/>
    <x v="3"/>
    <d v="2023-09-01T00:00:00"/>
    <n v="31920.48"/>
    <x v="6"/>
  </r>
  <r>
    <x v="0"/>
    <x v="9"/>
    <n v="1"/>
    <x v="3"/>
    <d v="2023-09-01T00:00:00"/>
    <n v="31920.48"/>
    <x v="7"/>
  </r>
  <r>
    <x v="0"/>
    <x v="9"/>
    <n v="1"/>
    <x v="3"/>
    <d v="2023-09-01T00:00:00"/>
    <n v="31920.48"/>
    <x v="8"/>
  </r>
  <r>
    <x v="0"/>
    <x v="9"/>
    <n v="1"/>
    <x v="3"/>
    <d v="2023-09-01T00:00:00"/>
    <n v="31920.48"/>
    <x v="9"/>
  </r>
  <r>
    <x v="0"/>
    <x v="9"/>
    <n v="1"/>
    <x v="3"/>
    <d v="2023-09-01T00:00:00"/>
    <n v="31920.48"/>
    <x v="10"/>
  </r>
  <r>
    <x v="0"/>
    <x v="9"/>
    <n v="1"/>
    <x v="3"/>
    <d v="2023-09-01T00:00:00"/>
    <n v="33084.699999999997"/>
    <x v="11"/>
  </r>
  <r>
    <x v="0"/>
    <x v="9"/>
    <n v="1"/>
    <x v="3"/>
    <d v="2023-09-01T00:00:00"/>
    <n v="386976.9"/>
    <x v="12"/>
  </r>
  <r>
    <x v="0"/>
    <x v="9"/>
    <n v="2"/>
    <x v="4"/>
    <d v="2023-09-01T00:00:00"/>
    <n v="43.92"/>
    <x v="0"/>
  </r>
  <r>
    <x v="0"/>
    <x v="9"/>
    <n v="2"/>
    <x v="4"/>
    <d v="2023-09-01T00:00:00"/>
    <n v="43.92"/>
    <x v="1"/>
  </r>
  <r>
    <x v="0"/>
    <x v="9"/>
    <n v="2"/>
    <x v="4"/>
    <d v="2023-09-01T00:00:00"/>
    <n v="-55.33"/>
    <x v="2"/>
  </r>
  <r>
    <x v="0"/>
    <x v="9"/>
    <n v="2"/>
    <x v="4"/>
    <d v="2023-09-01T00:00:00"/>
    <n v="10.83"/>
    <x v="3"/>
  </r>
  <r>
    <x v="0"/>
    <x v="9"/>
    <n v="2"/>
    <x v="4"/>
    <d v="2023-09-01T00:00:00"/>
    <n v="10.83"/>
    <x v="4"/>
  </r>
  <r>
    <x v="0"/>
    <x v="9"/>
    <n v="2"/>
    <x v="4"/>
    <d v="2023-09-01T00:00:00"/>
    <n v="10.83"/>
    <x v="5"/>
  </r>
  <r>
    <x v="0"/>
    <x v="9"/>
    <n v="2"/>
    <x v="4"/>
    <d v="2023-09-01T00:00:00"/>
    <n v="10.83"/>
    <x v="6"/>
  </r>
  <r>
    <x v="0"/>
    <x v="9"/>
    <n v="2"/>
    <x v="4"/>
    <d v="2023-09-01T00:00:00"/>
    <n v="10.83"/>
    <x v="7"/>
  </r>
  <r>
    <x v="0"/>
    <x v="9"/>
    <n v="2"/>
    <x v="4"/>
    <d v="2023-09-01T00:00:00"/>
    <n v="10.83"/>
    <x v="8"/>
  </r>
  <r>
    <x v="0"/>
    <x v="9"/>
    <n v="2"/>
    <x v="4"/>
    <d v="2023-09-01T00:00:00"/>
    <n v="10.83"/>
    <x v="9"/>
  </r>
  <r>
    <x v="0"/>
    <x v="9"/>
    <n v="2"/>
    <x v="4"/>
    <d v="2023-09-01T00:00:00"/>
    <n v="10.83"/>
    <x v="10"/>
  </r>
  <r>
    <x v="0"/>
    <x v="9"/>
    <n v="2"/>
    <x v="4"/>
    <d v="2023-09-01T00:00:00"/>
    <n v="10.83"/>
    <x v="11"/>
  </r>
  <r>
    <x v="0"/>
    <x v="9"/>
    <n v="2"/>
    <x v="4"/>
    <d v="2023-09-01T00:00:00"/>
    <n v="129.97999999999999"/>
    <x v="12"/>
  </r>
  <r>
    <x v="0"/>
    <x v="9"/>
    <n v="3"/>
    <x v="5"/>
    <d v="2023-09-01T00:00:00"/>
    <n v="0"/>
    <x v="0"/>
  </r>
  <r>
    <x v="0"/>
    <x v="9"/>
    <n v="3"/>
    <x v="5"/>
    <d v="2023-09-01T00:00:00"/>
    <n v="0"/>
    <x v="1"/>
  </r>
  <r>
    <x v="0"/>
    <x v="9"/>
    <n v="3"/>
    <x v="5"/>
    <d v="2023-09-01T00:00:00"/>
    <n v="0"/>
    <x v="2"/>
  </r>
  <r>
    <x v="0"/>
    <x v="9"/>
    <n v="3"/>
    <x v="5"/>
    <d v="2023-09-01T00:00:00"/>
    <n v="0"/>
    <x v="3"/>
  </r>
  <r>
    <x v="0"/>
    <x v="9"/>
    <n v="3"/>
    <x v="5"/>
    <d v="2023-09-01T00:00:00"/>
    <n v="0"/>
    <x v="4"/>
  </r>
  <r>
    <x v="0"/>
    <x v="9"/>
    <n v="3"/>
    <x v="5"/>
    <d v="2023-09-01T00:00:00"/>
    <n v="0"/>
    <x v="5"/>
  </r>
  <r>
    <x v="0"/>
    <x v="9"/>
    <n v="3"/>
    <x v="5"/>
    <d v="2023-09-01T00:00:00"/>
    <n v="0"/>
    <x v="6"/>
  </r>
  <r>
    <x v="0"/>
    <x v="9"/>
    <n v="3"/>
    <x v="5"/>
    <d v="2023-09-01T00:00:00"/>
    <n v="0"/>
    <x v="7"/>
  </r>
  <r>
    <x v="0"/>
    <x v="9"/>
    <n v="3"/>
    <x v="5"/>
    <d v="2023-09-01T00:00:00"/>
    <n v="0"/>
    <x v="8"/>
  </r>
  <r>
    <x v="0"/>
    <x v="9"/>
    <n v="3"/>
    <x v="5"/>
    <d v="2023-09-01T00:00:00"/>
    <n v="0"/>
    <x v="9"/>
  </r>
  <r>
    <x v="0"/>
    <x v="9"/>
    <n v="3"/>
    <x v="5"/>
    <d v="2023-09-01T00:00:00"/>
    <n v="0"/>
    <x v="10"/>
  </r>
  <r>
    <x v="0"/>
    <x v="9"/>
    <n v="3"/>
    <x v="5"/>
    <d v="2023-09-01T00:00:00"/>
    <n v="0"/>
    <x v="11"/>
  </r>
  <r>
    <x v="0"/>
    <x v="9"/>
    <n v="3"/>
    <x v="5"/>
    <d v="2023-09-01T00:00:00"/>
    <n v="0"/>
    <x v="12"/>
  </r>
  <r>
    <x v="0"/>
    <x v="9"/>
    <n v="4"/>
    <x v="6"/>
    <d v="2023-09-01T00:00:00"/>
    <n v="0"/>
    <x v="0"/>
  </r>
  <r>
    <x v="0"/>
    <x v="9"/>
    <n v="4"/>
    <x v="6"/>
    <d v="2023-09-01T00:00:00"/>
    <n v="0"/>
    <x v="1"/>
  </r>
  <r>
    <x v="0"/>
    <x v="9"/>
    <n v="4"/>
    <x v="6"/>
    <d v="2023-09-01T00:00:00"/>
    <n v="0"/>
    <x v="2"/>
  </r>
  <r>
    <x v="0"/>
    <x v="9"/>
    <n v="4"/>
    <x v="6"/>
    <d v="2023-09-01T00:00:00"/>
    <n v="0"/>
    <x v="3"/>
  </r>
  <r>
    <x v="0"/>
    <x v="9"/>
    <n v="4"/>
    <x v="6"/>
    <d v="2023-09-01T00:00:00"/>
    <n v="0"/>
    <x v="4"/>
  </r>
  <r>
    <x v="0"/>
    <x v="9"/>
    <n v="4"/>
    <x v="6"/>
    <d v="2023-09-01T00:00:00"/>
    <n v="0"/>
    <x v="5"/>
  </r>
  <r>
    <x v="0"/>
    <x v="9"/>
    <n v="4"/>
    <x v="6"/>
    <d v="2023-09-01T00:00:00"/>
    <n v="0"/>
    <x v="6"/>
  </r>
  <r>
    <x v="0"/>
    <x v="9"/>
    <n v="4"/>
    <x v="6"/>
    <d v="2023-09-01T00:00:00"/>
    <n v="0"/>
    <x v="7"/>
  </r>
  <r>
    <x v="0"/>
    <x v="9"/>
    <n v="4"/>
    <x v="6"/>
    <d v="2023-09-01T00:00:00"/>
    <n v="0"/>
    <x v="8"/>
  </r>
  <r>
    <x v="0"/>
    <x v="9"/>
    <n v="4"/>
    <x v="6"/>
    <d v="2023-09-01T00:00:00"/>
    <n v="0"/>
    <x v="9"/>
  </r>
  <r>
    <x v="0"/>
    <x v="9"/>
    <n v="4"/>
    <x v="6"/>
    <d v="2023-09-01T00:00:00"/>
    <n v="0"/>
    <x v="10"/>
  </r>
  <r>
    <x v="0"/>
    <x v="9"/>
    <n v="4"/>
    <x v="6"/>
    <d v="2023-09-01T00:00:00"/>
    <n v="0"/>
    <x v="11"/>
  </r>
  <r>
    <x v="0"/>
    <x v="9"/>
    <n v="4"/>
    <x v="6"/>
    <d v="2023-09-01T00:00:00"/>
    <n v="0"/>
    <x v="12"/>
  </r>
  <r>
    <x v="0"/>
    <x v="9"/>
    <n v="5"/>
    <x v="7"/>
    <d v="2023-09-01T00:00:00"/>
    <n v="0"/>
    <x v="0"/>
  </r>
  <r>
    <x v="0"/>
    <x v="9"/>
    <n v="5"/>
    <x v="7"/>
    <d v="2023-09-01T00:00:00"/>
    <n v="0"/>
    <x v="1"/>
  </r>
  <r>
    <x v="0"/>
    <x v="9"/>
    <n v="5"/>
    <x v="7"/>
    <d v="2023-09-01T00:00:00"/>
    <n v="0"/>
    <x v="2"/>
  </r>
  <r>
    <x v="0"/>
    <x v="9"/>
    <n v="5"/>
    <x v="7"/>
    <d v="2023-09-01T00:00:00"/>
    <n v="0"/>
    <x v="3"/>
  </r>
  <r>
    <x v="0"/>
    <x v="9"/>
    <n v="5"/>
    <x v="7"/>
    <d v="2023-09-01T00:00:00"/>
    <n v="0"/>
    <x v="4"/>
  </r>
  <r>
    <x v="0"/>
    <x v="9"/>
    <n v="5"/>
    <x v="7"/>
    <d v="2023-09-01T00:00:00"/>
    <n v="0"/>
    <x v="5"/>
  </r>
  <r>
    <x v="0"/>
    <x v="9"/>
    <n v="5"/>
    <x v="7"/>
    <d v="2023-09-01T00:00:00"/>
    <n v="0"/>
    <x v="6"/>
  </r>
  <r>
    <x v="0"/>
    <x v="9"/>
    <n v="5"/>
    <x v="7"/>
    <d v="2023-09-01T00:00:00"/>
    <n v="0"/>
    <x v="7"/>
  </r>
  <r>
    <x v="0"/>
    <x v="9"/>
    <n v="5"/>
    <x v="7"/>
    <d v="2023-09-01T00:00:00"/>
    <n v="0"/>
    <x v="8"/>
  </r>
  <r>
    <x v="0"/>
    <x v="9"/>
    <n v="5"/>
    <x v="7"/>
    <d v="2023-09-01T00:00:00"/>
    <n v="0"/>
    <x v="9"/>
  </r>
  <r>
    <x v="0"/>
    <x v="9"/>
    <n v="5"/>
    <x v="7"/>
    <d v="2023-09-01T00:00:00"/>
    <n v="0"/>
    <x v="10"/>
  </r>
  <r>
    <x v="0"/>
    <x v="9"/>
    <n v="5"/>
    <x v="7"/>
    <d v="2023-09-01T00:00:00"/>
    <n v="0"/>
    <x v="11"/>
  </r>
  <r>
    <x v="0"/>
    <x v="9"/>
    <n v="5"/>
    <x v="7"/>
    <d v="2023-09-01T00:00:00"/>
    <n v="0"/>
    <x v="12"/>
  </r>
  <r>
    <x v="0"/>
    <x v="9"/>
    <n v="6"/>
    <x v="8"/>
    <d v="2023-09-01T00:00:00"/>
    <n v="631.49"/>
    <x v="0"/>
  </r>
  <r>
    <x v="0"/>
    <x v="9"/>
    <n v="6"/>
    <x v="8"/>
    <d v="2023-09-01T00:00:00"/>
    <n v="879.15"/>
    <x v="1"/>
  </r>
  <r>
    <x v="0"/>
    <x v="9"/>
    <n v="6"/>
    <x v="8"/>
    <d v="2023-09-01T00:00:00"/>
    <n v="338.87"/>
    <x v="2"/>
  </r>
  <r>
    <x v="0"/>
    <x v="9"/>
    <n v="6"/>
    <x v="8"/>
    <d v="2023-09-01T00:00:00"/>
    <n v="713.52"/>
    <x v="3"/>
  </r>
  <r>
    <x v="0"/>
    <x v="9"/>
    <n v="6"/>
    <x v="8"/>
    <d v="2023-09-01T00:00:00"/>
    <n v="721.2"/>
    <x v="4"/>
  </r>
  <r>
    <x v="0"/>
    <x v="9"/>
    <n v="6"/>
    <x v="8"/>
    <d v="2023-09-01T00:00:00"/>
    <n v="697.83"/>
    <x v="5"/>
  </r>
  <r>
    <x v="0"/>
    <x v="9"/>
    <n v="6"/>
    <x v="8"/>
    <d v="2023-09-01T00:00:00"/>
    <n v="689.43"/>
    <x v="6"/>
  </r>
  <r>
    <x v="0"/>
    <x v="9"/>
    <n v="6"/>
    <x v="8"/>
    <d v="2023-09-01T00:00:00"/>
    <n v="666.66"/>
    <x v="7"/>
  </r>
  <r>
    <x v="0"/>
    <x v="9"/>
    <n v="6"/>
    <x v="8"/>
    <d v="2023-09-01T00:00:00"/>
    <n v="666.66"/>
    <x v="8"/>
  </r>
  <r>
    <x v="0"/>
    <x v="9"/>
    <n v="6"/>
    <x v="8"/>
    <d v="2023-09-01T00:00:00"/>
    <n v="666.66"/>
    <x v="9"/>
  </r>
  <r>
    <x v="0"/>
    <x v="9"/>
    <n v="6"/>
    <x v="8"/>
    <d v="2023-09-01T00:00:00"/>
    <n v="657.54"/>
    <x v="10"/>
  </r>
  <r>
    <x v="0"/>
    <x v="9"/>
    <n v="6"/>
    <x v="8"/>
    <d v="2023-09-01T00:00:00"/>
    <n v="657.35"/>
    <x v="11"/>
  </r>
  <r>
    <x v="0"/>
    <x v="9"/>
    <n v="6"/>
    <x v="8"/>
    <d v="2023-09-01T00:00:00"/>
    <n v="7986.36"/>
    <x v="12"/>
  </r>
  <r>
    <x v="0"/>
    <x v="9"/>
    <n v="7"/>
    <x v="9"/>
    <d v="2023-09-01T00:00:00"/>
    <n v="32010.44"/>
    <x v="0"/>
  </r>
  <r>
    <x v="0"/>
    <x v="9"/>
    <n v="7"/>
    <x v="9"/>
    <d v="2023-09-01T00:00:00"/>
    <n v="32236.77"/>
    <x v="1"/>
  </r>
  <r>
    <x v="0"/>
    <x v="9"/>
    <n v="7"/>
    <x v="9"/>
    <d v="2023-09-01T00:00:00"/>
    <n v="34807.53"/>
    <x v="2"/>
  </r>
  <r>
    <x v="0"/>
    <x v="9"/>
    <n v="7"/>
    <x v="9"/>
    <d v="2023-09-01T00:00:00"/>
    <n v="33685.35"/>
    <x v="3"/>
  </r>
  <r>
    <x v="0"/>
    <x v="9"/>
    <n v="7"/>
    <x v="9"/>
    <d v="2023-09-01T00:00:00"/>
    <n v="32952.769999999997"/>
    <x v="4"/>
  </r>
  <r>
    <x v="0"/>
    <x v="9"/>
    <n v="7"/>
    <x v="9"/>
    <d v="2023-09-01T00:00:00"/>
    <n v="32644"/>
    <x v="5"/>
  </r>
  <r>
    <x v="0"/>
    <x v="9"/>
    <n v="7"/>
    <x v="9"/>
    <d v="2023-09-01T00:00:00"/>
    <n v="32620.74"/>
    <x v="6"/>
  </r>
  <r>
    <x v="0"/>
    <x v="9"/>
    <n v="7"/>
    <x v="9"/>
    <d v="2023-09-01T00:00:00"/>
    <n v="32597.97"/>
    <x v="7"/>
  </r>
  <r>
    <x v="0"/>
    <x v="9"/>
    <n v="7"/>
    <x v="9"/>
    <d v="2023-09-01T00:00:00"/>
    <n v="32597.97"/>
    <x v="8"/>
  </r>
  <r>
    <x v="0"/>
    <x v="9"/>
    <n v="7"/>
    <x v="9"/>
    <d v="2023-09-01T00:00:00"/>
    <n v="32597.97"/>
    <x v="9"/>
  </r>
  <r>
    <x v="0"/>
    <x v="9"/>
    <n v="7"/>
    <x v="9"/>
    <d v="2023-09-01T00:00:00"/>
    <n v="32588.85"/>
    <x v="10"/>
  </r>
  <r>
    <x v="0"/>
    <x v="9"/>
    <n v="7"/>
    <x v="9"/>
    <d v="2023-09-01T00:00:00"/>
    <n v="33752.879999999997"/>
    <x v="11"/>
  </r>
  <r>
    <x v="0"/>
    <x v="9"/>
    <n v="7"/>
    <x v="9"/>
    <d v="2023-09-01T00:00:00"/>
    <n v="395093.24"/>
    <x v="12"/>
  </r>
  <r>
    <x v="0"/>
    <x v="9"/>
    <n v="8"/>
    <x v="11"/>
    <d v="2023-09-01T00:00:00"/>
    <n v="3524.86"/>
    <x v="0"/>
  </r>
  <r>
    <x v="0"/>
    <x v="9"/>
    <n v="8"/>
    <x v="11"/>
    <d v="2023-09-01T00:00:00"/>
    <n v="3649.46"/>
    <x v="1"/>
  </r>
  <r>
    <x v="0"/>
    <x v="9"/>
    <n v="8"/>
    <x v="11"/>
    <d v="2023-09-01T00:00:00"/>
    <n v="3573.81"/>
    <x v="2"/>
  </r>
  <r>
    <x v="0"/>
    <x v="9"/>
    <n v="8"/>
    <x v="11"/>
    <d v="2023-09-01T00:00:00"/>
    <n v="3632.02"/>
    <x v="3"/>
  </r>
  <r>
    <x v="0"/>
    <x v="9"/>
    <n v="8"/>
    <x v="11"/>
    <d v="2023-09-01T00:00:00"/>
    <n v="3612.46"/>
    <x v="4"/>
  </r>
  <r>
    <x v="0"/>
    <x v="9"/>
    <n v="8"/>
    <x v="11"/>
    <d v="2023-09-01T00:00:00"/>
    <n v="3611.05"/>
    <x v="5"/>
  </r>
  <r>
    <x v="0"/>
    <x v="9"/>
    <n v="8"/>
    <x v="11"/>
    <d v="2023-09-01T00:00:00"/>
    <n v="3600.6"/>
    <x v="6"/>
  </r>
  <r>
    <x v="0"/>
    <x v="9"/>
    <n v="8"/>
    <x v="11"/>
    <d v="2023-09-01T00:00:00"/>
    <n v="3600.6"/>
    <x v="7"/>
  </r>
  <r>
    <x v="0"/>
    <x v="9"/>
    <n v="8"/>
    <x v="11"/>
    <d v="2023-09-01T00:00:00"/>
    <n v="3600.6"/>
    <x v="8"/>
  </r>
  <r>
    <x v="0"/>
    <x v="9"/>
    <n v="8"/>
    <x v="11"/>
    <d v="2023-09-01T00:00:00"/>
    <n v="3600.6"/>
    <x v="9"/>
  </r>
  <r>
    <x v="0"/>
    <x v="9"/>
    <n v="8"/>
    <x v="11"/>
    <d v="2023-09-01T00:00:00"/>
    <n v="3600.6"/>
    <x v="10"/>
  </r>
  <r>
    <x v="0"/>
    <x v="9"/>
    <n v="8"/>
    <x v="11"/>
    <d v="2023-09-01T00:00:00"/>
    <n v="3600.21"/>
    <x v="11"/>
  </r>
  <r>
    <x v="0"/>
    <x v="9"/>
    <n v="8"/>
    <x v="11"/>
    <d v="2023-09-01T00:00:00"/>
    <n v="43206.87"/>
    <x v="12"/>
  </r>
  <r>
    <x v="0"/>
    <x v="9"/>
    <n v="9"/>
    <x v="10"/>
    <d v="2023-09-01T00:00:00"/>
    <n v="2878.05"/>
    <x v="0"/>
  </r>
  <r>
    <x v="0"/>
    <x v="9"/>
    <n v="9"/>
    <x v="10"/>
    <d v="2023-09-01T00:00:00"/>
    <n v="2878.5"/>
    <x v="1"/>
  </r>
  <r>
    <x v="0"/>
    <x v="9"/>
    <n v="9"/>
    <x v="10"/>
    <d v="2023-09-01T00:00:00"/>
    <n v="3097.88"/>
    <x v="2"/>
  </r>
  <r>
    <x v="0"/>
    <x v="9"/>
    <n v="9"/>
    <x v="10"/>
    <d v="2023-09-01T00:00:00"/>
    <n v="2955.04"/>
    <x v="3"/>
  </r>
  <r>
    <x v="0"/>
    <x v="9"/>
    <n v="9"/>
    <x v="10"/>
    <d v="2023-09-01T00:00:00"/>
    <n v="3165.03"/>
    <x v="4"/>
  </r>
  <r>
    <x v="0"/>
    <x v="9"/>
    <n v="9"/>
    <x v="10"/>
    <d v="2023-09-01T00:00:00"/>
    <n v="2894.9"/>
    <x v="5"/>
  </r>
  <r>
    <x v="0"/>
    <x v="9"/>
    <n v="9"/>
    <x v="10"/>
    <d v="2023-09-01T00:00:00"/>
    <n v="2956.86"/>
    <x v="6"/>
  </r>
  <r>
    <x v="0"/>
    <x v="9"/>
    <n v="9"/>
    <x v="10"/>
    <d v="2023-09-01T00:00:00"/>
    <n v="2956.86"/>
    <x v="7"/>
  </r>
  <r>
    <x v="0"/>
    <x v="9"/>
    <n v="9"/>
    <x v="10"/>
    <d v="2023-09-01T00:00:00"/>
    <n v="2956.86"/>
    <x v="8"/>
  </r>
  <r>
    <x v="0"/>
    <x v="9"/>
    <n v="9"/>
    <x v="10"/>
    <d v="2023-09-01T00:00:00"/>
    <n v="2956.86"/>
    <x v="9"/>
  </r>
  <r>
    <x v="0"/>
    <x v="9"/>
    <n v="9"/>
    <x v="10"/>
    <d v="2023-09-01T00:00:00"/>
    <n v="2956.86"/>
    <x v="10"/>
  </r>
  <r>
    <x v="0"/>
    <x v="9"/>
    <n v="9"/>
    <x v="10"/>
    <d v="2023-09-01T00:00:00"/>
    <n v="2956.84"/>
    <x v="11"/>
  </r>
  <r>
    <x v="0"/>
    <x v="9"/>
    <n v="9"/>
    <x v="10"/>
    <d v="2023-09-01T00:00:00"/>
    <n v="35610.54"/>
    <x v="12"/>
  </r>
  <r>
    <x v="0"/>
    <x v="9"/>
    <n v="10"/>
    <x v="0"/>
    <d v="2023-09-01T00:00:00"/>
    <n v="8286.8799999999992"/>
    <x v="0"/>
  </r>
  <r>
    <x v="0"/>
    <x v="9"/>
    <n v="10"/>
    <x v="0"/>
    <d v="2023-09-01T00:00:00"/>
    <n v="8651.42"/>
    <x v="1"/>
  </r>
  <r>
    <x v="0"/>
    <x v="9"/>
    <n v="10"/>
    <x v="0"/>
    <d v="2023-09-01T00:00:00"/>
    <n v="10455.379999999999"/>
    <x v="2"/>
  </r>
  <r>
    <x v="0"/>
    <x v="9"/>
    <n v="10"/>
    <x v="0"/>
    <d v="2023-09-01T00:00:00"/>
    <n v="9815.84"/>
    <x v="3"/>
  </r>
  <r>
    <x v="0"/>
    <x v="9"/>
    <n v="10"/>
    <x v="0"/>
    <d v="2023-09-01T00:00:00"/>
    <n v="8663.2000000000007"/>
    <x v="4"/>
  </r>
  <r>
    <x v="0"/>
    <x v="9"/>
    <n v="10"/>
    <x v="0"/>
    <d v="2023-09-01T00:00:00"/>
    <n v="8666.06"/>
    <x v="5"/>
  </r>
  <r>
    <x v="0"/>
    <x v="9"/>
    <n v="10"/>
    <x v="0"/>
    <d v="2023-09-01T00:00:00"/>
    <n v="8873.26"/>
    <x v="6"/>
  </r>
  <r>
    <x v="0"/>
    <x v="9"/>
    <n v="10"/>
    <x v="0"/>
    <d v="2023-09-01T00:00:00"/>
    <n v="8850.5"/>
    <x v="7"/>
  </r>
  <r>
    <x v="0"/>
    <x v="9"/>
    <n v="10"/>
    <x v="0"/>
    <d v="2023-09-01T00:00:00"/>
    <n v="8850.5"/>
    <x v="8"/>
  </r>
  <r>
    <x v="0"/>
    <x v="9"/>
    <n v="10"/>
    <x v="0"/>
    <d v="2023-09-01T00:00:00"/>
    <n v="8850.49"/>
    <x v="9"/>
  </r>
  <r>
    <x v="0"/>
    <x v="9"/>
    <n v="10"/>
    <x v="0"/>
    <d v="2023-09-01T00:00:00"/>
    <n v="8841.3799999999992"/>
    <x v="10"/>
  </r>
  <r>
    <x v="0"/>
    <x v="9"/>
    <n v="10"/>
    <x v="0"/>
    <d v="2023-09-01T00:00:00"/>
    <n v="9085.3700000000008"/>
    <x v="11"/>
  </r>
  <r>
    <x v="0"/>
    <x v="9"/>
    <n v="10"/>
    <x v="0"/>
    <d v="2023-09-01T00:00:00"/>
    <n v="107890.28"/>
    <x v="12"/>
  </r>
  <r>
    <x v="0"/>
    <x v="9"/>
    <n v="11"/>
    <x v="1"/>
    <d v="2023-09-01T00:00:00"/>
    <n v="2513.5700000000002"/>
    <x v="0"/>
  </r>
  <r>
    <x v="0"/>
    <x v="9"/>
    <n v="11"/>
    <x v="1"/>
    <d v="2023-09-01T00:00:00"/>
    <n v="2581.9699999999998"/>
    <x v="1"/>
  </r>
  <r>
    <x v="0"/>
    <x v="9"/>
    <n v="11"/>
    <x v="1"/>
    <d v="2023-09-01T00:00:00"/>
    <n v="2442.7399999999998"/>
    <x v="2"/>
  </r>
  <r>
    <x v="0"/>
    <x v="9"/>
    <n v="11"/>
    <x v="1"/>
    <d v="2023-09-01T00:00:00"/>
    <n v="1307.73"/>
    <x v="3"/>
  </r>
  <r>
    <x v="0"/>
    <x v="9"/>
    <n v="11"/>
    <x v="1"/>
    <d v="2023-09-01T00:00:00"/>
    <n v="2197.41"/>
    <x v="4"/>
  </r>
  <r>
    <x v="0"/>
    <x v="9"/>
    <n v="11"/>
    <x v="1"/>
    <d v="2023-09-01T00:00:00"/>
    <n v="1603"/>
    <x v="5"/>
  </r>
  <r>
    <x v="0"/>
    <x v="9"/>
    <n v="11"/>
    <x v="1"/>
    <d v="2023-09-01T00:00:00"/>
    <n v="1644.93"/>
    <x v="6"/>
  </r>
  <r>
    <x v="0"/>
    <x v="9"/>
    <n v="11"/>
    <x v="1"/>
    <d v="2023-09-01T00:00:00"/>
    <n v="1644.95"/>
    <x v="7"/>
  </r>
  <r>
    <x v="0"/>
    <x v="9"/>
    <n v="11"/>
    <x v="1"/>
    <d v="2023-09-01T00:00:00"/>
    <n v="1644.95"/>
    <x v="8"/>
  </r>
  <r>
    <x v="0"/>
    <x v="9"/>
    <n v="11"/>
    <x v="1"/>
    <d v="2023-09-01T00:00:00"/>
    <n v="1644.95"/>
    <x v="9"/>
  </r>
  <r>
    <x v="0"/>
    <x v="9"/>
    <n v="11"/>
    <x v="1"/>
    <d v="2023-09-01T00:00:00"/>
    <n v="1644.95"/>
    <x v="10"/>
  </r>
  <r>
    <x v="0"/>
    <x v="9"/>
    <n v="11"/>
    <x v="1"/>
    <d v="2023-09-01T00:00:00"/>
    <n v="2564.88"/>
    <x v="11"/>
  </r>
  <r>
    <x v="0"/>
    <x v="9"/>
    <n v="11"/>
    <x v="1"/>
    <d v="2023-09-01T00:00:00"/>
    <n v="23436.03"/>
    <x v="12"/>
  </r>
  <r>
    <x v="0"/>
    <x v="9"/>
    <n v="12"/>
    <x v="2"/>
    <d v="2023-09-01T00:00:00"/>
    <n v="119.67"/>
    <x v="0"/>
  </r>
  <r>
    <x v="0"/>
    <x v="9"/>
    <n v="12"/>
    <x v="2"/>
    <d v="2023-09-01T00:00:00"/>
    <n v="130.66999999999999"/>
    <x v="1"/>
  </r>
  <r>
    <x v="0"/>
    <x v="9"/>
    <n v="12"/>
    <x v="2"/>
    <d v="2023-09-01T00:00:00"/>
    <n v="108.04"/>
    <x v="2"/>
  </r>
  <r>
    <x v="0"/>
    <x v="9"/>
    <n v="12"/>
    <x v="2"/>
    <d v="2023-09-01T00:00:00"/>
    <n v="119.06"/>
    <x v="3"/>
  </r>
  <r>
    <x v="0"/>
    <x v="9"/>
    <n v="12"/>
    <x v="2"/>
    <d v="2023-09-01T00:00:00"/>
    <n v="104.58"/>
    <x v="4"/>
  </r>
  <r>
    <x v="0"/>
    <x v="9"/>
    <n v="12"/>
    <x v="2"/>
    <d v="2023-09-01T00:00:00"/>
    <n v="134.85"/>
    <x v="5"/>
  </r>
  <r>
    <x v="0"/>
    <x v="9"/>
    <n v="12"/>
    <x v="2"/>
    <d v="2023-09-01T00:00:00"/>
    <n v="119.48"/>
    <x v="6"/>
  </r>
  <r>
    <x v="0"/>
    <x v="9"/>
    <n v="12"/>
    <x v="2"/>
    <d v="2023-09-01T00:00:00"/>
    <n v="119.48"/>
    <x v="7"/>
  </r>
  <r>
    <x v="0"/>
    <x v="9"/>
    <n v="12"/>
    <x v="2"/>
    <d v="2023-09-01T00:00:00"/>
    <n v="119.48"/>
    <x v="8"/>
  </r>
  <r>
    <x v="0"/>
    <x v="9"/>
    <n v="12"/>
    <x v="2"/>
    <d v="2023-09-01T00:00:00"/>
    <n v="119.48"/>
    <x v="9"/>
  </r>
  <r>
    <x v="0"/>
    <x v="9"/>
    <n v="12"/>
    <x v="2"/>
    <d v="2023-09-01T00:00:00"/>
    <n v="119.48"/>
    <x v="10"/>
  </r>
  <r>
    <x v="0"/>
    <x v="9"/>
    <n v="12"/>
    <x v="2"/>
    <d v="2023-09-01T00:00:00"/>
    <n v="119.48"/>
    <x v="11"/>
  </r>
  <r>
    <x v="0"/>
    <x v="9"/>
    <n v="12"/>
    <x v="2"/>
    <d v="2023-09-01T00:00:00"/>
    <n v="1433.75"/>
    <x v="12"/>
  </r>
  <r>
    <x v="0"/>
    <x v="9"/>
    <n v="13"/>
    <x v="12"/>
    <d v="2023-09-01T00:00:00"/>
    <n v="13527.64"/>
    <x v="0"/>
  </r>
  <r>
    <x v="0"/>
    <x v="9"/>
    <n v="13"/>
    <x v="12"/>
    <d v="2023-09-01T00:00:00"/>
    <n v="13297.33"/>
    <x v="1"/>
  </r>
  <r>
    <x v="0"/>
    <x v="9"/>
    <n v="13"/>
    <x v="12"/>
    <d v="2023-09-01T00:00:00"/>
    <n v="13412.49"/>
    <x v="2"/>
  </r>
  <r>
    <x v="0"/>
    <x v="9"/>
    <n v="13"/>
    <x v="12"/>
    <d v="2023-09-01T00:00:00"/>
    <n v="14465.94"/>
    <x v="3"/>
  </r>
  <r>
    <x v="0"/>
    <x v="9"/>
    <n v="13"/>
    <x v="12"/>
    <d v="2023-09-01T00:00:00"/>
    <n v="13705.32"/>
    <x v="4"/>
  </r>
  <r>
    <x v="0"/>
    <x v="9"/>
    <n v="13"/>
    <x v="12"/>
    <d v="2023-09-01T00:00:00"/>
    <n v="14489.62"/>
    <x v="5"/>
  </r>
  <r>
    <x v="0"/>
    <x v="9"/>
    <n v="13"/>
    <x v="12"/>
    <d v="2023-09-01T00:00:00"/>
    <n v="13808.39"/>
    <x v="6"/>
  </r>
  <r>
    <x v="0"/>
    <x v="9"/>
    <n v="13"/>
    <x v="12"/>
    <d v="2023-09-01T00:00:00"/>
    <n v="13808.39"/>
    <x v="7"/>
  </r>
  <r>
    <x v="0"/>
    <x v="9"/>
    <n v="13"/>
    <x v="12"/>
    <d v="2023-09-01T00:00:00"/>
    <n v="13808.39"/>
    <x v="8"/>
  </r>
  <r>
    <x v="0"/>
    <x v="9"/>
    <n v="13"/>
    <x v="12"/>
    <d v="2023-09-01T00:00:00"/>
    <n v="13808.39"/>
    <x v="9"/>
  </r>
  <r>
    <x v="0"/>
    <x v="9"/>
    <n v="13"/>
    <x v="12"/>
    <d v="2023-09-01T00:00:00"/>
    <n v="13808.39"/>
    <x v="10"/>
  </r>
  <r>
    <x v="0"/>
    <x v="9"/>
    <n v="13"/>
    <x v="12"/>
    <d v="2023-09-01T00:00:00"/>
    <n v="13808.6"/>
    <x v="11"/>
  </r>
  <r>
    <x v="0"/>
    <x v="9"/>
    <n v="13"/>
    <x v="12"/>
    <d v="2023-09-01T00:00:00"/>
    <n v="165748.89000000001"/>
    <x v="12"/>
  </r>
  <r>
    <x v="0"/>
    <x v="9"/>
    <n v="14"/>
    <x v="13"/>
    <d v="2023-09-01T00:00:00"/>
    <n v="0"/>
    <x v="0"/>
  </r>
  <r>
    <x v="0"/>
    <x v="9"/>
    <n v="14"/>
    <x v="13"/>
    <d v="2023-09-01T00:00:00"/>
    <n v="0"/>
    <x v="1"/>
  </r>
  <r>
    <x v="0"/>
    <x v="9"/>
    <n v="14"/>
    <x v="13"/>
    <d v="2023-09-01T00:00:00"/>
    <n v="0"/>
    <x v="2"/>
  </r>
  <r>
    <x v="0"/>
    <x v="9"/>
    <n v="14"/>
    <x v="13"/>
    <d v="2023-09-01T00:00:00"/>
    <n v="0"/>
    <x v="3"/>
  </r>
  <r>
    <x v="0"/>
    <x v="9"/>
    <n v="14"/>
    <x v="13"/>
    <d v="2023-09-01T00:00:00"/>
    <n v="0"/>
    <x v="4"/>
  </r>
  <r>
    <x v="0"/>
    <x v="9"/>
    <n v="14"/>
    <x v="13"/>
    <d v="2023-09-01T00:00:00"/>
    <n v="0"/>
    <x v="5"/>
  </r>
  <r>
    <x v="0"/>
    <x v="9"/>
    <n v="14"/>
    <x v="13"/>
    <d v="2023-09-01T00:00:00"/>
    <n v="0"/>
    <x v="6"/>
  </r>
  <r>
    <x v="0"/>
    <x v="9"/>
    <n v="14"/>
    <x v="13"/>
    <d v="2023-09-01T00:00:00"/>
    <n v="0"/>
    <x v="7"/>
  </r>
  <r>
    <x v="0"/>
    <x v="9"/>
    <n v="14"/>
    <x v="13"/>
    <d v="2023-09-01T00:00:00"/>
    <n v="0"/>
    <x v="8"/>
  </r>
  <r>
    <x v="0"/>
    <x v="9"/>
    <n v="14"/>
    <x v="13"/>
    <d v="2023-09-01T00:00:00"/>
    <n v="0"/>
    <x v="9"/>
  </r>
  <r>
    <x v="0"/>
    <x v="9"/>
    <n v="14"/>
    <x v="13"/>
    <d v="2023-09-01T00:00:00"/>
    <n v="0"/>
    <x v="10"/>
  </r>
  <r>
    <x v="0"/>
    <x v="9"/>
    <n v="14"/>
    <x v="13"/>
    <d v="2023-09-01T00:00:00"/>
    <n v="0"/>
    <x v="11"/>
  </r>
  <r>
    <x v="0"/>
    <x v="9"/>
    <n v="14"/>
    <x v="13"/>
    <d v="2023-09-01T00:00:00"/>
    <n v="0"/>
    <x v="12"/>
  </r>
  <r>
    <x v="0"/>
    <x v="9"/>
    <n v="15"/>
    <x v="14"/>
    <d v="2023-09-01T00:00:00"/>
    <n v="2386.4499999999998"/>
    <x v="0"/>
  </r>
  <r>
    <x v="0"/>
    <x v="9"/>
    <n v="15"/>
    <x v="14"/>
    <d v="2023-09-01T00:00:00"/>
    <n v="2396.21"/>
    <x v="1"/>
  </r>
  <r>
    <x v="0"/>
    <x v="9"/>
    <n v="15"/>
    <x v="14"/>
    <d v="2023-09-01T00:00:00"/>
    <n v="2306.64"/>
    <x v="2"/>
  </r>
  <r>
    <x v="0"/>
    <x v="9"/>
    <n v="15"/>
    <x v="14"/>
    <d v="2023-09-01T00:00:00"/>
    <n v="2566.84"/>
    <x v="3"/>
  </r>
  <r>
    <x v="0"/>
    <x v="9"/>
    <n v="15"/>
    <x v="14"/>
    <d v="2023-09-01T00:00:00"/>
    <n v="2478.7199999999998"/>
    <x v="4"/>
  </r>
  <r>
    <x v="0"/>
    <x v="9"/>
    <n v="15"/>
    <x v="14"/>
    <d v="2023-09-01T00:00:00"/>
    <n v="2426.77"/>
    <x v="5"/>
  </r>
  <r>
    <x v="0"/>
    <x v="9"/>
    <n v="15"/>
    <x v="14"/>
    <d v="2023-09-01T00:00:00"/>
    <n v="2459.4299999999998"/>
    <x v="6"/>
  </r>
  <r>
    <x v="0"/>
    <x v="9"/>
    <n v="15"/>
    <x v="14"/>
    <d v="2023-09-01T00:00:00"/>
    <n v="2459.4299999999998"/>
    <x v="7"/>
  </r>
  <r>
    <x v="0"/>
    <x v="9"/>
    <n v="15"/>
    <x v="14"/>
    <d v="2023-09-01T00:00:00"/>
    <n v="2459.4299999999998"/>
    <x v="8"/>
  </r>
  <r>
    <x v="0"/>
    <x v="9"/>
    <n v="15"/>
    <x v="14"/>
    <d v="2023-09-01T00:00:00"/>
    <n v="2459.4299999999998"/>
    <x v="9"/>
  </r>
  <r>
    <x v="0"/>
    <x v="9"/>
    <n v="15"/>
    <x v="14"/>
    <d v="2023-09-01T00:00:00"/>
    <n v="2459.4299999999998"/>
    <x v="10"/>
  </r>
  <r>
    <x v="0"/>
    <x v="9"/>
    <n v="15"/>
    <x v="14"/>
    <d v="2023-09-01T00:00:00"/>
    <n v="2459.48"/>
    <x v="11"/>
  </r>
  <r>
    <x v="0"/>
    <x v="9"/>
    <n v="15"/>
    <x v="14"/>
    <d v="2023-09-01T00:00:00"/>
    <n v="29318.26"/>
    <x v="12"/>
  </r>
  <r>
    <x v="0"/>
    <x v="9"/>
    <n v="16"/>
    <x v="15"/>
    <d v="2023-09-01T00:00:00"/>
    <n v="313.01"/>
    <x v="0"/>
  </r>
  <r>
    <x v="0"/>
    <x v="9"/>
    <n v="16"/>
    <x v="15"/>
    <d v="2023-09-01T00:00:00"/>
    <n v="265.26"/>
    <x v="1"/>
  </r>
  <r>
    <x v="0"/>
    <x v="9"/>
    <n v="16"/>
    <x v="15"/>
    <d v="2023-09-01T00:00:00"/>
    <n v="300.77"/>
    <x v="2"/>
  </r>
  <r>
    <x v="0"/>
    <x v="9"/>
    <n v="16"/>
    <x v="15"/>
    <d v="2023-09-01T00:00:00"/>
    <n v="236.24"/>
    <x v="3"/>
  </r>
  <r>
    <x v="0"/>
    <x v="9"/>
    <n v="16"/>
    <x v="15"/>
    <d v="2023-09-01T00:00:00"/>
    <n v="339.61"/>
    <x v="4"/>
  </r>
  <r>
    <x v="0"/>
    <x v="9"/>
    <n v="16"/>
    <x v="15"/>
    <d v="2023-09-01T00:00:00"/>
    <n v="249.43"/>
    <x v="5"/>
  </r>
  <r>
    <x v="0"/>
    <x v="9"/>
    <n v="16"/>
    <x v="15"/>
    <d v="2023-09-01T00:00:00"/>
    <n v="332.01"/>
    <x v="6"/>
  </r>
  <r>
    <x v="0"/>
    <x v="9"/>
    <n v="16"/>
    <x v="15"/>
    <d v="2023-09-01T00:00:00"/>
    <n v="332.01"/>
    <x v="7"/>
  </r>
  <r>
    <x v="0"/>
    <x v="9"/>
    <n v="16"/>
    <x v="15"/>
    <d v="2023-09-01T00:00:00"/>
    <n v="332.01"/>
    <x v="8"/>
  </r>
  <r>
    <x v="0"/>
    <x v="9"/>
    <n v="16"/>
    <x v="15"/>
    <d v="2023-09-01T00:00:00"/>
    <n v="332.01"/>
    <x v="9"/>
  </r>
  <r>
    <x v="0"/>
    <x v="9"/>
    <n v="16"/>
    <x v="15"/>
    <d v="2023-09-01T00:00:00"/>
    <n v="332.01"/>
    <x v="10"/>
  </r>
  <r>
    <x v="0"/>
    <x v="9"/>
    <n v="16"/>
    <x v="15"/>
    <d v="2023-09-01T00:00:00"/>
    <n v="332.03"/>
    <x v="11"/>
  </r>
  <r>
    <x v="0"/>
    <x v="9"/>
    <n v="16"/>
    <x v="15"/>
    <d v="2023-09-01T00:00:00"/>
    <n v="3696.4"/>
    <x v="12"/>
  </r>
  <r>
    <x v="0"/>
    <x v="9"/>
    <n v="17"/>
    <x v="16"/>
    <d v="2023-09-01T00:00:00"/>
    <n v="681.09"/>
    <x v="0"/>
  </r>
  <r>
    <x v="0"/>
    <x v="9"/>
    <n v="17"/>
    <x v="16"/>
    <d v="2023-09-01T00:00:00"/>
    <n v="665.28"/>
    <x v="1"/>
  </r>
  <r>
    <x v="0"/>
    <x v="9"/>
    <n v="17"/>
    <x v="16"/>
    <d v="2023-09-01T00:00:00"/>
    <n v="830.05"/>
    <x v="2"/>
  </r>
  <r>
    <x v="0"/>
    <x v="9"/>
    <n v="17"/>
    <x v="16"/>
    <d v="2023-09-01T00:00:00"/>
    <n v="894.45"/>
    <x v="3"/>
  </r>
  <r>
    <x v="0"/>
    <x v="9"/>
    <n v="17"/>
    <x v="16"/>
    <d v="2023-09-01T00:00:00"/>
    <n v="805.31"/>
    <x v="4"/>
  </r>
  <r>
    <x v="0"/>
    <x v="9"/>
    <n v="17"/>
    <x v="16"/>
    <d v="2023-09-01T00:00:00"/>
    <n v="805.35"/>
    <x v="5"/>
  </r>
  <r>
    <x v="0"/>
    <x v="9"/>
    <n v="17"/>
    <x v="16"/>
    <d v="2023-09-01T00:00:00"/>
    <n v="805.5"/>
    <x v="6"/>
  </r>
  <r>
    <x v="0"/>
    <x v="9"/>
    <n v="17"/>
    <x v="16"/>
    <d v="2023-09-01T00:00:00"/>
    <n v="805.5"/>
    <x v="7"/>
  </r>
  <r>
    <x v="0"/>
    <x v="9"/>
    <n v="17"/>
    <x v="16"/>
    <d v="2023-09-01T00:00:00"/>
    <n v="805.5"/>
    <x v="8"/>
  </r>
  <r>
    <x v="0"/>
    <x v="9"/>
    <n v="17"/>
    <x v="16"/>
    <d v="2023-09-01T00:00:00"/>
    <n v="805.5"/>
    <x v="9"/>
  </r>
  <r>
    <x v="0"/>
    <x v="9"/>
    <n v="17"/>
    <x v="16"/>
    <d v="2023-09-01T00:00:00"/>
    <n v="805.5"/>
    <x v="10"/>
  </r>
  <r>
    <x v="0"/>
    <x v="9"/>
    <n v="17"/>
    <x v="16"/>
    <d v="2023-09-01T00:00:00"/>
    <n v="805.72"/>
    <x v="11"/>
  </r>
  <r>
    <x v="0"/>
    <x v="9"/>
    <n v="17"/>
    <x v="16"/>
    <d v="2023-09-01T00:00:00"/>
    <n v="9514.75"/>
    <x v="12"/>
  </r>
  <r>
    <x v="0"/>
    <x v="9"/>
    <n v="18"/>
    <x v="17"/>
    <d v="2023-09-01T00:00:00"/>
    <n v="0"/>
    <x v="0"/>
  </r>
  <r>
    <x v="0"/>
    <x v="9"/>
    <n v="18"/>
    <x v="17"/>
    <d v="2023-09-01T00:00:00"/>
    <n v="0"/>
    <x v="1"/>
  </r>
  <r>
    <x v="0"/>
    <x v="9"/>
    <n v="18"/>
    <x v="17"/>
    <d v="2023-09-01T00:00:00"/>
    <n v="0"/>
    <x v="2"/>
  </r>
  <r>
    <x v="0"/>
    <x v="9"/>
    <n v="18"/>
    <x v="17"/>
    <d v="2023-09-01T00:00:00"/>
    <n v="0"/>
    <x v="3"/>
  </r>
  <r>
    <x v="0"/>
    <x v="9"/>
    <n v="18"/>
    <x v="17"/>
    <d v="2023-09-01T00:00:00"/>
    <n v="0"/>
    <x v="4"/>
  </r>
  <r>
    <x v="0"/>
    <x v="9"/>
    <n v="18"/>
    <x v="17"/>
    <d v="2023-09-01T00:00:00"/>
    <n v="0"/>
    <x v="5"/>
  </r>
  <r>
    <x v="0"/>
    <x v="9"/>
    <n v="18"/>
    <x v="17"/>
    <d v="2023-09-01T00:00:00"/>
    <n v="0"/>
    <x v="6"/>
  </r>
  <r>
    <x v="0"/>
    <x v="9"/>
    <n v="18"/>
    <x v="17"/>
    <d v="2023-09-01T00:00:00"/>
    <n v="0"/>
    <x v="7"/>
  </r>
  <r>
    <x v="0"/>
    <x v="9"/>
    <n v="18"/>
    <x v="17"/>
    <d v="2023-09-01T00:00:00"/>
    <n v="0"/>
    <x v="8"/>
  </r>
  <r>
    <x v="0"/>
    <x v="9"/>
    <n v="18"/>
    <x v="17"/>
    <d v="2023-09-01T00:00:00"/>
    <n v="0"/>
    <x v="9"/>
  </r>
  <r>
    <x v="0"/>
    <x v="9"/>
    <n v="18"/>
    <x v="17"/>
    <d v="2023-09-01T00:00:00"/>
    <n v="0"/>
    <x v="10"/>
  </r>
  <r>
    <x v="0"/>
    <x v="9"/>
    <n v="18"/>
    <x v="17"/>
    <d v="2023-09-01T00:00:00"/>
    <n v="0"/>
    <x v="11"/>
  </r>
  <r>
    <x v="0"/>
    <x v="9"/>
    <n v="18"/>
    <x v="17"/>
    <d v="2023-09-01T00:00:00"/>
    <n v="0"/>
    <x v="12"/>
  </r>
  <r>
    <x v="0"/>
    <x v="9"/>
    <n v="19"/>
    <x v="18"/>
    <d v="2023-09-01T00:00:00"/>
    <n v="0"/>
    <x v="0"/>
  </r>
  <r>
    <x v="0"/>
    <x v="9"/>
    <n v="19"/>
    <x v="18"/>
    <d v="2023-09-01T00:00:00"/>
    <n v="0"/>
    <x v="1"/>
  </r>
  <r>
    <x v="0"/>
    <x v="9"/>
    <n v="19"/>
    <x v="18"/>
    <d v="2023-09-01T00:00:00"/>
    <n v="0"/>
    <x v="2"/>
  </r>
  <r>
    <x v="0"/>
    <x v="9"/>
    <n v="19"/>
    <x v="18"/>
    <d v="2023-09-01T00:00:00"/>
    <n v="0"/>
    <x v="3"/>
  </r>
  <r>
    <x v="0"/>
    <x v="9"/>
    <n v="19"/>
    <x v="18"/>
    <d v="2023-09-01T00:00:00"/>
    <n v="0"/>
    <x v="4"/>
  </r>
  <r>
    <x v="0"/>
    <x v="9"/>
    <n v="19"/>
    <x v="18"/>
    <d v="2023-09-01T00:00:00"/>
    <n v="0"/>
    <x v="5"/>
  </r>
  <r>
    <x v="0"/>
    <x v="9"/>
    <n v="19"/>
    <x v="18"/>
    <d v="2023-09-01T00:00:00"/>
    <n v="0"/>
    <x v="6"/>
  </r>
  <r>
    <x v="0"/>
    <x v="9"/>
    <n v="19"/>
    <x v="18"/>
    <d v="2023-09-01T00:00:00"/>
    <n v="0"/>
    <x v="7"/>
  </r>
  <r>
    <x v="0"/>
    <x v="9"/>
    <n v="19"/>
    <x v="18"/>
    <d v="2023-09-01T00:00:00"/>
    <n v="0"/>
    <x v="8"/>
  </r>
  <r>
    <x v="0"/>
    <x v="9"/>
    <n v="19"/>
    <x v="18"/>
    <d v="2023-09-01T00:00:00"/>
    <n v="0"/>
    <x v="9"/>
  </r>
  <r>
    <x v="0"/>
    <x v="9"/>
    <n v="19"/>
    <x v="18"/>
    <d v="2023-09-01T00:00:00"/>
    <n v="0"/>
    <x v="10"/>
  </r>
  <r>
    <x v="0"/>
    <x v="9"/>
    <n v="19"/>
    <x v="18"/>
    <d v="2023-09-01T00:00:00"/>
    <n v="0"/>
    <x v="11"/>
  </r>
  <r>
    <x v="0"/>
    <x v="9"/>
    <n v="19"/>
    <x v="18"/>
    <d v="2023-09-01T00:00:00"/>
    <n v="0"/>
    <x v="12"/>
  </r>
  <r>
    <x v="0"/>
    <x v="9"/>
    <n v="20"/>
    <x v="19"/>
    <d v="2023-09-01T00:00:00"/>
    <n v="0"/>
    <x v="0"/>
  </r>
  <r>
    <x v="0"/>
    <x v="9"/>
    <n v="20"/>
    <x v="19"/>
    <d v="2023-09-01T00:00:00"/>
    <n v="0"/>
    <x v="1"/>
  </r>
  <r>
    <x v="0"/>
    <x v="9"/>
    <n v="20"/>
    <x v="19"/>
    <d v="2023-09-01T00:00:00"/>
    <n v="0"/>
    <x v="2"/>
  </r>
  <r>
    <x v="0"/>
    <x v="9"/>
    <n v="20"/>
    <x v="19"/>
    <d v="2023-09-01T00:00:00"/>
    <n v="0"/>
    <x v="3"/>
  </r>
  <r>
    <x v="0"/>
    <x v="9"/>
    <n v="20"/>
    <x v="19"/>
    <d v="2023-09-01T00:00:00"/>
    <n v="0"/>
    <x v="4"/>
  </r>
  <r>
    <x v="0"/>
    <x v="9"/>
    <n v="20"/>
    <x v="19"/>
    <d v="2023-09-01T00:00:00"/>
    <n v="0"/>
    <x v="5"/>
  </r>
  <r>
    <x v="0"/>
    <x v="9"/>
    <n v="20"/>
    <x v="19"/>
    <d v="2023-09-01T00:00:00"/>
    <n v="0"/>
    <x v="6"/>
  </r>
  <r>
    <x v="0"/>
    <x v="9"/>
    <n v="20"/>
    <x v="19"/>
    <d v="2023-09-01T00:00:00"/>
    <n v="0"/>
    <x v="7"/>
  </r>
  <r>
    <x v="0"/>
    <x v="9"/>
    <n v="20"/>
    <x v="19"/>
    <d v="2023-09-01T00:00:00"/>
    <n v="0"/>
    <x v="8"/>
  </r>
  <r>
    <x v="0"/>
    <x v="9"/>
    <n v="20"/>
    <x v="19"/>
    <d v="2023-09-01T00:00:00"/>
    <n v="0"/>
    <x v="9"/>
  </r>
  <r>
    <x v="0"/>
    <x v="9"/>
    <n v="20"/>
    <x v="19"/>
    <d v="2023-09-01T00:00:00"/>
    <n v="0"/>
    <x v="10"/>
  </r>
  <r>
    <x v="0"/>
    <x v="9"/>
    <n v="20"/>
    <x v="19"/>
    <d v="2023-09-01T00:00:00"/>
    <n v="0"/>
    <x v="11"/>
  </r>
  <r>
    <x v="0"/>
    <x v="9"/>
    <n v="20"/>
    <x v="19"/>
    <d v="2023-09-01T00:00:00"/>
    <n v="0"/>
    <x v="12"/>
  </r>
  <r>
    <x v="0"/>
    <x v="9"/>
    <n v="21"/>
    <x v="20"/>
    <d v="2023-09-01T00:00:00"/>
    <n v="0"/>
    <x v="0"/>
  </r>
  <r>
    <x v="0"/>
    <x v="9"/>
    <n v="21"/>
    <x v="20"/>
    <d v="2023-09-01T00:00:00"/>
    <n v="0"/>
    <x v="1"/>
  </r>
  <r>
    <x v="0"/>
    <x v="9"/>
    <n v="21"/>
    <x v="20"/>
    <d v="2023-09-01T00:00:00"/>
    <n v="0"/>
    <x v="2"/>
  </r>
  <r>
    <x v="0"/>
    <x v="9"/>
    <n v="21"/>
    <x v="20"/>
    <d v="2023-09-01T00:00:00"/>
    <n v="0"/>
    <x v="3"/>
  </r>
  <r>
    <x v="0"/>
    <x v="9"/>
    <n v="21"/>
    <x v="20"/>
    <d v="2023-09-01T00:00:00"/>
    <n v="0"/>
    <x v="4"/>
  </r>
  <r>
    <x v="0"/>
    <x v="9"/>
    <n v="21"/>
    <x v="20"/>
    <d v="2023-09-01T00:00:00"/>
    <n v="0"/>
    <x v="5"/>
  </r>
  <r>
    <x v="0"/>
    <x v="9"/>
    <n v="21"/>
    <x v="20"/>
    <d v="2023-09-01T00:00:00"/>
    <n v="0"/>
    <x v="6"/>
  </r>
  <r>
    <x v="0"/>
    <x v="9"/>
    <n v="21"/>
    <x v="20"/>
    <d v="2023-09-01T00:00:00"/>
    <n v="0"/>
    <x v="7"/>
  </r>
  <r>
    <x v="0"/>
    <x v="9"/>
    <n v="21"/>
    <x v="20"/>
    <d v="2023-09-01T00:00:00"/>
    <n v="0"/>
    <x v="8"/>
  </r>
  <r>
    <x v="0"/>
    <x v="9"/>
    <n v="21"/>
    <x v="20"/>
    <d v="2023-09-01T00:00:00"/>
    <n v="0"/>
    <x v="9"/>
  </r>
  <r>
    <x v="0"/>
    <x v="9"/>
    <n v="21"/>
    <x v="20"/>
    <d v="2023-09-01T00:00:00"/>
    <n v="0"/>
    <x v="10"/>
  </r>
  <r>
    <x v="0"/>
    <x v="9"/>
    <n v="21"/>
    <x v="20"/>
    <d v="2023-09-01T00:00:00"/>
    <n v="0"/>
    <x v="11"/>
  </r>
  <r>
    <x v="0"/>
    <x v="9"/>
    <n v="21"/>
    <x v="20"/>
    <d v="2023-09-01T00:00:00"/>
    <n v="0"/>
    <x v="12"/>
  </r>
  <r>
    <x v="0"/>
    <x v="9"/>
    <n v="22"/>
    <x v="21"/>
    <d v="2023-09-01T00:00:00"/>
    <n v="388.52"/>
    <x v="0"/>
  </r>
  <r>
    <x v="0"/>
    <x v="9"/>
    <n v="22"/>
    <x v="21"/>
    <d v="2023-09-01T00:00:00"/>
    <n v="388.52"/>
    <x v="1"/>
  </r>
  <r>
    <x v="0"/>
    <x v="9"/>
    <n v="22"/>
    <x v="21"/>
    <d v="2023-09-01T00:00:00"/>
    <n v="465.24"/>
    <x v="2"/>
  </r>
  <r>
    <x v="0"/>
    <x v="9"/>
    <n v="22"/>
    <x v="21"/>
    <d v="2023-09-01T00:00:00"/>
    <n v="414.09"/>
    <x v="3"/>
  </r>
  <r>
    <x v="0"/>
    <x v="9"/>
    <n v="22"/>
    <x v="21"/>
    <d v="2023-09-01T00:00:00"/>
    <n v="414.09"/>
    <x v="4"/>
  </r>
  <r>
    <x v="0"/>
    <x v="9"/>
    <n v="22"/>
    <x v="21"/>
    <d v="2023-09-01T00:00:00"/>
    <n v="414.09"/>
    <x v="5"/>
  </r>
  <r>
    <x v="0"/>
    <x v="9"/>
    <n v="22"/>
    <x v="21"/>
    <d v="2023-09-01T00:00:00"/>
    <n v="414.09"/>
    <x v="6"/>
  </r>
  <r>
    <x v="0"/>
    <x v="9"/>
    <n v="22"/>
    <x v="21"/>
    <d v="2023-09-01T00:00:00"/>
    <n v="414.09"/>
    <x v="7"/>
  </r>
  <r>
    <x v="0"/>
    <x v="9"/>
    <n v="22"/>
    <x v="21"/>
    <d v="2023-09-01T00:00:00"/>
    <n v="414.09"/>
    <x v="8"/>
  </r>
  <r>
    <x v="0"/>
    <x v="9"/>
    <n v="22"/>
    <x v="21"/>
    <d v="2023-09-01T00:00:00"/>
    <n v="414.09"/>
    <x v="9"/>
  </r>
  <r>
    <x v="0"/>
    <x v="9"/>
    <n v="22"/>
    <x v="21"/>
    <d v="2023-09-01T00:00:00"/>
    <n v="414.09"/>
    <x v="10"/>
  </r>
  <r>
    <x v="0"/>
    <x v="9"/>
    <n v="22"/>
    <x v="21"/>
    <d v="2023-09-01T00:00:00"/>
    <n v="414.11"/>
    <x v="11"/>
  </r>
  <r>
    <x v="0"/>
    <x v="9"/>
    <n v="22"/>
    <x v="21"/>
    <d v="2023-09-01T00:00:00"/>
    <n v="4969.1099999999997"/>
    <x v="12"/>
  </r>
  <r>
    <x v="0"/>
    <x v="9"/>
    <n v="23"/>
    <x v="22"/>
    <d v="2023-09-01T00:00:00"/>
    <n v="128.9"/>
    <x v="0"/>
  </r>
  <r>
    <x v="0"/>
    <x v="9"/>
    <n v="23"/>
    <x v="22"/>
    <d v="2023-09-01T00:00:00"/>
    <n v="128.9"/>
    <x v="1"/>
  </r>
  <r>
    <x v="0"/>
    <x v="9"/>
    <n v="23"/>
    <x v="22"/>
    <d v="2023-09-01T00:00:00"/>
    <n v="677.65"/>
    <x v="2"/>
  </r>
  <r>
    <x v="0"/>
    <x v="9"/>
    <n v="23"/>
    <x v="22"/>
    <d v="2023-09-01T00:00:00"/>
    <n v="311.81"/>
    <x v="3"/>
  </r>
  <r>
    <x v="0"/>
    <x v="9"/>
    <n v="23"/>
    <x v="22"/>
    <d v="2023-09-01T00:00:00"/>
    <n v="311.81"/>
    <x v="4"/>
  </r>
  <r>
    <x v="0"/>
    <x v="9"/>
    <n v="23"/>
    <x v="22"/>
    <d v="2023-09-01T00:00:00"/>
    <n v="311.81"/>
    <x v="5"/>
  </r>
  <r>
    <x v="0"/>
    <x v="9"/>
    <n v="23"/>
    <x v="22"/>
    <d v="2023-09-01T00:00:00"/>
    <n v="311.81"/>
    <x v="6"/>
  </r>
  <r>
    <x v="0"/>
    <x v="9"/>
    <n v="23"/>
    <x v="22"/>
    <d v="2023-09-01T00:00:00"/>
    <n v="311.81"/>
    <x v="7"/>
  </r>
  <r>
    <x v="0"/>
    <x v="9"/>
    <n v="23"/>
    <x v="22"/>
    <d v="2023-09-01T00:00:00"/>
    <n v="311.81"/>
    <x v="8"/>
  </r>
  <r>
    <x v="0"/>
    <x v="9"/>
    <n v="23"/>
    <x v="22"/>
    <d v="2023-09-01T00:00:00"/>
    <n v="311.81"/>
    <x v="9"/>
  </r>
  <r>
    <x v="0"/>
    <x v="9"/>
    <n v="23"/>
    <x v="22"/>
    <d v="2023-09-01T00:00:00"/>
    <n v="311.81"/>
    <x v="10"/>
  </r>
  <r>
    <x v="0"/>
    <x v="9"/>
    <n v="23"/>
    <x v="22"/>
    <d v="2023-09-01T00:00:00"/>
    <n v="311.82"/>
    <x v="11"/>
  </r>
  <r>
    <x v="0"/>
    <x v="9"/>
    <n v="23"/>
    <x v="22"/>
    <d v="2023-09-01T00:00:00"/>
    <n v="3741.75"/>
    <x v="12"/>
  </r>
  <r>
    <x v="0"/>
    <x v="9"/>
    <n v="24"/>
    <x v="23"/>
    <d v="2023-09-01T00:00:00"/>
    <n v="0"/>
    <x v="0"/>
  </r>
  <r>
    <x v="0"/>
    <x v="9"/>
    <n v="24"/>
    <x v="23"/>
    <d v="2023-09-01T00:00:00"/>
    <n v="0"/>
    <x v="1"/>
  </r>
  <r>
    <x v="0"/>
    <x v="9"/>
    <n v="24"/>
    <x v="23"/>
    <d v="2023-09-01T00:00:00"/>
    <n v="0"/>
    <x v="2"/>
  </r>
  <r>
    <x v="0"/>
    <x v="9"/>
    <n v="24"/>
    <x v="23"/>
    <d v="2023-09-01T00:00:00"/>
    <n v="0"/>
    <x v="3"/>
  </r>
  <r>
    <x v="0"/>
    <x v="9"/>
    <n v="24"/>
    <x v="23"/>
    <d v="2023-09-01T00:00:00"/>
    <n v="0"/>
    <x v="4"/>
  </r>
  <r>
    <x v="0"/>
    <x v="9"/>
    <n v="24"/>
    <x v="23"/>
    <d v="2023-09-01T00:00:00"/>
    <n v="0"/>
    <x v="5"/>
  </r>
  <r>
    <x v="0"/>
    <x v="9"/>
    <n v="24"/>
    <x v="23"/>
    <d v="2023-09-01T00:00:00"/>
    <n v="0"/>
    <x v="6"/>
  </r>
  <r>
    <x v="0"/>
    <x v="9"/>
    <n v="24"/>
    <x v="23"/>
    <d v="2023-09-01T00:00:00"/>
    <n v="0"/>
    <x v="7"/>
  </r>
  <r>
    <x v="0"/>
    <x v="9"/>
    <n v="24"/>
    <x v="23"/>
    <d v="2023-09-01T00:00:00"/>
    <n v="0"/>
    <x v="8"/>
  </r>
  <r>
    <x v="0"/>
    <x v="9"/>
    <n v="24"/>
    <x v="23"/>
    <d v="2023-09-01T00:00:00"/>
    <n v="0"/>
    <x v="9"/>
  </r>
  <r>
    <x v="0"/>
    <x v="9"/>
    <n v="24"/>
    <x v="23"/>
    <d v="2023-09-01T00:00:00"/>
    <n v="0"/>
    <x v="10"/>
  </r>
  <r>
    <x v="0"/>
    <x v="9"/>
    <n v="24"/>
    <x v="23"/>
    <d v="2023-09-01T00:00:00"/>
    <n v="0"/>
    <x v="11"/>
  </r>
  <r>
    <x v="0"/>
    <x v="9"/>
    <n v="24"/>
    <x v="23"/>
    <d v="2023-09-01T00:00:00"/>
    <n v="0"/>
    <x v="12"/>
  </r>
  <r>
    <x v="0"/>
    <x v="9"/>
    <n v="25"/>
    <x v="24"/>
    <d v="2023-09-01T00:00:00"/>
    <n v="0"/>
    <x v="0"/>
  </r>
  <r>
    <x v="0"/>
    <x v="9"/>
    <n v="25"/>
    <x v="24"/>
    <d v="2023-09-01T00:00:00"/>
    <n v="0"/>
    <x v="1"/>
  </r>
  <r>
    <x v="0"/>
    <x v="9"/>
    <n v="25"/>
    <x v="24"/>
    <d v="2023-09-01T00:00:00"/>
    <n v="0"/>
    <x v="2"/>
  </r>
  <r>
    <x v="0"/>
    <x v="9"/>
    <n v="25"/>
    <x v="24"/>
    <d v="2023-09-01T00:00:00"/>
    <n v="0"/>
    <x v="3"/>
  </r>
  <r>
    <x v="0"/>
    <x v="9"/>
    <n v="25"/>
    <x v="24"/>
    <d v="2023-09-01T00:00:00"/>
    <n v="0"/>
    <x v="4"/>
  </r>
  <r>
    <x v="0"/>
    <x v="9"/>
    <n v="25"/>
    <x v="24"/>
    <d v="2023-09-01T00:00:00"/>
    <n v="0"/>
    <x v="5"/>
  </r>
  <r>
    <x v="0"/>
    <x v="9"/>
    <n v="25"/>
    <x v="24"/>
    <d v="2023-09-01T00:00:00"/>
    <n v="0"/>
    <x v="6"/>
  </r>
  <r>
    <x v="0"/>
    <x v="9"/>
    <n v="25"/>
    <x v="24"/>
    <d v="2023-09-01T00:00:00"/>
    <n v="0"/>
    <x v="7"/>
  </r>
  <r>
    <x v="0"/>
    <x v="9"/>
    <n v="25"/>
    <x v="24"/>
    <d v="2023-09-01T00:00:00"/>
    <n v="0"/>
    <x v="8"/>
  </r>
  <r>
    <x v="0"/>
    <x v="9"/>
    <n v="25"/>
    <x v="24"/>
    <d v="2023-09-01T00:00:00"/>
    <n v="0"/>
    <x v="9"/>
  </r>
  <r>
    <x v="0"/>
    <x v="9"/>
    <n v="25"/>
    <x v="24"/>
    <d v="2023-09-01T00:00:00"/>
    <n v="0"/>
    <x v="10"/>
  </r>
  <r>
    <x v="0"/>
    <x v="9"/>
    <n v="25"/>
    <x v="24"/>
    <d v="2023-09-01T00:00:00"/>
    <n v="0"/>
    <x v="11"/>
  </r>
  <r>
    <x v="0"/>
    <x v="9"/>
    <n v="25"/>
    <x v="24"/>
    <d v="2023-09-01T00:00:00"/>
    <n v="0"/>
    <x v="12"/>
  </r>
  <r>
    <x v="0"/>
    <x v="9"/>
    <n v="26"/>
    <x v="25"/>
    <d v="2023-09-01T00:00:00"/>
    <n v="34748.639999999999"/>
    <x v="0"/>
  </r>
  <r>
    <x v="0"/>
    <x v="9"/>
    <n v="26"/>
    <x v="25"/>
    <d v="2023-09-01T00:00:00"/>
    <n v="35033.519999999997"/>
    <x v="1"/>
  </r>
  <r>
    <x v="0"/>
    <x v="9"/>
    <n v="26"/>
    <x v="25"/>
    <d v="2023-09-01T00:00:00"/>
    <n v="37670.69"/>
    <x v="2"/>
  </r>
  <r>
    <x v="0"/>
    <x v="9"/>
    <n v="26"/>
    <x v="25"/>
    <d v="2023-09-01T00:00:00"/>
    <n v="36719.06"/>
    <x v="3"/>
  </r>
  <r>
    <x v="0"/>
    <x v="9"/>
    <n v="26"/>
    <x v="25"/>
    <d v="2023-09-01T00:00:00"/>
    <n v="35797.54"/>
    <x v="4"/>
  </r>
  <r>
    <x v="0"/>
    <x v="9"/>
    <n v="26"/>
    <x v="25"/>
    <d v="2023-09-01T00:00:00"/>
    <n v="35606.93"/>
    <x v="5"/>
  </r>
  <r>
    <x v="0"/>
    <x v="9"/>
    <n v="26"/>
    <x v="25"/>
    <d v="2023-09-01T00:00:00"/>
    <n v="35326.36"/>
    <x v="6"/>
  </r>
  <r>
    <x v="0"/>
    <x v="9"/>
    <n v="26"/>
    <x v="25"/>
    <d v="2023-09-01T00:00:00"/>
    <n v="35303.620000000003"/>
    <x v="7"/>
  </r>
  <r>
    <x v="0"/>
    <x v="9"/>
    <n v="26"/>
    <x v="25"/>
    <d v="2023-09-01T00:00:00"/>
    <n v="35303.620000000003"/>
    <x v="8"/>
  </r>
  <r>
    <x v="0"/>
    <x v="9"/>
    <n v="26"/>
    <x v="25"/>
    <d v="2023-09-01T00:00:00"/>
    <n v="35303.61"/>
    <x v="9"/>
  </r>
  <r>
    <x v="0"/>
    <x v="9"/>
    <n v="26"/>
    <x v="25"/>
    <d v="2023-09-01T00:00:00"/>
    <n v="35294.5"/>
    <x v="10"/>
  </r>
  <r>
    <x v="0"/>
    <x v="9"/>
    <n v="26"/>
    <x v="25"/>
    <d v="2023-09-01T00:00:00"/>
    <n v="36458.54"/>
    <x v="11"/>
  </r>
  <r>
    <x v="0"/>
    <x v="9"/>
    <n v="26"/>
    <x v="25"/>
    <d v="2023-09-01T00:00:00"/>
    <n v="428566.63"/>
    <x v="12"/>
  </r>
  <r>
    <x v="0"/>
    <x v="9"/>
    <n v="27"/>
    <x v="26"/>
    <d v="2023-09-01T00:00:00"/>
    <n v="-2738.1999999999898"/>
    <x v="0"/>
  </r>
  <r>
    <x v="0"/>
    <x v="9"/>
    <n v="27"/>
    <x v="26"/>
    <d v="2023-09-01T00:00:00"/>
    <n v="-2796.75"/>
    <x v="1"/>
  </r>
  <r>
    <x v="0"/>
    <x v="9"/>
    <n v="27"/>
    <x v="26"/>
    <d v="2023-09-01T00:00:00"/>
    <n v="-2863.16"/>
    <x v="2"/>
  </r>
  <r>
    <x v="0"/>
    <x v="9"/>
    <n v="27"/>
    <x v="26"/>
    <d v="2023-09-01T00:00:00"/>
    <n v="-3033.70999999999"/>
    <x v="3"/>
  </r>
  <r>
    <x v="0"/>
    <x v="9"/>
    <n v="27"/>
    <x v="26"/>
    <d v="2023-09-01T00:00:00"/>
    <n v="-2844.76999999999"/>
    <x v="4"/>
  </r>
  <r>
    <x v="0"/>
    <x v="9"/>
    <n v="27"/>
    <x v="26"/>
    <d v="2023-09-01T00:00:00"/>
    <n v="-2962.9299999999898"/>
    <x v="5"/>
  </r>
  <r>
    <x v="0"/>
    <x v="9"/>
    <n v="27"/>
    <x v="26"/>
    <d v="2023-09-01T00:00:00"/>
    <n v="-2705.6199999999899"/>
    <x v="6"/>
  </r>
  <r>
    <x v="0"/>
    <x v="9"/>
    <n v="27"/>
    <x v="26"/>
    <d v="2023-09-01T00:00:00"/>
    <n v="-2705.6499999999901"/>
    <x v="7"/>
  </r>
  <r>
    <x v="0"/>
    <x v="9"/>
    <n v="27"/>
    <x v="26"/>
    <d v="2023-09-01T00:00:00"/>
    <n v="-2705.6499999999901"/>
    <x v="8"/>
  </r>
  <r>
    <x v="0"/>
    <x v="9"/>
    <n v="27"/>
    <x v="26"/>
    <d v="2023-09-01T00:00:00"/>
    <n v="-2705.6399999999899"/>
    <x v="9"/>
  </r>
  <r>
    <x v="0"/>
    <x v="9"/>
    <n v="27"/>
    <x v="26"/>
    <d v="2023-09-01T00:00:00"/>
    <n v="-2705.6499999999901"/>
    <x v="10"/>
  </r>
  <r>
    <x v="0"/>
    <x v="9"/>
    <n v="27"/>
    <x v="26"/>
    <d v="2023-09-01T00:00:00"/>
    <n v="-2705.6600000000099"/>
    <x v="11"/>
  </r>
  <r>
    <x v="0"/>
    <x v="9"/>
    <n v="27"/>
    <x v="26"/>
    <d v="2023-09-01T00:00:00"/>
    <n v="-33473.389999999898"/>
    <x v="12"/>
  </r>
  <r>
    <x v="0"/>
    <x v="10"/>
    <n v="1"/>
    <x v="3"/>
    <d v="2023-09-01T00:00:00"/>
    <n v="77088.445999999996"/>
    <x v="0"/>
  </r>
  <r>
    <x v="0"/>
    <x v="10"/>
    <n v="1"/>
    <x v="3"/>
    <d v="2023-09-01T00:00:00"/>
    <n v="82064.764999999999"/>
    <x v="1"/>
  </r>
  <r>
    <x v="0"/>
    <x v="10"/>
    <n v="1"/>
    <x v="3"/>
    <d v="2023-09-01T00:00:00"/>
    <n v="100287.122"/>
    <x v="2"/>
  </r>
  <r>
    <x v="0"/>
    <x v="10"/>
    <n v="1"/>
    <x v="3"/>
    <d v="2023-09-01T00:00:00"/>
    <n v="98342.58"/>
    <x v="3"/>
  </r>
  <r>
    <x v="0"/>
    <x v="10"/>
    <n v="1"/>
    <x v="3"/>
    <d v="2023-09-01T00:00:00"/>
    <n v="89992.332999999999"/>
    <x v="4"/>
  </r>
  <r>
    <x v="0"/>
    <x v="10"/>
    <n v="1"/>
    <x v="3"/>
    <d v="2023-09-01T00:00:00"/>
    <n v="88998.823000000004"/>
    <x v="5"/>
  </r>
  <r>
    <x v="0"/>
    <x v="10"/>
    <n v="1"/>
    <x v="3"/>
    <d v="2023-09-01T00:00:00"/>
    <n v="92397.115806666698"/>
    <x v="6"/>
  </r>
  <r>
    <x v="0"/>
    <x v="10"/>
    <n v="1"/>
    <x v="3"/>
    <d v="2023-09-01T00:00:00"/>
    <n v="95056.115806666698"/>
    <x v="7"/>
  </r>
  <r>
    <x v="0"/>
    <x v="10"/>
    <n v="1"/>
    <x v="3"/>
    <d v="2023-09-01T00:00:00"/>
    <n v="95314.115806666698"/>
    <x v="8"/>
  </r>
  <r>
    <x v="0"/>
    <x v="10"/>
    <n v="1"/>
    <x v="3"/>
    <d v="2023-09-01T00:00:00"/>
    <n v="96056.115806666698"/>
    <x v="9"/>
  </r>
  <r>
    <x v="0"/>
    <x v="10"/>
    <n v="1"/>
    <x v="3"/>
    <d v="2023-09-01T00:00:00"/>
    <n v="95278.115806666698"/>
    <x v="10"/>
  </r>
  <r>
    <x v="0"/>
    <x v="10"/>
    <n v="1"/>
    <x v="3"/>
    <d v="2023-09-01T00:00:00"/>
    <n v="143897.35196666699"/>
    <x v="11"/>
  </r>
  <r>
    <x v="0"/>
    <x v="10"/>
    <n v="1"/>
    <x v="3"/>
    <d v="2023-09-01T00:00:00"/>
    <n v="1154773"/>
    <x v="12"/>
  </r>
  <r>
    <x v="0"/>
    <x v="10"/>
    <n v="2"/>
    <x v="4"/>
    <d v="2023-09-01T00:00:00"/>
    <n v="0"/>
    <x v="0"/>
  </r>
  <r>
    <x v="0"/>
    <x v="10"/>
    <n v="2"/>
    <x v="4"/>
    <d v="2023-09-01T00:00:00"/>
    <n v="0"/>
    <x v="1"/>
  </r>
  <r>
    <x v="0"/>
    <x v="10"/>
    <n v="2"/>
    <x v="4"/>
    <d v="2023-09-01T00:00:00"/>
    <n v="0"/>
    <x v="2"/>
  </r>
  <r>
    <x v="0"/>
    <x v="10"/>
    <n v="2"/>
    <x v="4"/>
    <d v="2023-09-01T00:00:00"/>
    <n v="0"/>
    <x v="3"/>
  </r>
  <r>
    <x v="0"/>
    <x v="10"/>
    <n v="2"/>
    <x v="4"/>
    <d v="2023-09-01T00:00:00"/>
    <n v="0"/>
    <x v="4"/>
  </r>
  <r>
    <x v="0"/>
    <x v="10"/>
    <n v="2"/>
    <x v="4"/>
    <d v="2023-09-01T00:00:00"/>
    <n v="0"/>
    <x v="5"/>
  </r>
  <r>
    <x v="0"/>
    <x v="10"/>
    <n v="2"/>
    <x v="4"/>
    <d v="2023-09-01T00:00:00"/>
    <n v="0"/>
    <x v="6"/>
  </r>
  <r>
    <x v="0"/>
    <x v="10"/>
    <n v="2"/>
    <x v="4"/>
    <d v="2023-09-01T00:00:00"/>
    <n v="0"/>
    <x v="7"/>
  </r>
  <r>
    <x v="0"/>
    <x v="10"/>
    <n v="2"/>
    <x v="4"/>
    <d v="2023-09-01T00:00:00"/>
    <n v="0"/>
    <x v="8"/>
  </r>
  <r>
    <x v="0"/>
    <x v="10"/>
    <n v="2"/>
    <x v="4"/>
    <d v="2023-09-01T00:00:00"/>
    <n v="0"/>
    <x v="9"/>
  </r>
  <r>
    <x v="0"/>
    <x v="10"/>
    <n v="2"/>
    <x v="4"/>
    <d v="2023-09-01T00:00:00"/>
    <n v="0"/>
    <x v="10"/>
  </r>
  <r>
    <x v="0"/>
    <x v="10"/>
    <n v="2"/>
    <x v="4"/>
    <d v="2023-09-01T00:00:00"/>
    <n v="284"/>
    <x v="11"/>
  </r>
  <r>
    <x v="0"/>
    <x v="10"/>
    <n v="2"/>
    <x v="4"/>
    <d v="2023-09-01T00:00:00"/>
    <n v="284"/>
    <x v="12"/>
  </r>
  <r>
    <x v="0"/>
    <x v="10"/>
    <n v="3"/>
    <x v="5"/>
    <d v="2023-09-01T00:00:00"/>
    <n v="8549.2340000000004"/>
    <x v="0"/>
  </r>
  <r>
    <x v="0"/>
    <x v="10"/>
    <n v="3"/>
    <x v="5"/>
    <d v="2023-09-01T00:00:00"/>
    <n v="8928.1039999999994"/>
    <x v="1"/>
  </r>
  <r>
    <x v="0"/>
    <x v="10"/>
    <n v="3"/>
    <x v="5"/>
    <d v="2023-09-01T00:00:00"/>
    <n v="9295.42"/>
    <x v="2"/>
  </r>
  <r>
    <x v="0"/>
    <x v="10"/>
    <n v="3"/>
    <x v="5"/>
    <d v="2023-09-01T00:00:00"/>
    <n v="9331.7189999999991"/>
    <x v="3"/>
  </r>
  <r>
    <x v="0"/>
    <x v="10"/>
    <n v="3"/>
    <x v="5"/>
    <d v="2023-09-01T00:00:00"/>
    <n v="9272.5130000000008"/>
    <x v="4"/>
  </r>
  <r>
    <x v="0"/>
    <x v="10"/>
    <n v="3"/>
    <x v="5"/>
    <d v="2023-09-01T00:00:00"/>
    <n v="8759.9320000000007"/>
    <x v="5"/>
  </r>
  <r>
    <x v="0"/>
    <x v="10"/>
    <n v="3"/>
    <x v="5"/>
    <d v="2023-09-01T00:00:00"/>
    <n v="8975.4259999999995"/>
    <x v="6"/>
  </r>
  <r>
    <x v="0"/>
    <x v="10"/>
    <n v="3"/>
    <x v="5"/>
    <d v="2023-09-01T00:00:00"/>
    <n v="8945.6530000000002"/>
    <x v="7"/>
  </r>
  <r>
    <x v="0"/>
    <x v="10"/>
    <n v="3"/>
    <x v="5"/>
    <d v="2023-09-01T00:00:00"/>
    <n v="8928.9770000000008"/>
    <x v="8"/>
  </r>
  <r>
    <x v="0"/>
    <x v="10"/>
    <n v="3"/>
    <x v="5"/>
    <d v="2023-09-01T00:00:00"/>
    <n v="8928.9770000000008"/>
    <x v="9"/>
  </r>
  <r>
    <x v="0"/>
    <x v="10"/>
    <n v="3"/>
    <x v="5"/>
    <d v="2023-09-01T00:00:00"/>
    <n v="8938.9770000000008"/>
    <x v="10"/>
  </r>
  <r>
    <x v="0"/>
    <x v="10"/>
    <n v="3"/>
    <x v="5"/>
    <d v="2023-09-01T00:00:00"/>
    <n v="9013.9140000000007"/>
    <x v="11"/>
  </r>
  <r>
    <x v="0"/>
    <x v="10"/>
    <n v="3"/>
    <x v="5"/>
    <d v="2023-09-01T00:00:00"/>
    <n v="107868.84600000001"/>
    <x v="12"/>
  </r>
  <r>
    <x v="0"/>
    <x v="10"/>
    <n v="4"/>
    <x v="6"/>
    <d v="2023-09-01T00:00:00"/>
    <n v="10852.953"/>
    <x v="0"/>
  </r>
  <r>
    <x v="0"/>
    <x v="10"/>
    <n v="4"/>
    <x v="6"/>
    <d v="2023-09-01T00:00:00"/>
    <n v="10912.662"/>
    <x v="1"/>
  </r>
  <r>
    <x v="0"/>
    <x v="10"/>
    <n v="4"/>
    <x v="6"/>
    <d v="2023-09-01T00:00:00"/>
    <n v="10813.691000000001"/>
    <x v="2"/>
  </r>
  <r>
    <x v="0"/>
    <x v="10"/>
    <n v="4"/>
    <x v="6"/>
    <d v="2023-09-01T00:00:00"/>
    <n v="12855.73"/>
    <x v="3"/>
  </r>
  <r>
    <x v="0"/>
    <x v="10"/>
    <n v="4"/>
    <x v="6"/>
    <d v="2023-09-01T00:00:00"/>
    <n v="11094.652"/>
    <x v="4"/>
  </r>
  <r>
    <x v="0"/>
    <x v="10"/>
    <n v="4"/>
    <x v="6"/>
    <d v="2023-09-01T00:00:00"/>
    <n v="11326.329"/>
    <x v="5"/>
  </r>
  <r>
    <x v="0"/>
    <x v="10"/>
    <n v="4"/>
    <x v="6"/>
    <d v="2023-09-01T00:00:00"/>
    <n v="11731.041999999999"/>
    <x v="6"/>
  </r>
  <r>
    <x v="0"/>
    <x v="10"/>
    <n v="4"/>
    <x v="6"/>
    <d v="2023-09-01T00:00:00"/>
    <n v="11305.821"/>
    <x v="7"/>
  </r>
  <r>
    <x v="0"/>
    <x v="10"/>
    <n v="4"/>
    <x v="6"/>
    <d v="2023-09-01T00:00:00"/>
    <n v="11305.821"/>
    <x v="8"/>
  </r>
  <r>
    <x v="0"/>
    <x v="10"/>
    <n v="4"/>
    <x v="6"/>
    <d v="2023-09-01T00:00:00"/>
    <n v="11305.821"/>
    <x v="9"/>
  </r>
  <r>
    <x v="0"/>
    <x v="10"/>
    <n v="4"/>
    <x v="6"/>
    <d v="2023-09-01T00:00:00"/>
    <n v="11305.821"/>
    <x v="10"/>
  </r>
  <r>
    <x v="0"/>
    <x v="10"/>
    <n v="4"/>
    <x v="6"/>
    <d v="2023-09-01T00:00:00"/>
    <n v="11306.098"/>
    <x v="11"/>
  </r>
  <r>
    <x v="0"/>
    <x v="10"/>
    <n v="4"/>
    <x v="6"/>
    <d v="2023-09-01T00:00:00"/>
    <n v="136116.44099999999"/>
    <x v="12"/>
  </r>
  <r>
    <x v="0"/>
    <x v="10"/>
    <n v="5"/>
    <x v="7"/>
    <d v="2023-09-01T00:00:00"/>
    <n v="37.262"/>
    <x v="0"/>
  </r>
  <r>
    <x v="0"/>
    <x v="10"/>
    <n v="5"/>
    <x v="7"/>
    <d v="2023-09-01T00:00:00"/>
    <n v="66.459000000000003"/>
    <x v="1"/>
  </r>
  <r>
    <x v="0"/>
    <x v="10"/>
    <n v="5"/>
    <x v="7"/>
    <d v="2023-09-01T00:00:00"/>
    <n v="66.381"/>
    <x v="2"/>
  </r>
  <r>
    <x v="0"/>
    <x v="10"/>
    <n v="5"/>
    <x v="7"/>
    <d v="2023-09-01T00:00:00"/>
    <n v="63.152999999999999"/>
    <x v="3"/>
  </r>
  <r>
    <x v="0"/>
    <x v="10"/>
    <n v="5"/>
    <x v="7"/>
    <d v="2023-09-01T00:00:00"/>
    <n v="76.486000000000004"/>
    <x v="4"/>
  </r>
  <r>
    <x v="0"/>
    <x v="10"/>
    <n v="5"/>
    <x v="7"/>
    <d v="2023-09-01T00:00:00"/>
    <n v="68.122"/>
    <x v="5"/>
  </r>
  <r>
    <x v="0"/>
    <x v="10"/>
    <n v="5"/>
    <x v="7"/>
    <d v="2023-09-01T00:00:00"/>
    <n v="295.85700000000003"/>
    <x v="6"/>
  </r>
  <r>
    <x v="0"/>
    <x v="10"/>
    <n v="5"/>
    <x v="7"/>
    <d v="2023-09-01T00:00:00"/>
    <n v="70.915999999999997"/>
    <x v="7"/>
  </r>
  <r>
    <x v="0"/>
    <x v="10"/>
    <n v="5"/>
    <x v="7"/>
    <d v="2023-09-01T00:00:00"/>
    <n v="70.915999999999997"/>
    <x v="8"/>
  </r>
  <r>
    <x v="0"/>
    <x v="10"/>
    <n v="5"/>
    <x v="7"/>
    <d v="2023-09-01T00:00:00"/>
    <n v="70.915999999999997"/>
    <x v="9"/>
  </r>
  <r>
    <x v="0"/>
    <x v="10"/>
    <n v="5"/>
    <x v="7"/>
    <d v="2023-09-01T00:00:00"/>
    <n v="70.915999999999997"/>
    <x v="10"/>
  </r>
  <r>
    <x v="0"/>
    <x v="10"/>
    <n v="5"/>
    <x v="7"/>
    <d v="2023-09-01T00:00:00"/>
    <n v="70.938999999999993"/>
    <x v="11"/>
  </r>
  <r>
    <x v="0"/>
    <x v="10"/>
    <n v="5"/>
    <x v="7"/>
    <d v="2023-09-01T00:00:00"/>
    <n v="1028.3230000000001"/>
    <x v="12"/>
  </r>
  <r>
    <x v="0"/>
    <x v="10"/>
    <n v="6"/>
    <x v="8"/>
    <d v="2023-09-01T00:00:00"/>
    <n v="3215.85"/>
    <x v="0"/>
  </r>
  <r>
    <x v="0"/>
    <x v="10"/>
    <n v="6"/>
    <x v="8"/>
    <d v="2023-09-01T00:00:00"/>
    <n v="3647.3679999999999"/>
    <x v="1"/>
  </r>
  <r>
    <x v="0"/>
    <x v="10"/>
    <n v="6"/>
    <x v="8"/>
    <d v="2023-09-01T00:00:00"/>
    <n v="3689.9490000000001"/>
    <x v="2"/>
  </r>
  <r>
    <x v="0"/>
    <x v="10"/>
    <n v="6"/>
    <x v="8"/>
    <d v="2023-09-01T00:00:00"/>
    <n v="3635.221"/>
    <x v="3"/>
  </r>
  <r>
    <x v="0"/>
    <x v="10"/>
    <n v="6"/>
    <x v="8"/>
    <d v="2023-09-01T00:00:00"/>
    <n v="3385.0540000000001"/>
    <x v="4"/>
  </r>
  <r>
    <x v="0"/>
    <x v="10"/>
    <n v="6"/>
    <x v="8"/>
    <d v="2023-09-01T00:00:00"/>
    <n v="4005.4319999999998"/>
    <x v="5"/>
  </r>
  <r>
    <x v="0"/>
    <x v="10"/>
    <n v="6"/>
    <x v="8"/>
    <d v="2023-09-01T00:00:00"/>
    <n v="4307.1909999999998"/>
    <x v="6"/>
  </r>
  <r>
    <x v="0"/>
    <x v="10"/>
    <n v="6"/>
    <x v="8"/>
    <d v="2023-09-01T00:00:00"/>
    <n v="3256.15"/>
    <x v="7"/>
  </r>
  <r>
    <x v="0"/>
    <x v="10"/>
    <n v="6"/>
    <x v="8"/>
    <d v="2023-09-01T00:00:00"/>
    <n v="3248.9810000000002"/>
    <x v="8"/>
  </r>
  <r>
    <x v="0"/>
    <x v="10"/>
    <n v="6"/>
    <x v="8"/>
    <d v="2023-09-01T00:00:00"/>
    <n v="3257.8249999999998"/>
    <x v="9"/>
  </r>
  <r>
    <x v="0"/>
    <x v="10"/>
    <n v="6"/>
    <x v="8"/>
    <d v="2023-09-01T00:00:00"/>
    <n v="3257.8249999999998"/>
    <x v="10"/>
  </r>
  <r>
    <x v="0"/>
    <x v="10"/>
    <n v="6"/>
    <x v="8"/>
    <d v="2023-09-01T00:00:00"/>
    <n v="2979.4009999999998"/>
    <x v="11"/>
  </r>
  <r>
    <x v="0"/>
    <x v="10"/>
    <n v="6"/>
    <x v="8"/>
    <d v="2023-09-01T00:00:00"/>
    <n v="41886.247000000003"/>
    <x v="12"/>
  </r>
  <r>
    <x v="0"/>
    <x v="10"/>
    <n v="7"/>
    <x v="9"/>
    <d v="2023-09-01T00:00:00"/>
    <n v="99743.744999999995"/>
    <x v="0"/>
  </r>
  <r>
    <x v="0"/>
    <x v="10"/>
    <n v="7"/>
    <x v="9"/>
    <d v="2023-09-01T00:00:00"/>
    <n v="105619.35799999999"/>
    <x v="1"/>
  </r>
  <r>
    <x v="0"/>
    <x v="10"/>
    <n v="7"/>
    <x v="9"/>
    <d v="2023-09-01T00:00:00"/>
    <n v="124152.56299999999"/>
    <x v="2"/>
  </r>
  <r>
    <x v="0"/>
    <x v="10"/>
    <n v="7"/>
    <x v="9"/>
    <d v="2023-09-01T00:00:00"/>
    <n v="124228.40300000001"/>
    <x v="3"/>
  </r>
  <r>
    <x v="0"/>
    <x v="10"/>
    <n v="7"/>
    <x v="9"/>
    <d v="2023-09-01T00:00:00"/>
    <n v="113821.038"/>
    <x v="4"/>
  </r>
  <r>
    <x v="0"/>
    <x v="10"/>
    <n v="7"/>
    <x v="9"/>
    <d v="2023-09-01T00:00:00"/>
    <n v="113158.63800000001"/>
    <x v="5"/>
  </r>
  <r>
    <x v="0"/>
    <x v="10"/>
    <n v="7"/>
    <x v="9"/>
    <d v="2023-09-01T00:00:00"/>
    <n v="117706.63180666701"/>
    <x v="6"/>
  </r>
  <r>
    <x v="0"/>
    <x v="10"/>
    <n v="7"/>
    <x v="9"/>
    <d v="2023-09-01T00:00:00"/>
    <n v="118634.655806667"/>
    <x v="7"/>
  </r>
  <r>
    <x v="0"/>
    <x v="10"/>
    <n v="7"/>
    <x v="9"/>
    <d v="2023-09-01T00:00:00"/>
    <n v="118868.810806667"/>
    <x v="8"/>
  </r>
  <r>
    <x v="0"/>
    <x v="10"/>
    <n v="7"/>
    <x v="9"/>
    <d v="2023-09-01T00:00:00"/>
    <n v="119619.65480666699"/>
    <x v="9"/>
  </r>
  <r>
    <x v="0"/>
    <x v="10"/>
    <n v="7"/>
    <x v="9"/>
    <d v="2023-09-01T00:00:00"/>
    <n v="118851.65480666699"/>
    <x v="10"/>
  </r>
  <r>
    <x v="0"/>
    <x v="10"/>
    <n v="7"/>
    <x v="9"/>
    <d v="2023-09-01T00:00:00"/>
    <n v="167551.703966667"/>
    <x v="11"/>
  </r>
  <r>
    <x v="0"/>
    <x v="10"/>
    <n v="7"/>
    <x v="9"/>
    <d v="2023-09-01T00:00:00"/>
    <n v="1441956.8570000001"/>
    <x v="12"/>
  </r>
  <r>
    <x v="0"/>
    <x v="10"/>
    <n v="9"/>
    <x v="10"/>
    <d v="2023-09-01T00:00:00"/>
    <n v="6758.3729999999996"/>
    <x v="0"/>
  </r>
  <r>
    <x v="0"/>
    <x v="10"/>
    <n v="9"/>
    <x v="10"/>
    <d v="2023-09-01T00:00:00"/>
    <n v="7596.64"/>
    <x v="1"/>
  </r>
  <r>
    <x v="0"/>
    <x v="10"/>
    <n v="9"/>
    <x v="10"/>
    <d v="2023-09-01T00:00:00"/>
    <n v="7234.2659999999996"/>
    <x v="2"/>
  </r>
  <r>
    <x v="0"/>
    <x v="10"/>
    <n v="9"/>
    <x v="10"/>
    <d v="2023-09-01T00:00:00"/>
    <n v="7691.0339999999997"/>
    <x v="3"/>
  </r>
  <r>
    <x v="0"/>
    <x v="10"/>
    <n v="9"/>
    <x v="10"/>
    <d v="2023-09-01T00:00:00"/>
    <n v="7961.1970000000001"/>
    <x v="4"/>
  </r>
  <r>
    <x v="0"/>
    <x v="10"/>
    <n v="9"/>
    <x v="10"/>
    <d v="2023-09-01T00:00:00"/>
    <n v="7039.3019999999997"/>
    <x v="5"/>
  </r>
  <r>
    <x v="0"/>
    <x v="10"/>
    <n v="9"/>
    <x v="10"/>
    <d v="2023-09-01T00:00:00"/>
    <n v="6854.9650000000001"/>
    <x v="6"/>
  </r>
  <r>
    <x v="0"/>
    <x v="10"/>
    <n v="9"/>
    <x v="10"/>
    <d v="2023-09-01T00:00:00"/>
    <n v="6854.9650000000001"/>
    <x v="7"/>
  </r>
  <r>
    <x v="0"/>
    <x v="10"/>
    <n v="9"/>
    <x v="10"/>
    <d v="2023-09-01T00:00:00"/>
    <n v="6854.9650000000001"/>
    <x v="8"/>
  </r>
  <r>
    <x v="0"/>
    <x v="10"/>
    <n v="9"/>
    <x v="10"/>
    <d v="2023-09-01T00:00:00"/>
    <n v="6854.9650000000001"/>
    <x v="9"/>
  </r>
  <r>
    <x v="0"/>
    <x v="10"/>
    <n v="9"/>
    <x v="10"/>
    <d v="2023-09-01T00:00:00"/>
    <n v="6854.9650000000001"/>
    <x v="10"/>
  </r>
  <r>
    <x v="0"/>
    <x v="10"/>
    <n v="9"/>
    <x v="10"/>
    <d v="2023-09-01T00:00:00"/>
    <n v="6905.31"/>
    <x v="11"/>
  </r>
  <r>
    <x v="0"/>
    <x v="10"/>
    <n v="9"/>
    <x v="10"/>
    <d v="2023-09-01T00:00:00"/>
    <n v="85460.947"/>
    <x v="12"/>
  </r>
  <r>
    <x v="0"/>
    <x v="10"/>
    <n v="10"/>
    <x v="0"/>
    <d v="2023-09-01T00:00:00"/>
    <n v="54145.180999999997"/>
    <x v="0"/>
  </r>
  <r>
    <x v="0"/>
    <x v="10"/>
    <n v="10"/>
    <x v="0"/>
    <d v="2023-09-01T00:00:00"/>
    <n v="58136.858"/>
    <x v="1"/>
  </r>
  <r>
    <x v="0"/>
    <x v="10"/>
    <n v="10"/>
    <x v="0"/>
    <d v="2023-09-01T00:00:00"/>
    <n v="70330.335999999996"/>
    <x v="2"/>
  </r>
  <r>
    <x v="0"/>
    <x v="10"/>
    <n v="10"/>
    <x v="0"/>
    <d v="2023-09-01T00:00:00"/>
    <n v="71803.997000000003"/>
    <x v="3"/>
  </r>
  <r>
    <x v="0"/>
    <x v="10"/>
    <n v="10"/>
    <x v="0"/>
    <d v="2023-09-01T00:00:00"/>
    <n v="59340.930999999997"/>
    <x v="4"/>
  </r>
  <r>
    <x v="0"/>
    <x v="10"/>
    <n v="10"/>
    <x v="0"/>
    <d v="2023-09-01T00:00:00"/>
    <n v="59220.523999999998"/>
    <x v="5"/>
  </r>
  <r>
    <x v="0"/>
    <x v="10"/>
    <n v="10"/>
    <x v="0"/>
    <d v="2023-09-01T00:00:00"/>
    <n v="59074.830880833302"/>
    <x v="6"/>
  </r>
  <r>
    <x v="0"/>
    <x v="10"/>
    <n v="10"/>
    <x v="0"/>
    <d v="2023-09-01T00:00:00"/>
    <n v="59055.399880833298"/>
    <x v="7"/>
  </r>
  <r>
    <x v="0"/>
    <x v="10"/>
    <n v="10"/>
    <x v="0"/>
    <d v="2023-09-01T00:00:00"/>
    <n v="59045.179880833297"/>
    <x v="8"/>
  </r>
  <r>
    <x v="0"/>
    <x v="10"/>
    <n v="10"/>
    <x v="0"/>
    <d v="2023-09-01T00:00:00"/>
    <n v="59188.913880833301"/>
    <x v="9"/>
  </r>
  <r>
    <x v="0"/>
    <x v="10"/>
    <n v="10"/>
    <x v="0"/>
    <d v="2023-09-01T00:00:00"/>
    <n v="59091.361880833298"/>
    <x v="10"/>
  </r>
  <r>
    <x v="0"/>
    <x v="10"/>
    <n v="10"/>
    <x v="0"/>
    <d v="2023-09-01T00:00:00"/>
    <n v="59186.4458808333"/>
    <x v="11"/>
  </r>
  <r>
    <x v="0"/>
    <x v="10"/>
    <n v="10"/>
    <x v="0"/>
    <d v="2023-09-01T00:00:00"/>
    <n v="727619.95928499999"/>
    <x v="12"/>
  </r>
  <r>
    <x v="0"/>
    <x v="10"/>
    <n v="11"/>
    <x v="1"/>
    <d v="2023-09-01T00:00:00"/>
    <n v="11225.135"/>
    <x v="0"/>
  </r>
  <r>
    <x v="0"/>
    <x v="10"/>
    <n v="11"/>
    <x v="1"/>
    <d v="2023-09-01T00:00:00"/>
    <n v="10959.656000000001"/>
    <x v="1"/>
  </r>
  <r>
    <x v="0"/>
    <x v="10"/>
    <n v="11"/>
    <x v="1"/>
    <d v="2023-09-01T00:00:00"/>
    <n v="12586.065000000001"/>
    <x v="2"/>
  </r>
  <r>
    <x v="0"/>
    <x v="10"/>
    <n v="11"/>
    <x v="1"/>
    <d v="2023-09-01T00:00:00"/>
    <n v="12081.285"/>
    <x v="3"/>
  </r>
  <r>
    <x v="0"/>
    <x v="10"/>
    <n v="11"/>
    <x v="1"/>
    <d v="2023-09-01T00:00:00"/>
    <n v="11774.906000000001"/>
    <x v="4"/>
  </r>
  <r>
    <x v="0"/>
    <x v="10"/>
    <n v="11"/>
    <x v="1"/>
    <d v="2023-09-01T00:00:00"/>
    <n v="13086.627"/>
    <x v="5"/>
  </r>
  <r>
    <x v="0"/>
    <x v="10"/>
    <n v="11"/>
    <x v="1"/>
    <d v="2023-09-01T00:00:00"/>
    <n v="13523.0757369805"/>
    <x v="6"/>
  </r>
  <r>
    <x v="0"/>
    <x v="10"/>
    <n v="11"/>
    <x v="1"/>
    <d v="2023-09-01T00:00:00"/>
    <n v="11475.0157369805"/>
    <x v="7"/>
  </r>
  <r>
    <x v="0"/>
    <x v="10"/>
    <n v="11"/>
    <x v="1"/>
    <d v="2023-09-01T00:00:00"/>
    <n v="11402.9887369805"/>
    <x v="8"/>
  </r>
  <r>
    <x v="0"/>
    <x v="10"/>
    <n v="11"/>
    <x v="1"/>
    <d v="2023-09-01T00:00:00"/>
    <n v="11403.4320703139"/>
    <x v="9"/>
  </r>
  <r>
    <x v="0"/>
    <x v="10"/>
    <n v="11"/>
    <x v="1"/>
    <d v="2023-09-01T00:00:00"/>
    <n v="11042.4830703138"/>
    <x v="10"/>
  </r>
  <r>
    <x v="0"/>
    <x v="10"/>
    <n v="11"/>
    <x v="1"/>
    <d v="2023-09-01T00:00:00"/>
    <n v="43994.187730313897"/>
    <x v="11"/>
  </r>
  <r>
    <x v="0"/>
    <x v="10"/>
    <n v="11"/>
    <x v="1"/>
    <d v="2023-09-01T00:00:00"/>
    <n v="174554.857081883"/>
    <x v="12"/>
  </r>
  <r>
    <x v="0"/>
    <x v="10"/>
    <n v="12"/>
    <x v="2"/>
    <d v="2023-09-01T00:00:00"/>
    <n v="5428.5649999999996"/>
    <x v="0"/>
  </r>
  <r>
    <x v="0"/>
    <x v="10"/>
    <n v="12"/>
    <x v="2"/>
    <d v="2023-09-01T00:00:00"/>
    <n v="6817.8760000000002"/>
    <x v="1"/>
  </r>
  <r>
    <x v="0"/>
    <x v="10"/>
    <n v="12"/>
    <x v="2"/>
    <d v="2023-09-01T00:00:00"/>
    <n v="6594.8680000000004"/>
    <x v="2"/>
  </r>
  <r>
    <x v="0"/>
    <x v="10"/>
    <n v="12"/>
    <x v="2"/>
    <d v="2023-09-01T00:00:00"/>
    <n v="6639.8580000000002"/>
    <x v="3"/>
  </r>
  <r>
    <x v="0"/>
    <x v="10"/>
    <n v="12"/>
    <x v="2"/>
    <d v="2023-09-01T00:00:00"/>
    <n v="6582.1090000000004"/>
    <x v="4"/>
  </r>
  <r>
    <x v="0"/>
    <x v="10"/>
    <n v="12"/>
    <x v="2"/>
    <d v="2023-09-01T00:00:00"/>
    <n v="6362.308"/>
    <x v="5"/>
  </r>
  <r>
    <x v="0"/>
    <x v="10"/>
    <n v="12"/>
    <x v="2"/>
    <d v="2023-09-01T00:00:00"/>
    <n v="7133.1902499999997"/>
    <x v="6"/>
  </r>
  <r>
    <x v="0"/>
    <x v="10"/>
    <n v="12"/>
    <x v="2"/>
    <d v="2023-09-01T00:00:00"/>
    <n v="7131.9502499999999"/>
    <x v="7"/>
  </r>
  <r>
    <x v="0"/>
    <x v="10"/>
    <n v="12"/>
    <x v="2"/>
    <d v="2023-09-01T00:00:00"/>
    <n v="7131.9512500000001"/>
    <x v="8"/>
  </r>
  <r>
    <x v="0"/>
    <x v="10"/>
    <n v="12"/>
    <x v="2"/>
    <d v="2023-09-01T00:00:00"/>
    <n v="7131.5782499999996"/>
    <x v="9"/>
  </r>
  <r>
    <x v="0"/>
    <x v="10"/>
    <n v="12"/>
    <x v="2"/>
    <d v="2023-09-01T00:00:00"/>
    <n v="7131.5782499999996"/>
    <x v="10"/>
  </r>
  <r>
    <x v="0"/>
    <x v="10"/>
    <n v="12"/>
    <x v="2"/>
    <d v="2023-09-01T00:00:00"/>
    <n v="7116.6582500000004"/>
    <x v="11"/>
  </r>
  <r>
    <x v="0"/>
    <x v="10"/>
    <n v="12"/>
    <x v="2"/>
    <d v="2023-09-01T00:00:00"/>
    <n v="81202.4905"/>
    <x v="12"/>
  </r>
  <r>
    <x v="0"/>
    <x v="10"/>
    <n v="8"/>
    <x v="11"/>
    <d v="2023-09-01T00:00:00"/>
    <n v="9864.3369999999995"/>
    <x v="0"/>
  </r>
  <r>
    <x v="0"/>
    <x v="10"/>
    <n v="8"/>
    <x v="11"/>
    <d v="2023-09-01T00:00:00"/>
    <n v="10014.778"/>
    <x v="1"/>
  </r>
  <r>
    <x v="0"/>
    <x v="10"/>
    <n v="8"/>
    <x v="11"/>
    <d v="2023-09-01T00:00:00"/>
    <n v="10108.807000000001"/>
    <x v="2"/>
  </r>
  <r>
    <x v="0"/>
    <x v="10"/>
    <n v="8"/>
    <x v="11"/>
    <d v="2023-09-01T00:00:00"/>
    <n v="9742.0460000000003"/>
    <x v="3"/>
  </r>
  <r>
    <x v="0"/>
    <x v="10"/>
    <n v="8"/>
    <x v="11"/>
    <d v="2023-09-01T00:00:00"/>
    <n v="9531.2430000000004"/>
    <x v="4"/>
  </r>
  <r>
    <x v="0"/>
    <x v="10"/>
    <n v="8"/>
    <x v="11"/>
    <d v="2023-09-01T00:00:00"/>
    <n v="9827.1749999999993"/>
    <x v="5"/>
  </r>
  <r>
    <x v="0"/>
    <x v="10"/>
    <n v="8"/>
    <x v="11"/>
    <d v="2023-09-01T00:00:00"/>
    <n v="9578.0319999999992"/>
    <x v="6"/>
  </r>
  <r>
    <x v="0"/>
    <x v="10"/>
    <n v="8"/>
    <x v="11"/>
    <d v="2023-09-01T00:00:00"/>
    <n v="9567.2340000000004"/>
    <x v="7"/>
  </r>
  <r>
    <x v="0"/>
    <x v="10"/>
    <n v="8"/>
    <x v="11"/>
    <d v="2023-09-01T00:00:00"/>
    <n v="9567.2340000000004"/>
    <x v="8"/>
  </r>
  <r>
    <x v="0"/>
    <x v="10"/>
    <n v="8"/>
    <x v="11"/>
    <d v="2023-09-01T00:00:00"/>
    <n v="9567.3029999999999"/>
    <x v="9"/>
  </r>
  <r>
    <x v="0"/>
    <x v="10"/>
    <n v="8"/>
    <x v="11"/>
    <d v="2023-09-01T00:00:00"/>
    <n v="9567.3169999999991"/>
    <x v="10"/>
  </r>
  <r>
    <x v="0"/>
    <x v="10"/>
    <n v="8"/>
    <x v="11"/>
    <d v="2023-09-01T00:00:00"/>
    <n v="12391.075000000001"/>
    <x v="11"/>
  </r>
  <r>
    <x v="0"/>
    <x v="10"/>
    <n v="8"/>
    <x v="11"/>
    <d v="2023-09-01T00:00:00"/>
    <n v="119326.58100000001"/>
    <x v="12"/>
  </r>
  <r>
    <x v="0"/>
    <x v="10"/>
    <n v="13"/>
    <x v="12"/>
    <d v="2023-09-01T00:00:00"/>
    <n v="14640.498"/>
    <x v="0"/>
  </r>
  <r>
    <x v="0"/>
    <x v="10"/>
    <n v="13"/>
    <x v="12"/>
    <d v="2023-09-01T00:00:00"/>
    <n v="14682.698"/>
    <x v="1"/>
  </r>
  <r>
    <x v="0"/>
    <x v="10"/>
    <n v="13"/>
    <x v="12"/>
    <d v="2023-09-01T00:00:00"/>
    <n v="14597.315000000001"/>
    <x v="2"/>
  </r>
  <r>
    <x v="0"/>
    <x v="10"/>
    <n v="13"/>
    <x v="12"/>
    <d v="2023-09-01T00:00:00"/>
    <n v="14931.314"/>
    <x v="3"/>
  </r>
  <r>
    <x v="0"/>
    <x v="10"/>
    <n v="13"/>
    <x v="12"/>
    <d v="2023-09-01T00:00:00"/>
    <n v="14767.523999999999"/>
    <x v="4"/>
  </r>
  <r>
    <x v="0"/>
    <x v="10"/>
    <n v="13"/>
    <x v="12"/>
    <d v="2023-09-01T00:00:00"/>
    <n v="16130.081"/>
    <x v="5"/>
  </r>
  <r>
    <x v="0"/>
    <x v="10"/>
    <n v="13"/>
    <x v="12"/>
    <d v="2023-09-01T00:00:00"/>
    <n v="14894.960999999999"/>
    <x v="6"/>
  </r>
  <r>
    <x v="0"/>
    <x v="10"/>
    <n v="13"/>
    <x v="12"/>
    <d v="2023-09-01T00:00:00"/>
    <n v="14861.37"/>
    <x v="7"/>
  </r>
  <r>
    <x v="0"/>
    <x v="10"/>
    <n v="13"/>
    <x v="12"/>
    <d v="2023-09-01T00:00:00"/>
    <n v="14852.57"/>
    <x v="8"/>
  </r>
  <r>
    <x v="0"/>
    <x v="10"/>
    <n v="13"/>
    <x v="12"/>
    <d v="2023-09-01T00:00:00"/>
    <n v="14852.57"/>
    <x v="9"/>
  </r>
  <r>
    <x v="0"/>
    <x v="10"/>
    <n v="13"/>
    <x v="12"/>
    <d v="2023-09-01T00:00:00"/>
    <n v="14852.57"/>
    <x v="10"/>
  </r>
  <r>
    <x v="0"/>
    <x v="10"/>
    <n v="13"/>
    <x v="12"/>
    <d v="2023-09-01T00:00:00"/>
    <n v="15354.645"/>
    <x v="11"/>
  </r>
  <r>
    <x v="0"/>
    <x v="10"/>
    <n v="13"/>
    <x v="12"/>
    <d v="2023-09-01T00:00:00"/>
    <n v="179418.11600000001"/>
    <x v="12"/>
  </r>
  <r>
    <x v="0"/>
    <x v="10"/>
    <n v="14"/>
    <x v="13"/>
    <d v="2023-09-01T00:00:00"/>
    <n v="0"/>
    <x v="0"/>
  </r>
  <r>
    <x v="0"/>
    <x v="10"/>
    <n v="14"/>
    <x v="13"/>
    <d v="2023-09-01T00:00:00"/>
    <n v="0"/>
    <x v="1"/>
  </r>
  <r>
    <x v="0"/>
    <x v="10"/>
    <n v="14"/>
    <x v="13"/>
    <d v="2023-09-01T00:00:00"/>
    <n v="0"/>
    <x v="2"/>
  </r>
  <r>
    <x v="0"/>
    <x v="10"/>
    <n v="14"/>
    <x v="13"/>
    <d v="2023-09-01T00:00:00"/>
    <n v="0"/>
    <x v="3"/>
  </r>
  <r>
    <x v="0"/>
    <x v="10"/>
    <n v="14"/>
    <x v="13"/>
    <d v="2023-09-01T00:00:00"/>
    <n v="0"/>
    <x v="4"/>
  </r>
  <r>
    <x v="0"/>
    <x v="10"/>
    <n v="14"/>
    <x v="13"/>
    <d v="2023-09-01T00:00:00"/>
    <n v="0"/>
    <x v="5"/>
  </r>
  <r>
    <x v="0"/>
    <x v="10"/>
    <n v="14"/>
    <x v="13"/>
    <d v="2023-09-01T00:00:00"/>
    <n v="0"/>
    <x v="6"/>
  </r>
  <r>
    <x v="0"/>
    <x v="10"/>
    <n v="14"/>
    <x v="13"/>
    <d v="2023-09-01T00:00:00"/>
    <n v="0"/>
    <x v="7"/>
  </r>
  <r>
    <x v="0"/>
    <x v="10"/>
    <n v="14"/>
    <x v="13"/>
    <d v="2023-09-01T00:00:00"/>
    <n v="0"/>
    <x v="8"/>
  </r>
  <r>
    <x v="0"/>
    <x v="10"/>
    <n v="14"/>
    <x v="13"/>
    <d v="2023-09-01T00:00:00"/>
    <n v="0"/>
    <x v="9"/>
  </r>
  <r>
    <x v="0"/>
    <x v="10"/>
    <n v="14"/>
    <x v="13"/>
    <d v="2023-09-01T00:00:00"/>
    <n v="0"/>
    <x v="10"/>
  </r>
  <r>
    <x v="0"/>
    <x v="10"/>
    <n v="14"/>
    <x v="13"/>
    <d v="2023-09-01T00:00:00"/>
    <n v="0"/>
    <x v="11"/>
  </r>
  <r>
    <x v="0"/>
    <x v="10"/>
    <n v="14"/>
    <x v="13"/>
    <d v="2023-09-01T00:00:00"/>
    <n v="0"/>
    <x v="12"/>
  </r>
  <r>
    <x v="0"/>
    <x v="10"/>
    <n v="15"/>
    <x v="14"/>
    <d v="2023-09-01T00:00:00"/>
    <n v="6388.8959999999997"/>
    <x v="0"/>
  </r>
  <r>
    <x v="0"/>
    <x v="10"/>
    <n v="15"/>
    <x v="14"/>
    <d v="2023-09-01T00:00:00"/>
    <n v="6045.8360000000002"/>
    <x v="1"/>
  </r>
  <r>
    <x v="0"/>
    <x v="10"/>
    <n v="15"/>
    <x v="14"/>
    <d v="2023-09-01T00:00:00"/>
    <n v="7274.4009999999998"/>
    <x v="2"/>
  </r>
  <r>
    <x v="0"/>
    <x v="10"/>
    <n v="15"/>
    <x v="14"/>
    <d v="2023-09-01T00:00:00"/>
    <n v="6822.74"/>
    <x v="3"/>
  </r>
  <r>
    <x v="0"/>
    <x v="10"/>
    <n v="15"/>
    <x v="14"/>
    <d v="2023-09-01T00:00:00"/>
    <n v="7471.2510000000002"/>
    <x v="4"/>
  </r>
  <r>
    <x v="0"/>
    <x v="10"/>
    <n v="15"/>
    <x v="14"/>
    <d v="2023-09-01T00:00:00"/>
    <n v="6010.3379999999997"/>
    <x v="5"/>
  </r>
  <r>
    <x v="0"/>
    <x v="10"/>
    <n v="15"/>
    <x v="14"/>
    <d v="2023-09-01T00:00:00"/>
    <n v="7671.1728333333303"/>
    <x v="6"/>
  </r>
  <r>
    <x v="0"/>
    <x v="10"/>
    <n v="15"/>
    <x v="14"/>
    <d v="2023-09-01T00:00:00"/>
    <n v="7568.3238333333302"/>
    <x v="7"/>
  </r>
  <r>
    <x v="0"/>
    <x v="10"/>
    <n v="15"/>
    <x v="14"/>
    <d v="2023-09-01T00:00:00"/>
    <n v="7671.9578333333302"/>
    <x v="8"/>
  </r>
  <r>
    <x v="0"/>
    <x v="10"/>
    <n v="15"/>
    <x v="14"/>
    <d v="2023-09-01T00:00:00"/>
    <n v="7671.9578333333302"/>
    <x v="9"/>
  </r>
  <r>
    <x v="0"/>
    <x v="10"/>
    <n v="15"/>
    <x v="14"/>
    <d v="2023-09-01T00:00:00"/>
    <n v="7361.0558333333302"/>
    <x v="10"/>
  </r>
  <r>
    <x v="0"/>
    <x v="10"/>
    <n v="15"/>
    <x v="14"/>
    <d v="2023-09-01T00:00:00"/>
    <n v="7688.4508333333297"/>
    <x v="11"/>
  </r>
  <r>
    <x v="0"/>
    <x v="10"/>
    <n v="15"/>
    <x v="14"/>
    <d v="2023-09-01T00:00:00"/>
    <n v="85646.380999999994"/>
    <x v="12"/>
  </r>
  <r>
    <x v="0"/>
    <x v="10"/>
    <n v="16"/>
    <x v="15"/>
    <d v="2023-09-01T00:00:00"/>
    <n v="1224.0550000000001"/>
    <x v="0"/>
  </r>
  <r>
    <x v="0"/>
    <x v="10"/>
    <n v="16"/>
    <x v="15"/>
    <d v="2023-09-01T00:00:00"/>
    <n v="1327.0239999999999"/>
    <x v="1"/>
  </r>
  <r>
    <x v="0"/>
    <x v="10"/>
    <n v="16"/>
    <x v="15"/>
    <d v="2023-09-01T00:00:00"/>
    <n v="1622.3309999999999"/>
    <x v="2"/>
  </r>
  <r>
    <x v="0"/>
    <x v="10"/>
    <n v="16"/>
    <x v="15"/>
    <d v="2023-09-01T00:00:00"/>
    <n v="1562.5440000000001"/>
    <x v="3"/>
  </r>
  <r>
    <x v="0"/>
    <x v="10"/>
    <n v="16"/>
    <x v="15"/>
    <d v="2023-09-01T00:00:00"/>
    <n v="1250.827"/>
    <x v="4"/>
  </r>
  <r>
    <x v="0"/>
    <x v="10"/>
    <n v="16"/>
    <x v="15"/>
    <d v="2023-09-01T00:00:00"/>
    <n v="1888.038"/>
    <x v="5"/>
  </r>
  <r>
    <x v="0"/>
    <x v="10"/>
    <n v="16"/>
    <x v="15"/>
    <d v="2023-09-01T00:00:00"/>
    <n v="997.21017500000005"/>
    <x v="6"/>
  </r>
  <r>
    <x v="0"/>
    <x v="10"/>
    <n v="16"/>
    <x v="15"/>
    <d v="2023-09-01T00:00:00"/>
    <n v="1252.226175"/>
    <x v="7"/>
  </r>
  <r>
    <x v="0"/>
    <x v="10"/>
    <n v="16"/>
    <x v="15"/>
    <d v="2023-09-01T00:00:00"/>
    <n v="1252.226175"/>
    <x v="8"/>
  </r>
  <r>
    <x v="0"/>
    <x v="10"/>
    <n v="16"/>
    <x v="15"/>
    <d v="2023-09-01T00:00:00"/>
    <n v="1254.073175"/>
    <x v="9"/>
  </r>
  <r>
    <x v="0"/>
    <x v="10"/>
    <n v="16"/>
    <x v="15"/>
    <d v="2023-09-01T00:00:00"/>
    <n v="1254.4521749999999"/>
    <x v="10"/>
  </r>
  <r>
    <x v="0"/>
    <x v="10"/>
    <n v="16"/>
    <x v="15"/>
    <d v="2023-09-01T00:00:00"/>
    <n v="1289.6216750000001"/>
    <x v="11"/>
  </r>
  <r>
    <x v="0"/>
    <x v="10"/>
    <n v="16"/>
    <x v="15"/>
    <d v="2023-09-01T00:00:00"/>
    <n v="16174.628549999999"/>
    <x v="12"/>
  </r>
  <r>
    <x v="0"/>
    <x v="10"/>
    <n v="17"/>
    <x v="16"/>
    <d v="2023-09-01T00:00:00"/>
    <n v="447.99799999999999"/>
    <x v="0"/>
  </r>
  <r>
    <x v="0"/>
    <x v="10"/>
    <n v="17"/>
    <x v="16"/>
    <d v="2023-09-01T00:00:00"/>
    <n v="588.55499999999995"/>
    <x v="1"/>
  </r>
  <r>
    <x v="0"/>
    <x v="10"/>
    <n v="17"/>
    <x v="16"/>
    <d v="2023-09-01T00:00:00"/>
    <n v="469.33"/>
    <x v="2"/>
  </r>
  <r>
    <x v="0"/>
    <x v="10"/>
    <n v="17"/>
    <x v="16"/>
    <d v="2023-09-01T00:00:00"/>
    <n v="689.62199999999996"/>
    <x v="3"/>
  </r>
  <r>
    <x v="0"/>
    <x v="10"/>
    <n v="17"/>
    <x v="16"/>
    <d v="2023-09-01T00:00:00"/>
    <n v="1494.473"/>
    <x v="4"/>
  </r>
  <r>
    <x v="0"/>
    <x v="10"/>
    <n v="17"/>
    <x v="16"/>
    <d v="2023-09-01T00:00:00"/>
    <n v="310.50099999999998"/>
    <x v="5"/>
  </r>
  <r>
    <x v="0"/>
    <x v="10"/>
    <n v="17"/>
    <x v="16"/>
    <d v="2023-09-01T00:00:00"/>
    <n v="1565.1087500000001"/>
    <x v="6"/>
  </r>
  <r>
    <x v="0"/>
    <x v="10"/>
    <n v="17"/>
    <x v="16"/>
    <d v="2023-09-01T00:00:00"/>
    <n v="1565.1087500000001"/>
    <x v="7"/>
  </r>
  <r>
    <x v="0"/>
    <x v="10"/>
    <n v="17"/>
    <x v="16"/>
    <d v="2023-09-01T00:00:00"/>
    <n v="1565.1087500000001"/>
    <x v="8"/>
  </r>
  <r>
    <x v="0"/>
    <x v="10"/>
    <n v="17"/>
    <x v="16"/>
    <d v="2023-09-01T00:00:00"/>
    <n v="1565.1087500000001"/>
    <x v="9"/>
  </r>
  <r>
    <x v="0"/>
    <x v="10"/>
    <n v="17"/>
    <x v="16"/>
    <d v="2023-09-01T00:00:00"/>
    <n v="1565.1087500000001"/>
    <x v="10"/>
  </r>
  <r>
    <x v="0"/>
    <x v="10"/>
    <n v="17"/>
    <x v="16"/>
    <d v="2023-09-01T00:00:00"/>
    <n v="10154.89575"/>
    <x v="11"/>
  </r>
  <r>
    <x v="0"/>
    <x v="10"/>
    <n v="17"/>
    <x v="16"/>
    <d v="2023-09-01T00:00:00"/>
    <n v="21980.9185"/>
    <x v="12"/>
  </r>
  <r>
    <x v="0"/>
    <x v="10"/>
    <n v="18"/>
    <x v="17"/>
    <d v="2023-09-01T00:00:00"/>
    <n v="-1400.4369999999999"/>
    <x v="0"/>
  </r>
  <r>
    <x v="0"/>
    <x v="10"/>
    <n v="18"/>
    <x v="17"/>
    <d v="2023-09-01T00:00:00"/>
    <n v="1242.6389999999999"/>
    <x v="1"/>
  </r>
  <r>
    <x v="0"/>
    <x v="10"/>
    <n v="18"/>
    <x v="17"/>
    <d v="2023-09-01T00:00:00"/>
    <n v="415.94200000000001"/>
    <x v="2"/>
  </r>
  <r>
    <x v="0"/>
    <x v="10"/>
    <n v="18"/>
    <x v="17"/>
    <d v="2023-09-01T00:00:00"/>
    <n v="-29.311"/>
    <x v="3"/>
  </r>
  <r>
    <x v="0"/>
    <x v="10"/>
    <n v="18"/>
    <x v="17"/>
    <d v="2023-09-01T00:00:00"/>
    <n v="468.98100000000102"/>
    <x v="4"/>
  </r>
  <r>
    <x v="0"/>
    <x v="10"/>
    <n v="18"/>
    <x v="17"/>
    <d v="2023-09-01T00:00:00"/>
    <n v="-867.94500000000096"/>
    <x v="5"/>
  </r>
  <r>
    <x v="0"/>
    <x v="10"/>
    <n v="18"/>
    <x v="17"/>
    <d v="2023-09-01T00:00:00"/>
    <n v="378.91500000000002"/>
    <x v="6"/>
  </r>
  <r>
    <x v="0"/>
    <x v="10"/>
    <n v="18"/>
    <x v="17"/>
    <d v="2023-09-01T00:00:00"/>
    <n v="378.91500000000002"/>
    <x v="7"/>
  </r>
  <r>
    <x v="0"/>
    <x v="10"/>
    <n v="18"/>
    <x v="17"/>
    <d v="2023-09-01T00:00:00"/>
    <n v="378.91500000000002"/>
    <x v="8"/>
  </r>
  <r>
    <x v="0"/>
    <x v="10"/>
    <n v="18"/>
    <x v="17"/>
    <d v="2023-09-01T00:00:00"/>
    <n v="378.91500000000002"/>
    <x v="9"/>
  </r>
  <r>
    <x v="0"/>
    <x v="10"/>
    <n v="18"/>
    <x v="17"/>
    <d v="2023-09-01T00:00:00"/>
    <n v="378.91500000000002"/>
    <x v="10"/>
  </r>
  <r>
    <x v="0"/>
    <x v="10"/>
    <n v="18"/>
    <x v="17"/>
    <d v="2023-09-01T00:00:00"/>
    <n v="378.93299999999999"/>
    <x v="11"/>
  </r>
  <r>
    <x v="0"/>
    <x v="10"/>
    <n v="18"/>
    <x v="17"/>
    <d v="2023-09-01T00:00:00"/>
    <n v="2103.377"/>
    <x v="12"/>
  </r>
  <r>
    <x v="0"/>
    <x v="10"/>
    <n v="19"/>
    <x v="18"/>
    <d v="2023-09-01T00:00:00"/>
    <n v="0"/>
    <x v="0"/>
  </r>
  <r>
    <x v="0"/>
    <x v="10"/>
    <n v="19"/>
    <x v="18"/>
    <d v="2023-09-01T00:00:00"/>
    <n v="0"/>
    <x v="1"/>
  </r>
  <r>
    <x v="0"/>
    <x v="10"/>
    <n v="19"/>
    <x v="18"/>
    <d v="2023-09-01T00:00:00"/>
    <n v="0"/>
    <x v="2"/>
  </r>
  <r>
    <x v="0"/>
    <x v="10"/>
    <n v="19"/>
    <x v="18"/>
    <d v="2023-09-01T00:00:00"/>
    <n v="0"/>
    <x v="3"/>
  </r>
  <r>
    <x v="0"/>
    <x v="10"/>
    <n v="19"/>
    <x v="18"/>
    <d v="2023-09-01T00:00:00"/>
    <n v="0"/>
    <x v="4"/>
  </r>
  <r>
    <x v="0"/>
    <x v="10"/>
    <n v="19"/>
    <x v="18"/>
    <d v="2023-09-01T00:00:00"/>
    <n v="0"/>
    <x v="5"/>
  </r>
  <r>
    <x v="0"/>
    <x v="10"/>
    <n v="19"/>
    <x v="18"/>
    <d v="2023-09-01T00:00:00"/>
    <n v="0"/>
    <x v="6"/>
  </r>
  <r>
    <x v="0"/>
    <x v="10"/>
    <n v="19"/>
    <x v="18"/>
    <d v="2023-09-01T00:00:00"/>
    <n v="0"/>
    <x v="7"/>
  </r>
  <r>
    <x v="0"/>
    <x v="10"/>
    <n v="19"/>
    <x v="18"/>
    <d v="2023-09-01T00:00:00"/>
    <n v="0"/>
    <x v="8"/>
  </r>
  <r>
    <x v="0"/>
    <x v="10"/>
    <n v="19"/>
    <x v="18"/>
    <d v="2023-09-01T00:00:00"/>
    <n v="0"/>
    <x v="9"/>
  </r>
  <r>
    <x v="0"/>
    <x v="10"/>
    <n v="19"/>
    <x v="18"/>
    <d v="2023-09-01T00:00:00"/>
    <n v="0"/>
    <x v="10"/>
  </r>
  <r>
    <x v="0"/>
    <x v="10"/>
    <n v="19"/>
    <x v="18"/>
    <d v="2023-09-01T00:00:00"/>
    <n v="0"/>
    <x v="11"/>
  </r>
  <r>
    <x v="0"/>
    <x v="10"/>
    <n v="19"/>
    <x v="18"/>
    <d v="2023-09-01T00:00:00"/>
    <n v="0"/>
    <x v="12"/>
  </r>
  <r>
    <x v="0"/>
    <x v="10"/>
    <n v="20"/>
    <x v="19"/>
    <d v="2023-09-01T00:00:00"/>
    <n v="0"/>
    <x v="0"/>
  </r>
  <r>
    <x v="0"/>
    <x v="10"/>
    <n v="20"/>
    <x v="19"/>
    <d v="2023-09-01T00:00:00"/>
    <n v="0"/>
    <x v="1"/>
  </r>
  <r>
    <x v="0"/>
    <x v="10"/>
    <n v="20"/>
    <x v="19"/>
    <d v="2023-09-01T00:00:00"/>
    <n v="0"/>
    <x v="2"/>
  </r>
  <r>
    <x v="0"/>
    <x v="10"/>
    <n v="20"/>
    <x v="19"/>
    <d v="2023-09-01T00:00:00"/>
    <n v="0"/>
    <x v="3"/>
  </r>
  <r>
    <x v="0"/>
    <x v="10"/>
    <n v="20"/>
    <x v="19"/>
    <d v="2023-09-01T00:00:00"/>
    <n v="0"/>
    <x v="4"/>
  </r>
  <r>
    <x v="0"/>
    <x v="10"/>
    <n v="20"/>
    <x v="19"/>
    <d v="2023-09-01T00:00:00"/>
    <n v="0"/>
    <x v="5"/>
  </r>
  <r>
    <x v="0"/>
    <x v="10"/>
    <n v="20"/>
    <x v="19"/>
    <d v="2023-09-01T00:00:00"/>
    <n v="0"/>
    <x v="6"/>
  </r>
  <r>
    <x v="0"/>
    <x v="10"/>
    <n v="20"/>
    <x v="19"/>
    <d v="2023-09-01T00:00:00"/>
    <n v="0"/>
    <x v="7"/>
  </r>
  <r>
    <x v="0"/>
    <x v="10"/>
    <n v="20"/>
    <x v="19"/>
    <d v="2023-09-01T00:00:00"/>
    <n v="0"/>
    <x v="8"/>
  </r>
  <r>
    <x v="0"/>
    <x v="10"/>
    <n v="20"/>
    <x v="19"/>
    <d v="2023-09-01T00:00:00"/>
    <n v="0"/>
    <x v="9"/>
  </r>
  <r>
    <x v="0"/>
    <x v="10"/>
    <n v="20"/>
    <x v="19"/>
    <d v="2023-09-01T00:00:00"/>
    <n v="0"/>
    <x v="10"/>
  </r>
  <r>
    <x v="0"/>
    <x v="10"/>
    <n v="20"/>
    <x v="19"/>
    <d v="2023-09-01T00:00:00"/>
    <n v="0"/>
    <x v="11"/>
  </r>
  <r>
    <x v="0"/>
    <x v="10"/>
    <n v="20"/>
    <x v="19"/>
    <d v="2023-09-01T00:00:00"/>
    <n v="0"/>
    <x v="12"/>
  </r>
  <r>
    <x v="0"/>
    <x v="10"/>
    <n v="21"/>
    <x v="20"/>
    <d v="2023-09-01T00:00:00"/>
    <n v="0"/>
    <x v="0"/>
  </r>
  <r>
    <x v="0"/>
    <x v="10"/>
    <n v="21"/>
    <x v="20"/>
    <d v="2023-09-01T00:00:00"/>
    <n v="0"/>
    <x v="1"/>
  </r>
  <r>
    <x v="0"/>
    <x v="10"/>
    <n v="21"/>
    <x v="20"/>
    <d v="2023-09-01T00:00:00"/>
    <n v="0"/>
    <x v="2"/>
  </r>
  <r>
    <x v="0"/>
    <x v="10"/>
    <n v="21"/>
    <x v="20"/>
    <d v="2023-09-01T00:00:00"/>
    <n v="0"/>
    <x v="3"/>
  </r>
  <r>
    <x v="0"/>
    <x v="10"/>
    <n v="21"/>
    <x v="20"/>
    <d v="2023-09-01T00:00:00"/>
    <n v="0"/>
    <x v="4"/>
  </r>
  <r>
    <x v="0"/>
    <x v="10"/>
    <n v="21"/>
    <x v="20"/>
    <d v="2023-09-01T00:00:00"/>
    <n v="0"/>
    <x v="5"/>
  </r>
  <r>
    <x v="0"/>
    <x v="10"/>
    <n v="21"/>
    <x v="20"/>
    <d v="2023-09-01T00:00:00"/>
    <n v="0"/>
    <x v="6"/>
  </r>
  <r>
    <x v="0"/>
    <x v="10"/>
    <n v="21"/>
    <x v="20"/>
    <d v="2023-09-01T00:00:00"/>
    <n v="0"/>
    <x v="7"/>
  </r>
  <r>
    <x v="0"/>
    <x v="10"/>
    <n v="21"/>
    <x v="20"/>
    <d v="2023-09-01T00:00:00"/>
    <n v="0"/>
    <x v="8"/>
  </r>
  <r>
    <x v="0"/>
    <x v="10"/>
    <n v="21"/>
    <x v="20"/>
    <d v="2023-09-01T00:00:00"/>
    <n v="0"/>
    <x v="9"/>
  </r>
  <r>
    <x v="0"/>
    <x v="10"/>
    <n v="21"/>
    <x v="20"/>
    <d v="2023-09-01T00:00:00"/>
    <n v="0"/>
    <x v="10"/>
  </r>
  <r>
    <x v="0"/>
    <x v="10"/>
    <n v="21"/>
    <x v="20"/>
    <d v="2023-09-01T00:00:00"/>
    <n v="0"/>
    <x v="11"/>
  </r>
  <r>
    <x v="0"/>
    <x v="10"/>
    <n v="21"/>
    <x v="20"/>
    <d v="2023-09-01T00:00:00"/>
    <n v="0"/>
    <x v="12"/>
  </r>
  <r>
    <x v="0"/>
    <x v="10"/>
    <n v="22"/>
    <x v="21"/>
    <d v="2023-09-01T00:00:00"/>
    <n v="1859.8320000000001"/>
    <x v="0"/>
  </r>
  <r>
    <x v="0"/>
    <x v="10"/>
    <n v="22"/>
    <x v="21"/>
    <d v="2023-09-01T00:00:00"/>
    <n v="1860.0440000000001"/>
    <x v="1"/>
  </r>
  <r>
    <x v="0"/>
    <x v="10"/>
    <n v="22"/>
    <x v="21"/>
    <d v="2023-09-01T00:00:00"/>
    <n v="4308.2129999999997"/>
    <x v="2"/>
  </r>
  <r>
    <x v="0"/>
    <x v="10"/>
    <n v="22"/>
    <x v="21"/>
    <d v="2023-09-01T00:00:00"/>
    <n v="2689.53"/>
    <x v="3"/>
  </r>
  <r>
    <x v="0"/>
    <x v="10"/>
    <n v="22"/>
    <x v="21"/>
    <d v="2023-09-01T00:00:00"/>
    <n v="3143.5450000000001"/>
    <x v="4"/>
  </r>
  <r>
    <x v="0"/>
    <x v="10"/>
    <n v="22"/>
    <x v="21"/>
    <d v="2023-09-01T00:00:00"/>
    <n v="2766.221"/>
    <x v="5"/>
  </r>
  <r>
    <x v="0"/>
    <x v="10"/>
    <n v="22"/>
    <x v="21"/>
    <d v="2023-09-01T00:00:00"/>
    <n v="2771.9929999999999"/>
    <x v="6"/>
  </r>
  <r>
    <x v="0"/>
    <x v="10"/>
    <n v="22"/>
    <x v="21"/>
    <d v="2023-09-01T00:00:00"/>
    <n v="2772.2330000000002"/>
    <x v="7"/>
  </r>
  <r>
    <x v="0"/>
    <x v="10"/>
    <n v="22"/>
    <x v="21"/>
    <d v="2023-09-01T00:00:00"/>
    <n v="2772.232"/>
    <x v="8"/>
  </r>
  <r>
    <x v="0"/>
    <x v="10"/>
    <n v="22"/>
    <x v="21"/>
    <d v="2023-09-01T00:00:00"/>
    <n v="2772.2330000000002"/>
    <x v="9"/>
  </r>
  <r>
    <x v="0"/>
    <x v="10"/>
    <n v="22"/>
    <x v="21"/>
    <d v="2023-09-01T00:00:00"/>
    <n v="2772.2330000000002"/>
    <x v="10"/>
  </r>
  <r>
    <x v="0"/>
    <x v="10"/>
    <n v="22"/>
    <x v="21"/>
    <d v="2023-09-01T00:00:00"/>
    <n v="3885.2330000000002"/>
    <x v="11"/>
  </r>
  <r>
    <x v="0"/>
    <x v="10"/>
    <n v="22"/>
    <x v="21"/>
    <d v="2023-09-01T00:00:00"/>
    <n v="34373.542000000001"/>
    <x v="12"/>
  </r>
  <r>
    <x v="0"/>
    <x v="10"/>
    <n v="23"/>
    <x v="22"/>
    <d v="2023-09-01T00:00:00"/>
    <n v="22.161000000000001"/>
    <x v="0"/>
  </r>
  <r>
    <x v="0"/>
    <x v="10"/>
    <n v="23"/>
    <x v="22"/>
    <d v="2023-09-01T00:00:00"/>
    <n v="21"/>
    <x v="1"/>
  </r>
  <r>
    <x v="0"/>
    <x v="10"/>
    <n v="23"/>
    <x v="22"/>
    <d v="2023-09-01T00:00:00"/>
    <n v="35.658999999999999"/>
    <x v="2"/>
  </r>
  <r>
    <x v="0"/>
    <x v="10"/>
    <n v="23"/>
    <x v="22"/>
    <d v="2023-09-01T00:00:00"/>
    <n v="7.5010000000000003"/>
    <x v="3"/>
  </r>
  <r>
    <x v="0"/>
    <x v="10"/>
    <n v="23"/>
    <x v="22"/>
    <d v="2023-09-01T00:00:00"/>
    <n v="224.28399999999999"/>
    <x v="4"/>
  </r>
  <r>
    <x v="0"/>
    <x v="10"/>
    <n v="23"/>
    <x v="22"/>
    <d v="2023-09-01T00:00:00"/>
    <n v="62.121000000000002"/>
    <x v="5"/>
  </r>
  <r>
    <x v="0"/>
    <x v="10"/>
    <n v="23"/>
    <x v="22"/>
    <d v="2023-09-01T00:00:00"/>
    <n v="61.863999999999997"/>
    <x v="6"/>
  </r>
  <r>
    <x v="0"/>
    <x v="10"/>
    <n v="23"/>
    <x v="22"/>
    <d v="2023-09-01T00:00:00"/>
    <n v="62.121000000000002"/>
    <x v="7"/>
  </r>
  <r>
    <x v="0"/>
    <x v="10"/>
    <n v="23"/>
    <x v="22"/>
    <d v="2023-09-01T00:00:00"/>
    <n v="62.121000000000002"/>
    <x v="8"/>
  </r>
  <r>
    <x v="0"/>
    <x v="10"/>
    <n v="23"/>
    <x v="22"/>
    <d v="2023-09-01T00:00:00"/>
    <n v="62.121000000000002"/>
    <x v="9"/>
  </r>
  <r>
    <x v="0"/>
    <x v="10"/>
    <n v="23"/>
    <x v="22"/>
    <d v="2023-09-01T00:00:00"/>
    <n v="62.121000000000002"/>
    <x v="10"/>
  </r>
  <r>
    <x v="0"/>
    <x v="10"/>
    <n v="23"/>
    <x v="22"/>
    <d v="2023-09-01T00:00:00"/>
    <n v="7.1210000000000004"/>
    <x v="11"/>
  </r>
  <r>
    <x v="0"/>
    <x v="10"/>
    <n v="23"/>
    <x v="22"/>
    <d v="2023-09-01T00:00:00"/>
    <n v="690.19500000000005"/>
    <x v="12"/>
  </r>
  <r>
    <x v="0"/>
    <x v="10"/>
    <n v="24"/>
    <x v="23"/>
    <d v="2023-09-01T00:00:00"/>
    <n v="0"/>
    <x v="0"/>
  </r>
  <r>
    <x v="0"/>
    <x v="10"/>
    <n v="24"/>
    <x v="23"/>
    <d v="2023-09-01T00:00:00"/>
    <n v="0"/>
    <x v="1"/>
  </r>
  <r>
    <x v="0"/>
    <x v="10"/>
    <n v="24"/>
    <x v="23"/>
    <d v="2023-09-01T00:00:00"/>
    <n v="0"/>
    <x v="2"/>
  </r>
  <r>
    <x v="0"/>
    <x v="10"/>
    <n v="24"/>
    <x v="23"/>
    <d v="2023-09-01T00:00:00"/>
    <n v="0"/>
    <x v="3"/>
  </r>
  <r>
    <x v="0"/>
    <x v="10"/>
    <n v="24"/>
    <x v="23"/>
    <d v="2023-09-01T00:00:00"/>
    <n v="0"/>
    <x v="4"/>
  </r>
  <r>
    <x v="0"/>
    <x v="10"/>
    <n v="24"/>
    <x v="23"/>
    <d v="2023-09-01T00:00:00"/>
    <n v="0"/>
    <x v="5"/>
  </r>
  <r>
    <x v="0"/>
    <x v="10"/>
    <n v="24"/>
    <x v="23"/>
    <d v="2023-09-01T00:00:00"/>
    <n v="0"/>
    <x v="6"/>
  </r>
  <r>
    <x v="0"/>
    <x v="10"/>
    <n v="24"/>
    <x v="23"/>
    <d v="2023-09-01T00:00:00"/>
    <n v="0"/>
    <x v="7"/>
  </r>
  <r>
    <x v="0"/>
    <x v="10"/>
    <n v="24"/>
    <x v="23"/>
    <d v="2023-09-01T00:00:00"/>
    <n v="0"/>
    <x v="8"/>
  </r>
  <r>
    <x v="0"/>
    <x v="10"/>
    <n v="24"/>
    <x v="23"/>
    <d v="2023-09-01T00:00:00"/>
    <n v="0"/>
    <x v="9"/>
  </r>
  <r>
    <x v="0"/>
    <x v="10"/>
    <n v="24"/>
    <x v="23"/>
    <d v="2023-09-01T00:00:00"/>
    <n v="0"/>
    <x v="10"/>
  </r>
  <r>
    <x v="0"/>
    <x v="10"/>
    <n v="24"/>
    <x v="23"/>
    <d v="2023-09-01T00:00:00"/>
    <n v="0"/>
    <x v="11"/>
  </r>
  <r>
    <x v="0"/>
    <x v="10"/>
    <n v="24"/>
    <x v="23"/>
    <d v="2023-09-01T00:00:00"/>
    <n v="0"/>
    <x v="12"/>
  </r>
  <r>
    <x v="0"/>
    <x v="10"/>
    <n v="25"/>
    <x v="24"/>
    <d v="2023-09-01T00:00:00"/>
    <n v="0"/>
    <x v="0"/>
  </r>
  <r>
    <x v="0"/>
    <x v="10"/>
    <n v="25"/>
    <x v="24"/>
    <d v="2023-09-01T00:00:00"/>
    <n v="0"/>
    <x v="1"/>
  </r>
  <r>
    <x v="0"/>
    <x v="10"/>
    <n v="25"/>
    <x v="24"/>
    <d v="2023-09-01T00:00:00"/>
    <n v="0"/>
    <x v="2"/>
  </r>
  <r>
    <x v="0"/>
    <x v="10"/>
    <n v="25"/>
    <x v="24"/>
    <d v="2023-09-01T00:00:00"/>
    <n v="0"/>
    <x v="3"/>
  </r>
  <r>
    <x v="0"/>
    <x v="10"/>
    <n v="25"/>
    <x v="24"/>
    <d v="2023-09-01T00:00:00"/>
    <n v="0"/>
    <x v="4"/>
  </r>
  <r>
    <x v="0"/>
    <x v="10"/>
    <n v="25"/>
    <x v="24"/>
    <d v="2023-09-01T00:00:00"/>
    <n v="0"/>
    <x v="5"/>
  </r>
  <r>
    <x v="0"/>
    <x v="10"/>
    <n v="25"/>
    <x v="24"/>
    <d v="2023-09-01T00:00:00"/>
    <n v="0"/>
    <x v="6"/>
  </r>
  <r>
    <x v="0"/>
    <x v="10"/>
    <n v="25"/>
    <x v="24"/>
    <d v="2023-09-01T00:00:00"/>
    <n v="0"/>
    <x v="7"/>
  </r>
  <r>
    <x v="0"/>
    <x v="10"/>
    <n v="25"/>
    <x v="24"/>
    <d v="2023-09-01T00:00:00"/>
    <n v="0"/>
    <x v="8"/>
  </r>
  <r>
    <x v="0"/>
    <x v="10"/>
    <n v="25"/>
    <x v="24"/>
    <d v="2023-09-01T00:00:00"/>
    <n v="0"/>
    <x v="9"/>
  </r>
  <r>
    <x v="0"/>
    <x v="10"/>
    <n v="25"/>
    <x v="24"/>
    <d v="2023-09-01T00:00:00"/>
    <n v="0"/>
    <x v="10"/>
  </r>
  <r>
    <x v="0"/>
    <x v="10"/>
    <n v="25"/>
    <x v="24"/>
    <d v="2023-09-01T00:00:00"/>
    <n v="0"/>
    <x v="11"/>
  </r>
  <r>
    <x v="0"/>
    <x v="10"/>
    <n v="25"/>
    <x v="24"/>
    <d v="2023-09-01T00:00:00"/>
    <n v="0"/>
    <x v="12"/>
  </r>
  <r>
    <x v="0"/>
    <x v="10"/>
    <n v="26"/>
    <x v="25"/>
    <d v="2023-09-01T00:00:00"/>
    <n v="110604.594"/>
    <x v="0"/>
  </r>
  <r>
    <x v="0"/>
    <x v="10"/>
    <n v="26"/>
    <x v="25"/>
    <d v="2023-09-01T00:00:00"/>
    <n v="119293.60400000001"/>
    <x v="1"/>
  </r>
  <r>
    <x v="0"/>
    <x v="10"/>
    <n v="26"/>
    <x v="25"/>
    <d v="2023-09-01T00:00:00"/>
    <n v="135577.533"/>
    <x v="2"/>
  </r>
  <r>
    <x v="0"/>
    <x v="10"/>
    <n v="26"/>
    <x v="25"/>
    <d v="2023-09-01T00:00:00"/>
    <n v="134632.16"/>
    <x v="3"/>
  </r>
  <r>
    <x v="0"/>
    <x v="10"/>
    <n v="26"/>
    <x v="25"/>
    <d v="2023-09-01T00:00:00"/>
    <n v="124011.27099999999"/>
    <x v="4"/>
  </r>
  <r>
    <x v="0"/>
    <x v="10"/>
    <n v="26"/>
    <x v="25"/>
    <d v="2023-09-01T00:00:00"/>
    <n v="121835.291"/>
    <x v="5"/>
  </r>
  <r>
    <x v="0"/>
    <x v="10"/>
    <n v="26"/>
    <x v="25"/>
    <d v="2023-09-01T00:00:00"/>
    <n v="124505.318626147"/>
    <x v="6"/>
  </r>
  <r>
    <x v="0"/>
    <x v="10"/>
    <n v="26"/>
    <x v="25"/>
    <d v="2023-09-01T00:00:00"/>
    <n v="122544.86262614701"/>
    <x v="7"/>
  </r>
  <r>
    <x v="0"/>
    <x v="10"/>
    <n v="26"/>
    <x v="25"/>
    <d v="2023-09-01T00:00:00"/>
    <n v="122557.449626147"/>
    <x v="8"/>
  </r>
  <r>
    <x v="0"/>
    <x v="10"/>
    <n v="26"/>
    <x v="25"/>
    <d v="2023-09-01T00:00:00"/>
    <n v="122703.17095948099"/>
    <x v="9"/>
  </r>
  <r>
    <x v="0"/>
    <x v="10"/>
    <n v="26"/>
    <x v="25"/>
    <d v="2023-09-01T00:00:00"/>
    <n v="121934.16095948"/>
    <x v="10"/>
  </r>
  <r>
    <x v="0"/>
    <x v="10"/>
    <n v="26"/>
    <x v="25"/>
    <d v="2023-09-01T00:00:00"/>
    <n v="168352.57711948099"/>
    <x v="11"/>
  </r>
  <r>
    <x v="0"/>
    <x v="10"/>
    <n v="26"/>
    <x v="25"/>
    <d v="2023-09-01T00:00:00"/>
    <n v="1528551.9929168799"/>
    <x v="12"/>
  </r>
  <r>
    <x v="0"/>
    <x v="10"/>
    <n v="27"/>
    <x v="26"/>
    <d v="2023-09-01T00:00:00"/>
    <n v="-10860.849"/>
    <x v="0"/>
  </r>
  <r>
    <x v="0"/>
    <x v="10"/>
    <n v="27"/>
    <x v="26"/>
    <d v="2023-09-01T00:00:00"/>
    <n v="-13674.245999999999"/>
    <x v="1"/>
  </r>
  <r>
    <x v="0"/>
    <x v="10"/>
    <n v="27"/>
    <x v="26"/>
    <d v="2023-09-01T00:00:00"/>
    <n v="-11424.97"/>
    <x v="2"/>
  </r>
  <r>
    <x v="0"/>
    <x v="10"/>
    <n v="27"/>
    <x v="26"/>
    <d v="2023-09-01T00:00:00"/>
    <n v="-10403.757"/>
    <x v="3"/>
  </r>
  <r>
    <x v="0"/>
    <x v="10"/>
    <n v="27"/>
    <x v="26"/>
    <d v="2023-09-01T00:00:00"/>
    <n v="-10190.233"/>
    <x v="4"/>
  </r>
  <r>
    <x v="0"/>
    <x v="10"/>
    <n v="27"/>
    <x v="26"/>
    <d v="2023-09-01T00:00:00"/>
    <n v="-8676.6529999999202"/>
    <x v="5"/>
  </r>
  <r>
    <x v="0"/>
    <x v="10"/>
    <n v="27"/>
    <x v="26"/>
    <d v="2023-09-01T00:00:00"/>
    <n v="-6798.6868194805102"/>
    <x v="6"/>
  </r>
  <r>
    <x v="0"/>
    <x v="10"/>
    <n v="27"/>
    <x v="26"/>
    <d v="2023-09-01T00:00:00"/>
    <n v="-3910.2068194805302"/>
    <x v="7"/>
  </r>
  <r>
    <x v="0"/>
    <x v="10"/>
    <n v="27"/>
    <x v="26"/>
    <d v="2023-09-01T00:00:00"/>
    <n v="-3688.6388194805199"/>
    <x v="8"/>
  </r>
  <r>
    <x v="0"/>
    <x v="10"/>
    <n v="27"/>
    <x v="26"/>
    <d v="2023-09-01T00:00:00"/>
    <n v="-3083.5161528138601"/>
    <x v="9"/>
  </r>
  <r>
    <x v="0"/>
    <x v="10"/>
    <n v="27"/>
    <x v="26"/>
    <d v="2023-09-01T00:00:00"/>
    <n v="-3082.5061528138499"/>
    <x v="10"/>
  </r>
  <r>
    <x v="0"/>
    <x v="10"/>
    <n v="27"/>
    <x v="26"/>
    <d v="2023-09-01T00:00:00"/>
    <n v="-800.87315281387396"/>
    <x v="11"/>
  </r>
  <r>
    <x v="0"/>
    <x v="10"/>
    <n v="27"/>
    <x v="26"/>
    <d v="2023-09-01T00:00:00"/>
    <n v="-86595.135916882893"/>
    <x v="12"/>
  </r>
  <r>
    <x v="0"/>
    <x v="11"/>
    <n v="1"/>
    <x v="3"/>
    <d v="2023-09-01T00:00:00"/>
    <n v="0"/>
    <x v="0"/>
  </r>
  <r>
    <x v="0"/>
    <x v="11"/>
    <n v="1"/>
    <x v="3"/>
    <d v="2023-09-01T00:00:00"/>
    <n v="0"/>
    <x v="1"/>
  </r>
  <r>
    <x v="0"/>
    <x v="11"/>
    <n v="1"/>
    <x v="3"/>
    <d v="2023-09-01T00:00:00"/>
    <n v="0"/>
    <x v="2"/>
  </r>
  <r>
    <x v="0"/>
    <x v="11"/>
    <n v="1"/>
    <x v="3"/>
    <d v="2023-09-01T00:00:00"/>
    <n v="0"/>
    <x v="3"/>
  </r>
  <r>
    <x v="0"/>
    <x v="11"/>
    <n v="1"/>
    <x v="3"/>
    <d v="2023-09-01T00:00:00"/>
    <n v="0"/>
    <x v="4"/>
  </r>
  <r>
    <x v="0"/>
    <x v="11"/>
    <n v="1"/>
    <x v="3"/>
    <d v="2023-09-01T00:00:00"/>
    <n v="0"/>
    <x v="5"/>
  </r>
  <r>
    <x v="0"/>
    <x v="11"/>
    <n v="1"/>
    <x v="3"/>
    <d v="2023-09-01T00:00:00"/>
    <n v="0"/>
    <x v="6"/>
  </r>
  <r>
    <x v="0"/>
    <x v="11"/>
    <n v="1"/>
    <x v="3"/>
    <d v="2023-09-01T00:00:00"/>
    <n v="0"/>
    <x v="7"/>
  </r>
  <r>
    <x v="0"/>
    <x v="11"/>
    <n v="1"/>
    <x v="3"/>
    <d v="2023-09-01T00:00:00"/>
    <n v="0"/>
    <x v="8"/>
  </r>
  <r>
    <x v="0"/>
    <x v="11"/>
    <n v="1"/>
    <x v="3"/>
    <d v="2023-09-01T00:00:00"/>
    <n v="0"/>
    <x v="9"/>
  </r>
  <r>
    <x v="0"/>
    <x v="11"/>
    <n v="1"/>
    <x v="3"/>
    <d v="2023-09-01T00:00:00"/>
    <n v="0"/>
    <x v="10"/>
  </r>
  <r>
    <x v="0"/>
    <x v="11"/>
    <n v="1"/>
    <x v="3"/>
    <d v="2023-09-01T00:00:00"/>
    <n v="0"/>
    <x v="11"/>
  </r>
  <r>
    <x v="0"/>
    <x v="11"/>
    <n v="1"/>
    <x v="3"/>
    <d v="2023-09-01T00:00:00"/>
    <n v="0"/>
    <x v="12"/>
  </r>
  <r>
    <x v="0"/>
    <x v="11"/>
    <n v="2"/>
    <x v="4"/>
    <d v="2023-09-01T00:00:00"/>
    <n v="0"/>
    <x v="0"/>
  </r>
  <r>
    <x v="0"/>
    <x v="11"/>
    <n v="2"/>
    <x v="4"/>
    <d v="2023-09-01T00:00:00"/>
    <n v="0"/>
    <x v="1"/>
  </r>
  <r>
    <x v="0"/>
    <x v="11"/>
    <n v="2"/>
    <x v="4"/>
    <d v="2023-09-01T00:00:00"/>
    <n v="0"/>
    <x v="2"/>
  </r>
  <r>
    <x v="0"/>
    <x v="11"/>
    <n v="2"/>
    <x v="4"/>
    <d v="2023-09-01T00:00:00"/>
    <n v="0"/>
    <x v="3"/>
  </r>
  <r>
    <x v="0"/>
    <x v="11"/>
    <n v="2"/>
    <x v="4"/>
    <d v="2023-09-01T00:00:00"/>
    <n v="0"/>
    <x v="4"/>
  </r>
  <r>
    <x v="0"/>
    <x v="11"/>
    <n v="2"/>
    <x v="4"/>
    <d v="2023-09-01T00:00:00"/>
    <n v="0"/>
    <x v="5"/>
  </r>
  <r>
    <x v="0"/>
    <x v="11"/>
    <n v="2"/>
    <x v="4"/>
    <d v="2023-09-01T00:00:00"/>
    <n v="0"/>
    <x v="6"/>
  </r>
  <r>
    <x v="0"/>
    <x v="11"/>
    <n v="2"/>
    <x v="4"/>
    <d v="2023-09-01T00:00:00"/>
    <n v="0"/>
    <x v="7"/>
  </r>
  <r>
    <x v="0"/>
    <x v="11"/>
    <n v="2"/>
    <x v="4"/>
    <d v="2023-09-01T00:00:00"/>
    <n v="0"/>
    <x v="8"/>
  </r>
  <r>
    <x v="0"/>
    <x v="11"/>
    <n v="2"/>
    <x v="4"/>
    <d v="2023-09-01T00:00:00"/>
    <n v="0"/>
    <x v="9"/>
  </r>
  <r>
    <x v="0"/>
    <x v="11"/>
    <n v="2"/>
    <x v="4"/>
    <d v="2023-09-01T00:00:00"/>
    <n v="0"/>
    <x v="10"/>
  </r>
  <r>
    <x v="0"/>
    <x v="11"/>
    <n v="2"/>
    <x v="4"/>
    <d v="2023-09-01T00:00:00"/>
    <n v="0"/>
    <x v="11"/>
  </r>
  <r>
    <x v="0"/>
    <x v="11"/>
    <n v="2"/>
    <x v="4"/>
    <d v="2023-09-01T00:00:00"/>
    <n v="0"/>
    <x v="12"/>
  </r>
  <r>
    <x v="0"/>
    <x v="11"/>
    <n v="3"/>
    <x v="5"/>
    <d v="2023-09-01T00:00:00"/>
    <n v="8538.9089999999997"/>
    <x v="0"/>
  </r>
  <r>
    <x v="0"/>
    <x v="11"/>
    <n v="3"/>
    <x v="5"/>
    <d v="2023-09-01T00:00:00"/>
    <n v="8390.8590000000004"/>
    <x v="1"/>
  </r>
  <r>
    <x v="0"/>
    <x v="11"/>
    <n v="3"/>
    <x v="5"/>
    <d v="2023-09-01T00:00:00"/>
    <n v="9189.8739999999998"/>
    <x v="2"/>
  </r>
  <r>
    <x v="0"/>
    <x v="11"/>
    <n v="3"/>
    <x v="5"/>
    <d v="2023-09-01T00:00:00"/>
    <n v="8682.1839999999993"/>
    <x v="3"/>
  </r>
  <r>
    <x v="0"/>
    <x v="11"/>
    <n v="3"/>
    <x v="5"/>
    <d v="2023-09-01T00:00:00"/>
    <n v="9183.2170000000006"/>
    <x v="4"/>
  </r>
  <r>
    <x v="0"/>
    <x v="11"/>
    <n v="3"/>
    <x v="5"/>
    <d v="2023-09-01T00:00:00"/>
    <n v="9686.9633699999995"/>
    <x v="5"/>
  </r>
  <r>
    <x v="0"/>
    <x v="11"/>
    <n v="3"/>
    <x v="5"/>
    <d v="2023-09-01T00:00:00"/>
    <n v="9199.1170000000002"/>
    <x v="6"/>
  </r>
  <r>
    <x v="0"/>
    <x v="11"/>
    <n v="3"/>
    <x v="5"/>
    <d v="2023-09-01T00:00:00"/>
    <n v="9165.6659999999993"/>
    <x v="7"/>
  </r>
  <r>
    <x v="0"/>
    <x v="11"/>
    <n v="3"/>
    <x v="5"/>
    <d v="2023-09-01T00:00:00"/>
    <n v="9285.6659999999993"/>
    <x v="8"/>
  </r>
  <r>
    <x v="0"/>
    <x v="11"/>
    <n v="3"/>
    <x v="5"/>
    <d v="2023-09-01T00:00:00"/>
    <n v="9285.6659999999993"/>
    <x v="9"/>
  </r>
  <r>
    <x v="0"/>
    <x v="11"/>
    <n v="3"/>
    <x v="5"/>
    <d v="2023-09-01T00:00:00"/>
    <n v="9285.6659999999993"/>
    <x v="10"/>
  </r>
  <r>
    <x v="0"/>
    <x v="11"/>
    <n v="3"/>
    <x v="5"/>
    <d v="2023-09-01T00:00:00"/>
    <n v="9284.634"/>
    <x v="11"/>
  </r>
  <r>
    <x v="0"/>
    <x v="11"/>
    <n v="3"/>
    <x v="5"/>
    <d v="2023-09-01T00:00:00"/>
    <n v="109178.42137"/>
    <x v="12"/>
  </r>
  <r>
    <x v="0"/>
    <x v="11"/>
    <n v="4"/>
    <x v="6"/>
    <d v="2023-09-01T00:00:00"/>
    <n v="4723.3029999999999"/>
    <x v="0"/>
  </r>
  <r>
    <x v="0"/>
    <x v="11"/>
    <n v="4"/>
    <x v="6"/>
    <d v="2023-09-01T00:00:00"/>
    <n v="4746.3159999999998"/>
    <x v="1"/>
  </r>
  <r>
    <x v="0"/>
    <x v="11"/>
    <n v="4"/>
    <x v="6"/>
    <d v="2023-09-01T00:00:00"/>
    <n v="4731.3739999999998"/>
    <x v="2"/>
  </r>
  <r>
    <x v="0"/>
    <x v="11"/>
    <n v="4"/>
    <x v="6"/>
    <d v="2023-09-01T00:00:00"/>
    <n v="4880.4229999999998"/>
    <x v="3"/>
  </r>
  <r>
    <x v="0"/>
    <x v="11"/>
    <n v="4"/>
    <x v="6"/>
    <d v="2023-09-01T00:00:00"/>
    <n v="4986.1400000000003"/>
    <x v="4"/>
  </r>
  <r>
    <x v="0"/>
    <x v="11"/>
    <n v="4"/>
    <x v="6"/>
    <d v="2023-09-01T00:00:00"/>
    <n v="4899.8789999999999"/>
    <x v="5"/>
  </r>
  <r>
    <x v="0"/>
    <x v="11"/>
    <n v="4"/>
    <x v="6"/>
    <d v="2023-09-01T00:00:00"/>
    <n v="5202.62"/>
    <x v="6"/>
  </r>
  <r>
    <x v="0"/>
    <x v="11"/>
    <n v="4"/>
    <x v="6"/>
    <d v="2023-09-01T00:00:00"/>
    <n v="5196.7139999999999"/>
    <x v="7"/>
  </r>
  <r>
    <x v="0"/>
    <x v="11"/>
    <n v="4"/>
    <x v="6"/>
    <d v="2023-09-01T00:00:00"/>
    <n v="5196.7139999999999"/>
    <x v="8"/>
  </r>
  <r>
    <x v="0"/>
    <x v="11"/>
    <n v="4"/>
    <x v="6"/>
    <d v="2023-09-01T00:00:00"/>
    <n v="5196.7129999999997"/>
    <x v="9"/>
  </r>
  <r>
    <x v="0"/>
    <x v="11"/>
    <n v="4"/>
    <x v="6"/>
    <d v="2023-09-01T00:00:00"/>
    <n v="5196.7129999999997"/>
    <x v="10"/>
  </r>
  <r>
    <x v="0"/>
    <x v="11"/>
    <n v="4"/>
    <x v="6"/>
    <d v="2023-09-01T00:00:00"/>
    <n v="5106.7089999999998"/>
    <x v="11"/>
  </r>
  <r>
    <x v="0"/>
    <x v="11"/>
    <n v="4"/>
    <x v="6"/>
    <d v="2023-09-01T00:00:00"/>
    <n v="60063.618000000002"/>
    <x v="12"/>
  </r>
  <r>
    <x v="0"/>
    <x v="11"/>
    <n v="5"/>
    <x v="7"/>
    <d v="2023-09-01T00:00:00"/>
    <n v="495.32299999999998"/>
    <x v="0"/>
  </r>
  <r>
    <x v="0"/>
    <x v="11"/>
    <n v="5"/>
    <x v="7"/>
    <d v="2023-09-01T00:00:00"/>
    <n v="449.80203"/>
    <x v="1"/>
  </r>
  <r>
    <x v="0"/>
    <x v="11"/>
    <n v="5"/>
    <x v="7"/>
    <d v="2023-09-01T00:00:00"/>
    <n v="2039.6844799999999"/>
    <x v="2"/>
  </r>
  <r>
    <x v="0"/>
    <x v="11"/>
    <n v="5"/>
    <x v="7"/>
    <d v="2023-09-01T00:00:00"/>
    <n v="2207.808"/>
    <x v="3"/>
  </r>
  <r>
    <x v="0"/>
    <x v="11"/>
    <n v="5"/>
    <x v="7"/>
    <d v="2023-09-01T00:00:00"/>
    <n v="815.39400000000001"/>
    <x v="4"/>
  </r>
  <r>
    <x v="0"/>
    <x v="11"/>
    <n v="5"/>
    <x v="7"/>
    <d v="2023-09-01T00:00:00"/>
    <n v="972.73558000000003"/>
    <x v="5"/>
  </r>
  <r>
    <x v="0"/>
    <x v="11"/>
    <n v="5"/>
    <x v="7"/>
    <d v="2023-09-01T00:00:00"/>
    <n v="1140.98624666667"/>
    <x v="6"/>
  </r>
  <r>
    <x v="0"/>
    <x v="11"/>
    <n v="5"/>
    <x v="7"/>
    <d v="2023-09-01T00:00:00"/>
    <n v="1141.2713366666701"/>
    <x v="7"/>
  </r>
  <r>
    <x v="0"/>
    <x v="11"/>
    <n v="5"/>
    <x v="7"/>
    <d v="2023-09-01T00:00:00"/>
    <n v="1142.2713366666701"/>
    <x v="8"/>
  </r>
  <r>
    <x v="0"/>
    <x v="11"/>
    <n v="5"/>
    <x v="7"/>
    <d v="2023-09-01T00:00:00"/>
    <n v="1152.2713366666701"/>
    <x v="9"/>
  </r>
  <r>
    <x v="0"/>
    <x v="11"/>
    <n v="5"/>
    <x v="7"/>
    <d v="2023-09-01T00:00:00"/>
    <n v="1162.2713366666701"/>
    <x v="10"/>
  </r>
  <r>
    <x v="0"/>
    <x v="11"/>
    <n v="5"/>
    <x v="7"/>
    <d v="2023-09-01T00:00:00"/>
    <n v="12007.1653366667"/>
    <x v="11"/>
  </r>
  <r>
    <x v="0"/>
    <x v="11"/>
    <n v="5"/>
    <x v="7"/>
    <d v="2023-09-01T00:00:00"/>
    <n v="24726.98402"/>
    <x v="12"/>
  </r>
  <r>
    <x v="0"/>
    <x v="11"/>
    <n v="6"/>
    <x v="8"/>
    <d v="2023-09-01T00:00:00"/>
    <n v="1040.511"/>
    <x v="0"/>
  </r>
  <r>
    <x v="0"/>
    <x v="11"/>
    <n v="6"/>
    <x v="8"/>
    <d v="2023-09-01T00:00:00"/>
    <n v="1388.27297"/>
    <x v="1"/>
  </r>
  <r>
    <x v="0"/>
    <x v="11"/>
    <n v="6"/>
    <x v="8"/>
    <d v="2023-09-01T00:00:00"/>
    <n v="905.70600000000002"/>
    <x v="2"/>
  </r>
  <r>
    <x v="0"/>
    <x v="11"/>
    <n v="6"/>
    <x v="8"/>
    <d v="2023-09-01T00:00:00"/>
    <n v="1079.73603"/>
    <x v="3"/>
  </r>
  <r>
    <x v="0"/>
    <x v="11"/>
    <n v="6"/>
    <x v="8"/>
    <d v="2023-09-01T00:00:00"/>
    <n v="1207.482"/>
    <x v="4"/>
  </r>
  <r>
    <x v="0"/>
    <x v="11"/>
    <n v="6"/>
    <x v="8"/>
    <d v="2023-09-01T00:00:00"/>
    <n v="1529.4659999999999"/>
    <x v="5"/>
  </r>
  <r>
    <x v="0"/>
    <x v="11"/>
    <n v="6"/>
    <x v="8"/>
    <d v="2023-09-01T00:00:00"/>
    <n v="1264.0706666666699"/>
    <x v="6"/>
  </r>
  <r>
    <x v="0"/>
    <x v="11"/>
    <n v="6"/>
    <x v="8"/>
    <d v="2023-09-01T00:00:00"/>
    <n v="1289.0706666666699"/>
    <x v="7"/>
  </r>
  <r>
    <x v="0"/>
    <x v="11"/>
    <n v="6"/>
    <x v="8"/>
    <d v="2023-09-01T00:00:00"/>
    <n v="1265.0706666666699"/>
    <x v="8"/>
  </r>
  <r>
    <x v="0"/>
    <x v="11"/>
    <n v="6"/>
    <x v="8"/>
    <d v="2023-09-01T00:00:00"/>
    <n v="1280.0706666666699"/>
    <x v="9"/>
  </r>
  <r>
    <x v="0"/>
    <x v="11"/>
    <n v="6"/>
    <x v="8"/>
    <d v="2023-09-01T00:00:00"/>
    <n v="1285.0746666666701"/>
    <x v="10"/>
  </r>
  <r>
    <x v="0"/>
    <x v="11"/>
    <n v="6"/>
    <x v="8"/>
    <d v="2023-09-01T00:00:00"/>
    <n v="1292.9846666666699"/>
    <x v="11"/>
  </r>
  <r>
    <x v="0"/>
    <x v="11"/>
    <n v="6"/>
    <x v="8"/>
    <d v="2023-09-01T00:00:00"/>
    <n v="14827.516"/>
    <x v="12"/>
  </r>
  <r>
    <x v="0"/>
    <x v="11"/>
    <n v="7"/>
    <x v="9"/>
    <d v="2023-09-01T00:00:00"/>
    <n v="14798.046"/>
    <x v="0"/>
  </r>
  <r>
    <x v="0"/>
    <x v="11"/>
    <n v="7"/>
    <x v="9"/>
    <d v="2023-09-01T00:00:00"/>
    <n v="14975.25"/>
    <x v="1"/>
  </r>
  <r>
    <x v="0"/>
    <x v="11"/>
    <n v="7"/>
    <x v="9"/>
    <d v="2023-09-01T00:00:00"/>
    <n v="16866.638480000001"/>
    <x v="2"/>
  </r>
  <r>
    <x v="0"/>
    <x v="11"/>
    <n v="7"/>
    <x v="9"/>
    <d v="2023-09-01T00:00:00"/>
    <n v="16850.151030000001"/>
    <x v="3"/>
  </r>
  <r>
    <x v="0"/>
    <x v="11"/>
    <n v="7"/>
    <x v="9"/>
    <d v="2023-09-01T00:00:00"/>
    <n v="16192.233"/>
    <x v="4"/>
  </r>
  <r>
    <x v="0"/>
    <x v="11"/>
    <n v="7"/>
    <x v="9"/>
    <d v="2023-09-01T00:00:00"/>
    <n v="17089.043949999999"/>
    <x v="5"/>
  </r>
  <r>
    <x v="0"/>
    <x v="11"/>
    <n v="7"/>
    <x v="9"/>
    <d v="2023-09-01T00:00:00"/>
    <n v="16806.793913333298"/>
    <x v="6"/>
  </r>
  <r>
    <x v="0"/>
    <x v="11"/>
    <n v="7"/>
    <x v="9"/>
    <d v="2023-09-01T00:00:00"/>
    <n v="16792.7220033333"/>
    <x v="7"/>
  </r>
  <r>
    <x v="0"/>
    <x v="11"/>
    <n v="7"/>
    <x v="9"/>
    <d v="2023-09-01T00:00:00"/>
    <n v="16889.7220033333"/>
    <x v="8"/>
  </r>
  <r>
    <x v="0"/>
    <x v="11"/>
    <n v="7"/>
    <x v="9"/>
    <d v="2023-09-01T00:00:00"/>
    <n v="16914.721003333299"/>
    <x v="9"/>
  </r>
  <r>
    <x v="0"/>
    <x v="11"/>
    <n v="7"/>
    <x v="9"/>
    <d v="2023-09-01T00:00:00"/>
    <n v="16929.7250033333"/>
    <x v="10"/>
  </r>
  <r>
    <x v="0"/>
    <x v="11"/>
    <n v="7"/>
    <x v="9"/>
    <d v="2023-09-01T00:00:00"/>
    <n v="27691.4930033333"/>
    <x v="11"/>
  </r>
  <r>
    <x v="0"/>
    <x v="11"/>
    <n v="7"/>
    <x v="9"/>
    <d v="2023-09-01T00:00:00"/>
    <n v="208796.53938999999"/>
    <x v="12"/>
  </r>
  <r>
    <x v="0"/>
    <x v="11"/>
    <n v="8"/>
    <x v="11"/>
    <d v="2023-09-01T00:00:00"/>
    <n v="0"/>
    <x v="0"/>
  </r>
  <r>
    <x v="0"/>
    <x v="11"/>
    <n v="8"/>
    <x v="11"/>
    <d v="2023-09-01T00:00:00"/>
    <n v="0"/>
    <x v="1"/>
  </r>
  <r>
    <x v="0"/>
    <x v="11"/>
    <n v="8"/>
    <x v="11"/>
    <d v="2023-09-01T00:00:00"/>
    <n v="0"/>
    <x v="2"/>
  </r>
  <r>
    <x v="0"/>
    <x v="11"/>
    <n v="8"/>
    <x v="11"/>
    <d v="2023-09-01T00:00:00"/>
    <n v="0"/>
    <x v="3"/>
  </r>
  <r>
    <x v="0"/>
    <x v="11"/>
    <n v="8"/>
    <x v="11"/>
    <d v="2023-09-01T00:00:00"/>
    <n v="0"/>
    <x v="4"/>
  </r>
  <r>
    <x v="0"/>
    <x v="11"/>
    <n v="8"/>
    <x v="11"/>
    <d v="2023-09-01T00:00:00"/>
    <n v="0"/>
    <x v="5"/>
  </r>
  <r>
    <x v="0"/>
    <x v="11"/>
    <n v="8"/>
    <x v="11"/>
    <d v="2023-09-01T00:00:00"/>
    <n v="0"/>
    <x v="6"/>
  </r>
  <r>
    <x v="0"/>
    <x v="11"/>
    <n v="8"/>
    <x v="11"/>
    <d v="2023-09-01T00:00:00"/>
    <n v="0"/>
    <x v="7"/>
  </r>
  <r>
    <x v="0"/>
    <x v="11"/>
    <n v="8"/>
    <x v="11"/>
    <d v="2023-09-01T00:00:00"/>
    <n v="0"/>
    <x v="8"/>
  </r>
  <r>
    <x v="0"/>
    <x v="11"/>
    <n v="8"/>
    <x v="11"/>
    <d v="2023-09-01T00:00:00"/>
    <n v="0"/>
    <x v="9"/>
  </r>
  <r>
    <x v="0"/>
    <x v="11"/>
    <n v="8"/>
    <x v="11"/>
    <d v="2023-09-01T00:00:00"/>
    <n v="0"/>
    <x v="10"/>
  </r>
  <r>
    <x v="0"/>
    <x v="11"/>
    <n v="8"/>
    <x v="11"/>
    <d v="2023-09-01T00:00:00"/>
    <n v="0"/>
    <x v="11"/>
  </r>
  <r>
    <x v="0"/>
    <x v="11"/>
    <n v="8"/>
    <x v="11"/>
    <d v="2023-09-01T00:00:00"/>
    <n v="0"/>
    <x v="12"/>
  </r>
  <r>
    <x v="0"/>
    <x v="11"/>
    <n v="9"/>
    <x v="10"/>
    <d v="2023-09-01T00:00:00"/>
    <n v="0"/>
    <x v="0"/>
  </r>
  <r>
    <x v="0"/>
    <x v="11"/>
    <n v="9"/>
    <x v="10"/>
    <d v="2023-09-01T00:00:00"/>
    <n v="0"/>
    <x v="1"/>
  </r>
  <r>
    <x v="0"/>
    <x v="11"/>
    <n v="9"/>
    <x v="10"/>
    <d v="2023-09-01T00:00:00"/>
    <n v="0"/>
    <x v="2"/>
  </r>
  <r>
    <x v="0"/>
    <x v="11"/>
    <n v="9"/>
    <x v="10"/>
    <d v="2023-09-01T00:00:00"/>
    <n v="0"/>
    <x v="3"/>
  </r>
  <r>
    <x v="0"/>
    <x v="11"/>
    <n v="9"/>
    <x v="10"/>
    <d v="2023-09-01T00:00:00"/>
    <n v="0"/>
    <x v="4"/>
  </r>
  <r>
    <x v="0"/>
    <x v="11"/>
    <n v="9"/>
    <x v="10"/>
    <d v="2023-09-01T00:00:00"/>
    <n v="0"/>
    <x v="5"/>
  </r>
  <r>
    <x v="0"/>
    <x v="11"/>
    <n v="9"/>
    <x v="10"/>
    <d v="2023-09-01T00:00:00"/>
    <n v="0"/>
    <x v="6"/>
  </r>
  <r>
    <x v="0"/>
    <x v="11"/>
    <n v="9"/>
    <x v="10"/>
    <d v="2023-09-01T00:00:00"/>
    <n v="0"/>
    <x v="7"/>
  </r>
  <r>
    <x v="0"/>
    <x v="11"/>
    <n v="9"/>
    <x v="10"/>
    <d v="2023-09-01T00:00:00"/>
    <n v="0"/>
    <x v="8"/>
  </r>
  <r>
    <x v="0"/>
    <x v="11"/>
    <n v="9"/>
    <x v="10"/>
    <d v="2023-09-01T00:00:00"/>
    <n v="0"/>
    <x v="9"/>
  </r>
  <r>
    <x v="0"/>
    <x v="11"/>
    <n v="9"/>
    <x v="10"/>
    <d v="2023-09-01T00:00:00"/>
    <n v="0"/>
    <x v="10"/>
  </r>
  <r>
    <x v="0"/>
    <x v="11"/>
    <n v="9"/>
    <x v="10"/>
    <d v="2023-09-01T00:00:00"/>
    <n v="0"/>
    <x v="11"/>
  </r>
  <r>
    <x v="0"/>
    <x v="11"/>
    <n v="9"/>
    <x v="10"/>
    <d v="2023-09-01T00:00:00"/>
    <n v="0"/>
    <x v="12"/>
  </r>
  <r>
    <x v="0"/>
    <x v="11"/>
    <n v="10"/>
    <x v="0"/>
    <d v="2023-09-01T00:00:00"/>
    <n v="6327.8829999999998"/>
    <x v="0"/>
  </r>
  <r>
    <x v="0"/>
    <x v="11"/>
    <n v="10"/>
    <x v="0"/>
    <d v="2023-09-01T00:00:00"/>
    <n v="6674.884"/>
    <x v="1"/>
  </r>
  <r>
    <x v="0"/>
    <x v="11"/>
    <n v="10"/>
    <x v="0"/>
    <d v="2023-09-01T00:00:00"/>
    <n v="7978.4359999999997"/>
    <x v="2"/>
  </r>
  <r>
    <x v="0"/>
    <x v="11"/>
    <n v="10"/>
    <x v="0"/>
    <d v="2023-09-01T00:00:00"/>
    <n v="7716.91806"/>
    <x v="3"/>
  </r>
  <r>
    <x v="0"/>
    <x v="11"/>
    <n v="10"/>
    <x v="0"/>
    <d v="2023-09-01T00:00:00"/>
    <n v="6802.3389999999999"/>
    <x v="4"/>
  </r>
  <r>
    <x v="0"/>
    <x v="11"/>
    <n v="10"/>
    <x v="0"/>
    <d v="2023-09-01T00:00:00"/>
    <n v="7092.7049999999999"/>
    <x v="5"/>
  </r>
  <r>
    <x v="0"/>
    <x v="11"/>
    <n v="10"/>
    <x v="0"/>
    <d v="2023-09-01T00:00:00"/>
    <n v="6943.1594299999997"/>
    <x v="6"/>
  </r>
  <r>
    <x v="0"/>
    <x v="11"/>
    <n v="10"/>
    <x v="0"/>
    <d v="2023-09-01T00:00:00"/>
    <n v="6973.1854300000005"/>
    <x v="7"/>
  </r>
  <r>
    <x v="0"/>
    <x v="11"/>
    <n v="10"/>
    <x v="0"/>
    <d v="2023-09-01T00:00:00"/>
    <n v="6998.1844300000002"/>
    <x v="8"/>
  </r>
  <r>
    <x v="0"/>
    <x v="11"/>
    <n v="10"/>
    <x v="0"/>
    <d v="2023-09-01T00:00:00"/>
    <n v="7028.1844300000002"/>
    <x v="9"/>
  </r>
  <r>
    <x v="0"/>
    <x v="11"/>
    <n v="10"/>
    <x v="0"/>
    <d v="2023-09-01T00:00:00"/>
    <n v="7033.1844300000002"/>
    <x v="10"/>
  </r>
  <r>
    <x v="0"/>
    <x v="11"/>
    <n v="10"/>
    <x v="0"/>
    <d v="2023-09-01T00:00:00"/>
    <n v="7033.1844300000002"/>
    <x v="11"/>
  </r>
  <r>
    <x v="0"/>
    <x v="11"/>
    <n v="10"/>
    <x v="0"/>
    <d v="2023-09-01T00:00:00"/>
    <n v="84602.247640000001"/>
    <x v="12"/>
  </r>
  <r>
    <x v="0"/>
    <x v="11"/>
    <n v="11"/>
    <x v="1"/>
    <d v="2023-09-01T00:00:00"/>
    <n v="3255.6666666666702"/>
    <x v="0"/>
  </r>
  <r>
    <x v="0"/>
    <x v="11"/>
    <n v="11"/>
    <x v="1"/>
    <d v="2023-09-01T00:00:00"/>
    <n v="3670.1666666666702"/>
    <x v="1"/>
  </r>
  <r>
    <x v="0"/>
    <x v="11"/>
    <n v="11"/>
    <x v="1"/>
    <d v="2023-09-01T00:00:00"/>
    <n v="3400.6666666666702"/>
    <x v="2"/>
  </r>
  <r>
    <x v="0"/>
    <x v="11"/>
    <n v="11"/>
    <x v="1"/>
    <d v="2023-09-01T00:00:00"/>
    <n v="4130.74444444444"/>
    <x v="3"/>
  </r>
  <r>
    <x v="0"/>
    <x v="11"/>
    <n v="11"/>
    <x v="1"/>
    <d v="2023-09-01T00:00:00"/>
    <n v="3678.2194444444399"/>
    <x v="4"/>
  </r>
  <r>
    <x v="0"/>
    <x v="11"/>
    <n v="11"/>
    <x v="1"/>
    <d v="2023-09-01T00:00:00"/>
    <n v="4331.8944444444396"/>
    <x v="5"/>
  </r>
  <r>
    <x v="0"/>
    <x v="11"/>
    <n v="11"/>
    <x v="1"/>
    <d v="2023-09-01T00:00:00"/>
    <n v="4276.8622611111095"/>
    <x v="6"/>
  </r>
  <r>
    <x v="0"/>
    <x v="11"/>
    <n v="11"/>
    <x v="1"/>
    <d v="2023-09-01T00:00:00"/>
    <n v="4225.76435111111"/>
    <x v="7"/>
  </r>
  <r>
    <x v="0"/>
    <x v="11"/>
    <n v="11"/>
    <x v="1"/>
    <d v="2023-09-01T00:00:00"/>
    <n v="4297.7653511111102"/>
    <x v="8"/>
  </r>
  <r>
    <x v="0"/>
    <x v="11"/>
    <n v="11"/>
    <x v="1"/>
    <d v="2023-09-01T00:00:00"/>
    <n v="4292.76435111111"/>
    <x v="9"/>
  </r>
  <r>
    <x v="0"/>
    <x v="11"/>
    <n v="11"/>
    <x v="1"/>
    <d v="2023-09-01T00:00:00"/>
    <n v="4302.76835111111"/>
    <x v="10"/>
  </r>
  <r>
    <x v="0"/>
    <x v="11"/>
    <n v="11"/>
    <x v="1"/>
    <d v="2023-09-01T00:00:00"/>
    <n v="4085.53635111111"/>
    <x v="11"/>
  </r>
  <r>
    <x v="0"/>
    <x v="11"/>
    <n v="11"/>
    <x v="1"/>
    <d v="2023-09-01T00:00:00"/>
    <n v="47948.819349999998"/>
    <x v="12"/>
  </r>
  <r>
    <x v="0"/>
    <x v="11"/>
    <n v="12"/>
    <x v="2"/>
    <d v="2023-09-01T00:00:00"/>
    <n v="4659"/>
    <x v="0"/>
  </r>
  <r>
    <x v="0"/>
    <x v="11"/>
    <n v="12"/>
    <x v="2"/>
    <d v="2023-09-01T00:00:00"/>
    <n v="4073"/>
    <x v="1"/>
  </r>
  <r>
    <x v="0"/>
    <x v="11"/>
    <n v="12"/>
    <x v="2"/>
    <d v="2023-09-01T00:00:00"/>
    <n v="4935"/>
    <x v="2"/>
  </r>
  <r>
    <x v="0"/>
    <x v="11"/>
    <n v="12"/>
    <x v="2"/>
    <d v="2023-09-01T00:00:00"/>
    <n v="4590"/>
    <x v="3"/>
  </r>
  <r>
    <x v="0"/>
    <x v="11"/>
    <n v="12"/>
    <x v="2"/>
    <d v="2023-09-01T00:00:00"/>
    <n v="4998"/>
    <x v="4"/>
  </r>
  <r>
    <x v="0"/>
    <x v="11"/>
    <n v="12"/>
    <x v="2"/>
    <d v="2023-09-01T00:00:00"/>
    <n v="4953"/>
    <x v="5"/>
  </r>
  <r>
    <x v="0"/>
    <x v="11"/>
    <n v="12"/>
    <x v="2"/>
    <d v="2023-09-01T00:00:00"/>
    <n v="4885"/>
    <x v="6"/>
  </r>
  <r>
    <x v="0"/>
    <x v="11"/>
    <n v="12"/>
    <x v="2"/>
    <d v="2023-09-01T00:00:00"/>
    <n v="4885"/>
    <x v="7"/>
  </r>
  <r>
    <x v="0"/>
    <x v="11"/>
    <n v="12"/>
    <x v="2"/>
    <d v="2023-09-01T00:00:00"/>
    <n v="4885"/>
    <x v="8"/>
  </r>
  <r>
    <x v="0"/>
    <x v="11"/>
    <n v="12"/>
    <x v="2"/>
    <d v="2023-09-01T00:00:00"/>
    <n v="4885"/>
    <x v="9"/>
  </r>
  <r>
    <x v="0"/>
    <x v="11"/>
    <n v="12"/>
    <x v="2"/>
    <d v="2023-09-01T00:00:00"/>
    <n v="4885"/>
    <x v="10"/>
  </r>
  <r>
    <x v="0"/>
    <x v="11"/>
    <n v="12"/>
    <x v="2"/>
    <d v="2023-09-01T00:00:00"/>
    <n v="4885"/>
    <x v="11"/>
  </r>
  <r>
    <x v="0"/>
    <x v="11"/>
    <n v="12"/>
    <x v="2"/>
    <d v="2023-09-01T00:00:00"/>
    <n v="57518"/>
    <x v="12"/>
  </r>
  <r>
    <x v="0"/>
    <x v="11"/>
    <n v="13"/>
    <x v="12"/>
    <d v="2023-09-01T00:00:00"/>
    <n v="0"/>
    <x v="0"/>
  </r>
  <r>
    <x v="0"/>
    <x v="11"/>
    <n v="13"/>
    <x v="12"/>
    <d v="2023-09-01T00:00:00"/>
    <n v="0"/>
    <x v="1"/>
  </r>
  <r>
    <x v="0"/>
    <x v="11"/>
    <n v="13"/>
    <x v="12"/>
    <d v="2023-09-01T00:00:00"/>
    <n v="0"/>
    <x v="2"/>
  </r>
  <r>
    <x v="0"/>
    <x v="11"/>
    <n v="13"/>
    <x v="12"/>
    <d v="2023-09-01T00:00:00"/>
    <n v="0"/>
    <x v="3"/>
  </r>
  <r>
    <x v="0"/>
    <x v="11"/>
    <n v="13"/>
    <x v="12"/>
    <d v="2023-09-01T00:00:00"/>
    <n v="0"/>
    <x v="4"/>
  </r>
  <r>
    <x v="0"/>
    <x v="11"/>
    <n v="13"/>
    <x v="12"/>
    <d v="2023-09-01T00:00:00"/>
    <n v="0"/>
    <x v="5"/>
  </r>
  <r>
    <x v="0"/>
    <x v="11"/>
    <n v="13"/>
    <x v="12"/>
    <d v="2023-09-01T00:00:00"/>
    <n v="0"/>
    <x v="6"/>
  </r>
  <r>
    <x v="0"/>
    <x v="11"/>
    <n v="13"/>
    <x v="12"/>
    <d v="2023-09-01T00:00:00"/>
    <n v="0"/>
    <x v="7"/>
  </r>
  <r>
    <x v="0"/>
    <x v="11"/>
    <n v="13"/>
    <x v="12"/>
    <d v="2023-09-01T00:00:00"/>
    <n v="0"/>
    <x v="8"/>
  </r>
  <r>
    <x v="0"/>
    <x v="11"/>
    <n v="13"/>
    <x v="12"/>
    <d v="2023-09-01T00:00:00"/>
    <n v="0"/>
    <x v="9"/>
  </r>
  <r>
    <x v="0"/>
    <x v="11"/>
    <n v="13"/>
    <x v="12"/>
    <d v="2023-09-01T00:00:00"/>
    <n v="0"/>
    <x v="10"/>
  </r>
  <r>
    <x v="0"/>
    <x v="11"/>
    <n v="13"/>
    <x v="12"/>
    <d v="2023-09-01T00:00:00"/>
    <n v="0"/>
    <x v="11"/>
  </r>
  <r>
    <x v="0"/>
    <x v="11"/>
    <n v="13"/>
    <x v="12"/>
    <d v="2023-09-01T00:00:00"/>
    <n v="0"/>
    <x v="12"/>
  </r>
  <r>
    <x v="0"/>
    <x v="11"/>
    <n v="14"/>
    <x v="13"/>
    <d v="2023-09-01T00:00:00"/>
    <n v="0"/>
    <x v="0"/>
  </r>
  <r>
    <x v="0"/>
    <x v="11"/>
    <n v="14"/>
    <x v="13"/>
    <d v="2023-09-01T00:00:00"/>
    <n v="0"/>
    <x v="1"/>
  </r>
  <r>
    <x v="0"/>
    <x v="11"/>
    <n v="14"/>
    <x v="13"/>
    <d v="2023-09-01T00:00:00"/>
    <n v="0"/>
    <x v="2"/>
  </r>
  <r>
    <x v="0"/>
    <x v="11"/>
    <n v="14"/>
    <x v="13"/>
    <d v="2023-09-01T00:00:00"/>
    <n v="0"/>
    <x v="3"/>
  </r>
  <r>
    <x v="0"/>
    <x v="11"/>
    <n v="14"/>
    <x v="13"/>
    <d v="2023-09-01T00:00:00"/>
    <n v="0"/>
    <x v="4"/>
  </r>
  <r>
    <x v="0"/>
    <x v="11"/>
    <n v="14"/>
    <x v="13"/>
    <d v="2023-09-01T00:00:00"/>
    <n v="0"/>
    <x v="5"/>
  </r>
  <r>
    <x v="0"/>
    <x v="11"/>
    <n v="14"/>
    <x v="13"/>
    <d v="2023-09-01T00:00:00"/>
    <n v="0"/>
    <x v="6"/>
  </r>
  <r>
    <x v="0"/>
    <x v="11"/>
    <n v="14"/>
    <x v="13"/>
    <d v="2023-09-01T00:00:00"/>
    <n v="0"/>
    <x v="7"/>
  </r>
  <r>
    <x v="0"/>
    <x v="11"/>
    <n v="14"/>
    <x v="13"/>
    <d v="2023-09-01T00:00:00"/>
    <n v="0"/>
    <x v="8"/>
  </r>
  <r>
    <x v="0"/>
    <x v="11"/>
    <n v="14"/>
    <x v="13"/>
    <d v="2023-09-01T00:00:00"/>
    <n v="0"/>
    <x v="9"/>
  </r>
  <r>
    <x v="0"/>
    <x v="11"/>
    <n v="14"/>
    <x v="13"/>
    <d v="2023-09-01T00:00:00"/>
    <n v="0"/>
    <x v="10"/>
  </r>
  <r>
    <x v="0"/>
    <x v="11"/>
    <n v="14"/>
    <x v="13"/>
    <d v="2023-09-01T00:00:00"/>
    <n v="0"/>
    <x v="11"/>
  </r>
  <r>
    <x v="0"/>
    <x v="11"/>
    <n v="14"/>
    <x v="13"/>
    <d v="2023-09-01T00:00:00"/>
    <n v="0"/>
    <x v="12"/>
  </r>
  <r>
    <x v="0"/>
    <x v="11"/>
    <n v="15"/>
    <x v="14"/>
    <d v="2023-09-01T00:00:00"/>
    <n v="0"/>
    <x v="0"/>
  </r>
  <r>
    <x v="0"/>
    <x v="11"/>
    <n v="15"/>
    <x v="14"/>
    <d v="2023-09-01T00:00:00"/>
    <n v="0"/>
    <x v="1"/>
  </r>
  <r>
    <x v="0"/>
    <x v="11"/>
    <n v="15"/>
    <x v="14"/>
    <d v="2023-09-01T00:00:00"/>
    <n v="0"/>
    <x v="2"/>
  </r>
  <r>
    <x v="0"/>
    <x v="11"/>
    <n v="15"/>
    <x v="14"/>
    <d v="2023-09-01T00:00:00"/>
    <n v="0"/>
    <x v="3"/>
  </r>
  <r>
    <x v="0"/>
    <x v="11"/>
    <n v="15"/>
    <x v="14"/>
    <d v="2023-09-01T00:00:00"/>
    <n v="0"/>
    <x v="4"/>
  </r>
  <r>
    <x v="0"/>
    <x v="11"/>
    <n v="15"/>
    <x v="14"/>
    <d v="2023-09-01T00:00:00"/>
    <n v="0"/>
    <x v="5"/>
  </r>
  <r>
    <x v="0"/>
    <x v="11"/>
    <n v="15"/>
    <x v="14"/>
    <d v="2023-09-01T00:00:00"/>
    <n v="0"/>
    <x v="6"/>
  </r>
  <r>
    <x v="0"/>
    <x v="11"/>
    <n v="15"/>
    <x v="14"/>
    <d v="2023-09-01T00:00:00"/>
    <n v="0"/>
    <x v="7"/>
  </r>
  <r>
    <x v="0"/>
    <x v="11"/>
    <n v="15"/>
    <x v="14"/>
    <d v="2023-09-01T00:00:00"/>
    <n v="0"/>
    <x v="8"/>
  </r>
  <r>
    <x v="0"/>
    <x v="11"/>
    <n v="15"/>
    <x v="14"/>
    <d v="2023-09-01T00:00:00"/>
    <n v="0"/>
    <x v="9"/>
  </r>
  <r>
    <x v="0"/>
    <x v="11"/>
    <n v="15"/>
    <x v="14"/>
    <d v="2023-09-01T00:00:00"/>
    <n v="0"/>
    <x v="10"/>
  </r>
  <r>
    <x v="0"/>
    <x v="11"/>
    <n v="15"/>
    <x v="14"/>
    <d v="2023-09-01T00:00:00"/>
    <n v="0"/>
    <x v="11"/>
  </r>
  <r>
    <x v="0"/>
    <x v="11"/>
    <n v="15"/>
    <x v="14"/>
    <d v="2023-09-01T00:00:00"/>
    <n v="0"/>
    <x v="12"/>
  </r>
  <r>
    <x v="0"/>
    <x v="11"/>
    <n v="16"/>
    <x v="15"/>
    <d v="2023-09-01T00:00:00"/>
    <n v="0"/>
    <x v="0"/>
  </r>
  <r>
    <x v="0"/>
    <x v="11"/>
    <n v="16"/>
    <x v="15"/>
    <d v="2023-09-01T00:00:00"/>
    <n v="0"/>
    <x v="1"/>
  </r>
  <r>
    <x v="0"/>
    <x v="11"/>
    <n v="16"/>
    <x v="15"/>
    <d v="2023-09-01T00:00:00"/>
    <n v="0"/>
    <x v="2"/>
  </r>
  <r>
    <x v="0"/>
    <x v="11"/>
    <n v="16"/>
    <x v="15"/>
    <d v="2023-09-01T00:00:00"/>
    <n v="0"/>
    <x v="3"/>
  </r>
  <r>
    <x v="0"/>
    <x v="11"/>
    <n v="16"/>
    <x v="15"/>
    <d v="2023-09-01T00:00:00"/>
    <n v="0"/>
    <x v="4"/>
  </r>
  <r>
    <x v="0"/>
    <x v="11"/>
    <n v="16"/>
    <x v="15"/>
    <d v="2023-09-01T00:00:00"/>
    <n v="0"/>
    <x v="5"/>
  </r>
  <r>
    <x v="0"/>
    <x v="11"/>
    <n v="16"/>
    <x v="15"/>
    <d v="2023-09-01T00:00:00"/>
    <n v="0"/>
    <x v="6"/>
  </r>
  <r>
    <x v="0"/>
    <x v="11"/>
    <n v="16"/>
    <x v="15"/>
    <d v="2023-09-01T00:00:00"/>
    <n v="0"/>
    <x v="7"/>
  </r>
  <r>
    <x v="0"/>
    <x v="11"/>
    <n v="16"/>
    <x v="15"/>
    <d v="2023-09-01T00:00:00"/>
    <n v="0"/>
    <x v="8"/>
  </r>
  <r>
    <x v="0"/>
    <x v="11"/>
    <n v="16"/>
    <x v="15"/>
    <d v="2023-09-01T00:00:00"/>
    <n v="0"/>
    <x v="9"/>
  </r>
  <r>
    <x v="0"/>
    <x v="11"/>
    <n v="16"/>
    <x v="15"/>
    <d v="2023-09-01T00:00:00"/>
    <n v="0"/>
    <x v="10"/>
  </r>
  <r>
    <x v="0"/>
    <x v="11"/>
    <n v="16"/>
    <x v="15"/>
    <d v="2023-09-01T00:00:00"/>
    <n v="0"/>
    <x v="11"/>
  </r>
  <r>
    <x v="0"/>
    <x v="11"/>
    <n v="16"/>
    <x v="15"/>
    <d v="2023-09-01T00:00:00"/>
    <n v="0"/>
    <x v="12"/>
  </r>
  <r>
    <x v="0"/>
    <x v="11"/>
    <n v="17"/>
    <x v="16"/>
    <d v="2023-09-01T00:00:00"/>
    <n v="0"/>
    <x v="0"/>
  </r>
  <r>
    <x v="0"/>
    <x v="11"/>
    <n v="17"/>
    <x v="16"/>
    <d v="2023-09-01T00:00:00"/>
    <n v="0"/>
    <x v="1"/>
  </r>
  <r>
    <x v="0"/>
    <x v="11"/>
    <n v="17"/>
    <x v="16"/>
    <d v="2023-09-01T00:00:00"/>
    <n v="0"/>
    <x v="2"/>
  </r>
  <r>
    <x v="0"/>
    <x v="11"/>
    <n v="17"/>
    <x v="16"/>
    <d v="2023-09-01T00:00:00"/>
    <n v="0"/>
    <x v="3"/>
  </r>
  <r>
    <x v="0"/>
    <x v="11"/>
    <n v="17"/>
    <x v="16"/>
    <d v="2023-09-01T00:00:00"/>
    <n v="0"/>
    <x v="4"/>
  </r>
  <r>
    <x v="0"/>
    <x v="11"/>
    <n v="17"/>
    <x v="16"/>
    <d v="2023-09-01T00:00:00"/>
    <n v="0"/>
    <x v="5"/>
  </r>
  <r>
    <x v="0"/>
    <x v="11"/>
    <n v="17"/>
    <x v="16"/>
    <d v="2023-09-01T00:00:00"/>
    <n v="0"/>
    <x v="6"/>
  </r>
  <r>
    <x v="0"/>
    <x v="11"/>
    <n v="17"/>
    <x v="16"/>
    <d v="2023-09-01T00:00:00"/>
    <n v="0"/>
    <x v="7"/>
  </r>
  <r>
    <x v="0"/>
    <x v="11"/>
    <n v="17"/>
    <x v="16"/>
    <d v="2023-09-01T00:00:00"/>
    <n v="0"/>
    <x v="8"/>
  </r>
  <r>
    <x v="0"/>
    <x v="11"/>
    <n v="17"/>
    <x v="16"/>
    <d v="2023-09-01T00:00:00"/>
    <n v="0"/>
    <x v="9"/>
  </r>
  <r>
    <x v="0"/>
    <x v="11"/>
    <n v="17"/>
    <x v="16"/>
    <d v="2023-09-01T00:00:00"/>
    <n v="0"/>
    <x v="10"/>
  </r>
  <r>
    <x v="0"/>
    <x v="11"/>
    <n v="17"/>
    <x v="16"/>
    <d v="2023-09-01T00:00:00"/>
    <n v="0"/>
    <x v="11"/>
  </r>
  <r>
    <x v="0"/>
    <x v="11"/>
    <n v="17"/>
    <x v="16"/>
    <d v="2023-09-01T00:00:00"/>
    <n v="0"/>
    <x v="12"/>
  </r>
  <r>
    <x v="0"/>
    <x v="11"/>
    <n v="18"/>
    <x v="17"/>
    <d v="2023-09-01T00:00:00"/>
    <n v="0"/>
    <x v="0"/>
  </r>
  <r>
    <x v="0"/>
    <x v="11"/>
    <n v="18"/>
    <x v="17"/>
    <d v="2023-09-01T00:00:00"/>
    <n v="0"/>
    <x v="1"/>
  </r>
  <r>
    <x v="0"/>
    <x v="11"/>
    <n v="18"/>
    <x v="17"/>
    <d v="2023-09-01T00:00:00"/>
    <n v="0"/>
    <x v="2"/>
  </r>
  <r>
    <x v="0"/>
    <x v="11"/>
    <n v="18"/>
    <x v="17"/>
    <d v="2023-09-01T00:00:00"/>
    <n v="0"/>
    <x v="3"/>
  </r>
  <r>
    <x v="0"/>
    <x v="11"/>
    <n v="18"/>
    <x v="17"/>
    <d v="2023-09-01T00:00:00"/>
    <n v="0"/>
    <x v="4"/>
  </r>
  <r>
    <x v="0"/>
    <x v="11"/>
    <n v="18"/>
    <x v="17"/>
    <d v="2023-09-01T00:00:00"/>
    <n v="0"/>
    <x v="5"/>
  </r>
  <r>
    <x v="0"/>
    <x v="11"/>
    <n v="18"/>
    <x v="17"/>
    <d v="2023-09-01T00:00:00"/>
    <n v="0"/>
    <x v="6"/>
  </r>
  <r>
    <x v="0"/>
    <x v="11"/>
    <n v="18"/>
    <x v="17"/>
    <d v="2023-09-01T00:00:00"/>
    <n v="0"/>
    <x v="7"/>
  </r>
  <r>
    <x v="0"/>
    <x v="11"/>
    <n v="18"/>
    <x v="17"/>
    <d v="2023-09-01T00:00:00"/>
    <n v="0"/>
    <x v="8"/>
  </r>
  <r>
    <x v="0"/>
    <x v="11"/>
    <n v="18"/>
    <x v="17"/>
    <d v="2023-09-01T00:00:00"/>
    <n v="0"/>
    <x v="9"/>
  </r>
  <r>
    <x v="0"/>
    <x v="11"/>
    <n v="18"/>
    <x v="17"/>
    <d v="2023-09-01T00:00:00"/>
    <n v="0"/>
    <x v="10"/>
  </r>
  <r>
    <x v="0"/>
    <x v="11"/>
    <n v="18"/>
    <x v="17"/>
    <d v="2023-09-01T00:00:00"/>
    <n v="0"/>
    <x v="11"/>
  </r>
  <r>
    <x v="0"/>
    <x v="11"/>
    <n v="18"/>
    <x v="17"/>
    <d v="2023-09-01T00:00:00"/>
    <n v="0"/>
    <x v="12"/>
  </r>
  <r>
    <x v="0"/>
    <x v="11"/>
    <n v="19"/>
    <x v="18"/>
    <d v="2023-09-01T00:00:00"/>
    <n v="0"/>
    <x v="0"/>
  </r>
  <r>
    <x v="0"/>
    <x v="11"/>
    <n v="19"/>
    <x v="18"/>
    <d v="2023-09-01T00:00:00"/>
    <n v="0"/>
    <x v="1"/>
  </r>
  <r>
    <x v="0"/>
    <x v="11"/>
    <n v="19"/>
    <x v="18"/>
    <d v="2023-09-01T00:00:00"/>
    <n v="0"/>
    <x v="2"/>
  </r>
  <r>
    <x v="0"/>
    <x v="11"/>
    <n v="19"/>
    <x v="18"/>
    <d v="2023-09-01T00:00:00"/>
    <n v="0"/>
    <x v="3"/>
  </r>
  <r>
    <x v="0"/>
    <x v="11"/>
    <n v="19"/>
    <x v="18"/>
    <d v="2023-09-01T00:00:00"/>
    <n v="0"/>
    <x v="4"/>
  </r>
  <r>
    <x v="0"/>
    <x v="11"/>
    <n v="19"/>
    <x v="18"/>
    <d v="2023-09-01T00:00:00"/>
    <n v="0"/>
    <x v="5"/>
  </r>
  <r>
    <x v="0"/>
    <x v="11"/>
    <n v="19"/>
    <x v="18"/>
    <d v="2023-09-01T00:00:00"/>
    <n v="0"/>
    <x v="6"/>
  </r>
  <r>
    <x v="0"/>
    <x v="11"/>
    <n v="19"/>
    <x v="18"/>
    <d v="2023-09-01T00:00:00"/>
    <n v="0"/>
    <x v="7"/>
  </r>
  <r>
    <x v="0"/>
    <x v="11"/>
    <n v="19"/>
    <x v="18"/>
    <d v="2023-09-01T00:00:00"/>
    <n v="0"/>
    <x v="8"/>
  </r>
  <r>
    <x v="0"/>
    <x v="11"/>
    <n v="19"/>
    <x v="18"/>
    <d v="2023-09-01T00:00:00"/>
    <n v="0"/>
    <x v="9"/>
  </r>
  <r>
    <x v="0"/>
    <x v="11"/>
    <n v="19"/>
    <x v="18"/>
    <d v="2023-09-01T00:00:00"/>
    <n v="0"/>
    <x v="10"/>
  </r>
  <r>
    <x v="0"/>
    <x v="11"/>
    <n v="19"/>
    <x v="18"/>
    <d v="2023-09-01T00:00:00"/>
    <n v="0"/>
    <x v="11"/>
  </r>
  <r>
    <x v="0"/>
    <x v="11"/>
    <n v="19"/>
    <x v="18"/>
    <d v="2023-09-01T00:00:00"/>
    <n v="0"/>
    <x v="12"/>
  </r>
  <r>
    <x v="0"/>
    <x v="11"/>
    <n v="20"/>
    <x v="19"/>
    <d v="2023-09-01T00:00:00"/>
    <n v="0"/>
    <x v="0"/>
  </r>
  <r>
    <x v="0"/>
    <x v="11"/>
    <n v="20"/>
    <x v="19"/>
    <d v="2023-09-01T00:00:00"/>
    <n v="0"/>
    <x v="1"/>
  </r>
  <r>
    <x v="0"/>
    <x v="11"/>
    <n v="20"/>
    <x v="19"/>
    <d v="2023-09-01T00:00:00"/>
    <n v="0"/>
    <x v="2"/>
  </r>
  <r>
    <x v="0"/>
    <x v="11"/>
    <n v="20"/>
    <x v="19"/>
    <d v="2023-09-01T00:00:00"/>
    <n v="0"/>
    <x v="3"/>
  </r>
  <r>
    <x v="0"/>
    <x v="11"/>
    <n v="20"/>
    <x v="19"/>
    <d v="2023-09-01T00:00:00"/>
    <n v="0"/>
    <x v="4"/>
  </r>
  <r>
    <x v="0"/>
    <x v="11"/>
    <n v="20"/>
    <x v="19"/>
    <d v="2023-09-01T00:00:00"/>
    <n v="0"/>
    <x v="5"/>
  </r>
  <r>
    <x v="0"/>
    <x v="11"/>
    <n v="20"/>
    <x v="19"/>
    <d v="2023-09-01T00:00:00"/>
    <n v="0"/>
    <x v="6"/>
  </r>
  <r>
    <x v="0"/>
    <x v="11"/>
    <n v="20"/>
    <x v="19"/>
    <d v="2023-09-01T00:00:00"/>
    <n v="0"/>
    <x v="7"/>
  </r>
  <r>
    <x v="0"/>
    <x v="11"/>
    <n v="20"/>
    <x v="19"/>
    <d v="2023-09-01T00:00:00"/>
    <n v="0"/>
    <x v="8"/>
  </r>
  <r>
    <x v="0"/>
    <x v="11"/>
    <n v="20"/>
    <x v="19"/>
    <d v="2023-09-01T00:00:00"/>
    <n v="0"/>
    <x v="9"/>
  </r>
  <r>
    <x v="0"/>
    <x v="11"/>
    <n v="20"/>
    <x v="19"/>
    <d v="2023-09-01T00:00:00"/>
    <n v="0"/>
    <x v="10"/>
  </r>
  <r>
    <x v="0"/>
    <x v="11"/>
    <n v="20"/>
    <x v="19"/>
    <d v="2023-09-01T00:00:00"/>
    <n v="0"/>
    <x v="11"/>
  </r>
  <r>
    <x v="0"/>
    <x v="11"/>
    <n v="20"/>
    <x v="19"/>
    <d v="2023-09-01T00:00:00"/>
    <n v="0"/>
    <x v="12"/>
  </r>
  <r>
    <x v="0"/>
    <x v="11"/>
    <n v="21"/>
    <x v="20"/>
    <d v="2023-09-01T00:00:00"/>
    <n v="0"/>
    <x v="0"/>
  </r>
  <r>
    <x v="0"/>
    <x v="11"/>
    <n v="21"/>
    <x v="20"/>
    <d v="2023-09-01T00:00:00"/>
    <n v="0"/>
    <x v="1"/>
  </r>
  <r>
    <x v="0"/>
    <x v="11"/>
    <n v="21"/>
    <x v="20"/>
    <d v="2023-09-01T00:00:00"/>
    <n v="0"/>
    <x v="2"/>
  </r>
  <r>
    <x v="0"/>
    <x v="11"/>
    <n v="21"/>
    <x v="20"/>
    <d v="2023-09-01T00:00:00"/>
    <n v="0"/>
    <x v="3"/>
  </r>
  <r>
    <x v="0"/>
    <x v="11"/>
    <n v="21"/>
    <x v="20"/>
    <d v="2023-09-01T00:00:00"/>
    <n v="0"/>
    <x v="4"/>
  </r>
  <r>
    <x v="0"/>
    <x v="11"/>
    <n v="21"/>
    <x v="20"/>
    <d v="2023-09-01T00:00:00"/>
    <n v="0"/>
    <x v="5"/>
  </r>
  <r>
    <x v="0"/>
    <x v="11"/>
    <n v="21"/>
    <x v="20"/>
    <d v="2023-09-01T00:00:00"/>
    <n v="0"/>
    <x v="6"/>
  </r>
  <r>
    <x v="0"/>
    <x v="11"/>
    <n v="21"/>
    <x v="20"/>
    <d v="2023-09-01T00:00:00"/>
    <n v="0"/>
    <x v="7"/>
  </r>
  <r>
    <x v="0"/>
    <x v="11"/>
    <n v="21"/>
    <x v="20"/>
    <d v="2023-09-01T00:00:00"/>
    <n v="0"/>
    <x v="8"/>
  </r>
  <r>
    <x v="0"/>
    <x v="11"/>
    <n v="21"/>
    <x v="20"/>
    <d v="2023-09-01T00:00:00"/>
    <n v="0"/>
    <x v="9"/>
  </r>
  <r>
    <x v="0"/>
    <x v="11"/>
    <n v="21"/>
    <x v="20"/>
    <d v="2023-09-01T00:00:00"/>
    <n v="0"/>
    <x v="10"/>
  </r>
  <r>
    <x v="0"/>
    <x v="11"/>
    <n v="21"/>
    <x v="20"/>
    <d v="2023-09-01T00:00:00"/>
    <n v="0"/>
    <x v="11"/>
  </r>
  <r>
    <x v="0"/>
    <x v="11"/>
    <n v="21"/>
    <x v="20"/>
    <d v="2023-09-01T00:00:00"/>
    <n v="0"/>
    <x v="12"/>
  </r>
  <r>
    <x v="0"/>
    <x v="11"/>
    <n v="22"/>
    <x v="21"/>
    <d v="2023-09-01T00:00:00"/>
    <n v="536.58333333333303"/>
    <x v="0"/>
  </r>
  <r>
    <x v="0"/>
    <x v="11"/>
    <n v="22"/>
    <x v="21"/>
    <d v="2023-09-01T00:00:00"/>
    <n v="536.58333333333303"/>
    <x v="1"/>
  </r>
  <r>
    <x v="0"/>
    <x v="11"/>
    <n v="22"/>
    <x v="21"/>
    <d v="2023-09-01T00:00:00"/>
    <n v="536.58333333333303"/>
    <x v="2"/>
  </r>
  <r>
    <x v="0"/>
    <x v="11"/>
    <n v="22"/>
    <x v="21"/>
    <d v="2023-09-01T00:00:00"/>
    <n v="391.95555555555597"/>
    <x v="3"/>
  </r>
  <r>
    <x v="0"/>
    <x v="11"/>
    <n v="22"/>
    <x v="21"/>
    <d v="2023-09-01T00:00:00"/>
    <n v="694.48055555555595"/>
    <x v="4"/>
  </r>
  <r>
    <x v="0"/>
    <x v="11"/>
    <n v="22"/>
    <x v="21"/>
    <d v="2023-09-01T00:00:00"/>
    <n v="692.50555555555604"/>
    <x v="5"/>
  </r>
  <r>
    <x v="0"/>
    <x v="11"/>
    <n v="22"/>
    <x v="21"/>
    <d v="2023-09-01T00:00:00"/>
    <n v="691.17222222222199"/>
    <x v="6"/>
  </r>
  <r>
    <x v="0"/>
    <x v="11"/>
    <n v="22"/>
    <x v="21"/>
    <d v="2023-09-01T00:00:00"/>
    <n v="691.17222222222199"/>
    <x v="7"/>
  </r>
  <r>
    <x v="0"/>
    <x v="11"/>
    <n v="22"/>
    <x v="21"/>
    <d v="2023-09-01T00:00:00"/>
    <n v="691.17222222222199"/>
    <x v="8"/>
  </r>
  <r>
    <x v="0"/>
    <x v="11"/>
    <n v="22"/>
    <x v="21"/>
    <d v="2023-09-01T00:00:00"/>
    <n v="691.17222222222199"/>
    <x v="9"/>
  </r>
  <r>
    <x v="0"/>
    <x v="11"/>
    <n v="22"/>
    <x v="21"/>
    <d v="2023-09-01T00:00:00"/>
    <n v="691.17222222222199"/>
    <x v="10"/>
  </r>
  <r>
    <x v="0"/>
    <x v="11"/>
    <n v="22"/>
    <x v="21"/>
    <d v="2023-09-01T00:00:00"/>
    <n v="11170.1722222222"/>
    <x v="11"/>
  </r>
  <r>
    <x v="0"/>
    <x v="11"/>
    <n v="22"/>
    <x v="21"/>
    <d v="2023-09-01T00:00:00"/>
    <n v="18014.724999999999"/>
    <x v="12"/>
  </r>
  <r>
    <x v="0"/>
    <x v="11"/>
    <n v="23"/>
    <x v="22"/>
    <d v="2023-09-01T00:00:00"/>
    <n v="17.75"/>
    <x v="0"/>
  </r>
  <r>
    <x v="0"/>
    <x v="11"/>
    <n v="23"/>
    <x v="22"/>
    <d v="2023-09-01T00:00:00"/>
    <n v="17.75"/>
    <x v="1"/>
  </r>
  <r>
    <x v="0"/>
    <x v="11"/>
    <n v="23"/>
    <x v="22"/>
    <d v="2023-09-01T00:00:00"/>
    <n v="17.75"/>
    <x v="2"/>
  </r>
  <r>
    <x v="0"/>
    <x v="11"/>
    <n v="23"/>
    <x v="22"/>
    <d v="2023-09-01T00:00:00"/>
    <n v="18.3"/>
    <x v="3"/>
  </r>
  <r>
    <x v="0"/>
    <x v="11"/>
    <n v="23"/>
    <x v="22"/>
    <d v="2023-09-01T00:00:00"/>
    <n v="18.3"/>
    <x v="4"/>
  </r>
  <r>
    <x v="0"/>
    <x v="11"/>
    <n v="23"/>
    <x v="22"/>
    <d v="2023-09-01T00:00:00"/>
    <n v="17.600000000000001"/>
    <x v="5"/>
  </r>
  <r>
    <x v="0"/>
    <x v="11"/>
    <n v="23"/>
    <x v="22"/>
    <d v="2023-09-01T00:00:00"/>
    <n v="17.600000000000001"/>
    <x v="6"/>
  </r>
  <r>
    <x v="0"/>
    <x v="11"/>
    <n v="23"/>
    <x v="22"/>
    <d v="2023-09-01T00:00:00"/>
    <n v="17.600000000000001"/>
    <x v="7"/>
  </r>
  <r>
    <x v="0"/>
    <x v="11"/>
    <n v="23"/>
    <x v="22"/>
    <d v="2023-09-01T00:00:00"/>
    <n v="17.600000000000001"/>
    <x v="8"/>
  </r>
  <r>
    <x v="0"/>
    <x v="11"/>
    <n v="23"/>
    <x v="22"/>
    <d v="2023-09-01T00:00:00"/>
    <n v="17.600000000000001"/>
    <x v="9"/>
  </r>
  <r>
    <x v="0"/>
    <x v="11"/>
    <n v="23"/>
    <x v="22"/>
    <d v="2023-09-01T00:00:00"/>
    <n v="17.600000000000001"/>
    <x v="10"/>
  </r>
  <r>
    <x v="0"/>
    <x v="11"/>
    <n v="23"/>
    <x v="22"/>
    <d v="2023-09-01T00:00:00"/>
    <n v="17.600000000000001"/>
    <x v="11"/>
  </r>
  <r>
    <x v="0"/>
    <x v="11"/>
    <n v="23"/>
    <x v="22"/>
    <d v="2023-09-01T00:00:00"/>
    <n v="213.05"/>
    <x v="12"/>
  </r>
  <r>
    <x v="0"/>
    <x v="11"/>
    <n v="24"/>
    <x v="23"/>
    <d v="2023-09-01T00:00:00"/>
    <n v="0"/>
    <x v="0"/>
  </r>
  <r>
    <x v="0"/>
    <x v="11"/>
    <n v="24"/>
    <x v="23"/>
    <d v="2023-09-01T00:00:00"/>
    <n v="0"/>
    <x v="1"/>
  </r>
  <r>
    <x v="0"/>
    <x v="11"/>
    <n v="24"/>
    <x v="23"/>
    <d v="2023-09-01T00:00:00"/>
    <n v="0"/>
    <x v="2"/>
  </r>
  <r>
    <x v="0"/>
    <x v="11"/>
    <n v="24"/>
    <x v="23"/>
    <d v="2023-09-01T00:00:00"/>
    <n v="0"/>
    <x v="3"/>
  </r>
  <r>
    <x v="0"/>
    <x v="11"/>
    <n v="24"/>
    <x v="23"/>
    <d v="2023-09-01T00:00:00"/>
    <n v="0"/>
    <x v="4"/>
  </r>
  <r>
    <x v="0"/>
    <x v="11"/>
    <n v="24"/>
    <x v="23"/>
    <d v="2023-09-01T00:00:00"/>
    <n v="0"/>
    <x v="5"/>
  </r>
  <r>
    <x v="0"/>
    <x v="11"/>
    <n v="24"/>
    <x v="23"/>
    <d v="2023-09-01T00:00:00"/>
    <n v="0"/>
    <x v="6"/>
  </r>
  <r>
    <x v="0"/>
    <x v="11"/>
    <n v="24"/>
    <x v="23"/>
    <d v="2023-09-01T00:00:00"/>
    <n v="0"/>
    <x v="7"/>
  </r>
  <r>
    <x v="0"/>
    <x v="11"/>
    <n v="24"/>
    <x v="23"/>
    <d v="2023-09-01T00:00:00"/>
    <n v="0"/>
    <x v="8"/>
  </r>
  <r>
    <x v="0"/>
    <x v="11"/>
    <n v="24"/>
    <x v="23"/>
    <d v="2023-09-01T00:00:00"/>
    <n v="0"/>
    <x v="9"/>
  </r>
  <r>
    <x v="0"/>
    <x v="11"/>
    <n v="24"/>
    <x v="23"/>
    <d v="2023-09-01T00:00:00"/>
    <n v="0"/>
    <x v="10"/>
  </r>
  <r>
    <x v="0"/>
    <x v="11"/>
    <n v="24"/>
    <x v="23"/>
    <d v="2023-09-01T00:00:00"/>
    <n v="500"/>
    <x v="11"/>
  </r>
  <r>
    <x v="0"/>
    <x v="11"/>
    <n v="24"/>
    <x v="23"/>
    <d v="2023-09-01T00:00:00"/>
    <n v="500"/>
    <x v="12"/>
  </r>
  <r>
    <x v="0"/>
    <x v="11"/>
    <n v="25"/>
    <x v="24"/>
    <d v="2023-09-01T00:00:00"/>
    <n v="0"/>
    <x v="0"/>
  </r>
  <r>
    <x v="0"/>
    <x v="11"/>
    <n v="25"/>
    <x v="24"/>
    <d v="2023-09-01T00:00:00"/>
    <n v="0"/>
    <x v="1"/>
  </r>
  <r>
    <x v="0"/>
    <x v="11"/>
    <n v="25"/>
    <x v="24"/>
    <d v="2023-09-01T00:00:00"/>
    <n v="0"/>
    <x v="2"/>
  </r>
  <r>
    <x v="0"/>
    <x v="11"/>
    <n v="25"/>
    <x v="24"/>
    <d v="2023-09-01T00:00:00"/>
    <n v="0"/>
    <x v="3"/>
  </r>
  <r>
    <x v="0"/>
    <x v="11"/>
    <n v="25"/>
    <x v="24"/>
    <d v="2023-09-01T00:00:00"/>
    <n v="0"/>
    <x v="4"/>
  </r>
  <r>
    <x v="0"/>
    <x v="11"/>
    <n v="25"/>
    <x v="24"/>
    <d v="2023-09-01T00:00:00"/>
    <n v="0"/>
    <x v="5"/>
  </r>
  <r>
    <x v="0"/>
    <x v="11"/>
    <n v="25"/>
    <x v="24"/>
    <d v="2023-09-01T00:00:00"/>
    <n v="0"/>
    <x v="6"/>
  </r>
  <r>
    <x v="0"/>
    <x v="11"/>
    <n v="25"/>
    <x v="24"/>
    <d v="2023-09-01T00:00:00"/>
    <n v="0"/>
    <x v="7"/>
  </r>
  <r>
    <x v="0"/>
    <x v="11"/>
    <n v="25"/>
    <x v="24"/>
    <d v="2023-09-01T00:00:00"/>
    <n v="0"/>
    <x v="8"/>
  </r>
  <r>
    <x v="0"/>
    <x v="11"/>
    <n v="25"/>
    <x v="24"/>
    <d v="2023-09-01T00:00:00"/>
    <n v="0"/>
    <x v="9"/>
  </r>
  <r>
    <x v="0"/>
    <x v="11"/>
    <n v="25"/>
    <x v="24"/>
    <d v="2023-09-01T00:00:00"/>
    <n v="0"/>
    <x v="10"/>
  </r>
  <r>
    <x v="0"/>
    <x v="11"/>
    <n v="25"/>
    <x v="24"/>
    <d v="2023-09-01T00:00:00"/>
    <n v="0"/>
    <x v="11"/>
  </r>
  <r>
    <x v="0"/>
    <x v="11"/>
    <n v="25"/>
    <x v="24"/>
    <d v="2023-09-01T00:00:00"/>
    <n v="0"/>
    <x v="12"/>
  </r>
  <r>
    <x v="0"/>
    <x v="11"/>
    <n v="26"/>
    <x v="25"/>
    <d v="2023-09-01T00:00:00"/>
    <n v="14796.883"/>
    <x v="0"/>
  </r>
  <r>
    <x v="0"/>
    <x v="11"/>
    <n v="26"/>
    <x v="25"/>
    <d v="2023-09-01T00:00:00"/>
    <n v="14972.384"/>
    <x v="1"/>
  </r>
  <r>
    <x v="0"/>
    <x v="11"/>
    <n v="26"/>
    <x v="25"/>
    <d v="2023-09-01T00:00:00"/>
    <n v="16868.436000000002"/>
    <x v="2"/>
  </r>
  <r>
    <x v="0"/>
    <x v="11"/>
    <n v="26"/>
    <x v="25"/>
    <d v="2023-09-01T00:00:00"/>
    <n v="16847.91806"/>
    <x v="3"/>
  </r>
  <r>
    <x v="0"/>
    <x v="11"/>
    <n v="26"/>
    <x v="25"/>
    <d v="2023-09-01T00:00:00"/>
    <n v="16191.339"/>
    <x v="4"/>
  </r>
  <r>
    <x v="0"/>
    <x v="11"/>
    <n v="26"/>
    <x v="25"/>
    <d v="2023-09-01T00:00:00"/>
    <n v="17087.705000000002"/>
    <x v="5"/>
  </r>
  <r>
    <x v="0"/>
    <x v="11"/>
    <n v="26"/>
    <x v="25"/>
    <d v="2023-09-01T00:00:00"/>
    <n v="16813.793913333298"/>
    <x v="6"/>
  </r>
  <r>
    <x v="0"/>
    <x v="11"/>
    <n v="26"/>
    <x v="25"/>
    <d v="2023-09-01T00:00:00"/>
    <n v="16792.7220033333"/>
    <x v="7"/>
  </r>
  <r>
    <x v="0"/>
    <x v="11"/>
    <n v="26"/>
    <x v="25"/>
    <d v="2023-09-01T00:00:00"/>
    <n v="16889.7220033333"/>
    <x v="8"/>
  </r>
  <r>
    <x v="0"/>
    <x v="11"/>
    <n v="26"/>
    <x v="25"/>
    <d v="2023-09-01T00:00:00"/>
    <n v="16914.721003333299"/>
    <x v="9"/>
  </r>
  <r>
    <x v="0"/>
    <x v="11"/>
    <n v="26"/>
    <x v="25"/>
    <d v="2023-09-01T00:00:00"/>
    <n v="16929.7250033333"/>
    <x v="10"/>
  </r>
  <r>
    <x v="0"/>
    <x v="11"/>
    <n v="26"/>
    <x v="25"/>
    <d v="2023-09-01T00:00:00"/>
    <n v="27691.4930033333"/>
    <x v="11"/>
  </r>
  <r>
    <x v="0"/>
    <x v="11"/>
    <n v="26"/>
    <x v="25"/>
    <d v="2023-09-01T00:00:00"/>
    <n v="208796.84198999999"/>
    <x v="12"/>
  </r>
  <r>
    <x v="0"/>
    <x v="11"/>
    <n v="27"/>
    <x v="26"/>
    <d v="2023-09-01T00:00:00"/>
    <n v="1.1630000000041001"/>
    <x v="0"/>
  </r>
  <r>
    <x v="0"/>
    <x v="11"/>
    <n v="27"/>
    <x v="26"/>
    <d v="2023-09-01T00:00:00"/>
    <n v="2.8659999999999899"/>
    <x v="1"/>
  </r>
  <r>
    <x v="0"/>
    <x v="11"/>
    <n v="27"/>
    <x v="26"/>
    <d v="2023-09-01T00:00:00"/>
    <n v="-1.7975200000000799"/>
    <x v="2"/>
  </r>
  <r>
    <x v="0"/>
    <x v="11"/>
    <n v="27"/>
    <x v="26"/>
    <d v="2023-09-01T00:00:00"/>
    <n v="2.2329700000009298"/>
    <x v="3"/>
  </r>
  <r>
    <x v="0"/>
    <x v="11"/>
    <n v="27"/>
    <x v="26"/>
    <d v="2023-09-01T00:00:00"/>
    <n v="0.89400000000023305"/>
    <x v="4"/>
  </r>
  <r>
    <x v="0"/>
    <x v="11"/>
    <n v="27"/>
    <x v="26"/>
    <d v="2023-09-01T00:00:00"/>
    <n v="1.3389500000012"/>
    <x v="5"/>
  </r>
  <r>
    <x v="0"/>
    <x v="11"/>
    <n v="27"/>
    <x v="26"/>
    <d v="2023-09-01T00:00:00"/>
    <n v="-6.9999999999963602"/>
    <x v="6"/>
  </r>
  <r>
    <x v="0"/>
    <x v="11"/>
    <n v="27"/>
    <x v="26"/>
    <d v="2023-09-01T00:00:00"/>
    <n v="0"/>
    <x v="7"/>
  </r>
  <r>
    <x v="0"/>
    <x v="11"/>
    <n v="27"/>
    <x v="26"/>
    <d v="2023-09-01T00:00:00"/>
    <n v="0"/>
    <x v="8"/>
  </r>
  <r>
    <x v="0"/>
    <x v="11"/>
    <n v="27"/>
    <x v="26"/>
    <d v="2023-09-01T00:00:00"/>
    <n v="0"/>
    <x v="9"/>
  </r>
  <r>
    <x v="0"/>
    <x v="11"/>
    <n v="27"/>
    <x v="26"/>
    <d v="2023-09-01T00:00:00"/>
    <n v="0"/>
    <x v="10"/>
  </r>
  <r>
    <x v="0"/>
    <x v="11"/>
    <n v="27"/>
    <x v="26"/>
    <d v="2023-09-01T00:00:00"/>
    <n v="3.6379788070917101E-12"/>
    <x v="11"/>
  </r>
  <r>
    <x v="0"/>
    <x v="11"/>
    <n v="27"/>
    <x v="26"/>
    <d v="2023-09-01T00:00:00"/>
    <n v="-0.30259999996633302"/>
    <x v="12"/>
  </r>
  <r>
    <x v="0"/>
    <x v="12"/>
    <n v="1"/>
    <x v="3"/>
    <d v="2023-09-01T00:00:00"/>
    <n v="0"/>
    <x v="0"/>
  </r>
  <r>
    <x v="0"/>
    <x v="12"/>
    <n v="1"/>
    <x v="3"/>
    <d v="2023-09-01T00:00:00"/>
    <n v="0"/>
    <x v="1"/>
  </r>
  <r>
    <x v="0"/>
    <x v="12"/>
    <n v="1"/>
    <x v="3"/>
    <d v="2023-09-01T00:00:00"/>
    <n v="0"/>
    <x v="2"/>
  </r>
  <r>
    <x v="0"/>
    <x v="12"/>
    <n v="1"/>
    <x v="3"/>
    <d v="2023-09-01T00:00:00"/>
    <n v="0"/>
    <x v="3"/>
  </r>
  <r>
    <x v="0"/>
    <x v="12"/>
    <n v="1"/>
    <x v="3"/>
    <d v="2023-09-01T00:00:00"/>
    <n v="0"/>
    <x v="4"/>
  </r>
  <r>
    <x v="0"/>
    <x v="12"/>
    <n v="1"/>
    <x v="3"/>
    <d v="2023-09-01T00:00:00"/>
    <n v="0"/>
    <x v="5"/>
  </r>
  <r>
    <x v="0"/>
    <x v="12"/>
    <n v="1"/>
    <x v="3"/>
    <d v="2023-09-01T00:00:00"/>
    <n v="0"/>
    <x v="6"/>
  </r>
  <r>
    <x v="0"/>
    <x v="12"/>
    <n v="1"/>
    <x v="3"/>
    <d v="2023-09-01T00:00:00"/>
    <n v="0"/>
    <x v="7"/>
  </r>
  <r>
    <x v="0"/>
    <x v="12"/>
    <n v="1"/>
    <x v="3"/>
    <d v="2023-09-01T00:00:00"/>
    <n v="0"/>
    <x v="8"/>
  </r>
  <r>
    <x v="0"/>
    <x v="12"/>
    <n v="1"/>
    <x v="3"/>
    <d v="2023-09-01T00:00:00"/>
    <n v="0"/>
    <x v="9"/>
  </r>
  <r>
    <x v="0"/>
    <x v="12"/>
    <n v="1"/>
    <x v="3"/>
    <d v="2023-09-01T00:00:00"/>
    <n v="0"/>
    <x v="10"/>
  </r>
  <r>
    <x v="0"/>
    <x v="12"/>
    <n v="1"/>
    <x v="3"/>
    <d v="2023-09-01T00:00:00"/>
    <n v="0"/>
    <x v="11"/>
  </r>
  <r>
    <x v="0"/>
    <x v="12"/>
    <n v="1"/>
    <x v="3"/>
    <d v="2023-09-01T00:00:00"/>
    <n v="0"/>
    <x v="12"/>
  </r>
  <r>
    <x v="0"/>
    <x v="12"/>
    <n v="2"/>
    <x v="4"/>
    <d v="2023-09-01T00:00:00"/>
    <n v="0"/>
    <x v="0"/>
  </r>
  <r>
    <x v="0"/>
    <x v="12"/>
    <n v="2"/>
    <x v="4"/>
    <d v="2023-09-01T00:00:00"/>
    <n v="0"/>
    <x v="1"/>
  </r>
  <r>
    <x v="0"/>
    <x v="12"/>
    <n v="2"/>
    <x v="4"/>
    <d v="2023-09-01T00:00:00"/>
    <n v="0"/>
    <x v="2"/>
  </r>
  <r>
    <x v="0"/>
    <x v="12"/>
    <n v="2"/>
    <x v="4"/>
    <d v="2023-09-01T00:00:00"/>
    <n v="0"/>
    <x v="3"/>
  </r>
  <r>
    <x v="0"/>
    <x v="12"/>
    <n v="2"/>
    <x v="4"/>
    <d v="2023-09-01T00:00:00"/>
    <n v="0"/>
    <x v="4"/>
  </r>
  <r>
    <x v="0"/>
    <x v="12"/>
    <n v="2"/>
    <x v="4"/>
    <d v="2023-09-01T00:00:00"/>
    <n v="0"/>
    <x v="5"/>
  </r>
  <r>
    <x v="0"/>
    <x v="12"/>
    <n v="2"/>
    <x v="4"/>
    <d v="2023-09-01T00:00:00"/>
    <n v="0"/>
    <x v="6"/>
  </r>
  <r>
    <x v="0"/>
    <x v="12"/>
    <n v="2"/>
    <x v="4"/>
    <d v="2023-09-01T00:00:00"/>
    <n v="0"/>
    <x v="7"/>
  </r>
  <r>
    <x v="0"/>
    <x v="12"/>
    <n v="2"/>
    <x v="4"/>
    <d v="2023-09-01T00:00:00"/>
    <n v="0"/>
    <x v="8"/>
  </r>
  <r>
    <x v="0"/>
    <x v="12"/>
    <n v="2"/>
    <x v="4"/>
    <d v="2023-09-01T00:00:00"/>
    <n v="0"/>
    <x v="9"/>
  </r>
  <r>
    <x v="0"/>
    <x v="12"/>
    <n v="2"/>
    <x v="4"/>
    <d v="2023-09-01T00:00:00"/>
    <n v="0"/>
    <x v="10"/>
  </r>
  <r>
    <x v="0"/>
    <x v="12"/>
    <n v="2"/>
    <x v="4"/>
    <d v="2023-09-01T00:00:00"/>
    <n v="0"/>
    <x v="11"/>
  </r>
  <r>
    <x v="0"/>
    <x v="12"/>
    <n v="2"/>
    <x v="4"/>
    <d v="2023-09-01T00:00:00"/>
    <n v="0"/>
    <x v="12"/>
  </r>
  <r>
    <x v="0"/>
    <x v="12"/>
    <n v="3"/>
    <x v="5"/>
    <d v="2023-09-01T00:00:00"/>
    <n v="1330"/>
    <x v="0"/>
  </r>
  <r>
    <x v="0"/>
    <x v="12"/>
    <n v="3"/>
    <x v="5"/>
    <d v="2023-09-01T00:00:00"/>
    <n v="1393"/>
    <x v="1"/>
  </r>
  <r>
    <x v="0"/>
    <x v="12"/>
    <n v="3"/>
    <x v="5"/>
    <d v="2023-09-01T00:00:00"/>
    <n v="1501"/>
    <x v="2"/>
  </r>
  <r>
    <x v="0"/>
    <x v="12"/>
    <n v="3"/>
    <x v="5"/>
    <d v="2023-09-01T00:00:00"/>
    <n v="1376"/>
    <x v="3"/>
  </r>
  <r>
    <x v="0"/>
    <x v="12"/>
    <n v="3"/>
    <x v="5"/>
    <d v="2023-09-01T00:00:00"/>
    <n v="1371"/>
    <x v="4"/>
  </r>
  <r>
    <x v="0"/>
    <x v="12"/>
    <n v="3"/>
    <x v="5"/>
    <d v="2023-09-01T00:00:00"/>
    <n v="1493"/>
    <x v="5"/>
  </r>
  <r>
    <x v="0"/>
    <x v="12"/>
    <n v="3"/>
    <x v="5"/>
    <d v="2023-09-01T00:00:00"/>
    <n v="1166"/>
    <x v="6"/>
  </r>
  <r>
    <x v="0"/>
    <x v="12"/>
    <n v="3"/>
    <x v="5"/>
    <d v="2023-09-01T00:00:00"/>
    <n v="1166"/>
    <x v="7"/>
  </r>
  <r>
    <x v="0"/>
    <x v="12"/>
    <n v="3"/>
    <x v="5"/>
    <d v="2023-09-01T00:00:00"/>
    <n v="1166"/>
    <x v="8"/>
  </r>
  <r>
    <x v="0"/>
    <x v="12"/>
    <n v="3"/>
    <x v="5"/>
    <d v="2023-09-01T00:00:00"/>
    <n v="1166"/>
    <x v="9"/>
  </r>
  <r>
    <x v="0"/>
    <x v="12"/>
    <n v="3"/>
    <x v="5"/>
    <d v="2023-09-01T00:00:00"/>
    <n v="1166"/>
    <x v="10"/>
  </r>
  <r>
    <x v="0"/>
    <x v="12"/>
    <n v="3"/>
    <x v="5"/>
    <d v="2023-09-01T00:00:00"/>
    <n v="1166"/>
    <x v="11"/>
  </r>
  <r>
    <x v="0"/>
    <x v="12"/>
    <n v="3"/>
    <x v="5"/>
    <d v="2023-09-01T00:00:00"/>
    <n v="15460"/>
    <x v="12"/>
  </r>
  <r>
    <x v="0"/>
    <x v="12"/>
    <n v="4"/>
    <x v="6"/>
    <d v="2023-09-01T00:00:00"/>
    <n v="18861"/>
    <x v="0"/>
  </r>
  <r>
    <x v="0"/>
    <x v="12"/>
    <n v="4"/>
    <x v="6"/>
    <d v="2023-09-01T00:00:00"/>
    <n v="20618"/>
    <x v="1"/>
  </r>
  <r>
    <x v="0"/>
    <x v="12"/>
    <n v="4"/>
    <x v="6"/>
    <d v="2023-09-01T00:00:00"/>
    <n v="20419"/>
    <x v="2"/>
  </r>
  <r>
    <x v="0"/>
    <x v="12"/>
    <n v="4"/>
    <x v="6"/>
    <d v="2023-09-01T00:00:00"/>
    <n v="19423"/>
    <x v="3"/>
  </r>
  <r>
    <x v="0"/>
    <x v="12"/>
    <n v="4"/>
    <x v="6"/>
    <d v="2023-09-01T00:00:00"/>
    <n v="20293"/>
    <x v="4"/>
  </r>
  <r>
    <x v="0"/>
    <x v="12"/>
    <n v="4"/>
    <x v="6"/>
    <d v="2023-09-01T00:00:00"/>
    <n v="19701"/>
    <x v="5"/>
  </r>
  <r>
    <x v="0"/>
    <x v="12"/>
    <n v="4"/>
    <x v="6"/>
    <d v="2023-09-01T00:00:00"/>
    <n v="21204"/>
    <x v="6"/>
  </r>
  <r>
    <x v="0"/>
    <x v="12"/>
    <n v="4"/>
    <x v="6"/>
    <d v="2023-09-01T00:00:00"/>
    <n v="21204"/>
    <x v="7"/>
  </r>
  <r>
    <x v="0"/>
    <x v="12"/>
    <n v="4"/>
    <x v="6"/>
    <d v="2023-09-01T00:00:00"/>
    <n v="21204"/>
    <x v="8"/>
  </r>
  <r>
    <x v="0"/>
    <x v="12"/>
    <n v="4"/>
    <x v="6"/>
    <d v="2023-09-01T00:00:00"/>
    <n v="21205"/>
    <x v="9"/>
  </r>
  <r>
    <x v="0"/>
    <x v="12"/>
    <n v="4"/>
    <x v="6"/>
    <d v="2023-09-01T00:00:00"/>
    <n v="21205"/>
    <x v="10"/>
  </r>
  <r>
    <x v="0"/>
    <x v="12"/>
    <n v="4"/>
    <x v="6"/>
    <d v="2023-09-01T00:00:00"/>
    <n v="21205"/>
    <x v="11"/>
  </r>
  <r>
    <x v="0"/>
    <x v="12"/>
    <n v="4"/>
    <x v="6"/>
    <d v="2023-09-01T00:00:00"/>
    <n v="246542"/>
    <x v="12"/>
  </r>
  <r>
    <x v="0"/>
    <x v="12"/>
    <n v="5"/>
    <x v="7"/>
    <d v="2023-09-01T00:00:00"/>
    <n v="867"/>
    <x v="0"/>
  </r>
  <r>
    <x v="0"/>
    <x v="12"/>
    <n v="5"/>
    <x v="7"/>
    <d v="2023-09-01T00:00:00"/>
    <n v="1162"/>
    <x v="1"/>
  </r>
  <r>
    <x v="0"/>
    <x v="12"/>
    <n v="5"/>
    <x v="7"/>
    <d v="2023-09-01T00:00:00"/>
    <n v="6186"/>
    <x v="2"/>
  </r>
  <r>
    <x v="0"/>
    <x v="12"/>
    <n v="5"/>
    <x v="7"/>
    <d v="2023-09-01T00:00:00"/>
    <n v="4814"/>
    <x v="3"/>
  </r>
  <r>
    <x v="0"/>
    <x v="12"/>
    <n v="5"/>
    <x v="7"/>
    <d v="2023-09-01T00:00:00"/>
    <n v="1835"/>
    <x v="4"/>
  </r>
  <r>
    <x v="0"/>
    <x v="12"/>
    <n v="5"/>
    <x v="7"/>
    <d v="2023-09-01T00:00:00"/>
    <n v="1831"/>
    <x v="5"/>
  </r>
  <r>
    <x v="0"/>
    <x v="12"/>
    <n v="5"/>
    <x v="7"/>
    <d v="2023-09-01T00:00:00"/>
    <n v="2112"/>
    <x v="6"/>
  </r>
  <r>
    <x v="0"/>
    <x v="12"/>
    <n v="5"/>
    <x v="7"/>
    <d v="2023-09-01T00:00:00"/>
    <n v="2111"/>
    <x v="7"/>
  </r>
  <r>
    <x v="0"/>
    <x v="12"/>
    <n v="5"/>
    <x v="7"/>
    <d v="2023-09-01T00:00:00"/>
    <n v="2111"/>
    <x v="8"/>
  </r>
  <r>
    <x v="0"/>
    <x v="12"/>
    <n v="5"/>
    <x v="7"/>
    <d v="2023-09-01T00:00:00"/>
    <n v="2111"/>
    <x v="9"/>
  </r>
  <r>
    <x v="0"/>
    <x v="12"/>
    <n v="5"/>
    <x v="7"/>
    <d v="2023-09-01T00:00:00"/>
    <n v="2111"/>
    <x v="10"/>
  </r>
  <r>
    <x v="0"/>
    <x v="12"/>
    <n v="5"/>
    <x v="7"/>
    <d v="2023-09-01T00:00:00"/>
    <n v="2111"/>
    <x v="11"/>
  </r>
  <r>
    <x v="0"/>
    <x v="12"/>
    <n v="5"/>
    <x v="7"/>
    <d v="2023-09-01T00:00:00"/>
    <n v="29362"/>
    <x v="12"/>
  </r>
  <r>
    <x v="0"/>
    <x v="12"/>
    <n v="6"/>
    <x v="8"/>
    <d v="2023-09-01T00:00:00"/>
    <n v="1002"/>
    <x v="0"/>
  </r>
  <r>
    <x v="0"/>
    <x v="12"/>
    <n v="6"/>
    <x v="8"/>
    <d v="2023-09-01T00:00:00"/>
    <n v="221"/>
    <x v="1"/>
  </r>
  <r>
    <x v="0"/>
    <x v="12"/>
    <n v="6"/>
    <x v="8"/>
    <d v="2023-09-01T00:00:00"/>
    <n v="-456"/>
    <x v="2"/>
  </r>
  <r>
    <x v="0"/>
    <x v="12"/>
    <n v="6"/>
    <x v="8"/>
    <d v="2023-09-01T00:00:00"/>
    <n v="344"/>
    <x v="3"/>
  </r>
  <r>
    <x v="0"/>
    <x v="12"/>
    <n v="6"/>
    <x v="8"/>
    <d v="2023-09-01T00:00:00"/>
    <n v="359"/>
    <x v="4"/>
  </r>
  <r>
    <x v="0"/>
    <x v="12"/>
    <n v="6"/>
    <x v="8"/>
    <d v="2023-09-01T00:00:00"/>
    <n v="310"/>
    <x v="5"/>
  </r>
  <r>
    <x v="0"/>
    <x v="12"/>
    <n v="6"/>
    <x v="8"/>
    <d v="2023-09-01T00:00:00"/>
    <n v="261"/>
    <x v="6"/>
  </r>
  <r>
    <x v="0"/>
    <x v="12"/>
    <n v="6"/>
    <x v="8"/>
    <d v="2023-09-01T00:00:00"/>
    <n v="261"/>
    <x v="7"/>
  </r>
  <r>
    <x v="0"/>
    <x v="12"/>
    <n v="6"/>
    <x v="8"/>
    <d v="2023-09-01T00:00:00"/>
    <n v="260"/>
    <x v="8"/>
  </r>
  <r>
    <x v="0"/>
    <x v="12"/>
    <n v="6"/>
    <x v="8"/>
    <d v="2023-09-01T00:00:00"/>
    <n v="260"/>
    <x v="9"/>
  </r>
  <r>
    <x v="0"/>
    <x v="12"/>
    <n v="6"/>
    <x v="8"/>
    <d v="2023-09-01T00:00:00"/>
    <n v="260"/>
    <x v="10"/>
  </r>
  <r>
    <x v="0"/>
    <x v="12"/>
    <n v="6"/>
    <x v="8"/>
    <d v="2023-09-01T00:00:00"/>
    <n v="260"/>
    <x v="11"/>
  </r>
  <r>
    <x v="0"/>
    <x v="12"/>
    <n v="6"/>
    <x v="8"/>
    <d v="2023-09-01T00:00:00"/>
    <n v="3342"/>
    <x v="12"/>
  </r>
  <r>
    <x v="0"/>
    <x v="12"/>
    <n v="7"/>
    <x v="9"/>
    <d v="2023-09-01T00:00:00"/>
    <n v="22060"/>
    <x v="0"/>
  </r>
  <r>
    <x v="0"/>
    <x v="12"/>
    <n v="7"/>
    <x v="9"/>
    <d v="2023-09-01T00:00:00"/>
    <n v="23394"/>
    <x v="1"/>
  </r>
  <r>
    <x v="0"/>
    <x v="12"/>
    <n v="7"/>
    <x v="9"/>
    <d v="2023-09-01T00:00:00"/>
    <n v="27650"/>
    <x v="2"/>
  </r>
  <r>
    <x v="0"/>
    <x v="12"/>
    <n v="7"/>
    <x v="9"/>
    <d v="2023-09-01T00:00:00"/>
    <n v="25957"/>
    <x v="3"/>
  </r>
  <r>
    <x v="0"/>
    <x v="12"/>
    <n v="7"/>
    <x v="9"/>
    <d v="2023-09-01T00:00:00"/>
    <n v="23858"/>
    <x v="4"/>
  </r>
  <r>
    <x v="0"/>
    <x v="12"/>
    <n v="7"/>
    <x v="9"/>
    <d v="2023-09-01T00:00:00"/>
    <n v="23335"/>
    <x v="5"/>
  </r>
  <r>
    <x v="0"/>
    <x v="12"/>
    <n v="7"/>
    <x v="9"/>
    <d v="2023-09-01T00:00:00"/>
    <n v="24743"/>
    <x v="6"/>
  </r>
  <r>
    <x v="0"/>
    <x v="12"/>
    <n v="7"/>
    <x v="9"/>
    <d v="2023-09-01T00:00:00"/>
    <n v="24742"/>
    <x v="7"/>
  </r>
  <r>
    <x v="0"/>
    <x v="12"/>
    <n v="7"/>
    <x v="9"/>
    <d v="2023-09-01T00:00:00"/>
    <n v="24741"/>
    <x v="8"/>
  </r>
  <r>
    <x v="0"/>
    <x v="12"/>
    <n v="7"/>
    <x v="9"/>
    <d v="2023-09-01T00:00:00"/>
    <n v="24742"/>
    <x v="9"/>
  </r>
  <r>
    <x v="0"/>
    <x v="12"/>
    <n v="7"/>
    <x v="9"/>
    <d v="2023-09-01T00:00:00"/>
    <n v="24742"/>
    <x v="10"/>
  </r>
  <r>
    <x v="0"/>
    <x v="12"/>
    <n v="7"/>
    <x v="9"/>
    <d v="2023-09-01T00:00:00"/>
    <n v="24742"/>
    <x v="11"/>
  </r>
  <r>
    <x v="0"/>
    <x v="12"/>
    <n v="7"/>
    <x v="9"/>
    <d v="2023-09-01T00:00:00"/>
    <n v="294706"/>
    <x v="12"/>
  </r>
  <r>
    <x v="0"/>
    <x v="12"/>
    <n v="8"/>
    <x v="11"/>
    <d v="2023-09-01T00:00:00"/>
    <n v="0"/>
    <x v="0"/>
  </r>
  <r>
    <x v="0"/>
    <x v="12"/>
    <n v="8"/>
    <x v="11"/>
    <d v="2023-09-01T00:00:00"/>
    <n v="0"/>
    <x v="1"/>
  </r>
  <r>
    <x v="0"/>
    <x v="12"/>
    <n v="8"/>
    <x v="11"/>
    <d v="2023-09-01T00:00:00"/>
    <n v="0"/>
    <x v="2"/>
  </r>
  <r>
    <x v="0"/>
    <x v="12"/>
    <n v="8"/>
    <x v="11"/>
    <d v="2023-09-01T00:00:00"/>
    <n v="0"/>
    <x v="3"/>
  </r>
  <r>
    <x v="0"/>
    <x v="12"/>
    <n v="8"/>
    <x v="11"/>
    <d v="2023-09-01T00:00:00"/>
    <n v="0"/>
    <x v="4"/>
  </r>
  <r>
    <x v="0"/>
    <x v="12"/>
    <n v="8"/>
    <x v="11"/>
    <d v="2023-09-01T00:00:00"/>
    <n v="0"/>
    <x v="5"/>
  </r>
  <r>
    <x v="0"/>
    <x v="12"/>
    <n v="8"/>
    <x v="11"/>
    <d v="2023-09-01T00:00:00"/>
    <n v="0"/>
    <x v="6"/>
  </r>
  <r>
    <x v="0"/>
    <x v="12"/>
    <n v="8"/>
    <x v="11"/>
    <d v="2023-09-01T00:00:00"/>
    <n v="0"/>
    <x v="7"/>
  </r>
  <r>
    <x v="0"/>
    <x v="12"/>
    <n v="8"/>
    <x v="11"/>
    <d v="2023-09-01T00:00:00"/>
    <n v="0"/>
    <x v="8"/>
  </r>
  <r>
    <x v="0"/>
    <x v="12"/>
    <n v="8"/>
    <x v="11"/>
    <d v="2023-09-01T00:00:00"/>
    <n v="0"/>
    <x v="9"/>
  </r>
  <r>
    <x v="0"/>
    <x v="12"/>
    <n v="8"/>
    <x v="11"/>
    <d v="2023-09-01T00:00:00"/>
    <n v="0"/>
    <x v="10"/>
  </r>
  <r>
    <x v="0"/>
    <x v="12"/>
    <n v="8"/>
    <x v="11"/>
    <d v="2023-09-01T00:00:00"/>
    <n v="0"/>
    <x v="11"/>
  </r>
  <r>
    <x v="0"/>
    <x v="12"/>
    <n v="8"/>
    <x v="11"/>
    <d v="2023-09-01T00:00:00"/>
    <n v="0"/>
    <x v="12"/>
  </r>
  <r>
    <x v="0"/>
    <x v="12"/>
    <n v="9"/>
    <x v="10"/>
    <d v="2023-09-01T00:00:00"/>
    <n v="0"/>
    <x v="0"/>
  </r>
  <r>
    <x v="0"/>
    <x v="12"/>
    <n v="9"/>
    <x v="10"/>
    <d v="2023-09-01T00:00:00"/>
    <n v="0"/>
    <x v="1"/>
  </r>
  <r>
    <x v="0"/>
    <x v="12"/>
    <n v="9"/>
    <x v="10"/>
    <d v="2023-09-01T00:00:00"/>
    <n v="0"/>
    <x v="2"/>
  </r>
  <r>
    <x v="0"/>
    <x v="12"/>
    <n v="9"/>
    <x v="10"/>
    <d v="2023-09-01T00:00:00"/>
    <n v="0"/>
    <x v="3"/>
  </r>
  <r>
    <x v="0"/>
    <x v="12"/>
    <n v="9"/>
    <x v="10"/>
    <d v="2023-09-01T00:00:00"/>
    <n v="0"/>
    <x v="4"/>
  </r>
  <r>
    <x v="0"/>
    <x v="12"/>
    <n v="9"/>
    <x v="10"/>
    <d v="2023-09-01T00:00:00"/>
    <n v="0"/>
    <x v="5"/>
  </r>
  <r>
    <x v="0"/>
    <x v="12"/>
    <n v="9"/>
    <x v="10"/>
    <d v="2023-09-01T00:00:00"/>
    <n v="0"/>
    <x v="6"/>
  </r>
  <r>
    <x v="0"/>
    <x v="12"/>
    <n v="9"/>
    <x v="10"/>
    <d v="2023-09-01T00:00:00"/>
    <n v="0"/>
    <x v="7"/>
  </r>
  <r>
    <x v="0"/>
    <x v="12"/>
    <n v="9"/>
    <x v="10"/>
    <d v="2023-09-01T00:00:00"/>
    <n v="0"/>
    <x v="8"/>
  </r>
  <r>
    <x v="0"/>
    <x v="12"/>
    <n v="9"/>
    <x v="10"/>
    <d v="2023-09-01T00:00:00"/>
    <n v="0"/>
    <x v="9"/>
  </r>
  <r>
    <x v="0"/>
    <x v="12"/>
    <n v="9"/>
    <x v="10"/>
    <d v="2023-09-01T00:00:00"/>
    <n v="0"/>
    <x v="10"/>
  </r>
  <r>
    <x v="0"/>
    <x v="12"/>
    <n v="9"/>
    <x v="10"/>
    <d v="2023-09-01T00:00:00"/>
    <n v="0"/>
    <x v="11"/>
  </r>
  <r>
    <x v="0"/>
    <x v="12"/>
    <n v="9"/>
    <x v="10"/>
    <d v="2023-09-01T00:00:00"/>
    <n v="0"/>
    <x v="12"/>
  </r>
  <r>
    <x v="0"/>
    <x v="12"/>
    <n v="10"/>
    <x v="0"/>
    <d v="2023-09-01T00:00:00"/>
    <n v="15786"/>
    <x v="0"/>
  </r>
  <r>
    <x v="0"/>
    <x v="12"/>
    <n v="10"/>
    <x v="0"/>
    <d v="2023-09-01T00:00:00"/>
    <n v="16898"/>
    <x v="1"/>
  </r>
  <r>
    <x v="0"/>
    <x v="12"/>
    <n v="10"/>
    <x v="0"/>
    <d v="2023-09-01T00:00:00"/>
    <n v="20907"/>
    <x v="2"/>
  </r>
  <r>
    <x v="0"/>
    <x v="12"/>
    <n v="10"/>
    <x v="0"/>
    <d v="2023-09-01T00:00:00"/>
    <n v="18945"/>
    <x v="3"/>
  </r>
  <r>
    <x v="0"/>
    <x v="12"/>
    <n v="10"/>
    <x v="0"/>
    <d v="2023-09-01T00:00:00"/>
    <n v="16789"/>
    <x v="4"/>
  </r>
  <r>
    <x v="0"/>
    <x v="12"/>
    <n v="10"/>
    <x v="0"/>
    <d v="2023-09-01T00:00:00"/>
    <n v="16807"/>
    <x v="5"/>
  </r>
  <r>
    <x v="0"/>
    <x v="12"/>
    <n v="10"/>
    <x v="0"/>
    <d v="2023-09-01T00:00:00"/>
    <n v="17716"/>
    <x v="6"/>
  </r>
  <r>
    <x v="0"/>
    <x v="12"/>
    <n v="10"/>
    <x v="0"/>
    <d v="2023-09-01T00:00:00"/>
    <n v="17716"/>
    <x v="7"/>
  </r>
  <r>
    <x v="0"/>
    <x v="12"/>
    <n v="10"/>
    <x v="0"/>
    <d v="2023-09-01T00:00:00"/>
    <n v="17716"/>
    <x v="8"/>
  </r>
  <r>
    <x v="0"/>
    <x v="12"/>
    <n v="10"/>
    <x v="0"/>
    <d v="2023-09-01T00:00:00"/>
    <n v="17717"/>
    <x v="9"/>
  </r>
  <r>
    <x v="0"/>
    <x v="12"/>
    <n v="10"/>
    <x v="0"/>
    <d v="2023-09-01T00:00:00"/>
    <n v="17717"/>
    <x v="10"/>
  </r>
  <r>
    <x v="0"/>
    <x v="12"/>
    <n v="10"/>
    <x v="0"/>
    <d v="2023-09-01T00:00:00"/>
    <n v="17717"/>
    <x v="11"/>
  </r>
  <r>
    <x v="0"/>
    <x v="12"/>
    <n v="10"/>
    <x v="0"/>
    <d v="2023-09-01T00:00:00"/>
    <n v="212431"/>
    <x v="12"/>
  </r>
  <r>
    <x v="0"/>
    <x v="12"/>
    <n v="11"/>
    <x v="1"/>
    <d v="2023-09-01T00:00:00"/>
    <n v="3670"/>
    <x v="0"/>
  </r>
  <r>
    <x v="0"/>
    <x v="12"/>
    <n v="11"/>
    <x v="1"/>
    <d v="2023-09-01T00:00:00"/>
    <n v="3794"/>
    <x v="1"/>
  </r>
  <r>
    <x v="0"/>
    <x v="12"/>
    <n v="11"/>
    <x v="1"/>
    <d v="2023-09-01T00:00:00"/>
    <n v="3820"/>
    <x v="2"/>
  </r>
  <r>
    <x v="0"/>
    <x v="12"/>
    <n v="11"/>
    <x v="1"/>
    <d v="2023-09-01T00:00:00"/>
    <n v="4215"/>
    <x v="3"/>
  </r>
  <r>
    <x v="0"/>
    <x v="12"/>
    <n v="11"/>
    <x v="1"/>
    <d v="2023-09-01T00:00:00"/>
    <n v="4102"/>
    <x v="4"/>
  </r>
  <r>
    <x v="0"/>
    <x v="12"/>
    <n v="11"/>
    <x v="1"/>
    <d v="2023-09-01T00:00:00"/>
    <n v="3578"/>
    <x v="5"/>
  </r>
  <r>
    <x v="0"/>
    <x v="12"/>
    <n v="11"/>
    <x v="1"/>
    <d v="2023-09-01T00:00:00"/>
    <n v="4374"/>
    <x v="6"/>
  </r>
  <r>
    <x v="0"/>
    <x v="12"/>
    <n v="11"/>
    <x v="1"/>
    <d v="2023-09-01T00:00:00"/>
    <n v="4375"/>
    <x v="7"/>
  </r>
  <r>
    <x v="0"/>
    <x v="12"/>
    <n v="11"/>
    <x v="1"/>
    <d v="2023-09-01T00:00:00"/>
    <n v="4373"/>
    <x v="8"/>
  </r>
  <r>
    <x v="0"/>
    <x v="12"/>
    <n v="11"/>
    <x v="1"/>
    <d v="2023-09-01T00:00:00"/>
    <n v="4398"/>
    <x v="9"/>
  </r>
  <r>
    <x v="0"/>
    <x v="12"/>
    <n v="11"/>
    <x v="1"/>
    <d v="2023-09-01T00:00:00"/>
    <n v="4400"/>
    <x v="10"/>
  </r>
  <r>
    <x v="0"/>
    <x v="12"/>
    <n v="11"/>
    <x v="1"/>
    <d v="2023-09-01T00:00:00"/>
    <n v="4399"/>
    <x v="11"/>
  </r>
  <r>
    <x v="0"/>
    <x v="12"/>
    <n v="11"/>
    <x v="1"/>
    <d v="2023-09-01T00:00:00"/>
    <n v="49498"/>
    <x v="12"/>
  </r>
  <r>
    <x v="0"/>
    <x v="12"/>
    <n v="12"/>
    <x v="2"/>
    <d v="2023-09-01T00:00:00"/>
    <n v="38"/>
    <x v="0"/>
  </r>
  <r>
    <x v="0"/>
    <x v="12"/>
    <n v="12"/>
    <x v="2"/>
    <d v="2023-09-01T00:00:00"/>
    <n v="36"/>
    <x v="1"/>
  </r>
  <r>
    <x v="0"/>
    <x v="12"/>
    <n v="12"/>
    <x v="2"/>
    <d v="2023-09-01T00:00:00"/>
    <n v="54"/>
    <x v="2"/>
  </r>
  <r>
    <x v="0"/>
    <x v="12"/>
    <n v="12"/>
    <x v="2"/>
    <d v="2023-09-01T00:00:00"/>
    <n v="39"/>
    <x v="3"/>
  </r>
  <r>
    <x v="0"/>
    <x v="12"/>
    <n v="12"/>
    <x v="2"/>
    <d v="2023-09-01T00:00:00"/>
    <n v="32"/>
    <x v="4"/>
  </r>
  <r>
    <x v="0"/>
    <x v="12"/>
    <n v="12"/>
    <x v="2"/>
    <d v="2023-09-01T00:00:00"/>
    <n v="39"/>
    <x v="5"/>
  </r>
  <r>
    <x v="0"/>
    <x v="12"/>
    <n v="12"/>
    <x v="2"/>
    <d v="2023-09-01T00:00:00"/>
    <n v="46"/>
    <x v="6"/>
  </r>
  <r>
    <x v="0"/>
    <x v="12"/>
    <n v="12"/>
    <x v="2"/>
    <d v="2023-09-01T00:00:00"/>
    <n v="46"/>
    <x v="7"/>
  </r>
  <r>
    <x v="0"/>
    <x v="12"/>
    <n v="12"/>
    <x v="2"/>
    <d v="2023-09-01T00:00:00"/>
    <n v="46"/>
    <x v="8"/>
  </r>
  <r>
    <x v="0"/>
    <x v="12"/>
    <n v="12"/>
    <x v="2"/>
    <d v="2023-09-01T00:00:00"/>
    <n v="46"/>
    <x v="9"/>
  </r>
  <r>
    <x v="0"/>
    <x v="12"/>
    <n v="12"/>
    <x v="2"/>
    <d v="2023-09-01T00:00:00"/>
    <n v="45"/>
    <x v="10"/>
  </r>
  <r>
    <x v="0"/>
    <x v="12"/>
    <n v="12"/>
    <x v="2"/>
    <d v="2023-09-01T00:00:00"/>
    <n v="45"/>
    <x v="11"/>
  </r>
  <r>
    <x v="0"/>
    <x v="12"/>
    <n v="12"/>
    <x v="2"/>
    <d v="2023-09-01T00:00:00"/>
    <n v="512"/>
    <x v="12"/>
  </r>
  <r>
    <x v="0"/>
    <x v="12"/>
    <n v="13"/>
    <x v="12"/>
    <d v="2023-09-01T00:00:00"/>
    <n v="0"/>
    <x v="0"/>
  </r>
  <r>
    <x v="0"/>
    <x v="12"/>
    <n v="13"/>
    <x v="12"/>
    <d v="2023-09-01T00:00:00"/>
    <n v="0"/>
    <x v="1"/>
  </r>
  <r>
    <x v="0"/>
    <x v="12"/>
    <n v="13"/>
    <x v="12"/>
    <d v="2023-09-01T00:00:00"/>
    <n v="0"/>
    <x v="2"/>
  </r>
  <r>
    <x v="0"/>
    <x v="12"/>
    <n v="13"/>
    <x v="12"/>
    <d v="2023-09-01T00:00:00"/>
    <n v="0"/>
    <x v="3"/>
  </r>
  <r>
    <x v="0"/>
    <x v="12"/>
    <n v="13"/>
    <x v="12"/>
    <d v="2023-09-01T00:00:00"/>
    <n v="0"/>
    <x v="4"/>
  </r>
  <r>
    <x v="0"/>
    <x v="12"/>
    <n v="13"/>
    <x v="12"/>
    <d v="2023-09-01T00:00:00"/>
    <n v="0"/>
    <x v="5"/>
  </r>
  <r>
    <x v="0"/>
    <x v="12"/>
    <n v="13"/>
    <x v="12"/>
    <d v="2023-09-01T00:00:00"/>
    <n v="0"/>
    <x v="6"/>
  </r>
  <r>
    <x v="0"/>
    <x v="12"/>
    <n v="13"/>
    <x v="12"/>
    <d v="2023-09-01T00:00:00"/>
    <n v="0"/>
    <x v="7"/>
  </r>
  <r>
    <x v="0"/>
    <x v="12"/>
    <n v="13"/>
    <x v="12"/>
    <d v="2023-09-01T00:00:00"/>
    <n v="0"/>
    <x v="8"/>
  </r>
  <r>
    <x v="0"/>
    <x v="12"/>
    <n v="13"/>
    <x v="12"/>
    <d v="2023-09-01T00:00:00"/>
    <n v="0"/>
    <x v="9"/>
  </r>
  <r>
    <x v="0"/>
    <x v="12"/>
    <n v="13"/>
    <x v="12"/>
    <d v="2023-09-01T00:00:00"/>
    <n v="0"/>
    <x v="10"/>
  </r>
  <r>
    <x v="0"/>
    <x v="12"/>
    <n v="13"/>
    <x v="12"/>
    <d v="2023-09-01T00:00:00"/>
    <n v="0"/>
    <x v="11"/>
  </r>
  <r>
    <x v="0"/>
    <x v="12"/>
    <n v="13"/>
    <x v="12"/>
    <d v="2023-09-01T00:00:00"/>
    <n v="0"/>
    <x v="12"/>
  </r>
  <r>
    <x v="0"/>
    <x v="12"/>
    <n v="14"/>
    <x v="13"/>
    <d v="2023-09-01T00:00:00"/>
    <n v="0"/>
    <x v="0"/>
  </r>
  <r>
    <x v="0"/>
    <x v="12"/>
    <n v="14"/>
    <x v="13"/>
    <d v="2023-09-01T00:00:00"/>
    <n v="0"/>
    <x v="1"/>
  </r>
  <r>
    <x v="0"/>
    <x v="12"/>
    <n v="14"/>
    <x v="13"/>
    <d v="2023-09-01T00:00:00"/>
    <n v="0"/>
    <x v="2"/>
  </r>
  <r>
    <x v="0"/>
    <x v="12"/>
    <n v="14"/>
    <x v="13"/>
    <d v="2023-09-01T00:00:00"/>
    <n v="0"/>
    <x v="3"/>
  </r>
  <r>
    <x v="0"/>
    <x v="12"/>
    <n v="14"/>
    <x v="13"/>
    <d v="2023-09-01T00:00:00"/>
    <n v="0"/>
    <x v="4"/>
  </r>
  <r>
    <x v="0"/>
    <x v="12"/>
    <n v="14"/>
    <x v="13"/>
    <d v="2023-09-01T00:00:00"/>
    <n v="0"/>
    <x v="5"/>
  </r>
  <r>
    <x v="0"/>
    <x v="12"/>
    <n v="14"/>
    <x v="13"/>
    <d v="2023-09-01T00:00:00"/>
    <n v="0"/>
    <x v="6"/>
  </r>
  <r>
    <x v="0"/>
    <x v="12"/>
    <n v="14"/>
    <x v="13"/>
    <d v="2023-09-01T00:00:00"/>
    <n v="0"/>
    <x v="7"/>
  </r>
  <r>
    <x v="0"/>
    <x v="12"/>
    <n v="14"/>
    <x v="13"/>
    <d v="2023-09-01T00:00:00"/>
    <n v="0"/>
    <x v="8"/>
  </r>
  <r>
    <x v="0"/>
    <x v="12"/>
    <n v="14"/>
    <x v="13"/>
    <d v="2023-09-01T00:00:00"/>
    <n v="0"/>
    <x v="9"/>
  </r>
  <r>
    <x v="0"/>
    <x v="12"/>
    <n v="14"/>
    <x v="13"/>
    <d v="2023-09-01T00:00:00"/>
    <n v="0"/>
    <x v="10"/>
  </r>
  <r>
    <x v="0"/>
    <x v="12"/>
    <n v="14"/>
    <x v="13"/>
    <d v="2023-09-01T00:00:00"/>
    <n v="0"/>
    <x v="11"/>
  </r>
  <r>
    <x v="0"/>
    <x v="12"/>
    <n v="14"/>
    <x v="13"/>
    <d v="2023-09-01T00:00:00"/>
    <n v="0"/>
    <x v="12"/>
  </r>
  <r>
    <x v="0"/>
    <x v="12"/>
    <n v="15"/>
    <x v="14"/>
    <d v="2023-09-01T00:00:00"/>
    <n v="0"/>
    <x v="0"/>
  </r>
  <r>
    <x v="0"/>
    <x v="12"/>
    <n v="15"/>
    <x v="14"/>
    <d v="2023-09-01T00:00:00"/>
    <n v="0"/>
    <x v="1"/>
  </r>
  <r>
    <x v="0"/>
    <x v="12"/>
    <n v="15"/>
    <x v="14"/>
    <d v="2023-09-01T00:00:00"/>
    <n v="0"/>
    <x v="2"/>
  </r>
  <r>
    <x v="0"/>
    <x v="12"/>
    <n v="15"/>
    <x v="14"/>
    <d v="2023-09-01T00:00:00"/>
    <n v="0"/>
    <x v="3"/>
  </r>
  <r>
    <x v="0"/>
    <x v="12"/>
    <n v="15"/>
    <x v="14"/>
    <d v="2023-09-01T00:00:00"/>
    <n v="0"/>
    <x v="4"/>
  </r>
  <r>
    <x v="0"/>
    <x v="12"/>
    <n v="15"/>
    <x v="14"/>
    <d v="2023-09-01T00:00:00"/>
    <n v="0"/>
    <x v="5"/>
  </r>
  <r>
    <x v="0"/>
    <x v="12"/>
    <n v="15"/>
    <x v="14"/>
    <d v="2023-09-01T00:00:00"/>
    <n v="0"/>
    <x v="6"/>
  </r>
  <r>
    <x v="0"/>
    <x v="12"/>
    <n v="15"/>
    <x v="14"/>
    <d v="2023-09-01T00:00:00"/>
    <n v="0"/>
    <x v="7"/>
  </r>
  <r>
    <x v="0"/>
    <x v="12"/>
    <n v="15"/>
    <x v="14"/>
    <d v="2023-09-01T00:00:00"/>
    <n v="0"/>
    <x v="8"/>
  </r>
  <r>
    <x v="0"/>
    <x v="12"/>
    <n v="15"/>
    <x v="14"/>
    <d v="2023-09-01T00:00:00"/>
    <n v="0"/>
    <x v="9"/>
  </r>
  <r>
    <x v="0"/>
    <x v="12"/>
    <n v="15"/>
    <x v="14"/>
    <d v="2023-09-01T00:00:00"/>
    <n v="0"/>
    <x v="10"/>
  </r>
  <r>
    <x v="0"/>
    <x v="12"/>
    <n v="15"/>
    <x v="14"/>
    <d v="2023-09-01T00:00:00"/>
    <n v="0"/>
    <x v="11"/>
  </r>
  <r>
    <x v="0"/>
    <x v="12"/>
    <n v="15"/>
    <x v="14"/>
    <d v="2023-09-01T00:00:00"/>
    <n v="0"/>
    <x v="12"/>
  </r>
  <r>
    <x v="0"/>
    <x v="12"/>
    <n v="16"/>
    <x v="15"/>
    <d v="2023-09-01T00:00:00"/>
    <n v="831"/>
    <x v="0"/>
  </r>
  <r>
    <x v="0"/>
    <x v="12"/>
    <n v="16"/>
    <x v="15"/>
    <d v="2023-09-01T00:00:00"/>
    <n v="885"/>
    <x v="1"/>
  </r>
  <r>
    <x v="0"/>
    <x v="12"/>
    <n v="16"/>
    <x v="15"/>
    <d v="2023-09-01T00:00:00"/>
    <n v="847"/>
    <x v="2"/>
  </r>
  <r>
    <x v="0"/>
    <x v="12"/>
    <n v="16"/>
    <x v="15"/>
    <d v="2023-09-01T00:00:00"/>
    <n v="860"/>
    <x v="3"/>
  </r>
  <r>
    <x v="0"/>
    <x v="12"/>
    <n v="16"/>
    <x v="15"/>
    <d v="2023-09-01T00:00:00"/>
    <n v="954"/>
    <x v="4"/>
  </r>
  <r>
    <x v="0"/>
    <x v="12"/>
    <n v="16"/>
    <x v="15"/>
    <d v="2023-09-01T00:00:00"/>
    <n v="966"/>
    <x v="5"/>
  </r>
  <r>
    <x v="0"/>
    <x v="12"/>
    <n v="16"/>
    <x v="15"/>
    <d v="2023-09-01T00:00:00"/>
    <n v="636"/>
    <x v="6"/>
  </r>
  <r>
    <x v="0"/>
    <x v="12"/>
    <n v="16"/>
    <x v="15"/>
    <d v="2023-09-01T00:00:00"/>
    <n v="636"/>
    <x v="7"/>
  </r>
  <r>
    <x v="0"/>
    <x v="12"/>
    <n v="16"/>
    <x v="15"/>
    <d v="2023-09-01T00:00:00"/>
    <n v="636"/>
    <x v="8"/>
  </r>
  <r>
    <x v="0"/>
    <x v="12"/>
    <n v="16"/>
    <x v="15"/>
    <d v="2023-09-01T00:00:00"/>
    <n v="636"/>
    <x v="9"/>
  </r>
  <r>
    <x v="0"/>
    <x v="12"/>
    <n v="16"/>
    <x v="15"/>
    <d v="2023-09-01T00:00:00"/>
    <n v="635"/>
    <x v="10"/>
  </r>
  <r>
    <x v="0"/>
    <x v="12"/>
    <n v="16"/>
    <x v="15"/>
    <d v="2023-09-01T00:00:00"/>
    <n v="635"/>
    <x v="11"/>
  </r>
  <r>
    <x v="0"/>
    <x v="12"/>
    <n v="16"/>
    <x v="15"/>
    <d v="2023-09-01T00:00:00"/>
    <n v="9157"/>
    <x v="12"/>
  </r>
  <r>
    <x v="0"/>
    <x v="12"/>
    <n v="17"/>
    <x v="16"/>
    <d v="2023-09-01T00:00:00"/>
    <n v="0"/>
    <x v="0"/>
  </r>
  <r>
    <x v="0"/>
    <x v="12"/>
    <n v="17"/>
    <x v="16"/>
    <d v="2023-09-01T00:00:00"/>
    <n v="0"/>
    <x v="1"/>
  </r>
  <r>
    <x v="0"/>
    <x v="12"/>
    <n v="17"/>
    <x v="16"/>
    <d v="2023-09-01T00:00:00"/>
    <n v="0"/>
    <x v="2"/>
  </r>
  <r>
    <x v="0"/>
    <x v="12"/>
    <n v="17"/>
    <x v="16"/>
    <d v="2023-09-01T00:00:00"/>
    <n v="0"/>
    <x v="3"/>
  </r>
  <r>
    <x v="0"/>
    <x v="12"/>
    <n v="17"/>
    <x v="16"/>
    <d v="2023-09-01T00:00:00"/>
    <n v="0"/>
    <x v="4"/>
  </r>
  <r>
    <x v="0"/>
    <x v="12"/>
    <n v="17"/>
    <x v="16"/>
    <d v="2023-09-01T00:00:00"/>
    <n v="0"/>
    <x v="5"/>
  </r>
  <r>
    <x v="0"/>
    <x v="12"/>
    <n v="17"/>
    <x v="16"/>
    <d v="2023-09-01T00:00:00"/>
    <n v="0"/>
    <x v="6"/>
  </r>
  <r>
    <x v="0"/>
    <x v="12"/>
    <n v="17"/>
    <x v="16"/>
    <d v="2023-09-01T00:00:00"/>
    <n v="0"/>
    <x v="7"/>
  </r>
  <r>
    <x v="0"/>
    <x v="12"/>
    <n v="17"/>
    <x v="16"/>
    <d v="2023-09-01T00:00:00"/>
    <n v="0"/>
    <x v="8"/>
  </r>
  <r>
    <x v="0"/>
    <x v="12"/>
    <n v="17"/>
    <x v="16"/>
    <d v="2023-09-01T00:00:00"/>
    <n v="0"/>
    <x v="9"/>
  </r>
  <r>
    <x v="0"/>
    <x v="12"/>
    <n v="17"/>
    <x v="16"/>
    <d v="2023-09-01T00:00:00"/>
    <n v="0"/>
    <x v="10"/>
  </r>
  <r>
    <x v="0"/>
    <x v="12"/>
    <n v="17"/>
    <x v="16"/>
    <d v="2023-09-01T00:00:00"/>
    <n v="0"/>
    <x v="11"/>
  </r>
  <r>
    <x v="0"/>
    <x v="12"/>
    <n v="17"/>
    <x v="16"/>
    <d v="2023-09-01T00:00:00"/>
    <n v="0"/>
    <x v="12"/>
  </r>
  <r>
    <x v="0"/>
    <x v="12"/>
    <n v="18"/>
    <x v="17"/>
    <d v="2023-09-01T00:00:00"/>
    <n v="77"/>
    <x v="0"/>
  </r>
  <r>
    <x v="0"/>
    <x v="12"/>
    <n v="18"/>
    <x v="17"/>
    <d v="2023-09-01T00:00:00"/>
    <n v="97"/>
    <x v="1"/>
  </r>
  <r>
    <x v="0"/>
    <x v="12"/>
    <n v="18"/>
    <x v="17"/>
    <d v="2023-09-01T00:00:00"/>
    <n v="83"/>
    <x v="2"/>
  </r>
  <r>
    <x v="0"/>
    <x v="12"/>
    <n v="18"/>
    <x v="17"/>
    <d v="2023-09-01T00:00:00"/>
    <n v="53"/>
    <x v="3"/>
  </r>
  <r>
    <x v="0"/>
    <x v="12"/>
    <n v="18"/>
    <x v="17"/>
    <d v="2023-09-01T00:00:00"/>
    <n v="78"/>
    <x v="4"/>
  </r>
  <r>
    <x v="0"/>
    <x v="12"/>
    <n v="18"/>
    <x v="17"/>
    <d v="2023-09-01T00:00:00"/>
    <n v="71"/>
    <x v="5"/>
  </r>
  <r>
    <x v="0"/>
    <x v="12"/>
    <n v="18"/>
    <x v="17"/>
    <d v="2023-09-01T00:00:00"/>
    <n v="79"/>
    <x v="6"/>
  </r>
  <r>
    <x v="0"/>
    <x v="12"/>
    <n v="18"/>
    <x v="17"/>
    <d v="2023-09-01T00:00:00"/>
    <n v="78"/>
    <x v="7"/>
  </r>
  <r>
    <x v="0"/>
    <x v="12"/>
    <n v="18"/>
    <x v="17"/>
    <d v="2023-09-01T00:00:00"/>
    <n v="78"/>
    <x v="8"/>
  </r>
  <r>
    <x v="0"/>
    <x v="12"/>
    <n v="18"/>
    <x v="17"/>
    <d v="2023-09-01T00:00:00"/>
    <n v="78"/>
    <x v="9"/>
  </r>
  <r>
    <x v="0"/>
    <x v="12"/>
    <n v="18"/>
    <x v="17"/>
    <d v="2023-09-01T00:00:00"/>
    <n v="78"/>
    <x v="10"/>
  </r>
  <r>
    <x v="0"/>
    <x v="12"/>
    <n v="18"/>
    <x v="17"/>
    <d v="2023-09-01T00:00:00"/>
    <n v="78"/>
    <x v="11"/>
  </r>
  <r>
    <x v="0"/>
    <x v="12"/>
    <n v="18"/>
    <x v="17"/>
    <d v="2023-09-01T00:00:00"/>
    <n v="928"/>
    <x v="12"/>
  </r>
  <r>
    <x v="0"/>
    <x v="12"/>
    <n v="19"/>
    <x v="18"/>
    <d v="2023-09-01T00:00:00"/>
    <n v="0"/>
    <x v="0"/>
  </r>
  <r>
    <x v="0"/>
    <x v="12"/>
    <n v="19"/>
    <x v="18"/>
    <d v="2023-09-01T00:00:00"/>
    <n v="0"/>
    <x v="1"/>
  </r>
  <r>
    <x v="0"/>
    <x v="12"/>
    <n v="19"/>
    <x v="18"/>
    <d v="2023-09-01T00:00:00"/>
    <n v="0"/>
    <x v="2"/>
  </r>
  <r>
    <x v="0"/>
    <x v="12"/>
    <n v="19"/>
    <x v="18"/>
    <d v="2023-09-01T00:00:00"/>
    <n v="0"/>
    <x v="3"/>
  </r>
  <r>
    <x v="0"/>
    <x v="12"/>
    <n v="19"/>
    <x v="18"/>
    <d v="2023-09-01T00:00:00"/>
    <n v="0"/>
    <x v="4"/>
  </r>
  <r>
    <x v="0"/>
    <x v="12"/>
    <n v="19"/>
    <x v="18"/>
    <d v="2023-09-01T00:00:00"/>
    <n v="0"/>
    <x v="5"/>
  </r>
  <r>
    <x v="0"/>
    <x v="12"/>
    <n v="19"/>
    <x v="18"/>
    <d v="2023-09-01T00:00:00"/>
    <n v="0"/>
    <x v="6"/>
  </r>
  <r>
    <x v="0"/>
    <x v="12"/>
    <n v="19"/>
    <x v="18"/>
    <d v="2023-09-01T00:00:00"/>
    <n v="0"/>
    <x v="7"/>
  </r>
  <r>
    <x v="0"/>
    <x v="12"/>
    <n v="19"/>
    <x v="18"/>
    <d v="2023-09-01T00:00:00"/>
    <n v="0"/>
    <x v="8"/>
  </r>
  <r>
    <x v="0"/>
    <x v="12"/>
    <n v="19"/>
    <x v="18"/>
    <d v="2023-09-01T00:00:00"/>
    <n v="0"/>
    <x v="9"/>
  </r>
  <r>
    <x v="0"/>
    <x v="12"/>
    <n v="19"/>
    <x v="18"/>
    <d v="2023-09-01T00:00:00"/>
    <n v="0"/>
    <x v="10"/>
  </r>
  <r>
    <x v="0"/>
    <x v="12"/>
    <n v="19"/>
    <x v="18"/>
    <d v="2023-09-01T00:00:00"/>
    <n v="0"/>
    <x v="11"/>
  </r>
  <r>
    <x v="0"/>
    <x v="12"/>
    <n v="19"/>
    <x v="18"/>
    <d v="2023-09-01T00:00:00"/>
    <n v="0"/>
    <x v="12"/>
  </r>
  <r>
    <x v="0"/>
    <x v="12"/>
    <n v="20"/>
    <x v="19"/>
    <d v="2023-09-01T00:00:00"/>
    <n v="-84"/>
    <x v="0"/>
  </r>
  <r>
    <x v="0"/>
    <x v="12"/>
    <n v="20"/>
    <x v="19"/>
    <d v="2023-09-01T00:00:00"/>
    <n v="-98"/>
    <x v="1"/>
  </r>
  <r>
    <x v="0"/>
    <x v="12"/>
    <n v="20"/>
    <x v="19"/>
    <d v="2023-09-01T00:00:00"/>
    <n v="-90"/>
    <x v="2"/>
  </r>
  <r>
    <x v="0"/>
    <x v="12"/>
    <n v="20"/>
    <x v="19"/>
    <d v="2023-09-01T00:00:00"/>
    <n v="-73"/>
    <x v="3"/>
  </r>
  <r>
    <x v="0"/>
    <x v="12"/>
    <n v="20"/>
    <x v="19"/>
    <d v="2023-09-01T00:00:00"/>
    <n v="-58"/>
    <x v="4"/>
  </r>
  <r>
    <x v="0"/>
    <x v="12"/>
    <n v="20"/>
    <x v="19"/>
    <d v="2023-09-01T00:00:00"/>
    <n v="-67"/>
    <x v="5"/>
  </r>
  <r>
    <x v="0"/>
    <x v="12"/>
    <n v="20"/>
    <x v="19"/>
    <d v="2023-09-01T00:00:00"/>
    <n v="-5"/>
    <x v="6"/>
  </r>
  <r>
    <x v="0"/>
    <x v="12"/>
    <n v="20"/>
    <x v="19"/>
    <d v="2023-09-01T00:00:00"/>
    <n v="-5"/>
    <x v="7"/>
  </r>
  <r>
    <x v="0"/>
    <x v="12"/>
    <n v="20"/>
    <x v="19"/>
    <d v="2023-09-01T00:00:00"/>
    <n v="-5"/>
    <x v="8"/>
  </r>
  <r>
    <x v="0"/>
    <x v="12"/>
    <n v="20"/>
    <x v="19"/>
    <d v="2023-09-01T00:00:00"/>
    <n v="-5"/>
    <x v="9"/>
  </r>
  <r>
    <x v="0"/>
    <x v="12"/>
    <n v="20"/>
    <x v="19"/>
    <d v="2023-09-01T00:00:00"/>
    <n v="-5"/>
    <x v="10"/>
  </r>
  <r>
    <x v="0"/>
    <x v="12"/>
    <n v="20"/>
    <x v="19"/>
    <d v="2023-09-01T00:00:00"/>
    <n v="-5"/>
    <x v="11"/>
  </r>
  <r>
    <x v="0"/>
    <x v="12"/>
    <n v="20"/>
    <x v="19"/>
    <d v="2023-09-01T00:00:00"/>
    <n v="-500"/>
    <x v="12"/>
  </r>
  <r>
    <x v="0"/>
    <x v="12"/>
    <n v="21"/>
    <x v="20"/>
    <d v="2023-09-01T00:00:00"/>
    <n v="10"/>
    <x v="0"/>
  </r>
  <r>
    <x v="0"/>
    <x v="12"/>
    <n v="21"/>
    <x v="20"/>
    <d v="2023-09-01T00:00:00"/>
    <n v="10"/>
    <x v="1"/>
  </r>
  <r>
    <x v="0"/>
    <x v="12"/>
    <n v="21"/>
    <x v="20"/>
    <d v="2023-09-01T00:00:00"/>
    <n v="10"/>
    <x v="2"/>
  </r>
  <r>
    <x v="0"/>
    <x v="12"/>
    <n v="21"/>
    <x v="20"/>
    <d v="2023-09-01T00:00:00"/>
    <n v="10"/>
    <x v="3"/>
  </r>
  <r>
    <x v="0"/>
    <x v="12"/>
    <n v="21"/>
    <x v="20"/>
    <d v="2023-09-01T00:00:00"/>
    <n v="10"/>
    <x v="4"/>
  </r>
  <r>
    <x v="0"/>
    <x v="12"/>
    <n v="21"/>
    <x v="20"/>
    <d v="2023-09-01T00:00:00"/>
    <n v="10"/>
    <x v="5"/>
  </r>
  <r>
    <x v="0"/>
    <x v="12"/>
    <n v="21"/>
    <x v="20"/>
    <d v="2023-09-01T00:00:00"/>
    <n v="10"/>
    <x v="6"/>
  </r>
  <r>
    <x v="0"/>
    <x v="12"/>
    <n v="21"/>
    <x v="20"/>
    <d v="2023-09-01T00:00:00"/>
    <n v="10"/>
    <x v="7"/>
  </r>
  <r>
    <x v="0"/>
    <x v="12"/>
    <n v="21"/>
    <x v="20"/>
    <d v="2023-09-01T00:00:00"/>
    <n v="10"/>
    <x v="8"/>
  </r>
  <r>
    <x v="0"/>
    <x v="12"/>
    <n v="21"/>
    <x v="20"/>
    <d v="2023-09-01T00:00:00"/>
    <n v="10"/>
    <x v="9"/>
  </r>
  <r>
    <x v="0"/>
    <x v="12"/>
    <n v="21"/>
    <x v="20"/>
    <d v="2023-09-01T00:00:00"/>
    <n v="10"/>
    <x v="10"/>
  </r>
  <r>
    <x v="0"/>
    <x v="12"/>
    <n v="21"/>
    <x v="20"/>
    <d v="2023-09-01T00:00:00"/>
    <n v="11"/>
    <x v="11"/>
  </r>
  <r>
    <x v="0"/>
    <x v="12"/>
    <n v="21"/>
    <x v="20"/>
    <d v="2023-09-01T00:00:00"/>
    <n v="121"/>
    <x v="12"/>
  </r>
  <r>
    <x v="0"/>
    <x v="12"/>
    <n v="22"/>
    <x v="21"/>
    <d v="2023-09-01T00:00:00"/>
    <n v="1668"/>
    <x v="0"/>
  </r>
  <r>
    <x v="0"/>
    <x v="12"/>
    <n v="22"/>
    <x v="21"/>
    <d v="2023-09-01T00:00:00"/>
    <n v="1668"/>
    <x v="1"/>
  </r>
  <r>
    <x v="0"/>
    <x v="12"/>
    <n v="22"/>
    <x v="21"/>
    <d v="2023-09-01T00:00:00"/>
    <n v="1977"/>
    <x v="2"/>
  </r>
  <r>
    <x v="0"/>
    <x v="12"/>
    <n v="22"/>
    <x v="21"/>
    <d v="2023-09-01T00:00:00"/>
    <n v="1771"/>
    <x v="3"/>
  </r>
  <r>
    <x v="0"/>
    <x v="12"/>
    <n v="22"/>
    <x v="21"/>
    <d v="2023-09-01T00:00:00"/>
    <n v="1771"/>
    <x v="4"/>
  </r>
  <r>
    <x v="0"/>
    <x v="12"/>
    <n v="22"/>
    <x v="21"/>
    <d v="2023-09-01T00:00:00"/>
    <n v="1771"/>
    <x v="5"/>
  </r>
  <r>
    <x v="0"/>
    <x v="12"/>
    <n v="22"/>
    <x v="21"/>
    <d v="2023-09-01T00:00:00"/>
    <n v="1771"/>
    <x v="6"/>
  </r>
  <r>
    <x v="0"/>
    <x v="12"/>
    <n v="22"/>
    <x v="21"/>
    <d v="2023-09-01T00:00:00"/>
    <n v="1771"/>
    <x v="7"/>
  </r>
  <r>
    <x v="0"/>
    <x v="12"/>
    <n v="22"/>
    <x v="21"/>
    <d v="2023-09-01T00:00:00"/>
    <n v="1772"/>
    <x v="8"/>
  </r>
  <r>
    <x v="0"/>
    <x v="12"/>
    <n v="22"/>
    <x v="21"/>
    <d v="2023-09-01T00:00:00"/>
    <n v="1772"/>
    <x v="9"/>
  </r>
  <r>
    <x v="0"/>
    <x v="12"/>
    <n v="22"/>
    <x v="21"/>
    <d v="2023-09-01T00:00:00"/>
    <n v="1772"/>
    <x v="10"/>
  </r>
  <r>
    <x v="0"/>
    <x v="12"/>
    <n v="22"/>
    <x v="21"/>
    <d v="2023-09-01T00:00:00"/>
    <n v="1772"/>
    <x v="11"/>
  </r>
  <r>
    <x v="0"/>
    <x v="12"/>
    <n v="22"/>
    <x v="21"/>
    <d v="2023-09-01T00:00:00"/>
    <n v="21256"/>
    <x v="12"/>
  </r>
  <r>
    <x v="0"/>
    <x v="12"/>
    <n v="23"/>
    <x v="22"/>
    <d v="2023-09-01T00:00:00"/>
    <n v="146"/>
    <x v="0"/>
  </r>
  <r>
    <x v="0"/>
    <x v="12"/>
    <n v="23"/>
    <x v="22"/>
    <d v="2023-09-01T00:00:00"/>
    <n v="146"/>
    <x v="1"/>
  </r>
  <r>
    <x v="0"/>
    <x v="12"/>
    <n v="23"/>
    <x v="22"/>
    <d v="2023-09-01T00:00:00"/>
    <n v="146"/>
    <x v="2"/>
  </r>
  <r>
    <x v="0"/>
    <x v="12"/>
    <n v="23"/>
    <x v="22"/>
    <d v="2023-09-01T00:00:00"/>
    <n v="146"/>
    <x v="3"/>
  </r>
  <r>
    <x v="0"/>
    <x v="12"/>
    <n v="23"/>
    <x v="22"/>
    <d v="2023-09-01T00:00:00"/>
    <n v="146"/>
    <x v="4"/>
  </r>
  <r>
    <x v="0"/>
    <x v="12"/>
    <n v="23"/>
    <x v="22"/>
    <d v="2023-09-01T00:00:00"/>
    <n v="146"/>
    <x v="5"/>
  </r>
  <r>
    <x v="0"/>
    <x v="12"/>
    <n v="23"/>
    <x v="22"/>
    <d v="2023-09-01T00:00:00"/>
    <n v="145"/>
    <x v="6"/>
  </r>
  <r>
    <x v="0"/>
    <x v="12"/>
    <n v="23"/>
    <x v="22"/>
    <d v="2023-09-01T00:00:00"/>
    <n v="145"/>
    <x v="7"/>
  </r>
  <r>
    <x v="0"/>
    <x v="12"/>
    <n v="23"/>
    <x v="22"/>
    <d v="2023-09-01T00:00:00"/>
    <n v="145"/>
    <x v="8"/>
  </r>
  <r>
    <x v="0"/>
    <x v="12"/>
    <n v="23"/>
    <x v="22"/>
    <d v="2023-09-01T00:00:00"/>
    <n v="145"/>
    <x v="9"/>
  </r>
  <r>
    <x v="0"/>
    <x v="12"/>
    <n v="23"/>
    <x v="22"/>
    <d v="2023-09-01T00:00:00"/>
    <n v="146"/>
    <x v="10"/>
  </r>
  <r>
    <x v="0"/>
    <x v="12"/>
    <n v="23"/>
    <x v="22"/>
    <d v="2023-09-01T00:00:00"/>
    <n v="146"/>
    <x v="11"/>
  </r>
  <r>
    <x v="0"/>
    <x v="12"/>
    <n v="23"/>
    <x v="22"/>
    <d v="2023-09-01T00:00:00"/>
    <n v="1748"/>
    <x v="12"/>
  </r>
  <r>
    <x v="0"/>
    <x v="12"/>
    <n v="24"/>
    <x v="23"/>
    <d v="2023-09-01T00:00:00"/>
    <n v="0"/>
    <x v="0"/>
  </r>
  <r>
    <x v="0"/>
    <x v="12"/>
    <n v="24"/>
    <x v="23"/>
    <d v="2023-09-01T00:00:00"/>
    <n v="0"/>
    <x v="1"/>
  </r>
  <r>
    <x v="0"/>
    <x v="12"/>
    <n v="24"/>
    <x v="23"/>
    <d v="2023-09-01T00:00:00"/>
    <n v="0"/>
    <x v="2"/>
  </r>
  <r>
    <x v="0"/>
    <x v="12"/>
    <n v="24"/>
    <x v="23"/>
    <d v="2023-09-01T00:00:00"/>
    <n v="0"/>
    <x v="3"/>
  </r>
  <r>
    <x v="0"/>
    <x v="12"/>
    <n v="24"/>
    <x v="23"/>
    <d v="2023-09-01T00:00:00"/>
    <n v="0"/>
    <x v="4"/>
  </r>
  <r>
    <x v="0"/>
    <x v="12"/>
    <n v="24"/>
    <x v="23"/>
    <d v="2023-09-01T00:00:00"/>
    <n v="0"/>
    <x v="5"/>
  </r>
  <r>
    <x v="0"/>
    <x v="12"/>
    <n v="24"/>
    <x v="23"/>
    <d v="2023-09-01T00:00:00"/>
    <n v="0"/>
    <x v="6"/>
  </r>
  <r>
    <x v="0"/>
    <x v="12"/>
    <n v="24"/>
    <x v="23"/>
    <d v="2023-09-01T00:00:00"/>
    <n v="0"/>
    <x v="7"/>
  </r>
  <r>
    <x v="0"/>
    <x v="12"/>
    <n v="24"/>
    <x v="23"/>
    <d v="2023-09-01T00:00:00"/>
    <n v="0"/>
    <x v="8"/>
  </r>
  <r>
    <x v="0"/>
    <x v="12"/>
    <n v="24"/>
    <x v="23"/>
    <d v="2023-09-01T00:00:00"/>
    <n v="0"/>
    <x v="9"/>
  </r>
  <r>
    <x v="0"/>
    <x v="12"/>
    <n v="24"/>
    <x v="23"/>
    <d v="2023-09-01T00:00:00"/>
    <n v="0"/>
    <x v="10"/>
  </r>
  <r>
    <x v="0"/>
    <x v="12"/>
    <n v="24"/>
    <x v="23"/>
    <d v="2023-09-01T00:00:00"/>
    <n v="0"/>
    <x v="11"/>
  </r>
  <r>
    <x v="0"/>
    <x v="12"/>
    <n v="24"/>
    <x v="23"/>
    <d v="2023-09-01T00:00:00"/>
    <n v="0"/>
    <x v="12"/>
  </r>
  <r>
    <x v="0"/>
    <x v="12"/>
    <n v="25"/>
    <x v="24"/>
    <d v="2023-09-01T00:00:00"/>
    <n v="-74"/>
    <x v="0"/>
  </r>
  <r>
    <x v="0"/>
    <x v="12"/>
    <n v="25"/>
    <x v="24"/>
    <d v="2023-09-01T00:00:00"/>
    <n v="-28"/>
    <x v="1"/>
  </r>
  <r>
    <x v="0"/>
    <x v="12"/>
    <n v="25"/>
    <x v="24"/>
    <d v="2023-09-01T00:00:00"/>
    <n v="-93"/>
    <x v="2"/>
  </r>
  <r>
    <x v="0"/>
    <x v="12"/>
    <n v="25"/>
    <x v="24"/>
    <d v="2023-09-01T00:00:00"/>
    <n v="-27"/>
    <x v="3"/>
  </r>
  <r>
    <x v="0"/>
    <x v="12"/>
    <n v="25"/>
    <x v="24"/>
    <d v="2023-09-01T00:00:00"/>
    <n v="-8"/>
    <x v="4"/>
  </r>
  <r>
    <x v="0"/>
    <x v="12"/>
    <n v="25"/>
    <x v="24"/>
    <d v="2023-09-01T00:00:00"/>
    <n v="-36"/>
    <x v="5"/>
  </r>
  <r>
    <x v="0"/>
    <x v="12"/>
    <n v="25"/>
    <x v="24"/>
    <d v="2023-09-01T00:00:00"/>
    <n v="-29"/>
    <x v="6"/>
  </r>
  <r>
    <x v="0"/>
    <x v="12"/>
    <n v="25"/>
    <x v="24"/>
    <d v="2023-09-01T00:00:00"/>
    <n v="-30"/>
    <x v="7"/>
  </r>
  <r>
    <x v="0"/>
    <x v="12"/>
    <n v="25"/>
    <x v="24"/>
    <d v="2023-09-01T00:00:00"/>
    <n v="-30"/>
    <x v="8"/>
  </r>
  <r>
    <x v="0"/>
    <x v="12"/>
    <n v="25"/>
    <x v="24"/>
    <d v="2023-09-01T00:00:00"/>
    <n v="-30"/>
    <x v="9"/>
  </r>
  <r>
    <x v="0"/>
    <x v="12"/>
    <n v="25"/>
    <x v="24"/>
    <d v="2023-09-01T00:00:00"/>
    <n v="-30"/>
    <x v="10"/>
  </r>
  <r>
    <x v="0"/>
    <x v="12"/>
    <n v="25"/>
    <x v="24"/>
    <d v="2023-09-01T00:00:00"/>
    <n v="-30"/>
    <x v="11"/>
  </r>
  <r>
    <x v="0"/>
    <x v="12"/>
    <n v="25"/>
    <x v="24"/>
    <d v="2023-09-01T00:00:00"/>
    <n v="-445"/>
    <x v="12"/>
  </r>
  <r>
    <x v="0"/>
    <x v="12"/>
    <n v="26"/>
    <x v="25"/>
    <d v="2023-09-01T00:00:00"/>
    <n v="22068"/>
    <x v="0"/>
  </r>
  <r>
    <x v="0"/>
    <x v="12"/>
    <n v="26"/>
    <x v="25"/>
    <d v="2023-09-01T00:00:00"/>
    <n v="23408"/>
    <x v="1"/>
  </r>
  <r>
    <x v="0"/>
    <x v="12"/>
    <n v="26"/>
    <x v="25"/>
    <d v="2023-09-01T00:00:00"/>
    <n v="27661"/>
    <x v="2"/>
  </r>
  <r>
    <x v="0"/>
    <x v="12"/>
    <n v="26"/>
    <x v="25"/>
    <d v="2023-09-01T00:00:00"/>
    <n v="25939"/>
    <x v="3"/>
  </r>
  <r>
    <x v="0"/>
    <x v="12"/>
    <n v="26"/>
    <x v="25"/>
    <d v="2023-09-01T00:00:00"/>
    <n v="23816"/>
    <x v="4"/>
  </r>
  <r>
    <x v="0"/>
    <x v="12"/>
    <n v="26"/>
    <x v="25"/>
    <d v="2023-09-01T00:00:00"/>
    <n v="23285"/>
    <x v="5"/>
  </r>
  <r>
    <x v="0"/>
    <x v="12"/>
    <n v="26"/>
    <x v="25"/>
    <d v="2023-09-01T00:00:00"/>
    <n v="24743"/>
    <x v="6"/>
  </r>
  <r>
    <x v="0"/>
    <x v="12"/>
    <n v="26"/>
    <x v="25"/>
    <d v="2023-09-01T00:00:00"/>
    <n v="24742"/>
    <x v="7"/>
  </r>
  <r>
    <x v="0"/>
    <x v="12"/>
    <n v="26"/>
    <x v="25"/>
    <d v="2023-09-01T00:00:00"/>
    <n v="24741"/>
    <x v="8"/>
  </r>
  <r>
    <x v="0"/>
    <x v="12"/>
    <n v="26"/>
    <x v="25"/>
    <d v="2023-09-01T00:00:00"/>
    <n v="24767"/>
    <x v="9"/>
  </r>
  <r>
    <x v="0"/>
    <x v="12"/>
    <n v="26"/>
    <x v="25"/>
    <d v="2023-09-01T00:00:00"/>
    <n v="24768"/>
    <x v="10"/>
  </r>
  <r>
    <x v="0"/>
    <x v="12"/>
    <n v="26"/>
    <x v="25"/>
    <d v="2023-09-01T00:00:00"/>
    <n v="24768"/>
    <x v="11"/>
  </r>
  <r>
    <x v="0"/>
    <x v="12"/>
    <n v="26"/>
    <x v="25"/>
    <d v="2023-09-01T00:00:00"/>
    <n v="294706"/>
    <x v="12"/>
  </r>
  <r>
    <x v="0"/>
    <x v="12"/>
    <n v="27"/>
    <x v="26"/>
    <d v="2023-09-01T00:00:00"/>
    <n v="-8"/>
    <x v="0"/>
  </r>
  <r>
    <x v="0"/>
    <x v="12"/>
    <n v="27"/>
    <x v="26"/>
    <d v="2023-09-01T00:00:00"/>
    <n v="-14"/>
    <x v="1"/>
  </r>
  <r>
    <x v="0"/>
    <x v="12"/>
    <n v="27"/>
    <x v="26"/>
    <d v="2023-09-01T00:00:00"/>
    <n v="-11"/>
    <x v="2"/>
  </r>
  <r>
    <x v="0"/>
    <x v="12"/>
    <n v="27"/>
    <x v="26"/>
    <d v="2023-09-01T00:00:00"/>
    <n v="18"/>
    <x v="3"/>
  </r>
  <r>
    <x v="0"/>
    <x v="12"/>
    <n v="27"/>
    <x v="26"/>
    <d v="2023-09-01T00:00:00"/>
    <n v="42"/>
    <x v="4"/>
  </r>
  <r>
    <x v="0"/>
    <x v="12"/>
    <n v="27"/>
    <x v="26"/>
    <d v="2023-09-01T00:00:00"/>
    <n v="50"/>
    <x v="5"/>
  </r>
  <r>
    <x v="0"/>
    <x v="12"/>
    <n v="27"/>
    <x v="26"/>
    <d v="2023-09-01T00:00:00"/>
    <n v="0"/>
    <x v="6"/>
  </r>
  <r>
    <x v="0"/>
    <x v="12"/>
    <n v="27"/>
    <x v="26"/>
    <d v="2023-09-01T00:00:00"/>
    <n v="0"/>
    <x v="7"/>
  </r>
  <r>
    <x v="0"/>
    <x v="12"/>
    <n v="27"/>
    <x v="26"/>
    <d v="2023-09-01T00:00:00"/>
    <n v="0"/>
    <x v="8"/>
  </r>
  <r>
    <x v="0"/>
    <x v="12"/>
    <n v="27"/>
    <x v="26"/>
    <d v="2023-09-01T00:00:00"/>
    <n v="-25"/>
    <x v="9"/>
  </r>
  <r>
    <x v="0"/>
    <x v="12"/>
    <n v="27"/>
    <x v="26"/>
    <d v="2023-09-01T00:00:00"/>
    <n v="-26"/>
    <x v="10"/>
  </r>
  <r>
    <x v="0"/>
    <x v="12"/>
    <n v="27"/>
    <x v="26"/>
    <d v="2023-09-01T00:00:00"/>
    <n v="-26"/>
    <x v="11"/>
  </r>
  <r>
    <x v="0"/>
    <x v="12"/>
    <n v="27"/>
    <x v="26"/>
    <d v="2023-09-01T00:00:00"/>
    <n v="0"/>
    <x v="12"/>
  </r>
  <r>
    <x v="0"/>
    <x v="13"/>
    <n v="1"/>
    <x v="3"/>
    <d v="2023-09-01T00:00:00"/>
    <n v="0"/>
    <x v="0"/>
  </r>
  <r>
    <x v="0"/>
    <x v="13"/>
    <n v="1"/>
    <x v="3"/>
    <d v="2023-09-01T00:00:00"/>
    <n v="0"/>
    <x v="1"/>
  </r>
  <r>
    <x v="0"/>
    <x v="13"/>
    <n v="1"/>
    <x v="3"/>
    <d v="2023-09-01T00:00:00"/>
    <n v="0"/>
    <x v="2"/>
  </r>
  <r>
    <x v="0"/>
    <x v="13"/>
    <n v="1"/>
    <x v="3"/>
    <d v="2023-09-01T00:00:00"/>
    <n v="0"/>
    <x v="3"/>
  </r>
  <r>
    <x v="0"/>
    <x v="13"/>
    <n v="1"/>
    <x v="3"/>
    <d v="2023-09-01T00:00:00"/>
    <n v="0"/>
    <x v="4"/>
  </r>
  <r>
    <x v="0"/>
    <x v="13"/>
    <n v="1"/>
    <x v="3"/>
    <d v="2023-09-01T00:00:00"/>
    <n v="0"/>
    <x v="5"/>
  </r>
  <r>
    <x v="0"/>
    <x v="13"/>
    <n v="1"/>
    <x v="3"/>
    <d v="2023-09-01T00:00:00"/>
    <n v="0"/>
    <x v="6"/>
  </r>
  <r>
    <x v="0"/>
    <x v="13"/>
    <n v="1"/>
    <x v="3"/>
    <d v="2023-09-01T00:00:00"/>
    <n v="0"/>
    <x v="7"/>
  </r>
  <r>
    <x v="0"/>
    <x v="13"/>
    <n v="1"/>
    <x v="3"/>
    <d v="2023-09-01T00:00:00"/>
    <n v="0"/>
    <x v="8"/>
  </r>
  <r>
    <x v="0"/>
    <x v="13"/>
    <n v="1"/>
    <x v="3"/>
    <d v="2023-09-01T00:00:00"/>
    <n v="0"/>
    <x v="9"/>
  </r>
  <r>
    <x v="0"/>
    <x v="13"/>
    <n v="1"/>
    <x v="3"/>
    <d v="2023-09-01T00:00:00"/>
    <n v="0"/>
    <x v="10"/>
  </r>
  <r>
    <x v="0"/>
    <x v="13"/>
    <n v="1"/>
    <x v="3"/>
    <d v="2023-09-01T00:00:00"/>
    <n v="0"/>
    <x v="11"/>
  </r>
  <r>
    <x v="0"/>
    <x v="13"/>
    <n v="1"/>
    <x v="3"/>
    <d v="2023-09-01T00:00:00"/>
    <n v="0"/>
    <x v="12"/>
  </r>
  <r>
    <x v="0"/>
    <x v="13"/>
    <n v="2"/>
    <x v="4"/>
    <d v="2023-09-01T00:00:00"/>
    <n v="0"/>
    <x v="0"/>
  </r>
  <r>
    <x v="0"/>
    <x v="13"/>
    <n v="2"/>
    <x v="4"/>
    <d v="2023-09-01T00:00:00"/>
    <n v="0"/>
    <x v="1"/>
  </r>
  <r>
    <x v="0"/>
    <x v="13"/>
    <n v="2"/>
    <x v="4"/>
    <d v="2023-09-01T00:00:00"/>
    <n v="0"/>
    <x v="2"/>
  </r>
  <r>
    <x v="0"/>
    <x v="13"/>
    <n v="2"/>
    <x v="4"/>
    <d v="2023-09-01T00:00:00"/>
    <n v="0"/>
    <x v="3"/>
  </r>
  <r>
    <x v="0"/>
    <x v="13"/>
    <n v="2"/>
    <x v="4"/>
    <d v="2023-09-01T00:00:00"/>
    <n v="0"/>
    <x v="4"/>
  </r>
  <r>
    <x v="0"/>
    <x v="13"/>
    <n v="2"/>
    <x v="4"/>
    <d v="2023-09-01T00:00:00"/>
    <n v="0"/>
    <x v="5"/>
  </r>
  <r>
    <x v="0"/>
    <x v="13"/>
    <n v="2"/>
    <x v="4"/>
    <d v="2023-09-01T00:00:00"/>
    <n v="0"/>
    <x v="6"/>
  </r>
  <r>
    <x v="0"/>
    <x v="13"/>
    <n v="2"/>
    <x v="4"/>
    <d v="2023-09-01T00:00:00"/>
    <n v="0"/>
    <x v="7"/>
  </r>
  <r>
    <x v="0"/>
    <x v="13"/>
    <n v="2"/>
    <x v="4"/>
    <d v="2023-09-01T00:00:00"/>
    <n v="0"/>
    <x v="8"/>
  </r>
  <r>
    <x v="0"/>
    <x v="13"/>
    <n v="2"/>
    <x v="4"/>
    <d v="2023-09-01T00:00:00"/>
    <n v="0"/>
    <x v="9"/>
  </r>
  <r>
    <x v="0"/>
    <x v="13"/>
    <n v="2"/>
    <x v="4"/>
    <d v="2023-09-01T00:00:00"/>
    <n v="0"/>
    <x v="10"/>
  </r>
  <r>
    <x v="0"/>
    <x v="13"/>
    <n v="2"/>
    <x v="4"/>
    <d v="2023-09-01T00:00:00"/>
    <n v="0"/>
    <x v="11"/>
  </r>
  <r>
    <x v="0"/>
    <x v="13"/>
    <n v="2"/>
    <x v="4"/>
    <d v="2023-09-01T00:00:00"/>
    <n v="0"/>
    <x v="12"/>
  </r>
  <r>
    <x v="0"/>
    <x v="13"/>
    <n v="3"/>
    <x v="5"/>
    <d v="2023-09-01T00:00:00"/>
    <n v="87192"/>
    <x v="0"/>
  </r>
  <r>
    <x v="0"/>
    <x v="13"/>
    <n v="3"/>
    <x v="5"/>
    <d v="2023-09-01T00:00:00"/>
    <n v="87483"/>
    <x v="1"/>
  </r>
  <r>
    <x v="0"/>
    <x v="13"/>
    <n v="3"/>
    <x v="5"/>
    <d v="2023-09-01T00:00:00"/>
    <n v="87590"/>
    <x v="2"/>
  </r>
  <r>
    <x v="0"/>
    <x v="13"/>
    <n v="3"/>
    <x v="5"/>
    <d v="2023-09-01T00:00:00"/>
    <n v="84998"/>
    <x v="3"/>
  </r>
  <r>
    <x v="0"/>
    <x v="13"/>
    <n v="3"/>
    <x v="5"/>
    <d v="2023-09-01T00:00:00"/>
    <n v="87032"/>
    <x v="4"/>
  </r>
  <r>
    <x v="0"/>
    <x v="13"/>
    <n v="3"/>
    <x v="5"/>
    <d v="2023-09-01T00:00:00"/>
    <n v="84219.5"/>
    <x v="5"/>
  </r>
  <r>
    <x v="0"/>
    <x v="13"/>
    <n v="3"/>
    <x v="5"/>
    <d v="2023-09-01T00:00:00"/>
    <n v="86632"/>
    <x v="6"/>
  </r>
  <r>
    <x v="0"/>
    <x v="13"/>
    <n v="3"/>
    <x v="5"/>
    <d v="2023-09-01T00:00:00"/>
    <n v="86632"/>
    <x v="7"/>
  </r>
  <r>
    <x v="0"/>
    <x v="13"/>
    <n v="3"/>
    <x v="5"/>
    <d v="2023-09-01T00:00:00"/>
    <n v="86632"/>
    <x v="8"/>
  </r>
  <r>
    <x v="0"/>
    <x v="13"/>
    <n v="3"/>
    <x v="5"/>
    <d v="2023-09-01T00:00:00"/>
    <n v="86632"/>
    <x v="9"/>
  </r>
  <r>
    <x v="0"/>
    <x v="13"/>
    <n v="3"/>
    <x v="5"/>
    <d v="2023-09-01T00:00:00"/>
    <n v="86632"/>
    <x v="10"/>
  </r>
  <r>
    <x v="0"/>
    <x v="13"/>
    <n v="3"/>
    <x v="5"/>
    <d v="2023-09-01T00:00:00"/>
    <n v="86620.5"/>
    <x v="11"/>
  </r>
  <r>
    <x v="0"/>
    <x v="13"/>
    <n v="3"/>
    <x v="5"/>
    <d v="2023-09-01T00:00:00"/>
    <n v="1038295"/>
    <x v="12"/>
  </r>
  <r>
    <x v="0"/>
    <x v="13"/>
    <n v="4"/>
    <x v="6"/>
    <d v="2023-09-01T00:00:00"/>
    <n v="0"/>
    <x v="0"/>
  </r>
  <r>
    <x v="0"/>
    <x v="13"/>
    <n v="4"/>
    <x v="6"/>
    <d v="2023-09-01T00:00:00"/>
    <n v="0"/>
    <x v="1"/>
  </r>
  <r>
    <x v="0"/>
    <x v="13"/>
    <n v="4"/>
    <x v="6"/>
    <d v="2023-09-01T00:00:00"/>
    <n v="0"/>
    <x v="2"/>
  </r>
  <r>
    <x v="0"/>
    <x v="13"/>
    <n v="4"/>
    <x v="6"/>
    <d v="2023-09-01T00:00:00"/>
    <n v="0"/>
    <x v="3"/>
  </r>
  <r>
    <x v="0"/>
    <x v="13"/>
    <n v="4"/>
    <x v="6"/>
    <d v="2023-09-01T00:00:00"/>
    <n v="0"/>
    <x v="4"/>
  </r>
  <r>
    <x v="0"/>
    <x v="13"/>
    <n v="4"/>
    <x v="6"/>
    <d v="2023-09-01T00:00:00"/>
    <n v="0"/>
    <x v="5"/>
  </r>
  <r>
    <x v="0"/>
    <x v="13"/>
    <n v="4"/>
    <x v="6"/>
    <d v="2023-09-01T00:00:00"/>
    <n v="0"/>
    <x v="6"/>
  </r>
  <r>
    <x v="0"/>
    <x v="13"/>
    <n v="4"/>
    <x v="6"/>
    <d v="2023-09-01T00:00:00"/>
    <n v="0"/>
    <x v="7"/>
  </r>
  <r>
    <x v="0"/>
    <x v="13"/>
    <n v="4"/>
    <x v="6"/>
    <d v="2023-09-01T00:00:00"/>
    <n v="0"/>
    <x v="8"/>
  </r>
  <r>
    <x v="0"/>
    <x v="13"/>
    <n v="4"/>
    <x v="6"/>
    <d v="2023-09-01T00:00:00"/>
    <n v="0"/>
    <x v="9"/>
  </r>
  <r>
    <x v="0"/>
    <x v="13"/>
    <n v="4"/>
    <x v="6"/>
    <d v="2023-09-01T00:00:00"/>
    <n v="0"/>
    <x v="10"/>
  </r>
  <r>
    <x v="0"/>
    <x v="13"/>
    <n v="4"/>
    <x v="6"/>
    <d v="2023-09-01T00:00:00"/>
    <n v="0"/>
    <x v="11"/>
  </r>
  <r>
    <x v="0"/>
    <x v="13"/>
    <n v="4"/>
    <x v="6"/>
    <d v="2023-09-01T00:00:00"/>
    <n v="0"/>
    <x v="12"/>
  </r>
  <r>
    <x v="0"/>
    <x v="13"/>
    <n v="5"/>
    <x v="7"/>
    <d v="2023-09-01T00:00:00"/>
    <n v="0"/>
    <x v="0"/>
  </r>
  <r>
    <x v="0"/>
    <x v="13"/>
    <n v="5"/>
    <x v="7"/>
    <d v="2023-09-01T00:00:00"/>
    <n v="0"/>
    <x v="1"/>
  </r>
  <r>
    <x v="0"/>
    <x v="13"/>
    <n v="5"/>
    <x v="7"/>
    <d v="2023-09-01T00:00:00"/>
    <n v="0"/>
    <x v="2"/>
  </r>
  <r>
    <x v="0"/>
    <x v="13"/>
    <n v="5"/>
    <x v="7"/>
    <d v="2023-09-01T00:00:00"/>
    <n v="0"/>
    <x v="3"/>
  </r>
  <r>
    <x v="0"/>
    <x v="13"/>
    <n v="5"/>
    <x v="7"/>
    <d v="2023-09-01T00:00:00"/>
    <n v="0"/>
    <x v="4"/>
  </r>
  <r>
    <x v="0"/>
    <x v="13"/>
    <n v="5"/>
    <x v="7"/>
    <d v="2023-09-01T00:00:00"/>
    <n v="0"/>
    <x v="5"/>
  </r>
  <r>
    <x v="0"/>
    <x v="13"/>
    <n v="5"/>
    <x v="7"/>
    <d v="2023-09-01T00:00:00"/>
    <n v="0"/>
    <x v="6"/>
  </r>
  <r>
    <x v="0"/>
    <x v="13"/>
    <n v="5"/>
    <x v="7"/>
    <d v="2023-09-01T00:00:00"/>
    <n v="0"/>
    <x v="7"/>
  </r>
  <r>
    <x v="0"/>
    <x v="13"/>
    <n v="5"/>
    <x v="7"/>
    <d v="2023-09-01T00:00:00"/>
    <n v="0"/>
    <x v="8"/>
  </r>
  <r>
    <x v="0"/>
    <x v="13"/>
    <n v="5"/>
    <x v="7"/>
    <d v="2023-09-01T00:00:00"/>
    <n v="0"/>
    <x v="9"/>
  </r>
  <r>
    <x v="0"/>
    <x v="13"/>
    <n v="5"/>
    <x v="7"/>
    <d v="2023-09-01T00:00:00"/>
    <n v="0"/>
    <x v="10"/>
  </r>
  <r>
    <x v="0"/>
    <x v="13"/>
    <n v="5"/>
    <x v="7"/>
    <d v="2023-09-01T00:00:00"/>
    <n v="0"/>
    <x v="11"/>
  </r>
  <r>
    <x v="0"/>
    <x v="13"/>
    <n v="5"/>
    <x v="7"/>
    <d v="2023-09-01T00:00:00"/>
    <n v="0"/>
    <x v="12"/>
  </r>
  <r>
    <x v="0"/>
    <x v="13"/>
    <n v="6"/>
    <x v="8"/>
    <d v="2023-09-01T00:00:00"/>
    <n v="0"/>
    <x v="0"/>
  </r>
  <r>
    <x v="0"/>
    <x v="13"/>
    <n v="6"/>
    <x v="8"/>
    <d v="2023-09-01T00:00:00"/>
    <n v="0"/>
    <x v="1"/>
  </r>
  <r>
    <x v="0"/>
    <x v="13"/>
    <n v="6"/>
    <x v="8"/>
    <d v="2023-09-01T00:00:00"/>
    <n v="0"/>
    <x v="2"/>
  </r>
  <r>
    <x v="0"/>
    <x v="13"/>
    <n v="6"/>
    <x v="8"/>
    <d v="2023-09-01T00:00:00"/>
    <n v="0"/>
    <x v="3"/>
  </r>
  <r>
    <x v="0"/>
    <x v="13"/>
    <n v="6"/>
    <x v="8"/>
    <d v="2023-09-01T00:00:00"/>
    <n v="0"/>
    <x v="4"/>
  </r>
  <r>
    <x v="0"/>
    <x v="13"/>
    <n v="6"/>
    <x v="8"/>
    <d v="2023-09-01T00:00:00"/>
    <n v="0"/>
    <x v="5"/>
  </r>
  <r>
    <x v="0"/>
    <x v="13"/>
    <n v="6"/>
    <x v="8"/>
    <d v="2023-09-01T00:00:00"/>
    <n v="0"/>
    <x v="6"/>
  </r>
  <r>
    <x v="0"/>
    <x v="13"/>
    <n v="6"/>
    <x v="8"/>
    <d v="2023-09-01T00:00:00"/>
    <n v="0"/>
    <x v="7"/>
  </r>
  <r>
    <x v="0"/>
    <x v="13"/>
    <n v="6"/>
    <x v="8"/>
    <d v="2023-09-01T00:00:00"/>
    <n v="0"/>
    <x v="8"/>
  </r>
  <r>
    <x v="0"/>
    <x v="13"/>
    <n v="6"/>
    <x v="8"/>
    <d v="2023-09-01T00:00:00"/>
    <n v="0"/>
    <x v="9"/>
  </r>
  <r>
    <x v="0"/>
    <x v="13"/>
    <n v="6"/>
    <x v="8"/>
    <d v="2023-09-01T00:00:00"/>
    <n v="0"/>
    <x v="10"/>
  </r>
  <r>
    <x v="0"/>
    <x v="13"/>
    <n v="6"/>
    <x v="8"/>
    <d v="2023-09-01T00:00:00"/>
    <n v="0"/>
    <x v="11"/>
  </r>
  <r>
    <x v="0"/>
    <x v="13"/>
    <n v="6"/>
    <x v="8"/>
    <d v="2023-09-01T00:00:00"/>
    <n v="0"/>
    <x v="12"/>
  </r>
  <r>
    <x v="0"/>
    <x v="13"/>
    <n v="7"/>
    <x v="9"/>
    <d v="2023-09-01T00:00:00"/>
    <n v="87192"/>
    <x v="0"/>
  </r>
  <r>
    <x v="0"/>
    <x v="13"/>
    <n v="7"/>
    <x v="9"/>
    <d v="2023-09-01T00:00:00"/>
    <n v="87483"/>
    <x v="1"/>
  </r>
  <r>
    <x v="0"/>
    <x v="13"/>
    <n v="7"/>
    <x v="9"/>
    <d v="2023-09-01T00:00:00"/>
    <n v="87590"/>
    <x v="2"/>
  </r>
  <r>
    <x v="0"/>
    <x v="13"/>
    <n v="7"/>
    <x v="9"/>
    <d v="2023-09-01T00:00:00"/>
    <n v="84998"/>
    <x v="3"/>
  </r>
  <r>
    <x v="0"/>
    <x v="13"/>
    <n v="7"/>
    <x v="9"/>
    <d v="2023-09-01T00:00:00"/>
    <n v="87032"/>
    <x v="4"/>
  </r>
  <r>
    <x v="0"/>
    <x v="13"/>
    <n v="7"/>
    <x v="9"/>
    <d v="2023-09-01T00:00:00"/>
    <n v="84219.5"/>
    <x v="5"/>
  </r>
  <r>
    <x v="0"/>
    <x v="13"/>
    <n v="7"/>
    <x v="9"/>
    <d v="2023-09-01T00:00:00"/>
    <n v="86632"/>
    <x v="6"/>
  </r>
  <r>
    <x v="0"/>
    <x v="13"/>
    <n v="7"/>
    <x v="9"/>
    <d v="2023-09-01T00:00:00"/>
    <n v="86632"/>
    <x v="7"/>
  </r>
  <r>
    <x v="0"/>
    <x v="13"/>
    <n v="7"/>
    <x v="9"/>
    <d v="2023-09-01T00:00:00"/>
    <n v="86632"/>
    <x v="8"/>
  </r>
  <r>
    <x v="0"/>
    <x v="13"/>
    <n v="7"/>
    <x v="9"/>
    <d v="2023-09-01T00:00:00"/>
    <n v="86632"/>
    <x v="9"/>
  </r>
  <r>
    <x v="0"/>
    <x v="13"/>
    <n v="7"/>
    <x v="9"/>
    <d v="2023-09-01T00:00:00"/>
    <n v="86632"/>
    <x v="10"/>
  </r>
  <r>
    <x v="0"/>
    <x v="13"/>
    <n v="7"/>
    <x v="9"/>
    <d v="2023-09-01T00:00:00"/>
    <n v="86620.5"/>
    <x v="11"/>
  </r>
  <r>
    <x v="0"/>
    <x v="13"/>
    <n v="7"/>
    <x v="9"/>
    <d v="2023-09-01T00:00:00"/>
    <n v="1038295"/>
    <x v="12"/>
  </r>
  <r>
    <x v="0"/>
    <x v="13"/>
    <n v="8"/>
    <x v="11"/>
    <d v="2023-09-01T00:00:00"/>
    <n v="0"/>
    <x v="0"/>
  </r>
  <r>
    <x v="0"/>
    <x v="13"/>
    <n v="8"/>
    <x v="11"/>
    <d v="2023-09-01T00:00:00"/>
    <n v="0"/>
    <x v="1"/>
  </r>
  <r>
    <x v="0"/>
    <x v="13"/>
    <n v="8"/>
    <x v="11"/>
    <d v="2023-09-01T00:00:00"/>
    <n v="0"/>
    <x v="2"/>
  </r>
  <r>
    <x v="0"/>
    <x v="13"/>
    <n v="8"/>
    <x v="11"/>
    <d v="2023-09-01T00:00:00"/>
    <n v="0"/>
    <x v="3"/>
  </r>
  <r>
    <x v="0"/>
    <x v="13"/>
    <n v="8"/>
    <x v="11"/>
    <d v="2023-09-01T00:00:00"/>
    <n v="0"/>
    <x v="4"/>
  </r>
  <r>
    <x v="0"/>
    <x v="13"/>
    <n v="8"/>
    <x v="11"/>
    <d v="2023-09-01T00:00:00"/>
    <n v="0"/>
    <x v="5"/>
  </r>
  <r>
    <x v="0"/>
    <x v="13"/>
    <n v="8"/>
    <x v="11"/>
    <d v="2023-09-01T00:00:00"/>
    <n v="0"/>
    <x v="6"/>
  </r>
  <r>
    <x v="0"/>
    <x v="13"/>
    <n v="8"/>
    <x v="11"/>
    <d v="2023-09-01T00:00:00"/>
    <n v="0"/>
    <x v="7"/>
  </r>
  <r>
    <x v="0"/>
    <x v="13"/>
    <n v="8"/>
    <x v="11"/>
    <d v="2023-09-01T00:00:00"/>
    <n v="0"/>
    <x v="8"/>
  </r>
  <r>
    <x v="0"/>
    <x v="13"/>
    <n v="8"/>
    <x v="11"/>
    <d v="2023-09-01T00:00:00"/>
    <n v="0"/>
    <x v="9"/>
  </r>
  <r>
    <x v="0"/>
    <x v="13"/>
    <n v="8"/>
    <x v="11"/>
    <d v="2023-09-01T00:00:00"/>
    <n v="0"/>
    <x v="10"/>
  </r>
  <r>
    <x v="0"/>
    <x v="13"/>
    <n v="8"/>
    <x v="11"/>
    <d v="2023-09-01T00:00:00"/>
    <n v="0"/>
    <x v="11"/>
  </r>
  <r>
    <x v="0"/>
    <x v="13"/>
    <n v="8"/>
    <x v="11"/>
    <d v="2023-09-01T00:00:00"/>
    <n v="0"/>
    <x v="12"/>
  </r>
  <r>
    <x v="0"/>
    <x v="13"/>
    <n v="9"/>
    <x v="10"/>
    <d v="2023-09-01T00:00:00"/>
    <n v="0"/>
    <x v="0"/>
  </r>
  <r>
    <x v="0"/>
    <x v="13"/>
    <n v="9"/>
    <x v="10"/>
    <d v="2023-09-01T00:00:00"/>
    <n v="0"/>
    <x v="1"/>
  </r>
  <r>
    <x v="0"/>
    <x v="13"/>
    <n v="9"/>
    <x v="10"/>
    <d v="2023-09-01T00:00:00"/>
    <n v="0"/>
    <x v="2"/>
  </r>
  <r>
    <x v="0"/>
    <x v="13"/>
    <n v="9"/>
    <x v="10"/>
    <d v="2023-09-01T00:00:00"/>
    <n v="0"/>
    <x v="3"/>
  </r>
  <r>
    <x v="0"/>
    <x v="13"/>
    <n v="9"/>
    <x v="10"/>
    <d v="2023-09-01T00:00:00"/>
    <n v="0"/>
    <x v="4"/>
  </r>
  <r>
    <x v="0"/>
    <x v="13"/>
    <n v="9"/>
    <x v="10"/>
    <d v="2023-09-01T00:00:00"/>
    <n v="0"/>
    <x v="5"/>
  </r>
  <r>
    <x v="0"/>
    <x v="13"/>
    <n v="9"/>
    <x v="10"/>
    <d v="2023-09-01T00:00:00"/>
    <n v="0"/>
    <x v="6"/>
  </r>
  <r>
    <x v="0"/>
    <x v="13"/>
    <n v="9"/>
    <x v="10"/>
    <d v="2023-09-01T00:00:00"/>
    <n v="0"/>
    <x v="7"/>
  </r>
  <r>
    <x v="0"/>
    <x v="13"/>
    <n v="9"/>
    <x v="10"/>
    <d v="2023-09-01T00:00:00"/>
    <n v="0"/>
    <x v="8"/>
  </r>
  <r>
    <x v="0"/>
    <x v="13"/>
    <n v="9"/>
    <x v="10"/>
    <d v="2023-09-01T00:00:00"/>
    <n v="0"/>
    <x v="9"/>
  </r>
  <r>
    <x v="0"/>
    <x v="13"/>
    <n v="9"/>
    <x v="10"/>
    <d v="2023-09-01T00:00:00"/>
    <n v="0"/>
    <x v="10"/>
  </r>
  <r>
    <x v="0"/>
    <x v="13"/>
    <n v="9"/>
    <x v="10"/>
    <d v="2023-09-01T00:00:00"/>
    <n v="0"/>
    <x v="11"/>
  </r>
  <r>
    <x v="0"/>
    <x v="13"/>
    <n v="9"/>
    <x v="10"/>
    <d v="2023-09-01T00:00:00"/>
    <n v="0"/>
    <x v="12"/>
  </r>
  <r>
    <x v="0"/>
    <x v="13"/>
    <n v="10"/>
    <x v="0"/>
    <d v="2023-09-01T00:00:00"/>
    <n v="598"/>
    <x v="0"/>
  </r>
  <r>
    <x v="0"/>
    <x v="13"/>
    <n v="10"/>
    <x v="0"/>
    <d v="2023-09-01T00:00:00"/>
    <n v="934"/>
    <x v="1"/>
  </r>
  <r>
    <x v="0"/>
    <x v="13"/>
    <n v="10"/>
    <x v="0"/>
    <d v="2023-09-01T00:00:00"/>
    <n v="402.65499999999997"/>
    <x v="2"/>
  </r>
  <r>
    <x v="0"/>
    <x v="13"/>
    <n v="10"/>
    <x v="0"/>
    <d v="2023-09-01T00:00:00"/>
    <n v="722.71699999999998"/>
    <x v="3"/>
  </r>
  <r>
    <x v="0"/>
    <x v="13"/>
    <n v="10"/>
    <x v="0"/>
    <d v="2023-09-01T00:00:00"/>
    <n v="615"/>
    <x v="4"/>
  </r>
  <r>
    <x v="0"/>
    <x v="13"/>
    <n v="10"/>
    <x v="0"/>
    <d v="2023-09-01T00:00:00"/>
    <n v="611.63499999999999"/>
    <x v="5"/>
  </r>
  <r>
    <x v="0"/>
    <x v="13"/>
    <n v="10"/>
    <x v="0"/>
    <d v="2023-09-01T00:00:00"/>
    <n v="653.84900000000005"/>
    <x v="6"/>
  </r>
  <r>
    <x v="0"/>
    <x v="13"/>
    <n v="10"/>
    <x v="0"/>
    <d v="2023-09-01T00:00:00"/>
    <n v="653.84900000000005"/>
    <x v="7"/>
  </r>
  <r>
    <x v="0"/>
    <x v="13"/>
    <n v="10"/>
    <x v="0"/>
    <d v="2023-09-01T00:00:00"/>
    <n v="653.84900000000005"/>
    <x v="8"/>
  </r>
  <r>
    <x v="0"/>
    <x v="13"/>
    <n v="10"/>
    <x v="0"/>
    <d v="2023-09-01T00:00:00"/>
    <n v="653.84900000000005"/>
    <x v="9"/>
  </r>
  <r>
    <x v="0"/>
    <x v="13"/>
    <n v="10"/>
    <x v="0"/>
    <d v="2023-09-01T00:00:00"/>
    <n v="653.84900000000005"/>
    <x v="10"/>
  </r>
  <r>
    <x v="0"/>
    <x v="13"/>
    <n v="10"/>
    <x v="0"/>
    <d v="2023-09-01T00:00:00"/>
    <n v="653.84900000000005"/>
    <x v="11"/>
  </r>
  <r>
    <x v="0"/>
    <x v="13"/>
    <n v="10"/>
    <x v="0"/>
    <d v="2023-09-01T00:00:00"/>
    <n v="7807.1009999999997"/>
    <x v="12"/>
  </r>
  <r>
    <x v="0"/>
    <x v="13"/>
    <n v="11"/>
    <x v="1"/>
    <d v="2023-09-01T00:00:00"/>
    <n v="125"/>
    <x v="0"/>
  </r>
  <r>
    <x v="0"/>
    <x v="13"/>
    <n v="11"/>
    <x v="1"/>
    <d v="2023-09-01T00:00:00"/>
    <n v="125"/>
    <x v="1"/>
  </r>
  <r>
    <x v="0"/>
    <x v="13"/>
    <n v="11"/>
    <x v="1"/>
    <d v="2023-09-01T00:00:00"/>
    <n v="150"/>
    <x v="2"/>
  </r>
  <r>
    <x v="0"/>
    <x v="13"/>
    <n v="11"/>
    <x v="1"/>
    <d v="2023-09-01T00:00:00"/>
    <n v="150"/>
    <x v="3"/>
  </r>
  <r>
    <x v="0"/>
    <x v="13"/>
    <n v="11"/>
    <x v="1"/>
    <d v="2023-09-01T00:00:00"/>
    <n v="150"/>
    <x v="4"/>
  </r>
  <r>
    <x v="0"/>
    <x v="13"/>
    <n v="11"/>
    <x v="1"/>
    <d v="2023-09-01T00:00:00"/>
    <n v="65"/>
    <x v="5"/>
  </r>
  <r>
    <x v="0"/>
    <x v="13"/>
    <n v="11"/>
    <x v="1"/>
    <d v="2023-09-01T00:00:00"/>
    <n v="65"/>
    <x v="6"/>
  </r>
  <r>
    <x v="0"/>
    <x v="13"/>
    <n v="11"/>
    <x v="1"/>
    <d v="2023-09-01T00:00:00"/>
    <n v="65"/>
    <x v="7"/>
  </r>
  <r>
    <x v="0"/>
    <x v="13"/>
    <n v="11"/>
    <x v="1"/>
    <d v="2023-09-01T00:00:00"/>
    <n v="65"/>
    <x v="8"/>
  </r>
  <r>
    <x v="0"/>
    <x v="13"/>
    <n v="11"/>
    <x v="1"/>
    <d v="2023-09-01T00:00:00"/>
    <n v="65"/>
    <x v="9"/>
  </r>
  <r>
    <x v="0"/>
    <x v="13"/>
    <n v="11"/>
    <x v="1"/>
    <d v="2023-09-01T00:00:00"/>
    <n v="65"/>
    <x v="10"/>
  </r>
  <r>
    <x v="0"/>
    <x v="13"/>
    <n v="11"/>
    <x v="1"/>
    <d v="2023-09-01T00:00:00"/>
    <n v="65"/>
    <x v="11"/>
  </r>
  <r>
    <x v="0"/>
    <x v="13"/>
    <n v="11"/>
    <x v="1"/>
    <d v="2023-09-01T00:00:00"/>
    <n v="1155"/>
    <x v="12"/>
  </r>
  <r>
    <x v="0"/>
    <x v="13"/>
    <n v="12"/>
    <x v="2"/>
    <d v="2023-09-01T00:00:00"/>
    <n v="0"/>
    <x v="0"/>
  </r>
  <r>
    <x v="0"/>
    <x v="13"/>
    <n v="12"/>
    <x v="2"/>
    <d v="2023-09-01T00:00:00"/>
    <n v="0"/>
    <x v="1"/>
  </r>
  <r>
    <x v="0"/>
    <x v="13"/>
    <n v="12"/>
    <x v="2"/>
    <d v="2023-09-01T00:00:00"/>
    <n v="0"/>
    <x v="2"/>
  </r>
  <r>
    <x v="0"/>
    <x v="13"/>
    <n v="12"/>
    <x v="2"/>
    <d v="2023-09-01T00:00:00"/>
    <n v="0"/>
    <x v="3"/>
  </r>
  <r>
    <x v="0"/>
    <x v="13"/>
    <n v="12"/>
    <x v="2"/>
    <d v="2023-09-01T00:00:00"/>
    <n v="0"/>
    <x v="4"/>
  </r>
  <r>
    <x v="0"/>
    <x v="13"/>
    <n v="12"/>
    <x v="2"/>
    <d v="2023-09-01T00:00:00"/>
    <n v="0"/>
    <x v="5"/>
  </r>
  <r>
    <x v="0"/>
    <x v="13"/>
    <n v="12"/>
    <x v="2"/>
    <d v="2023-09-01T00:00:00"/>
    <n v="0"/>
    <x v="6"/>
  </r>
  <r>
    <x v="0"/>
    <x v="13"/>
    <n v="12"/>
    <x v="2"/>
    <d v="2023-09-01T00:00:00"/>
    <n v="0"/>
    <x v="7"/>
  </r>
  <r>
    <x v="0"/>
    <x v="13"/>
    <n v="12"/>
    <x v="2"/>
    <d v="2023-09-01T00:00:00"/>
    <n v="0"/>
    <x v="8"/>
  </r>
  <r>
    <x v="0"/>
    <x v="13"/>
    <n v="12"/>
    <x v="2"/>
    <d v="2023-09-01T00:00:00"/>
    <n v="0"/>
    <x v="9"/>
  </r>
  <r>
    <x v="0"/>
    <x v="13"/>
    <n v="12"/>
    <x v="2"/>
    <d v="2023-09-01T00:00:00"/>
    <n v="0"/>
    <x v="10"/>
  </r>
  <r>
    <x v="0"/>
    <x v="13"/>
    <n v="12"/>
    <x v="2"/>
    <d v="2023-09-01T00:00:00"/>
    <n v="0"/>
    <x v="11"/>
  </r>
  <r>
    <x v="0"/>
    <x v="13"/>
    <n v="12"/>
    <x v="2"/>
    <d v="2023-09-01T00:00:00"/>
    <n v="0"/>
    <x v="12"/>
  </r>
  <r>
    <x v="0"/>
    <x v="13"/>
    <n v="13"/>
    <x v="12"/>
    <d v="2023-09-01T00:00:00"/>
    <n v="83169"/>
    <x v="0"/>
  </r>
  <r>
    <x v="0"/>
    <x v="13"/>
    <n v="13"/>
    <x v="12"/>
    <d v="2023-09-01T00:00:00"/>
    <n v="83124"/>
    <x v="1"/>
  </r>
  <r>
    <x v="0"/>
    <x v="13"/>
    <n v="13"/>
    <x v="12"/>
    <d v="2023-09-01T00:00:00"/>
    <n v="84053"/>
    <x v="2"/>
  </r>
  <r>
    <x v="0"/>
    <x v="13"/>
    <n v="13"/>
    <x v="12"/>
    <d v="2023-09-01T00:00:00"/>
    <n v="81225"/>
    <x v="3"/>
  </r>
  <r>
    <x v="0"/>
    <x v="13"/>
    <n v="13"/>
    <x v="12"/>
    <d v="2023-09-01T00:00:00"/>
    <n v="83267"/>
    <x v="4"/>
  </r>
  <r>
    <x v="0"/>
    <x v="13"/>
    <n v="13"/>
    <x v="12"/>
    <d v="2023-09-01T00:00:00"/>
    <n v="80956"/>
    <x v="5"/>
  </r>
  <r>
    <x v="0"/>
    <x v="13"/>
    <n v="13"/>
    <x v="12"/>
    <d v="2023-09-01T00:00:00"/>
    <n v="83326"/>
    <x v="6"/>
  </r>
  <r>
    <x v="0"/>
    <x v="13"/>
    <n v="13"/>
    <x v="12"/>
    <d v="2023-09-01T00:00:00"/>
    <n v="83326"/>
    <x v="7"/>
  </r>
  <r>
    <x v="0"/>
    <x v="13"/>
    <n v="13"/>
    <x v="12"/>
    <d v="2023-09-01T00:00:00"/>
    <n v="83326"/>
    <x v="8"/>
  </r>
  <r>
    <x v="0"/>
    <x v="13"/>
    <n v="13"/>
    <x v="12"/>
    <d v="2023-09-01T00:00:00"/>
    <n v="83326"/>
    <x v="9"/>
  </r>
  <r>
    <x v="0"/>
    <x v="13"/>
    <n v="13"/>
    <x v="12"/>
    <d v="2023-09-01T00:00:00"/>
    <n v="83326"/>
    <x v="10"/>
  </r>
  <r>
    <x v="0"/>
    <x v="13"/>
    <n v="13"/>
    <x v="12"/>
    <d v="2023-09-01T00:00:00"/>
    <n v="83315.5"/>
    <x v="11"/>
  </r>
  <r>
    <x v="0"/>
    <x v="13"/>
    <n v="13"/>
    <x v="12"/>
    <d v="2023-09-01T00:00:00"/>
    <n v="995739.5"/>
    <x v="12"/>
  </r>
  <r>
    <x v="0"/>
    <x v="13"/>
    <n v="14"/>
    <x v="13"/>
    <d v="2023-09-01T00:00:00"/>
    <n v="0"/>
    <x v="0"/>
  </r>
  <r>
    <x v="0"/>
    <x v="13"/>
    <n v="14"/>
    <x v="13"/>
    <d v="2023-09-01T00:00:00"/>
    <n v="0"/>
    <x v="1"/>
  </r>
  <r>
    <x v="0"/>
    <x v="13"/>
    <n v="14"/>
    <x v="13"/>
    <d v="2023-09-01T00:00:00"/>
    <n v="0"/>
    <x v="2"/>
  </r>
  <r>
    <x v="0"/>
    <x v="13"/>
    <n v="14"/>
    <x v="13"/>
    <d v="2023-09-01T00:00:00"/>
    <n v="0"/>
    <x v="3"/>
  </r>
  <r>
    <x v="0"/>
    <x v="13"/>
    <n v="14"/>
    <x v="13"/>
    <d v="2023-09-01T00:00:00"/>
    <n v="0"/>
    <x v="4"/>
  </r>
  <r>
    <x v="0"/>
    <x v="13"/>
    <n v="14"/>
    <x v="13"/>
    <d v="2023-09-01T00:00:00"/>
    <n v="0"/>
    <x v="5"/>
  </r>
  <r>
    <x v="0"/>
    <x v="13"/>
    <n v="14"/>
    <x v="13"/>
    <d v="2023-09-01T00:00:00"/>
    <n v="0"/>
    <x v="6"/>
  </r>
  <r>
    <x v="0"/>
    <x v="13"/>
    <n v="14"/>
    <x v="13"/>
    <d v="2023-09-01T00:00:00"/>
    <n v="0"/>
    <x v="7"/>
  </r>
  <r>
    <x v="0"/>
    <x v="13"/>
    <n v="14"/>
    <x v="13"/>
    <d v="2023-09-01T00:00:00"/>
    <n v="0"/>
    <x v="8"/>
  </r>
  <r>
    <x v="0"/>
    <x v="13"/>
    <n v="14"/>
    <x v="13"/>
    <d v="2023-09-01T00:00:00"/>
    <n v="0"/>
    <x v="9"/>
  </r>
  <r>
    <x v="0"/>
    <x v="13"/>
    <n v="14"/>
    <x v="13"/>
    <d v="2023-09-01T00:00:00"/>
    <n v="0"/>
    <x v="10"/>
  </r>
  <r>
    <x v="0"/>
    <x v="13"/>
    <n v="14"/>
    <x v="13"/>
    <d v="2023-09-01T00:00:00"/>
    <n v="0"/>
    <x v="11"/>
  </r>
  <r>
    <x v="0"/>
    <x v="13"/>
    <n v="14"/>
    <x v="13"/>
    <d v="2023-09-01T00:00:00"/>
    <n v="0"/>
    <x v="12"/>
  </r>
  <r>
    <x v="0"/>
    <x v="13"/>
    <n v="15"/>
    <x v="14"/>
    <d v="2023-09-01T00:00:00"/>
    <n v="0"/>
    <x v="0"/>
  </r>
  <r>
    <x v="0"/>
    <x v="13"/>
    <n v="15"/>
    <x v="14"/>
    <d v="2023-09-01T00:00:00"/>
    <n v="0"/>
    <x v="1"/>
  </r>
  <r>
    <x v="0"/>
    <x v="13"/>
    <n v="15"/>
    <x v="14"/>
    <d v="2023-09-01T00:00:00"/>
    <n v="0"/>
    <x v="2"/>
  </r>
  <r>
    <x v="0"/>
    <x v="13"/>
    <n v="15"/>
    <x v="14"/>
    <d v="2023-09-01T00:00:00"/>
    <n v="0"/>
    <x v="3"/>
  </r>
  <r>
    <x v="0"/>
    <x v="13"/>
    <n v="15"/>
    <x v="14"/>
    <d v="2023-09-01T00:00:00"/>
    <n v="0"/>
    <x v="4"/>
  </r>
  <r>
    <x v="0"/>
    <x v="13"/>
    <n v="15"/>
    <x v="14"/>
    <d v="2023-09-01T00:00:00"/>
    <n v="0"/>
    <x v="5"/>
  </r>
  <r>
    <x v="0"/>
    <x v="13"/>
    <n v="15"/>
    <x v="14"/>
    <d v="2023-09-01T00:00:00"/>
    <n v="0"/>
    <x v="6"/>
  </r>
  <r>
    <x v="0"/>
    <x v="13"/>
    <n v="15"/>
    <x v="14"/>
    <d v="2023-09-01T00:00:00"/>
    <n v="0"/>
    <x v="7"/>
  </r>
  <r>
    <x v="0"/>
    <x v="13"/>
    <n v="15"/>
    <x v="14"/>
    <d v="2023-09-01T00:00:00"/>
    <n v="0"/>
    <x v="8"/>
  </r>
  <r>
    <x v="0"/>
    <x v="13"/>
    <n v="15"/>
    <x v="14"/>
    <d v="2023-09-01T00:00:00"/>
    <n v="0"/>
    <x v="9"/>
  </r>
  <r>
    <x v="0"/>
    <x v="13"/>
    <n v="15"/>
    <x v="14"/>
    <d v="2023-09-01T00:00:00"/>
    <n v="0"/>
    <x v="10"/>
  </r>
  <r>
    <x v="0"/>
    <x v="13"/>
    <n v="15"/>
    <x v="14"/>
    <d v="2023-09-01T00:00:00"/>
    <n v="0"/>
    <x v="11"/>
  </r>
  <r>
    <x v="0"/>
    <x v="13"/>
    <n v="15"/>
    <x v="14"/>
    <d v="2023-09-01T00:00:00"/>
    <n v="0"/>
    <x v="12"/>
  </r>
  <r>
    <x v="0"/>
    <x v="13"/>
    <n v="16"/>
    <x v="15"/>
    <d v="2023-09-01T00:00:00"/>
    <n v="3300"/>
    <x v="0"/>
  </r>
  <r>
    <x v="0"/>
    <x v="13"/>
    <n v="16"/>
    <x v="15"/>
    <d v="2023-09-01T00:00:00"/>
    <n v="3300"/>
    <x v="1"/>
  </r>
  <r>
    <x v="0"/>
    <x v="13"/>
    <n v="16"/>
    <x v="15"/>
    <d v="2023-09-01T00:00:00"/>
    <n v="2984"/>
    <x v="2"/>
  </r>
  <r>
    <x v="0"/>
    <x v="13"/>
    <n v="16"/>
    <x v="15"/>
    <d v="2023-09-01T00:00:00"/>
    <n v="2900"/>
    <x v="3"/>
  </r>
  <r>
    <x v="0"/>
    <x v="13"/>
    <n v="16"/>
    <x v="15"/>
    <d v="2023-09-01T00:00:00"/>
    <n v="3000"/>
    <x v="4"/>
  </r>
  <r>
    <x v="0"/>
    <x v="13"/>
    <n v="16"/>
    <x v="15"/>
    <d v="2023-09-01T00:00:00"/>
    <n v="2587"/>
    <x v="5"/>
  </r>
  <r>
    <x v="0"/>
    <x v="13"/>
    <n v="16"/>
    <x v="15"/>
    <d v="2023-09-01T00:00:00"/>
    <n v="2587"/>
    <x v="6"/>
  </r>
  <r>
    <x v="0"/>
    <x v="13"/>
    <n v="16"/>
    <x v="15"/>
    <d v="2023-09-01T00:00:00"/>
    <n v="2587"/>
    <x v="7"/>
  </r>
  <r>
    <x v="0"/>
    <x v="13"/>
    <n v="16"/>
    <x v="15"/>
    <d v="2023-09-01T00:00:00"/>
    <n v="2587"/>
    <x v="8"/>
  </r>
  <r>
    <x v="0"/>
    <x v="13"/>
    <n v="16"/>
    <x v="15"/>
    <d v="2023-09-01T00:00:00"/>
    <n v="2587"/>
    <x v="9"/>
  </r>
  <r>
    <x v="0"/>
    <x v="13"/>
    <n v="16"/>
    <x v="15"/>
    <d v="2023-09-01T00:00:00"/>
    <n v="2587"/>
    <x v="10"/>
  </r>
  <r>
    <x v="0"/>
    <x v="13"/>
    <n v="16"/>
    <x v="15"/>
    <d v="2023-09-01T00:00:00"/>
    <n v="2587"/>
    <x v="11"/>
  </r>
  <r>
    <x v="0"/>
    <x v="13"/>
    <n v="16"/>
    <x v="15"/>
    <d v="2023-09-01T00:00:00"/>
    <n v="33593"/>
    <x v="12"/>
  </r>
  <r>
    <x v="0"/>
    <x v="13"/>
    <n v="17"/>
    <x v="16"/>
    <d v="2023-09-01T00:00:00"/>
    <n v="0"/>
    <x v="0"/>
  </r>
  <r>
    <x v="0"/>
    <x v="13"/>
    <n v="17"/>
    <x v="16"/>
    <d v="2023-09-01T00:00:00"/>
    <n v="0"/>
    <x v="1"/>
  </r>
  <r>
    <x v="0"/>
    <x v="13"/>
    <n v="17"/>
    <x v="16"/>
    <d v="2023-09-01T00:00:00"/>
    <n v="0"/>
    <x v="2"/>
  </r>
  <r>
    <x v="0"/>
    <x v="13"/>
    <n v="17"/>
    <x v="16"/>
    <d v="2023-09-01T00:00:00"/>
    <n v="0"/>
    <x v="3"/>
  </r>
  <r>
    <x v="0"/>
    <x v="13"/>
    <n v="17"/>
    <x v="16"/>
    <d v="2023-09-01T00:00:00"/>
    <n v="0"/>
    <x v="4"/>
  </r>
  <r>
    <x v="0"/>
    <x v="13"/>
    <n v="17"/>
    <x v="16"/>
    <d v="2023-09-01T00:00:00"/>
    <n v="0"/>
    <x v="5"/>
  </r>
  <r>
    <x v="0"/>
    <x v="13"/>
    <n v="17"/>
    <x v="16"/>
    <d v="2023-09-01T00:00:00"/>
    <n v="0"/>
    <x v="6"/>
  </r>
  <r>
    <x v="0"/>
    <x v="13"/>
    <n v="17"/>
    <x v="16"/>
    <d v="2023-09-01T00:00:00"/>
    <n v="0"/>
    <x v="7"/>
  </r>
  <r>
    <x v="0"/>
    <x v="13"/>
    <n v="17"/>
    <x v="16"/>
    <d v="2023-09-01T00:00:00"/>
    <n v="0"/>
    <x v="8"/>
  </r>
  <r>
    <x v="0"/>
    <x v="13"/>
    <n v="17"/>
    <x v="16"/>
    <d v="2023-09-01T00:00:00"/>
    <n v="0"/>
    <x v="9"/>
  </r>
  <r>
    <x v="0"/>
    <x v="13"/>
    <n v="17"/>
    <x v="16"/>
    <d v="2023-09-01T00:00:00"/>
    <n v="0"/>
    <x v="10"/>
  </r>
  <r>
    <x v="0"/>
    <x v="13"/>
    <n v="17"/>
    <x v="16"/>
    <d v="2023-09-01T00:00:00"/>
    <n v="0"/>
    <x v="11"/>
  </r>
  <r>
    <x v="0"/>
    <x v="13"/>
    <n v="17"/>
    <x v="16"/>
    <d v="2023-09-01T00:00:00"/>
    <n v="0"/>
    <x v="12"/>
  </r>
  <r>
    <x v="0"/>
    <x v="13"/>
    <n v="18"/>
    <x v="17"/>
    <d v="2023-09-01T00:00:00"/>
    <n v="0"/>
    <x v="0"/>
  </r>
  <r>
    <x v="0"/>
    <x v="13"/>
    <n v="18"/>
    <x v="17"/>
    <d v="2023-09-01T00:00:00"/>
    <n v="0"/>
    <x v="1"/>
  </r>
  <r>
    <x v="0"/>
    <x v="13"/>
    <n v="18"/>
    <x v="17"/>
    <d v="2023-09-01T00:00:00"/>
    <n v="0"/>
    <x v="2"/>
  </r>
  <r>
    <x v="0"/>
    <x v="13"/>
    <n v="18"/>
    <x v="17"/>
    <d v="2023-09-01T00:00:00"/>
    <n v="0"/>
    <x v="3"/>
  </r>
  <r>
    <x v="0"/>
    <x v="13"/>
    <n v="18"/>
    <x v="17"/>
    <d v="2023-09-01T00:00:00"/>
    <n v="0"/>
    <x v="4"/>
  </r>
  <r>
    <x v="0"/>
    <x v="13"/>
    <n v="18"/>
    <x v="17"/>
    <d v="2023-09-01T00:00:00"/>
    <n v="0"/>
    <x v="5"/>
  </r>
  <r>
    <x v="0"/>
    <x v="13"/>
    <n v="18"/>
    <x v="17"/>
    <d v="2023-09-01T00:00:00"/>
    <n v="0"/>
    <x v="6"/>
  </r>
  <r>
    <x v="0"/>
    <x v="13"/>
    <n v="18"/>
    <x v="17"/>
    <d v="2023-09-01T00:00:00"/>
    <n v="0"/>
    <x v="7"/>
  </r>
  <r>
    <x v="0"/>
    <x v="13"/>
    <n v="18"/>
    <x v="17"/>
    <d v="2023-09-01T00:00:00"/>
    <n v="0"/>
    <x v="8"/>
  </r>
  <r>
    <x v="0"/>
    <x v="13"/>
    <n v="18"/>
    <x v="17"/>
    <d v="2023-09-01T00:00:00"/>
    <n v="0"/>
    <x v="9"/>
  </r>
  <r>
    <x v="0"/>
    <x v="13"/>
    <n v="18"/>
    <x v="17"/>
    <d v="2023-09-01T00:00:00"/>
    <n v="0"/>
    <x v="10"/>
  </r>
  <r>
    <x v="0"/>
    <x v="13"/>
    <n v="18"/>
    <x v="17"/>
    <d v="2023-09-01T00:00:00"/>
    <n v="0"/>
    <x v="11"/>
  </r>
  <r>
    <x v="0"/>
    <x v="13"/>
    <n v="18"/>
    <x v="17"/>
    <d v="2023-09-01T00:00:00"/>
    <n v="0"/>
    <x v="12"/>
  </r>
  <r>
    <x v="0"/>
    <x v="13"/>
    <n v="19"/>
    <x v="18"/>
    <d v="2023-09-01T00:00:00"/>
    <n v="0"/>
    <x v="0"/>
  </r>
  <r>
    <x v="0"/>
    <x v="13"/>
    <n v="19"/>
    <x v="18"/>
    <d v="2023-09-01T00:00:00"/>
    <n v="0"/>
    <x v="1"/>
  </r>
  <r>
    <x v="0"/>
    <x v="13"/>
    <n v="19"/>
    <x v="18"/>
    <d v="2023-09-01T00:00:00"/>
    <n v="0"/>
    <x v="2"/>
  </r>
  <r>
    <x v="0"/>
    <x v="13"/>
    <n v="19"/>
    <x v="18"/>
    <d v="2023-09-01T00:00:00"/>
    <n v="0"/>
    <x v="3"/>
  </r>
  <r>
    <x v="0"/>
    <x v="13"/>
    <n v="19"/>
    <x v="18"/>
    <d v="2023-09-01T00:00:00"/>
    <n v="0"/>
    <x v="4"/>
  </r>
  <r>
    <x v="0"/>
    <x v="13"/>
    <n v="19"/>
    <x v="18"/>
    <d v="2023-09-01T00:00:00"/>
    <n v="0"/>
    <x v="5"/>
  </r>
  <r>
    <x v="0"/>
    <x v="13"/>
    <n v="19"/>
    <x v="18"/>
    <d v="2023-09-01T00:00:00"/>
    <n v="0"/>
    <x v="6"/>
  </r>
  <r>
    <x v="0"/>
    <x v="13"/>
    <n v="19"/>
    <x v="18"/>
    <d v="2023-09-01T00:00:00"/>
    <n v="0"/>
    <x v="7"/>
  </r>
  <r>
    <x v="0"/>
    <x v="13"/>
    <n v="19"/>
    <x v="18"/>
    <d v="2023-09-01T00:00:00"/>
    <n v="0"/>
    <x v="8"/>
  </r>
  <r>
    <x v="0"/>
    <x v="13"/>
    <n v="19"/>
    <x v="18"/>
    <d v="2023-09-01T00:00:00"/>
    <n v="0"/>
    <x v="9"/>
  </r>
  <r>
    <x v="0"/>
    <x v="13"/>
    <n v="19"/>
    <x v="18"/>
    <d v="2023-09-01T00:00:00"/>
    <n v="0"/>
    <x v="10"/>
  </r>
  <r>
    <x v="0"/>
    <x v="13"/>
    <n v="19"/>
    <x v="18"/>
    <d v="2023-09-01T00:00:00"/>
    <n v="0"/>
    <x v="11"/>
  </r>
  <r>
    <x v="0"/>
    <x v="13"/>
    <n v="19"/>
    <x v="18"/>
    <d v="2023-09-01T00:00:00"/>
    <n v="0"/>
    <x v="12"/>
  </r>
  <r>
    <x v="0"/>
    <x v="13"/>
    <n v="20"/>
    <x v="19"/>
    <d v="2023-09-01T00:00:00"/>
    <n v="0"/>
    <x v="0"/>
  </r>
  <r>
    <x v="0"/>
    <x v="13"/>
    <n v="20"/>
    <x v="19"/>
    <d v="2023-09-01T00:00:00"/>
    <n v="0"/>
    <x v="1"/>
  </r>
  <r>
    <x v="0"/>
    <x v="13"/>
    <n v="20"/>
    <x v="19"/>
    <d v="2023-09-01T00:00:00"/>
    <n v="0"/>
    <x v="2"/>
  </r>
  <r>
    <x v="0"/>
    <x v="13"/>
    <n v="20"/>
    <x v="19"/>
    <d v="2023-09-01T00:00:00"/>
    <n v="0"/>
    <x v="3"/>
  </r>
  <r>
    <x v="0"/>
    <x v="13"/>
    <n v="20"/>
    <x v="19"/>
    <d v="2023-09-01T00:00:00"/>
    <n v="0"/>
    <x v="4"/>
  </r>
  <r>
    <x v="0"/>
    <x v="13"/>
    <n v="20"/>
    <x v="19"/>
    <d v="2023-09-01T00:00:00"/>
    <n v="0"/>
    <x v="5"/>
  </r>
  <r>
    <x v="0"/>
    <x v="13"/>
    <n v="20"/>
    <x v="19"/>
    <d v="2023-09-01T00:00:00"/>
    <n v="0"/>
    <x v="6"/>
  </r>
  <r>
    <x v="0"/>
    <x v="13"/>
    <n v="20"/>
    <x v="19"/>
    <d v="2023-09-01T00:00:00"/>
    <n v="0"/>
    <x v="7"/>
  </r>
  <r>
    <x v="0"/>
    <x v="13"/>
    <n v="20"/>
    <x v="19"/>
    <d v="2023-09-01T00:00:00"/>
    <n v="0"/>
    <x v="8"/>
  </r>
  <r>
    <x v="0"/>
    <x v="13"/>
    <n v="20"/>
    <x v="19"/>
    <d v="2023-09-01T00:00:00"/>
    <n v="0"/>
    <x v="9"/>
  </r>
  <r>
    <x v="0"/>
    <x v="13"/>
    <n v="20"/>
    <x v="19"/>
    <d v="2023-09-01T00:00:00"/>
    <n v="0"/>
    <x v="10"/>
  </r>
  <r>
    <x v="0"/>
    <x v="13"/>
    <n v="20"/>
    <x v="19"/>
    <d v="2023-09-01T00:00:00"/>
    <n v="0"/>
    <x v="11"/>
  </r>
  <r>
    <x v="0"/>
    <x v="13"/>
    <n v="20"/>
    <x v="19"/>
    <d v="2023-09-01T00:00:00"/>
    <n v="0"/>
    <x v="12"/>
  </r>
  <r>
    <x v="0"/>
    <x v="13"/>
    <n v="21"/>
    <x v="20"/>
    <d v="2023-09-01T00:00:00"/>
    <n v="0"/>
    <x v="0"/>
  </r>
  <r>
    <x v="0"/>
    <x v="13"/>
    <n v="21"/>
    <x v="20"/>
    <d v="2023-09-01T00:00:00"/>
    <n v="0"/>
    <x v="1"/>
  </r>
  <r>
    <x v="0"/>
    <x v="13"/>
    <n v="21"/>
    <x v="20"/>
    <d v="2023-09-01T00:00:00"/>
    <n v="0"/>
    <x v="2"/>
  </r>
  <r>
    <x v="0"/>
    <x v="13"/>
    <n v="21"/>
    <x v="20"/>
    <d v="2023-09-01T00:00:00"/>
    <n v="0"/>
    <x v="3"/>
  </r>
  <r>
    <x v="0"/>
    <x v="13"/>
    <n v="21"/>
    <x v="20"/>
    <d v="2023-09-01T00:00:00"/>
    <n v="0"/>
    <x v="4"/>
  </r>
  <r>
    <x v="0"/>
    <x v="13"/>
    <n v="21"/>
    <x v="20"/>
    <d v="2023-09-01T00:00:00"/>
    <n v="0"/>
    <x v="5"/>
  </r>
  <r>
    <x v="0"/>
    <x v="13"/>
    <n v="21"/>
    <x v="20"/>
    <d v="2023-09-01T00:00:00"/>
    <n v="0"/>
    <x v="6"/>
  </r>
  <r>
    <x v="0"/>
    <x v="13"/>
    <n v="21"/>
    <x v="20"/>
    <d v="2023-09-01T00:00:00"/>
    <n v="0"/>
    <x v="7"/>
  </r>
  <r>
    <x v="0"/>
    <x v="13"/>
    <n v="21"/>
    <x v="20"/>
    <d v="2023-09-01T00:00:00"/>
    <n v="0"/>
    <x v="8"/>
  </r>
  <r>
    <x v="0"/>
    <x v="13"/>
    <n v="21"/>
    <x v="20"/>
    <d v="2023-09-01T00:00:00"/>
    <n v="0"/>
    <x v="9"/>
  </r>
  <r>
    <x v="0"/>
    <x v="13"/>
    <n v="21"/>
    <x v="20"/>
    <d v="2023-09-01T00:00:00"/>
    <n v="0"/>
    <x v="10"/>
  </r>
  <r>
    <x v="0"/>
    <x v="13"/>
    <n v="21"/>
    <x v="20"/>
    <d v="2023-09-01T00:00:00"/>
    <n v="0"/>
    <x v="11"/>
  </r>
  <r>
    <x v="0"/>
    <x v="13"/>
    <n v="21"/>
    <x v="20"/>
    <d v="2023-09-01T00:00:00"/>
    <n v="0"/>
    <x v="12"/>
  </r>
  <r>
    <x v="0"/>
    <x v="13"/>
    <n v="22"/>
    <x v="21"/>
    <d v="2023-09-01T00:00:00"/>
    <n v="0"/>
    <x v="0"/>
  </r>
  <r>
    <x v="0"/>
    <x v="13"/>
    <n v="22"/>
    <x v="21"/>
    <d v="2023-09-01T00:00:00"/>
    <n v="0"/>
    <x v="1"/>
  </r>
  <r>
    <x v="0"/>
    <x v="13"/>
    <n v="22"/>
    <x v="21"/>
    <d v="2023-09-01T00:00:00"/>
    <n v="0"/>
    <x v="2"/>
  </r>
  <r>
    <x v="0"/>
    <x v="13"/>
    <n v="22"/>
    <x v="21"/>
    <d v="2023-09-01T00:00:00"/>
    <n v="0"/>
    <x v="3"/>
  </r>
  <r>
    <x v="0"/>
    <x v="13"/>
    <n v="22"/>
    <x v="21"/>
    <d v="2023-09-01T00:00:00"/>
    <n v="0"/>
    <x v="4"/>
  </r>
  <r>
    <x v="0"/>
    <x v="13"/>
    <n v="22"/>
    <x v="21"/>
    <d v="2023-09-01T00:00:00"/>
    <n v="0"/>
    <x v="5"/>
  </r>
  <r>
    <x v="0"/>
    <x v="13"/>
    <n v="22"/>
    <x v="21"/>
    <d v="2023-09-01T00:00:00"/>
    <n v="0"/>
    <x v="6"/>
  </r>
  <r>
    <x v="0"/>
    <x v="13"/>
    <n v="22"/>
    <x v="21"/>
    <d v="2023-09-01T00:00:00"/>
    <n v="0"/>
    <x v="7"/>
  </r>
  <r>
    <x v="0"/>
    <x v="13"/>
    <n v="22"/>
    <x v="21"/>
    <d v="2023-09-01T00:00:00"/>
    <n v="0"/>
    <x v="8"/>
  </r>
  <r>
    <x v="0"/>
    <x v="13"/>
    <n v="22"/>
    <x v="21"/>
    <d v="2023-09-01T00:00:00"/>
    <n v="0"/>
    <x v="9"/>
  </r>
  <r>
    <x v="0"/>
    <x v="13"/>
    <n v="22"/>
    <x v="21"/>
    <d v="2023-09-01T00:00:00"/>
    <n v="0"/>
    <x v="10"/>
  </r>
  <r>
    <x v="0"/>
    <x v="13"/>
    <n v="22"/>
    <x v="21"/>
    <d v="2023-09-01T00:00:00"/>
    <n v="0"/>
    <x v="11"/>
  </r>
  <r>
    <x v="0"/>
    <x v="13"/>
    <n v="22"/>
    <x v="21"/>
    <d v="2023-09-01T00:00:00"/>
    <n v="0"/>
    <x v="12"/>
  </r>
  <r>
    <x v="0"/>
    <x v="13"/>
    <n v="23"/>
    <x v="22"/>
    <d v="2023-09-01T00:00:00"/>
    <n v="0"/>
    <x v="0"/>
  </r>
  <r>
    <x v="0"/>
    <x v="13"/>
    <n v="23"/>
    <x v="22"/>
    <d v="2023-09-01T00:00:00"/>
    <n v="0"/>
    <x v="1"/>
  </r>
  <r>
    <x v="0"/>
    <x v="13"/>
    <n v="23"/>
    <x v="22"/>
    <d v="2023-09-01T00:00:00"/>
    <n v="0"/>
    <x v="2"/>
  </r>
  <r>
    <x v="0"/>
    <x v="13"/>
    <n v="23"/>
    <x v="22"/>
    <d v="2023-09-01T00:00:00"/>
    <n v="0"/>
    <x v="3"/>
  </r>
  <r>
    <x v="0"/>
    <x v="13"/>
    <n v="23"/>
    <x v="22"/>
    <d v="2023-09-01T00:00:00"/>
    <n v="0"/>
    <x v="4"/>
  </r>
  <r>
    <x v="0"/>
    <x v="13"/>
    <n v="23"/>
    <x v="22"/>
    <d v="2023-09-01T00:00:00"/>
    <n v="0"/>
    <x v="5"/>
  </r>
  <r>
    <x v="0"/>
    <x v="13"/>
    <n v="23"/>
    <x v="22"/>
    <d v="2023-09-01T00:00:00"/>
    <n v="0"/>
    <x v="6"/>
  </r>
  <r>
    <x v="0"/>
    <x v="13"/>
    <n v="23"/>
    <x v="22"/>
    <d v="2023-09-01T00:00:00"/>
    <n v="0"/>
    <x v="7"/>
  </r>
  <r>
    <x v="0"/>
    <x v="13"/>
    <n v="23"/>
    <x v="22"/>
    <d v="2023-09-01T00:00:00"/>
    <n v="0"/>
    <x v="8"/>
  </r>
  <r>
    <x v="0"/>
    <x v="13"/>
    <n v="23"/>
    <x v="22"/>
    <d v="2023-09-01T00:00:00"/>
    <n v="0"/>
    <x v="9"/>
  </r>
  <r>
    <x v="0"/>
    <x v="13"/>
    <n v="23"/>
    <x v="22"/>
    <d v="2023-09-01T00:00:00"/>
    <n v="0"/>
    <x v="10"/>
  </r>
  <r>
    <x v="0"/>
    <x v="13"/>
    <n v="23"/>
    <x v="22"/>
    <d v="2023-09-01T00:00:00"/>
    <n v="0"/>
    <x v="11"/>
  </r>
  <r>
    <x v="0"/>
    <x v="13"/>
    <n v="23"/>
    <x v="22"/>
    <d v="2023-09-01T00:00:00"/>
    <n v="0"/>
    <x v="12"/>
  </r>
  <r>
    <x v="0"/>
    <x v="13"/>
    <n v="24"/>
    <x v="23"/>
    <d v="2023-09-01T00:00:00"/>
    <n v="0"/>
    <x v="0"/>
  </r>
  <r>
    <x v="0"/>
    <x v="13"/>
    <n v="24"/>
    <x v="23"/>
    <d v="2023-09-01T00:00:00"/>
    <n v="0"/>
    <x v="1"/>
  </r>
  <r>
    <x v="0"/>
    <x v="13"/>
    <n v="24"/>
    <x v="23"/>
    <d v="2023-09-01T00:00:00"/>
    <n v="0"/>
    <x v="2"/>
  </r>
  <r>
    <x v="0"/>
    <x v="13"/>
    <n v="24"/>
    <x v="23"/>
    <d v="2023-09-01T00:00:00"/>
    <n v="0"/>
    <x v="3"/>
  </r>
  <r>
    <x v="0"/>
    <x v="13"/>
    <n v="24"/>
    <x v="23"/>
    <d v="2023-09-01T00:00:00"/>
    <n v="0"/>
    <x v="4"/>
  </r>
  <r>
    <x v="0"/>
    <x v="13"/>
    <n v="24"/>
    <x v="23"/>
    <d v="2023-09-01T00:00:00"/>
    <n v="0"/>
    <x v="5"/>
  </r>
  <r>
    <x v="0"/>
    <x v="13"/>
    <n v="24"/>
    <x v="23"/>
    <d v="2023-09-01T00:00:00"/>
    <n v="0"/>
    <x v="6"/>
  </r>
  <r>
    <x v="0"/>
    <x v="13"/>
    <n v="24"/>
    <x v="23"/>
    <d v="2023-09-01T00:00:00"/>
    <n v="0"/>
    <x v="7"/>
  </r>
  <r>
    <x v="0"/>
    <x v="13"/>
    <n v="24"/>
    <x v="23"/>
    <d v="2023-09-01T00:00:00"/>
    <n v="0"/>
    <x v="8"/>
  </r>
  <r>
    <x v="0"/>
    <x v="13"/>
    <n v="24"/>
    <x v="23"/>
    <d v="2023-09-01T00:00:00"/>
    <n v="0"/>
    <x v="9"/>
  </r>
  <r>
    <x v="0"/>
    <x v="13"/>
    <n v="24"/>
    <x v="23"/>
    <d v="2023-09-01T00:00:00"/>
    <n v="0"/>
    <x v="10"/>
  </r>
  <r>
    <x v="0"/>
    <x v="13"/>
    <n v="24"/>
    <x v="23"/>
    <d v="2023-09-01T00:00:00"/>
    <n v="0"/>
    <x v="11"/>
  </r>
  <r>
    <x v="0"/>
    <x v="13"/>
    <n v="24"/>
    <x v="23"/>
    <d v="2023-09-01T00:00:00"/>
    <n v="0"/>
    <x v="12"/>
  </r>
  <r>
    <x v="0"/>
    <x v="13"/>
    <n v="25"/>
    <x v="24"/>
    <d v="2023-09-01T00:00:00"/>
    <n v="0"/>
    <x v="0"/>
  </r>
  <r>
    <x v="0"/>
    <x v="13"/>
    <n v="25"/>
    <x v="24"/>
    <d v="2023-09-01T00:00:00"/>
    <n v="0"/>
    <x v="1"/>
  </r>
  <r>
    <x v="0"/>
    <x v="13"/>
    <n v="25"/>
    <x v="24"/>
    <d v="2023-09-01T00:00:00"/>
    <n v="0"/>
    <x v="2"/>
  </r>
  <r>
    <x v="0"/>
    <x v="13"/>
    <n v="25"/>
    <x v="24"/>
    <d v="2023-09-01T00:00:00"/>
    <n v="0"/>
    <x v="3"/>
  </r>
  <r>
    <x v="0"/>
    <x v="13"/>
    <n v="25"/>
    <x v="24"/>
    <d v="2023-09-01T00:00:00"/>
    <n v="0"/>
    <x v="4"/>
  </r>
  <r>
    <x v="0"/>
    <x v="13"/>
    <n v="25"/>
    <x v="24"/>
    <d v="2023-09-01T00:00:00"/>
    <n v="0"/>
    <x v="5"/>
  </r>
  <r>
    <x v="0"/>
    <x v="13"/>
    <n v="25"/>
    <x v="24"/>
    <d v="2023-09-01T00:00:00"/>
    <n v="0"/>
    <x v="6"/>
  </r>
  <r>
    <x v="0"/>
    <x v="13"/>
    <n v="25"/>
    <x v="24"/>
    <d v="2023-09-01T00:00:00"/>
    <n v="0"/>
    <x v="7"/>
  </r>
  <r>
    <x v="0"/>
    <x v="13"/>
    <n v="25"/>
    <x v="24"/>
    <d v="2023-09-01T00:00:00"/>
    <n v="0"/>
    <x v="8"/>
  </r>
  <r>
    <x v="0"/>
    <x v="13"/>
    <n v="25"/>
    <x v="24"/>
    <d v="2023-09-01T00:00:00"/>
    <n v="0"/>
    <x v="9"/>
  </r>
  <r>
    <x v="0"/>
    <x v="13"/>
    <n v="25"/>
    <x v="24"/>
    <d v="2023-09-01T00:00:00"/>
    <n v="0"/>
    <x v="10"/>
  </r>
  <r>
    <x v="0"/>
    <x v="13"/>
    <n v="25"/>
    <x v="24"/>
    <d v="2023-09-01T00:00:00"/>
    <n v="0"/>
    <x v="11"/>
  </r>
  <r>
    <x v="0"/>
    <x v="13"/>
    <n v="25"/>
    <x v="24"/>
    <d v="2023-09-01T00:00:00"/>
    <n v="0"/>
    <x v="12"/>
  </r>
  <r>
    <x v="0"/>
    <x v="13"/>
    <n v="26"/>
    <x v="25"/>
    <d v="2023-09-01T00:00:00"/>
    <n v="87192"/>
    <x v="0"/>
  </r>
  <r>
    <x v="0"/>
    <x v="13"/>
    <n v="26"/>
    <x v="25"/>
    <d v="2023-09-01T00:00:00"/>
    <n v="87483"/>
    <x v="1"/>
  </r>
  <r>
    <x v="0"/>
    <x v="13"/>
    <n v="26"/>
    <x v="25"/>
    <d v="2023-09-01T00:00:00"/>
    <n v="87589.654999999999"/>
    <x v="2"/>
  </r>
  <r>
    <x v="0"/>
    <x v="13"/>
    <n v="26"/>
    <x v="25"/>
    <d v="2023-09-01T00:00:00"/>
    <n v="84997.717000000004"/>
    <x v="3"/>
  </r>
  <r>
    <x v="0"/>
    <x v="13"/>
    <n v="26"/>
    <x v="25"/>
    <d v="2023-09-01T00:00:00"/>
    <n v="87032"/>
    <x v="4"/>
  </r>
  <r>
    <x v="0"/>
    <x v="13"/>
    <n v="26"/>
    <x v="25"/>
    <d v="2023-09-01T00:00:00"/>
    <n v="84219.634999999995"/>
    <x v="5"/>
  </r>
  <r>
    <x v="0"/>
    <x v="13"/>
    <n v="26"/>
    <x v="25"/>
    <d v="2023-09-01T00:00:00"/>
    <n v="86631.849000000002"/>
    <x v="6"/>
  </r>
  <r>
    <x v="0"/>
    <x v="13"/>
    <n v="26"/>
    <x v="25"/>
    <d v="2023-09-01T00:00:00"/>
    <n v="86631.849000000002"/>
    <x v="7"/>
  </r>
  <r>
    <x v="0"/>
    <x v="13"/>
    <n v="26"/>
    <x v="25"/>
    <d v="2023-09-01T00:00:00"/>
    <n v="86631.849000000002"/>
    <x v="8"/>
  </r>
  <r>
    <x v="0"/>
    <x v="13"/>
    <n v="26"/>
    <x v="25"/>
    <d v="2023-09-01T00:00:00"/>
    <n v="86631.849000000002"/>
    <x v="9"/>
  </r>
  <r>
    <x v="0"/>
    <x v="13"/>
    <n v="26"/>
    <x v="25"/>
    <d v="2023-09-01T00:00:00"/>
    <n v="86631.849000000002"/>
    <x v="10"/>
  </r>
  <r>
    <x v="0"/>
    <x v="13"/>
    <n v="26"/>
    <x v="25"/>
    <d v="2023-09-01T00:00:00"/>
    <n v="86621.349000000002"/>
    <x v="11"/>
  </r>
  <r>
    <x v="0"/>
    <x v="13"/>
    <n v="26"/>
    <x v="25"/>
    <d v="2023-09-01T00:00:00"/>
    <n v="1038294.601"/>
    <x v="12"/>
  </r>
  <r>
    <x v="0"/>
    <x v="13"/>
    <n v="27"/>
    <x v="26"/>
    <d v="2023-09-01T00:00:00"/>
    <n v="0"/>
    <x v="0"/>
  </r>
  <r>
    <x v="0"/>
    <x v="13"/>
    <n v="27"/>
    <x v="26"/>
    <d v="2023-09-01T00:00:00"/>
    <n v="0"/>
    <x v="1"/>
  </r>
  <r>
    <x v="0"/>
    <x v="13"/>
    <n v="27"/>
    <x v="26"/>
    <d v="2023-09-01T00:00:00"/>
    <n v="0.34500000000116399"/>
    <x v="2"/>
  </r>
  <r>
    <x v="0"/>
    <x v="13"/>
    <n v="27"/>
    <x v="26"/>
    <d v="2023-09-01T00:00:00"/>
    <n v="0.28299999999580899"/>
    <x v="3"/>
  </r>
  <r>
    <x v="0"/>
    <x v="13"/>
    <n v="27"/>
    <x v="26"/>
    <d v="2023-09-01T00:00:00"/>
    <n v="0"/>
    <x v="4"/>
  </r>
  <r>
    <x v="0"/>
    <x v="13"/>
    <n v="27"/>
    <x v="26"/>
    <d v="2023-09-01T00:00:00"/>
    <n v="-0.13499999999476101"/>
    <x v="5"/>
  </r>
  <r>
    <x v="0"/>
    <x v="13"/>
    <n v="27"/>
    <x v="26"/>
    <d v="2023-09-01T00:00:00"/>
    <n v="0.150999999998021"/>
    <x v="6"/>
  </r>
  <r>
    <x v="0"/>
    <x v="13"/>
    <n v="27"/>
    <x v="26"/>
    <d v="2023-09-01T00:00:00"/>
    <n v="0.150999999998021"/>
    <x v="7"/>
  </r>
  <r>
    <x v="0"/>
    <x v="13"/>
    <n v="27"/>
    <x v="26"/>
    <d v="2023-09-01T00:00:00"/>
    <n v="0.150999999998021"/>
    <x v="8"/>
  </r>
  <r>
    <x v="0"/>
    <x v="13"/>
    <n v="27"/>
    <x v="26"/>
    <d v="2023-09-01T00:00:00"/>
    <n v="0.150999999998021"/>
    <x v="9"/>
  </r>
  <r>
    <x v="0"/>
    <x v="13"/>
    <n v="27"/>
    <x v="26"/>
    <d v="2023-09-01T00:00:00"/>
    <n v="0.150999999998021"/>
    <x v="10"/>
  </r>
  <r>
    <x v="0"/>
    <x v="13"/>
    <n v="27"/>
    <x v="26"/>
    <d v="2023-09-01T00:00:00"/>
    <n v="-0.84900000000197895"/>
    <x v="11"/>
  </r>
  <r>
    <x v="0"/>
    <x v="13"/>
    <n v="27"/>
    <x v="26"/>
    <d v="2023-09-01T00:00:00"/>
    <n v="0.398999999975786"/>
    <x v="1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4">
  <r>
    <x v="0"/>
    <x v="0"/>
    <x v="0"/>
    <n v="62786"/>
    <x v="0"/>
  </r>
  <r>
    <x v="0"/>
    <x v="0"/>
    <x v="0"/>
    <n v="64687"/>
    <x v="1"/>
  </r>
  <r>
    <x v="0"/>
    <x v="0"/>
    <x v="0"/>
    <n v="76383"/>
    <x v="2"/>
  </r>
  <r>
    <x v="0"/>
    <x v="0"/>
    <x v="0"/>
    <n v="72366"/>
    <x v="3"/>
  </r>
  <r>
    <x v="0"/>
    <x v="0"/>
    <x v="0"/>
    <n v="66529"/>
    <x v="4"/>
  </r>
  <r>
    <x v="0"/>
    <x v="0"/>
    <x v="0"/>
    <n v="64588"/>
    <x v="5"/>
  </r>
  <r>
    <x v="0"/>
    <x v="0"/>
    <x v="0"/>
    <n v="66607"/>
    <x v="6"/>
  </r>
  <r>
    <x v="0"/>
    <x v="0"/>
    <x v="0"/>
    <n v="66257"/>
    <x v="7"/>
  </r>
  <r>
    <x v="0"/>
    <x v="0"/>
    <x v="0"/>
    <n v="66157"/>
    <x v="8"/>
  </r>
  <r>
    <x v="0"/>
    <x v="0"/>
    <x v="0"/>
    <n v="66507"/>
    <x v="9"/>
  </r>
  <r>
    <x v="0"/>
    <x v="0"/>
    <x v="0"/>
    <n v="68757"/>
    <x v="10"/>
  </r>
  <r>
    <x v="0"/>
    <x v="0"/>
    <x v="0"/>
    <n v="66807"/>
    <x v="11"/>
  </r>
  <r>
    <x v="0"/>
    <x v="0"/>
    <x v="0"/>
    <n v="808431"/>
    <x v="12"/>
  </r>
  <r>
    <x v="0"/>
    <x v="0"/>
    <x v="1"/>
    <n v="3895"/>
    <x v="0"/>
  </r>
  <r>
    <x v="0"/>
    <x v="0"/>
    <x v="1"/>
    <n v="4803"/>
    <x v="1"/>
  </r>
  <r>
    <x v="0"/>
    <x v="0"/>
    <x v="1"/>
    <n v="3853"/>
    <x v="2"/>
  </r>
  <r>
    <x v="0"/>
    <x v="0"/>
    <x v="1"/>
    <n v="3751"/>
    <x v="3"/>
  </r>
  <r>
    <x v="0"/>
    <x v="0"/>
    <x v="1"/>
    <n v="3939"/>
    <x v="4"/>
  </r>
  <r>
    <x v="0"/>
    <x v="0"/>
    <x v="1"/>
    <n v="3860"/>
    <x v="5"/>
  </r>
  <r>
    <x v="0"/>
    <x v="0"/>
    <x v="1"/>
    <n v="3555"/>
    <x v="6"/>
  </r>
  <r>
    <x v="0"/>
    <x v="0"/>
    <x v="1"/>
    <n v="3555"/>
    <x v="7"/>
  </r>
  <r>
    <x v="0"/>
    <x v="0"/>
    <x v="1"/>
    <n v="3105"/>
    <x v="8"/>
  </r>
  <r>
    <x v="0"/>
    <x v="0"/>
    <x v="1"/>
    <n v="3105"/>
    <x v="9"/>
  </r>
  <r>
    <x v="0"/>
    <x v="0"/>
    <x v="1"/>
    <n v="3105"/>
    <x v="10"/>
  </r>
  <r>
    <x v="0"/>
    <x v="0"/>
    <x v="1"/>
    <n v="3105"/>
    <x v="11"/>
  </r>
  <r>
    <x v="0"/>
    <x v="0"/>
    <x v="1"/>
    <n v="43631"/>
    <x v="12"/>
  </r>
  <r>
    <x v="0"/>
    <x v="1"/>
    <x v="0"/>
    <n v="83193"/>
    <x v="0"/>
  </r>
  <r>
    <x v="0"/>
    <x v="1"/>
    <x v="0"/>
    <n v="88093"/>
    <x v="1"/>
  </r>
  <r>
    <x v="0"/>
    <x v="1"/>
    <x v="0"/>
    <n v="105880"/>
    <x v="2"/>
  </r>
  <r>
    <x v="0"/>
    <x v="1"/>
    <x v="0"/>
    <n v="99227"/>
    <x v="3"/>
  </r>
  <r>
    <x v="0"/>
    <x v="1"/>
    <x v="0"/>
    <n v="90479"/>
    <x v="4"/>
  </r>
  <r>
    <x v="0"/>
    <x v="1"/>
    <x v="0"/>
    <n v="89484"/>
    <x v="5"/>
  </r>
  <r>
    <x v="0"/>
    <x v="1"/>
    <x v="0"/>
    <n v="90324"/>
    <x v="6"/>
  </r>
  <r>
    <x v="0"/>
    <x v="1"/>
    <x v="0"/>
    <n v="90389"/>
    <x v="7"/>
  </r>
  <r>
    <x v="0"/>
    <x v="1"/>
    <x v="0"/>
    <n v="90364"/>
    <x v="8"/>
  </r>
  <r>
    <x v="0"/>
    <x v="1"/>
    <x v="0"/>
    <n v="90687"/>
    <x v="9"/>
  </r>
  <r>
    <x v="0"/>
    <x v="1"/>
    <x v="0"/>
    <n v="90517"/>
    <x v="10"/>
  </r>
  <r>
    <x v="0"/>
    <x v="1"/>
    <x v="0"/>
    <n v="90381"/>
    <x v="11"/>
  </r>
  <r>
    <x v="0"/>
    <x v="1"/>
    <x v="0"/>
    <n v="1099018"/>
    <x v="12"/>
  </r>
  <r>
    <x v="0"/>
    <x v="1"/>
    <x v="1"/>
    <n v="5771.1480000000001"/>
    <x v="0"/>
  </r>
  <r>
    <x v="0"/>
    <x v="1"/>
    <x v="1"/>
    <n v="6721"/>
    <x v="1"/>
  </r>
  <r>
    <x v="0"/>
    <x v="1"/>
    <x v="1"/>
    <n v="6972"/>
    <x v="2"/>
  </r>
  <r>
    <x v="0"/>
    <x v="1"/>
    <x v="1"/>
    <n v="6810"/>
    <x v="3"/>
  </r>
  <r>
    <x v="0"/>
    <x v="1"/>
    <x v="1"/>
    <n v="7015"/>
    <x v="4"/>
  </r>
  <r>
    <x v="0"/>
    <x v="1"/>
    <x v="1"/>
    <n v="5737"/>
    <x v="5"/>
  </r>
  <r>
    <x v="0"/>
    <x v="1"/>
    <x v="1"/>
    <n v="5787"/>
    <x v="6"/>
  </r>
  <r>
    <x v="0"/>
    <x v="1"/>
    <x v="1"/>
    <n v="5756"/>
    <x v="7"/>
  </r>
  <r>
    <x v="0"/>
    <x v="1"/>
    <x v="1"/>
    <n v="5786"/>
    <x v="8"/>
  </r>
  <r>
    <x v="0"/>
    <x v="1"/>
    <x v="1"/>
    <n v="5688"/>
    <x v="9"/>
  </r>
  <r>
    <x v="0"/>
    <x v="1"/>
    <x v="1"/>
    <n v="5655"/>
    <x v="10"/>
  </r>
  <r>
    <x v="0"/>
    <x v="1"/>
    <x v="1"/>
    <n v="5675"/>
    <x v="11"/>
  </r>
  <r>
    <x v="0"/>
    <x v="1"/>
    <x v="1"/>
    <n v="73373.148000000001"/>
    <x v="12"/>
  </r>
  <r>
    <x v="0"/>
    <x v="2"/>
    <x v="0"/>
    <n v="69542"/>
    <x v="0"/>
  </r>
  <r>
    <x v="0"/>
    <x v="2"/>
    <x v="0"/>
    <n v="72242"/>
    <x v="1"/>
  </r>
  <r>
    <x v="0"/>
    <x v="2"/>
    <x v="0"/>
    <n v="85322"/>
    <x v="2"/>
  </r>
  <r>
    <x v="0"/>
    <x v="2"/>
    <x v="0"/>
    <n v="81380"/>
    <x v="3"/>
  </r>
  <r>
    <x v="0"/>
    <x v="2"/>
    <x v="0"/>
    <n v="73724"/>
    <x v="4"/>
  </r>
  <r>
    <x v="0"/>
    <x v="2"/>
    <x v="0"/>
    <n v="73543"/>
    <x v="5"/>
  </r>
  <r>
    <x v="0"/>
    <x v="2"/>
    <x v="0"/>
    <n v="73764.428571428594"/>
    <x v="6"/>
  </r>
  <r>
    <x v="0"/>
    <x v="2"/>
    <x v="0"/>
    <n v="73612"/>
    <x v="7"/>
  </r>
  <r>
    <x v="0"/>
    <x v="2"/>
    <x v="0"/>
    <n v="73627"/>
    <x v="8"/>
  </r>
  <r>
    <x v="0"/>
    <x v="2"/>
    <x v="0"/>
    <n v="73610"/>
    <x v="9"/>
  </r>
  <r>
    <x v="0"/>
    <x v="2"/>
    <x v="0"/>
    <n v="73539"/>
    <x v="10"/>
  </r>
  <r>
    <x v="0"/>
    <x v="2"/>
    <x v="0"/>
    <n v="73989"/>
    <x v="11"/>
  </r>
  <r>
    <x v="0"/>
    <x v="2"/>
    <x v="0"/>
    <n v="897894.42857142899"/>
    <x v="12"/>
  </r>
  <r>
    <x v="0"/>
    <x v="2"/>
    <x v="1"/>
    <n v="1722"/>
    <x v="0"/>
  </r>
  <r>
    <x v="0"/>
    <x v="2"/>
    <x v="1"/>
    <n v="1347.13183999999"/>
    <x v="1"/>
  </r>
  <r>
    <x v="0"/>
    <x v="2"/>
    <x v="1"/>
    <n v="1695"/>
    <x v="2"/>
  </r>
  <r>
    <x v="0"/>
    <x v="2"/>
    <x v="1"/>
    <n v="1964"/>
    <x v="3"/>
  </r>
  <r>
    <x v="0"/>
    <x v="2"/>
    <x v="1"/>
    <n v="1782"/>
    <x v="4"/>
  </r>
  <r>
    <x v="0"/>
    <x v="2"/>
    <x v="1"/>
    <n v="1134"/>
    <x v="5"/>
  </r>
  <r>
    <x v="0"/>
    <x v="2"/>
    <x v="1"/>
    <n v="1134"/>
    <x v="6"/>
  </r>
  <r>
    <x v="0"/>
    <x v="2"/>
    <x v="1"/>
    <n v="1134"/>
    <x v="7"/>
  </r>
  <r>
    <x v="0"/>
    <x v="2"/>
    <x v="1"/>
    <n v="1134"/>
    <x v="8"/>
  </r>
  <r>
    <x v="0"/>
    <x v="2"/>
    <x v="1"/>
    <n v="1134"/>
    <x v="9"/>
  </r>
  <r>
    <x v="0"/>
    <x v="2"/>
    <x v="1"/>
    <n v="1134"/>
    <x v="10"/>
  </r>
  <r>
    <x v="0"/>
    <x v="2"/>
    <x v="1"/>
    <n v="1134"/>
    <x v="11"/>
  </r>
  <r>
    <x v="0"/>
    <x v="2"/>
    <x v="1"/>
    <n v="16448.131839999998"/>
    <x v="12"/>
  </r>
  <r>
    <x v="0"/>
    <x v="3"/>
    <x v="0"/>
    <n v="54142"/>
    <x v="0"/>
  </r>
  <r>
    <x v="0"/>
    <x v="3"/>
    <x v="0"/>
    <n v="54391"/>
    <x v="1"/>
  </r>
  <r>
    <x v="0"/>
    <x v="3"/>
    <x v="0"/>
    <n v="66070"/>
    <x v="2"/>
  </r>
  <r>
    <x v="0"/>
    <x v="3"/>
    <x v="0"/>
    <n v="63251"/>
    <x v="3"/>
  </r>
  <r>
    <x v="0"/>
    <x v="3"/>
    <x v="0"/>
    <n v="56602"/>
    <x v="4"/>
  </r>
  <r>
    <x v="0"/>
    <x v="3"/>
    <x v="0"/>
    <n v="56882.93"/>
    <x v="5"/>
  </r>
  <r>
    <x v="0"/>
    <x v="3"/>
    <x v="0"/>
    <n v="61014"/>
    <x v="6"/>
  </r>
  <r>
    <x v="0"/>
    <x v="3"/>
    <x v="0"/>
    <n v="58664"/>
    <x v="7"/>
  </r>
  <r>
    <x v="0"/>
    <x v="3"/>
    <x v="0"/>
    <n v="58704"/>
    <x v="8"/>
  </r>
  <r>
    <x v="0"/>
    <x v="3"/>
    <x v="0"/>
    <n v="58404"/>
    <x v="9"/>
  </r>
  <r>
    <x v="0"/>
    <x v="3"/>
    <x v="0"/>
    <n v="58404"/>
    <x v="10"/>
  </r>
  <r>
    <x v="0"/>
    <x v="3"/>
    <x v="0"/>
    <n v="58484"/>
    <x v="11"/>
  </r>
  <r>
    <x v="0"/>
    <x v="3"/>
    <x v="0"/>
    <n v="705012.93"/>
    <x v="12"/>
  </r>
  <r>
    <x v="0"/>
    <x v="3"/>
    <x v="1"/>
    <n v="4344"/>
    <x v="0"/>
  </r>
  <r>
    <x v="0"/>
    <x v="3"/>
    <x v="1"/>
    <n v="4486"/>
    <x v="1"/>
  </r>
  <r>
    <x v="0"/>
    <x v="3"/>
    <x v="1"/>
    <n v="4047"/>
    <x v="2"/>
  </r>
  <r>
    <x v="0"/>
    <x v="3"/>
    <x v="1"/>
    <n v="4825"/>
    <x v="3"/>
  </r>
  <r>
    <x v="0"/>
    <x v="3"/>
    <x v="1"/>
    <n v="3944"/>
    <x v="4"/>
  </r>
  <r>
    <x v="0"/>
    <x v="3"/>
    <x v="1"/>
    <n v="3756"/>
    <x v="5"/>
  </r>
  <r>
    <x v="0"/>
    <x v="3"/>
    <x v="1"/>
    <n v="3890"/>
    <x v="6"/>
  </r>
  <r>
    <x v="0"/>
    <x v="3"/>
    <x v="1"/>
    <n v="3890"/>
    <x v="7"/>
  </r>
  <r>
    <x v="0"/>
    <x v="3"/>
    <x v="1"/>
    <n v="4340"/>
    <x v="8"/>
  </r>
  <r>
    <x v="0"/>
    <x v="3"/>
    <x v="1"/>
    <n v="4340"/>
    <x v="9"/>
  </r>
  <r>
    <x v="0"/>
    <x v="3"/>
    <x v="1"/>
    <n v="4340"/>
    <x v="10"/>
  </r>
  <r>
    <x v="0"/>
    <x v="3"/>
    <x v="1"/>
    <n v="4340"/>
    <x v="11"/>
  </r>
  <r>
    <x v="0"/>
    <x v="3"/>
    <x v="1"/>
    <n v="50542"/>
    <x v="12"/>
  </r>
  <r>
    <x v="0"/>
    <x v="4"/>
    <x v="0"/>
    <n v="4701"/>
    <x v="0"/>
  </r>
  <r>
    <x v="0"/>
    <x v="4"/>
    <x v="0"/>
    <n v="4775"/>
    <x v="1"/>
  </r>
  <r>
    <x v="0"/>
    <x v="4"/>
    <x v="0"/>
    <n v="5880"/>
    <x v="2"/>
  </r>
  <r>
    <x v="0"/>
    <x v="4"/>
    <x v="0"/>
    <n v="5736"/>
    <x v="3"/>
  </r>
  <r>
    <x v="0"/>
    <x v="4"/>
    <x v="0"/>
    <n v="5089"/>
    <x v="4"/>
  </r>
  <r>
    <x v="0"/>
    <x v="4"/>
    <x v="0"/>
    <n v="5094"/>
    <x v="5"/>
  </r>
  <r>
    <x v="0"/>
    <x v="4"/>
    <x v="0"/>
    <n v="5194"/>
    <x v="6"/>
  </r>
  <r>
    <x v="0"/>
    <x v="4"/>
    <x v="0"/>
    <n v="5252"/>
    <x v="7"/>
  </r>
  <r>
    <x v="0"/>
    <x v="4"/>
    <x v="0"/>
    <n v="5261"/>
    <x v="8"/>
  </r>
  <r>
    <x v="0"/>
    <x v="4"/>
    <x v="0"/>
    <n v="5529"/>
    <x v="9"/>
  </r>
  <r>
    <x v="0"/>
    <x v="4"/>
    <x v="0"/>
    <n v="5619"/>
    <x v="10"/>
  </r>
  <r>
    <x v="0"/>
    <x v="4"/>
    <x v="0"/>
    <n v="5633"/>
    <x v="11"/>
  </r>
  <r>
    <x v="0"/>
    <x v="4"/>
    <x v="0"/>
    <n v="63763"/>
    <x v="12"/>
  </r>
  <r>
    <x v="0"/>
    <x v="4"/>
    <x v="1"/>
    <n v="25"/>
    <x v="0"/>
  </r>
  <r>
    <x v="0"/>
    <x v="4"/>
    <x v="1"/>
    <n v="10"/>
    <x v="1"/>
  </r>
  <r>
    <x v="0"/>
    <x v="4"/>
    <x v="1"/>
    <n v="45"/>
    <x v="2"/>
  </r>
  <r>
    <x v="0"/>
    <x v="4"/>
    <x v="1"/>
    <n v="43"/>
    <x v="3"/>
  </r>
  <r>
    <x v="0"/>
    <x v="4"/>
    <x v="1"/>
    <n v="35"/>
    <x v="4"/>
  </r>
  <r>
    <x v="0"/>
    <x v="4"/>
    <x v="1"/>
    <n v="48"/>
    <x v="5"/>
  </r>
  <r>
    <x v="0"/>
    <x v="4"/>
    <x v="1"/>
    <n v="50"/>
    <x v="6"/>
  </r>
  <r>
    <x v="0"/>
    <x v="4"/>
    <x v="1"/>
    <n v="50"/>
    <x v="7"/>
  </r>
  <r>
    <x v="0"/>
    <x v="4"/>
    <x v="1"/>
    <n v="50"/>
    <x v="8"/>
  </r>
  <r>
    <x v="0"/>
    <x v="4"/>
    <x v="1"/>
    <n v="50"/>
    <x v="9"/>
  </r>
  <r>
    <x v="0"/>
    <x v="4"/>
    <x v="1"/>
    <n v="50"/>
    <x v="10"/>
  </r>
  <r>
    <x v="0"/>
    <x v="4"/>
    <x v="1"/>
    <n v="50"/>
    <x v="11"/>
  </r>
  <r>
    <x v="0"/>
    <x v="4"/>
    <x v="1"/>
    <n v="506"/>
    <x v="12"/>
  </r>
  <r>
    <x v="0"/>
    <x v="5"/>
    <x v="0"/>
    <n v="48146"/>
    <x v="0"/>
  </r>
  <r>
    <x v="0"/>
    <x v="5"/>
    <x v="0"/>
    <n v="50354"/>
    <x v="1"/>
  </r>
  <r>
    <x v="0"/>
    <x v="5"/>
    <x v="0"/>
    <n v="59421"/>
    <x v="2"/>
  </r>
  <r>
    <x v="0"/>
    <x v="5"/>
    <x v="0"/>
    <n v="54811"/>
    <x v="3"/>
  </r>
  <r>
    <x v="0"/>
    <x v="5"/>
    <x v="0"/>
    <n v="50779"/>
    <x v="4"/>
  </r>
  <r>
    <x v="0"/>
    <x v="5"/>
    <x v="0"/>
    <n v="49640"/>
    <x v="5"/>
  </r>
  <r>
    <x v="0"/>
    <x v="5"/>
    <x v="0"/>
    <n v="49874"/>
    <x v="6"/>
  </r>
  <r>
    <x v="0"/>
    <x v="5"/>
    <x v="0"/>
    <n v="49493"/>
    <x v="7"/>
  </r>
  <r>
    <x v="0"/>
    <x v="5"/>
    <x v="0"/>
    <n v="49266"/>
    <x v="8"/>
  </r>
  <r>
    <x v="0"/>
    <x v="5"/>
    <x v="0"/>
    <n v="49127"/>
    <x v="9"/>
  </r>
  <r>
    <x v="0"/>
    <x v="5"/>
    <x v="0"/>
    <n v="48931"/>
    <x v="10"/>
  </r>
  <r>
    <x v="0"/>
    <x v="5"/>
    <x v="0"/>
    <n v="49021"/>
    <x v="11"/>
  </r>
  <r>
    <x v="0"/>
    <x v="5"/>
    <x v="0"/>
    <n v="608863"/>
    <x v="12"/>
  </r>
  <r>
    <x v="0"/>
    <x v="5"/>
    <x v="1"/>
    <n v="3718"/>
    <x v="0"/>
  </r>
  <r>
    <x v="0"/>
    <x v="5"/>
    <x v="1"/>
    <n v="3792"/>
    <x v="1"/>
  </r>
  <r>
    <x v="0"/>
    <x v="5"/>
    <x v="1"/>
    <n v="3028"/>
    <x v="2"/>
  </r>
  <r>
    <x v="0"/>
    <x v="5"/>
    <x v="1"/>
    <n v="3084"/>
    <x v="3"/>
  </r>
  <r>
    <x v="0"/>
    <x v="5"/>
    <x v="1"/>
    <n v="3042"/>
    <x v="4"/>
  </r>
  <r>
    <x v="0"/>
    <x v="5"/>
    <x v="1"/>
    <n v="2379"/>
    <x v="5"/>
  </r>
  <r>
    <x v="0"/>
    <x v="5"/>
    <x v="1"/>
    <n v="2327"/>
    <x v="6"/>
  </r>
  <r>
    <x v="0"/>
    <x v="5"/>
    <x v="1"/>
    <n v="2293"/>
    <x v="7"/>
  </r>
  <r>
    <x v="0"/>
    <x v="5"/>
    <x v="1"/>
    <n v="2321"/>
    <x v="8"/>
  </r>
  <r>
    <x v="0"/>
    <x v="5"/>
    <x v="1"/>
    <n v="2296"/>
    <x v="9"/>
  </r>
  <r>
    <x v="0"/>
    <x v="5"/>
    <x v="1"/>
    <n v="2255"/>
    <x v="10"/>
  </r>
  <r>
    <x v="0"/>
    <x v="5"/>
    <x v="1"/>
    <n v="2263"/>
    <x v="11"/>
  </r>
  <r>
    <x v="0"/>
    <x v="5"/>
    <x v="1"/>
    <n v="32798"/>
    <x v="12"/>
  </r>
  <r>
    <x v="0"/>
    <x v="6"/>
    <x v="0"/>
    <n v="2121"/>
    <x v="0"/>
  </r>
  <r>
    <x v="0"/>
    <x v="6"/>
    <x v="0"/>
    <n v="2195"/>
    <x v="1"/>
  </r>
  <r>
    <x v="0"/>
    <x v="6"/>
    <x v="0"/>
    <n v="2442"/>
    <x v="2"/>
  </r>
  <r>
    <x v="0"/>
    <x v="6"/>
    <x v="0"/>
    <n v="2583"/>
    <x v="3"/>
  </r>
  <r>
    <x v="0"/>
    <x v="6"/>
    <x v="0"/>
    <n v="2341"/>
    <x v="4"/>
  </r>
  <r>
    <x v="0"/>
    <x v="6"/>
    <x v="0"/>
    <n v="2450"/>
    <x v="5"/>
  </r>
  <r>
    <x v="0"/>
    <x v="6"/>
    <x v="0"/>
    <n v="2574"/>
    <x v="6"/>
  </r>
  <r>
    <x v="0"/>
    <x v="6"/>
    <x v="0"/>
    <n v="2492"/>
    <x v="7"/>
  </r>
  <r>
    <x v="0"/>
    <x v="6"/>
    <x v="0"/>
    <n v="2503"/>
    <x v="8"/>
  </r>
  <r>
    <x v="0"/>
    <x v="6"/>
    <x v="0"/>
    <n v="2504"/>
    <x v="9"/>
  </r>
  <r>
    <x v="0"/>
    <x v="6"/>
    <x v="0"/>
    <n v="2589"/>
    <x v="10"/>
  </r>
  <r>
    <x v="0"/>
    <x v="6"/>
    <x v="0"/>
    <n v="2632"/>
    <x v="11"/>
  </r>
  <r>
    <x v="0"/>
    <x v="6"/>
    <x v="0"/>
    <n v="29426"/>
    <x v="12"/>
  </r>
  <r>
    <x v="0"/>
    <x v="6"/>
    <x v="1"/>
    <n v="48"/>
    <x v="0"/>
  </r>
  <r>
    <x v="0"/>
    <x v="6"/>
    <x v="1"/>
    <n v="32"/>
    <x v="1"/>
  </r>
  <r>
    <x v="0"/>
    <x v="6"/>
    <x v="1"/>
    <n v="28"/>
    <x v="2"/>
  </r>
  <r>
    <x v="0"/>
    <x v="6"/>
    <x v="1"/>
    <n v="24"/>
    <x v="3"/>
  </r>
  <r>
    <x v="0"/>
    <x v="6"/>
    <x v="1"/>
    <n v="29"/>
    <x v="4"/>
  </r>
  <r>
    <x v="0"/>
    <x v="6"/>
    <x v="1"/>
    <n v="14"/>
    <x v="5"/>
  </r>
  <r>
    <x v="0"/>
    <x v="6"/>
    <x v="1"/>
    <n v="40"/>
    <x v="6"/>
  </r>
  <r>
    <x v="0"/>
    <x v="6"/>
    <x v="1"/>
    <n v="40"/>
    <x v="7"/>
  </r>
  <r>
    <x v="0"/>
    <x v="6"/>
    <x v="1"/>
    <n v="40"/>
    <x v="8"/>
  </r>
  <r>
    <x v="0"/>
    <x v="6"/>
    <x v="1"/>
    <n v="40"/>
    <x v="9"/>
  </r>
  <r>
    <x v="0"/>
    <x v="6"/>
    <x v="1"/>
    <n v="40"/>
    <x v="10"/>
  </r>
  <r>
    <x v="0"/>
    <x v="6"/>
    <x v="1"/>
    <n v="40"/>
    <x v="11"/>
  </r>
  <r>
    <x v="0"/>
    <x v="6"/>
    <x v="1"/>
    <n v="415"/>
    <x v="12"/>
  </r>
  <r>
    <x v="0"/>
    <x v="7"/>
    <x v="0"/>
    <n v="25731.563279999998"/>
    <x v="0"/>
  </r>
  <r>
    <x v="0"/>
    <x v="7"/>
    <x v="0"/>
    <n v="24866.887419999999"/>
    <x v="1"/>
  </r>
  <r>
    <x v="0"/>
    <x v="7"/>
    <x v="0"/>
    <n v="27802.715169999999"/>
    <x v="2"/>
  </r>
  <r>
    <x v="0"/>
    <x v="7"/>
    <x v="0"/>
    <n v="26976.671490000001"/>
    <x v="3"/>
  </r>
  <r>
    <x v="0"/>
    <x v="7"/>
    <x v="0"/>
    <n v="27757.798650000001"/>
    <x v="4"/>
  </r>
  <r>
    <x v="0"/>
    <x v="7"/>
    <x v="0"/>
    <n v="27956.778719999998"/>
    <x v="5"/>
  </r>
  <r>
    <x v="0"/>
    <x v="7"/>
    <x v="0"/>
    <n v="34623.230000000003"/>
    <x v="6"/>
  </r>
  <r>
    <x v="0"/>
    <x v="7"/>
    <x v="0"/>
    <n v="29114.46"/>
    <x v="7"/>
  </r>
  <r>
    <x v="0"/>
    <x v="7"/>
    <x v="0"/>
    <n v="29111.564999999999"/>
    <x v="8"/>
  </r>
  <r>
    <x v="0"/>
    <x v="7"/>
    <x v="0"/>
    <n v="29109.552"/>
    <x v="9"/>
  </r>
  <r>
    <x v="0"/>
    <x v="7"/>
    <x v="0"/>
    <n v="29120.659"/>
    <x v="10"/>
  </r>
  <r>
    <x v="0"/>
    <x v="7"/>
    <x v="0"/>
    <n v="29076.255000000001"/>
    <x v="11"/>
  </r>
  <r>
    <x v="0"/>
    <x v="7"/>
    <x v="0"/>
    <n v="341248.13572999998"/>
    <x v="12"/>
  </r>
  <r>
    <x v="0"/>
    <x v="7"/>
    <x v="1"/>
    <n v="73.047897215999996"/>
    <x v="0"/>
  </r>
  <r>
    <x v="0"/>
    <x v="7"/>
    <x v="1"/>
    <n v="79.861999999999995"/>
    <x v="1"/>
  </r>
  <r>
    <x v="0"/>
    <x v="7"/>
    <x v="1"/>
    <n v="95.816000000000003"/>
    <x v="2"/>
  </r>
  <r>
    <x v="0"/>
    <x v="7"/>
    <x v="1"/>
    <n v="89.563000000000002"/>
    <x v="3"/>
  </r>
  <r>
    <x v="0"/>
    <x v="7"/>
    <x v="1"/>
    <n v="82.367999999999995"/>
    <x v="4"/>
  </r>
  <r>
    <x v="0"/>
    <x v="7"/>
    <x v="1"/>
    <n v="99.96"/>
    <x v="5"/>
  </r>
  <r>
    <x v="0"/>
    <x v="7"/>
    <x v="1"/>
    <n v="75"/>
    <x v="6"/>
  </r>
  <r>
    <x v="0"/>
    <x v="7"/>
    <x v="1"/>
    <n v="75"/>
    <x v="7"/>
  </r>
  <r>
    <x v="0"/>
    <x v="7"/>
    <x v="1"/>
    <n v="75"/>
    <x v="8"/>
  </r>
  <r>
    <x v="0"/>
    <x v="7"/>
    <x v="1"/>
    <n v="75"/>
    <x v="9"/>
  </r>
  <r>
    <x v="0"/>
    <x v="7"/>
    <x v="1"/>
    <n v="75"/>
    <x v="10"/>
  </r>
  <r>
    <x v="0"/>
    <x v="7"/>
    <x v="1"/>
    <n v="75"/>
    <x v="11"/>
  </r>
  <r>
    <x v="0"/>
    <x v="7"/>
    <x v="1"/>
    <n v="970.61689721599998"/>
    <x v="12"/>
  </r>
  <r>
    <x v="0"/>
    <x v="8"/>
    <x v="0"/>
    <n v="10151"/>
    <x v="0"/>
  </r>
  <r>
    <x v="0"/>
    <x v="8"/>
    <x v="0"/>
    <n v="10557"/>
    <x v="1"/>
  </r>
  <r>
    <x v="0"/>
    <x v="8"/>
    <x v="0"/>
    <n v="13690"/>
    <x v="2"/>
  </r>
  <r>
    <x v="0"/>
    <x v="8"/>
    <x v="0"/>
    <n v="12349"/>
    <x v="3"/>
  </r>
  <r>
    <x v="0"/>
    <x v="8"/>
    <x v="0"/>
    <n v="11570"/>
    <x v="4"/>
  </r>
  <r>
    <x v="0"/>
    <x v="8"/>
    <x v="0"/>
    <n v="11261"/>
    <x v="5"/>
  </r>
  <r>
    <x v="0"/>
    <x v="8"/>
    <x v="0"/>
    <n v="11541.033530000001"/>
    <x v="6"/>
  </r>
  <r>
    <x v="0"/>
    <x v="8"/>
    <x v="0"/>
    <n v="11592.978446666701"/>
    <x v="7"/>
  </r>
  <r>
    <x v="0"/>
    <x v="8"/>
    <x v="0"/>
    <n v="11611.677956666699"/>
    <x v="8"/>
  </r>
  <r>
    <x v="0"/>
    <x v="8"/>
    <x v="0"/>
    <n v="11633.622873333299"/>
    <x v="9"/>
  </r>
  <r>
    <x v="0"/>
    <x v="8"/>
    <x v="0"/>
    <n v="11611.779973333299"/>
    <x v="10"/>
  </r>
  <r>
    <x v="0"/>
    <x v="8"/>
    <x v="0"/>
    <n v="11998.779973333299"/>
    <x v="11"/>
  </r>
  <r>
    <x v="0"/>
    <x v="8"/>
    <x v="0"/>
    <n v="139567.87275333301"/>
    <x v="12"/>
  </r>
  <r>
    <x v="0"/>
    <x v="8"/>
    <x v="1"/>
    <n v="278"/>
    <x v="0"/>
  </r>
  <r>
    <x v="0"/>
    <x v="8"/>
    <x v="1"/>
    <n v="308"/>
    <x v="1"/>
  </r>
  <r>
    <x v="0"/>
    <x v="8"/>
    <x v="1"/>
    <n v="262"/>
    <x v="2"/>
  </r>
  <r>
    <x v="0"/>
    <x v="8"/>
    <x v="1"/>
    <n v="311"/>
    <x v="3"/>
  </r>
  <r>
    <x v="0"/>
    <x v="8"/>
    <x v="1"/>
    <n v="310"/>
    <x v="4"/>
  </r>
  <r>
    <x v="0"/>
    <x v="8"/>
    <x v="1"/>
    <n v="203"/>
    <x v="5"/>
  </r>
  <r>
    <x v="0"/>
    <x v="8"/>
    <x v="1"/>
    <n v="278.2"/>
    <x v="6"/>
  </r>
  <r>
    <x v="0"/>
    <x v="8"/>
    <x v="1"/>
    <n v="278.2"/>
    <x v="7"/>
  </r>
  <r>
    <x v="0"/>
    <x v="8"/>
    <x v="1"/>
    <n v="278.2"/>
    <x v="8"/>
  </r>
  <r>
    <x v="0"/>
    <x v="8"/>
    <x v="1"/>
    <n v="278.2"/>
    <x v="9"/>
  </r>
  <r>
    <x v="0"/>
    <x v="8"/>
    <x v="1"/>
    <n v="278.2"/>
    <x v="10"/>
  </r>
  <r>
    <x v="0"/>
    <x v="8"/>
    <x v="1"/>
    <n v="278.2"/>
    <x v="11"/>
  </r>
  <r>
    <x v="0"/>
    <x v="8"/>
    <x v="1"/>
    <n v="3341.2"/>
    <x v="12"/>
  </r>
  <r>
    <x v="0"/>
    <x v="9"/>
    <x v="0"/>
    <n v="8676"/>
    <x v="0"/>
  </r>
  <r>
    <x v="0"/>
    <x v="9"/>
    <x v="0"/>
    <n v="9071"/>
    <x v="1"/>
  </r>
  <r>
    <x v="0"/>
    <x v="9"/>
    <x v="0"/>
    <n v="11020"/>
    <x v="2"/>
  </r>
  <r>
    <x v="0"/>
    <x v="9"/>
    <x v="0"/>
    <n v="10268"/>
    <x v="3"/>
  </r>
  <r>
    <x v="0"/>
    <x v="9"/>
    <x v="0"/>
    <n v="9101"/>
    <x v="4"/>
  </r>
  <r>
    <x v="0"/>
    <x v="9"/>
    <x v="0"/>
    <n v="9255"/>
    <x v="5"/>
  </r>
  <r>
    <x v="0"/>
    <x v="9"/>
    <x v="0"/>
    <n v="9335"/>
    <x v="6"/>
  </r>
  <r>
    <x v="0"/>
    <x v="9"/>
    <x v="0"/>
    <n v="9312"/>
    <x v="7"/>
  </r>
  <r>
    <x v="0"/>
    <x v="9"/>
    <x v="0"/>
    <n v="9312"/>
    <x v="8"/>
  </r>
  <r>
    <x v="0"/>
    <x v="9"/>
    <x v="0"/>
    <n v="9312"/>
    <x v="9"/>
  </r>
  <r>
    <x v="0"/>
    <x v="9"/>
    <x v="0"/>
    <n v="9302"/>
    <x v="10"/>
  </r>
  <r>
    <x v="0"/>
    <x v="9"/>
    <x v="0"/>
    <n v="9546"/>
    <x v="11"/>
  </r>
  <r>
    <x v="0"/>
    <x v="9"/>
    <x v="0"/>
    <n v="113510"/>
    <x v="12"/>
  </r>
  <r>
    <x v="0"/>
    <x v="9"/>
    <x v="1"/>
    <n v="902"/>
    <x v="0"/>
  </r>
  <r>
    <x v="0"/>
    <x v="9"/>
    <x v="1"/>
    <n v="1165"/>
    <x v="1"/>
  </r>
  <r>
    <x v="0"/>
    <x v="9"/>
    <x v="1"/>
    <n v="989"/>
    <x v="2"/>
  </r>
  <r>
    <x v="0"/>
    <x v="9"/>
    <x v="1"/>
    <n v="1111"/>
    <x v="3"/>
  </r>
  <r>
    <x v="0"/>
    <x v="9"/>
    <x v="1"/>
    <n v="1062"/>
    <x v="4"/>
  </r>
  <r>
    <x v="0"/>
    <x v="9"/>
    <x v="1"/>
    <n v="1026"/>
    <x v="5"/>
  </r>
  <r>
    <x v="0"/>
    <x v="9"/>
    <x v="1"/>
    <n v="1043"/>
    <x v="6"/>
  </r>
  <r>
    <x v="0"/>
    <x v="9"/>
    <x v="1"/>
    <n v="1043"/>
    <x v="7"/>
  </r>
  <r>
    <x v="0"/>
    <x v="9"/>
    <x v="1"/>
    <n v="1043"/>
    <x v="8"/>
  </r>
  <r>
    <x v="0"/>
    <x v="9"/>
    <x v="1"/>
    <n v="1043"/>
    <x v="9"/>
  </r>
  <r>
    <x v="0"/>
    <x v="9"/>
    <x v="1"/>
    <n v="1043"/>
    <x v="10"/>
  </r>
  <r>
    <x v="0"/>
    <x v="9"/>
    <x v="1"/>
    <n v="1043"/>
    <x v="11"/>
  </r>
  <r>
    <x v="0"/>
    <x v="9"/>
    <x v="1"/>
    <n v="12513"/>
    <x v="12"/>
  </r>
  <r>
    <x v="0"/>
    <x v="10"/>
    <x v="0"/>
    <n v="55439.745329999998"/>
    <x v="0"/>
  </r>
  <r>
    <x v="0"/>
    <x v="10"/>
    <x v="0"/>
    <n v="59589.588000000003"/>
    <x v="1"/>
  </r>
  <r>
    <x v="0"/>
    <x v="10"/>
    <x v="0"/>
    <n v="71971.95521"/>
    <x v="2"/>
  </r>
  <r>
    <x v="0"/>
    <x v="10"/>
    <x v="0"/>
    <n v="72789.831619999997"/>
    <x v="3"/>
  </r>
  <r>
    <x v="0"/>
    <x v="10"/>
    <x v="0"/>
    <n v="60789.56078"/>
    <x v="4"/>
  </r>
  <r>
    <x v="0"/>
    <x v="10"/>
    <x v="0"/>
    <n v="60721.525900000001"/>
    <x v="5"/>
  </r>
  <r>
    <x v="0"/>
    <x v="10"/>
    <x v="0"/>
    <n v="60253.576999999997"/>
    <x v="6"/>
  </r>
  <r>
    <x v="0"/>
    <x v="10"/>
    <x v="0"/>
    <n v="60377.815999999999"/>
    <x v="7"/>
  </r>
  <r>
    <x v="0"/>
    <x v="10"/>
    <x v="0"/>
    <n v="60375.019"/>
    <x v="8"/>
  </r>
  <r>
    <x v="0"/>
    <x v="10"/>
    <x v="0"/>
    <n v="60720.671999999999"/>
    <x v="9"/>
  </r>
  <r>
    <x v="0"/>
    <x v="10"/>
    <x v="0"/>
    <n v="60523.51"/>
    <x v="10"/>
  </r>
  <r>
    <x v="0"/>
    <x v="10"/>
    <x v="0"/>
    <n v="60656.682000000001"/>
    <x v="11"/>
  </r>
  <r>
    <x v="0"/>
    <x v="10"/>
    <x v="0"/>
    <n v="744209.48283999995"/>
    <x v="12"/>
  </r>
  <r>
    <x v="0"/>
    <x v="10"/>
    <x v="1"/>
    <n v="3315.4850799999999"/>
    <x v="0"/>
  </r>
  <r>
    <x v="0"/>
    <x v="10"/>
    <x v="1"/>
    <n v="3533.2210599999999"/>
    <x v="1"/>
  </r>
  <r>
    <x v="0"/>
    <x v="10"/>
    <x v="1"/>
    <n v="3713.58365"/>
    <x v="2"/>
  </r>
  <r>
    <x v="0"/>
    <x v="10"/>
    <x v="1"/>
    <n v="3342.4333499999998"/>
    <x v="3"/>
  </r>
  <r>
    <x v="0"/>
    <x v="10"/>
    <x v="1"/>
    <n v="3204.3601800000001"/>
    <x v="4"/>
  </r>
  <r>
    <x v="0"/>
    <x v="10"/>
    <x v="1"/>
    <n v="2472.1860000000001"/>
    <x v="5"/>
  </r>
  <r>
    <x v="0"/>
    <x v="10"/>
    <x v="1"/>
    <n v="3263.5448866666702"/>
    <x v="6"/>
  </r>
  <r>
    <x v="0"/>
    <x v="10"/>
    <x v="1"/>
    <n v="3263.5448866666702"/>
    <x v="7"/>
  </r>
  <r>
    <x v="0"/>
    <x v="10"/>
    <x v="1"/>
    <n v="3263.5448866666702"/>
    <x v="8"/>
  </r>
  <r>
    <x v="0"/>
    <x v="10"/>
    <x v="1"/>
    <n v="3263.5448866666702"/>
    <x v="9"/>
  </r>
  <r>
    <x v="0"/>
    <x v="10"/>
    <x v="1"/>
    <n v="3263.5448866666702"/>
    <x v="10"/>
  </r>
  <r>
    <x v="0"/>
    <x v="10"/>
    <x v="1"/>
    <n v="3263.5448866666702"/>
    <x v="11"/>
  </r>
  <r>
    <x v="0"/>
    <x v="10"/>
    <x v="1"/>
    <n v="39162.538639999999"/>
    <x v="12"/>
  </r>
  <r>
    <x v="0"/>
    <x v="11"/>
    <x v="0"/>
    <n v="6328.4069799999997"/>
    <x v="0"/>
  </r>
  <r>
    <x v="0"/>
    <x v="11"/>
    <x v="0"/>
    <n v="6675.4129899999998"/>
    <x v="1"/>
  </r>
  <r>
    <x v="0"/>
    <x v="11"/>
    <x v="0"/>
    <n v="7977.7987199999998"/>
    <x v="2"/>
  </r>
  <r>
    <x v="0"/>
    <x v="11"/>
    <x v="0"/>
    <n v="7716.3506100000004"/>
    <x v="3"/>
  </r>
  <r>
    <x v="0"/>
    <x v="11"/>
    <x v="0"/>
    <n v="6801.6626999999999"/>
    <x v="4"/>
  </r>
  <r>
    <x v="0"/>
    <x v="11"/>
    <x v="0"/>
    <n v="7092.6018599999998"/>
    <x v="5"/>
  </r>
  <r>
    <x v="0"/>
    <x v="11"/>
    <x v="0"/>
    <n v="6943.1594299999997"/>
    <x v="6"/>
  </r>
  <r>
    <x v="0"/>
    <x v="11"/>
    <x v="0"/>
    <n v="6973.1854300000005"/>
    <x v="7"/>
  </r>
  <r>
    <x v="0"/>
    <x v="11"/>
    <x v="0"/>
    <n v="6998.1844300000002"/>
    <x v="8"/>
  </r>
  <r>
    <x v="0"/>
    <x v="11"/>
    <x v="0"/>
    <n v="7028.1844300000002"/>
    <x v="9"/>
  </r>
  <r>
    <x v="0"/>
    <x v="11"/>
    <x v="0"/>
    <n v="7033.1844300000002"/>
    <x v="10"/>
  </r>
  <r>
    <x v="0"/>
    <x v="11"/>
    <x v="0"/>
    <n v="7033.1844300000002"/>
    <x v="11"/>
  </r>
  <r>
    <x v="0"/>
    <x v="11"/>
    <x v="0"/>
    <n v="84601.316439999995"/>
    <x v="12"/>
  </r>
  <r>
    <x v="0"/>
    <x v="11"/>
    <x v="1"/>
    <n v="88.052310000000006"/>
    <x v="0"/>
  </r>
  <r>
    <x v="0"/>
    <x v="11"/>
    <x v="1"/>
    <n v="76.650000000000006"/>
    <x v="1"/>
  </r>
  <r>
    <x v="0"/>
    <x v="11"/>
    <x v="1"/>
    <n v="86.015000000000001"/>
    <x v="2"/>
  </r>
  <r>
    <x v="0"/>
    <x v="11"/>
    <x v="1"/>
    <n v="74.769599999999997"/>
    <x v="3"/>
  </r>
  <r>
    <x v="0"/>
    <x v="11"/>
    <x v="1"/>
    <n v="109.1327"/>
    <x v="4"/>
  </r>
  <r>
    <x v="0"/>
    <x v="11"/>
    <x v="1"/>
    <n v="117.3"/>
    <x v="5"/>
  </r>
  <r>
    <x v="0"/>
    <x v="11"/>
    <x v="1"/>
    <n v="96.330399999999997"/>
    <x v="6"/>
  </r>
  <r>
    <x v="0"/>
    <x v="11"/>
    <x v="1"/>
    <n v="93.281400000000005"/>
    <x v="7"/>
  </r>
  <r>
    <x v="0"/>
    <x v="11"/>
    <x v="1"/>
    <n v="87.330399999999997"/>
    <x v="8"/>
  </r>
  <r>
    <x v="0"/>
    <x v="11"/>
    <x v="1"/>
    <n v="50.802999999999997"/>
    <x v="9"/>
  </r>
  <r>
    <x v="0"/>
    <x v="11"/>
    <x v="1"/>
    <n v="30.754000000000001"/>
    <x v="10"/>
  </r>
  <r>
    <x v="0"/>
    <x v="11"/>
    <x v="1"/>
    <n v="29.803000000000001"/>
    <x v="11"/>
  </r>
  <r>
    <x v="0"/>
    <x v="11"/>
    <x v="1"/>
    <n v="940.22181"/>
    <x v="12"/>
  </r>
  <r>
    <x v="0"/>
    <x v="12"/>
    <x v="0"/>
    <n v="15786"/>
    <x v="0"/>
  </r>
  <r>
    <x v="0"/>
    <x v="12"/>
    <x v="0"/>
    <n v="16898"/>
    <x v="1"/>
  </r>
  <r>
    <x v="0"/>
    <x v="12"/>
    <x v="0"/>
    <n v="20907"/>
    <x v="2"/>
  </r>
  <r>
    <x v="0"/>
    <x v="12"/>
    <x v="0"/>
    <n v="18945"/>
    <x v="3"/>
  </r>
  <r>
    <x v="0"/>
    <x v="12"/>
    <x v="0"/>
    <n v="16789"/>
    <x v="4"/>
  </r>
  <r>
    <x v="0"/>
    <x v="12"/>
    <x v="0"/>
    <n v="16807"/>
    <x v="5"/>
  </r>
  <r>
    <x v="0"/>
    <x v="12"/>
    <x v="0"/>
    <n v="17716"/>
    <x v="6"/>
  </r>
  <r>
    <x v="0"/>
    <x v="12"/>
    <x v="0"/>
    <n v="17716"/>
    <x v="7"/>
  </r>
  <r>
    <x v="0"/>
    <x v="12"/>
    <x v="0"/>
    <n v="17716"/>
    <x v="8"/>
  </r>
  <r>
    <x v="0"/>
    <x v="12"/>
    <x v="0"/>
    <n v="17717"/>
    <x v="9"/>
  </r>
  <r>
    <x v="0"/>
    <x v="12"/>
    <x v="0"/>
    <n v="17717"/>
    <x v="10"/>
  </r>
  <r>
    <x v="0"/>
    <x v="12"/>
    <x v="0"/>
    <n v="17717"/>
    <x v="11"/>
  </r>
  <r>
    <x v="0"/>
    <x v="12"/>
    <x v="0"/>
    <n v="212431"/>
    <x v="12"/>
  </r>
  <r>
    <x v="0"/>
    <x v="12"/>
    <x v="1"/>
    <n v="100"/>
    <x v="0"/>
  </r>
  <r>
    <x v="0"/>
    <x v="12"/>
    <x v="1"/>
    <n v="107"/>
    <x v="1"/>
  </r>
  <r>
    <x v="0"/>
    <x v="12"/>
    <x v="1"/>
    <n v="62"/>
    <x v="2"/>
  </r>
  <r>
    <x v="0"/>
    <x v="12"/>
    <x v="1"/>
    <n v="59"/>
    <x v="3"/>
  </r>
  <r>
    <x v="0"/>
    <x v="12"/>
    <x v="1"/>
    <n v="51"/>
    <x v="4"/>
  </r>
  <r>
    <x v="0"/>
    <x v="12"/>
    <x v="1"/>
    <n v="70"/>
    <x v="5"/>
  </r>
  <r>
    <x v="0"/>
    <x v="12"/>
    <x v="1"/>
    <n v="58"/>
    <x v="6"/>
  </r>
  <r>
    <x v="0"/>
    <x v="12"/>
    <x v="1"/>
    <n v="58"/>
    <x v="7"/>
  </r>
  <r>
    <x v="0"/>
    <x v="12"/>
    <x v="1"/>
    <n v="58"/>
    <x v="8"/>
  </r>
  <r>
    <x v="0"/>
    <x v="12"/>
    <x v="1"/>
    <n v="58"/>
    <x v="9"/>
  </r>
  <r>
    <x v="0"/>
    <x v="12"/>
    <x v="1"/>
    <n v="58"/>
    <x v="10"/>
  </r>
  <r>
    <x v="0"/>
    <x v="12"/>
    <x v="1"/>
    <n v="58"/>
    <x v="11"/>
  </r>
  <r>
    <x v="0"/>
    <x v="12"/>
    <x v="1"/>
    <n v="797"/>
    <x v="12"/>
  </r>
  <r>
    <x v="0"/>
    <x v="13"/>
    <x v="0"/>
    <n v="598"/>
    <x v="0"/>
  </r>
  <r>
    <x v="0"/>
    <x v="13"/>
    <x v="0"/>
    <n v="934"/>
    <x v="1"/>
  </r>
  <r>
    <x v="0"/>
    <x v="13"/>
    <x v="0"/>
    <n v="402.65499999999997"/>
    <x v="2"/>
  </r>
  <r>
    <x v="0"/>
    <x v="13"/>
    <x v="0"/>
    <n v="722.71699999999998"/>
    <x v="3"/>
  </r>
  <r>
    <x v="0"/>
    <x v="13"/>
    <x v="0"/>
    <n v="615"/>
    <x v="4"/>
  </r>
  <r>
    <x v="0"/>
    <x v="13"/>
    <x v="0"/>
    <n v="611.63499999999999"/>
    <x v="5"/>
  </r>
  <r>
    <x v="0"/>
    <x v="13"/>
    <x v="0"/>
    <n v="653.84900000000005"/>
    <x v="6"/>
  </r>
  <r>
    <x v="0"/>
    <x v="13"/>
    <x v="0"/>
    <n v="653.84900000000005"/>
    <x v="7"/>
  </r>
  <r>
    <x v="0"/>
    <x v="13"/>
    <x v="0"/>
    <n v="653.84900000000005"/>
    <x v="8"/>
  </r>
  <r>
    <x v="0"/>
    <x v="13"/>
    <x v="0"/>
    <n v="653.84900000000005"/>
    <x v="9"/>
  </r>
  <r>
    <x v="0"/>
    <x v="13"/>
    <x v="0"/>
    <n v="653.84900000000005"/>
    <x v="10"/>
  </r>
  <r>
    <x v="0"/>
    <x v="13"/>
    <x v="0"/>
    <n v="653.84900000000005"/>
    <x v="11"/>
  </r>
  <r>
    <x v="0"/>
    <x v="13"/>
    <x v="0"/>
    <n v="7807.1009999999997"/>
    <x v="12"/>
  </r>
  <r>
    <x v="0"/>
    <x v="13"/>
    <x v="1"/>
    <n v="0"/>
    <x v="0"/>
  </r>
  <r>
    <x v="0"/>
    <x v="13"/>
    <x v="1"/>
    <n v="0"/>
    <x v="1"/>
  </r>
  <r>
    <x v="0"/>
    <x v="13"/>
    <x v="1"/>
    <n v="0"/>
    <x v="2"/>
  </r>
  <r>
    <x v="0"/>
    <x v="13"/>
    <x v="1"/>
    <n v="0"/>
    <x v="3"/>
  </r>
  <r>
    <x v="0"/>
    <x v="13"/>
    <x v="1"/>
    <n v="0"/>
    <x v="4"/>
  </r>
  <r>
    <x v="0"/>
    <x v="13"/>
    <x v="1"/>
    <n v="0"/>
    <x v="5"/>
  </r>
  <r>
    <x v="0"/>
    <x v="13"/>
    <x v="1"/>
    <n v="0"/>
    <x v="6"/>
  </r>
  <r>
    <x v="0"/>
    <x v="13"/>
    <x v="1"/>
    <n v="0"/>
    <x v="7"/>
  </r>
  <r>
    <x v="0"/>
    <x v="13"/>
    <x v="1"/>
    <n v="0"/>
    <x v="8"/>
  </r>
  <r>
    <x v="0"/>
    <x v="13"/>
    <x v="1"/>
    <n v="0"/>
    <x v="9"/>
  </r>
  <r>
    <x v="0"/>
    <x v="13"/>
    <x v="1"/>
    <n v="0"/>
    <x v="10"/>
  </r>
  <r>
    <x v="0"/>
    <x v="13"/>
    <x v="1"/>
    <n v="0"/>
    <x v="11"/>
  </r>
  <r>
    <x v="0"/>
    <x v="13"/>
    <x v="1"/>
    <n v="0"/>
    <x v="1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45">
  <r>
    <x v="0"/>
    <x v="0"/>
    <n v="4"/>
    <x v="0"/>
    <d v="2020-03-01T00:00:00"/>
    <n v="110109"/>
    <x v="0"/>
  </r>
  <r>
    <x v="0"/>
    <x v="0"/>
    <n v="4"/>
    <x v="0"/>
    <d v="2020-03-01T00:00:00"/>
    <n v="112140"/>
    <x v="1"/>
  </r>
  <r>
    <x v="0"/>
    <x v="0"/>
    <n v="4"/>
    <x v="0"/>
    <d v="2020-03-01T00:00:00"/>
    <n v="111548"/>
    <x v="2"/>
  </r>
  <r>
    <x v="0"/>
    <x v="0"/>
    <n v="4"/>
    <x v="0"/>
    <d v="2020-03-01T00:00:00"/>
    <n v="104321"/>
    <x v="3"/>
  </r>
  <r>
    <x v="0"/>
    <x v="0"/>
    <n v="4"/>
    <x v="0"/>
    <d v="2020-03-01T00:00:00"/>
    <n v="112725"/>
    <x v="4"/>
  </r>
  <r>
    <x v="0"/>
    <x v="0"/>
    <n v="4"/>
    <x v="0"/>
    <d v="2020-03-01T00:00:00"/>
    <n v="110760"/>
    <x v="5"/>
  </r>
  <r>
    <x v="0"/>
    <x v="0"/>
    <n v="4"/>
    <x v="0"/>
    <d v="2020-03-01T00:00:00"/>
    <n v="127484"/>
    <x v="6"/>
  </r>
  <r>
    <x v="0"/>
    <x v="0"/>
    <n v="4"/>
    <x v="0"/>
    <d v="2020-03-01T00:00:00"/>
    <n v="117768"/>
    <x v="7"/>
  </r>
  <r>
    <x v="0"/>
    <x v="0"/>
    <n v="4"/>
    <x v="0"/>
    <d v="2020-03-01T00:00:00"/>
    <n v="117262"/>
    <x v="8"/>
  </r>
  <r>
    <x v="0"/>
    <x v="0"/>
    <n v="4"/>
    <x v="0"/>
    <d v="2020-03-01T00:00:00"/>
    <n v="118520"/>
    <x v="9"/>
  </r>
  <r>
    <x v="0"/>
    <x v="0"/>
    <n v="4"/>
    <x v="0"/>
    <d v="2020-03-01T00:00:00"/>
    <n v="117110.887"/>
    <x v="10"/>
  </r>
  <r>
    <x v="0"/>
    <x v="0"/>
    <n v="4"/>
    <x v="0"/>
    <d v="2020-03-01T00:00:00"/>
    <n v="161011.84099999999"/>
    <x v="11"/>
  </r>
  <r>
    <x v="0"/>
    <x v="0"/>
    <n v="4"/>
    <x v="0"/>
    <d v="2020-03-01T00:00:00"/>
    <n v="1420759.7279999999"/>
    <x v="12"/>
  </r>
  <r>
    <x v="0"/>
    <x v="0"/>
    <n v="5"/>
    <x v="1"/>
    <d v="2020-03-01T00:00:00"/>
    <n v="13384"/>
    <x v="0"/>
  </r>
  <r>
    <x v="0"/>
    <x v="0"/>
    <n v="5"/>
    <x v="1"/>
    <d v="2020-03-01T00:00:00"/>
    <n v="14454"/>
    <x v="1"/>
  </r>
  <r>
    <x v="0"/>
    <x v="0"/>
    <n v="5"/>
    <x v="1"/>
    <d v="2020-03-01T00:00:00"/>
    <n v="14624"/>
    <x v="2"/>
  </r>
  <r>
    <x v="0"/>
    <x v="0"/>
    <n v="5"/>
    <x v="1"/>
    <d v="2020-03-01T00:00:00"/>
    <n v="14293"/>
    <x v="3"/>
  </r>
  <r>
    <x v="0"/>
    <x v="0"/>
    <n v="5"/>
    <x v="1"/>
    <d v="2020-03-01T00:00:00"/>
    <n v="14353"/>
    <x v="4"/>
  </r>
  <r>
    <x v="0"/>
    <x v="0"/>
    <n v="5"/>
    <x v="1"/>
    <d v="2020-03-01T00:00:00"/>
    <n v="13776"/>
    <x v="5"/>
  </r>
  <r>
    <x v="0"/>
    <x v="0"/>
    <n v="5"/>
    <x v="1"/>
    <d v="2020-03-01T00:00:00"/>
    <n v="14471"/>
    <x v="6"/>
  </r>
  <r>
    <x v="0"/>
    <x v="0"/>
    <n v="5"/>
    <x v="1"/>
    <d v="2020-03-01T00:00:00"/>
    <n v="15247"/>
    <x v="7"/>
  </r>
  <r>
    <x v="0"/>
    <x v="0"/>
    <n v="5"/>
    <x v="1"/>
    <d v="2020-03-01T00:00:00"/>
    <n v="14060"/>
    <x v="8"/>
  </r>
  <r>
    <x v="0"/>
    <x v="0"/>
    <n v="5"/>
    <x v="1"/>
    <d v="2020-03-01T00:00:00"/>
    <n v="14510"/>
    <x v="9"/>
  </r>
  <r>
    <x v="0"/>
    <x v="0"/>
    <n v="5"/>
    <x v="1"/>
    <d v="2020-03-01T00:00:00"/>
    <n v="14563"/>
    <x v="10"/>
  </r>
  <r>
    <x v="0"/>
    <x v="0"/>
    <n v="5"/>
    <x v="1"/>
    <d v="2020-03-01T00:00:00"/>
    <n v="17155"/>
    <x v="11"/>
  </r>
  <r>
    <x v="0"/>
    <x v="0"/>
    <n v="5"/>
    <x v="1"/>
    <d v="2020-03-01T00:00:00"/>
    <n v="174890"/>
    <x v="12"/>
  </r>
  <r>
    <x v="0"/>
    <x v="0"/>
    <n v="6"/>
    <x v="2"/>
    <d v="2020-03-01T00:00:00"/>
    <n v="8164"/>
    <x v="0"/>
  </r>
  <r>
    <x v="0"/>
    <x v="0"/>
    <n v="6"/>
    <x v="2"/>
    <d v="2020-03-01T00:00:00"/>
    <n v="8119"/>
    <x v="1"/>
  </r>
  <r>
    <x v="0"/>
    <x v="0"/>
    <n v="6"/>
    <x v="2"/>
    <d v="2020-03-01T00:00:00"/>
    <n v="7959"/>
    <x v="2"/>
  </r>
  <r>
    <x v="0"/>
    <x v="0"/>
    <n v="6"/>
    <x v="2"/>
    <d v="2020-03-01T00:00:00"/>
    <n v="8312"/>
    <x v="3"/>
  </r>
  <r>
    <x v="0"/>
    <x v="0"/>
    <n v="6"/>
    <x v="2"/>
    <d v="2020-03-01T00:00:00"/>
    <n v="8524"/>
    <x v="4"/>
  </r>
  <r>
    <x v="0"/>
    <x v="0"/>
    <n v="6"/>
    <x v="2"/>
    <d v="2020-03-01T00:00:00"/>
    <n v="8455"/>
    <x v="5"/>
  </r>
  <r>
    <x v="0"/>
    <x v="0"/>
    <n v="6"/>
    <x v="2"/>
    <d v="2020-03-01T00:00:00"/>
    <n v="8395"/>
    <x v="6"/>
  </r>
  <r>
    <x v="0"/>
    <x v="0"/>
    <n v="6"/>
    <x v="2"/>
    <d v="2020-03-01T00:00:00"/>
    <n v="8478"/>
    <x v="7"/>
  </r>
  <r>
    <x v="0"/>
    <x v="0"/>
    <n v="6"/>
    <x v="2"/>
    <d v="2020-03-01T00:00:00"/>
    <n v="8667"/>
    <x v="8"/>
  </r>
  <r>
    <x v="0"/>
    <x v="0"/>
    <n v="6"/>
    <x v="2"/>
    <d v="2020-03-01T00:00:00"/>
    <n v="8464"/>
    <x v="9"/>
  </r>
  <r>
    <x v="0"/>
    <x v="0"/>
    <n v="6"/>
    <x v="2"/>
    <d v="2020-03-01T00:00:00"/>
    <n v="8289"/>
    <x v="10"/>
  </r>
  <r>
    <x v="0"/>
    <x v="0"/>
    <n v="6"/>
    <x v="2"/>
    <d v="2020-03-01T00:00:00"/>
    <n v="8823"/>
    <x v="11"/>
  </r>
  <r>
    <x v="0"/>
    <x v="0"/>
    <n v="6"/>
    <x v="2"/>
    <d v="2020-03-01T00:00:00"/>
    <n v="100649"/>
    <x v="12"/>
  </r>
  <r>
    <x v="0"/>
    <x v="0"/>
    <n v="7"/>
    <x v="3"/>
    <d v="2020-03-01T00:00:00"/>
    <n v="45510"/>
    <x v="0"/>
  </r>
  <r>
    <x v="0"/>
    <x v="0"/>
    <n v="7"/>
    <x v="3"/>
    <d v="2020-03-01T00:00:00"/>
    <n v="44910"/>
    <x v="1"/>
  </r>
  <r>
    <x v="0"/>
    <x v="0"/>
    <n v="7"/>
    <x v="3"/>
    <d v="2020-03-01T00:00:00"/>
    <n v="44148"/>
    <x v="2"/>
  </r>
  <r>
    <x v="0"/>
    <x v="0"/>
    <n v="7"/>
    <x v="3"/>
    <d v="2020-03-01T00:00:00"/>
    <n v="44414"/>
    <x v="3"/>
  </r>
  <r>
    <x v="0"/>
    <x v="0"/>
    <n v="7"/>
    <x v="3"/>
    <d v="2020-03-01T00:00:00"/>
    <n v="45250"/>
    <x v="4"/>
  </r>
  <r>
    <x v="0"/>
    <x v="0"/>
    <n v="7"/>
    <x v="3"/>
    <d v="2020-03-01T00:00:00"/>
    <n v="44338"/>
    <x v="5"/>
  </r>
  <r>
    <x v="0"/>
    <x v="0"/>
    <n v="7"/>
    <x v="3"/>
    <d v="2020-03-01T00:00:00"/>
    <n v="46689"/>
    <x v="6"/>
  </r>
  <r>
    <x v="0"/>
    <x v="0"/>
    <n v="7"/>
    <x v="3"/>
    <d v="2020-03-01T00:00:00"/>
    <n v="45093"/>
    <x v="7"/>
  </r>
  <r>
    <x v="0"/>
    <x v="0"/>
    <n v="7"/>
    <x v="3"/>
    <d v="2020-03-01T00:00:00"/>
    <n v="45044"/>
    <x v="8"/>
  </r>
  <r>
    <x v="0"/>
    <x v="0"/>
    <n v="7"/>
    <x v="3"/>
    <d v="2020-03-01T00:00:00"/>
    <n v="46072"/>
    <x v="9"/>
  </r>
  <r>
    <x v="0"/>
    <x v="0"/>
    <n v="7"/>
    <x v="3"/>
    <d v="2020-03-01T00:00:00"/>
    <n v="46836"/>
    <x v="10"/>
  </r>
  <r>
    <x v="0"/>
    <x v="0"/>
    <n v="7"/>
    <x v="3"/>
    <d v="2020-03-01T00:00:00"/>
    <n v="68681"/>
    <x v="11"/>
  </r>
  <r>
    <x v="0"/>
    <x v="0"/>
    <n v="7"/>
    <x v="3"/>
    <d v="2020-03-01T00:00:00"/>
    <n v="566985"/>
    <x v="12"/>
  </r>
  <r>
    <x v="0"/>
    <x v="0"/>
    <n v="8"/>
    <x v="4"/>
    <d v="2020-03-01T00:00:00"/>
    <n v="7897"/>
    <x v="0"/>
  </r>
  <r>
    <x v="0"/>
    <x v="0"/>
    <n v="8"/>
    <x v="4"/>
    <d v="2020-03-01T00:00:00"/>
    <n v="8703"/>
    <x v="1"/>
  </r>
  <r>
    <x v="0"/>
    <x v="0"/>
    <n v="8"/>
    <x v="4"/>
    <d v="2020-03-01T00:00:00"/>
    <n v="8231"/>
    <x v="2"/>
  </r>
  <r>
    <x v="0"/>
    <x v="0"/>
    <n v="8"/>
    <x v="4"/>
    <d v="2020-03-01T00:00:00"/>
    <n v="8918"/>
    <x v="3"/>
  </r>
  <r>
    <x v="0"/>
    <x v="0"/>
    <n v="8"/>
    <x v="4"/>
    <d v="2020-03-01T00:00:00"/>
    <n v="7805"/>
    <x v="4"/>
  </r>
  <r>
    <x v="0"/>
    <x v="0"/>
    <n v="8"/>
    <x v="4"/>
    <d v="2020-03-01T00:00:00"/>
    <n v="8397"/>
    <x v="5"/>
  </r>
  <r>
    <x v="0"/>
    <x v="0"/>
    <n v="8"/>
    <x v="4"/>
    <d v="2020-03-01T00:00:00"/>
    <n v="9113"/>
    <x v="6"/>
  </r>
  <r>
    <x v="0"/>
    <x v="0"/>
    <n v="8"/>
    <x v="4"/>
    <d v="2020-03-01T00:00:00"/>
    <n v="9320"/>
    <x v="7"/>
  </r>
  <r>
    <x v="0"/>
    <x v="0"/>
    <n v="8"/>
    <x v="4"/>
    <d v="2020-03-01T00:00:00"/>
    <n v="10830"/>
    <x v="8"/>
  </r>
  <r>
    <x v="0"/>
    <x v="0"/>
    <n v="8"/>
    <x v="4"/>
    <d v="2020-03-01T00:00:00"/>
    <n v="9527"/>
    <x v="9"/>
  </r>
  <r>
    <x v="0"/>
    <x v="0"/>
    <n v="8"/>
    <x v="4"/>
    <d v="2020-03-01T00:00:00"/>
    <n v="9058"/>
    <x v="10"/>
  </r>
  <r>
    <x v="0"/>
    <x v="0"/>
    <n v="8"/>
    <x v="4"/>
    <d v="2020-03-01T00:00:00"/>
    <n v="11548"/>
    <x v="11"/>
  </r>
  <r>
    <x v="0"/>
    <x v="0"/>
    <n v="8"/>
    <x v="4"/>
    <d v="2020-03-01T00:00:00"/>
    <n v="109347"/>
    <x v="12"/>
  </r>
  <r>
    <x v="0"/>
    <x v="0"/>
    <n v="9"/>
    <x v="5"/>
    <d v="2020-03-01T00:00:00"/>
    <n v="3939"/>
    <x v="0"/>
  </r>
  <r>
    <x v="0"/>
    <x v="0"/>
    <n v="9"/>
    <x v="5"/>
    <d v="2020-03-01T00:00:00"/>
    <n v="4075"/>
    <x v="1"/>
  </r>
  <r>
    <x v="0"/>
    <x v="0"/>
    <n v="9"/>
    <x v="5"/>
    <d v="2020-03-01T00:00:00"/>
    <n v="3952"/>
    <x v="2"/>
  </r>
  <r>
    <x v="0"/>
    <x v="0"/>
    <n v="9"/>
    <x v="5"/>
    <d v="2020-03-01T00:00:00"/>
    <n v="4045"/>
    <x v="3"/>
  </r>
  <r>
    <x v="0"/>
    <x v="0"/>
    <n v="9"/>
    <x v="5"/>
    <d v="2020-03-01T00:00:00"/>
    <n v="3931"/>
    <x v="4"/>
  </r>
  <r>
    <x v="0"/>
    <x v="0"/>
    <n v="9"/>
    <x v="5"/>
    <d v="2020-03-01T00:00:00"/>
    <n v="3901"/>
    <x v="5"/>
  </r>
  <r>
    <x v="0"/>
    <x v="0"/>
    <n v="9"/>
    <x v="5"/>
    <d v="2020-03-01T00:00:00"/>
    <n v="4727"/>
    <x v="6"/>
  </r>
  <r>
    <x v="0"/>
    <x v="0"/>
    <n v="9"/>
    <x v="5"/>
    <d v="2020-03-01T00:00:00"/>
    <n v="4325"/>
    <x v="7"/>
  </r>
  <r>
    <x v="0"/>
    <x v="0"/>
    <n v="9"/>
    <x v="5"/>
    <d v="2020-03-01T00:00:00"/>
    <n v="4450"/>
    <x v="8"/>
  </r>
  <r>
    <x v="0"/>
    <x v="0"/>
    <n v="9"/>
    <x v="5"/>
    <d v="2020-03-01T00:00:00"/>
    <n v="4620"/>
    <x v="9"/>
  </r>
  <r>
    <x v="0"/>
    <x v="0"/>
    <n v="9"/>
    <x v="5"/>
    <d v="2020-03-01T00:00:00"/>
    <n v="3954"/>
    <x v="10"/>
  </r>
  <r>
    <x v="0"/>
    <x v="0"/>
    <n v="9"/>
    <x v="5"/>
    <d v="2020-03-01T00:00:00"/>
    <n v="4189"/>
    <x v="11"/>
  </r>
  <r>
    <x v="0"/>
    <x v="0"/>
    <n v="9"/>
    <x v="5"/>
    <d v="2020-03-01T00:00:00"/>
    <n v="50108"/>
    <x v="12"/>
  </r>
  <r>
    <x v="0"/>
    <x v="0"/>
    <n v="10"/>
    <x v="6"/>
    <d v="2020-03-01T00:00:00"/>
    <n v="19703"/>
    <x v="0"/>
  </r>
  <r>
    <x v="0"/>
    <x v="0"/>
    <n v="10"/>
    <x v="6"/>
    <d v="2020-03-01T00:00:00"/>
    <n v="19804"/>
    <x v="1"/>
  </r>
  <r>
    <x v="0"/>
    <x v="0"/>
    <n v="10"/>
    <x v="6"/>
    <d v="2020-03-01T00:00:00"/>
    <n v="19845"/>
    <x v="2"/>
  </r>
  <r>
    <x v="0"/>
    <x v="0"/>
    <n v="10"/>
    <x v="6"/>
    <d v="2020-03-01T00:00:00"/>
    <n v="20416"/>
    <x v="3"/>
  </r>
  <r>
    <x v="0"/>
    <x v="0"/>
    <n v="10"/>
    <x v="6"/>
    <d v="2020-03-01T00:00:00"/>
    <n v="20286"/>
    <x v="4"/>
  </r>
  <r>
    <x v="0"/>
    <x v="0"/>
    <n v="10"/>
    <x v="6"/>
    <d v="2020-03-01T00:00:00"/>
    <n v="19885"/>
    <x v="5"/>
  </r>
  <r>
    <x v="0"/>
    <x v="0"/>
    <n v="10"/>
    <x v="6"/>
    <d v="2020-03-01T00:00:00"/>
    <n v="23599"/>
    <x v="6"/>
  </r>
  <r>
    <x v="0"/>
    <x v="0"/>
    <n v="10"/>
    <x v="6"/>
    <d v="2020-03-01T00:00:00"/>
    <n v="21444"/>
    <x v="7"/>
  </r>
  <r>
    <x v="0"/>
    <x v="0"/>
    <n v="10"/>
    <x v="6"/>
    <d v="2020-03-01T00:00:00"/>
    <n v="20726"/>
    <x v="8"/>
  </r>
  <r>
    <x v="0"/>
    <x v="0"/>
    <n v="10"/>
    <x v="6"/>
    <d v="2020-03-01T00:00:00"/>
    <n v="21316"/>
    <x v="9"/>
  </r>
  <r>
    <x v="0"/>
    <x v="0"/>
    <n v="10"/>
    <x v="6"/>
    <d v="2020-03-01T00:00:00"/>
    <n v="20076"/>
    <x v="10"/>
  </r>
  <r>
    <x v="0"/>
    <x v="0"/>
    <n v="10"/>
    <x v="6"/>
    <d v="2020-03-01T00:00:00"/>
    <n v="21820"/>
    <x v="11"/>
  </r>
  <r>
    <x v="0"/>
    <x v="0"/>
    <n v="10"/>
    <x v="6"/>
    <d v="2020-03-01T00:00:00"/>
    <n v="248920"/>
    <x v="12"/>
  </r>
  <r>
    <x v="0"/>
    <x v="0"/>
    <n v="11"/>
    <x v="7"/>
    <d v="2020-03-01T00:00:00"/>
    <n v="0"/>
    <x v="0"/>
  </r>
  <r>
    <x v="0"/>
    <x v="0"/>
    <n v="11"/>
    <x v="7"/>
    <d v="2020-03-01T00:00:00"/>
    <n v="0"/>
    <x v="1"/>
  </r>
  <r>
    <x v="0"/>
    <x v="0"/>
    <n v="11"/>
    <x v="7"/>
    <d v="2020-03-01T00:00:00"/>
    <n v="0"/>
    <x v="2"/>
  </r>
  <r>
    <x v="0"/>
    <x v="0"/>
    <n v="11"/>
    <x v="7"/>
    <d v="2020-03-01T00:00:00"/>
    <n v="0"/>
    <x v="3"/>
  </r>
  <r>
    <x v="0"/>
    <x v="0"/>
    <n v="11"/>
    <x v="7"/>
    <d v="2020-03-01T00:00:00"/>
    <n v="0"/>
    <x v="4"/>
  </r>
  <r>
    <x v="0"/>
    <x v="0"/>
    <n v="11"/>
    <x v="7"/>
    <d v="2020-03-01T00:00:00"/>
    <n v="0"/>
    <x v="5"/>
  </r>
  <r>
    <x v="0"/>
    <x v="0"/>
    <n v="11"/>
    <x v="7"/>
    <d v="2020-03-01T00:00:00"/>
    <n v="0"/>
    <x v="6"/>
  </r>
  <r>
    <x v="0"/>
    <x v="0"/>
    <n v="11"/>
    <x v="7"/>
    <d v="2020-03-01T00:00:00"/>
    <n v="0"/>
    <x v="7"/>
  </r>
  <r>
    <x v="0"/>
    <x v="0"/>
    <n v="11"/>
    <x v="7"/>
    <d v="2020-03-01T00:00:00"/>
    <n v="0"/>
    <x v="8"/>
  </r>
  <r>
    <x v="0"/>
    <x v="0"/>
    <n v="11"/>
    <x v="7"/>
    <d v="2020-03-01T00:00:00"/>
    <n v="0"/>
    <x v="9"/>
  </r>
  <r>
    <x v="0"/>
    <x v="0"/>
    <n v="11"/>
    <x v="7"/>
    <d v="2020-03-01T00:00:00"/>
    <n v="0"/>
    <x v="10"/>
  </r>
  <r>
    <x v="0"/>
    <x v="0"/>
    <n v="11"/>
    <x v="7"/>
    <d v="2020-03-01T00:00:00"/>
    <n v="0"/>
    <x v="11"/>
  </r>
  <r>
    <x v="0"/>
    <x v="0"/>
    <n v="11"/>
    <x v="7"/>
    <d v="2020-03-01T00:00:00"/>
    <n v="0"/>
    <x v="12"/>
  </r>
  <r>
    <x v="0"/>
    <x v="0"/>
    <n v="12"/>
    <x v="8"/>
    <d v="2020-03-01T00:00:00"/>
    <n v="7847"/>
    <x v="0"/>
  </r>
  <r>
    <x v="0"/>
    <x v="0"/>
    <n v="12"/>
    <x v="8"/>
    <d v="2020-03-01T00:00:00"/>
    <n v="7475"/>
    <x v="1"/>
  </r>
  <r>
    <x v="0"/>
    <x v="0"/>
    <n v="12"/>
    <x v="8"/>
    <d v="2020-03-01T00:00:00"/>
    <n v="7896"/>
    <x v="2"/>
  </r>
  <r>
    <x v="0"/>
    <x v="0"/>
    <n v="12"/>
    <x v="8"/>
    <d v="2020-03-01T00:00:00"/>
    <n v="7785"/>
    <x v="3"/>
  </r>
  <r>
    <x v="0"/>
    <x v="0"/>
    <n v="12"/>
    <x v="8"/>
    <d v="2020-03-01T00:00:00"/>
    <n v="8141"/>
    <x v="4"/>
  </r>
  <r>
    <x v="0"/>
    <x v="0"/>
    <n v="12"/>
    <x v="8"/>
    <d v="2020-03-01T00:00:00"/>
    <n v="6443"/>
    <x v="5"/>
  </r>
  <r>
    <x v="0"/>
    <x v="0"/>
    <n v="12"/>
    <x v="8"/>
    <d v="2020-03-01T00:00:00"/>
    <n v="7397"/>
    <x v="6"/>
  </r>
  <r>
    <x v="0"/>
    <x v="0"/>
    <n v="12"/>
    <x v="8"/>
    <d v="2020-03-01T00:00:00"/>
    <n v="7476"/>
    <x v="7"/>
  </r>
  <r>
    <x v="0"/>
    <x v="0"/>
    <n v="12"/>
    <x v="8"/>
    <d v="2020-03-01T00:00:00"/>
    <n v="7256"/>
    <x v="8"/>
  </r>
  <r>
    <x v="0"/>
    <x v="0"/>
    <n v="12"/>
    <x v="8"/>
    <d v="2020-03-01T00:00:00"/>
    <n v="7093"/>
    <x v="9"/>
  </r>
  <r>
    <x v="0"/>
    <x v="0"/>
    <n v="12"/>
    <x v="8"/>
    <d v="2020-03-01T00:00:00"/>
    <n v="6801"/>
    <x v="10"/>
  </r>
  <r>
    <x v="0"/>
    <x v="0"/>
    <n v="12"/>
    <x v="8"/>
    <d v="2020-03-01T00:00:00"/>
    <n v="9826"/>
    <x v="11"/>
  </r>
  <r>
    <x v="0"/>
    <x v="0"/>
    <n v="12"/>
    <x v="8"/>
    <d v="2020-03-01T00:00:00"/>
    <n v="91436"/>
    <x v="12"/>
  </r>
  <r>
    <x v="0"/>
    <x v="1"/>
    <n v="4"/>
    <x v="0"/>
    <d v="2020-03-01T00:00:00"/>
    <n v="135578"/>
    <x v="0"/>
  </r>
  <r>
    <x v="0"/>
    <x v="1"/>
    <n v="4"/>
    <x v="0"/>
    <d v="2020-03-01T00:00:00"/>
    <n v="135093"/>
    <x v="1"/>
  </r>
  <r>
    <x v="0"/>
    <x v="1"/>
    <n v="4"/>
    <x v="0"/>
    <d v="2020-03-01T00:00:00"/>
    <n v="135237"/>
    <x v="2"/>
  </r>
  <r>
    <x v="0"/>
    <x v="1"/>
    <n v="4"/>
    <x v="0"/>
    <d v="2020-03-01T00:00:00"/>
    <n v="140318"/>
    <x v="3"/>
  </r>
  <r>
    <x v="0"/>
    <x v="1"/>
    <n v="4"/>
    <x v="0"/>
    <d v="2020-03-01T00:00:00"/>
    <n v="136848"/>
    <x v="4"/>
  </r>
  <r>
    <x v="0"/>
    <x v="1"/>
    <n v="4"/>
    <x v="0"/>
    <d v="2020-03-01T00:00:00"/>
    <n v="136797"/>
    <x v="5"/>
  </r>
  <r>
    <x v="0"/>
    <x v="1"/>
    <n v="4"/>
    <x v="0"/>
    <d v="2020-03-01T00:00:00"/>
    <n v="141873"/>
    <x v="6"/>
  </r>
  <r>
    <x v="0"/>
    <x v="1"/>
    <n v="4"/>
    <x v="0"/>
    <d v="2020-03-01T00:00:00"/>
    <n v="137747"/>
    <x v="7"/>
  </r>
  <r>
    <x v="0"/>
    <x v="1"/>
    <n v="4"/>
    <x v="0"/>
    <d v="2020-03-01T00:00:00"/>
    <n v="139680"/>
    <x v="8"/>
  </r>
  <r>
    <x v="0"/>
    <x v="1"/>
    <n v="4"/>
    <x v="0"/>
    <d v="2020-03-01T00:00:00"/>
    <n v="141178"/>
    <x v="9"/>
  </r>
  <r>
    <x v="0"/>
    <x v="1"/>
    <n v="4"/>
    <x v="0"/>
    <d v="2020-03-01T00:00:00"/>
    <n v="141490"/>
    <x v="10"/>
  </r>
  <r>
    <x v="0"/>
    <x v="1"/>
    <n v="4"/>
    <x v="0"/>
    <d v="2020-03-01T00:00:00"/>
    <n v="241615"/>
    <x v="11"/>
  </r>
  <r>
    <x v="0"/>
    <x v="1"/>
    <n v="4"/>
    <x v="0"/>
    <d v="2020-03-01T00:00:00"/>
    <n v="1763454"/>
    <x v="12"/>
  </r>
  <r>
    <x v="0"/>
    <x v="1"/>
    <n v="6"/>
    <x v="2"/>
    <d v="2020-03-01T00:00:00"/>
    <n v="8156"/>
    <x v="0"/>
  </r>
  <r>
    <x v="0"/>
    <x v="1"/>
    <n v="6"/>
    <x v="2"/>
    <d v="2020-03-01T00:00:00"/>
    <n v="8253"/>
    <x v="1"/>
  </r>
  <r>
    <x v="0"/>
    <x v="1"/>
    <n v="6"/>
    <x v="2"/>
    <d v="2020-03-01T00:00:00"/>
    <n v="8224"/>
    <x v="2"/>
  </r>
  <r>
    <x v="0"/>
    <x v="1"/>
    <n v="6"/>
    <x v="2"/>
    <d v="2020-03-01T00:00:00"/>
    <n v="8168"/>
    <x v="3"/>
  </r>
  <r>
    <x v="0"/>
    <x v="1"/>
    <n v="6"/>
    <x v="2"/>
    <d v="2020-03-01T00:00:00"/>
    <n v="8583"/>
    <x v="4"/>
  </r>
  <r>
    <x v="0"/>
    <x v="1"/>
    <n v="6"/>
    <x v="2"/>
    <d v="2020-03-01T00:00:00"/>
    <n v="8660"/>
    <x v="5"/>
  </r>
  <r>
    <x v="0"/>
    <x v="1"/>
    <n v="6"/>
    <x v="2"/>
    <d v="2020-03-01T00:00:00"/>
    <n v="8765"/>
    <x v="6"/>
  </r>
  <r>
    <x v="0"/>
    <x v="1"/>
    <n v="6"/>
    <x v="2"/>
    <d v="2020-03-01T00:00:00"/>
    <n v="8335"/>
    <x v="7"/>
  </r>
  <r>
    <x v="0"/>
    <x v="1"/>
    <n v="6"/>
    <x v="2"/>
    <d v="2020-03-01T00:00:00"/>
    <n v="9872"/>
    <x v="8"/>
  </r>
  <r>
    <x v="0"/>
    <x v="1"/>
    <n v="6"/>
    <x v="2"/>
    <d v="2020-03-01T00:00:00"/>
    <n v="10588"/>
    <x v="9"/>
  </r>
  <r>
    <x v="0"/>
    <x v="1"/>
    <n v="6"/>
    <x v="2"/>
    <d v="2020-03-01T00:00:00"/>
    <n v="9401"/>
    <x v="10"/>
  </r>
  <r>
    <x v="0"/>
    <x v="1"/>
    <n v="6"/>
    <x v="2"/>
    <d v="2020-03-01T00:00:00"/>
    <n v="11033"/>
    <x v="11"/>
  </r>
  <r>
    <x v="0"/>
    <x v="1"/>
    <n v="6"/>
    <x v="2"/>
    <d v="2020-03-01T00:00:00"/>
    <n v="108038"/>
    <x v="12"/>
  </r>
  <r>
    <x v="0"/>
    <x v="1"/>
    <n v="7"/>
    <x v="3"/>
    <d v="2020-03-01T00:00:00"/>
    <n v="64595"/>
    <x v="0"/>
  </r>
  <r>
    <x v="0"/>
    <x v="1"/>
    <n v="7"/>
    <x v="3"/>
    <d v="2020-03-01T00:00:00"/>
    <n v="61921"/>
    <x v="1"/>
  </r>
  <r>
    <x v="0"/>
    <x v="1"/>
    <n v="7"/>
    <x v="3"/>
    <d v="2020-03-01T00:00:00"/>
    <n v="61957"/>
    <x v="2"/>
  </r>
  <r>
    <x v="0"/>
    <x v="1"/>
    <n v="7"/>
    <x v="3"/>
    <d v="2020-03-01T00:00:00"/>
    <n v="62303"/>
    <x v="3"/>
  </r>
  <r>
    <x v="0"/>
    <x v="1"/>
    <n v="7"/>
    <x v="3"/>
    <d v="2020-03-01T00:00:00"/>
    <n v="62241"/>
    <x v="4"/>
  </r>
  <r>
    <x v="0"/>
    <x v="1"/>
    <n v="7"/>
    <x v="3"/>
    <d v="2020-03-01T00:00:00"/>
    <n v="62078"/>
    <x v="5"/>
  </r>
  <r>
    <x v="0"/>
    <x v="1"/>
    <n v="7"/>
    <x v="3"/>
    <d v="2020-03-01T00:00:00"/>
    <n v="64679"/>
    <x v="6"/>
  </r>
  <r>
    <x v="0"/>
    <x v="1"/>
    <n v="7"/>
    <x v="3"/>
    <d v="2020-03-01T00:00:00"/>
    <n v="62115"/>
    <x v="7"/>
  </r>
  <r>
    <x v="0"/>
    <x v="1"/>
    <n v="7"/>
    <x v="3"/>
    <d v="2020-03-01T00:00:00"/>
    <n v="62297"/>
    <x v="8"/>
  </r>
  <r>
    <x v="0"/>
    <x v="1"/>
    <n v="7"/>
    <x v="3"/>
    <d v="2020-03-01T00:00:00"/>
    <n v="62877"/>
    <x v="9"/>
  </r>
  <r>
    <x v="0"/>
    <x v="1"/>
    <n v="7"/>
    <x v="3"/>
    <d v="2020-03-01T00:00:00"/>
    <n v="63214"/>
    <x v="10"/>
  </r>
  <r>
    <x v="0"/>
    <x v="1"/>
    <n v="7"/>
    <x v="3"/>
    <d v="2020-03-01T00:00:00"/>
    <n v="95038"/>
    <x v="11"/>
  </r>
  <r>
    <x v="0"/>
    <x v="1"/>
    <n v="7"/>
    <x v="3"/>
    <d v="2020-03-01T00:00:00"/>
    <n v="785315"/>
    <x v="12"/>
  </r>
  <r>
    <x v="0"/>
    <x v="1"/>
    <n v="8"/>
    <x v="4"/>
    <d v="2020-03-01T00:00:00"/>
    <n v="11166"/>
    <x v="0"/>
  </r>
  <r>
    <x v="0"/>
    <x v="1"/>
    <n v="8"/>
    <x v="4"/>
    <d v="2020-03-01T00:00:00"/>
    <n v="12836"/>
    <x v="1"/>
  </r>
  <r>
    <x v="0"/>
    <x v="1"/>
    <n v="8"/>
    <x v="4"/>
    <d v="2020-03-01T00:00:00"/>
    <n v="11322"/>
    <x v="2"/>
  </r>
  <r>
    <x v="0"/>
    <x v="1"/>
    <n v="8"/>
    <x v="4"/>
    <d v="2020-03-01T00:00:00"/>
    <n v="15177"/>
    <x v="3"/>
  </r>
  <r>
    <x v="0"/>
    <x v="1"/>
    <n v="8"/>
    <x v="4"/>
    <d v="2020-03-01T00:00:00"/>
    <n v="12215"/>
    <x v="4"/>
  </r>
  <r>
    <x v="0"/>
    <x v="1"/>
    <n v="8"/>
    <x v="4"/>
    <d v="2020-03-01T00:00:00"/>
    <n v="12396"/>
    <x v="5"/>
  </r>
  <r>
    <x v="0"/>
    <x v="1"/>
    <n v="8"/>
    <x v="4"/>
    <d v="2020-03-01T00:00:00"/>
    <n v="13925"/>
    <x v="6"/>
  </r>
  <r>
    <x v="0"/>
    <x v="1"/>
    <n v="8"/>
    <x v="4"/>
    <d v="2020-03-01T00:00:00"/>
    <n v="12279"/>
    <x v="7"/>
  </r>
  <r>
    <x v="0"/>
    <x v="1"/>
    <n v="8"/>
    <x v="4"/>
    <d v="2020-03-01T00:00:00"/>
    <n v="13463"/>
    <x v="8"/>
  </r>
  <r>
    <x v="0"/>
    <x v="1"/>
    <n v="8"/>
    <x v="4"/>
    <d v="2020-03-01T00:00:00"/>
    <n v="12843"/>
    <x v="9"/>
  </r>
  <r>
    <x v="0"/>
    <x v="1"/>
    <n v="8"/>
    <x v="4"/>
    <d v="2020-03-01T00:00:00"/>
    <n v="14954"/>
    <x v="10"/>
  </r>
  <r>
    <x v="0"/>
    <x v="1"/>
    <n v="8"/>
    <x v="4"/>
    <d v="2020-03-01T00:00:00"/>
    <n v="28053"/>
    <x v="11"/>
  </r>
  <r>
    <x v="0"/>
    <x v="1"/>
    <n v="8"/>
    <x v="4"/>
    <d v="2020-03-01T00:00:00"/>
    <n v="170629"/>
    <x v="12"/>
  </r>
  <r>
    <x v="0"/>
    <x v="1"/>
    <n v="5"/>
    <x v="1"/>
    <d v="2020-03-01T00:00:00"/>
    <n v="16762"/>
    <x v="0"/>
  </r>
  <r>
    <x v="0"/>
    <x v="1"/>
    <n v="5"/>
    <x v="1"/>
    <d v="2020-03-01T00:00:00"/>
    <n v="16948"/>
    <x v="1"/>
  </r>
  <r>
    <x v="0"/>
    <x v="1"/>
    <n v="5"/>
    <x v="1"/>
    <d v="2020-03-01T00:00:00"/>
    <n v="17304"/>
    <x v="2"/>
  </r>
  <r>
    <x v="0"/>
    <x v="1"/>
    <n v="5"/>
    <x v="1"/>
    <d v="2020-03-01T00:00:00"/>
    <n v="16850"/>
    <x v="3"/>
  </r>
  <r>
    <x v="0"/>
    <x v="1"/>
    <n v="5"/>
    <x v="1"/>
    <d v="2020-03-01T00:00:00"/>
    <n v="17352"/>
    <x v="4"/>
  </r>
  <r>
    <x v="0"/>
    <x v="1"/>
    <n v="5"/>
    <x v="1"/>
    <d v="2020-03-01T00:00:00"/>
    <n v="17343"/>
    <x v="5"/>
  </r>
  <r>
    <x v="0"/>
    <x v="1"/>
    <n v="5"/>
    <x v="1"/>
    <d v="2020-03-01T00:00:00"/>
    <n v="18530"/>
    <x v="6"/>
  </r>
  <r>
    <x v="0"/>
    <x v="1"/>
    <n v="5"/>
    <x v="1"/>
    <d v="2020-03-01T00:00:00"/>
    <n v="18106"/>
    <x v="7"/>
  </r>
  <r>
    <x v="0"/>
    <x v="1"/>
    <n v="5"/>
    <x v="1"/>
    <d v="2020-03-01T00:00:00"/>
    <n v="17030"/>
    <x v="8"/>
  </r>
  <r>
    <x v="0"/>
    <x v="1"/>
    <n v="5"/>
    <x v="1"/>
    <d v="2020-03-01T00:00:00"/>
    <n v="17589"/>
    <x v="9"/>
  </r>
  <r>
    <x v="0"/>
    <x v="1"/>
    <n v="5"/>
    <x v="1"/>
    <d v="2020-03-01T00:00:00"/>
    <n v="17988"/>
    <x v="10"/>
  </r>
  <r>
    <x v="0"/>
    <x v="1"/>
    <n v="5"/>
    <x v="1"/>
    <d v="2020-03-01T00:00:00"/>
    <n v="21805"/>
    <x v="11"/>
  </r>
  <r>
    <x v="0"/>
    <x v="1"/>
    <n v="5"/>
    <x v="1"/>
    <d v="2020-03-01T00:00:00"/>
    <n v="213607"/>
    <x v="12"/>
  </r>
  <r>
    <x v="0"/>
    <x v="1"/>
    <n v="9"/>
    <x v="5"/>
    <d v="2020-03-01T00:00:00"/>
    <n v="5891"/>
    <x v="0"/>
  </r>
  <r>
    <x v="0"/>
    <x v="1"/>
    <n v="9"/>
    <x v="5"/>
    <d v="2020-03-01T00:00:00"/>
    <n v="5977"/>
    <x v="1"/>
  </r>
  <r>
    <x v="0"/>
    <x v="1"/>
    <n v="9"/>
    <x v="5"/>
    <d v="2020-03-01T00:00:00"/>
    <n v="5585"/>
    <x v="2"/>
  </r>
  <r>
    <x v="0"/>
    <x v="1"/>
    <n v="9"/>
    <x v="5"/>
    <d v="2020-03-01T00:00:00"/>
    <n v="6291"/>
    <x v="3"/>
  </r>
  <r>
    <x v="0"/>
    <x v="1"/>
    <n v="9"/>
    <x v="5"/>
    <d v="2020-03-01T00:00:00"/>
    <n v="5840"/>
    <x v="4"/>
  </r>
  <r>
    <x v="0"/>
    <x v="1"/>
    <n v="9"/>
    <x v="5"/>
    <d v="2020-03-01T00:00:00"/>
    <n v="5950"/>
    <x v="5"/>
  </r>
  <r>
    <x v="0"/>
    <x v="1"/>
    <n v="9"/>
    <x v="5"/>
    <d v="2020-03-01T00:00:00"/>
    <n v="5996"/>
    <x v="6"/>
  </r>
  <r>
    <x v="0"/>
    <x v="1"/>
    <n v="9"/>
    <x v="5"/>
    <d v="2020-03-01T00:00:00"/>
    <n v="6135"/>
    <x v="7"/>
  </r>
  <r>
    <x v="0"/>
    <x v="1"/>
    <n v="9"/>
    <x v="5"/>
    <d v="2020-03-01T00:00:00"/>
    <n v="6008"/>
    <x v="8"/>
  </r>
  <r>
    <x v="0"/>
    <x v="1"/>
    <n v="9"/>
    <x v="5"/>
    <d v="2020-03-01T00:00:00"/>
    <n v="6625"/>
    <x v="9"/>
  </r>
  <r>
    <x v="0"/>
    <x v="1"/>
    <n v="9"/>
    <x v="5"/>
    <d v="2020-03-01T00:00:00"/>
    <n v="5686"/>
    <x v="10"/>
  </r>
  <r>
    <x v="0"/>
    <x v="1"/>
    <n v="9"/>
    <x v="5"/>
    <d v="2020-03-01T00:00:00"/>
    <n v="6328"/>
    <x v="11"/>
  </r>
  <r>
    <x v="0"/>
    <x v="1"/>
    <n v="9"/>
    <x v="5"/>
    <d v="2020-03-01T00:00:00"/>
    <n v="72312"/>
    <x v="12"/>
  </r>
  <r>
    <x v="0"/>
    <x v="1"/>
    <n v="10"/>
    <x v="6"/>
    <d v="2020-03-01T00:00:00"/>
    <n v="21165"/>
    <x v="0"/>
  </r>
  <r>
    <x v="0"/>
    <x v="1"/>
    <n v="10"/>
    <x v="6"/>
    <d v="2020-03-01T00:00:00"/>
    <n v="20952"/>
    <x v="1"/>
  </r>
  <r>
    <x v="0"/>
    <x v="1"/>
    <n v="10"/>
    <x v="6"/>
    <d v="2020-03-01T00:00:00"/>
    <n v="21570"/>
    <x v="2"/>
  </r>
  <r>
    <x v="0"/>
    <x v="1"/>
    <n v="10"/>
    <x v="6"/>
    <d v="2020-03-01T00:00:00"/>
    <n v="23068"/>
    <x v="3"/>
  </r>
  <r>
    <x v="0"/>
    <x v="1"/>
    <n v="10"/>
    <x v="6"/>
    <d v="2020-03-01T00:00:00"/>
    <n v="22162"/>
    <x v="4"/>
  </r>
  <r>
    <x v="0"/>
    <x v="1"/>
    <n v="10"/>
    <x v="6"/>
    <d v="2020-03-01T00:00:00"/>
    <n v="21460"/>
    <x v="5"/>
  </r>
  <r>
    <x v="0"/>
    <x v="1"/>
    <n v="10"/>
    <x v="6"/>
    <d v="2020-03-01T00:00:00"/>
    <n v="20622"/>
    <x v="6"/>
  </r>
  <r>
    <x v="0"/>
    <x v="1"/>
    <n v="10"/>
    <x v="6"/>
    <d v="2020-03-01T00:00:00"/>
    <n v="21776"/>
    <x v="7"/>
  </r>
  <r>
    <x v="0"/>
    <x v="1"/>
    <n v="10"/>
    <x v="6"/>
    <d v="2020-03-01T00:00:00"/>
    <n v="21601"/>
    <x v="8"/>
  </r>
  <r>
    <x v="0"/>
    <x v="1"/>
    <n v="10"/>
    <x v="6"/>
    <d v="2020-03-01T00:00:00"/>
    <n v="22265"/>
    <x v="9"/>
  </r>
  <r>
    <x v="0"/>
    <x v="1"/>
    <n v="10"/>
    <x v="6"/>
    <d v="2020-03-01T00:00:00"/>
    <n v="22972"/>
    <x v="10"/>
  </r>
  <r>
    <x v="0"/>
    <x v="1"/>
    <n v="10"/>
    <x v="6"/>
    <d v="2020-03-01T00:00:00"/>
    <n v="20375"/>
    <x v="11"/>
  </r>
  <r>
    <x v="0"/>
    <x v="1"/>
    <n v="10"/>
    <x v="6"/>
    <d v="2020-03-01T00:00:00"/>
    <n v="259988"/>
    <x v="12"/>
  </r>
  <r>
    <x v="0"/>
    <x v="1"/>
    <n v="11"/>
    <x v="7"/>
    <d v="2020-03-01T00:00:00"/>
    <n v="0"/>
    <x v="0"/>
  </r>
  <r>
    <x v="0"/>
    <x v="1"/>
    <n v="11"/>
    <x v="7"/>
    <d v="2020-03-01T00:00:00"/>
    <n v="0"/>
    <x v="1"/>
  </r>
  <r>
    <x v="0"/>
    <x v="1"/>
    <n v="11"/>
    <x v="7"/>
    <d v="2020-03-01T00:00:00"/>
    <n v="0"/>
    <x v="2"/>
  </r>
  <r>
    <x v="0"/>
    <x v="1"/>
    <n v="11"/>
    <x v="7"/>
    <d v="2020-03-01T00:00:00"/>
    <n v="0"/>
    <x v="3"/>
  </r>
  <r>
    <x v="0"/>
    <x v="1"/>
    <n v="11"/>
    <x v="7"/>
    <d v="2020-03-01T00:00:00"/>
    <n v="0"/>
    <x v="4"/>
  </r>
  <r>
    <x v="0"/>
    <x v="1"/>
    <n v="11"/>
    <x v="7"/>
    <d v="2020-03-01T00:00:00"/>
    <n v="0"/>
    <x v="5"/>
  </r>
  <r>
    <x v="0"/>
    <x v="1"/>
    <n v="11"/>
    <x v="7"/>
    <d v="2020-03-01T00:00:00"/>
    <n v="0"/>
    <x v="6"/>
  </r>
  <r>
    <x v="0"/>
    <x v="1"/>
    <n v="11"/>
    <x v="7"/>
    <d v="2020-03-01T00:00:00"/>
    <n v="0"/>
    <x v="7"/>
  </r>
  <r>
    <x v="0"/>
    <x v="1"/>
    <n v="11"/>
    <x v="7"/>
    <d v="2020-03-01T00:00:00"/>
    <n v="0"/>
    <x v="8"/>
  </r>
  <r>
    <x v="0"/>
    <x v="1"/>
    <n v="11"/>
    <x v="7"/>
    <d v="2020-03-01T00:00:00"/>
    <n v="0"/>
    <x v="9"/>
  </r>
  <r>
    <x v="0"/>
    <x v="1"/>
    <n v="11"/>
    <x v="7"/>
    <d v="2020-03-01T00:00:00"/>
    <n v="0"/>
    <x v="10"/>
  </r>
  <r>
    <x v="0"/>
    <x v="1"/>
    <n v="11"/>
    <x v="7"/>
    <d v="2020-03-01T00:00:00"/>
    <n v="0"/>
    <x v="11"/>
  </r>
  <r>
    <x v="0"/>
    <x v="1"/>
    <n v="11"/>
    <x v="7"/>
    <d v="2020-03-01T00:00:00"/>
    <n v="0"/>
    <x v="12"/>
  </r>
  <r>
    <x v="0"/>
    <x v="1"/>
    <n v="12"/>
    <x v="8"/>
    <d v="2020-03-01T00:00:00"/>
    <n v="8260"/>
    <x v="0"/>
  </r>
  <r>
    <x v="0"/>
    <x v="1"/>
    <n v="12"/>
    <x v="8"/>
    <d v="2020-03-01T00:00:00"/>
    <n v="8296"/>
    <x v="1"/>
  </r>
  <r>
    <x v="0"/>
    <x v="1"/>
    <n v="12"/>
    <x v="8"/>
    <d v="2020-03-01T00:00:00"/>
    <n v="8159"/>
    <x v="2"/>
  </r>
  <r>
    <x v="0"/>
    <x v="1"/>
    <n v="12"/>
    <x v="8"/>
    <d v="2020-03-01T00:00:00"/>
    <n v="7973"/>
    <x v="3"/>
  </r>
  <r>
    <x v="0"/>
    <x v="1"/>
    <n v="12"/>
    <x v="8"/>
    <d v="2020-03-01T00:00:00"/>
    <n v="8190"/>
    <x v="4"/>
  </r>
  <r>
    <x v="0"/>
    <x v="1"/>
    <n v="12"/>
    <x v="8"/>
    <d v="2020-03-01T00:00:00"/>
    <n v="7998"/>
    <x v="5"/>
  </r>
  <r>
    <x v="0"/>
    <x v="1"/>
    <n v="12"/>
    <x v="8"/>
    <d v="2020-03-01T00:00:00"/>
    <n v="7938"/>
    <x v="6"/>
  </r>
  <r>
    <x v="0"/>
    <x v="1"/>
    <n v="12"/>
    <x v="8"/>
    <d v="2020-03-01T00:00:00"/>
    <n v="7980"/>
    <x v="7"/>
  </r>
  <r>
    <x v="0"/>
    <x v="1"/>
    <n v="12"/>
    <x v="8"/>
    <d v="2020-03-01T00:00:00"/>
    <n v="9296"/>
    <x v="8"/>
  </r>
  <r>
    <x v="0"/>
    <x v="1"/>
    <n v="12"/>
    <x v="8"/>
    <d v="2020-03-01T00:00:00"/>
    <n v="7483"/>
    <x v="9"/>
  </r>
  <r>
    <x v="0"/>
    <x v="1"/>
    <n v="12"/>
    <x v="8"/>
    <d v="2020-03-01T00:00:00"/>
    <n v="7301"/>
    <x v="10"/>
  </r>
  <r>
    <x v="0"/>
    <x v="1"/>
    <n v="12"/>
    <x v="8"/>
    <d v="2020-03-01T00:00:00"/>
    <n v="8168"/>
    <x v="11"/>
  </r>
  <r>
    <x v="0"/>
    <x v="1"/>
    <n v="12"/>
    <x v="8"/>
    <d v="2020-03-01T00:00:00"/>
    <n v="97042"/>
    <x v="12"/>
  </r>
  <r>
    <x v="0"/>
    <x v="2"/>
    <n v="4"/>
    <x v="0"/>
    <d v="2020-03-01T00:00:00"/>
    <n v="91969.010540000003"/>
    <x v="0"/>
  </r>
  <r>
    <x v="0"/>
    <x v="2"/>
    <n v="4"/>
    <x v="0"/>
    <d v="2020-03-01T00:00:00"/>
    <n v="94669.989459999997"/>
    <x v="1"/>
  </r>
  <r>
    <x v="0"/>
    <x v="2"/>
    <n v="4"/>
    <x v="0"/>
    <d v="2020-03-01T00:00:00"/>
    <n v="91892"/>
    <x v="2"/>
  </r>
  <r>
    <x v="0"/>
    <x v="2"/>
    <n v="4"/>
    <x v="0"/>
    <d v="2020-03-01T00:00:00"/>
    <n v="100866"/>
    <x v="3"/>
  </r>
  <r>
    <x v="0"/>
    <x v="2"/>
    <n v="4"/>
    <x v="0"/>
    <d v="2020-03-01T00:00:00"/>
    <n v="95280"/>
    <x v="4"/>
  </r>
  <r>
    <x v="0"/>
    <x v="2"/>
    <n v="4"/>
    <x v="0"/>
    <d v="2020-03-01T00:00:00"/>
    <n v="92395"/>
    <x v="5"/>
  </r>
  <r>
    <x v="0"/>
    <x v="2"/>
    <n v="4"/>
    <x v="0"/>
    <d v="2020-03-01T00:00:00"/>
    <n v="100599"/>
    <x v="6"/>
  </r>
  <r>
    <x v="0"/>
    <x v="2"/>
    <n v="4"/>
    <x v="0"/>
    <d v="2020-03-01T00:00:00"/>
    <n v="102102"/>
    <x v="7"/>
  </r>
  <r>
    <x v="0"/>
    <x v="2"/>
    <n v="4"/>
    <x v="0"/>
    <d v="2020-03-01T00:00:00"/>
    <n v="102626"/>
    <x v="8"/>
  </r>
  <r>
    <x v="0"/>
    <x v="2"/>
    <n v="4"/>
    <x v="0"/>
    <d v="2020-03-01T00:00:00"/>
    <n v="99051"/>
    <x v="9"/>
  </r>
  <r>
    <x v="0"/>
    <x v="2"/>
    <n v="4"/>
    <x v="0"/>
    <d v="2020-03-01T00:00:00"/>
    <n v="100801"/>
    <x v="10"/>
  </r>
  <r>
    <x v="0"/>
    <x v="2"/>
    <n v="4"/>
    <x v="0"/>
    <d v="2020-03-01T00:00:00"/>
    <n v="135313"/>
    <x v="11"/>
  </r>
  <r>
    <x v="0"/>
    <x v="2"/>
    <n v="4"/>
    <x v="0"/>
    <d v="2020-03-01T00:00:00"/>
    <n v="1207564"/>
    <x v="12"/>
  </r>
  <r>
    <x v="0"/>
    <x v="2"/>
    <n v="6"/>
    <x v="2"/>
    <d v="2020-03-01T00:00:00"/>
    <n v="6852.4148100000002"/>
    <x v="0"/>
  </r>
  <r>
    <x v="0"/>
    <x v="2"/>
    <n v="6"/>
    <x v="2"/>
    <d v="2020-03-01T00:00:00"/>
    <n v="7341.5851899999998"/>
    <x v="1"/>
  </r>
  <r>
    <x v="0"/>
    <x v="2"/>
    <n v="6"/>
    <x v="2"/>
    <d v="2020-03-01T00:00:00"/>
    <n v="7143"/>
    <x v="2"/>
  </r>
  <r>
    <x v="0"/>
    <x v="2"/>
    <n v="6"/>
    <x v="2"/>
    <d v="2020-03-01T00:00:00"/>
    <n v="7017"/>
    <x v="3"/>
  </r>
  <r>
    <x v="0"/>
    <x v="2"/>
    <n v="6"/>
    <x v="2"/>
    <d v="2020-03-01T00:00:00"/>
    <n v="6791"/>
    <x v="4"/>
  </r>
  <r>
    <x v="0"/>
    <x v="2"/>
    <n v="6"/>
    <x v="2"/>
    <d v="2020-03-01T00:00:00"/>
    <n v="8003"/>
    <x v="5"/>
  </r>
  <r>
    <x v="0"/>
    <x v="2"/>
    <n v="6"/>
    <x v="2"/>
    <d v="2020-03-01T00:00:00"/>
    <n v="7472"/>
    <x v="6"/>
  </r>
  <r>
    <x v="0"/>
    <x v="2"/>
    <n v="6"/>
    <x v="2"/>
    <d v="2020-03-01T00:00:00"/>
    <n v="7325"/>
    <x v="7"/>
  </r>
  <r>
    <x v="0"/>
    <x v="2"/>
    <n v="6"/>
    <x v="2"/>
    <d v="2020-03-01T00:00:00"/>
    <n v="7211"/>
    <x v="8"/>
  </r>
  <r>
    <x v="0"/>
    <x v="2"/>
    <n v="6"/>
    <x v="2"/>
    <d v="2020-03-01T00:00:00"/>
    <n v="6381"/>
    <x v="9"/>
  </r>
  <r>
    <x v="0"/>
    <x v="2"/>
    <n v="6"/>
    <x v="2"/>
    <d v="2020-03-01T00:00:00"/>
    <n v="6591"/>
    <x v="10"/>
  </r>
  <r>
    <x v="0"/>
    <x v="2"/>
    <n v="6"/>
    <x v="2"/>
    <d v="2020-03-01T00:00:00"/>
    <n v="7760"/>
    <x v="11"/>
  </r>
  <r>
    <x v="0"/>
    <x v="2"/>
    <n v="6"/>
    <x v="2"/>
    <d v="2020-03-01T00:00:00"/>
    <n v="85888"/>
    <x v="12"/>
  </r>
  <r>
    <x v="0"/>
    <x v="2"/>
    <n v="7"/>
    <x v="3"/>
    <d v="2020-03-01T00:00:00"/>
    <n v="42459.096129999802"/>
    <x v="0"/>
  </r>
  <r>
    <x v="0"/>
    <x v="2"/>
    <n v="7"/>
    <x v="3"/>
    <d v="2020-03-01T00:00:00"/>
    <n v="41952.903870000198"/>
    <x v="1"/>
  </r>
  <r>
    <x v="0"/>
    <x v="2"/>
    <n v="7"/>
    <x v="3"/>
    <d v="2020-03-01T00:00:00"/>
    <n v="41778"/>
    <x v="2"/>
  </r>
  <r>
    <x v="0"/>
    <x v="2"/>
    <n v="7"/>
    <x v="3"/>
    <d v="2020-03-01T00:00:00"/>
    <n v="42649"/>
    <x v="3"/>
  </r>
  <r>
    <x v="0"/>
    <x v="2"/>
    <n v="7"/>
    <x v="3"/>
    <d v="2020-03-01T00:00:00"/>
    <n v="42095"/>
    <x v="4"/>
  </r>
  <r>
    <x v="0"/>
    <x v="2"/>
    <n v="7"/>
    <x v="3"/>
    <d v="2020-03-01T00:00:00"/>
    <n v="41583"/>
    <x v="5"/>
  </r>
  <r>
    <x v="0"/>
    <x v="2"/>
    <n v="7"/>
    <x v="3"/>
    <d v="2020-03-01T00:00:00"/>
    <n v="44537"/>
    <x v="6"/>
  </r>
  <r>
    <x v="0"/>
    <x v="2"/>
    <n v="7"/>
    <x v="3"/>
    <d v="2020-03-01T00:00:00"/>
    <n v="42836"/>
    <x v="7"/>
  </r>
  <r>
    <x v="0"/>
    <x v="2"/>
    <n v="7"/>
    <x v="3"/>
    <d v="2020-03-01T00:00:00"/>
    <n v="44201"/>
    <x v="8"/>
  </r>
  <r>
    <x v="0"/>
    <x v="2"/>
    <n v="7"/>
    <x v="3"/>
    <d v="2020-03-01T00:00:00"/>
    <n v="43651"/>
    <x v="9"/>
  </r>
  <r>
    <x v="0"/>
    <x v="2"/>
    <n v="7"/>
    <x v="3"/>
    <d v="2020-03-01T00:00:00"/>
    <n v="43450"/>
    <x v="10"/>
  </r>
  <r>
    <x v="0"/>
    <x v="2"/>
    <n v="7"/>
    <x v="3"/>
    <d v="2020-03-01T00:00:00"/>
    <n v="66390"/>
    <x v="11"/>
  </r>
  <r>
    <x v="0"/>
    <x v="2"/>
    <n v="7"/>
    <x v="3"/>
    <d v="2020-03-01T00:00:00"/>
    <n v="537582"/>
    <x v="12"/>
  </r>
  <r>
    <x v="0"/>
    <x v="2"/>
    <n v="8"/>
    <x v="4"/>
    <d v="2020-03-01T00:00:00"/>
    <n v="6262.1683800000001"/>
    <x v="0"/>
  </r>
  <r>
    <x v="0"/>
    <x v="2"/>
    <n v="8"/>
    <x v="4"/>
    <d v="2020-03-01T00:00:00"/>
    <n v="7066.8316199999999"/>
    <x v="1"/>
  </r>
  <r>
    <x v="0"/>
    <x v="2"/>
    <n v="8"/>
    <x v="4"/>
    <d v="2020-03-01T00:00:00"/>
    <n v="6473"/>
    <x v="2"/>
  </r>
  <r>
    <x v="0"/>
    <x v="2"/>
    <n v="8"/>
    <x v="4"/>
    <d v="2020-03-01T00:00:00"/>
    <n v="7616"/>
    <x v="3"/>
  </r>
  <r>
    <x v="0"/>
    <x v="2"/>
    <n v="8"/>
    <x v="4"/>
    <d v="2020-03-01T00:00:00"/>
    <n v="6402"/>
    <x v="4"/>
  </r>
  <r>
    <x v="0"/>
    <x v="2"/>
    <n v="8"/>
    <x v="4"/>
    <d v="2020-03-01T00:00:00"/>
    <n v="5097"/>
    <x v="5"/>
  </r>
  <r>
    <x v="0"/>
    <x v="2"/>
    <n v="8"/>
    <x v="4"/>
    <d v="2020-03-01T00:00:00"/>
    <n v="7370"/>
    <x v="6"/>
  </r>
  <r>
    <x v="0"/>
    <x v="2"/>
    <n v="8"/>
    <x v="4"/>
    <d v="2020-03-01T00:00:00"/>
    <n v="11071"/>
    <x v="7"/>
  </r>
  <r>
    <x v="0"/>
    <x v="2"/>
    <n v="8"/>
    <x v="4"/>
    <d v="2020-03-01T00:00:00"/>
    <n v="9031"/>
    <x v="8"/>
  </r>
  <r>
    <x v="0"/>
    <x v="2"/>
    <n v="8"/>
    <x v="4"/>
    <d v="2020-03-01T00:00:00"/>
    <n v="8605"/>
    <x v="9"/>
  </r>
  <r>
    <x v="0"/>
    <x v="2"/>
    <n v="8"/>
    <x v="4"/>
    <d v="2020-03-01T00:00:00"/>
    <n v="9719"/>
    <x v="10"/>
  </r>
  <r>
    <x v="0"/>
    <x v="2"/>
    <n v="8"/>
    <x v="4"/>
    <d v="2020-03-01T00:00:00"/>
    <n v="17685"/>
    <x v="11"/>
  </r>
  <r>
    <x v="0"/>
    <x v="2"/>
    <n v="8"/>
    <x v="4"/>
    <d v="2020-03-01T00:00:00"/>
    <n v="102398"/>
    <x v="12"/>
  </r>
  <r>
    <x v="0"/>
    <x v="2"/>
    <n v="5"/>
    <x v="1"/>
    <d v="2020-03-01T00:00:00"/>
    <n v="10939.1183"/>
    <x v="0"/>
  </r>
  <r>
    <x v="0"/>
    <x v="2"/>
    <n v="5"/>
    <x v="1"/>
    <d v="2020-03-01T00:00:00"/>
    <n v="11620.8817"/>
    <x v="1"/>
  </r>
  <r>
    <x v="0"/>
    <x v="2"/>
    <n v="5"/>
    <x v="1"/>
    <d v="2020-03-01T00:00:00"/>
    <n v="11299"/>
    <x v="2"/>
  </r>
  <r>
    <x v="0"/>
    <x v="2"/>
    <n v="5"/>
    <x v="1"/>
    <d v="2020-03-01T00:00:00"/>
    <n v="12118"/>
    <x v="3"/>
  </r>
  <r>
    <x v="0"/>
    <x v="2"/>
    <n v="5"/>
    <x v="1"/>
    <d v="2020-03-01T00:00:00"/>
    <n v="12091"/>
    <x v="4"/>
  </r>
  <r>
    <x v="0"/>
    <x v="2"/>
    <n v="5"/>
    <x v="1"/>
    <d v="2020-03-01T00:00:00"/>
    <n v="11326"/>
    <x v="5"/>
  </r>
  <r>
    <x v="0"/>
    <x v="2"/>
    <n v="5"/>
    <x v="1"/>
    <d v="2020-03-01T00:00:00"/>
    <n v="12238"/>
    <x v="6"/>
  </r>
  <r>
    <x v="0"/>
    <x v="2"/>
    <n v="5"/>
    <x v="1"/>
    <d v="2020-03-01T00:00:00"/>
    <n v="12613"/>
    <x v="7"/>
  </r>
  <r>
    <x v="0"/>
    <x v="2"/>
    <n v="5"/>
    <x v="1"/>
    <d v="2020-03-01T00:00:00"/>
    <n v="11711"/>
    <x v="8"/>
  </r>
  <r>
    <x v="0"/>
    <x v="2"/>
    <n v="5"/>
    <x v="1"/>
    <d v="2020-03-01T00:00:00"/>
    <n v="12186"/>
    <x v="9"/>
  </r>
  <r>
    <x v="0"/>
    <x v="2"/>
    <n v="5"/>
    <x v="1"/>
    <d v="2020-03-01T00:00:00"/>
    <n v="12304"/>
    <x v="10"/>
  </r>
  <r>
    <x v="0"/>
    <x v="2"/>
    <n v="5"/>
    <x v="1"/>
    <d v="2020-03-01T00:00:00"/>
    <n v="14520"/>
    <x v="11"/>
  </r>
  <r>
    <x v="0"/>
    <x v="2"/>
    <n v="5"/>
    <x v="1"/>
    <d v="2020-03-01T00:00:00"/>
    <n v="144966"/>
    <x v="12"/>
  </r>
  <r>
    <x v="0"/>
    <x v="2"/>
    <n v="9"/>
    <x v="5"/>
    <d v="2020-03-01T00:00:00"/>
    <n v="3170.83644"/>
    <x v="0"/>
  </r>
  <r>
    <x v="0"/>
    <x v="2"/>
    <n v="9"/>
    <x v="5"/>
    <d v="2020-03-01T00:00:00"/>
    <n v="3150.16356"/>
    <x v="1"/>
  </r>
  <r>
    <x v="0"/>
    <x v="2"/>
    <n v="9"/>
    <x v="5"/>
    <d v="2020-03-01T00:00:00"/>
    <n v="2712"/>
    <x v="2"/>
  </r>
  <r>
    <x v="0"/>
    <x v="2"/>
    <n v="9"/>
    <x v="5"/>
    <d v="2020-03-01T00:00:00"/>
    <n v="2657"/>
    <x v="3"/>
  </r>
  <r>
    <x v="0"/>
    <x v="2"/>
    <n v="9"/>
    <x v="5"/>
    <d v="2020-03-01T00:00:00"/>
    <n v="2912"/>
    <x v="4"/>
  </r>
  <r>
    <x v="0"/>
    <x v="2"/>
    <n v="9"/>
    <x v="5"/>
    <d v="2020-03-01T00:00:00"/>
    <n v="2882"/>
    <x v="5"/>
  </r>
  <r>
    <x v="0"/>
    <x v="2"/>
    <n v="9"/>
    <x v="5"/>
    <d v="2020-03-01T00:00:00"/>
    <n v="3306"/>
    <x v="6"/>
  </r>
  <r>
    <x v="0"/>
    <x v="2"/>
    <n v="9"/>
    <x v="5"/>
    <d v="2020-03-01T00:00:00"/>
    <n v="2963"/>
    <x v="7"/>
  </r>
  <r>
    <x v="0"/>
    <x v="2"/>
    <n v="9"/>
    <x v="5"/>
    <d v="2020-03-01T00:00:00"/>
    <n v="3439"/>
    <x v="8"/>
  </r>
  <r>
    <x v="0"/>
    <x v="2"/>
    <n v="9"/>
    <x v="5"/>
    <d v="2020-03-01T00:00:00"/>
    <n v="3059"/>
    <x v="9"/>
  </r>
  <r>
    <x v="0"/>
    <x v="2"/>
    <n v="9"/>
    <x v="5"/>
    <d v="2020-03-01T00:00:00"/>
    <n v="3080"/>
    <x v="10"/>
  </r>
  <r>
    <x v="0"/>
    <x v="2"/>
    <n v="9"/>
    <x v="5"/>
    <d v="2020-03-01T00:00:00"/>
    <n v="3369"/>
    <x v="11"/>
  </r>
  <r>
    <x v="0"/>
    <x v="2"/>
    <n v="9"/>
    <x v="5"/>
    <d v="2020-03-01T00:00:00"/>
    <n v="36700"/>
    <x v="12"/>
  </r>
  <r>
    <x v="0"/>
    <x v="2"/>
    <n v="10"/>
    <x v="6"/>
    <d v="2020-03-01T00:00:00"/>
    <n v="15710.55034"/>
    <x v="0"/>
  </r>
  <r>
    <x v="0"/>
    <x v="2"/>
    <n v="10"/>
    <x v="6"/>
    <d v="2020-03-01T00:00:00"/>
    <n v="16928.449659999998"/>
    <x v="1"/>
  </r>
  <r>
    <x v="0"/>
    <x v="2"/>
    <n v="10"/>
    <x v="6"/>
    <d v="2020-03-01T00:00:00"/>
    <n v="17352"/>
    <x v="2"/>
  </r>
  <r>
    <x v="0"/>
    <x v="2"/>
    <n v="10"/>
    <x v="6"/>
    <d v="2020-03-01T00:00:00"/>
    <n v="19394"/>
    <x v="3"/>
  </r>
  <r>
    <x v="0"/>
    <x v="2"/>
    <n v="10"/>
    <x v="6"/>
    <d v="2020-03-01T00:00:00"/>
    <n v="17308"/>
    <x v="4"/>
  </r>
  <r>
    <x v="0"/>
    <x v="2"/>
    <n v="10"/>
    <x v="6"/>
    <d v="2020-03-01T00:00:00"/>
    <n v="17449"/>
    <x v="5"/>
  </r>
  <r>
    <x v="0"/>
    <x v="2"/>
    <n v="10"/>
    <x v="6"/>
    <d v="2020-03-01T00:00:00"/>
    <n v="17431"/>
    <x v="6"/>
  </r>
  <r>
    <x v="0"/>
    <x v="2"/>
    <n v="10"/>
    <x v="6"/>
    <d v="2020-03-01T00:00:00"/>
    <n v="17015"/>
    <x v="7"/>
  </r>
  <r>
    <x v="0"/>
    <x v="2"/>
    <n v="10"/>
    <x v="6"/>
    <d v="2020-03-01T00:00:00"/>
    <n v="18116"/>
    <x v="8"/>
  </r>
  <r>
    <x v="0"/>
    <x v="2"/>
    <n v="10"/>
    <x v="6"/>
    <d v="2020-03-01T00:00:00"/>
    <n v="17290"/>
    <x v="9"/>
  </r>
  <r>
    <x v="0"/>
    <x v="2"/>
    <n v="10"/>
    <x v="6"/>
    <d v="2020-03-01T00:00:00"/>
    <n v="18441"/>
    <x v="10"/>
  </r>
  <r>
    <x v="0"/>
    <x v="2"/>
    <n v="10"/>
    <x v="6"/>
    <d v="2020-03-01T00:00:00"/>
    <n v="20058"/>
    <x v="11"/>
  </r>
  <r>
    <x v="0"/>
    <x v="2"/>
    <n v="10"/>
    <x v="6"/>
    <d v="2020-03-01T00:00:00"/>
    <n v="212493"/>
    <x v="12"/>
  </r>
  <r>
    <x v="0"/>
    <x v="2"/>
    <n v="11"/>
    <x v="7"/>
    <d v="2020-03-01T00:00:00"/>
    <n v="58.924660000000003"/>
    <x v="0"/>
  </r>
  <r>
    <x v="0"/>
    <x v="2"/>
    <n v="11"/>
    <x v="7"/>
    <d v="2020-03-01T00:00:00"/>
    <n v="70.075339999999997"/>
    <x v="1"/>
  </r>
  <r>
    <x v="0"/>
    <x v="2"/>
    <n v="11"/>
    <x v="7"/>
    <d v="2020-03-01T00:00:00"/>
    <n v="73"/>
    <x v="2"/>
  </r>
  <r>
    <x v="0"/>
    <x v="2"/>
    <n v="11"/>
    <x v="7"/>
    <d v="2020-03-01T00:00:00"/>
    <n v="92"/>
    <x v="3"/>
  </r>
  <r>
    <x v="0"/>
    <x v="2"/>
    <n v="11"/>
    <x v="7"/>
    <d v="2020-03-01T00:00:00"/>
    <n v="114"/>
    <x v="4"/>
  </r>
  <r>
    <x v="0"/>
    <x v="2"/>
    <n v="11"/>
    <x v="7"/>
    <d v="2020-03-01T00:00:00"/>
    <n v="72"/>
    <x v="5"/>
  </r>
  <r>
    <x v="0"/>
    <x v="2"/>
    <n v="11"/>
    <x v="7"/>
    <d v="2020-03-01T00:00:00"/>
    <n v="70"/>
    <x v="6"/>
  </r>
  <r>
    <x v="0"/>
    <x v="2"/>
    <n v="11"/>
    <x v="7"/>
    <d v="2020-03-01T00:00:00"/>
    <n v="60"/>
    <x v="7"/>
  </r>
  <r>
    <x v="0"/>
    <x v="2"/>
    <n v="11"/>
    <x v="7"/>
    <d v="2020-03-01T00:00:00"/>
    <n v="73"/>
    <x v="8"/>
  </r>
  <r>
    <x v="0"/>
    <x v="2"/>
    <n v="11"/>
    <x v="7"/>
    <d v="2020-03-01T00:00:00"/>
    <n v="98"/>
    <x v="9"/>
  </r>
  <r>
    <x v="0"/>
    <x v="2"/>
    <n v="11"/>
    <x v="7"/>
    <d v="2020-03-01T00:00:00"/>
    <n v="107"/>
    <x v="10"/>
  </r>
  <r>
    <x v="0"/>
    <x v="2"/>
    <n v="11"/>
    <x v="7"/>
    <d v="2020-03-01T00:00:00"/>
    <n v="395"/>
    <x v="11"/>
  </r>
  <r>
    <x v="0"/>
    <x v="2"/>
    <n v="11"/>
    <x v="7"/>
    <d v="2020-03-01T00:00:00"/>
    <n v="1283"/>
    <x v="12"/>
  </r>
  <r>
    <x v="0"/>
    <x v="2"/>
    <n v="12"/>
    <x v="8"/>
    <d v="2020-03-01T00:00:00"/>
    <n v="4351.2358599999998"/>
    <x v="0"/>
  </r>
  <r>
    <x v="0"/>
    <x v="2"/>
    <n v="12"/>
    <x v="8"/>
    <d v="2020-03-01T00:00:00"/>
    <n v="4137.7641400000002"/>
    <x v="1"/>
  </r>
  <r>
    <x v="0"/>
    <x v="2"/>
    <n v="12"/>
    <x v="8"/>
    <d v="2020-03-01T00:00:00"/>
    <n v="3914"/>
    <x v="2"/>
  </r>
  <r>
    <x v="0"/>
    <x v="2"/>
    <n v="12"/>
    <x v="8"/>
    <d v="2020-03-01T00:00:00"/>
    <n v="4211"/>
    <x v="3"/>
  </r>
  <r>
    <x v="0"/>
    <x v="2"/>
    <n v="12"/>
    <x v="8"/>
    <d v="2020-03-01T00:00:00"/>
    <n v="4305"/>
    <x v="4"/>
  </r>
  <r>
    <x v="0"/>
    <x v="2"/>
    <n v="12"/>
    <x v="8"/>
    <d v="2020-03-01T00:00:00"/>
    <n v="3513"/>
    <x v="5"/>
  </r>
  <r>
    <x v="0"/>
    <x v="2"/>
    <n v="12"/>
    <x v="8"/>
    <d v="2020-03-01T00:00:00"/>
    <n v="4169"/>
    <x v="6"/>
  </r>
  <r>
    <x v="0"/>
    <x v="2"/>
    <n v="12"/>
    <x v="8"/>
    <d v="2020-03-01T00:00:00"/>
    <n v="5040"/>
    <x v="7"/>
  </r>
  <r>
    <x v="0"/>
    <x v="2"/>
    <n v="12"/>
    <x v="8"/>
    <d v="2020-03-01T00:00:00"/>
    <n v="5290"/>
    <x v="8"/>
  </r>
  <r>
    <x v="0"/>
    <x v="2"/>
    <n v="12"/>
    <x v="8"/>
    <d v="2020-03-01T00:00:00"/>
    <n v="4343"/>
    <x v="9"/>
  </r>
  <r>
    <x v="0"/>
    <x v="2"/>
    <n v="12"/>
    <x v="8"/>
    <d v="2020-03-01T00:00:00"/>
    <n v="4335"/>
    <x v="10"/>
  </r>
  <r>
    <x v="0"/>
    <x v="2"/>
    <n v="12"/>
    <x v="8"/>
    <d v="2020-03-01T00:00:00"/>
    <n v="3144"/>
    <x v="11"/>
  </r>
  <r>
    <x v="0"/>
    <x v="2"/>
    <n v="12"/>
    <x v="8"/>
    <d v="2020-03-01T00:00:00"/>
    <n v="50753"/>
    <x v="12"/>
  </r>
  <r>
    <x v="0"/>
    <x v="3"/>
    <n v="4"/>
    <x v="0"/>
    <d v="2020-03-01T00:00:00"/>
    <n v="118171"/>
    <x v="0"/>
  </r>
  <r>
    <x v="0"/>
    <x v="3"/>
    <n v="4"/>
    <x v="0"/>
    <d v="2020-03-01T00:00:00"/>
    <n v="116510"/>
    <x v="1"/>
  </r>
  <r>
    <x v="0"/>
    <x v="3"/>
    <n v="4"/>
    <x v="0"/>
    <d v="2020-03-01T00:00:00"/>
    <n v="120540"/>
    <x v="2"/>
  </r>
  <r>
    <x v="0"/>
    <x v="3"/>
    <n v="4"/>
    <x v="0"/>
    <d v="2020-03-01T00:00:00"/>
    <n v="120926"/>
    <x v="3"/>
  </r>
  <r>
    <x v="0"/>
    <x v="3"/>
    <n v="4"/>
    <x v="0"/>
    <d v="2020-03-01T00:00:00"/>
    <n v="119838"/>
    <x v="4"/>
  </r>
  <r>
    <x v="0"/>
    <x v="3"/>
    <n v="4"/>
    <x v="0"/>
    <d v="2020-03-01T00:00:00"/>
    <n v="117826"/>
    <x v="5"/>
  </r>
  <r>
    <x v="0"/>
    <x v="3"/>
    <n v="4"/>
    <x v="0"/>
    <d v="2020-03-01T00:00:00"/>
    <n v="116741"/>
    <x v="6"/>
  </r>
  <r>
    <x v="0"/>
    <x v="3"/>
    <n v="4"/>
    <x v="0"/>
    <d v="2020-03-01T00:00:00"/>
    <n v="122286"/>
    <x v="7"/>
  </r>
  <r>
    <x v="0"/>
    <x v="3"/>
    <n v="4"/>
    <x v="0"/>
    <d v="2020-03-01T00:00:00"/>
    <n v="120542"/>
    <x v="8"/>
  </r>
  <r>
    <x v="0"/>
    <x v="3"/>
    <n v="4"/>
    <x v="0"/>
    <d v="2020-03-01T00:00:00"/>
    <n v="123220"/>
    <x v="9"/>
  </r>
  <r>
    <x v="0"/>
    <x v="3"/>
    <n v="4"/>
    <x v="0"/>
    <d v="2020-03-01T00:00:00"/>
    <n v="117890"/>
    <x v="10"/>
  </r>
  <r>
    <x v="0"/>
    <x v="3"/>
    <n v="4"/>
    <x v="0"/>
    <d v="2020-03-01T00:00:00"/>
    <n v="192725"/>
    <x v="11"/>
  </r>
  <r>
    <x v="0"/>
    <x v="3"/>
    <n v="4"/>
    <x v="0"/>
    <d v="2020-03-01T00:00:00"/>
    <n v="1507215"/>
    <x v="12"/>
  </r>
  <r>
    <x v="0"/>
    <x v="3"/>
    <n v="5"/>
    <x v="1"/>
    <d v="2020-03-01T00:00:00"/>
    <n v="13642"/>
    <x v="0"/>
  </r>
  <r>
    <x v="0"/>
    <x v="3"/>
    <n v="5"/>
    <x v="1"/>
    <d v="2020-03-01T00:00:00"/>
    <n v="13407"/>
    <x v="1"/>
  </r>
  <r>
    <x v="0"/>
    <x v="3"/>
    <n v="5"/>
    <x v="1"/>
    <d v="2020-03-01T00:00:00"/>
    <n v="13214"/>
    <x v="2"/>
  </r>
  <r>
    <x v="0"/>
    <x v="3"/>
    <n v="5"/>
    <x v="1"/>
    <d v="2020-03-01T00:00:00"/>
    <n v="13763"/>
    <x v="3"/>
  </r>
  <r>
    <x v="0"/>
    <x v="3"/>
    <n v="5"/>
    <x v="1"/>
    <d v="2020-03-01T00:00:00"/>
    <n v="13925"/>
    <x v="4"/>
  </r>
  <r>
    <x v="0"/>
    <x v="3"/>
    <n v="5"/>
    <x v="1"/>
    <d v="2020-03-01T00:00:00"/>
    <n v="13561"/>
    <x v="5"/>
  </r>
  <r>
    <x v="0"/>
    <x v="3"/>
    <n v="5"/>
    <x v="1"/>
    <d v="2020-03-01T00:00:00"/>
    <n v="15234"/>
    <x v="6"/>
  </r>
  <r>
    <x v="0"/>
    <x v="3"/>
    <n v="5"/>
    <x v="1"/>
    <d v="2020-03-01T00:00:00"/>
    <n v="14522"/>
    <x v="7"/>
  </r>
  <r>
    <x v="0"/>
    <x v="3"/>
    <n v="5"/>
    <x v="1"/>
    <d v="2020-03-01T00:00:00"/>
    <n v="13369"/>
    <x v="8"/>
  </r>
  <r>
    <x v="0"/>
    <x v="3"/>
    <n v="5"/>
    <x v="1"/>
    <d v="2020-03-01T00:00:00"/>
    <n v="12993"/>
    <x v="9"/>
  </r>
  <r>
    <x v="0"/>
    <x v="3"/>
    <n v="5"/>
    <x v="1"/>
    <d v="2020-03-01T00:00:00"/>
    <n v="11036"/>
    <x v="10"/>
  </r>
  <r>
    <x v="0"/>
    <x v="3"/>
    <n v="5"/>
    <x v="1"/>
    <d v="2020-03-01T00:00:00"/>
    <n v="14009"/>
    <x v="11"/>
  </r>
  <r>
    <x v="0"/>
    <x v="3"/>
    <n v="5"/>
    <x v="1"/>
    <d v="2020-03-01T00:00:00"/>
    <n v="162675"/>
    <x v="12"/>
  </r>
  <r>
    <x v="0"/>
    <x v="3"/>
    <n v="6"/>
    <x v="2"/>
    <d v="2020-03-01T00:00:00"/>
    <n v="5649"/>
    <x v="0"/>
  </r>
  <r>
    <x v="0"/>
    <x v="3"/>
    <n v="6"/>
    <x v="2"/>
    <d v="2020-03-01T00:00:00"/>
    <n v="6258"/>
    <x v="1"/>
  </r>
  <r>
    <x v="0"/>
    <x v="3"/>
    <n v="6"/>
    <x v="2"/>
    <d v="2020-03-01T00:00:00"/>
    <n v="6173"/>
    <x v="2"/>
  </r>
  <r>
    <x v="0"/>
    <x v="3"/>
    <n v="6"/>
    <x v="2"/>
    <d v="2020-03-01T00:00:00"/>
    <n v="6174"/>
    <x v="3"/>
  </r>
  <r>
    <x v="0"/>
    <x v="3"/>
    <n v="6"/>
    <x v="2"/>
    <d v="2020-03-01T00:00:00"/>
    <n v="6462"/>
    <x v="4"/>
  </r>
  <r>
    <x v="0"/>
    <x v="3"/>
    <n v="6"/>
    <x v="2"/>
    <d v="2020-03-01T00:00:00"/>
    <n v="5839"/>
    <x v="5"/>
  </r>
  <r>
    <x v="0"/>
    <x v="3"/>
    <n v="6"/>
    <x v="2"/>
    <d v="2020-03-01T00:00:00"/>
    <n v="6446"/>
    <x v="6"/>
  </r>
  <r>
    <x v="0"/>
    <x v="3"/>
    <n v="6"/>
    <x v="2"/>
    <d v="2020-03-01T00:00:00"/>
    <n v="6220"/>
    <x v="7"/>
  </r>
  <r>
    <x v="0"/>
    <x v="3"/>
    <n v="6"/>
    <x v="2"/>
    <d v="2020-03-01T00:00:00"/>
    <n v="6295"/>
    <x v="8"/>
  </r>
  <r>
    <x v="0"/>
    <x v="3"/>
    <n v="6"/>
    <x v="2"/>
    <d v="2020-03-01T00:00:00"/>
    <n v="6384"/>
    <x v="9"/>
  </r>
  <r>
    <x v="0"/>
    <x v="3"/>
    <n v="6"/>
    <x v="2"/>
    <d v="2020-03-01T00:00:00"/>
    <n v="6107"/>
    <x v="10"/>
  </r>
  <r>
    <x v="0"/>
    <x v="3"/>
    <n v="6"/>
    <x v="2"/>
    <d v="2020-03-01T00:00:00"/>
    <n v="7124"/>
    <x v="11"/>
  </r>
  <r>
    <x v="0"/>
    <x v="3"/>
    <n v="6"/>
    <x v="2"/>
    <d v="2020-03-01T00:00:00"/>
    <n v="75131"/>
    <x v="12"/>
  </r>
  <r>
    <x v="0"/>
    <x v="3"/>
    <n v="7"/>
    <x v="3"/>
    <d v="2020-03-01T00:00:00"/>
    <n v="53404"/>
    <x v="0"/>
  </r>
  <r>
    <x v="0"/>
    <x v="3"/>
    <n v="7"/>
    <x v="3"/>
    <d v="2020-03-01T00:00:00"/>
    <n v="51517"/>
    <x v="1"/>
  </r>
  <r>
    <x v="0"/>
    <x v="3"/>
    <n v="7"/>
    <x v="3"/>
    <d v="2020-03-01T00:00:00"/>
    <n v="51556"/>
    <x v="2"/>
  </r>
  <r>
    <x v="0"/>
    <x v="3"/>
    <n v="7"/>
    <x v="3"/>
    <d v="2020-03-01T00:00:00"/>
    <n v="51858"/>
    <x v="3"/>
  </r>
  <r>
    <x v="0"/>
    <x v="3"/>
    <n v="7"/>
    <x v="3"/>
    <d v="2020-03-01T00:00:00"/>
    <n v="51452"/>
    <x v="4"/>
  </r>
  <r>
    <x v="0"/>
    <x v="3"/>
    <n v="7"/>
    <x v="3"/>
    <d v="2020-03-01T00:00:00"/>
    <n v="51207"/>
    <x v="5"/>
  </r>
  <r>
    <x v="0"/>
    <x v="3"/>
    <n v="7"/>
    <x v="3"/>
    <d v="2020-03-01T00:00:00"/>
    <n v="53428"/>
    <x v="6"/>
  </r>
  <r>
    <x v="0"/>
    <x v="3"/>
    <n v="7"/>
    <x v="3"/>
    <d v="2020-03-01T00:00:00"/>
    <n v="52331"/>
    <x v="7"/>
  </r>
  <r>
    <x v="0"/>
    <x v="3"/>
    <n v="7"/>
    <x v="3"/>
    <d v="2020-03-01T00:00:00"/>
    <n v="51936"/>
    <x v="8"/>
  </r>
  <r>
    <x v="0"/>
    <x v="3"/>
    <n v="7"/>
    <x v="3"/>
    <d v="2020-03-01T00:00:00"/>
    <n v="52639"/>
    <x v="9"/>
  </r>
  <r>
    <x v="0"/>
    <x v="3"/>
    <n v="7"/>
    <x v="3"/>
    <d v="2020-03-01T00:00:00"/>
    <n v="51797"/>
    <x v="10"/>
  </r>
  <r>
    <x v="0"/>
    <x v="3"/>
    <n v="7"/>
    <x v="3"/>
    <d v="2020-03-01T00:00:00"/>
    <n v="81652"/>
    <x v="11"/>
  </r>
  <r>
    <x v="0"/>
    <x v="3"/>
    <n v="7"/>
    <x v="3"/>
    <d v="2020-03-01T00:00:00"/>
    <n v="654777"/>
    <x v="12"/>
  </r>
  <r>
    <x v="0"/>
    <x v="3"/>
    <n v="8"/>
    <x v="4"/>
    <d v="2020-03-01T00:00:00"/>
    <n v="12974"/>
    <x v="0"/>
  </r>
  <r>
    <x v="0"/>
    <x v="3"/>
    <n v="8"/>
    <x v="4"/>
    <d v="2020-03-01T00:00:00"/>
    <n v="14318"/>
    <x v="1"/>
  </r>
  <r>
    <x v="0"/>
    <x v="3"/>
    <n v="8"/>
    <x v="4"/>
    <d v="2020-03-01T00:00:00"/>
    <n v="14015"/>
    <x v="2"/>
  </r>
  <r>
    <x v="0"/>
    <x v="3"/>
    <n v="8"/>
    <x v="4"/>
    <d v="2020-03-01T00:00:00"/>
    <n v="15316"/>
    <x v="3"/>
  </r>
  <r>
    <x v="0"/>
    <x v="3"/>
    <n v="8"/>
    <x v="4"/>
    <d v="2020-03-01T00:00:00"/>
    <n v="13342"/>
    <x v="4"/>
  </r>
  <r>
    <x v="0"/>
    <x v="3"/>
    <n v="8"/>
    <x v="4"/>
    <d v="2020-03-01T00:00:00"/>
    <n v="13177"/>
    <x v="5"/>
  </r>
  <r>
    <x v="0"/>
    <x v="3"/>
    <n v="8"/>
    <x v="4"/>
    <d v="2020-03-01T00:00:00"/>
    <n v="14482"/>
    <x v="6"/>
  </r>
  <r>
    <x v="0"/>
    <x v="3"/>
    <n v="8"/>
    <x v="4"/>
    <d v="2020-03-01T00:00:00"/>
    <n v="15104"/>
    <x v="7"/>
  </r>
  <r>
    <x v="0"/>
    <x v="3"/>
    <n v="8"/>
    <x v="4"/>
    <d v="2020-03-01T00:00:00"/>
    <n v="14309"/>
    <x v="8"/>
  </r>
  <r>
    <x v="0"/>
    <x v="3"/>
    <n v="8"/>
    <x v="4"/>
    <d v="2020-03-01T00:00:00"/>
    <n v="16211"/>
    <x v="9"/>
  </r>
  <r>
    <x v="0"/>
    <x v="3"/>
    <n v="8"/>
    <x v="4"/>
    <d v="2020-03-01T00:00:00"/>
    <n v="15129"/>
    <x v="10"/>
  </r>
  <r>
    <x v="0"/>
    <x v="3"/>
    <n v="8"/>
    <x v="4"/>
    <d v="2020-03-01T00:00:00"/>
    <n v="26067"/>
    <x v="11"/>
  </r>
  <r>
    <x v="0"/>
    <x v="3"/>
    <n v="8"/>
    <x v="4"/>
    <d v="2020-03-01T00:00:00"/>
    <n v="184444"/>
    <x v="12"/>
  </r>
  <r>
    <x v="0"/>
    <x v="3"/>
    <n v="9"/>
    <x v="5"/>
    <d v="2020-03-01T00:00:00"/>
    <n v="6148"/>
    <x v="0"/>
  </r>
  <r>
    <x v="0"/>
    <x v="3"/>
    <n v="9"/>
    <x v="5"/>
    <d v="2020-03-01T00:00:00"/>
    <n v="6482"/>
    <x v="1"/>
  </r>
  <r>
    <x v="0"/>
    <x v="3"/>
    <n v="9"/>
    <x v="5"/>
    <d v="2020-03-01T00:00:00"/>
    <n v="7153"/>
    <x v="2"/>
  </r>
  <r>
    <x v="0"/>
    <x v="3"/>
    <n v="9"/>
    <x v="5"/>
    <d v="2020-03-01T00:00:00"/>
    <n v="6328"/>
    <x v="3"/>
  </r>
  <r>
    <x v="0"/>
    <x v="3"/>
    <n v="9"/>
    <x v="5"/>
    <d v="2020-03-01T00:00:00"/>
    <n v="6943"/>
    <x v="4"/>
  </r>
  <r>
    <x v="0"/>
    <x v="3"/>
    <n v="9"/>
    <x v="5"/>
    <d v="2020-03-01T00:00:00"/>
    <n v="6282"/>
    <x v="5"/>
  </r>
  <r>
    <x v="0"/>
    <x v="3"/>
    <n v="9"/>
    <x v="5"/>
    <d v="2020-03-01T00:00:00"/>
    <n v="7264"/>
    <x v="6"/>
  </r>
  <r>
    <x v="0"/>
    <x v="3"/>
    <n v="9"/>
    <x v="5"/>
    <d v="2020-03-01T00:00:00"/>
    <n v="7039"/>
    <x v="7"/>
  </r>
  <r>
    <x v="0"/>
    <x v="3"/>
    <n v="9"/>
    <x v="5"/>
    <d v="2020-03-01T00:00:00"/>
    <n v="5858"/>
    <x v="8"/>
  </r>
  <r>
    <x v="0"/>
    <x v="3"/>
    <n v="9"/>
    <x v="5"/>
    <d v="2020-03-01T00:00:00"/>
    <n v="7405"/>
    <x v="9"/>
  </r>
  <r>
    <x v="0"/>
    <x v="3"/>
    <n v="9"/>
    <x v="5"/>
    <d v="2020-03-01T00:00:00"/>
    <n v="7161"/>
    <x v="10"/>
  </r>
  <r>
    <x v="0"/>
    <x v="3"/>
    <n v="9"/>
    <x v="5"/>
    <d v="2020-03-01T00:00:00"/>
    <n v="8300"/>
    <x v="11"/>
  </r>
  <r>
    <x v="0"/>
    <x v="3"/>
    <n v="9"/>
    <x v="5"/>
    <d v="2020-03-01T00:00:00"/>
    <n v="82363"/>
    <x v="12"/>
  </r>
  <r>
    <x v="0"/>
    <x v="3"/>
    <n v="10"/>
    <x v="6"/>
    <d v="2020-03-01T00:00:00"/>
    <n v="13873"/>
    <x v="0"/>
  </r>
  <r>
    <x v="0"/>
    <x v="3"/>
    <n v="10"/>
    <x v="6"/>
    <d v="2020-03-01T00:00:00"/>
    <n v="12209"/>
    <x v="1"/>
  </r>
  <r>
    <x v="0"/>
    <x v="3"/>
    <n v="10"/>
    <x v="6"/>
    <d v="2020-03-01T00:00:00"/>
    <n v="15020"/>
    <x v="2"/>
  </r>
  <r>
    <x v="0"/>
    <x v="3"/>
    <n v="10"/>
    <x v="6"/>
    <d v="2020-03-01T00:00:00"/>
    <n v="13965"/>
    <x v="3"/>
  </r>
  <r>
    <x v="0"/>
    <x v="3"/>
    <n v="10"/>
    <x v="6"/>
    <d v="2020-03-01T00:00:00"/>
    <n v="14122"/>
    <x v="4"/>
  </r>
  <r>
    <x v="0"/>
    <x v="3"/>
    <n v="10"/>
    <x v="6"/>
    <d v="2020-03-01T00:00:00"/>
    <n v="13844"/>
    <x v="5"/>
  </r>
  <r>
    <x v="0"/>
    <x v="3"/>
    <n v="10"/>
    <x v="6"/>
    <d v="2020-03-01T00:00:00"/>
    <n v="13778"/>
    <x v="6"/>
  </r>
  <r>
    <x v="0"/>
    <x v="3"/>
    <n v="10"/>
    <x v="6"/>
    <d v="2020-03-01T00:00:00"/>
    <n v="13862"/>
    <x v="7"/>
  </r>
  <r>
    <x v="0"/>
    <x v="3"/>
    <n v="10"/>
    <x v="6"/>
    <d v="2020-03-01T00:00:00"/>
    <n v="14008"/>
    <x v="8"/>
  </r>
  <r>
    <x v="0"/>
    <x v="3"/>
    <n v="10"/>
    <x v="6"/>
    <d v="2020-03-01T00:00:00"/>
    <n v="14136"/>
    <x v="9"/>
  </r>
  <r>
    <x v="0"/>
    <x v="3"/>
    <n v="10"/>
    <x v="6"/>
    <d v="2020-03-01T00:00:00"/>
    <n v="14640"/>
    <x v="10"/>
  </r>
  <r>
    <x v="0"/>
    <x v="3"/>
    <n v="10"/>
    <x v="6"/>
    <d v="2020-03-01T00:00:00"/>
    <n v="15296"/>
    <x v="11"/>
  </r>
  <r>
    <x v="0"/>
    <x v="3"/>
    <n v="10"/>
    <x v="6"/>
    <d v="2020-03-01T00:00:00"/>
    <n v="168753"/>
    <x v="12"/>
  </r>
  <r>
    <x v="0"/>
    <x v="3"/>
    <n v="11"/>
    <x v="7"/>
    <d v="2020-03-01T00:00:00"/>
    <n v="777"/>
    <x v="0"/>
  </r>
  <r>
    <x v="0"/>
    <x v="3"/>
    <n v="11"/>
    <x v="7"/>
    <d v="2020-03-01T00:00:00"/>
    <n v="783"/>
    <x v="1"/>
  </r>
  <r>
    <x v="0"/>
    <x v="3"/>
    <n v="11"/>
    <x v="7"/>
    <d v="2020-03-01T00:00:00"/>
    <n v="787"/>
    <x v="2"/>
  </r>
  <r>
    <x v="0"/>
    <x v="3"/>
    <n v="11"/>
    <x v="7"/>
    <d v="2020-03-01T00:00:00"/>
    <n v="1015"/>
    <x v="3"/>
  </r>
  <r>
    <x v="0"/>
    <x v="3"/>
    <n v="11"/>
    <x v="7"/>
    <d v="2020-03-01T00:00:00"/>
    <n v="906"/>
    <x v="4"/>
  </r>
  <r>
    <x v="0"/>
    <x v="3"/>
    <n v="11"/>
    <x v="7"/>
    <d v="2020-03-01T00:00:00"/>
    <n v="833.87449346076505"/>
    <x v="5"/>
  </r>
  <r>
    <x v="0"/>
    <x v="3"/>
    <n v="11"/>
    <x v="7"/>
    <d v="2020-03-01T00:00:00"/>
    <n v="893"/>
    <x v="6"/>
  </r>
  <r>
    <x v="0"/>
    <x v="3"/>
    <n v="11"/>
    <x v="7"/>
    <d v="2020-03-01T00:00:00"/>
    <n v="881"/>
    <x v="7"/>
  </r>
  <r>
    <x v="0"/>
    <x v="3"/>
    <n v="11"/>
    <x v="7"/>
    <d v="2020-03-01T00:00:00"/>
    <n v="850"/>
    <x v="8"/>
  </r>
  <r>
    <x v="0"/>
    <x v="3"/>
    <n v="11"/>
    <x v="7"/>
    <d v="2020-03-01T00:00:00"/>
    <n v="868"/>
    <x v="9"/>
  </r>
  <r>
    <x v="0"/>
    <x v="3"/>
    <n v="11"/>
    <x v="7"/>
    <d v="2020-03-01T00:00:00"/>
    <n v="908"/>
    <x v="10"/>
  </r>
  <r>
    <x v="0"/>
    <x v="3"/>
    <n v="11"/>
    <x v="7"/>
    <d v="2020-03-01T00:00:00"/>
    <n v="376"/>
    <x v="11"/>
  </r>
  <r>
    <x v="0"/>
    <x v="3"/>
    <n v="11"/>
    <x v="7"/>
    <d v="2020-03-01T00:00:00"/>
    <n v="9877.8744934607603"/>
    <x v="12"/>
  </r>
  <r>
    <x v="0"/>
    <x v="3"/>
    <n v="12"/>
    <x v="8"/>
    <d v="2020-03-01T00:00:00"/>
    <n v="5418"/>
    <x v="0"/>
  </r>
  <r>
    <x v="0"/>
    <x v="3"/>
    <n v="12"/>
    <x v="8"/>
    <d v="2020-03-01T00:00:00"/>
    <n v="5669"/>
    <x v="1"/>
  </r>
  <r>
    <x v="0"/>
    <x v="3"/>
    <n v="12"/>
    <x v="8"/>
    <d v="2020-03-01T00:00:00"/>
    <n v="5646"/>
    <x v="2"/>
  </r>
  <r>
    <x v="0"/>
    <x v="3"/>
    <n v="12"/>
    <x v="8"/>
    <d v="2020-03-01T00:00:00"/>
    <n v="5718"/>
    <x v="3"/>
  </r>
  <r>
    <x v="0"/>
    <x v="3"/>
    <n v="12"/>
    <x v="8"/>
    <d v="2020-03-01T00:00:00"/>
    <n v="6027"/>
    <x v="4"/>
  </r>
  <r>
    <x v="0"/>
    <x v="3"/>
    <n v="12"/>
    <x v="8"/>
    <d v="2020-03-01T00:00:00"/>
    <n v="5906"/>
    <x v="5"/>
  </r>
  <r>
    <x v="0"/>
    <x v="3"/>
    <n v="12"/>
    <x v="8"/>
    <d v="2020-03-01T00:00:00"/>
    <n v="6133"/>
    <x v="6"/>
  </r>
  <r>
    <x v="0"/>
    <x v="3"/>
    <n v="12"/>
    <x v="8"/>
    <d v="2020-03-01T00:00:00"/>
    <n v="5629"/>
    <x v="7"/>
  </r>
  <r>
    <x v="0"/>
    <x v="3"/>
    <n v="12"/>
    <x v="8"/>
    <d v="2020-03-01T00:00:00"/>
    <n v="5878"/>
    <x v="8"/>
  </r>
  <r>
    <x v="0"/>
    <x v="3"/>
    <n v="12"/>
    <x v="8"/>
    <d v="2020-03-01T00:00:00"/>
    <n v="5563"/>
    <x v="9"/>
  </r>
  <r>
    <x v="0"/>
    <x v="3"/>
    <n v="12"/>
    <x v="8"/>
    <d v="2020-03-01T00:00:00"/>
    <n v="4915"/>
    <x v="10"/>
  </r>
  <r>
    <x v="0"/>
    <x v="3"/>
    <n v="12"/>
    <x v="8"/>
    <d v="2020-03-01T00:00:00"/>
    <n v="5719"/>
    <x v="11"/>
  </r>
  <r>
    <x v="0"/>
    <x v="3"/>
    <n v="12"/>
    <x v="8"/>
    <d v="2020-03-01T00:00:00"/>
    <n v="68221"/>
    <x v="12"/>
  </r>
  <r>
    <x v="0"/>
    <x v="4"/>
    <n v="4"/>
    <x v="0"/>
    <d v="2020-03-01T00:00:00"/>
    <n v="75031.162453333294"/>
    <x v="0"/>
  </r>
  <r>
    <x v="0"/>
    <x v="4"/>
    <n v="4"/>
    <x v="0"/>
    <d v="2020-03-01T00:00:00"/>
    <n v="75643.290479999996"/>
    <x v="1"/>
  </r>
  <r>
    <x v="0"/>
    <x v="4"/>
    <n v="4"/>
    <x v="0"/>
    <d v="2020-03-01T00:00:00"/>
    <n v="71506.472450000001"/>
    <x v="2"/>
  </r>
  <r>
    <x v="0"/>
    <x v="4"/>
    <n v="4"/>
    <x v="0"/>
    <d v="2020-03-01T00:00:00"/>
    <n v="78097.099619999994"/>
    <x v="3"/>
  </r>
  <r>
    <x v="0"/>
    <x v="4"/>
    <n v="4"/>
    <x v="0"/>
    <d v="2020-03-01T00:00:00"/>
    <n v="75648.67916"/>
    <x v="4"/>
  </r>
  <r>
    <x v="0"/>
    <x v="4"/>
    <n v="4"/>
    <x v="0"/>
    <d v="2020-03-01T00:00:00"/>
    <n v="74576.27923"/>
    <x v="5"/>
  </r>
  <r>
    <x v="0"/>
    <x v="4"/>
    <n v="4"/>
    <x v="0"/>
    <d v="2020-03-01T00:00:00"/>
    <n v="79532"/>
    <x v="6"/>
  </r>
  <r>
    <x v="0"/>
    <x v="4"/>
    <n v="4"/>
    <x v="0"/>
    <d v="2020-03-01T00:00:00"/>
    <n v="76852"/>
    <x v="7"/>
  </r>
  <r>
    <x v="0"/>
    <x v="4"/>
    <n v="4"/>
    <x v="0"/>
    <d v="2020-03-01T00:00:00"/>
    <n v="85903"/>
    <x v="8"/>
  </r>
  <r>
    <x v="0"/>
    <x v="4"/>
    <n v="4"/>
    <x v="0"/>
    <d v="2020-03-01T00:00:00"/>
    <n v="70393"/>
    <x v="9"/>
  </r>
  <r>
    <x v="0"/>
    <x v="4"/>
    <n v="4"/>
    <x v="0"/>
    <d v="2020-03-01T00:00:00"/>
    <n v="82722"/>
    <x v="10"/>
  </r>
  <r>
    <x v="0"/>
    <x v="4"/>
    <n v="4"/>
    <x v="0"/>
    <d v="2020-03-01T00:00:00"/>
    <n v="110823"/>
    <x v="11"/>
  </r>
  <r>
    <x v="0"/>
    <x v="4"/>
    <n v="4"/>
    <x v="0"/>
    <d v="2020-03-01T00:00:00"/>
    <n v="956727.98339333304"/>
    <x v="12"/>
  </r>
  <r>
    <x v="0"/>
    <x v="4"/>
    <n v="5"/>
    <x v="1"/>
    <d v="2020-03-01T00:00:00"/>
    <n v="9943.8469600000008"/>
    <x v="0"/>
  </r>
  <r>
    <x v="0"/>
    <x v="4"/>
    <n v="5"/>
    <x v="1"/>
    <d v="2020-03-01T00:00:00"/>
    <n v="9937.1530399999992"/>
    <x v="1"/>
  </r>
  <r>
    <x v="0"/>
    <x v="4"/>
    <n v="5"/>
    <x v="1"/>
    <d v="2020-03-01T00:00:00"/>
    <n v="10134.74107"/>
    <x v="2"/>
  </r>
  <r>
    <x v="0"/>
    <x v="4"/>
    <n v="5"/>
    <x v="1"/>
    <d v="2020-03-01T00:00:00"/>
    <n v="9889.9639599999991"/>
    <x v="3"/>
  </r>
  <r>
    <x v="0"/>
    <x v="4"/>
    <n v="5"/>
    <x v="1"/>
    <d v="2020-03-01T00:00:00"/>
    <n v="10095.69464"/>
    <x v="4"/>
  </r>
  <r>
    <x v="0"/>
    <x v="4"/>
    <n v="5"/>
    <x v="1"/>
    <d v="2020-03-01T00:00:00"/>
    <n v="9884.3479999999909"/>
    <x v="5"/>
  </r>
  <r>
    <x v="0"/>
    <x v="4"/>
    <n v="5"/>
    <x v="1"/>
    <d v="2020-03-01T00:00:00"/>
    <n v="8924"/>
    <x v="6"/>
  </r>
  <r>
    <x v="0"/>
    <x v="4"/>
    <n v="5"/>
    <x v="1"/>
    <d v="2020-03-01T00:00:00"/>
    <n v="9962"/>
    <x v="7"/>
  </r>
  <r>
    <x v="0"/>
    <x v="4"/>
    <n v="5"/>
    <x v="1"/>
    <d v="2020-03-01T00:00:00"/>
    <n v="10227"/>
    <x v="8"/>
  </r>
  <r>
    <x v="0"/>
    <x v="4"/>
    <n v="5"/>
    <x v="1"/>
    <d v="2020-03-01T00:00:00"/>
    <n v="9734"/>
    <x v="9"/>
  </r>
  <r>
    <x v="0"/>
    <x v="4"/>
    <n v="5"/>
    <x v="1"/>
    <d v="2020-03-01T00:00:00"/>
    <n v="10859"/>
    <x v="10"/>
  </r>
  <r>
    <x v="0"/>
    <x v="4"/>
    <n v="5"/>
    <x v="1"/>
    <d v="2020-03-01T00:00:00"/>
    <n v="14205"/>
    <x v="11"/>
  </r>
  <r>
    <x v="0"/>
    <x v="4"/>
    <n v="5"/>
    <x v="1"/>
    <d v="2020-03-01T00:00:00"/>
    <n v="123796.74767"/>
    <x v="12"/>
  </r>
  <r>
    <x v="0"/>
    <x v="4"/>
    <n v="6"/>
    <x v="2"/>
    <d v="2020-03-01T00:00:00"/>
    <n v="5684.9364999999998"/>
    <x v="0"/>
  </r>
  <r>
    <x v="0"/>
    <x v="4"/>
    <n v="6"/>
    <x v="2"/>
    <d v="2020-03-01T00:00:00"/>
    <n v="5708.0635000000002"/>
    <x v="1"/>
  </r>
  <r>
    <x v="0"/>
    <x v="4"/>
    <n v="6"/>
    <x v="2"/>
    <d v="2020-03-01T00:00:00"/>
    <n v="5629.8719099999998"/>
    <x v="2"/>
  </r>
  <r>
    <x v="0"/>
    <x v="4"/>
    <n v="6"/>
    <x v="2"/>
    <d v="2020-03-01T00:00:00"/>
    <n v="5684.9638500000001"/>
    <x v="3"/>
  </r>
  <r>
    <x v="0"/>
    <x v="4"/>
    <n v="6"/>
    <x v="2"/>
    <d v="2020-03-01T00:00:00"/>
    <n v="6044.2468099999996"/>
    <x v="4"/>
  </r>
  <r>
    <x v="0"/>
    <x v="4"/>
    <n v="6"/>
    <x v="2"/>
    <d v="2020-03-01T00:00:00"/>
    <n v="5716.1748399999997"/>
    <x v="5"/>
  </r>
  <r>
    <x v="0"/>
    <x v="4"/>
    <n v="6"/>
    <x v="2"/>
    <d v="2020-03-01T00:00:00"/>
    <n v="7143"/>
    <x v="6"/>
  </r>
  <r>
    <x v="0"/>
    <x v="4"/>
    <n v="6"/>
    <x v="2"/>
    <d v="2020-03-01T00:00:00"/>
    <n v="6136"/>
    <x v="7"/>
  </r>
  <r>
    <x v="0"/>
    <x v="4"/>
    <n v="6"/>
    <x v="2"/>
    <d v="2020-03-01T00:00:00"/>
    <n v="6113"/>
    <x v="8"/>
  </r>
  <r>
    <x v="0"/>
    <x v="4"/>
    <n v="6"/>
    <x v="2"/>
    <d v="2020-03-01T00:00:00"/>
    <n v="6406"/>
    <x v="9"/>
  </r>
  <r>
    <x v="0"/>
    <x v="4"/>
    <n v="6"/>
    <x v="2"/>
    <d v="2020-03-01T00:00:00"/>
    <n v="5753"/>
    <x v="10"/>
  </r>
  <r>
    <x v="0"/>
    <x v="4"/>
    <n v="6"/>
    <x v="2"/>
    <d v="2020-03-01T00:00:00"/>
    <n v="6671"/>
    <x v="11"/>
  </r>
  <r>
    <x v="0"/>
    <x v="4"/>
    <n v="6"/>
    <x v="2"/>
    <d v="2020-03-01T00:00:00"/>
    <n v="72690.257410000006"/>
    <x v="12"/>
  </r>
  <r>
    <x v="0"/>
    <x v="4"/>
    <n v="7"/>
    <x v="3"/>
    <d v="2020-03-01T00:00:00"/>
    <n v="35605.365539999999"/>
    <x v="0"/>
  </r>
  <r>
    <x v="0"/>
    <x v="4"/>
    <n v="7"/>
    <x v="3"/>
    <d v="2020-03-01T00:00:00"/>
    <n v="34579"/>
    <x v="1"/>
  </r>
  <r>
    <x v="0"/>
    <x v="4"/>
    <n v="7"/>
    <x v="3"/>
    <d v="2020-03-01T00:00:00"/>
    <n v="34024.898699999998"/>
    <x v="2"/>
  </r>
  <r>
    <x v="0"/>
    <x v="4"/>
    <n v="7"/>
    <x v="3"/>
    <d v="2020-03-01T00:00:00"/>
    <n v="34108.992899999997"/>
    <x v="3"/>
  </r>
  <r>
    <x v="0"/>
    <x v="4"/>
    <n v="7"/>
    <x v="3"/>
    <d v="2020-03-01T00:00:00"/>
    <n v="34464.784509999998"/>
    <x v="4"/>
  </r>
  <r>
    <x v="0"/>
    <x v="4"/>
    <n v="7"/>
    <x v="3"/>
    <d v="2020-03-01T00:00:00"/>
    <n v="34553"/>
    <x v="5"/>
  </r>
  <r>
    <x v="0"/>
    <x v="4"/>
    <n v="7"/>
    <x v="3"/>
    <d v="2020-03-01T00:00:00"/>
    <n v="35827"/>
    <x v="6"/>
  </r>
  <r>
    <x v="0"/>
    <x v="4"/>
    <n v="7"/>
    <x v="3"/>
    <d v="2020-03-01T00:00:00"/>
    <n v="35093"/>
    <x v="7"/>
  </r>
  <r>
    <x v="0"/>
    <x v="4"/>
    <n v="7"/>
    <x v="3"/>
    <d v="2020-03-01T00:00:00"/>
    <n v="34770"/>
    <x v="8"/>
  </r>
  <r>
    <x v="0"/>
    <x v="4"/>
    <n v="7"/>
    <x v="3"/>
    <d v="2020-03-01T00:00:00"/>
    <n v="35027"/>
    <x v="9"/>
  </r>
  <r>
    <x v="0"/>
    <x v="4"/>
    <n v="7"/>
    <x v="3"/>
    <d v="2020-03-01T00:00:00"/>
    <n v="36095"/>
    <x v="10"/>
  </r>
  <r>
    <x v="0"/>
    <x v="4"/>
    <n v="7"/>
    <x v="3"/>
    <d v="2020-03-01T00:00:00"/>
    <n v="54542"/>
    <x v="11"/>
  </r>
  <r>
    <x v="0"/>
    <x v="4"/>
    <n v="7"/>
    <x v="3"/>
    <d v="2020-03-01T00:00:00"/>
    <n v="438690.04165000003"/>
    <x v="12"/>
  </r>
  <r>
    <x v="0"/>
    <x v="4"/>
    <n v="8"/>
    <x v="4"/>
    <d v="2020-03-01T00:00:00"/>
    <n v="5865.7126600000001"/>
    <x v="0"/>
  </r>
  <r>
    <x v="0"/>
    <x v="4"/>
    <n v="8"/>
    <x v="4"/>
    <d v="2020-03-01T00:00:00"/>
    <n v="6605"/>
    <x v="1"/>
  </r>
  <r>
    <x v="0"/>
    <x v="4"/>
    <n v="8"/>
    <x v="4"/>
    <d v="2020-03-01T00:00:00"/>
    <n v="5449.0097599999999"/>
    <x v="2"/>
  </r>
  <r>
    <x v="0"/>
    <x v="4"/>
    <n v="8"/>
    <x v="4"/>
    <d v="2020-03-01T00:00:00"/>
    <n v="7001.8401000000003"/>
    <x v="3"/>
  </r>
  <r>
    <x v="0"/>
    <x v="4"/>
    <n v="8"/>
    <x v="4"/>
    <d v="2020-03-01T00:00:00"/>
    <n v="5841.2601299999997"/>
    <x v="4"/>
  </r>
  <r>
    <x v="0"/>
    <x v="4"/>
    <n v="8"/>
    <x v="4"/>
    <d v="2020-03-01T00:00:00"/>
    <n v="4829.9059200000002"/>
    <x v="5"/>
  </r>
  <r>
    <x v="0"/>
    <x v="4"/>
    <n v="8"/>
    <x v="4"/>
    <d v="2020-03-01T00:00:00"/>
    <n v="6678"/>
    <x v="6"/>
  </r>
  <r>
    <x v="0"/>
    <x v="4"/>
    <n v="8"/>
    <x v="4"/>
    <d v="2020-03-01T00:00:00"/>
    <n v="6750"/>
    <x v="7"/>
  </r>
  <r>
    <x v="0"/>
    <x v="4"/>
    <n v="8"/>
    <x v="4"/>
    <d v="2020-03-01T00:00:00"/>
    <n v="6274"/>
    <x v="8"/>
  </r>
  <r>
    <x v="0"/>
    <x v="4"/>
    <n v="8"/>
    <x v="4"/>
    <d v="2020-03-01T00:00:00"/>
    <n v="7272"/>
    <x v="9"/>
  </r>
  <r>
    <x v="0"/>
    <x v="4"/>
    <n v="8"/>
    <x v="4"/>
    <d v="2020-03-01T00:00:00"/>
    <n v="10262"/>
    <x v="10"/>
  </r>
  <r>
    <x v="0"/>
    <x v="4"/>
    <n v="8"/>
    <x v="4"/>
    <d v="2020-03-01T00:00:00"/>
    <n v="13215"/>
    <x v="11"/>
  </r>
  <r>
    <x v="0"/>
    <x v="4"/>
    <n v="8"/>
    <x v="4"/>
    <d v="2020-03-01T00:00:00"/>
    <n v="86043.728570000007"/>
    <x v="12"/>
  </r>
  <r>
    <x v="0"/>
    <x v="4"/>
    <n v="9"/>
    <x v="5"/>
    <d v="2020-03-01T00:00:00"/>
    <n v="3579.1733599999998"/>
    <x v="0"/>
  </r>
  <r>
    <x v="0"/>
    <x v="4"/>
    <n v="9"/>
    <x v="5"/>
    <d v="2020-03-01T00:00:00"/>
    <n v="3380.8266400000002"/>
    <x v="1"/>
  </r>
  <r>
    <x v="0"/>
    <x v="4"/>
    <n v="9"/>
    <x v="5"/>
    <d v="2020-03-01T00:00:00"/>
    <n v="3340.87354"/>
    <x v="2"/>
  </r>
  <r>
    <x v="0"/>
    <x v="4"/>
    <n v="9"/>
    <x v="5"/>
    <d v="2020-03-01T00:00:00"/>
    <n v="3429.1384600000001"/>
    <x v="3"/>
  </r>
  <r>
    <x v="0"/>
    <x v="4"/>
    <n v="9"/>
    <x v="5"/>
    <d v="2020-03-01T00:00:00"/>
    <n v="3960.1163900000001"/>
    <x v="4"/>
  </r>
  <r>
    <x v="0"/>
    <x v="4"/>
    <n v="9"/>
    <x v="5"/>
    <d v="2020-03-01T00:00:00"/>
    <n v="3313.8983499999999"/>
    <x v="5"/>
  </r>
  <r>
    <x v="0"/>
    <x v="4"/>
    <n v="9"/>
    <x v="5"/>
    <d v="2020-03-01T00:00:00"/>
    <n v="3606"/>
    <x v="6"/>
  </r>
  <r>
    <x v="0"/>
    <x v="4"/>
    <n v="9"/>
    <x v="5"/>
    <d v="2020-03-01T00:00:00"/>
    <n v="3461"/>
    <x v="7"/>
  </r>
  <r>
    <x v="0"/>
    <x v="4"/>
    <n v="9"/>
    <x v="5"/>
    <d v="2020-03-01T00:00:00"/>
    <n v="3856"/>
    <x v="8"/>
  </r>
  <r>
    <x v="0"/>
    <x v="4"/>
    <n v="9"/>
    <x v="5"/>
    <d v="2020-03-01T00:00:00"/>
    <n v="4009"/>
    <x v="9"/>
  </r>
  <r>
    <x v="0"/>
    <x v="4"/>
    <n v="9"/>
    <x v="5"/>
    <d v="2020-03-01T00:00:00"/>
    <n v="3222"/>
    <x v="10"/>
  </r>
  <r>
    <x v="0"/>
    <x v="4"/>
    <n v="9"/>
    <x v="5"/>
    <d v="2020-03-01T00:00:00"/>
    <n v="4600"/>
    <x v="11"/>
  </r>
  <r>
    <x v="0"/>
    <x v="4"/>
    <n v="9"/>
    <x v="5"/>
    <d v="2020-03-01T00:00:00"/>
    <n v="43758.026740000001"/>
    <x v="12"/>
  </r>
  <r>
    <x v="0"/>
    <x v="4"/>
    <n v="10"/>
    <x v="6"/>
    <d v="2020-03-01T00:00:00"/>
    <n v="11401.5746"/>
    <x v="0"/>
  </r>
  <r>
    <x v="0"/>
    <x v="4"/>
    <n v="10"/>
    <x v="6"/>
    <d v="2020-03-01T00:00:00"/>
    <n v="12643.4254"/>
    <x v="1"/>
  </r>
  <r>
    <x v="0"/>
    <x v="4"/>
    <n v="10"/>
    <x v="6"/>
    <d v="2020-03-01T00:00:00"/>
    <n v="11695.21024"/>
    <x v="2"/>
  </r>
  <r>
    <x v="0"/>
    <x v="4"/>
    <n v="10"/>
    <x v="6"/>
    <d v="2020-03-01T00:00:00"/>
    <n v="11484.97782"/>
    <x v="3"/>
  </r>
  <r>
    <x v="0"/>
    <x v="4"/>
    <n v="10"/>
    <x v="6"/>
    <d v="2020-03-01T00:00:00"/>
    <n v="11583.616459999999"/>
    <x v="4"/>
  </r>
  <r>
    <x v="0"/>
    <x v="4"/>
    <n v="10"/>
    <x v="6"/>
    <d v="2020-03-01T00:00:00"/>
    <n v="12333.440329999999"/>
    <x v="5"/>
  </r>
  <r>
    <x v="0"/>
    <x v="4"/>
    <n v="10"/>
    <x v="6"/>
    <d v="2020-03-01T00:00:00"/>
    <n v="11685"/>
    <x v="6"/>
  </r>
  <r>
    <x v="0"/>
    <x v="4"/>
    <n v="10"/>
    <x v="6"/>
    <d v="2020-03-01T00:00:00"/>
    <n v="12771"/>
    <x v="7"/>
  </r>
  <r>
    <x v="0"/>
    <x v="4"/>
    <n v="10"/>
    <x v="6"/>
    <d v="2020-03-01T00:00:00"/>
    <n v="11612"/>
    <x v="8"/>
  </r>
  <r>
    <x v="0"/>
    <x v="4"/>
    <n v="10"/>
    <x v="6"/>
    <d v="2020-03-01T00:00:00"/>
    <n v="12604"/>
    <x v="9"/>
  </r>
  <r>
    <x v="0"/>
    <x v="4"/>
    <n v="10"/>
    <x v="6"/>
    <d v="2020-03-01T00:00:00"/>
    <n v="11990"/>
    <x v="10"/>
  </r>
  <r>
    <x v="0"/>
    <x v="4"/>
    <n v="10"/>
    <x v="6"/>
    <d v="2020-03-01T00:00:00"/>
    <n v="10292"/>
    <x v="11"/>
  </r>
  <r>
    <x v="0"/>
    <x v="4"/>
    <n v="10"/>
    <x v="6"/>
    <d v="2020-03-01T00:00:00"/>
    <n v="142096.24484999999"/>
    <x v="12"/>
  </r>
  <r>
    <x v="0"/>
    <x v="4"/>
    <n v="11"/>
    <x v="7"/>
    <d v="2020-03-01T00:00:00"/>
    <n v="10"/>
    <x v="0"/>
  </r>
  <r>
    <x v="0"/>
    <x v="4"/>
    <n v="11"/>
    <x v="7"/>
    <d v="2020-03-01T00:00:00"/>
    <n v="5"/>
    <x v="1"/>
  </r>
  <r>
    <x v="0"/>
    <x v="4"/>
    <n v="11"/>
    <x v="7"/>
    <d v="2020-03-01T00:00:00"/>
    <n v="7.5"/>
    <x v="2"/>
  </r>
  <r>
    <x v="0"/>
    <x v="4"/>
    <n v="11"/>
    <x v="7"/>
    <d v="2020-03-01T00:00:00"/>
    <n v="-0.157499999999999"/>
    <x v="3"/>
  </r>
  <r>
    <x v="0"/>
    <x v="4"/>
    <n v="11"/>
    <x v="7"/>
    <d v="2020-03-01T00:00:00"/>
    <n v="0"/>
    <x v="4"/>
  </r>
  <r>
    <x v="0"/>
    <x v="4"/>
    <n v="11"/>
    <x v="7"/>
    <d v="2020-03-01T00:00:00"/>
    <n v="18.293890000000001"/>
    <x v="5"/>
  </r>
  <r>
    <x v="0"/>
    <x v="4"/>
    <n v="11"/>
    <x v="7"/>
    <d v="2020-03-01T00:00:00"/>
    <n v="7"/>
    <x v="6"/>
  </r>
  <r>
    <x v="0"/>
    <x v="4"/>
    <n v="11"/>
    <x v="7"/>
    <d v="2020-03-01T00:00:00"/>
    <n v="0"/>
    <x v="7"/>
  </r>
  <r>
    <x v="0"/>
    <x v="4"/>
    <n v="11"/>
    <x v="7"/>
    <d v="2020-03-01T00:00:00"/>
    <n v="14"/>
    <x v="8"/>
  </r>
  <r>
    <x v="0"/>
    <x v="4"/>
    <n v="11"/>
    <x v="7"/>
    <d v="2020-03-01T00:00:00"/>
    <n v="11"/>
    <x v="9"/>
  </r>
  <r>
    <x v="0"/>
    <x v="4"/>
    <n v="11"/>
    <x v="7"/>
    <d v="2020-03-01T00:00:00"/>
    <n v="10"/>
    <x v="10"/>
  </r>
  <r>
    <x v="0"/>
    <x v="4"/>
    <n v="11"/>
    <x v="7"/>
    <d v="2020-03-01T00:00:00"/>
    <n v="13"/>
    <x v="11"/>
  </r>
  <r>
    <x v="0"/>
    <x v="4"/>
    <n v="11"/>
    <x v="7"/>
    <d v="2020-03-01T00:00:00"/>
    <n v="95.636390000000006"/>
    <x v="12"/>
  </r>
  <r>
    <x v="0"/>
    <x v="4"/>
    <n v="12"/>
    <x v="8"/>
    <d v="2020-03-01T00:00:00"/>
    <n v="3990.0889999999999"/>
    <x v="0"/>
  </r>
  <r>
    <x v="0"/>
    <x v="4"/>
    <n v="12"/>
    <x v="8"/>
    <d v="2020-03-01T00:00:00"/>
    <n v="4000.9110000000001"/>
    <x v="1"/>
  </r>
  <r>
    <x v="0"/>
    <x v="4"/>
    <n v="12"/>
    <x v="8"/>
    <d v="2020-03-01T00:00:00"/>
    <n v="3958.9671899999998"/>
    <x v="2"/>
  </r>
  <r>
    <x v="0"/>
    <x v="4"/>
    <n v="12"/>
    <x v="8"/>
    <d v="2020-03-01T00:00:00"/>
    <n v="4085.6318200000001"/>
    <x v="3"/>
  </r>
  <r>
    <x v="0"/>
    <x v="4"/>
    <n v="12"/>
    <x v="8"/>
    <d v="2020-03-01T00:00:00"/>
    <n v="4149.4600399999999"/>
    <x v="4"/>
  </r>
  <r>
    <x v="0"/>
    <x v="4"/>
    <n v="12"/>
    <x v="8"/>
    <d v="2020-03-01T00:00:00"/>
    <n v="4068.6592700000001"/>
    <x v="5"/>
  </r>
  <r>
    <x v="0"/>
    <x v="4"/>
    <n v="12"/>
    <x v="8"/>
    <d v="2020-03-01T00:00:00"/>
    <n v="4106"/>
    <x v="6"/>
  </r>
  <r>
    <x v="0"/>
    <x v="4"/>
    <n v="12"/>
    <x v="8"/>
    <d v="2020-03-01T00:00:00"/>
    <n v="3992"/>
    <x v="7"/>
  </r>
  <r>
    <x v="0"/>
    <x v="4"/>
    <n v="12"/>
    <x v="8"/>
    <d v="2020-03-01T00:00:00"/>
    <n v="4161"/>
    <x v="8"/>
  </r>
  <r>
    <x v="0"/>
    <x v="4"/>
    <n v="12"/>
    <x v="8"/>
    <d v="2020-03-01T00:00:00"/>
    <n v="4070"/>
    <x v="9"/>
  </r>
  <r>
    <x v="0"/>
    <x v="4"/>
    <n v="12"/>
    <x v="8"/>
    <d v="2020-03-01T00:00:00"/>
    <n v="4793"/>
    <x v="10"/>
  </r>
  <r>
    <x v="0"/>
    <x v="4"/>
    <n v="12"/>
    <x v="8"/>
    <d v="2020-03-01T00:00:00"/>
    <n v="4014"/>
    <x v="11"/>
  </r>
  <r>
    <x v="0"/>
    <x v="4"/>
    <n v="12"/>
    <x v="8"/>
    <d v="2020-03-01T00:00:00"/>
    <n v="49389.71832"/>
    <x v="12"/>
  </r>
  <r>
    <x v="0"/>
    <x v="5"/>
    <n v="4"/>
    <x v="0"/>
    <d v="2020-03-01T00:00:00"/>
    <n v="16511"/>
    <x v="0"/>
  </r>
  <r>
    <x v="0"/>
    <x v="5"/>
    <n v="4"/>
    <x v="0"/>
    <d v="2020-03-01T00:00:00"/>
    <n v="16640"/>
    <x v="1"/>
  </r>
  <r>
    <x v="0"/>
    <x v="5"/>
    <n v="4"/>
    <x v="0"/>
    <d v="2020-03-01T00:00:00"/>
    <n v="17327"/>
    <x v="2"/>
  </r>
  <r>
    <x v="0"/>
    <x v="5"/>
    <n v="4"/>
    <x v="0"/>
    <d v="2020-03-01T00:00:00"/>
    <n v="17135"/>
    <x v="3"/>
  </r>
  <r>
    <x v="0"/>
    <x v="5"/>
    <n v="4"/>
    <x v="0"/>
    <d v="2020-03-01T00:00:00"/>
    <n v="16899"/>
    <x v="4"/>
  </r>
  <r>
    <x v="0"/>
    <x v="5"/>
    <n v="4"/>
    <x v="0"/>
    <d v="2020-03-01T00:00:00"/>
    <n v="18178"/>
    <x v="5"/>
  </r>
  <r>
    <x v="0"/>
    <x v="5"/>
    <n v="4"/>
    <x v="0"/>
    <d v="2020-03-01T00:00:00"/>
    <n v="17978"/>
    <x v="6"/>
  </r>
  <r>
    <x v="0"/>
    <x v="5"/>
    <n v="4"/>
    <x v="0"/>
    <d v="2020-03-01T00:00:00"/>
    <n v="17758"/>
    <x v="7"/>
  </r>
  <r>
    <x v="0"/>
    <x v="5"/>
    <n v="4"/>
    <x v="0"/>
    <d v="2020-03-01T00:00:00"/>
    <n v="17729"/>
    <x v="8"/>
  </r>
  <r>
    <x v="0"/>
    <x v="5"/>
    <n v="4"/>
    <x v="0"/>
    <d v="2020-03-01T00:00:00"/>
    <n v="17996"/>
    <x v="9"/>
  </r>
  <r>
    <x v="0"/>
    <x v="5"/>
    <n v="4"/>
    <x v="0"/>
    <d v="2020-03-01T00:00:00"/>
    <n v="18311"/>
    <x v="10"/>
  </r>
  <r>
    <x v="0"/>
    <x v="5"/>
    <n v="4"/>
    <x v="0"/>
    <d v="2020-03-01T00:00:00"/>
    <n v="21339"/>
    <x v="11"/>
  </r>
  <r>
    <x v="0"/>
    <x v="5"/>
    <n v="4"/>
    <x v="0"/>
    <d v="2020-03-01T00:00:00"/>
    <n v="213801"/>
    <x v="12"/>
  </r>
  <r>
    <x v="0"/>
    <x v="5"/>
    <n v="5"/>
    <x v="1"/>
    <d v="2020-03-01T00:00:00"/>
    <n v="0"/>
    <x v="0"/>
  </r>
  <r>
    <x v="0"/>
    <x v="5"/>
    <n v="5"/>
    <x v="1"/>
    <d v="2020-03-01T00:00:00"/>
    <n v="0"/>
    <x v="1"/>
  </r>
  <r>
    <x v="0"/>
    <x v="5"/>
    <n v="5"/>
    <x v="1"/>
    <d v="2020-03-01T00:00:00"/>
    <n v="0"/>
    <x v="2"/>
  </r>
  <r>
    <x v="0"/>
    <x v="5"/>
    <n v="5"/>
    <x v="1"/>
    <d v="2020-03-01T00:00:00"/>
    <n v="0"/>
    <x v="3"/>
  </r>
  <r>
    <x v="0"/>
    <x v="5"/>
    <n v="5"/>
    <x v="1"/>
    <d v="2020-03-01T00:00:00"/>
    <n v="0"/>
    <x v="4"/>
  </r>
  <r>
    <x v="0"/>
    <x v="5"/>
    <n v="5"/>
    <x v="1"/>
    <d v="2020-03-01T00:00:00"/>
    <n v="0"/>
    <x v="5"/>
  </r>
  <r>
    <x v="0"/>
    <x v="5"/>
    <n v="5"/>
    <x v="1"/>
    <d v="2020-03-01T00:00:00"/>
    <n v="0"/>
    <x v="6"/>
  </r>
  <r>
    <x v="0"/>
    <x v="5"/>
    <n v="5"/>
    <x v="1"/>
    <d v="2020-03-01T00:00:00"/>
    <n v="0"/>
    <x v="7"/>
  </r>
  <r>
    <x v="0"/>
    <x v="5"/>
    <n v="5"/>
    <x v="1"/>
    <d v="2020-03-01T00:00:00"/>
    <n v="0"/>
    <x v="8"/>
  </r>
  <r>
    <x v="0"/>
    <x v="5"/>
    <n v="5"/>
    <x v="1"/>
    <d v="2020-03-01T00:00:00"/>
    <n v="0"/>
    <x v="9"/>
  </r>
  <r>
    <x v="0"/>
    <x v="5"/>
    <n v="5"/>
    <x v="1"/>
    <d v="2020-03-01T00:00:00"/>
    <n v="0"/>
    <x v="10"/>
  </r>
  <r>
    <x v="0"/>
    <x v="5"/>
    <n v="5"/>
    <x v="1"/>
    <d v="2020-03-01T00:00:00"/>
    <n v="0"/>
    <x v="11"/>
  </r>
  <r>
    <x v="0"/>
    <x v="5"/>
    <n v="5"/>
    <x v="1"/>
    <d v="2020-03-01T00:00:00"/>
    <n v="0"/>
    <x v="12"/>
  </r>
  <r>
    <x v="0"/>
    <x v="5"/>
    <n v="6"/>
    <x v="2"/>
    <d v="2020-03-01T00:00:00"/>
    <n v="0"/>
    <x v="0"/>
  </r>
  <r>
    <x v="0"/>
    <x v="5"/>
    <n v="6"/>
    <x v="2"/>
    <d v="2020-03-01T00:00:00"/>
    <n v="0"/>
    <x v="1"/>
  </r>
  <r>
    <x v="0"/>
    <x v="5"/>
    <n v="6"/>
    <x v="2"/>
    <d v="2020-03-01T00:00:00"/>
    <n v="0"/>
    <x v="2"/>
  </r>
  <r>
    <x v="0"/>
    <x v="5"/>
    <n v="6"/>
    <x v="2"/>
    <d v="2020-03-01T00:00:00"/>
    <n v="0"/>
    <x v="3"/>
  </r>
  <r>
    <x v="0"/>
    <x v="5"/>
    <n v="6"/>
    <x v="2"/>
    <d v="2020-03-01T00:00:00"/>
    <n v="0"/>
    <x v="4"/>
  </r>
  <r>
    <x v="0"/>
    <x v="5"/>
    <n v="6"/>
    <x v="2"/>
    <d v="2020-03-01T00:00:00"/>
    <n v="0"/>
    <x v="5"/>
  </r>
  <r>
    <x v="0"/>
    <x v="5"/>
    <n v="6"/>
    <x v="2"/>
    <d v="2020-03-01T00:00:00"/>
    <n v="0"/>
    <x v="6"/>
  </r>
  <r>
    <x v="0"/>
    <x v="5"/>
    <n v="6"/>
    <x v="2"/>
    <d v="2020-03-01T00:00:00"/>
    <n v="0"/>
    <x v="7"/>
  </r>
  <r>
    <x v="0"/>
    <x v="5"/>
    <n v="6"/>
    <x v="2"/>
    <d v="2020-03-01T00:00:00"/>
    <n v="0"/>
    <x v="8"/>
  </r>
  <r>
    <x v="0"/>
    <x v="5"/>
    <n v="6"/>
    <x v="2"/>
    <d v="2020-03-01T00:00:00"/>
    <n v="0"/>
    <x v="9"/>
  </r>
  <r>
    <x v="0"/>
    <x v="5"/>
    <n v="6"/>
    <x v="2"/>
    <d v="2020-03-01T00:00:00"/>
    <n v="0"/>
    <x v="10"/>
  </r>
  <r>
    <x v="0"/>
    <x v="5"/>
    <n v="6"/>
    <x v="2"/>
    <d v="2020-03-01T00:00:00"/>
    <n v="0"/>
    <x v="11"/>
  </r>
  <r>
    <x v="0"/>
    <x v="5"/>
    <n v="6"/>
    <x v="2"/>
    <d v="2020-03-01T00:00:00"/>
    <n v="0"/>
    <x v="12"/>
  </r>
  <r>
    <x v="0"/>
    <x v="5"/>
    <n v="7"/>
    <x v="3"/>
    <d v="2020-03-01T00:00:00"/>
    <n v="1034"/>
    <x v="0"/>
  </r>
  <r>
    <x v="0"/>
    <x v="5"/>
    <n v="7"/>
    <x v="3"/>
    <d v="2020-03-01T00:00:00"/>
    <n v="1090"/>
    <x v="1"/>
  </r>
  <r>
    <x v="0"/>
    <x v="5"/>
    <n v="7"/>
    <x v="3"/>
    <d v="2020-03-01T00:00:00"/>
    <n v="1191"/>
    <x v="2"/>
  </r>
  <r>
    <x v="0"/>
    <x v="5"/>
    <n v="7"/>
    <x v="3"/>
    <d v="2020-03-01T00:00:00"/>
    <n v="1142"/>
    <x v="3"/>
  </r>
  <r>
    <x v="0"/>
    <x v="5"/>
    <n v="7"/>
    <x v="3"/>
    <d v="2020-03-01T00:00:00"/>
    <n v="1047"/>
    <x v="4"/>
  </r>
  <r>
    <x v="0"/>
    <x v="5"/>
    <n v="7"/>
    <x v="3"/>
    <d v="2020-03-01T00:00:00"/>
    <n v="1219"/>
    <x v="5"/>
  </r>
  <r>
    <x v="0"/>
    <x v="5"/>
    <n v="7"/>
    <x v="3"/>
    <d v="2020-03-01T00:00:00"/>
    <n v="1207"/>
    <x v="6"/>
  </r>
  <r>
    <x v="0"/>
    <x v="5"/>
    <n v="7"/>
    <x v="3"/>
    <d v="2020-03-01T00:00:00"/>
    <n v="1201"/>
    <x v="7"/>
  </r>
  <r>
    <x v="0"/>
    <x v="5"/>
    <n v="7"/>
    <x v="3"/>
    <d v="2020-03-01T00:00:00"/>
    <n v="1170"/>
    <x v="8"/>
  </r>
  <r>
    <x v="0"/>
    <x v="5"/>
    <n v="7"/>
    <x v="3"/>
    <d v="2020-03-01T00:00:00"/>
    <n v="1239"/>
    <x v="9"/>
  </r>
  <r>
    <x v="0"/>
    <x v="5"/>
    <n v="7"/>
    <x v="3"/>
    <d v="2020-03-01T00:00:00"/>
    <n v="1234"/>
    <x v="10"/>
  </r>
  <r>
    <x v="0"/>
    <x v="5"/>
    <n v="7"/>
    <x v="3"/>
    <d v="2020-03-01T00:00:00"/>
    <n v="1882"/>
    <x v="11"/>
  </r>
  <r>
    <x v="0"/>
    <x v="5"/>
    <n v="7"/>
    <x v="3"/>
    <d v="2020-03-01T00:00:00"/>
    <n v="14656"/>
    <x v="12"/>
  </r>
  <r>
    <x v="0"/>
    <x v="5"/>
    <n v="8"/>
    <x v="4"/>
    <d v="2020-03-01T00:00:00"/>
    <n v="1096"/>
    <x v="0"/>
  </r>
  <r>
    <x v="0"/>
    <x v="5"/>
    <n v="8"/>
    <x v="4"/>
    <d v="2020-03-01T00:00:00"/>
    <n v="1266"/>
    <x v="1"/>
  </r>
  <r>
    <x v="0"/>
    <x v="5"/>
    <n v="8"/>
    <x v="4"/>
    <d v="2020-03-01T00:00:00"/>
    <n v="1087"/>
    <x v="2"/>
  </r>
  <r>
    <x v="0"/>
    <x v="5"/>
    <n v="8"/>
    <x v="4"/>
    <d v="2020-03-01T00:00:00"/>
    <n v="1162"/>
    <x v="3"/>
  </r>
  <r>
    <x v="0"/>
    <x v="5"/>
    <n v="8"/>
    <x v="4"/>
    <d v="2020-03-01T00:00:00"/>
    <n v="901"/>
    <x v="4"/>
  </r>
  <r>
    <x v="0"/>
    <x v="5"/>
    <n v="8"/>
    <x v="4"/>
    <d v="2020-03-01T00:00:00"/>
    <n v="1219"/>
    <x v="5"/>
  </r>
  <r>
    <x v="0"/>
    <x v="5"/>
    <n v="8"/>
    <x v="4"/>
    <d v="2020-03-01T00:00:00"/>
    <n v="1242"/>
    <x v="6"/>
  </r>
  <r>
    <x v="0"/>
    <x v="5"/>
    <n v="8"/>
    <x v="4"/>
    <d v="2020-03-01T00:00:00"/>
    <n v="936"/>
    <x v="7"/>
  </r>
  <r>
    <x v="0"/>
    <x v="5"/>
    <n v="8"/>
    <x v="4"/>
    <d v="2020-03-01T00:00:00"/>
    <n v="817"/>
    <x v="8"/>
  </r>
  <r>
    <x v="0"/>
    <x v="5"/>
    <n v="8"/>
    <x v="4"/>
    <d v="2020-03-01T00:00:00"/>
    <n v="879"/>
    <x v="9"/>
  </r>
  <r>
    <x v="0"/>
    <x v="5"/>
    <n v="8"/>
    <x v="4"/>
    <d v="2020-03-01T00:00:00"/>
    <n v="1293"/>
    <x v="10"/>
  </r>
  <r>
    <x v="0"/>
    <x v="5"/>
    <n v="8"/>
    <x v="4"/>
    <d v="2020-03-01T00:00:00"/>
    <n v="1049"/>
    <x v="11"/>
  </r>
  <r>
    <x v="0"/>
    <x v="5"/>
    <n v="8"/>
    <x v="4"/>
    <d v="2020-03-01T00:00:00"/>
    <n v="12947"/>
    <x v="12"/>
  </r>
  <r>
    <x v="0"/>
    <x v="5"/>
    <n v="9"/>
    <x v="5"/>
    <d v="2020-03-01T00:00:00"/>
    <n v="0"/>
    <x v="0"/>
  </r>
  <r>
    <x v="0"/>
    <x v="5"/>
    <n v="9"/>
    <x v="5"/>
    <d v="2020-03-01T00:00:00"/>
    <n v="0"/>
    <x v="1"/>
  </r>
  <r>
    <x v="0"/>
    <x v="5"/>
    <n v="9"/>
    <x v="5"/>
    <d v="2020-03-01T00:00:00"/>
    <n v="0"/>
    <x v="2"/>
  </r>
  <r>
    <x v="0"/>
    <x v="5"/>
    <n v="9"/>
    <x v="5"/>
    <d v="2020-03-01T00:00:00"/>
    <n v="0"/>
    <x v="3"/>
  </r>
  <r>
    <x v="0"/>
    <x v="5"/>
    <n v="9"/>
    <x v="5"/>
    <d v="2020-03-01T00:00:00"/>
    <n v="0"/>
    <x v="4"/>
  </r>
  <r>
    <x v="0"/>
    <x v="5"/>
    <n v="9"/>
    <x v="5"/>
    <d v="2020-03-01T00:00:00"/>
    <n v="0"/>
    <x v="5"/>
  </r>
  <r>
    <x v="0"/>
    <x v="5"/>
    <n v="9"/>
    <x v="5"/>
    <d v="2020-03-01T00:00:00"/>
    <n v="0"/>
    <x v="6"/>
  </r>
  <r>
    <x v="0"/>
    <x v="5"/>
    <n v="9"/>
    <x v="5"/>
    <d v="2020-03-01T00:00:00"/>
    <n v="0"/>
    <x v="7"/>
  </r>
  <r>
    <x v="0"/>
    <x v="5"/>
    <n v="9"/>
    <x v="5"/>
    <d v="2020-03-01T00:00:00"/>
    <n v="0"/>
    <x v="8"/>
  </r>
  <r>
    <x v="0"/>
    <x v="5"/>
    <n v="9"/>
    <x v="5"/>
    <d v="2020-03-01T00:00:00"/>
    <n v="0"/>
    <x v="9"/>
  </r>
  <r>
    <x v="0"/>
    <x v="5"/>
    <n v="9"/>
    <x v="5"/>
    <d v="2020-03-01T00:00:00"/>
    <n v="0"/>
    <x v="10"/>
  </r>
  <r>
    <x v="0"/>
    <x v="5"/>
    <n v="9"/>
    <x v="5"/>
    <d v="2020-03-01T00:00:00"/>
    <n v="0"/>
    <x v="11"/>
  </r>
  <r>
    <x v="0"/>
    <x v="5"/>
    <n v="9"/>
    <x v="5"/>
    <d v="2020-03-01T00:00:00"/>
    <n v="0"/>
    <x v="12"/>
  </r>
  <r>
    <x v="0"/>
    <x v="5"/>
    <n v="10"/>
    <x v="6"/>
    <d v="2020-03-01T00:00:00"/>
    <n v="0"/>
    <x v="0"/>
  </r>
  <r>
    <x v="0"/>
    <x v="5"/>
    <n v="10"/>
    <x v="6"/>
    <d v="2020-03-01T00:00:00"/>
    <n v="0"/>
    <x v="1"/>
  </r>
  <r>
    <x v="0"/>
    <x v="5"/>
    <n v="10"/>
    <x v="6"/>
    <d v="2020-03-01T00:00:00"/>
    <n v="0"/>
    <x v="2"/>
  </r>
  <r>
    <x v="0"/>
    <x v="5"/>
    <n v="10"/>
    <x v="6"/>
    <d v="2020-03-01T00:00:00"/>
    <n v="0"/>
    <x v="3"/>
  </r>
  <r>
    <x v="0"/>
    <x v="5"/>
    <n v="10"/>
    <x v="6"/>
    <d v="2020-03-01T00:00:00"/>
    <n v="0"/>
    <x v="4"/>
  </r>
  <r>
    <x v="0"/>
    <x v="5"/>
    <n v="10"/>
    <x v="6"/>
    <d v="2020-03-01T00:00:00"/>
    <n v="0"/>
    <x v="5"/>
  </r>
  <r>
    <x v="0"/>
    <x v="5"/>
    <n v="10"/>
    <x v="6"/>
    <d v="2020-03-01T00:00:00"/>
    <n v="0"/>
    <x v="6"/>
  </r>
  <r>
    <x v="0"/>
    <x v="5"/>
    <n v="10"/>
    <x v="6"/>
    <d v="2020-03-01T00:00:00"/>
    <n v="0"/>
    <x v="7"/>
  </r>
  <r>
    <x v="0"/>
    <x v="5"/>
    <n v="10"/>
    <x v="6"/>
    <d v="2020-03-01T00:00:00"/>
    <n v="0"/>
    <x v="8"/>
  </r>
  <r>
    <x v="0"/>
    <x v="5"/>
    <n v="10"/>
    <x v="6"/>
    <d v="2020-03-01T00:00:00"/>
    <n v="0"/>
    <x v="9"/>
  </r>
  <r>
    <x v="0"/>
    <x v="5"/>
    <n v="10"/>
    <x v="6"/>
    <d v="2020-03-01T00:00:00"/>
    <n v="0"/>
    <x v="10"/>
  </r>
  <r>
    <x v="0"/>
    <x v="5"/>
    <n v="10"/>
    <x v="6"/>
    <d v="2020-03-01T00:00:00"/>
    <n v="0"/>
    <x v="11"/>
  </r>
  <r>
    <x v="0"/>
    <x v="5"/>
    <n v="10"/>
    <x v="6"/>
    <d v="2020-03-01T00:00:00"/>
    <n v="0"/>
    <x v="12"/>
  </r>
  <r>
    <x v="0"/>
    <x v="5"/>
    <n v="11"/>
    <x v="7"/>
    <d v="2020-03-01T00:00:00"/>
    <n v="0"/>
    <x v="0"/>
  </r>
  <r>
    <x v="0"/>
    <x v="5"/>
    <n v="11"/>
    <x v="7"/>
    <d v="2020-03-01T00:00:00"/>
    <n v="0"/>
    <x v="1"/>
  </r>
  <r>
    <x v="0"/>
    <x v="5"/>
    <n v="11"/>
    <x v="7"/>
    <d v="2020-03-01T00:00:00"/>
    <n v="0"/>
    <x v="2"/>
  </r>
  <r>
    <x v="0"/>
    <x v="5"/>
    <n v="11"/>
    <x v="7"/>
    <d v="2020-03-01T00:00:00"/>
    <n v="0"/>
    <x v="3"/>
  </r>
  <r>
    <x v="0"/>
    <x v="5"/>
    <n v="11"/>
    <x v="7"/>
    <d v="2020-03-01T00:00:00"/>
    <n v="0"/>
    <x v="4"/>
  </r>
  <r>
    <x v="0"/>
    <x v="5"/>
    <n v="11"/>
    <x v="7"/>
    <d v="2020-03-01T00:00:00"/>
    <n v="0"/>
    <x v="5"/>
  </r>
  <r>
    <x v="0"/>
    <x v="5"/>
    <n v="11"/>
    <x v="7"/>
    <d v="2020-03-01T00:00:00"/>
    <n v="0"/>
    <x v="6"/>
  </r>
  <r>
    <x v="0"/>
    <x v="5"/>
    <n v="11"/>
    <x v="7"/>
    <d v="2020-03-01T00:00:00"/>
    <n v="0"/>
    <x v="7"/>
  </r>
  <r>
    <x v="0"/>
    <x v="5"/>
    <n v="11"/>
    <x v="7"/>
    <d v="2020-03-01T00:00:00"/>
    <n v="0"/>
    <x v="8"/>
  </r>
  <r>
    <x v="0"/>
    <x v="5"/>
    <n v="11"/>
    <x v="7"/>
    <d v="2020-03-01T00:00:00"/>
    <n v="0"/>
    <x v="9"/>
  </r>
  <r>
    <x v="0"/>
    <x v="5"/>
    <n v="11"/>
    <x v="7"/>
    <d v="2020-03-01T00:00:00"/>
    <n v="0"/>
    <x v="10"/>
  </r>
  <r>
    <x v="0"/>
    <x v="5"/>
    <n v="11"/>
    <x v="7"/>
    <d v="2020-03-01T00:00:00"/>
    <n v="0"/>
    <x v="11"/>
  </r>
  <r>
    <x v="0"/>
    <x v="5"/>
    <n v="11"/>
    <x v="7"/>
    <d v="2020-03-01T00:00:00"/>
    <n v="0"/>
    <x v="12"/>
  </r>
  <r>
    <x v="0"/>
    <x v="5"/>
    <n v="12"/>
    <x v="8"/>
    <d v="2020-03-01T00:00:00"/>
    <n v="0"/>
    <x v="0"/>
  </r>
  <r>
    <x v="0"/>
    <x v="5"/>
    <n v="12"/>
    <x v="8"/>
    <d v="2020-03-01T00:00:00"/>
    <n v="0"/>
    <x v="1"/>
  </r>
  <r>
    <x v="0"/>
    <x v="5"/>
    <n v="12"/>
    <x v="8"/>
    <d v="2020-03-01T00:00:00"/>
    <n v="0"/>
    <x v="2"/>
  </r>
  <r>
    <x v="0"/>
    <x v="5"/>
    <n v="12"/>
    <x v="8"/>
    <d v="2020-03-01T00:00:00"/>
    <n v="0"/>
    <x v="3"/>
  </r>
  <r>
    <x v="0"/>
    <x v="5"/>
    <n v="12"/>
    <x v="8"/>
    <d v="2020-03-01T00:00:00"/>
    <n v="0"/>
    <x v="4"/>
  </r>
  <r>
    <x v="0"/>
    <x v="5"/>
    <n v="12"/>
    <x v="8"/>
    <d v="2020-03-01T00:00:00"/>
    <n v="0"/>
    <x v="5"/>
  </r>
  <r>
    <x v="0"/>
    <x v="5"/>
    <n v="12"/>
    <x v="8"/>
    <d v="2020-03-01T00:00:00"/>
    <n v="0"/>
    <x v="6"/>
  </r>
  <r>
    <x v="0"/>
    <x v="5"/>
    <n v="12"/>
    <x v="8"/>
    <d v="2020-03-01T00:00:00"/>
    <n v="0"/>
    <x v="7"/>
  </r>
  <r>
    <x v="0"/>
    <x v="5"/>
    <n v="12"/>
    <x v="8"/>
    <d v="2020-03-01T00:00:00"/>
    <n v="0"/>
    <x v="8"/>
  </r>
  <r>
    <x v="0"/>
    <x v="5"/>
    <n v="12"/>
    <x v="8"/>
    <d v="2020-03-01T00:00:00"/>
    <n v="0"/>
    <x v="9"/>
  </r>
  <r>
    <x v="0"/>
    <x v="5"/>
    <n v="12"/>
    <x v="8"/>
    <d v="2020-03-01T00:00:00"/>
    <n v="0"/>
    <x v="10"/>
  </r>
  <r>
    <x v="0"/>
    <x v="5"/>
    <n v="12"/>
    <x v="8"/>
    <d v="2020-03-01T00:00:00"/>
    <n v="0"/>
    <x v="11"/>
  </r>
  <r>
    <x v="0"/>
    <x v="5"/>
    <n v="12"/>
    <x v="8"/>
    <d v="2020-03-01T00:00:00"/>
    <n v="0"/>
    <x v="12"/>
  </r>
  <r>
    <x v="0"/>
    <x v="6"/>
    <n v="6"/>
    <x v="0"/>
    <d v="2020-03-01T00:00:00"/>
    <n v="5823"/>
    <x v="0"/>
  </r>
  <r>
    <x v="0"/>
    <x v="6"/>
    <n v="6"/>
    <x v="0"/>
    <d v="2020-03-01T00:00:00"/>
    <n v="5650"/>
    <x v="1"/>
  </r>
  <r>
    <x v="0"/>
    <x v="6"/>
    <n v="6"/>
    <x v="0"/>
    <d v="2020-03-01T00:00:00"/>
    <n v="5547"/>
    <x v="2"/>
  </r>
  <r>
    <x v="0"/>
    <x v="6"/>
    <n v="6"/>
    <x v="0"/>
    <d v="2020-03-01T00:00:00"/>
    <n v="6004"/>
    <x v="3"/>
  </r>
  <r>
    <x v="0"/>
    <x v="6"/>
    <n v="6"/>
    <x v="0"/>
    <d v="2020-03-01T00:00:00"/>
    <n v="6128"/>
    <x v="4"/>
  </r>
  <r>
    <x v="0"/>
    <x v="6"/>
    <n v="6"/>
    <x v="0"/>
    <d v="2020-03-01T00:00:00"/>
    <n v="6072"/>
    <x v="5"/>
  </r>
  <r>
    <x v="0"/>
    <x v="6"/>
    <n v="6"/>
    <x v="0"/>
    <d v="2020-03-01T00:00:00"/>
    <n v="6504"/>
    <x v="6"/>
  </r>
  <r>
    <x v="0"/>
    <x v="6"/>
    <n v="6"/>
    <x v="0"/>
    <d v="2020-03-01T00:00:00"/>
    <n v="6407"/>
    <x v="7"/>
  </r>
  <r>
    <x v="0"/>
    <x v="6"/>
    <n v="6"/>
    <x v="0"/>
    <d v="2020-03-01T00:00:00"/>
    <n v="6474"/>
    <x v="8"/>
  </r>
  <r>
    <x v="0"/>
    <x v="6"/>
    <n v="6"/>
    <x v="0"/>
    <d v="2020-03-01T00:00:00"/>
    <n v="6803"/>
    <x v="9"/>
  </r>
  <r>
    <x v="0"/>
    <x v="6"/>
    <n v="6"/>
    <x v="0"/>
    <d v="2020-03-01T00:00:00"/>
    <n v="8205"/>
    <x v="10"/>
  </r>
  <r>
    <x v="0"/>
    <x v="6"/>
    <n v="6"/>
    <x v="0"/>
    <d v="2020-03-01T00:00:00"/>
    <n v="13712"/>
    <x v="11"/>
  </r>
  <r>
    <x v="0"/>
    <x v="6"/>
    <n v="6"/>
    <x v="0"/>
    <d v="2020-03-01T00:00:00"/>
    <n v="83329"/>
    <x v="12"/>
  </r>
  <r>
    <x v="0"/>
    <x v="7"/>
    <n v="6"/>
    <x v="0"/>
    <d v="2020-03-01T00:00:00"/>
    <n v="12749.079"/>
    <x v="0"/>
  </r>
  <r>
    <x v="0"/>
    <x v="7"/>
    <n v="6"/>
    <x v="0"/>
    <d v="2020-03-01T00:00:00"/>
    <n v="28631"/>
    <x v="1"/>
  </r>
  <r>
    <x v="0"/>
    <x v="7"/>
    <n v="6"/>
    <x v="0"/>
    <d v="2020-03-01T00:00:00"/>
    <n v="20545"/>
    <x v="2"/>
  </r>
  <r>
    <x v="0"/>
    <x v="7"/>
    <n v="6"/>
    <x v="0"/>
    <d v="2020-03-01T00:00:00"/>
    <n v="19456"/>
    <x v="3"/>
  </r>
  <r>
    <x v="0"/>
    <x v="7"/>
    <n v="6"/>
    <x v="0"/>
    <d v="2020-03-01T00:00:00"/>
    <n v="16815"/>
    <x v="4"/>
  </r>
  <r>
    <x v="0"/>
    <x v="7"/>
    <n v="6"/>
    <x v="0"/>
    <d v="2020-03-01T00:00:00"/>
    <n v="18024"/>
    <x v="5"/>
  </r>
  <r>
    <x v="0"/>
    <x v="7"/>
    <n v="6"/>
    <x v="0"/>
    <d v="2020-03-01T00:00:00"/>
    <n v="21888"/>
    <x v="6"/>
  </r>
  <r>
    <x v="0"/>
    <x v="7"/>
    <n v="6"/>
    <x v="0"/>
    <d v="2020-03-01T00:00:00"/>
    <n v="15482.982"/>
    <x v="7"/>
  </r>
  <r>
    <x v="0"/>
    <x v="7"/>
    <n v="6"/>
    <x v="0"/>
    <d v="2020-03-01T00:00:00"/>
    <n v="38813"/>
    <x v="8"/>
  </r>
  <r>
    <x v="0"/>
    <x v="7"/>
    <n v="6"/>
    <x v="0"/>
    <d v="2020-03-01T00:00:00"/>
    <n v="20811.12"/>
    <x v="9"/>
  </r>
  <r>
    <x v="0"/>
    <x v="7"/>
    <n v="6"/>
    <x v="0"/>
    <d v="2020-03-01T00:00:00"/>
    <n v="17361"/>
    <x v="10"/>
  </r>
  <r>
    <x v="0"/>
    <x v="7"/>
    <n v="6"/>
    <x v="0"/>
    <d v="2020-03-01T00:00:00"/>
    <n v="54893"/>
    <x v="11"/>
  </r>
  <r>
    <x v="0"/>
    <x v="7"/>
    <n v="6"/>
    <x v="0"/>
    <d v="2020-03-01T00:00:00"/>
    <n v="285469.18099999998"/>
    <x v="12"/>
  </r>
  <r>
    <x v="0"/>
    <x v="8"/>
    <n v="6"/>
    <x v="0"/>
    <d v="2020-03-01T00:00:00"/>
    <n v="11664"/>
    <x v="0"/>
  </r>
  <r>
    <x v="0"/>
    <x v="8"/>
    <n v="6"/>
    <x v="0"/>
    <d v="2020-03-01T00:00:00"/>
    <n v="12605"/>
    <x v="1"/>
  </r>
  <r>
    <x v="0"/>
    <x v="8"/>
    <n v="6"/>
    <x v="0"/>
    <d v="2020-03-01T00:00:00"/>
    <n v="11855"/>
    <x v="2"/>
  </r>
  <r>
    <x v="0"/>
    <x v="8"/>
    <n v="6"/>
    <x v="0"/>
    <d v="2020-03-01T00:00:00"/>
    <n v="11920"/>
    <x v="3"/>
  </r>
  <r>
    <x v="0"/>
    <x v="8"/>
    <n v="6"/>
    <x v="0"/>
    <d v="2020-03-01T00:00:00"/>
    <n v="12233"/>
    <x v="4"/>
  </r>
  <r>
    <x v="0"/>
    <x v="8"/>
    <n v="6"/>
    <x v="0"/>
    <d v="2020-03-01T00:00:00"/>
    <n v="12035"/>
    <x v="5"/>
  </r>
  <r>
    <x v="0"/>
    <x v="8"/>
    <n v="6"/>
    <x v="0"/>
    <d v="2020-03-01T00:00:00"/>
    <n v="13262"/>
    <x v="6"/>
  </r>
  <r>
    <x v="0"/>
    <x v="8"/>
    <n v="6"/>
    <x v="0"/>
    <d v="2020-03-01T00:00:00"/>
    <n v="12524"/>
    <x v="7"/>
  </r>
  <r>
    <x v="0"/>
    <x v="8"/>
    <n v="6"/>
    <x v="0"/>
    <d v="2020-03-01T00:00:00"/>
    <n v="12570"/>
    <x v="8"/>
  </r>
  <r>
    <x v="0"/>
    <x v="8"/>
    <n v="6"/>
    <x v="0"/>
    <d v="2020-03-01T00:00:00"/>
    <n v="13261"/>
    <x v="9"/>
  </r>
  <r>
    <x v="0"/>
    <x v="8"/>
    <n v="6"/>
    <x v="0"/>
    <d v="2020-03-01T00:00:00"/>
    <n v="11939"/>
    <x v="10"/>
  </r>
  <r>
    <x v="0"/>
    <x v="8"/>
    <n v="6"/>
    <x v="0"/>
    <d v="2020-03-01T00:00:00"/>
    <n v="19479"/>
    <x v="11"/>
  </r>
  <r>
    <x v="0"/>
    <x v="8"/>
    <n v="6"/>
    <x v="0"/>
    <d v="2020-03-01T00:00:00"/>
    <n v="155347"/>
    <x v="12"/>
  </r>
  <r>
    <x v="0"/>
    <x v="9"/>
    <n v="4"/>
    <x v="0"/>
    <d v="2020-03-01T00:00:00"/>
    <n v="26891.79"/>
    <x v="0"/>
  </r>
  <r>
    <x v="0"/>
    <x v="9"/>
    <n v="4"/>
    <x v="0"/>
    <d v="2020-03-01T00:00:00"/>
    <n v="26378.86"/>
    <x v="1"/>
  </r>
  <r>
    <x v="0"/>
    <x v="9"/>
    <n v="4"/>
    <x v="0"/>
    <d v="2020-03-01T00:00:00"/>
    <n v="26841.9"/>
    <x v="2"/>
  </r>
  <r>
    <x v="0"/>
    <x v="9"/>
    <n v="4"/>
    <x v="0"/>
    <d v="2020-03-01T00:00:00"/>
    <n v="26822.98"/>
    <x v="3"/>
  </r>
  <r>
    <x v="0"/>
    <x v="9"/>
    <n v="4"/>
    <x v="0"/>
    <d v="2020-03-01T00:00:00"/>
    <n v="26804.6"/>
    <x v="4"/>
  </r>
  <r>
    <x v="0"/>
    <x v="9"/>
    <n v="4"/>
    <x v="0"/>
    <d v="2020-03-01T00:00:00"/>
    <n v="26968.37"/>
    <x v="5"/>
  </r>
  <r>
    <x v="0"/>
    <x v="9"/>
    <n v="4"/>
    <x v="0"/>
    <d v="2020-03-01T00:00:00"/>
    <n v="26720.1"/>
    <x v="6"/>
  </r>
  <r>
    <x v="0"/>
    <x v="9"/>
    <n v="4"/>
    <x v="0"/>
    <d v="2020-03-01T00:00:00"/>
    <n v="27406.63"/>
    <x v="7"/>
  </r>
  <r>
    <x v="0"/>
    <x v="9"/>
    <n v="4"/>
    <x v="0"/>
    <d v="2020-03-01T00:00:00"/>
    <n v="27449.01"/>
    <x v="8"/>
  </r>
  <r>
    <x v="0"/>
    <x v="9"/>
    <n v="4"/>
    <x v="0"/>
    <d v="2020-03-01T00:00:00"/>
    <n v="27927.48"/>
    <x v="9"/>
  </r>
  <r>
    <x v="0"/>
    <x v="9"/>
    <n v="4"/>
    <x v="0"/>
    <d v="2020-03-01T00:00:00"/>
    <n v="27889.38"/>
    <x v="10"/>
  </r>
  <r>
    <x v="0"/>
    <x v="9"/>
    <n v="4"/>
    <x v="0"/>
    <d v="2020-03-01T00:00:00"/>
    <n v="35658.78"/>
    <x v="11"/>
  </r>
  <r>
    <x v="0"/>
    <x v="9"/>
    <n v="4"/>
    <x v="0"/>
    <d v="2020-03-01T00:00:00"/>
    <n v="333759.88"/>
    <x v="12"/>
  </r>
  <r>
    <x v="0"/>
    <x v="9"/>
    <n v="5"/>
    <x v="1"/>
    <d v="2020-03-01T00:00:00"/>
    <n v="3572"/>
    <x v="0"/>
  </r>
  <r>
    <x v="0"/>
    <x v="9"/>
    <n v="5"/>
    <x v="1"/>
    <d v="2020-03-01T00:00:00"/>
    <n v="3556.91"/>
    <x v="1"/>
  </r>
  <r>
    <x v="0"/>
    <x v="9"/>
    <n v="5"/>
    <x v="1"/>
    <d v="2020-03-01T00:00:00"/>
    <n v="3725.8"/>
    <x v="2"/>
  </r>
  <r>
    <x v="0"/>
    <x v="9"/>
    <n v="5"/>
    <x v="1"/>
    <d v="2020-03-01T00:00:00"/>
    <n v="3502.32"/>
    <x v="3"/>
  </r>
  <r>
    <x v="0"/>
    <x v="9"/>
    <n v="5"/>
    <x v="1"/>
    <d v="2020-03-01T00:00:00"/>
    <n v="3523.04"/>
    <x v="4"/>
  </r>
  <r>
    <x v="0"/>
    <x v="9"/>
    <n v="5"/>
    <x v="1"/>
    <d v="2020-03-01T00:00:00"/>
    <n v="3722.69"/>
    <x v="5"/>
  </r>
  <r>
    <x v="0"/>
    <x v="9"/>
    <n v="5"/>
    <x v="1"/>
    <d v="2020-03-01T00:00:00"/>
    <n v="3840.56"/>
    <x v="6"/>
  </r>
  <r>
    <x v="0"/>
    <x v="9"/>
    <n v="5"/>
    <x v="1"/>
    <d v="2020-03-01T00:00:00"/>
    <n v="3785.36"/>
    <x v="7"/>
  </r>
  <r>
    <x v="0"/>
    <x v="9"/>
    <n v="5"/>
    <x v="1"/>
    <d v="2020-03-01T00:00:00"/>
    <n v="3549.45"/>
    <x v="8"/>
  </r>
  <r>
    <x v="0"/>
    <x v="9"/>
    <n v="5"/>
    <x v="1"/>
    <d v="2020-03-01T00:00:00"/>
    <n v="4106.6899999999996"/>
    <x v="9"/>
  </r>
  <r>
    <x v="0"/>
    <x v="9"/>
    <n v="5"/>
    <x v="1"/>
    <d v="2020-03-01T00:00:00"/>
    <n v="3150.27"/>
    <x v="10"/>
  </r>
  <r>
    <x v="0"/>
    <x v="9"/>
    <n v="5"/>
    <x v="1"/>
    <d v="2020-03-01T00:00:00"/>
    <n v="3750.96"/>
    <x v="11"/>
  </r>
  <r>
    <x v="0"/>
    <x v="9"/>
    <n v="5"/>
    <x v="1"/>
    <d v="2020-03-01T00:00:00"/>
    <n v="43786.05"/>
    <x v="12"/>
  </r>
  <r>
    <x v="0"/>
    <x v="9"/>
    <n v="6"/>
    <x v="2"/>
    <d v="2020-03-01T00:00:00"/>
    <n v="2384"/>
    <x v="0"/>
  </r>
  <r>
    <x v="0"/>
    <x v="9"/>
    <n v="6"/>
    <x v="2"/>
    <d v="2020-03-01T00:00:00"/>
    <n v="2397.6799999999998"/>
    <x v="1"/>
  </r>
  <r>
    <x v="0"/>
    <x v="9"/>
    <n v="6"/>
    <x v="2"/>
    <d v="2020-03-01T00:00:00"/>
    <n v="2267.27"/>
    <x v="2"/>
  </r>
  <r>
    <x v="0"/>
    <x v="9"/>
    <n v="6"/>
    <x v="2"/>
    <d v="2020-03-01T00:00:00"/>
    <n v="2446.5500000000002"/>
    <x v="3"/>
  </r>
  <r>
    <x v="0"/>
    <x v="9"/>
    <n v="6"/>
    <x v="2"/>
    <d v="2020-03-01T00:00:00"/>
    <n v="2379.63"/>
    <x v="4"/>
  </r>
  <r>
    <x v="0"/>
    <x v="9"/>
    <n v="6"/>
    <x v="2"/>
    <d v="2020-03-01T00:00:00"/>
    <n v="2375.09"/>
    <x v="5"/>
  </r>
  <r>
    <x v="0"/>
    <x v="9"/>
    <n v="6"/>
    <x v="2"/>
    <d v="2020-03-01T00:00:00"/>
    <n v="2128.66"/>
    <x v="6"/>
  </r>
  <r>
    <x v="0"/>
    <x v="9"/>
    <n v="6"/>
    <x v="2"/>
    <d v="2020-03-01T00:00:00"/>
    <n v="2417.2399999999998"/>
    <x v="7"/>
  </r>
  <r>
    <x v="0"/>
    <x v="9"/>
    <n v="6"/>
    <x v="2"/>
    <d v="2020-03-01T00:00:00"/>
    <n v="2373.8000000000002"/>
    <x v="8"/>
  </r>
  <r>
    <x v="0"/>
    <x v="9"/>
    <n v="6"/>
    <x v="2"/>
    <d v="2020-03-01T00:00:00"/>
    <n v="2599.19"/>
    <x v="9"/>
  </r>
  <r>
    <x v="0"/>
    <x v="9"/>
    <n v="6"/>
    <x v="2"/>
    <d v="2020-03-01T00:00:00"/>
    <n v="2869.53"/>
    <x v="10"/>
  </r>
  <r>
    <x v="0"/>
    <x v="9"/>
    <n v="6"/>
    <x v="2"/>
    <d v="2020-03-01T00:00:00"/>
    <n v="2757.42"/>
    <x v="11"/>
  </r>
  <r>
    <x v="0"/>
    <x v="9"/>
    <n v="6"/>
    <x v="2"/>
    <d v="2020-03-01T00:00:00"/>
    <n v="29396.06"/>
    <x v="12"/>
  </r>
  <r>
    <x v="0"/>
    <x v="9"/>
    <n v="7"/>
    <x v="3"/>
    <d v="2020-03-01T00:00:00"/>
    <n v="6404.57"/>
    <x v="0"/>
  </r>
  <r>
    <x v="0"/>
    <x v="9"/>
    <n v="7"/>
    <x v="3"/>
    <d v="2020-03-01T00:00:00"/>
    <n v="5948.49"/>
    <x v="1"/>
  </r>
  <r>
    <x v="0"/>
    <x v="9"/>
    <n v="7"/>
    <x v="3"/>
    <d v="2020-03-01T00:00:00"/>
    <n v="6089.03"/>
    <x v="2"/>
  </r>
  <r>
    <x v="0"/>
    <x v="9"/>
    <n v="7"/>
    <x v="3"/>
    <d v="2020-03-01T00:00:00"/>
    <n v="6155.04"/>
    <x v="3"/>
  </r>
  <r>
    <x v="0"/>
    <x v="9"/>
    <n v="7"/>
    <x v="3"/>
    <d v="2020-03-01T00:00:00"/>
    <n v="6086.07"/>
    <x v="4"/>
  </r>
  <r>
    <x v="0"/>
    <x v="9"/>
    <n v="7"/>
    <x v="3"/>
    <d v="2020-03-01T00:00:00"/>
    <n v="6120.62"/>
    <x v="5"/>
  </r>
  <r>
    <x v="0"/>
    <x v="9"/>
    <n v="7"/>
    <x v="3"/>
    <d v="2020-03-01T00:00:00"/>
    <n v="6402.41"/>
    <x v="6"/>
  </r>
  <r>
    <x v="0"/>
    <x v="9"/>
    <n v="7"/>
    <x v="3"/>
    <d v="2020-03-01T00:00:00"/>
    <n v="6344.16"/>
    <x v="7"/>
  </r>
  <r>
    <x v="0"/>
    <x v="9"/>
    <n v="7"/>
    <x v="3"/>
    <d v="2020-03-01T00:00:00"/>
    <n v="6164.9"/>
    <x v="8"/>
  </r>
  <r>
    <x v="0"/>
    <x v="9"/>
    <n v="7"/>
    <x v="3"/>
    <d v="2020-03-01T00:00:00"/>
    <n v="6281.69"/>
    <x v="9"/>
  </r>
  <r>
    <x v="0"/>
    <x v="9"/>
    <n v="7"/>
    <x v="3"/>
    <d v="2020-03-01T00:00:00"/>
    <n v="6408.17"/>
    <x v="10"/>
  </r>
  <r>
    <x v="0"/>
    <x v="9"/>
    <n v="7"/>
    <x v="3"/>
    <d v="2020-03-01T00:00:00"/>
    <n v="9895.49"/>
    <x v="11"/>
  </r>
  <r>
    <x v="0"/>
    <x v="9"/>
    <n v="7"/>
    <x v="3"/>
    <d v="2020-03-01T00:00:00"/>
    <n v="78300.639999999999"/>
    <x v="12"/>
  </r>
  <r>
    <x v="0"/>
    <x v="9"/>
    <n v="8"/>
    <x v="4"/>
    <d v="2020-03-01T00:00:00"/>
    <n v="1409.22"/>
    <x v="0"/>
  </r>
  <r>
    <x v="0"/>
    <x v="9"/>
    <n v="8"/>
    <x v="4"/>
    <d v="2020-03-01T00:00:00"/>
    <n v="1358.59"/>
    <x v="1"/>
  </r>
  <r>
    <x v="0"/>
    <x v="9"/>
    <n v="8"/>
    <x v="4"/>
    <d v="2020-03-01T00:00:00"/>
    <n v="1614.1"/>
    <x v="2"/>
  </r>
  <r>
    <x v="0"/>
    <x v="9"/>
    <n v="8"/>
    <x v="4"/>
    <d v="2020-03-01T00:00:00"/>
    <n v="1555.56"/>
    <x v="3"/>
  </r>
  <r>
    <x v="0"/>
    <x v="9"/>
    <n v="8"/>
    <x v="4"/>
    <d v="2020-03-01T00:00:00"/>
    <n v="1303.3599999999999"/>
    <x v="4"/>
  </r>
  <r>
    <x v="0"/>
    <x v="9"/>
    <n v="8"/>
    <x v="4"/>
    <d v="2020-03-01T00:00:00"/>
    <n v="1283.27"/>
    <x v="5"/>
  </r>
  <r>
    <x v="0"/>
    <x v="9"/>
    <n v="8"/>
    <x v="4"/>
    <d v="2020-03-01T00:00:00"/>
    <n v="925.71"/>
    <x v="6"/>
  </r>
  <r>
    <x v="0"/>
    <x v="9"/>
    <n v="8"/>
    <x v="4"/>
    <d v="2020-03-01T00:00:00"/>
    <n v="631.63"/>
    <x v="7"/>
  </r>
  <r>
    <x v="0"/>
    <x v="9"/>
    <n v="8"/>
    <x v="4"/>
    <d v="2020-03-01T00:00:00"/>
    <n v="1637.12"/>
    <x v="8"/>
  </r>
  <r>
    <x v="0"/>
    <x v="9"/>
    <n v="8"/>
    <x v="4"/>
    <d v="2020-03-01T00:00:00"/>
    <n v="1075.6199999999999"/>
    <x v="9"/>
  </r>
  <r>
    <x v="0"/>
    <x v="9"/>
    <n v="8"/>
    <x v="4"/>
    <d v="2020-03-01T00:00:00"/>
    <n v="960.32"/>
    <x v="10"/>
  </r>
  <r>
    <x v="0"/>
    <x v="9"/>
    <n v="8"/>
    <x v="4"/>
    <d v="2020-03-01T00:00:00"/>
    <n v="1966.59"/>
    <x v="11"/>
  </r>
  <r>
    <x v="0"/>
    <x v="9"/>
    <n v="8"/>
    <x v="4"/>
    <d v="2020-03-01T00:00:00"/>
    <n v="15721.09"/>
    <x v="12"/>
  </r>
  <r>
    <x v="0"/>
    <x v="9"/>
    <n v="9"/>
    <x v="5"/>
    <d v="2020-03-01T00:00:00"/>
    <n v="77"/>
    <x v="0"/>
  </r>
  <r>
    <x v="0"/>
    <x v="9"/>
    <n v="9"/>
    <x v="5"/>
    <d v="2020-03-01T00:00:00"/>
    <n v="77.31"/>
    <x v="1"/>
  </r>
  <r>
    <x v="0"/>
    <x v="9"/>
    <n v="9"/>
    <x v="5"/>
    <d v="2020-03-01T00:00:00"/>
    <n v="89"/>
    <x v="2"/>
  </r>
  <r>
    <x v="0"/>
    <x v="9"/>
    <n v="9"/>
    <x v="5"/>
    <d v="2020-03-01T00:00:00"/>
    <n v="42.3"/>
    <x v="3"/>
  </r>
  <r>
    <x v="0"/>
    <x v="9"/>
    <n v="9"/>
    <x v="5"/>
    <d v="2020-03-01T00:00:00"/>
    <n v="107.84"/>
    <x v="4"/>
  </r>
  <r>
    <x v="0"/>
    <x v="9"/>
    <n v="9"/>
    <x v="5"/>
    <d v="2020-03-01T00:00:00"/>
    <n v="76.52"/>
    <x v="5"/>
  </r>
  <r>
    <x v="0"/>
    <x v="9"/>
    <n v="9"/>
    <x v="5"/>
    <d v="2020-03-01T00:00:00"/>
    <n v="155.07"/>
    <x v="6"/>
  </r>
  <r>
    <x v="0"/>
    <x v="9"/>
    <n v="9"/>
    <x v="5"/>
    <d v="2020-03-01T00:00:00"/>
    <n v="79.97"/>
    <x v="7"/>
  </r>
  <r>
    <x v="0"/>
    <x v="9"/>
    <n v="9"/>
    <x v="5"/>
    <d v="2020-03-01T00:00:00"/>
    <n v="99.4"/>
    <x v="8"/>
  </r>
  <r>
    <x v="0"/>
    <x v="9"/>
    <n v="9"/>
    <x v="5"/>
    <d v="2020-03-01T00:00:00"/>
    <n v="93.32"/>
    <x v="9"/>
  </r>
  <r>
    <x v="0"/>
    <x v="9"/>
    <n v="9"/>
    <x v="5"/>
    <d v="2020-03-01T00:00:00"/>
    <n v="89.91"/>
    <x v="10"/>
  </r>
  <r>
    <x v="0"/>
    <x v="9"/>
    <n v="9"/>
    <x v="5"/>
    <d v="2020-03-01T00:00:00"/>
    <n v="98.88"/>
    <x v="11"/>
  </r>
  <r>
    <x v="0"/>
    <x v="9"/>
    <n v="9"/>
    <x v="5"/>
    <d v="2020-03-01T00:00:00"/>
    <n v="1086.52"/>
    <x v="12"/>
  </r>
  <r>
    <x v="0"/>
    <x v="9"/>
    <n v="10"/>
    <x v="6"/>
    <d v="2020-03-01T00:00:00"/>
    <n v="10786"/>
    <x v="0"/>
  </r>
  <r>
    <x v="0"/>
    <x v="9"/>
    <n v="10"/>
    <x v="6"/>
    <d v="2020-03-01T00:00:00"/>
    <n v="10796.63"/>
    <x v="1"/>
  </r>
  <r>
    <x v="0"/>
    <x v="9"/>
    <n v="10"/>
    <x v="6"/>
    <d v="2020-03-01T00:00:00"/>
    <n v="10895.48"/>
    <x v="2"/>
  </r>
  <r>
    <x v="0"/>
    <x v="9"/>
    <n v="10"/>
    <x v="6"/>
    <d v="2020-03-01T00:00:00"/>
    <n v="10927.84"/>
    <x v="3"/>
  </r>
  <r>
    <x v="0"/>
    <x v="9"/>
    <n v="10"/>
    <x v="6"/>
    <d v="2020-03-01T00:00:00"/>
    <n v="11178.15"/>
    <x v="4"/>
  </r>
  <r>
    <x v="0"/>
    <x v="9"/>
    <n v="10"/>
    <x v="6"/>
    <d v="2020-03-01T00:00:00"/>
    <n v="11120.78"/>
    <x v="5"/>
  </r>
  <r>
    <x v="0"/>
    <x v="9"/>
    <n v="10"/>
    <x v="6"/>
    <d v="2020-03-01T00:00:00"/>
    <n v="10809.15"/>
    <x v="6"/>
  </r>
  <r>
    <x v="0"/>
    <x v="9"/>
    <n v="10"/>
    <x v="6"/>
    <d v="2020-03-01T00:00:00"/>
    <n v="12330.29"/>
    <x v="7"/>
  </r>
  <r>
    <x v="0"/>
    <x v="9"/>
    <n v="10"/>
    <x v="6"/>
    <d v="2020-03-01T00:00:00"/>
    <n v="11461.23"/>
    <x v="8"/>
  </r>
  <r>
    <x v="0"/>
    <x v="9"/>
    <n v="10"/>
    <x v="6"/>
    <d v="2020-03-01T00:00:00"/>
    <n v="11261.74"/>
    <x v="9"/>
  </r>
  <r>
    <x v="0"/>
    <x v="9"/>
    <n v="10"/>
    <x v="6"/>
    <d v="2020-03-01T00:00:00"/>
    <n v="11763.98"/>
    <x v="10"/>
  </r>
  <r>
    <x v="0"/>
    <x v="9"/>
    <n v="10"/>
    <x v="6"/>
    <d v="2020-03-01T00:00:00"/>
    <n v="10534.89"/>
    <x v="11"/>
  </r>
  <r>
    <x v="0"/>
    <x v="9"/>
    <n v="10"/>
    <x v="6"/>
    <d v="2020-03-01T00:00:00"/>
    <n v="133866.16"/>
    <x v="12"/>
  </r>
  <r>
    <x v="0"/>
    <x v="9"/>
    <n v="11"/>
    <x v="7"/>
    <d v="2020-03-01T00:00:00"/>
    <n v="0"/>
    <x v="0"/>
  </r>
  <r>
    <x v="0"/>
    <x v="9"/>
    <n v="11"/>
    <x v="7"/>
    <d v="2020-03-01T00:00:00"/>
    <n v="0"/>
    <x v="1"/>
  </r>
  <r>
    <x v="0"/>
    <x v="9"/>
    <n v="11"/>
    <x v="7"/>
    <d v="2020-03-01T00:00:00"/>
    <n v="0"/>
    <x v="2"/>
  </r>
  <r>
    <x v="0"/>
    <x v="9"/>
    <n v="11"/>
    <x v="7"/>
    <d v="2020-03-01T00:00:00"/>
    <n v="0"/>
    <x v="3"/>
  </r>
  <r>
    <x v="0"/>
    <x v="9"/>
    <n v="11"/>
    <x v="7"/>
    <d v="2020-03-01T00:00:00"/>
    <n v="0"/>
    <x v="4"/>
  </r>
  <r>
    <x v="0"/>
    <x v="9"/>
    <n v="11"/>
    <x v="7"/>
    <d v="2020-03-01T00:00:00"/>
    <n v="0"/>
    <x v="5"/>
  </r>
  <r>
    <x v="0"/>
    <x v="9"/>
    <n v="11"/>
    <x v="7"/>
    <d v="2020-03-01T00:00:00"/>
    <n v="0"/>
    <x v="6"/>
  </r>
  <r>
    <x v="0"/>
    <x v="9"/>
    <n v="11"/>
    <x v="7"/>
    <d v="2020-03-01T00:00:00"/>
    <n v="0"/>
    <x v="7"/>
  </r>
  <r>
    <x v="0"/>
    <x v="9"/>
    <n v="11"/>
    <x v="7"/>
    <d v="2020-03-01T00:00:00"/>
    <n v="0"/>
    <x v="8"/>
  </r>
  <r>
    <x v="0"/>
    <x v="9"/>
    <n v="11"/>
    <x v="7"/>
    <d v="2020-03-01T00:00:00"/>
    <n v="0"/>
    <x v="9"/>
  </r>
  <r>
    <x v="0"/>
    <x v="9"/>
    <n v="11"/>
    <x v="7"/>
    <d v="2020-03-01T00:00:00"/>
    <n v="0"/>
    <x v="10"/>
  </r>
  <r>
    <x v="0"/>
    <x v="9"/>
    <n v="11"/>
    <x v="7"/>
    <d v="2020-03-01T00:00:00"/>
    <n v="0"/>
    <x v="11"/>
  </r>
  <r>
    <x v="0"/>
    <x v="9"/>
    <n v="11"/>
    <x v="7"/>
    <d v="2020-03-01T00:00:00"/>
    <n v="0"/>
    <x v="12"/>
  </r>
  <r>
    <x v="0"/>
    <x v="9"/>
    <n v="12"/>
    <x v="8"/>
    <d v="2020-03-01T00:00:00"/>
    <n v="1156"/>
    <x v="0"/>
  </r>
  <r>
    <x v="0"/>
    <x v="9"/>
    <n v="12"/>
    <x v="8"/>
    <d v="2020-03-01T00:00:00"/>
    <n v="1150.29"/>
    <x v="1"/>
  </r>
  <r>
    <x v="0"/>
    <x v="9"/>
    <n v="12"/>
    <x v="8"/>
    <d v="2020-03-01T00:00:00"/>
    <n v="1226.67"/>
    <x v="2"/>
  </r>
  <r>
    <x v="0"/>
    <x v="9"/>
    <n v="12"/>
    <x v="8"/>
    <d v="2020-03-01T00:00:00"/>
    <n v="1195.53"/>
    <x v="3"/>
  </r>
  <r>
    <x v="0"/>
    <x v="9"/>
    <n v="12"/>
    <x v="8"/>
    <d v="2020-03-01T00:00:00"/>
    <n v="1215.5"/>
    <x v="4"/>
  </r>
  <r>
    <x v="0"/>
    <x v="9"/>
    <n v="12"/>
    <x v="8"/>
    <d v="2020-03-01T00:00:00"/>
    <n v="1233.49"/>
    <x v="5"/>
  </r>
  <r>
    <x v="0"/>
    <x v="9"/>
    <n v="12"/>
    <x v="8"/>
    <d v="2020-03-01T00:00:00"/>
    <n v="1437.33"/>
    <x v="6"/>
  </r>
  <r>
    <x v="0"/>
    <x v="9"/>
    <n v="12"/>
    <x v="8"/>
    <d v="2020-03-01T00:00:00"/>
    <n v="1160.49"/>
    <x v="7"/>
  </r>
  <r>
    <x v="0"/>
    <x v="9"/>
    <n v="12"/>
    <x v="8"/>
    <d v="2020-03-01T00:00:00"/>
    <n v="1164.8599999999999"/>
    <x v="8"/>
  </r>
  <r>
    <x v="0"/>
    <x v="9"/>
    <n v="12"/>
    <x v="8"/>
    <d v="2020-03-01T00:00:00"/>
    <n v="1228.6400000000001"/>
    <x v="9"/>
  </r>
  <r>
    <x v="0"/>
    <x v="9"/>
    <n v="12"/>
    <x v="8"/>
    <d v="2020-03-01T00:00:00"/>
    <n v="1283.31"/>
    <x v="10"/>
  </r>
  <r>
    <x v="0"/>
    <x v="9"/>
    <n v="12"/>
    <x v="8"/>
    <d v="2020-03-01T00:00:00"/>
    <n v="1168.25"/>
    <x v="11"/>
  </r>
  <r>
    <x v="0"/>
    <x v="9"/>
    <n v="12"/>
    <x v="8"/>
    <d v="2020-03-01T00:00:00"/>
    <n v="14620.36"/>
    <x v="12"/>
  </r>
  <r>
    <x v="0"/>
    <x v="10"/>
    <n v="4"/>
    <x v="0"/>
    <d v="2020-03-01T00:00:00"/>
    <n v="92207.638000000006"/>
    <x v="0"/>
  </r>
  <r>
    <x v="0"/>
    <x v="10"/>
    <n v="4"/>
    <x v="0"/>
    <d v="2020-03-01T00:00:00"/>
    <n v="92031.142000000007"/>
    <x v="1"/>
  </r>
  <r>
    <x v="0"/>
    <x v="10"/>
    <n v="4"/>
    <x v="0"/>
    <d v="2020-03-01T00:00:00"/>
    <n v="94602.399000000005"/>
    <x v="2"/>
  </r>
  <r>
    <x v="0"/>
    <x v="10"/>
    <n v="4"/>
    <x v="0"/>
    <d v="2020-03-01T00:00:00"/>
    <n v="92247.258000000002"/>
    <x v="3"/>
  </r>
  <r>
    <x v="0"/>
    <x v="10"/>
    <n v="4"/>
    <x v="0"/>
    <d v="2020-03-01T00:00:00"/>
    <n v="94808.403000000006"/>
    <x v="4"/>
  </r>
  <r>
    <x v="0"/>
    <x v="10"/>
    <n v="4"/>
    <x v="0"/>
    <d v="2020-03-01T00:00:00"/>
    <n v="92814.263999999996"/>
    <x v="5"/>
  </r>
  <r>
    <x v="0"/>
    <x v="10"/>
    <n v="4"/>
    <x v="0"/>
    <d v="2020-03-01T00:00:00"/>
    <n v="97548.347999999998"/>
    <x v="6"/>
  </r>
  <r>
    <x v="0"/>
    <x v="10"/>
    <n v="4"/>
    <x v="0"/>
    <d v="2020-03-01T00:00:00"/>
    <n v="98348.722999999998"/>
    <x v="7"/>
  </r>
  <r>
    <x v="0"/>
    <x v="10"/>
    <n v="4"/>
    <x v="0"/>
    <d v="2020-03-01T00:00:00"/>
    <n v="96610.054999999993"/>
    <x v="8"/>
  </r>
  <r>
    <x v="0"/>
    <x v="10"/>
    <n v="4"/>
    <x v="0"/>
    <d v="2020-03-01T00:00:00"/>
    <n v="96765.464000000007"/>
    <x v="9"/>
  </r>
  <r>
    <x v="0"/>
    <x v="10"/>
    <n v="4"/>
    <x v="0"/>
    <d v="2020-03-01T00:00:00"/>
    <n v="99673.877999999997"/>
    <x v="10"/>
  </r>
  <r>
    <x v="0"/>
    <x v="10"/>
    <n v="4"/>
    <x v="0"/>
    <d v="2020-03-01T00:00:00"/>
    <n v="134278.13200000001"/>
    <x v="11"/>
  </r>
  <r>
    <x v="0"/>
    <x v="10"/>
    <n v="4"/>
    <x v="0"/>
    <d v="2020-03-01T00:00:00"/>
    <n v="1181935.7039999999"/>
    <x v="12"/>
  </r>
  <r>
    <x v="0"/>
    <x v="10"/>
    <n v="5"/>
    <x v="1"/>
    <d v="2020-03-01T00:00:00"/>
    <n v="9493.348"/>
    <x v="0"/>
  </r>
  <r>
    <x v="0"/>
    <x v="10"/>
    <n v="5"/>
    <x v="1"/>
    <d v="2020-03-01T00:00:00"/>
    <n v="8953.7080000000005"/>
    <x v="1"/>
  </r>
  <r>
    <x v="0"/>
    <x v="10"/>
    <n v="5"/>
    <x v="1"/>
    <d v="2020-03-01T00:00:00"/>
    <n v="9193.2340000000004"/>
    <x v="2"/>
  </r>
  <r>
    <x v="0"/>
    <x v="10"/>
    <n v="5"/>
    <x v="1"/>
    <d v="2020-03-01T00:00:00"/>
    <n v="9066.0439999999999"/>
    <x v="3"/>
  </r>
  <r>
    <x v="0"/>
    <x v="10"/>
    <n v="5"/>
    <x v="1"/>
    <d v="2020-03-01T00:00:00"/>
    <n v="10703.868"/>
    <x v="4"/>
  </r>
  <r>
    <x v="0"/>
    <x v="10"/>
    <n v="5"/>
    <x v="1"/>
    <d v="2020-03-01T00:00:00"/>
    <n v="9087.8860000000095"/>
    <x v="5"/>
  </r>
  <r>
    <x v="0"/>
    <x v="10"/>
    <n v="5"/>
    <x v="1"/>
    <d v="2020-03-01T00:00:00"/>
    <n v="9668.7359999999899"/>
    <x v="6"/>
  </r>
  <r>
    <x v="0"/>
    <x v="10"/>
    <n v="5"/>
    <x v="1"/>
    <d v="2020-03-01T00:00:00"/>
    <n v="11062.136"/>
    <x v="7"/>
  </r>
  <r>
    <x v="0"/>
    <x v="10"/>
    <n v="5"/>
    <x v="1"/>
    <d v="2020-03-01T00:00:00"/>
    <n v="9963.7919999999904"/>
    <x v="8"/>
  </r>
  <r>
    <x v="0"/>
    <x v="10"/>
    <n v="5"/>
    <x v="1"/>
    <d v="2020-03-01T00:00:00"/>
    <n v="9979.9910000000109"/>
    <x v="9"/>
  </r>
  <r>
    <x v="0"/>
    <x v="10"/>
    <n v="5"/>
    <x v="1"/>
    <d v="2020-03-01T00:00:00"/>
    <n v="11236.049000000001"/>
    <x v="10"/>
  </r>
  <r>
    <x v="0"/>
    <x v="10"/>
    <n v="5"/>
    <x v="1"/>
    <d v="2020-03-01T00:00:00"/>
    <n v="13648.127"/>
    <x v="11"/>
  </r>
  <r>
    <x v="0"/>
    <x v="10"/>
    <n v="5"/>
    <x v="1"/>
    <d v="2020-03-01T00:00:00"/>
    <n v="122056.91899999999"/>
    <x v="12"/>
  </r>
  <r>
    <x v="0"/>
    <x v="10"/>
    <n v="6"/>
    <x v="2"/>
    <d v="2020-03-01T00:00:00"/>
    <n v="5787.81"/>
    <x v="0"/>
  </r>
  <r>
    <x v="0"/>
    <x v="10"/>
    <n v="6"/>
    <x v="2"/>
    <d v="2020-03-01T00:00:00"/>
    <n v="5838.46"/>
    <x v="1"/>
  </r>
  <r>
    <x v="0"/>
    <x v="10"/>
    <n v="6"/>
    <x v="2"/>
    <d v="2020-03-01T00:00:00"/>
    <n v="5784.3670000000002"/>
    <x v="2"/>
  </r>
  <r>
    <x v="0"/>
    <x v="10"/>
    <n v="6"/>
    <x v="2"/>
    <d v="2020-03-01T00:00:00"/>
    <n v="6283.2380000000003"/>
    <x v="3"/>
  </r>
  <r>
    <x v="0"/>
    <x v="10"/>
    <n v="6"/>
    <x v="2"/>
    <d v="2020-03-01T00:00:00"/>
    <n v="5800.7659999999996"/>
    <x v="4"/>
  </r>
  <r>
    <x v="0"/>
    <x v="10"/>
    <n v="6"/>
    <x v="2"/>
    <d v="2020-03-01T00:00:00"/>
    <n v="5933.5410000000002"/>
    <x v="5"/>
  </r>
  <r>
    <x v="0"/>
    <x v="10"/>
    <n v="6"/>
    <x v="2"/>
    <d v="2020-03-01T00:00:00"/>
    <n v="6524.47"/>
    <x v="6"/>
  </r>
  <r>
    <x v="0"/>
    <x v="10"/>
    <n v="6"/>
    <x v="2"/>
    <d v="2020-03-01T00:00:00"/>
    <n v="5975.9569999999903"/>
    <x v="7"/>
  </r>
  <r>
    <x v="0"/>
    <x v="10"/>
    <n v="6"/>
    <x v="2"/>
    <d v="2020-03-01T00:00:00"/>
    <n v="6430.0190000000002"/>
    <x v="8"/>
  </r>
  <r>
    <x v="0"/>
    <x v="10"/>
    <n v="6"/>
    <x v="2"/>
    <d v="2020-03-01T00:00:00"/>
    <n v="6154.7640000000001"/>
    <x v="9"/>
  </r>
  <r>
    <x v="0"/>
    <x v="10"/>
    <n v="6"/>
    <x v="2"/>
    <d v="2020-03-01T00:00:00"/>
    <n v="5673.3890000000001"/>
    <x v="10"/>
  </r>
  <r>
    <x v="0"/>
    <x v="10"/>
    <n v="6"/>
    <x v="2"/>
    <d v="2020-03-01T00:00:00"/>
    <n v="5284.1019999999999"/>
    <x v="11"/>
  </r>
  <r>
    <x v="0"/>
    <x v="10"/>
    <n v="6"/>
    <x v="2"/>
    <d v="2020-03-01T00:00:00"/>
    <n v="71470.883000000002"/>
    <x v="12"/>
  </r>
  <r>
    <x v="0"/>
    <x v="10"/>
    <n v="7"/>
    <x v="3"/>
    <d v="2020-03-01T00:00:00"/>
    <n v="44989.853000000003"/>
    <x v="0"/>
  </r>
  <r>
    <x v="0"/>
    <x v="10"/>
    <n v="7"/>
    <x v="3"/>
    <d v="2020-03-01T00:00:00"/>
    <n v="45145.612999999998"/>
    <x v="1"/>
  </r>
  <r>
    <x v="0"/>
    <x v="10"/>
    <n v="7"/>
    <x v="3"/>
    <d v="2020-03-01T00:00:00"/>
    <n v="44904.81"/>
    <x v="2"/>
  </r>
  <r>
    <x v="0"/>
    <x v="10"/>
    <n v="7"/>
    <x v="3"/>
    <d v="2020-03-01T00:00:00"/>
    <n v="44255.51"/>
    <x v="3"/>
  </r>
  <r>
    <x v="0"/>
    <x v="10"/>
    <n v="7"/>
    <x v="3"/>
    <d v="2020-03-01T00:00:00"/>
    <n v="45213.09"/>
    <x v="4"/>
  </r>
  <r>
    <x v="0"/>
    <x v="10"/>
    <n v="7"/>
    <x v="3"/>
    <d v="2020-03-01T00:00:00"/>
    <n v="44015.006999999998"/>
    <x v="5"/>
  </r>
  <r>
    <x v="0"/>
    <x v="10"/>
    <n v="7"/>
    <x v="3"/>
    <d v="2020-03-01T00:00:00"/>
    <n v="45849.432999999997"/>
    <x v="6"/>
  </r>
  <r>
    <x v="0"/>
    <x v="10"/>
    <n v="7"/>
    <x v="3"/>
    <d v="2020-03-01T00:00:00"/>
    <n v="45156.236999999899"/>
    <x v="7"/>
  </r>
  <r>
    <x v="0"/>
    <x v="10"/>
    <n v="7"/>
    <x v="3"/>
    <d v="2020-03-01T00:00:00"/>
    <n v="44729.95"/>
    <x v="8"/>
  </r>
  <r>
    <x v="0"/>
    <x v="10"/>
    <n v="7"/>
    <x v="3"/>
    <d v="2020-03-01T00:00:00"/>
    <n v="44977.838000000003"/>
    <x v="9"/>
  </r>
  <r>
    <x v="0"/>
    <x v="10"/>
    <n v="7"/>
    <x v="3"/>
    <d v="2020-03-01T00:00:00"/>
    <n v="47527.355000000003"/>
    <x v="10"/>
  </r>
  <r>
    <x v="0"/>
    <x v="10"/>
    <n v="7"/>
    <x v="3"/>
    <d v="2020-03-01T00:00:00"/>
    <n v="69730.870999999999"/>
    <x v="11"/>
  </r>
  <r>
    <x v="0"/>
    <x v="10"/>
    <n v="7"/>
    <x v="3"/>
    <d v="2020-03-01T00:00:00"/>
    <n v="566495.56700000004"/>
    <x v="12"/>
  </r>
  <r>
    <x v="0"/>
    <x v="10"/>
    <n v="8"/>
    <x v="4"/>
    <d v="2020-03-01T00:00:00"/>
    <n v="8539.4549999999999"/>
    <x v="0"/>
  </r>
  <r>
    <x v="0"/>
    <x v="10"/>
    <n v="8"/>
    <x v="4"/>
    <d v="2020-03-01T00:00:00"/>
    <n v="8656.0969999999998"/>
    <x v="1"/>
  </r>
  <r>
    <x v="0"/>
    <x v="10"/>
    <n v="8"/>
    <x v="4"/>
    <d v="2020-03-01T00:00:00"/>
    <n v="7524.2640000000001"/>
    <x v="2"/>
  </r>
  <r>
    <x v="0"/>
    <x v="10"/>
    <n v="8"/>
    <x v="4"/>
    <d v="2020-03-01T00:00:00"/>
    <n v="9021.8459999999995"/>
    <x v="3"/>
  </r>
  <r>
    <x v="0"/>
    <x v="10"/>
    <n v="8"/>
    <x v="4"/>
    <d v="2020-03-01T00:00:00"/>
    <n v="8938.1760000000104"/>
    <x v="4"/>
  </r>
  <r>
    <x v="0"/>
    <x v="10"/>
    <n v="8"/>
    <x v="4"/>
    <d v="2020-03-01T00:00:00"/>
    <n v="9257.768"/>
    <x v="5"/>
  </r>
  <r>
    <x v="0"/>
    <x v="10"/>
    <n v="8"/>
    <x v="4"/>
    <d v="2020-03-01T00:00:00"/>
    <n v="10742.359"/>
    <x v="6"/>
  </r>
  <r>
    <x v="0"/>
    <x v="10"/>
    <n v="8"/>
    <x v="4"/>
    <d v="2020-03-01T00:00:00"/>
    <n v="10508.003000000001"/>
    <x v="7"/>
  </r>
  <r>
    <x v="0"/>
    <x v="10"/>
    <n v="8"/>
    <x v="4"/>
    <d v="2020-03-01T00:00:00"/>
    <n v="10136.911"/>
    <x v="8"/>
  </r>
  <r>
    <x v="0"/>
    <x v="10"/>
    <n v="8"/>
    <x v="4"/>
    <d v="2020-03-01T00:00:00"/>
    <n v="9458.7950000000201"/>
    <x v="9"/>
  </r>
  <r>
    <x v="0"/>
    <x v="10"/>
    <n v="8"/>
    <x v="4"/>
    <d v="2020-03-01T00:00:00"/>
    <n v="10466.075000000001"/>
    <x v="10"/>
  </r>
  <r>
    <x v="0"/>
    <x v="10"/>
    <n v="8"/>
    <x v="4"/>
    <d v="2020-03-01T00:00:00"/>
    <n v="11150.107"/>
    <x v="11"/>
  </r>
  <r>
    <x v="0"/>
    <x v="10"/>
    <n v="8"/>
    <x v="4"/>
    <d v="2020-03-01T00:00:00"/>
    <n v="114399.856"/>
    <x v="12"/>
  </r>
  <r>
    <x v="0"/>
    <x v="10"/>
    <n v="9"/>
    <x v="5"/>
    <d v="2020-03-01T00:00:00"/>
    <n v="4948.9279999999999"/>
    <x v="0"/>
  </r>
  <r>
    <x v="0"/>
    <x v="10"/>
    <n v="9"/>
    <x v="5"/>
    <d v="2020-03-01T00:00:00"/>
    <n v="5555.1949999999997"/>
    <x v="1"/>
  </r>
  <r>
    <x v="0"/>
    <x v="10"/>
    <n v="9"/>
    <x v="5"/>
    <d v="2020-03-01T00:00:00"/>
    <n v="5448.9859999999999"/>
    <x v="2"/>
  </r>
  <r>
    <x v="0"/>
    <x v="10"/>
    <n v="9"/>
    <x v="5"/>
    <d v="2020-03-01T00:00:00"/>
    <n v="6107.2879999999996"/>
    <x v="3"/>
  </r>
  <r>
    <x v="0"/>
    <x v="10"/>
    <n v="9"/>
    <x v="5"/>
    <d v="2020-03-01T00:00:00"/>
    <n v="5191.741"/>
    <x v="4"/>
  </r>
  <r>
    <x v="0"/>
    <x v="10"/>
    <n v="9"/>
    <x v="5"/>
    <d v="2020-03-01T00:00:00"/>
    <n v="5164.3850000000002"/>
    <x v="5"/>
  </r>
  <r>
    <x v="0"/>
    <x v="10"/>
    <n v="9"/>
    <x v="5"/>
    <d v="2020-03-01T00:00:00"/>
    <n v="5819.7520000000004"/>
    <x v="6"/>
  </r>
  <r>
    <x v="0"/>
    <x v="10"/>
    <n v="9"/>
    <x v="5"/>
    <d v="2020-03-01T00:00:00"/>
    <n v="5815.5349999999999"/>
    <x v="7"/>
  </r>
  <r>
    <x v="0"/>
    <x v="10"/>
    <n v="9"/>
    <x v="5"/>
    <d v="2020-03-01T00:00:00"/>
    <n v="5742.7760000000098"/>
    <x v="8"/>
  </r>
  <r>
    <x v="0"/>
    <x v="10"/>
    <n v="9"/>
    <x v="5"/>
    <d v="2020-03-01T00:00:00"/>
    <n v="6247.63"/>
    <x v="9"/>
  </r>
  <r>
    <x v="0"/>
    <x v="10"/>
    <n v="9"/>
    <x v="5"/>
    <d v="2020-03-01T00:00:00"/>
    <n v="5173.6809999999996"/>
    <x v="10"/>
  </r>
  <r>
    <x v="0"/>
    <x v="10"/>
    <n v="9"/>
    <x v="5"/>
    <d v="2020-03-01T00:00:00"/>
    <n v="5274.9180000000097"/>
    <x v="11"/>
  </r>
  <r>
    <x v="0"/>
    <x v="10"/>
    <n v="9"/>
    <x v="5"/>
    <d v="2020-03-01T00:00:00"/>
    <n v="66490.815000000002"/>
    <x v="12"/>
  </r>
  <r>
    <x v="0"/>
    <x v="10"/>
    <n v="10"/>
    <x v="6"/>
    <d v="2020-03-01T00:00:00"/>
    <n v="11540.196"/>
    <x v="0"/>
  </r>
  <r>
    <x v="0"/>
    <x v="10"/>
    <n v="10"/>
    <x v="6"/>
    <d v="2020-03-01T00:00:00"/>
    <n v="12294.772000000001"/>
    <x v="1"/>
  </r>
  <r>
    <x v="0"/>
    <x v="10"/>
    <n v="10"/>
    <x v="6"/>
    <d v="2020-03-01T00:00:00"/>
    <n v="12821.405000000001"/>
    <x v="2"/>
  </r>
  <r>
    <x v="0"/>
    <x v="10"/>
    <n v="10"/>
    <x v="6"/>
    <d v="2020-03-01T00:00:00"/>
    <n v="12327.870999999999"/>
    <x v="3"/>
  </r>
  <r>
    <x v="0"/>
    <x v="10"/>
    <n v="10"/>
    <x v="6"/>
    <d v="2020-03-01T00:00:00"/>
    <n v="12269.906000000001"/>
    <x v="4"/>
  </r>
  <r>
    <x v="0"/>
    <x v="10"/>
    <n v="10"/>
    <x v="6"/>
    <d v="2020-03-01T00:00:00"/>
    <n v="12547.178"/>
    <x v="5"/>
  </r>
  <r>
    <x v="0"/>
    <x v="10"/>
    <n v="10"/>
    <x v="6"/>
    <d v="2020-03-01T00:00:00"/>
    <n v="12086.808000000001"/>
    <x v="6"/>
  </r>
  <r>
    <x v="0"/>
    <x v="10"/>
    <n v="10"/>
    <x v="6"/>
    <d v="2020-03-01T00:00:00"/>
    <n v="13076.618"/>
    <x v="7"/>
  </r>
  <r>
    <x v="0"/>
    <x v="10"/>
    <n v="10"/>
    <x v="6"/>
    <d v="2020-03-01T00:00:00"/>
    <n v="12672.291999999999"/>
    <x v="8"/>
  </r>
  <r>
    <x v="0"/>
    <x v="10"/>
    <n v="10"/>
    <x v="6"/>
    <d v="2020-03-01T00:00:00"/>
    <n v="12931.26"/>
    <x v="9"/>
  </r>
  <r>
    <x v="0"/>
    <x v="10"/>
    <n v="10"/>
    <x v="6"/>
    <d v="2020-03-01T00:00:00"/>
    <n v="12567.204"/>
    <x v="10"/>
  </r>
  <r>
    <x v="0"/>
    <x v="10"/>
    <n v="10"/>
    <x v="6"/>
    <d v="2020-03-01T00:00:00"/>
    <n v="10528.486999999999"/>
    <x v="11"/>
  </r>
  <r>
    <x v="0"/>
    <x v="10"/>
    <n v="10"/>
    <x v="6"/>
    <d v="2020-03-01T00:00:00"/>
    <n v="147663.997"/>
    <x v="12"/>
  </r>
  <r>
    <x v="0"/>
    <x v="10"/>
    <n v="11"/>
    <x v="7"/>
    <d v="2020-03-01T00:00:00"/>
    <n v="0"/>
    <x v="0"/>
  </r>
  <r>
    <x v="0"/>
    <x v="10"/>
    <n v="11"/>
    <x v="7"/>
    <d v="2020-03-01T00:00:00"/>
    <n v="0"/>
    <x v="1"/>
  </r>
  <r>
    <x v="0"/>
    <x v="10"/>
    <n v="11"/>
    <x v="7"/>
    <d v="2020-03-01T00:00:00"/>
    <n v="0"/>
    <x v="2"/>
  </r>
  <r>
    <x v="0"/>
    <x v="10"/>
    <n v="11"/>
    <x v="7"/>
    <d v="2020-03-01T00:00:00"/>
    <n v="0"/>
    <x v="3"/>
  </r>
  <r>
    <x v="0"/>
    <x v="10"/>
    <n v="11"/>
    <x v="7"/>
    <d v="2020-03-01T00:00:00"/>
    <n v="0"/>
    <x v="4"/>
  </r>
  <r>
    <x v="0"/>
    <x v="10"/>
    <n v="11"/>
    <x v="7"/>
    <d v="2020-03-01T00:00:00"/>
    <n v="0"/>
    <x v="5"/>
  </r>
  <r>
    <x v="0"/>
    <x v="10"/>
    <n v="11"/>
    <x v="7"/>
    <d v="2020-03-01T00:00:00"/>
    <n v="0"/>
    <x v="6"/>
  </r>
  <r>
    <x v="0"/>
    <x v="10"/>
    <n v="11"/>
    <x v="7"/>
    <d v="2020-03-01T00:00:00"/>
    <n v="0"/>
    <x v="7"/>
  </r>
  <r>
    <x v="0"/>
    <x v="10"/>
    <n v="11"/>
    <x v="7"/>
    <d v="2020-03-01T00:00:00"/>
    <n v="0"/>
    <x v="8"/>
  </r>
  <r>
    <x v="0"/>
    <x v="10"/>
    <n v="11"/>
    <x v="7"/>
    <d v="2020-03-01T00:00:00"/>
    <n v="0"/>
    <x v="9"/>
  </r>
  <r>
    <x v="0"/>
    <x v="10"/>
    <n v="11"/>
    <x v="7"/>
    <d v="2020-03-01T00:00:00"/>
    <n v="0"/>
    <x v="10"/>
  </r>
  <r>
    <x v="0"/>
    <x v="10"/>
    <n v="11"/>
    <x v="7"/>
    <d v="2020-03-01T00:00:00"/>
    <n v="0"/>
    <x v="11"/>
  </r>
  <r>
    <x v="0"/>
    <x v="10"/>
    <n v="11"/>
    <x v="7"/>
    <d v="2020-03-01T00:00:00"/>
    <n v="0"/>
    <x v="12"/>
  </r>
  <r>
    <x v="0"/>
    <x v="10"/>
    <n v="12"/>
    <x v="8"/>
    <d v="2020-03-01T00:00:00"/>
    <n v="4078.9749999999999"/>
    <x v="0"/>
  </r>
  <r>
    <x v="0"/>
    <x v="10"/>
    <n v="12"/>
    <x v="8"/>
    <d v="2020-03-01T00:00:00"/>
    <n v="4305.2820000000002"/>
    <x v="1"/>
  </r>
  <r>
    <x v="0"/>
    <x v="10"/>
    <n v="12"/>
    <x v="8"/>
    <d v="2020-03-01T00:00:00"/>
    <n v="4102.0069999999996"/>
    <x v="2"/>
  </r>
  <r>
    <x v="0"/>
    <x v="10"/>
    <n v="12"/>
    <x v="8"/>
    <d v="2020-03-01T00:00:00"/>
    <n v="4428.3919999999998"/>
    <x v="3"/>
  </r>
  <r>
    <x v="0"/>
    <x v="10"/>
    <n v="12"/>
    <x v="8"/>
    <d v="2020-03-01T00:00:00"/>
    <n v="4434.1790000000001"/>
    <x v="4"/>
  </r>
  <r>
    <x v="0"/>
    <x v="10"/>
    <n v="12"/>
    <x v="8"/>
    <d v="2020-03-01T00:00:00"/>
    <n v="4396.2"/>
    <x v="5"/>
  </r>
  <r>
    <x v="0"/>
    <x v="10"/>
    <n v="12"/>
    <x v="8"/>
    <d v="2020-03-01T00:00:00"/>
    <n v="4499.47"/>
    <x v="6"/>
  </r>
  <r>
    <x v="0"/>
    <x v="10"/>
    <n v="12"/>
    <x v="8"/>
    <d v="2020-03-01T00:00:00"/>
    <n v="4503.7070000000003"/>
    <x v="7"/>
  </r>
  <r>
    <x v="0"/>
    <x v="10"/>
    <n v="12"/>
    <x v="8"/>
    <d v="2020-03-01T00:00:00"/>
    <n v="5035.3339999999998"/>
    <x v="8"/>
  </r>
  <r>
    <x v="0"/>
    <x v="10"/>
    <n v="12"/>
    <x v="8"/>
    <d v="2020-03-01T00:00:00"/>
    <n v="4356.4560000000001"/>
    <x v="9"/>
  </r>
  <r>
    <x v="0"/>
    <x v="10"/>
    <n v="12"/>
    <x v="8"/>
    <d v="2020-03-01T00:00:00"/>
    <n v="4336.6750000000002"/>
    <x v="10"/>
  </r>
  <r>
    <x v="0"/>
    <x v="10"/>
    <n v="12"/>
    <x v="8"/>
    <d v="2020-03-01T00:00:00"/>
    <n v="4612.2150000000001"/>
    <x v="11"/>
  </r>
  <r>
    <x v="0"/>
    <x v="10"/>
    <n v="12"/>
    <x v="8"/>
    <d v="2020-03-01T00:00:00"/>
    <n v="53088.892"/>
    <x v="12"/>
  </r>
  <r>
    <x v="0"/>
    <x v="11"/>
    <n v="6"/>
    <x v="0"/>
    <d v="2020-03-01T00:00:00"/>
    <n v="29030.067999999999"/>
    <x v="0"/>
  </r>
  <r>
    <x v="0"/>
    <x v="11"/>
    <n v="6"/>
    <x v="0"/>
    <d v="2020-03-01T00:00:00"/>
    <n v="45642.722000000002"/>
    <x v="1"/>
  </r>
  <r>
    <x v="0"/>
    <x v="11"/>
    <n v="6"/>
    <x v="0"/>
    <d v="2020-03-01T00:00:00"/>
    <n v="36807.217100000002"/>
    <x v="2"/>
  </r>
  <r>
    <x v="0"/>
    <x v="11"/>
    <n v="6"/>
    <x v="0"/>
    <d v="2020-03-01T00:00:00"/>
    <n v="36548"/>
    <x v="3"/>
  </r>
  <r>
    <x v="0"/>
    <x v="11"/>
    <n v="6"/>
    <x v="0"/>
    <d v="2020-03-01T00:00:00"/>
    <n v="34169"/>
    <x v="4"/>
  </r>
  <r>
    <x v="0"/>
    <x v="11"/>
    <n v="6"/>
    <x v="0"/>
    <d v="2020-03-01T00:00:00"/>
    <n v="35336"/>
    <x v="5"/>
  </r>
  <r>
    <x v="0"/>
    <x v="11"/>
    <n v="6"/>
    <x v="0"/>
    <d v="2020-03-01T00:00:00"/>
    <n v="40281"/>
    <x v="6"/>
  </r>
  <r>
    <x v="0"/>
    <x v="11"/>
    <n v="6"/>
    <x v="0"/>
    <d v="2020-03-01T00:00:00"/>
    <n v="32797.482000000004"/>
    <x v="7"/>
  </r>
  <r>
    <x v="0"/>
    <x v="11"/>
    <n v="6"/>
    <x v="0"/>
    <d v="2020-03-01T00:00:00"/>
    <n v="57833"/>
    <x v="8"/>
  </r>
  <r>
    <x v="0"/>
    <x v="11"/>
    <n v="6"/>
    <x v="0"/>
    <d v="2020-03-01T00:00:00"/>
    <n v="39562.120000000003"/>
    <x v="9"/>
  </r>
  <r>
    <x v="0"/>
    <x v="11"/>
    <n v="6"/>
    <x v="0"/>
    <d v="2020-03-01T00:00:00"/>
    <n v="37935.434000000001"/>
    <x v="10"/>
  </r>
  <r>
    <x v="0"/>
    <x v="11"/>
    <n v="6"/>
    <x v="0"/>
    <d v="2020-03-01T00:00:00"/>
    <n v="93810.334956000006"/>
    <x v="11"/>
  </r>
  <r>
    <x v="0"/>
    <x v="11"/>
    <n v="6"/>
    <x v="0"/>
    <d v="2020-03-01T00:00:00"/>
    <n v="519752.37805599999"/>
    <x v="12"/>
  </r>
  <r>
    <x v="0"/>
    <x v="12"/>
    <n v="6"/>
    <x v="0"/>
    <d v="2020-03-01T00:00:00"/>
    <n v="16224"/>
    <x v="0"/>
  </r>
  <r>
    <x v="0"/>
    <x v="12"/>
    <n v="6"/>
    <x v="0"/>
    <d v="2020-03-01T00:00:00"/>
    <n v="15967"/>
    <x v="1"/>
  </r>
  <r>
    <x v="0"/>
    <x v="12"/>
    <n v="6"/>
    <x v="0"/>
    <d v="2020-03-01T00:00:00"/>
    <n v="16058"/>
    <x v="2"/>
  </r>
  <r>
    <x v="0"/>
    <x v="12"/>
    <n v="6"/>
    <x v="0"/>
    <d v="2020-03-01T00:00:00"/>
    <n v="17805"/>
    <x v="3"/>
  </r>
  <r>
    <x v="0"/>
    <x v="12"/>
    <n v="6"/>
    <x v="0"/>
    <d v="2020-03-01T00:00:00"/>
    <n v="16188"/>
    <x v="4"/>
  </r>
  <r>
    <x v="0"/>
    <x v="12"/>
    <n v="6"/>
    <x v="0"/>
    <d v="2020-03-01T00:00:00"/>
    <n v="16510"/>
    <x v="5"/>
  </r>
  <r>
    <x v="0"/>
    <x v="12"/>
    <n v="6"/>
    <x v="0"/>
    <d v="2020-03-01T00:00:00"/>
    <n v="16502"/>
    <x v="6"/>
  </r>
  <r>
    <x v="0"/>
    <x v="12"/>
    <n v="6"/>
    <x v="0"/>
    <d v="2020-03-01T00:00:00"/>
    <n v="18098"/>
    <x v="7"/>
  </r>
  <r>
    <x v="0"/>
    <x v="12"/>
    <n v="6"/>
    <x v="0"/>
    <d v="2020-03-01T00:00:00"/>
    <n v="17440"/>
    <x v="8"/>
  </r>
  <r>
    <x v="0"/>
    <x v="12"/>
    <n v="6"/>
    <x v="0"/>
    <d v="2020-03-01T00:00:00"/>
    <n v="16938"/>
    <x v="9"/>
  </r>
  <r>
    <x v="0"/>
    <x v="12"/>
    <n v="6"/>
    <x v="0"/>
    <d v="2020-03-01T00:00:00"/>
    <n v="18258"/>
    <x v="10"/>
  </r>
  <r>
    <x v="0"/>
    <x v="12"/>
    <n v="6"/>
    <x v="0"/>
    <d v="2020-03-01T00:00:00"/>
    <n v="25307"/>
    <x v="11"/>
  </r>
  <r>
    <x v="0"/>
    <x v="12"/>
    <n v="6"/>
    <x v="0"/>
    <d v="2020-03-01T00:00:00"/>
    <n v="211295"/>
    <x v="12"/>
  </r>
  <r>
    <x v="0"/>
    <x v="13"/>
    <n v="4"/>
    <x v="0"/>
    <d v="2020-03-01T00:00:00"/>
    <n v="64999"/>
    <x v="0"/>
  </r>
  <r>
    <x v="0"/>
    <x v="13"/>
    <n v="4"/>
    <x v="0"/>
    <d v="2020-03-01T00:00:00"/>
    <n v="65075"/>
    <x v="1"/>
  </r>
  <r>
    <x v="0"/>
    <x v="13"/>
    <n v="4"/>
    <x v="0"/>
    <d v="2020-03-01T00:00:00"/>
    <n v="65030"/>
    <x v="2"/>
  </r>
  <r>
    <x v="0"/>
    <x v="13"/>
    <n v="4"/>
    <x v="0"/>
    <d v="2020-03-01T00:00:00"/>
    <n v="67696"/>
    <x v="3"/>
  </r>
  <r>
    <x v="0"/>
    <x v="13"/>
    <n v="4"/>
    <x v="0"/>
    <d v="2020-03-01T00:00:00"/>
    <n v="67768"/>
    <x v="4"/>
  </r>
  <r>
    <x v="0"/>
    <x v="13"/>
    <n v="4"/>
    <x v="0"/>
    <d v="2020-03-01T00:00:00"/>
    <n v="64481"/>
    <x v="5"/>
  </r>
  <r>
    <x v="0"/>
    <x v="13"/>
    <n v="4"/>
    <x v="0"/>
    <d v="2020-03-01T00:00:00"/>
    <n v="63416"/>
    <x v="6"/>
  </r>
  <r>
    <x v="0"/>
    <x v="13"/>
    <n v="4"/>
    <x v="0"/>
    <d v="2020-03-01T00:00:00"/>
    <n v="66987.399999999994"/>
    <x v="7"/>
  </r>
  <r>
    <x v="0"/>
    <x v="13"/>
    <n v="4"/>
    <x v="0"/>
    <d v="2020-03-01T00:00:00"/>
    <n v="65472"/>
    <x v="8"/>
  </r>
  <r>
    <x v="0"/>
    <x v="13"/>
    <n v="4"/>
    <x v="0"/>
    <d v="2020-03-01T00:00:00"/>
    <n v="65286"/>
    <x v="9"/>
  </r>
  <r>
    <x v="0"/>
    <x v="13"/>
    <n v="4"/>
    <x v="0"/>
    <d v="2020-03-01T00:00:00"/>
    <n v="68394"/>
    <x v="10"/>
  </r>
  <r>
    <x v="0"/>
    <x v="13"/>
    <n v="4"/>
    <x v="0"/>
    <d v="2020-03-01T00:00:00"/>
    <n v="69891"/>
    <x v="11"/>
  </r>
  <r>
    <x v="0"/>
    <x v="13"/>
    <n v="4"/>
    <x v="0"/>
    <d v="2020-03-01T00:00:00"/>
    <n v="794495.4"/>
    <x v="12"/>
  </r>
  <r>
    <x v="0"/>
    <x v="13"/>
    <n v="5"/>
    <x v="1"/>
    <d v="2020-03-01T00:00:00"/>
    <n v="0"/>
    <x v="0"/>
  </r>
  <r>
    <x v="0"/>
    <x v="13"/>
    <n v="5"/>
    <x v="1"/>
    <d v="2020-03-01T00:00:00"/>
    <n v="0"/>
    <x v="1"/>
  </r>
  <r>
    <x v="0"/>
    <x v="13"/>
    <n v="5"/>
    <x v="1"/>
    <d v="2020-03-01T00:00:00"/>
    <n v="0"/>
    <x v="2"/>
  </r>
  <r>
    <x v="0"/>
    <x v="13"/>
    <n v="5"/>
    <x v="1"/>
    <d v="2020-03-01T00:00:00"/>
    <n v="0"/>
    <x v="3"/>
  </r>
  <r>
    <x v="0"/>
    <x v="13"/>
    <n v="5"/>
    <x v="1"/>
    <d v="2020-03-01T00:00:00"/>
    <n v="0"/>
    <x v="4"/>
  </r>
  <r>
    <x v="0"/>
    <x v="13"/>
    <n v="5"/>
    <x v="1"/>
    <d v="2020-03-01T00:00:00"/>
    <n v="0"/>
    <x v="5"/>
  </r>
  <r>
    <x v="0"/>
    <x v="13"/>
    <n v="5"/>
    <x v="1"/>
    <d v="2020-03-01T00:00:00"/>
    <n v="0"/>
    <x v="6"/>
  </r>
  <r>
    <x v="0"/>
    <x v="13"/>
    <n v="5"/>
    <x v="1"/>
    <d v="2020-03-01T00:00:00"/>
    <n v="0"/>
    <x v="7"/>
  </r>
  <r>
    <x v="0"/>
    <x v="13"/>
    <n v="5"/>
    <x v="1"/>
    <d v="2020-03-01T00:00:00"/>
    <n v="0"/>
    <x v="8"/>
  </r>
  <r>
    <x v="0"/>
    <x v="13"/>
    <n v="5"/>
    <x v="1"/>
    <d v="2020-03-01T00:00:00"/>
    <n v="0"/>
    <x v="9"/>
  </r>
  <r>
    <x v="0"/>
    <x v="13"/>
    <n v="5"/>
    <x v="1"/>
    <d v="2020-03-01T00:00:00"/>
    <n v="0"/>
    <x v="10"/>
  </r>
  <r>
    <x v="0"/>
    <x v="13"/>
    <n v="5"/>
    <x v="1"/>
    <d v="2020-03-01T00:00:00"/>
    <n v="0"/>
    <x v="11"/>
  </r>
  <r>
    <x v="0"/>
    <x v="13"/>
    <n v="5"/>
    <x v="1"/>
    <d v="2020-03-01T00:00:00"/>
    <n v="0"/>
    <x v="12"/>
  </r>
  <r>
    <x v="0"/>
    <x v="13"/>
    <n v="6"/>
    <x v="2"/>
    <d v="2020-03-01T00:00:00"/>
    <n v="0"/>
    <x v="0"/>
  </r>
  <r>
    <x v="0"/>
    <x v="13"/>
    <n v="6"/>
    <x v="2"/>
    <d v="2020-03-01T00:00:00"/>
    <n v="0"/>
    <x v="1"/>
  </r>
  <r>
    <x v="0"/>
    <x v="13"/>
    <n v="6"/>
    <x v="2"/>
    <d v="2020-03-01T00:00:00"/>
    <n v="0"/>
    <x v="2"/>
  </r>
  <r>
    <x v="0"/>
    <x v="13"/>
    <n v="6"/>
    <x v="2"/>
    <d v="2020-03-01T00:00:00"/>
    <n v="0"/>
    <x v="3"/>
  </r>
  <r>
    <x v="0"/>
    <x v="13"/>
    <n v="6"/>
    <x v="2"/>
    <d v="2020-03-01T00:00:00"/>
    <n v="0"/>
    <x v="4"/>
  </r>
  <r>
    <x v="0"/>
    <x v="13"/>
    <n v="6"/>
    <x v="2"/>
    <d v="2020-03-01T00:00:00"/>
    <n v="0"/>
    <x v="5"/>
  </r>
  <r>
    <x v="0"/>
    <x v="13"/>
    <n v="6"/>
    <x v="2"/>
    <d v="2020-03-01T00:00:00"/>
    <n v="0"/>
    <x v="6"/>
  </r>
  <r>
    <x v="0"/>
    <x v="13"/>
    <n v="6"/>
    <x v="2"/>
    <d v="2020-03-01T00:00:00"/>
    <n v="0"/>
    <x v="7"/>
  </r>
  <r>
    <x v="0"/>
    <x v="13"/>
    <n v="6"/>
    <x v="2"/>
    <d v="2020-03-01T00:00:00"/>
    <n v="0"/>
    <x v="8"/>
  </r>
  <r>
    <x v="0"/>
    <x v="13"/>
    <n v="6"/>
    <x v="2"/>
    <d v="2020-03-01T00:00:00"/>
    <n v="0"/>
    <x v="9"/>
  </r>
  <r>
    <x v="0"/>
    <x v="13"/>
    <n v="6"/>
    <x v="2"/>
    <d v="2020-03-01T00:00:00"/>
    <n v="0"/>
    <x v="10"/>
  </r>
  <r>
    <x v="0"/>
    <x v="13"/>
    <n v="6"/>
    <x v="2"/>
    <d v="2020-03-01T00:00:00"/>
    <n v="0"/>
    <x v="11"/>
  </r>
  <r>
    <x v="0"/>
    <x v="13"/>
    <n v="6"/>
    <x v="2"/>
    <d v="2020-03-01T00:00:00"/>
    <n v="0"/>
    <x v="12"/>
  </r>
  <r>
    <x v="0"/>
    <x v="13"/>
    <n v="7"/>
    <x v="3"/>
    <d v="2020-03-01T00:00:00"/>
    <n v="461"/>
    <x v="0"/>
  </r>
  <r>
    <x v="0"/>
    <x v="13"/>
    <n v="7"/>
    <x v="3"/>
    <d v="2020-03-01T00:00:00"/>
    <n v="415"/>
    <x v="1"/>
  </r>
  <r>
    <x v="0"/>
    <x v="13"/>
    <n v="7"/>
    <x v="3"/>
    <d v="2020-03-01T00:00:00"/>
    <n v="468.61799999999999"/>
    <x v="2"/>
  </r>
  <r>
    <x v="0"/>
    <x v="13"/>
    <n v="7"/>
    <x v="3"/>
    <d v="2020-03-01T00:00:00"/>
    <n v="339.31"/>
    <x v="3"/>
  </r>
  <r>
    <x v="0"/>
    <x v="13"/>
    <n v="7"/>
    <x v="3"/>
    <d v="2020-03-01T00:00:00"/>
    <n v="463.96"/>
    <x v="4"/>
  </r>
  <r>
    <x v="0"/>
    <x v="13"/>
    <n v="7"/>
    <x v="3"/>
    <d v="2020-03-01T00:00:00"/>
    <n v="444.41500000000002"/>
    <x v="5"/>
  </r>
  <r>
    <x v="0"/>
    <x v="13"/>
    <n v="7"/>
    <x v="3"/>
    <d v="2020-03-01T00:00:00"/>
    <n v="453.86099999999999"/>
    <x v="6"/>
  </r>
  <r>
    <x v="0"/>
    <x v="13"/>
    <n v="7"/>
    <x v="3"/>
    <d v="2020-03-01T00:00:00"/>
    <n v="487.86700000000002"/>
    <x v="7"/>
  </r>
  <r>
    <x v="0"/>
    <x v="13"/>
    <n v="7"/>
    <x v="3"/>
    <d v="2020-03-01T00:00:00"/>
    <n v="476.47"/>
    <x v="8"/>
  </r>
  <r>
    <x v="0"/>
    <x v="13"/>
    <n v="7"/>
    <x v="3"/>
    <d v="2020-03-01T00:00:00"/>
    <n v="507.67899999999997"/>
    <x v="9"/>
  </r>
  <r>
    <x v="0"/>
    <x v="13"/>
    <n v="7"/>
    <x v="3"/>
    <d v="2020-03-01T00:00:00"/>
    <n v="426.649"/>
    <x v="10"/>
  </r>
  <r>
    <x v="0"/>
    <x v="13"/>
    <n v="7"/>
    <x v="3"/>
    <d v="2020-03-01T00:00:00"/>
    <n v="809.15099999999995"/>
    <x v="11"/>
  </r>
  <r>
    <x v="0"/>
    <x v="13"/>
    <n v="7"/>
    <x v="3"/>
    <d v="2020-03-01T00:00:00"/>
    <n v="5753.98"/>
    <x v="12"/>
  </r>
  <r>
    <x v="0"/>
    <x v="13"/>
    <n v="8"/>
    <x v="4"/>
    <d v="2020-03-01T00:00:00"/>
    <n v="80"/>
    <x v="0"/>
  </r>
  <r>
    <x v="0"/>
    <x v="13"/>
    <n v="8"/>
    <x v="4"/>
    <d v="2020-03-01T00:00:00"/>
    <n v="80"/>
    <x v="1"/>
  </r>
  <r>
    <x v="0"/>
    <x v="13"/>
    <n v="8"/>
    <x v="4"/>
    <d v="2020-03-01T00:00:00"/>
    <n v="80"/>
    <x v="2"/>
  </r>
  <r>
    <x v="0"/>
    <x v="13"/>
    <n v="8"/>
    <x v="4"/>
    <d v="2020-03-01T00:00:00"/>
    <n v="80"/>
    <x v="3"/>
  </r>
  <r>
    <x v="0"/>
    <x v="13"/>
    <n v="8"/>
    <x v="4"/>
    <d v="2020-03-01T00:00:00"/>
    <n v="80"/>
    <x v="4"/>
  </r>
  <r>
    <x v="0"/>
    <x v="13"/>
    <n v="8"/>
    <x v="4"/>
    <d v="2020-03-01T00:00:00"/>
    <n v="81"/>
    <x v="5"/>
  </r>
  <r>
    <x v="0"/>
    <x v="13"/>
    <n v="8"/>
    <x v="4"/>
    <d v="2020-03-01T00:00:00"/>
    <n v="81"/>
    <x v="6"/>
  </r>
  <r>
    <x v="0"/>
    <x v="13"/>
    <n v="8"/>
    <x v="4"/>
    <d v="2020-03-01T00:00:00"/>
    <n v="81"/>
    <x v="7"/>
  </r>
  <r>
    <x v="0"/>
    <x v="13"/>
    <n v="8"/>
    <x v="4"/>
    <d v="2020-03-01T00:00:00"/>
    <n v="80.5"/>
    <x v="8"/>
  </r>
  <r>
    <x v="0"/>
    <x v="13"/>
    <n v="8"/>
    <x v="4"/>
    <d v="2020-03-01T00:00:00"/>
    <n v="81"/>
    <x v="9"/>
  </r>
  <r>
    <x v="0"/>
    <x v="13"/>
    <n v="8"/>
    <x v="4"/>
    <d v="2020-03-01T00:00:00"/>
    <n v="81"/>
    <x v="10"/>
  </r>
  <r>
    <x v="0"/>
    <x v="13"/>
    <n v="8"/>
    <x v="4"/>
    <d v="2020-03-01T00:00:00"/>
    <n v="511.5"/>
    <x v="11"/>
  </r>
  <r>
    <x v="0"/>
    <x v="13"/>
    <n v="8"/>
    <x v="4"/>
    <d v="2020-03-01T00:00:00"/>
    <n v="1397"/>
    <x v="12"/>
  </r>
  <r>
    <x v="0"/>
    <x v="13"/>
    <n v="9"/>
    <x v="5"/>
    <d v="2020-03-01T00:00:00"/>
    <n v="0"/>
    <x v="0"/>
  </r>
  <r>
    <x v="0"/>
    <x v="13"/>
    <n v="9"/>
    <x v="5"/>
    <d v="2020-03-01T00:00:00"/>
    <n v="0"/>
    <x v="1"/>
  </r>
  <r>
    <x v="0"/>
    <x v="13"/>
    <n v="9"/>
    <x v="5"/>
    <d v="2020-03-01T00:00:00"/>
    <n v="0"/>
    <x v="2"/>
  </r>
  <r>
    <x v="0"/>
    <x v="13"/>
    <n v="9"/>
    <x v="5"/>
    <d v="2020-03-01T00:00:00"/>
    <n v="0"/>
    <x v="3"/>
  </r>
  <r>
    <x v="0"/>
    <x v="13"/>
    <n v="9"/>
    <x v="5"/>
    <d v="2020-03-01T00:00:00"/>
    <n v="0"/>
    <x v="4"/>
  </r>
  <r>
    <x v="0"/>
    <x v="13"/>
    <n v="9"/>
    <x v="5"/>
    <d v="2020-03-01T00:00:00"/>
    <n v="0"/>
    <x v="5"/>
  </r>
  <r>
    <x v="0"/>
    <x v="13"/>
    <n v="9"/>
    <x v="5"/>
    <d v="2020-03-01T00:00:00"/>
    <n v="0"/>
    <x v="6"/>
  </r>
  <r>
    <x v="0"/>
    <x v="13"/>
    <n v="9"/>
    <x v="5"/>
    <d v="2020-03-01T00:00:00"/>
    <n v="0"/>
    <x v="7"/>
  </r>
  <r>
    <x v="0"/>
    <x v="13"/>
    <n v="9"/>
    <x v="5"/>
    <d v="2020-03-01T00:00:00"/>
    <n v="0"/>
    <x v="8"/>
  </r>
  <r>
    <x v="0"/>
    <x v="13"/>
    <n v="9"/>
    <x v="5"/>
    <d v="2020-03-01T00:00:00"/>
    <n v="0"/>
    <x v="9"/>
  </r>
  <r>
    <x v="0"/>
    <x v="13"/>
    <n v="9"/>
    <x v="5"/>
    <d v="2020-03-01T00:00:00"/>
    <n v="0"/>
    <x v="10"/>
  </r>
  <r>
    <x v="0"/>
    <x v="13"/>
    <n v="9"/>
    <x v="5"/>
    <d v="2020-03-01T00:00:00"/>
    <n v="0"/>
    <x v="11"/>
  </r>
  <r>
    <x v="0"/>
    <x v="13"/>
    <n v="9"/>
    <x v="5"/>
    <d v="2020-03-01T00:00:00"/>
    <n v="0"/>
    <x v="12"/>
  </r>
  <r>
    <x v="0"/>
    <x v="13"/>
    <n v="10"/>
    <x v="6"/>
    <d v="2020-03-01T00:00:00"/>
    <n v="62253"/>
    <x v="0"/>
  </r>
  <r>
    <x v="0"/>
    <x v="13"/>
    <n v="10"/>
    <x v="6"/>
    <d v="2020-03-01T00:00:00"/>
    <n v="62375"/>
    <x v="1"/>
  </r>
  <r>
    <x v="0"/>
    <x v="13"/>
    <n v="10"/>
    <x v="6"/>
    <d v="2020-03-01T00:00:00"/>
    <n v="62276"/>
    <x v="2"/>
  </r>
  <r>
    <x v="0"/>
    <x v="13"/>
    <n v="10"/>
    <x v="6"/>
    <d v="2020-03-01T00:00:00"/>
    <n v="65072"/>
    <x v="3"/>
  </r>
  <r>
    <x v="0"/>
    <x v="13"/>
    <n v="10"/>
    <x v="6"/>
    <d v="2020-03-01T00:00:00"/>
    <n v="65019"/>
    <x v="4"/>
  </r>
  <r>
    <x v="0"/>
    <x v="13"/>
    <n v="10"/>
    <x v="6"/>
    <d v="2020-03-01T00:00:00"/>
    <n v="61751"/>
    <x v="5"/>
  </r>
  <r>
    <x v="0"/>
    <x v="13"/>
    <n v="10"/>
    <x v="6"/>
    <d v="2020-03-01T00:00:00"/>
    <n v="60676"/>
    <x v="6"/>
  </r>
  <r>
    <x v="0"/>
    <x v="13"/>
    <n v="10"/>
    <x v="6"/>
    <d v="2020-03-01T00:00:00"/>
    <n v="64214"/>
    <x v="7"/>
  </r>
  <r>
    <x v="0"/>
    <x v="13"/>
    <n v="10"/>
    <x v="6"/>
    <d v="2020-03-01T00:00:00"/>
    <n v="62710"/>
    <x v="8"/>
  </r>
  <r>
    <x v="0"/>
    <x v="13"/>
    <n v="10"/>
    <x v="6"/>
    <d v="2020-03-01T00:00:00"/>
    <n v="62493"/>
    <x v="9"/>
  </r>
  <r>
    <x v="0"/>
    <x v="13"/>
    <n v="10"/>
    <x v="6"/>
    <d v="2020-03-01T00:00:00"/>
    <n v="65682"/>
    <x v="10"/>
  </r>
  <r>
    <x v="0"/>
    <x v="13"/>
    <n v="10"/>
    <x v="6"/>
    <d v="2020-03-01T00:00:00"/>
    <n v="67589"/>
    <x v="11"/>
  </r>
  <r>
    <x v="0"/>
    <x v="13"/>
    <n v="10"/>
    <x v="6"/>
    <d v="2020-03-01T00:00:00"/>
    <n v="762110"/>
    <x v="12"/>
  </r>
  <r>
    <x v="0"/>
    <x v="13"/>
    <n v="11"/>
    <x v="7"/>
    <d v="2020-03-01T00:00:00"/>
    <n v="0"/>
    <x v="0"/>
  </r>
  <r>
    <x v="0"/>
    <x v="13"/>
    <n v="11"/>
    <x v="7"/>
    <d v="2020-03-01T00:00:00"/>
    <n v="0"/>
    <x v="1"/>
  </r>
  <r>
    <x v="0"/>
    <x v="13"/>
    <n v="11"/>
    <x v="7"/>
    <d v="2020-03-01T00:00:00"/>
    <n v="0"/>
    <x v="2"/>
  </r>
  <r>
    <x v="0"/>
    <x v="13"/>
    <n v="11"/>
    <x v="7"/>
    <d v="2020-03-01T00:00:00"/>
    <n v="0"/>
    <x v="3"/>
  </r>
  <r>
    <x v="0"/>
    <x v="13"/>
    <n v="11"/>
    <x v="7"/>
    <d v="2020-03-01T00:00:00"/>
    <n v="0"/>
    <x v="4"/>
  </r>
  <r>
    <x v="0"/>
    <x v="13"/>
    <n v="11"/>
    <x v="7"/>
    <d v="2020-03-01T00:00:00"/>
    <n v="0"/>
    <x v="5"/>
  </r>
  <r>
    <x v="0"/>
    <x v="13"/>
    <n v="11"/>
    <x v="7"/>
    <d v="2020-03-01T00:00:00"/>
    <n v="0"/>
    <x v="6"/>
  </r>
  <r>
    <x v="0"/>
    <x v="13"/>
    <n v="11"/>
    <x v="7"/>
    <d v="2020-03-01T00:00:00"/>
    <n v="0"/>
    <x v="7"/>
  </r>
  <r>
    <x v="0"/>
    <x v="13"/>
    <n v="11"/>
    <x v="7"/>
    <d v="2020-03-01T00:00:00"/>
    <n v="0"/>
    <x v="8"/>
  </r>
  <r>
    <x v="0"/>
    <x v="13"/>
    <n v="11"/>
    <x v="7"/>
    <d v="2020-03-01T00:00:00"/>
    <n v="0"/>
    <x v="9"/>
  </r>
  <r>
    <x v="0"/>
    <x v="13"/>
    <n v="11"/>
    <x v="7"/>
    <d v="2020-03-01T00:00:00"/>
    <n v="0"/>
    <x v="10"/>
  </r>
  <r>
    <x v="0"/>
    <x v="13"/>
    <n v="11"/>
    <x v="7"/>
    <d v="2020-03-01T00:00:00"/>
    <n v="0"/>
    <x v="11"/>
  </r>
  <r>
    <x v="0"/>
    <x v="13"/>
    <n v="11"/>
    <x v="7"/>
    <d v="2020-03-01T00:00:00"/>
    <n v="0"/>
    <x v="12"/>
  </r>
  <r>
    <x v="0"/>
    <x v="13"/>
    <n v="12"/>
    <x v="8"/>
    <d v="2020-03-01T00:00:00"/>
    <n v="0"/>
    <x v="0"/>
  </r>
  <r>
    <x v="0"/>
    <x v="13"/>
    <n v="12"/>
    <x v="8"/>
    <d v="2020-03-01T00:00:00"/>
    <n v="0"/>
    <x v="1"/>
  </r>
  <r>
    <x v="0"/>
    <x v="13"/>
    <n v="12"/>
    <x v="8"/>
    <d v="2020-03-01T00:00:00"/>
    <n v="0"/>
    <x v="2"/>
  </r>
  <r>
    <x v="0"/>
    <x v="13"/>
    <n v="12"/>
    <x v="8"/>
    <d v="2020-03-01T00:00:00"/>
    <n v="0"/>
    <x v="3"/>
  </r>
  <r>
    <x v="0"/>
    <x v="13"/>
    <n v="12"/>
    <x v="8"/>
    <d v="2020-03-01T00:00:00"/>
    <n v="0"/>
    <x v="4"/>
  </r>
  <r>
    <x v="0"/>
    <x v="13"/>
    <n v="12"/>
    <x v="8"/>
    <d v="2020-03-01T00:00:00"/>
    <n v="0"/>
    <x v="5"/>
  </r>
  <r>
    <x v="0"/>
    <x v="13"/>
    <n v="12"/>
    <x v="8"/>
    <d v="2020-03-01T00:00:00"/>
    <n v="0"/>
    <x v="6"/>
  </r>
  <r>
    <x v="0"/>
    <x v="13"/>
    <n v="12"/>
    <x v="8"/>
    <d v="2020-03-01T00:00:00"/>
    <n v="0"/>
    <x v="7"/>
  </r>
  <r>
    <x v="0"/>
    <x v="13"/>
    <n v="12"/>
    <x v="8"/>
    <d v="2020-03-01T00:00:00"/>
    <n v="0"/>
    <x v="8"/>
  </r>
  <r>
    <x v="0"/>
    <x v="13"/>
    <n v="12"/>
    <x v="8"/>
    <d v="2020-03-01T00:00:00"/>
    <n v="0"/>
    <x v="9"/>
  </r>
  <r>
    <x v="0"/>
    <x v="13"/>
    <n v="12"/>
    <x v="8"/>
    <d v="2020-03-01T00:00:00"/>
    <n v="0"/>
    <x v="10"/>
  </r>
  <r>
    <x v="0"/>
    <x v="13"/>
    <n v="12"/>
    <x v="8"/>
    <d v="2020-03-01T00:00:00"/>
    <n v="0"/>
    <x v="11"/>
  </r>
  <r>
    <x v="0"/>
    <x v="13"/>
    <n v="12"/>
    <x v="8"/>
    <d v="2020-03-01T00:00:00"/>
    <n v="0"/>
    <x v="12"/>
  </r>
  <r>
    <x v="1"/>
    <x v="0"/>
    <n v="7"/>
    <x v="0"/>
    <d v="2021-03-01T00:00:00"/>
    <n v="114552"/>
    <x v="13"/>
  </r>
  <r>
    <x v="1"/>
    <x v="0"/>
    <n v="7"/>
    <x v="0"/>
    <d v="2021-03-01T00:00:00"/>
    <n v="115985"/>
    <x v="14"/>
  </r>
  <r>
    <x v="1"/>
    <x v="0"/>
    <n v="7"/>
    <x v="0"/>
    <d v="2021-03-01T00:00:00"/>
    <n v="123759"/>
    <x v="15"/>
  </r>
  <r>
    <x v="1"/>
    <x v="0"/>
    <n v="7"/>
    <x v="0"/>
    <d v="2021-03-01T00:00:00"/>
    <n v="109180"/>
    <x v="16"/>
  </r>
  <r>
    <x v="1"/>
    <x v="0"/>
    <n v="7"/>
    <x v="0"/>
    <d v="2021-03-01T00:00:00"/>
    <n v="118144"/>
    <x v="17"/>
  </r>
  <r>
    <x v="1"/>
    <x v="0"/>
    <n v="7"/>
    <x v="0"/>
    <d v="2021-03-01T00:00:00"/>
    <n v="131724.70000000001"/>
    <x v="18"/>
  </r>
  <r>
    <x v="1"/>
    <x v="0"/>
    <n v="7"/>
    <x v="0"/>
    <d v="2021-03-01T00:00:00"/>
    <n v="131588.34"/>
    <x v="19"/>
  </r>
  <r>
    <x v="1"/>
    <x v="0"/>
    <n v="7"/>
    <x v="0"/>
    <d v="2021-03-01T00:00:00"/>
    <n v="128139"/>
    <x v="20"/>
  </r>
  <r>
    <x v="1"/>
    <x v="0"/>
    <n v="7"/>
    <x v="0"/>
    <d v="2021-03-01T00:00:00"/>
    <n v="128520.5"/>
    <x v="21"/>
  </r>
  <r>
    <x v="1"/>
    <x v="0"/>
    <n v="7"/>
    <x v="0"/>
    <d v="2021-03-01T00:00:00"/>
    <n v="199074"/>
    <x v="22"/>
  </r>
  <r>
    <x v="1"/>
    <x v="0"/>
    <n v="7"/>
    <x v="0"/>
    <d v="2021-03-01T00:00:00"/>
    <n v="131307"/>
    <x v="23"/>
  </r>
  <r>
    <x v="1"/>
    <x v="0"/>
    <n v="7"/>
    <x v="0"/>
    <d v="2021-03-01T00:00:00"/>
    <n v="216369.4"/>
    <x v="24"/>
  </r>
  <r>
    <x v="1"/>
    <x v="0"/>
    <n v="7"/>
    <x v="0"/>
    <d v="2021-03-01T00:00:00"/>
    <n v="1648342.94"/>
    <x v="12"/>
  </r>
  <r>
    <x v="1"/>
    <x v="0"/>
    <n v="8"/>
    <x v="1"/>
    <d v="2021-03-01T00:00:00"/>
    <n v="13874"/>
    <x v="13"/>
  </r>
  <r>
    <x v="1"/>
    <x v="0"/>
    <n v="8"/>
    <x v="1"/>
    <d v="2021-03-01T00:00:00"/>
    <n v="15116"/>
    <x v="14"/>
  </r>
  <r>
    <x v="1"/>
    <x v="0"/>
    <n v="8"/>
    <x v="1"/>
    <d v="2021-03-01T00:00:00"/>
    <n v="14092"/>
    <x v="15"/>
  </r>
  <r>
    <x v="1"/>
    <x v="0"/>
    <n v="8"/>
    <x v="1"/>
    <d v="2021-03-01T00:00:00"/>
    <n v="14727"/>
    <x v="16"/>
  </r>
  <r>
    <x v="1"/>
    <x v="0"/>
    <n v="8"/>
    <x v="1"/>
    <d v="2021-03-01T00:00:00"/>
    <n v="14474"/>
    <x v="17"/>
  </r>
  <r>
    <x v="1"/>
    <x v="0"/>
    <n v="8"/>
    <x v="1"/>
    <d v="2021-03-01T00:00:00"/>
    <n v="14608"/>
    <x v="18"/>
  </r>
  <r>
    <x v="1"/>
    <x v="0"/>
    <n v="8"/>
    <x v="1"/>
    <d v="2021-03-01T00:00:00"/>
    <n v="14139"/>
    <x v="19"/>
  </r>
  <r>
    <x v="1"/>
    <x v="0"/>
    <n v="8"/>
    <x v="1"/>
    <d v="2021-03-01T00:00:00"/>
    <n v="15049"/>
    <x v="20"/>
  </r>
  <r>
    <x v="1"/>
    <x v="0"/>
    <n v="8"/>
    <x v="1"/>
    <d v="2021-03-01T00:00:00"/>
    <n v="14538"/>
    <x v="21"/>
  </r>
  <r>
    <x v="1"/>
    <x v="0"/>
    <n v="8"/>
    <x v="1"/>
    <d v="2021-03-01T00:00:00"/>
    <n v="16025"/>
    <x v="22"/>
  </r>
  <r>
    <x v="1"/>
    <x v="0"/>
    <n v="8"/>
    <x v="1"/>
    <d v="2021-03-01T00:00:00"/>
    <n v="16032"/>
    <x v="23"/>
  </r>
  <r>
    <x v="1"/>
    <x v="0"/>
    <n v="8"/>
    <x v="1"/>
    <d v="2021-03-01T00:00:00"/>
    <n v="17530"/>
    <x v="24"/>
  </r>
  <r>
    <x v="1"/>
    <x v="0"/>
    <n v="8"/>
    <x v="1"/>
    <d v="2021-03-01T00:00:00"/>
    <n v="180204"/>
    <x v="12"/>
  </r>
  <r>
    <x v="1"/>
    <x v="0"/>
    <n v="9"/>
    <x v="2"/>
    <d v="2021-03-01T00:00:00"/>
    <n v="8518"/>
    <x v="13"/>
  </r>
  <r>
    <x v="1"/>
    <x v="0"/>
    <n v="9"/>
    <x v="2"/>
    <d v="2021-03-01T00:00:00"/>
    <n v="9690"/>
    <x v="14"/>
  </r>
  <r>
    <x v="1"/>
    <x v="0"/>
    <n v="9"/>
    <x v="2"/>
    <d v="2021-03-01T00:00:00"/>
    <n v="9123"/>
    <x v="15"/>
  </r>
  <r>
    <x v="1"/>
    <x v="0"/>
    <n v="9"/>
    <x v="2"/>
    <d v="2021-03-01T00:00:00"/>
    <n v="9092"/>
    <x v="16"/>
  </r>
  <r>
    <x v="1"/>
    <x v="0"/>
    <n v="9"/>
    <x v="2"/>
    <d v="2021-03-01T00:00:00"/>
    <n v="8784"/>
    <x v="17"/>
  </r>
  <r>
    <x v="1"/>
    <x v="0"/>
    <n v="9"/>
    <x v="2"/>
    <d v="2021-03-01T00:00:00"/>
    <n v="8805"/>
    <x v="18"/>
  </r>
  <r>
    <x v="1"/>
    <x v="0"/>
    <n v="9"/>
    <x v="2"/>
    <d v="2021-03-01T00:00:00"/>
    <n v="8779"/>
    <x v="19"/>
  </r>
  <r>
    <x v="1"/>
    <x v="0"/>
    <n v="9"/>
    <x v="2"/>
    <d v="2021-03-01T00:00:00"/>
    <n v="8659"/>
    <x v="20"/>
  </r>
  <r>
    <x v="1"/>
    <x v="0"/>
    <n v="9"/>
    <x v="2"/>
    <d v="2021-03-01T00:00:00"/>
    <n v="8695"/>
    <x v="21"/>
  </r>
  <r>
    <x v="1"/>
    <x v="0"/>
    <n v="9"/>
    <x v="2"/>
    <d v="2021-03-01T00:00:00"/>
    <n v="8780"/>
    <x v="22"/>
  </r>
  <r>
    <x v="1"/>
    <x v="0"/>
    <n v="9"/>
    <x v="2"/>
    <d v="2021-03-01T00:00:00"/>
    <n v="8736"/>
    <x v="23"/>
  </r>
  <r>
    <x v="1"/>
    <x v="0"/>
    <n v="9"/>
    <x v="2"/>
    <d v="2021-03-01T00:00:00"/>
    <n v="9191"/>
    <x v="24"/>
  </r>
  <r>
    <x v="1"/>
    <x v="0"/>
    <n v="9"/>
    <x v="2"/>
    <d v="2021-03-01T00:00:00"/>
    <n v="106852"/>
    <x v="12"/>
  </r>
  <r>
    <x v="1"/>
    <x v="0"/>
    <n v="10"/>
    <x v="3"/>
    <d v="2021-03-01T00:00:00"/>
    <n v="47675"/>
    <x v="13"/>
  </r>
  <r>
    <x v="1"/>
    <x v="0"/>
    <n v="10"/>
    <x v="3"/>
    <d v="2021-03-01T00:00:00"/>
    <n v="47572"/>
    <x v="14"/>
  </r>
  <r>
    <x v="1"/>
    <x v="0"/>
    <n v="10"/>
    <x v="3"/>
    <d v="2021-03-01T00:00:00"/>
    <n v="47847"/>
    <x v="15"/>
  </r>
  <r>
    <x v="1"/>
    <x v="0"/>
    <n v="10"/>
    <x v="3"/>
    <d v="2021-03-01T00:00:00"/>
    <n v="47383"/>
    <x v="16"/>
  </r>
  <r>
    <x v="1"/>
    <x v="0"/>
    <n v="10"/>
    <x v="3"/>
    <d v="2021-03-01T00:00:00"/>
    <n v="47621"/>
    <x v="17"/>
  </r>
  <r>
    <x v="1"/>
    <x v="0"/>
    <n v="10"/>
    <x v="3"/>
    <d v="2021-03-01T00:00:00"/>
    <n v="47167"/>
    <x v="18"/>
  </r>
  <r>
    <x v="1"/>
    <x v="0"/>
    <n v="10"/>
    <x v="3"/>
    <d v="2021-03-01T00:00:00"/>
    <n v="50435"/>
    <x v="19"/>
  </r>
  <r>
    <x v="1"/>
    <x v="0"/>
    <n v="10"/>
    <x v="3"/>
    <d v="2021-03-01T00:00:00"/>
    <n v="50345"/>
    <x v="20"/>
  </r>
  <r>
    <x v="1"/>
    <x v="0"/>
    <n v="10"/>
    <x v="3"/>
    <d v="2021-03-01T00:00:00"/>
    <n v="51630"/>
    <x v="21"/>
  </r>
  <r>
    <x v="1"/>
    <x v="0"/>
    <n v="10"/>
    <x v="3"/>
    <d v="2021-03-01T00:00:00"/>
    <n v="52947"/>
    <x v="22"/>
  </r>
  <r>
    <x v="1"/>
    <x v="0"/>
    <n v="10"/>
    <x v="3"/>
    <d v="2021-03-01T00:00:00"/>
    <n v="54684"/>
    <x v="23"/>
  </r>
  <r>
    <x v="1"/>
    <x v="0"/>
    <n v="10"/>
    <x v="3"/>
    <d v="2021-03-01T00:00:00"/>
    <n v="113372"/>
    <x v="24"/>
  </r>
  <r>
    <x v="1"/>
    <x v="0"/>
    <n v="10"/>
    <x v="3"/>
    <d v="2021-03-01T00:00:00"/>
    <n v="658678"/>
    <x v="12"/>
  </r>
  <r>
    <x v="1"/>
    <x v="0"/>
    <n v="11"/>
    <x v="4"/>
    <d v="2021-03-01T00:00:00"/>
    <n v="12014"/>
    <x v="13"/>
  </r>
  <r>
    <x v="1"/>
    <x v="0"/>
    <n v="11"/>
    <x v="4"/>
    <d v="2021-03-01T00:00:00"/>
    <n v="7350"/>
    <x v="14"/>
  </r>
  <r>
    <x v="1"/>
    <x v="0"/>
    <n v="11"/>
    <x v="4"/>
    <d v="2021-03-01T00:00:00"/>
    <n v="9926"/>
    <x v="15"/>
  </r>
  <r>
    <x v="1"/>
    <x v="0"/>
    <n v="11"/>
    <x v="4"/>
    <d v="2021-03-01T00:00:00"/>
    <n v="9139"/>
    <x v="16"/>
  </r>
  <r>
    <x v="1"/>
    <x v="0"/>
    <n v="11"/>
    <x v="4"/>
    <d v="2021-03-01T00:00:00"/>
    <n v="8829"/>
    <x v="17"/>
  </r>
  <r>
    <x v="1"/>
    <x v="0"/>
    <n v="11"/>
    <x v="4"/>
    <d v="2021-03-01T00:00:00"/>
    <n v="10547"/>
    <x v="18"/>
  </r>
  <r>
    <x v="1"/>
    <x v="0"/>
    <n v="11"/>
    <x v="4"/>
    <d v="2021-03-01T00:00:00"/>
    <n v="9427"/>
    <x v="19"/>
  </r>
  <r>
    <x v="1"/>
    <x v="0"/>
    <n v="11"/>
    <x v="4"/>
    <d v="2021-03-01T00:00:00"/>
    <n v="11179"/>
    <x v="20"/>
  </r>
  <r>
    <x v="1"/>
    <x v="0"/>
    <n v="11"/>
    <x v="4"/>
    <d v="2021-03-01T00:00:00"/>
    <n v="12201"/>
    <x v="21"/>
  </r>
  <r>
    <x v="1"/>
    <x v="0"/>
    <n v="11"/>
    <x v="4"/>
    <d v="2021-03-01T00:00:00"/>
    <n v="10071"/>
    <x v="22"/>
  </r>
  <r>
    <x v="1"/>
    <x v="0"/>
    <n v="11"/>
    <x v="4"/>
    <d v="2021-03-01T00:00:00"/>
    <n v="9811"/>
    <x v="23"/>
  </r>
  <r>
    <x v="1"/>
    <x v="0"/>
    <n v="11"/>
    <x v="4"/>
    <d v="2021-03-01T00:00:00"/>
    <n v="15476"/>
    <x v="24"/>
  </r>
  <r>
    <x v="1"/>
    <x v="0"/>
    <n v="11"/>
    <x v="4"/>
    <d v="2021-03-01T00:00:00"/>
    <n v="125970"/>
    <x v="12"/>
  </r>
  <r>
    <x v="1"/>
    <x v="0"/>
    <n v="12"/>
    <x v="5"/>
    <d v="2021-03-01T00:00:00"/>
    <n v="3666"/>
    <x v="13"/>
  </r>
  <r>
    <x v="1"/>
    <x v="0"/>
    <n v="12"/>
    <x v="5"/>
    <d v="2021-03-01T00:00:00"/>
    <n v="3893"/>
    <x v="14"/>
  </r>
  <r>
    <x v="1"/>
    <x v="0"/>
    <n v="12"/>
    <x v="5"/>
    <d v="2021-03-01T00:00:00"/>
    <n v="3285"/>
    <x v="15"/>
  </r>
  <r>
    <x v="1"/>
    <x v="0"/>
    <n v="12"/>
    <x v="5"/>
    <d v="2021-03-01T00:00:00"/>
    <n v="4045"/>
    <x v="16"/>
  </r>
  <r>
    <x v="1"/>
    <x v="0"/>
    <n v="12"/>
    <x v="5"/>
    <d v="2021-03-01T00:00:00"/>
    <n v="3764"/>
    <x v="17"/>
  </r>
  <r>
    <x v="1"/>
    <x v="0"/>
    <n v="12"/>
    <x v="5"/>
    <d v="2021-03-01T00:00:00"/>
    <n v="4357"/>
    <x v="18"/>
  </r>
  <r>
    <x v="1"/>
    <x v="0"/>
    <n v="12"/>
    <x v="5"/>
    <d v="2021-03-01T00:00:00"/>
    <n v="3522"/>
    <x v="19"/>
  </r>
  <r>
    <x v="1"/>
    <x v="0"/>
    <n v="12"/>
    <x v="5"/>
    <d v="2021-03-01T00:00:00"/>
    <n v="4148"/>
    <x v="20"/>
  </r>
  <r>
    <x v="1"/>
    <x v="0"/>
    <n v="12"/>
    <x v="5"/>
    <d v="2021-03-01T00:00:00"/>
    <n v="3835"/>
    <x v="21"/>
  </r>
  <r>
    <x v="1"/>
    <x v="0"/>
    <n v="12"/>
    <x v="5"/>
    <d v="2021-03-01T00:00:00"/>
    <n v="4007"/>
    <x v="22"/>
  </r>
  <r>
    <x v="1"/>
    <x v="0"/>
    <n v="12"/>
    <x v="5"/>
    <d v="2021-03-01T00:00:00"/>
    <n v="3805"/>
    <x v="23"/>
  </r>
  <r>
    <x v="1"/>
    <x v="0"/>
    <n v="12"/>
    <x v="5"/>
    <d v="2021-03-01T00:00:00"/>
    <n v="4460"/>
    <x v="24"/>
  </r>
  <r>
    <x v="1"/>
    <x v="0"/>
    <n v="12"/>
    <x v="5"/>
    <d v="2021-03-01T00:00:00"/>
    <n v="46787"/>
    <x v="12"/>
  </r>
  <r>
    <x v="1"/>
    <x v="0"/>
    <n v="13"/>
    <x v="6"/>
    <d v="2021-03-01T00:00:00"/>
    <n v="21535"/>
    <x v="13"/>
  </r>
  <r>
    <x v="1"/>
    <x v="0"/>
    <n v="13"/>
    <x v="6"/>
    <d v="2021-03-01T00:00:00"/>
    <n v="21308"/>
    <x v="14"/>
  </r>
  <r>
    <x v="1"/>
    <x v="0"/>
    <n v="13"/>
    <x v="6"/>
    <d v="2021-03-01T00:00:00"/>
    <n v="21415"/>
    <x v="15"/>
  </r>
  <r>
    <x v="1"/>
    <x v="0"/>
    <n v="13"/>
    <x v="6"/>
    <d v="2021-03-01T00:00:00"/>
    <n v="21139"/>
    <x v="16"/>
  </r>
  <r>
    <x v="1"/>
    <x v="0"/>
    <n v="13"/>
    <x v="6"/>
    <d v="2021-03-01T00:00:00"/>
    <n v="23263"/>
    <x v="17"/>
  </r>
  <r>
    <x v="1"/>
    <x v="0"/>
    <n v="13"/>
    <x v="6"/>
    <d v="2021-03-01T00:00:00"/>
    <n v="20586"/>
    <x v="18"/>
  </r>
  <r>
    <x v="1"/>
    <x v="0"/>
    <n v="13"/>
    <x v="6"/>
    <d v="2021-03-01T00:00:00"/>
    <n v="23921"/>
    <x v="19"/>
  </r>
  <r>
    <x v="1"/>
    <x v="0"/>
    <n v="13"/>
    <x v="6"/>
    <d v="2021-03-01T00:00:00"/>
    <n v="23426"/>
    <x v="20"/>
  </r>
  <r>
    <x v="1"/>
    <x v="0"/>
    <n v="13"/>
    <x v="6"/>
    <d v="2021-03-01T00:00:00"/>
    <n v="22248"/>
    <x v="21"/>
  </r>
  <r>
    <x v="1"/>
    <x v="0"/>
    <n v="13"/>
    <x v="6"/>
    <d v="2021-03-01T00:00:00"/>
    <n v="22492"/>
    <x v="22"/>
  </r>
  <r>
    <x v="1"/>
    <x v="0"/>
    <n v="13"/>
    <x v="6"/>
    <d v="2021-03-01T00:00:00"/>
    <n v="21411"/>
    <x v="23"/>
  </r>
  <r>
    <x v="1"/>
    <x v="0"/>
    <n v="13"/>
    <x v="6"/>
    <d v="2021-03-01T00:00:00"/>
    <n v="25299"/>
    <x v="24"/>
  </r>
  <r>
    <x v="1"/>
    <x v="0"/>
    <n v="13"/>
    <x v="6"/>
    <d v="2021-03-01T00:00:00"/>
    <n v="268043"/>
    <x v="12"/>
  </r>
  <r>
    <x v="1"/>
    <x v="0"/>
    <n v="14"/>
    <x v="7"/>
    <d v="2021-03-01T00:00:00"/>
    <n v="0"/>
    <x v="13"/>
  </r>
  <r>
    <x v="1"/>
    <x v="0"/>
    <n v="14"/>
    <x v="7"/>
    <d v="2021-03-01T00:00:00"/>
    <n v="0"/>
    <x v="14"/>
  </r>
  <r>
    <x v="1"/>
    <x v="0"/>
    <n v="14"/>
    <x v="7"/>
    <d v="2021-03-01T00:00:00"/>
    <n v="0"/>
    <x v="15"/>
  </r>
  <r>
    <x v="1"/>
    <x v="0"/>
    <n v="14"/>
    <x v="7"/>
    <d v="2021-03-01T00:00:00"/>
    <n v="0"/>
    <x v="16"/>
  </r>
  <r>
    <x v="1"/>
    <x v="0"/>
    <n v="14"/>
    <x v="7"/>
    <d v="2021-03-01T00:00:00"/>
    <n v="0"/>
    <x v="17"/>
  </r>
  <r>
    <x v="1"/>
    <x v="0"/>
    <n v="14"/>
    <x v="7"/>
    <d v="2021-03-01T00:00:00"/>
    <n v="0"/>
    <x v="18"/>
  </r>
  <r>
    <x v="1"/>
    <x v="0"/>
    <n v="14"/>
    <x v="7"/>
    <d v="2021-03-01T00:00:00"/>
    <n v="0"/>
    <x v="19"/>
  </r>
  <r>
    <x v="1"/>
    <x v="0"/>
    <n v="14"/>
    <x v="7"/>
    <d v="2021-03-01T00:00:00"/>
    <n v="0"/>
    <x v="20"/>
  </r>
  <r>
    <x v="1"/>
    <x v="0"/>
    <n v="14"/>
    <x v="7"/>
    <d v="2021-03-01T00:00:00"/>
    <n v="0"/>
    <x v="21"/>
  </r>
  <r>
    <x v="1"/>
    <x v="0"/>
    <n v="14"/>
    <x v="7"/>
    <d v="2021-03-01T00:00:00"/>
    <n v="0"/>
    <x v="22"/>
  </r>
  <r>
    <x v="1"/>
    <x v="0"/>
    <n v="14"/>
    <x v="7"/>
    <d v="2021-03-01T00:00:00"/>
    <n v="0"/>
    <x v="23"/>
  </r>
  <r>
    <x v="1"/>
    <x v="0"/>
    <n v="14"/>
    <x v="7"/>
    <d v="2021-03-01T00:00:00"/>
    <n v="0"/>
    <x v="24"/>
  </r>
  <r>
    <x v="1"/>
    <x v="0"/>
    <n v="14"/>
    <x v="7"/>
    <d v="2021-03-01T00:00:00"/>
    <n v="0"/>
    <x v="12"/>
  </r>
  <r>
    <x v="1"/>
    <x v="0"/>
    <n v="15"/>
    <x v="8"/>
    <d v="2021-03-01T00:00:00"/>
    <n v="8481"/>
    <x v="13"/>
  </r>
  <r>
    <x v="1"/>
    <x v="0"/>
    <n v="15"/>
    <x v="8"/>
    <d v="2021-03-01T00:00:00"/>
    <n v="8194"/>
    <x v="14"/>
  </r>
  <r>
    <x v="1"/>
    <x v="0"/>
    <n v="15"/>
    <x v="8"/>
    <d v="2021-03-01T00:00:00"/>
    <n v="7884"/>
    <x v="15"/>
  </r>
  <r>
    <x v="1"/>
    <x v="0"/>
    <n v="15"/>
    <x v="8"/>
    <d v="2021-03-01T00:00:00"/>
    <n v="7409"/>
    <x v="16"/>
  </r>
  <r>
    <x v="1"/>
    <x v="0"/>
    <n v="15"/>
    <x v="8"/>
    <d v="2021-03-01T00:00:00"/>
    <n v="8149"/>
    <x v="17"/>
  </r>
  <r>
    <x v="1"/>
    <x v="0"/>
    <n v="15"/>
    <x v="8"/>
    <d v="2021-03-01T00:00:00"/>
    <n v="8081"/>
    <x v="18"/>
  </r>
  <r>
    <x v="1"/>
    <x v="0"/>
    <n v="15"/>
    <x v="8"/>
    <d v="2021-03-01T00:00:00"/>
    <n v="10331"/>
    <x v="19"/>
  </r>
  <r>
    <x v="1"/>
    <x v="0"/>
    <n v="15"/>
    <x v="8"/>
    <d v="2021-03-01T00:00:00"/>
    <n v="7598"/>
    <x v="20"/>
  </r>
  <r>
    <x v="1"/>
    <x v="0"/>
    <n v="15"/>
    <x v="8"/>
    <d v="2021-03-01T00:00:00"/>
    <n v="8072"/>
    <x v="21"/>
  </r>
  <r>
    <x v="1"/>
    <x v="0"/>
    <n v="15"/>
    <x v="8"/>
    <d v="2021-03-01T00:00:00"/>
    <n v="8015"/>
    <x v="22"/>
  </r>
  <r>
    <x v="1"/>
    <x v="0"/>
    <n v="15"/>
    <x v="8"/>
    <d v="2021-03-01T00:00:00"/>
    <n v="9362"/>
    <x v="23"/>
  </r>
  <r>
    <x v="1"/>
    <x v="0"/>
    <n v="15"/>
    <x v="8"/>
    <d v="2021-03-01T00:00:00"/>
    <n v="11830"/>
    <x v="24"/>
  </r>
  <r>
    <x v="1"/>
    <x v="0"/>
    <n v="15"/>
    <x v="8"/>
    <d v="2021-03-01T00:00:00"/>
    <n v="103406"/>
    <x v="12"/>
  </r>
  <r>
    <x v="1"/>
    <x v="1"/>
    <n v="7"/>
    <x v="0"/>
    <d v="2021-03-01T00:00:00"/>
    <n v="164439"/>
    <x v="13"/>
  </r>
  <r>
    <x v="1"/>
    <x v="1"/>
    <n v="7"/>
    <x v="0"/>
    <d v="2021-03-01T00:00:00"/>
    <n v="138343"/>
    <x v="14"/>
  </r>
  <r>
    <x v="1"/>
    <x v="1"/>
    <n v="7"/>
    <x v="0"/>
    <d v="2021-03-01T00:00:00"/>
    <n v="142646"/>
    <x v="15"/>
  </r>
  <r>
    <x v="1"/>
    <x v="1"/>
    <n v="7"/>
    <x v="0"/>
    <d v="2021-03-01T00:00:00"/>
    <n v="149545"/>
    <x v="16"/>
  </r>
  <r>
    <x v="1"/>
    <x v="1"/>
    <n v="7"/>
    <x v="0"/>
    <d v="2021-03-01T00:00:00"/>
    <n v="115810"/>
    <x v="17"/>
  </r>
  <r>
    <x v="1"/>
    <x v="1"/>
    <n v="7"/>
    <x v="0"/>
    <d v="2021-03-01T00:00:00"/>
    <n v="172239"/>
    <x v="18"/>
  </r>
  <r>
    <x v="1"/>
    <x v="1"/>
    <n v="7"/>
    <x v="0"/>
    <d v="2021-03-01T00:00:00"/>
    <n v="172464"/>
    <x v="19"/>
  </r>
  <r>
    <x v="1"/>
    <x v="1"/>
    <n v="7"/>
    <x v="0"/>
    <d v="2021-03-01T00:00:00"/>
    <n v="143393"/>
    <x v="20"/>
  </r>
  <r>
    <x v="1"/>
    <x v="1"/>
    <n v="7"/>
    <x v="0"/>
    <d v="2021-03-01T00:00:00"/>
    <n v="155881"/>
    <x v="21"/>
  </r>
  <r>
    <x v="1"/>
    <x v="1"/>
    <n v="7"/>
    <x v="0"/>
    <d v="2021-03-01T00:00:00"/>
    <n v="152635"/>
    <x v="22"/>
  </r>
  <r>
    <x v="1"/>
    <x v="1"/>
    <n v="7"/>
    <x v="0"/>
    <d v="2021-03-01T00:00:00"/>
    <n v="158284"/>
    <x v="23"/>
  </r>
  <r>
    <x v="1"/>
    <x v="1"/>
    <n v="7"/>
    <x v="0"/>
    <d v="2021-03-01T00:00:00"/>
    <n v="278451"/>
    <x v="24"/>
  </r>
  <r>
    <x v="1"/>
    <x v="1"/>
    <n v="7"/>
    <x v="0"/>
    <d v="2021-03-01T00:00:00"/>
    <n v="1944130"/>
    <x v="12"/>
  </r>
  <r>
    <x v="1"/>
    <x v="1"/>
    <n v="8"/>
    <x v="1"/>
    <d v="2021-03-01T00:00:00"/>
    <n v="17237"/>
    <x v="13"/>
  </r>
  <r>
    <x v="1"/>
    <x v="1"/>
    <n v="8"/>
    <x v="1"/>
    <d v="2021-03-01T00:00:00"/>
    <n v="17621"/>
    <x v="14"/>
  </r>
  <r>
    <x v="1"/>
    <x v="1"/>
    <n v="8"/>
    <x v="1"/>
    <d v="2021-03-01T00:00:00"/>
    <n v="15892"/>
    <x v="15"/>
  </r>
  <r>
    <x v="1"/>
    <x v="1"/>
    <n v="8"/>
    <x v="1"/>
    <d v="2021-03-01T00:00:00"/>
    <n v="17474"/>
    <x v="16"/>
  </r>
  <r>
    <x v="1"/>
    <x v="1"/>
    <n v="8"/>
    <x v="1"/>
    <d v="2021-03-01T00:00:00"/>
    <n v="17177"/>
    <x v="17"/>
  </r>
  <r>
    <x v="1"/>
    <x v="1"/>
    <n v="8"/>
    <x v="1"/>
    <d v="2021-03-01T00:00:00"/>
    <n v="16646"/>
    <x v="18"/>
  </r>
  <r>
    <x v="1"/>
    <x v="1"/>
    <n v="8"/>
    <x v="1"/>
    <d v="2021-03-01T00:00:00"/>
    <n v="17172"/>
    <x v="19"/>
  </r>
  <r>
    <x v="1"/>
    <x v="1"/>
    <n v="8"/>
    <x v="1"/>
    <d v="2021-03-01T00:00:00"/>
    <n v="17893"/>
    <x v="20"/>
  </r>
  <r>
    <x v="1"/>
    <x v="1"/>
    <n v="8"/>
    <x v="1"/>
    <d v="2021-03-01T00:00:00"/>
    <n v="17882"/>
    <x v="21"/>
  </r>
  <r>
    <x v="1"/>
    <x v="1"/>
    <n v="8"/>
    <x v="1"/>
    <d v="2021-03-01T00:00:00"/>
    <n v="18717"/>
    <x v="22"/>
  </r>
  <r>
    <x v="1"/>
    <x v="1"/>
    <n v="8"/>
    <x v="1"/>
    <d v="2021-03-01T00:00:00"/>
    <n v="19735"/>
    <x v="23"/>
  </r>
  <r>
    <x v="1"/>
    <x v="1"/>
    <n v="8"/>
    <x v="1"/>
    <d v="2021-03-01T00:00:00"/>
    <n v="23404"/>
    <x v="24"/>
  </r>
  <r>
    <x v="1"/>
    <x v="1"/>
    <n v="8"/>
    <x v="1"/>
    <d v="2021-03-01T00:00:00"/>
    <n v="216850"/>
    <x v="12"/>
  </r>
  <r>
    <x v="1"/>
    <x v="1"/>
    <n v="9"/>
    <x v="2"/>
    <d v="2021-03-01T00:00:00"/>
    <n v="8924"/>
    <x v="13"/>
  </r>
  <r>
    <x v="1"/>
    <x v="1"/>
    <n v="9"/>
    <x v="2"/>
    <d v="2021-03-01T00:00:00"/>
    <n v="8566"/>
    <x v="14"/>
  </r>
  <r>
    <x v="1"/>
    <x v="1"/>
    <n v="9"/>
    <x v="2"/>
    <d v="2021-03-01T00:00:00"/>
    <n v="10494"/>
    <x v="15"/>
  </r>
  <r>
    <x v="1"/>
    <x v="1"/>
    <n v="9"/>
    <x v="2"/>
    <d v="2021-03-01T00:00:00"/>
    <n v="11035"/>
    <x v="16"/>
  </r>
  <r>
    <x v="1"/>
    <x v="1"/>
    <n v="9"/>
    <x v="2"/>
    <d v="2021-03-01T00:00:00"/>
    <n v="8729"/>
    <x v="17"/>
  </r>
  <r>
    <x v="1"/>
    <x v="1"/>
    <n v="9"/>
    <x v="2"/>
    <d v="2021-03-01T00:00:00"/>
    <n v="9040"/>
    <x v="18"/>
  </r>
  <r>
    <x v="1"/>
    <x v="1"/>
    <n v="9"/>
    <x v="2"/>
    <d v="2021-03-01T00:00:00"/>
    <n v="9355"/>
    <x v="19"/>
  </r>
  <r>
    <x v="1"/>
    <x v="1"/>
    <n v="9"/>
    <x v="2"/>
    <d v="2021-03-01T00:00:00"/>
    <n v="8711"/>
    <x v="20"/>
  </r>
  <r>
    <x v="1"/>
    <x v="1"/>
    <n v="9"/>
    <x v="2"/>
    <d v="2021-03-01T00:00:00"/>
    <n v="9842"/>
    <x v="21"/>
  </r>
  <r>
    <x v="1"/>
    <x v="1"/>
    <n v="9"/>
    <x v="2"/>
    <d v="2021-03-01T00:00:00"/>
    <n v="9491"/>
    <x v="22"/>
  </r>
  <r>
    <x v="1"/>
    <x v="1"/>
    <n v="9"/>
    <x v="2"/>
    <d v="2021-03-01T00:00:00"/>
    <n v="8973"/>
    <x v="23"/>
  </r>
  <r>
    <x v="1"/>
    <x v="1"/>
    <n v="9"/>
    <x v="2"/>
    <d v="2021-03-01T00:00:00"/>
    <n v="10853"/>
    <x v="24"/>
  </r>
  <r>
    <x v="1"/>
    <x v="1"/>
    <n v="9"/>
    <x v="2"/>
    <d v="2021-03-01T00:00:00"/>
    <n v="114013"/>
    <x v="12"/>
  </r>
  <r>
    <x v="1"/>
    <x v="1"/>
    <n v="10"/>
    <x v="3"/>
    <d v="2021-03-01T00:00:00"/>
    <n v="64970"/>
    <x v="13"/>
  </r>
  <r>
    <x v="1"/>
    <x v="1"/>
    <n v="10"/>
    <x v="3"/>
    <d v="2021-03-01T00:00:00"/>
    <n v="66116"/>
    <x v="14"/>
  </r>
  <r>
    <x v="1"/>
    <x v="1"/>
    <n v="10"/>
    <x v="3"/>
    <d v="2021-03-01T00:00:00"/>
    <n v="68155"/>
    <x v="15"/>
  </r>
  <r>
    <x v="1"/>
    <x v="1"/>
    <n v="10"/>
    <x v="3"/>
    <d v="2021-03-01T00:00:00"/>
    <n v="67297"/>
    <x v="16"/>
  </r>
  <r>
    <x v="1"/>
    <x v="1"/>
    <n v="10"/>
    <x v="3"/>
    <d v="2021-03-01T00:00:00"/>
    <n v="65990"/>
    <x v="17"/>
  </r>
  <r>
    <x v="1"/>
    <x v="1"/>
    <n v="10"/>
    <x v="3"/>
    <d v="2021-03-01T00:00:00"/>
    <n v="65584"/>
    <x v="18"/>
  </r>
  <r>
    <x v="1"/>
    <x v="1"/>
    <n v="10"/>
    <x v="3"/>
    <d v="2021-03-01T00:00:00"/>
    <n v="68063"/>
    <x v="19"/>
  </r>
  <r>
    <x v="1"/>
    <x v="1"/>
    <n v="10"/>
    <x v="3"/>
    <d v="2021-03-01T00:00:00"/>
    <n v="67254"/>
    <x v="20"/>
  </r>
  <r>
    <x v="1"/>
    <x v="1"/>
    <n v="10"/>
    <x v="3"/>
    <d v="2021-03-01T00:00:00"/>
    <n v="67482"/>
    <x v="21"/>
  </r>
  <r>
    <x v="1"/>
    <x v="1"/>
    <n v="10"/>
    <x v="3"/>
    <d v="2021-03-01T00:00:00"/>
    <n v="68814"/>
    <x v="22"/>
  </r>
  <r>
    <x v="1"/>
    <x v="1"/>
    <n v="10"/>
    <x v="3"/>
    <d v="2021-03-01T00:00:00"/>
    <n v="69601"/>
    <x v="23"/>
  </r>
  <r>
    <x v="1"/>
    <x v="1"/>
    <n v="10"/>
    <x v="3"/>
    <d v="2021-03-01T00:00:00"/>
    <n v="150495"/>
    <x v="24"/>
  </r>
  <r>
    <x v="1"/>
    <x v="1"/>
    <n v="10"/>
    <x v="3"/>
    <d v="2021-03-01T00:00:00"/>
    <n v="889821"/>
    <x v="12"/>
  </r>
  <r>
    <x v="1"/>
    <x v="1"/>
    <n v="11"/>
    <x v="4"/>
    <d v="2021-03-01T00:00:00"/>
    <n v="36725"/>
    <x v="13"/>
  </r>
  <r>
    <x v="1"/>
    <x v="1"/>
    <n v="11"/>
    <x v="4"/>
    <d v="2021-03-01T00:00:00"/>
    <n v="9551"/>
    <x v="14"/>
  </r>
  <r>
    <x v="1"/>
    <x v="1"/>
    <n v="11"/>
    <x v="4"/>
    <d v="2021-03-01T00:00:00"/>
    <n v="11764"/>
    <x v="15"/>
  </r>
  <r>
    <x v="1"/>
    <x v="1"/>
    <n v="11"/>
    <x v="4"/>
    <d v="2021-03-01T00:00:00"/>
    <n v="13936"/>
    <x v="16"/>
  </r>
  <r>
    <x v="1"/>
    <x v="1"/>
    <n v="11"/>
    <x v="4"/>
    <d v="2021-03-01T00:00:00"/>
    <n v="14172"/>
    <x v="17"/>
  </r>
  <r>
    <x v="1"/>
    <x v="1"/>
    <n v="11"/>
    <x v="4"/>
    <d v="2021-03-01T00:00:00"/>
    <n v="12961"/>
    <x v="18"/>
  </r>
  <r>
    <x v="1"/>
    <x v="1"/>
    <n v="11"/>
    <x v="4"/>
    <d v="2021-03-01T00:00:00"/>
    <n v="14976"/>
    <x v="19"/>
  </r>
  <r>
    <x v="1"/>
    <x v="1"/>
    <n v="11"/>
    <x v="4"/>
    <d v="2021-03-01T00:00:00"/>
    <n v="6135"/>
    <x v="20"/>
  </r>
  <r>
    <x v="1"/>
    <x v="1"/>
    <n v="11"/>
    <x v="4"/>
    <d v="2021-03-01T00:00:00"/>
    <n v="18643"/>
    <x v="21"/>
  </r>
  <r>
    <x v="1"/>
    <x v="1"/>
    <n v="11"/>
    <x v="4"/>
    <d v="2021-03-01T00:00:00"/>
    <n v="16165"/>
    <x v="22"/>
  </r>
  <r>
    <x v="1"/>
    <x v="1"/>
    <n v="11"/>
    <x v="4"/>
    <d v="2021-03-01T00:00:00"/>
    <n v="17641"/>
    <x v="23"/>
  </r>
  <r>
    <x v="1"/>
    <x v="1"/>
    <n v="11"/>
    <x v="4"/>
    <d v="2021-03-01T00:00:00"/>
    <n v="40567"/>
    <x v="24"/>
  </r>
  <r>
    <x v="1"/>
    <x v="1"/>
    <n v="11"/>
    <x v="4"/>
    <d v="2021-03-01T00:00:00"/>
    <n v="213236"/>
    <x v="12"/>
  </r>
  <r>
    <x v="1"/>
    <x v="1"/>
    <n v="12"/>
    <x v="5"/>
    <d v="2021-03-01T00:00:00"/>
    <n v="5375"/>
    <x v="13"/>
  </r>
  <r>
    <x v="1"/>
    <x v="1"/>
    <n v="12"/>
    <x v="5"/>
    <d v="2021-03-01T00:00:00"/>
    <n v="5016"/>
    <x v="14"/>
  </r>
  <r>
    <x v="1"/>
    <x v="1"/>
    <n v="12"/>
    <x v="5"/>
    <d v="2021-03-01T00:00:00"/>
    <n v="5523"/>
    <x v="15"/>
  </r>
  <r>
    <x v="1"/>
    <x v="1"/>
    <n v="12"/>
    <x v="5"/>
    <d v="2021-03-01T00:00:00"/>
    <n v="5843"/>
    <x v="16"/>
  </r>
  <r>
    <x v="1"/>
    <x v="1"/>
    <n v="12"/>
    <x v="5"/>
    <d v="2021-03-01T00:00:00"/>
    <n v="5400"/>
    <x v="17"/>
  </r>
  <r>
    <x v="1"/>
    <x v="1"/>
    <n v="12"/>
    <x v="5"/>
    <d v="2021-03-01T00:00:00"/>
    <n v="6208"/>
    <x v="18"/>
  </r>
  <r>
    <x v="1"/>
    <x v="1"/>
    <n v="12"/>
    <x v="5"/>
    <d v="2021-03-01T00:00:00"/>
    <n v="6326"/>
    <x v="19"/>
  </r>
  <r>
    <x v="1"/>
    <x v="1"/>
    <n v="12"/>
    <x v="5"/>
    <d v="2021-03-01T00:00:00"/>
    <n v="5968"/>
    <x v="20"/>
  </r>
  <r>
    <x v="1"/>
    <x v="1"/>
    <n v="12"/>
    <x v="5"/>
    <d v="2021-03-01T00:00:00"/>
    <n v="6595"/>
    <x v="21"/>
  </r>
  <r>
    <x v="1"/>
    <x v="1"/>
    <n v="12"/>
    <x v="5"/>
    <d v="2021-03-01T00:00:00"/>
    <n v="6308"/>
    <x v="22"/>
  </r>
  <r>
    <x v="1"/>
    <x v="1"/>
    <n v="12"/>
    <x v="5"/>
    <d v="2021-03-01T00:00:00"/>
    <n v="6604"/>
    <x v="23"/>
  </r>
  <r>
    <x v="1"/>
    <x v="1"/>
    <n v="12"/>
    <x v="5"/>
    <d v="2021-03-01T00:00:00"/>
    <n v="7562"/>
    <x v="24"/>
  </r>
  <r>
    <x v="1"/>
    <x v="1"/>
    <n v="12"/>
    <x v="5"/>
    <d v="2021-03-01T00:00:00"/>
    <n v="72728"/>
    <x v="12"/>
  </r>
  <r>
    <x v="1"/>
    <x v="1"/>
    <n v="13"/>
    <x v="6"/>
    <d v="2021-03-01T00:00:00"/>
    <n v="22655"/>
    <x v="13"/>
  </r>
  <r>
    <x v="1"/>
    <x v="1"/>
    <n v="13"/>
    <x v="6"/>
    <d v="2021-03-01T00:00:00"/>
    <n v="22661"/>
    <x v="14"/>
  </r>
  <r>
    <x v="1"/>
    <x v="1"/>
    <n v="13"/>
    <x v="6"/>
    <d v="2021-03-01T00:00:00"/>
    <n v="21609"/>
    <x v="15"/>
  </r>
  <r>
    <x v="1"/>
    <x v="1"/>
    <n v="13"/>
    <x v="6"/>
    <d v="2021-03-01T00:00:00"/>
    <n v="22338"/>
    <x v="16"/>
  </r>
  <r>
    <x v="1"/>
    <x v="1"/>
    <n v="13"/>
    <x v="6"/>
    <d v="2021-03-01T00:00:00"/>
    <n v="22046"/>
    <x v="17"/>
  </r>
  <r>
    <x v="1"/>
    <x v="1"/>
    <n v="13"/>
    <x v="6"/>
    <d v="2021-03-01T00:00:00"/>
    <n v="22458"/>
    <x v="18"/>
  </r>
  <r>
    <x v="1"/>
    <x v="1"/>
    <n v="13"/>
    <x v="6"/>
    <d v="2021-03-01T00:00:00"/>
    <n v="21858"/>
    <x v="19"/>
  </r>
  <r>
    <x v="1"/>
    <x v="1"/>
    <n v="13"/>
    <x v="6"/>
    <d v="2021-03-01T00:00:00"/>
    <n v="22917"/>
    <x v="20"/>
  </r>
  <r>
    <x v="1"/>
    <x v="1"/>
    <n v="13"/>
    <x v="6"/>
    <d v="2021-03-01T00:00:00"/>
    <n v="22270"/>
    <x v="21"/>
  </r>
  <r>
    <x v="1"/>
    <x v="1"/>
    <n v="13"/>
    <x v="6"/>
    <d v="2021-03-01T00:00:00"/>
    <n v="21595"/>
    <x v="22"/>
  </r>
  <r>
    <x v="1"/>
    <x v="1"/>
    <n v="13"/>
    <x v="6"/>
    <d v="2021-03-01T00:00:00"/>
    <n v="22095"/>
    <x v="23"/>
  </r>
  <r>
    <x v="1"/>
    <x v="1"/>
    <n v="13"/>
    <x v="6"/>
    <d v="2021-03-01T00:00:00"/>
    <n v="27600"/>
    <x v="24"/>
  </r>
  <r>
    <x v="1"/>
    <x v="1"/>
    <n v="13"/>
    <x v="6"/>
    <d v="2021-03-01T00:00:00"/>
    <n v="272102"/>
    <x v="12"/>
  </r>
  <r>
    <x v="1"/>
    <x v="1"/>
    <n v="14"/>
    <x v="7"/>
    <d v="2021-03-01T00:00:00"/>
    <n v="0"/>
    <x v="13"/>
  </r>
  <r>
    <x v="1"/>
    <x v="1"/>
    <n v="14"/>
    <x v="7"/>
    <d v="2021-03-01T00:00:00"/>
    <n v="0"/>
    <x v="14"/>
  </r>
  <r>
    <x v="1"/>
    <x v="1"/>
    <n v="14"/>
    <x v="7"/>
    <d v="2021-03-01T00:00:00"/>
    <n v="0"/>
    <x v="15"/>
  </r>
  <r>
    <x v="1"/>
    <x v="1"/>
    <n v="14"/>
    <x v="7"/>
    <d v="2021-03-01T00:00:00"/>
    <n v="0"/>
    <x v="16"/>
  </r>
  <r>
    <x v="1"/>
    <x v="1"/>
    <n v="14"/>
    <x v="7"/>
    <d v="2021-03-01T00:00:00"/>
    <n v="0"/>
    <x v="17"/>
  </r>
  <r>
    <x v="1"/>
    <x v="1"/>
    <n v="14"/>
    <x v="7"/>
    <d v="2021-03-01T00:00:00"/>
    <n v="0"/>
    <x v="18"/>
  </r>
  <r>
    <x v="1"/>
    <x v="1"/>
    <n v="14"/>
    <x v="7"/>
    <d v="2021-03-01T00:00:00"/>
    <n v="0"/>
    <x v="19"/>
  </r>
  <r>
    <x v="1"/>
    <x v="1"/>
    <n v="14"/>
    <x v="7"/>
    <d v="2021-03-01T00:00:00"/>
    <n v="0"/>
    <x v="20"/>
  </r>
  <r>
    <x v="1"/>
    <x v="1"/>
    <n v="14"/>
    <x v="7"/>
    <d v="2021-03-01T00:00:00"/>
    <n v="0"/>
    <x v="21"/>
  </r>
  <r>
    <x v="1"/>
    <x v="1"/>
    <n v="14"/>
    <x v="7"/>
    <d v="2021-03-01T00:00:00"/>
    <n v="0"/>
    <x v="22"/>
  </r>
  <r>
    <x v="1"/>
    <x v="1"/>
    <n v="14"/>
    <x v="7"/>
    <d v="2021-03-01T00:00:00"/>
    <n v="0"/>
    <x v="23"/>
  </r>
  <r>
    <x v="1"/>
    <x v="1"/>
    <n v="14"/>
    <x v="7"/>
    <d v="2021-03-01T00:00:00"/>
    <n v="0"/>
    <x v="24"/>
  </r>
  <r>
    <x v="1"/>
    <x v="1"/>
    <n v="14"/>
    <x v="7"/>
    <d v="2021-03-01T00:00:00"/>
    <n v="0"/>
    <x v="12"/>
  </r>
  <r>
    <x v="1"/>
    <x v="1"/>
    <n v="15"/>
    <x v="8"/>
    <d v="2021-03-01T00:00:00"/>
    <n v="8365"/>
    <x v="13"/>
  </r>
  <r>
    <x v="1"/>
    <x v="1"/>
    <n v="15"/>
    <x v="8"/>
    <d v="2021-03-01T00:00:00"/>
    <n v="8197"/>
    <x v="14"/>
  </r>
  <r>
    <x v="1"/>
    <x v="1"/>
    <n v="15"/>
    <x v="8"/>
    <d v="2021-03-01T00:00:00"/>
    <n v="9101"/>
    <x v="15"/>
  </r>
  <r>
    <x v="1"/>
    <x v="1"/>
    <n v="15"/>
    <x v="8"/>
    <d v="2021-03-01T00:00:00"/>
    <n v="8933"/>
    <x v="16"/>
  </r>
  <r>
    <x v="1"/>
    <x v="1"/>
    <n v="15"/>
    <x v="8"/>
    <d v="2021-03-01T00:00:00"/>
    <n v="9026"/>
    <x v="17"/>
  </r>
  <r>
    <x v="1"/>
    <x v="1"/>
    <n v="15"/>
    <x v="8"/>
    <d v="2021-03-01T00:00:00"/>
    <n v="9529"/>
    <x v="18"/>
  </r>
  <r>
    <x v="1"/>
    <x v="1"/>
    <n v="15"/>
    <x v="8"/>
    <d v="2021-03-01T00:00:00"/>
    <n v="9851"/>
    <x v="19"/>
  </r>
  <r>
    <x v="1"/>
    <x v="1"/>
    <n v="15"/>
    <x v="8"/>
    <d v="2021-03-01T00:00:00"/>
    <n v="9834"/>
    <x v="20"/>
  </r>
  <r>
    <x v="1"/>
    <x v="1"/>
    <n v="15"/>
    <x v="8"/>
    <d v="2021-03-01T00:00:00"/>
    <n v="8001"/>
    <x v="21"/>
  </r>
  <r>
    <x v="1"/>
    <x v="1"/>
    <n v="15"/>
    <x v="8"/>
    <d v="2021-03-01T00:00:00"/>
    <n v="11211"/>
    <x v="22"/>
  </r>
  <r>
    <x v="1"/>
    <x v="1"/>
    <n v="15"/>
    <x v="8"/>
    <d v="2021-03-01T00:00:00"/>
    <n v="10659"/>
    <x v="23"/>
  </r>
  <r>
    <x v="1"/>
    <x v="1"/>
    <n v="15"/>
    <x v="8"/>
    <d v="2021-03-01T00:00:00"/>
    <n v="10080"/>
    <x v="24"/>
  </r>
  <r>
    <x v="1"/>
    <x v="1"/>
    <n v="15"/>
    <x v="8"/>
    <d v="2021-03-01T00:00:00"/>
    <n v="112787"/>
    <x v="12"/>
  </r>
  <r>
    <x v="1"/>
    <x v="3"/>
    <n v="7"/>
    <x v="0"/>
    <d v="2021-03-01T00:00:00"/>
    <n v="114539"/>
    <x v="13"/>
  </r>
  <r>
    <x v="1"/>
    <x v="3"/>
    <n v="7"/>
    <x v="0"/>
    <d v="2021-03-01T00:00:00"/>
    <n v="117677"/>
    <x v="14"/>
  </r>
  <r>
    <x v="1"/>
    <x v="3"/>
    <n v="7"/>
    <x v="0"/>
    <d v="2021-03-01T00:00:00"/>
    <n v="125179"/>
    <x v="15"/>
  </r>
  <r>
    <x v="1"/>
    <x v="3"/>
    <n v="7"/>
    <x v="0"/>
    <d v="2021-03-01T00:00:00"/>
    <n v="118175"/>
    <x v="16"/>
  </r>
  <r>
    <x v="1"/>
    <x v="3"/>
    <n v="7"/>
    <x v="0"/>
    <d v="2021-03-01T00:00:00"/>
    <n v="154202"/>
    <x v="17"/>
  </r>
  <r>
    <x v="1"/>
    <x v="3"/>
    <n v="7"/>
    <x v="0"/>
    <d v="2021-03-01T00:00:00"/>
    <n v="151569"/>
    <x v="18"/>
  </r>
  <r>
    <x v="1"/>
    <x v="3"/>
    <n v="7"/>
    <x v="0"/>
    <d v="2021-03-01T00:00:00"/>
    <n v="132599"/>
    <x v="19"/>
  </r>
  <r>
    <x v="1"/>
    <x v="3"/>
    <n v="7"/>
    <x v="0"/>
    <d v="2021-03-01T00:00:00"/>
    <n v="127189"/>
    <x v="20"/>
  </r>
  <r>
    <x v="1"/>
    <x v="3"/>
    <n v="7"/>
    <x v="0"/>
    <d v="2021-03-01T00:00:00"/>
    <n v="135494"/>
    <x v="21"/>
  </r>
  <r>
    <x v="1"/>
    <x v="3"/>
    <n v="7"/>
    <x v="0"/>
    <d v="2021-03-01T00:00:00"/>
    <n v="139925"/>
    <x v="22"/>
  </r>
  <r>
    <x v="1"/>
    <x v="3"/>
    <n v="7"/>
    <x v="0"/>
    <d v="2021-03-01T00:00:00"/>
    <n v="128848"/>
    <x v="23"/>
  </r>
  <r>
    <x v="1"/>
    <x v="3"/>
    <n v="7"/>
    <x v="0"/>
    <d v="2021-03-01T00:00:00"/>
    <n v="229703"/>
    <x v="24"/>
  </r>
  <r>
    <x v="1"/>
    <x v="3"/>
    <n v="7"/>
    <x v="0"/>
    <d v="2021-03-01T00:00:00"/>
    <n v="1675099"/>
    <x v="12"/>
  </r>
  <r>
    <x v="1"/>
    <x v="3"/>
    <n v="8"/>
    <x v="1"/>
    <d v="2021-03-01T00:00:00"/>
    <n v="13623"/>
    <x v="13"/>
  </r>
  <r>
    <x v="1"/>
    <x v="3"/>
    <n v="8"/>
    <x v="1"/>
    <d v="2021-03-01T00:00:00"/>
    <n v="13214"/>
    <x v="14"/>
  </r>
  <r>
    <x v="1"/>
    <x v="3"/>
    <n v="8"/>
    <x v="1"/>
    <d v="2021-03-01T00:00:00"/>
    <n v="13154"/>
    <x v="15"/>
  </r>
  <r>
    <x v="1"/>
    <x v="3"/>
    <n v="8"/>
    <x v="1"/>
    <d v="2021-03-01T00:00:00"/>
    <n v="13636"/>
    <x v="16"/>
  </r>
  <r>
    <x v="1"/>
    <x v="3"/>
    <n v="8"/>
    <x v="1"/>
    <d v="2021-03-01T00:00:00"/>
    <n v="13313"/>
    <x v="17"/>
  </r>
  <r>
    <x v="1"/>
    <x v="3"/>
    <n v="8"/>
    <x v="1"/>
    <d v="2021-03-01T00:00:00"/>
    <n v="13642"/>
    <x v="18"/>
  </r>
  <r>
    <x v="1"/>
    <x v="3"/>
    <n v="8"/>
    <x v="1"/>
    <d v="2021-03-01T00:00:00"/>
    <n v="14021"/>
    <x v="19"/>
  </r>
  <r>
    <x v="1"/>
    <x v="3"/>
    <n v="8"/>
    <x v="1"/>
    <d v="2021-03-01T00:00:00"/>
    <n v="13682"/>
    <x v="20"/>
  </r>
  <r>
    <x v="1"/>
    <x v="3"/>
    <n v="8"/>
    <x v="1"/>
    <d v="2021-03-01T00:00:00"/>
    <n v="13249"/>
    <x v="21"/>
  </r>
  <r>
    <x v="1"/>
    <x v="3"/>
    <n v="8"/>
    <x v="1"/>
    <d v="2021-03-01T00:00:00"/>
    <n v="15606"/>
    <x v="22"/>
  </r>
  <r>
    <x v="1"/>
    <x v="3"/>
    <n v="8"/>
    <x v="1"/>
    <d v="2021-03-01T00:00:00"/>
    <n v="11941"/>
    <x v="23"/>
  </r>
  <r>
    <x v="1"/>
    <x v="3"/>
    <n v="8"/>
    <x v="1"/>
    <d v="2021-03-01T00:00:00"/>
    <n v="14100"/>
    <x v="24"/>
  </r>
  <r>
    <x v="1"/>
    <x v="3"/>
    <n v="8"/>
    <x v="1"/>
    <d v="2021-03-01T00:00:00"/>
    <n v="163181"/>
    <x v="12"/>
  </r>
  <r>
    <x v="1"/>
    <x v="3"/>
    <n v="9"/>
    <x v="2"/>
    <d v="2021-03-01T00:00:00"/>
    <n v="6287"/>
    <x v="13"/>
  </r>
  <r>
    <x v="1"/>
    <x v="3"/>
    <n v="9"/>
    <x v="2"/>
    <d v="2021-03-01T00:00:00"/>
    <n v="6715"/>
    <x v="14"/>
  </r>
  <r>
    <x v="1"/>
    <x v="3"/>
    <n v="9"/>
    <x v="2"/>
    <d v="2021-03-01T00:00:00"/>
    <n v="7264"/>
    <x v="15"/>
  </r>
  <r>
    <x v="1"/>
    <x v="3"/>
    <n v="9"/>
    <x v="2"/>
    <d v="2021-03-01T00:00:00"/>
    <n v="6433"/>
    <x v="16"/>
  </r>
  <r>
    <x v="1"/>
    <x v="3"/>
    <n v="9"/>
    <x v="2"/>
    <d v="2021-03-01T00:00:00"/>
    <n v="6865"/>
    <x v="17"/>
  </r>
  <r>
    <x v="1"/>
    <x v="3"/>
    <n v="9"/>
    <x v="2"/>
    <d v="2021-03-01T00:00:00"/>
    <n v="6382"/>
    <x v="18"/>
  </r>
  <r>
    <x v="1"/>
    <x v="3"/>
    <n v="9"/>
    <x v="2"/>
    <d v="2021-03-01T00:00:00"/>
    <n v="6971"/>
    <x v="19"/>
  </r>
  <r>
    <x v="1"/>
    <x v="3"/>
    <n v="9"/>
    <x v="2"/>
    <d v="2021-03-01T00:00:00"/>
    <n v="6471"/>
    <x v="20"/>
  </r>
  <r>
    <x v="1"/>
    <x v="3"/>
    <n v="9"/>
    <x v="2"/>
    <d v="2021-03-01T00:00:00"/>
    <n v="7180"/>
    <x v="21"/>
  </r>
  <r>
    <x v="1"/>
    <x v="3"/>
    <n v="9"/>
    <x v="2"/>
    <d v="2021-03-01T00:00:00"/>
    <n v="7001"/>
    <x v="22"/>
  </r>
  <r>
    <x v="1"/>
    <x v="3"/>
    <n v="9"/>
    <x v="2"/>
    <d v="2021-03-01T00:00:00"/>
    <n v="6169"/>
    <x v="23"/>
  </r>
  <r>
    <x v="1"/>
    <x v="3"/>
    <n v="9"/>
    <x v="2"/>
    <d v="2021-03-01T00:00:00"/>
    <n v="7301"/>
    <x v="24"/>
  </r>
  <r>
    <x v="1"/>
    <x v="3"/>
    <n v="9"/>
    <x v="2"/>
    <d v="2021-03-01T00:00:00"/>
    <n v="81039"/>
    <x v="12"/>
  </r>
  <r>
    <x v="1"/>
    <x v="3"/>
    <n v="10"/>
    <x v="3"/>
    <d v="2021-03-01T00:00:00"/>
    <n v="54468"/>
    <x v="13"/>
  </r>
  <r>
    <x v="1"/>
    <x v="3"/>
    <n v="10"/>
    <x v="3"/>
    <d v="2021-03-01T00:00:00"/>
    <n v="57428"/>
    <x v="14"/>
  </r>
  <r>
    <x v="1"/>
    <x v="3"/>
    <n v="10"/>
    <x v="3"/>
    <d v="2021-03-01T00:00:00"/>
    <n v="56741"/>
    <x v="15"/>
  </r>
  <r>
    <x v="1"/>
    <x v="3"/>
    <n v="10"/>
    <x v="3"/>
    <d v="2021-03-01T00:00:00"/>
    <n v="56234"/>
    <x v="16"/>
  </r>
  <r>
    <x v="1"/>
    <x v="3"/>
    <n v="10"/>
    <x v="3"/>
    <d v="2021-03-01T00:00:00"/>
    <n v="55431"/>
    <x v="17"/>
  </r>
  <r>
    <x v="1"/>
    <x v="3"/>
    <n v="10"/>
    <x v="3"/>
    <d v="2021-03-01T00:00:00"/>
    <n v="55177"/>
    <x v="18"/>
  </r>
  <r>
    <x v="1"/>
    <x v="3"/>
    <n v="10"/>
    <x v="3"/>
    <d v="2021-03-01T00:00:00"/>
    <n v="58708"/>
    <x v="19"/>
  </r>
  <r>
    <x v="1"/>
    <x v="3"/>
    <n v="10"/>
    <x v="3"/>
    <d v="2021-03-01T00:00:00"/>
    <n v="56643"/>
    <x v="20"/>
  </r>
  <r>
    <x v="1"/>
    <x v="3"/>
    <n v="10"/>
    <x v="3"/>
    <d v="2021-03-01T00:00:00"/>
    <n v="57989"/>
    <x v="21"/>
  </r>
  <r>
    <x v="1"/>
    <x v="3"/>
    <n v="10"/>
    <x v="3"/>
    <d v="2021-03-01T00:00:00"/>
    <n v="59573"/>
    <x v="22"/>
  </r>
  <r>
    <x v="1"/>
    <x v="3"/>
    <n v="10"/>
    <x v="3"/>
    <d v="2021-03-01T00:00:00"/>
    <n v="57848"/>
    <x v="23"/>
  </r>
  <r>
    <x v="1"/>
    <x v="3"/>
    <n v="10"/>
    <x v="3"/>
    <d v="2021-03-01T00:00:00"/>
    <n v="118235"/>
    <x v="24"/>
  </r>
  <r>
    <x v="1"/>
    <x v="3"/>
    <n v="10"/>
    <x v="3"/>
    <d v="2021-03-01T00:00:00"/>
    <n v="744475"/>
    <x v="12"/>
  </r>
  <r>
    <x v="1"/>
    <x v="3"/>
    <n v="11"/>
    <x v="4"/>
    <d v="2021-03-01T00:00:00"/>
    <n v="46536"/>
    <x v="13"/>
  </r>
  <r>
    <x v="1"/>
    <x v="3"/>
    <n v="11"/>
    <x v="4"/>
    <d v="2021-03-01T00:00:00"/>
    <n v="20940"/>
    <x v="14"/>
  </r>
  <r>
    <x v="1"/>
    <x v="3"/>
    <n v="11"/>
    <x v="4"/>
    <d v="2021-03-01T00:00:00"/>
    <n v="12221"/>
    <x v="15"/>
  </r>
  <r>
    <x v="1"/>
    <x v="3"/>
    <n v="11"/>
    <x v="4"/>
    <d v="2021-03-01T00:00:00"/>
    <n v="16176"/>
    <x v="16"/>
  </r>
  <r>
    <x v="1"/>
    <x v="3"/>
    <n v="11"/>
    <x v="4"/>
    <d v="2021-03-01T00:00:00"/>
    <n v="19591"/>
    <x v="17"/>
  </r>
  <r>
    <x v="1"/>
    <x v="3"/>
    <n v="11"/>
    <x v="4"/>
    <d v="2021-03-01T00:00:00"/>
    <n v="15587.172"/>
    <x v="18"/>
  </r>
  <r>
    <x v="1"/>
    <x v="3"/>
    <n v="11"/>
    <x v="4"/>
    <d v="2021-03-01T00:00:00"/>
    <n v="19623"/>
    <x v="19"/>
  </r>
  <r>
    <x v="1"/>
    <x v="3"/>
    <n v="11"/>
    <x v="4"/>
    <d v="2021-03-01T00:00:00"/>
    <n v="19933"/>
    <x v="20"/>
  </r>
  <r>
    <x v="1"/>
    <x v="3"/>
    <n v="11"/>
    <x v="4"/>
    <d v="2021-03-01T00:00:00"/>
    <n v="21253"/>
    <x v="21"/>
  </r>
  <r>
    <x v="1"/>
    <x v="3"/>
    <n v="11"/>
    <x v="4"/>
    <d v="2021-03-01T00:00:00"/>
    <n v="19200"/>
    <x v="22"/>
  </r>
  <r>
    <x v="1"/>
    <x v="3"/>
    <n v="11"/>
    <x v="4"/>
    <d v="2021-03-01T00:00:00"/>
    <n v="17362"/>
    <x v="23"/>
  </r>
  <r>
    <x v="1"/>
    <x v="3"/>
    <n v="11"/>
    <x v="4"/>
    <d v="2021-03-01T00:00:00"/>
    <n v="38731"/>
    <x v="24"/>
  </r>
  <r>
    <x v="1"/>
    <x v="3"/>
    <n v="11"/>
    <x v="4"/>
    <d v="2021-03-01T00:00:00"/>
    <n v="267153.17200000002"/>
    <x v="12"/>
  </r>
  <r>
    <x v="1"/>
    <x v="3"/>
    <n v="12"/>
    <x v="5"/>
    <d v="2021-03-01T00:00:00"/>
    <n v="6611"/>
    <x v="13"/>
  </r>
  <r>
    <x v="1"/>
    <x v="3"/>
    <n v="12"/>
    <x v="5"/>
    <d v="2021-03-01T00:00:00"/>
    <n v="6055"/>
    <x v="14"/>
  </r>
  <r>
    <x v="1"/>
    <x v="3"/>
    <n v="12"/>
    <x v="5"/>
    <d v="2021-03-01T00:00:00"/>
    <n v="6139"/>
    <x v="15"/>
  </r>
  <r>
    <x v="1"/>
    <x v="3"/>
    <n v="12"/>
    <x v="5"/>
    <d v="2021-03-01T00:00:00"/>
    <n v="7015"/>
    <x v="16"/>
  </r>
  <r>
    <x v="1"/>
    <x v="3"/>
    <n v="12"/>
    <x v="5"/>
    <d v="2021-03-01T00:00:00"/>
    <n v="8795"/>
    <x v="17"/>
  </r>
  <r>
    <x v="1"/>
    <x v="3"/>
    <n v="12"/>
    <x v="5"/>
    <d v="2021-03-01T00:00:00"/>
    <n v="7612.8280000000004"/>
    <x v="18"/>
  </r>
  <r>
    <x v="1"/>
    <x v="3"/>
    <n v="12"/>
    <x v="5"/>
    <d v="2021-03-01T00:00:00"/>
    <n v="7264"/>
    <x v="19"/>
  </r>
  <r>
    <x v="1"/>
    <x v="3"/>
    <n v="12"/>
    <x v="5"/>
    <d v="2021-03-01T00:00:00"/>
    <n v="7558"/>
    <x v="20"/>
  </r>
  <r>
    <x v="1"/>
    <x v="3"/>
    <n v="12"/>
    <x v="5"/>
    <d v="2021-03-01T00:00:00"/>
    <n v="7069"/>
    <x v="21"/>
  </r>
  <r>
    <x v="1"/>
    <x v="3"/>
    <n v="12"/>
    <x v="5"/>
    <d v="2021-03-01T00:00:00"/>
    <n v="11232"/>
    <x v="22"/>
  </r>
  <r>
    <x v="1"/>
    <x v="3"/>
    <n v="12"/>
    <x v="5"/>
    <d v="2021-03-01T00:00:00"/>
    <n v="8811"/>
    <x v="23"/>
  </r>
  <r>
    <x v="1"/>
    <x v="3"/>
    <n v="12"/>
    <x v="5"/>
    <d v="2021-03-01T00:00:00"/>
    <n v="10109"/>
    <x v="24"/>
  </r>
  <r>
    <x v="1"/>
    <x v="3"/>
    <n v="12"/>
    <x v="5"/>
    <d v="2021-03-01T00:00:00"/>
    <n v="94270.827999999994"/>
    <x v="12"/>
  </r>
  <r>
    <x v="1"/>
    <x v="3"/>
    <n v="13"/>
    <x v="6"/>
    <d v="2021-03-01T00:00:00"/>
    <n v="14392"/>
    <x v="13"/>
  </r>
  <r>
    <x v="1"/>
    <x v="3"/>
    <n v="13"/>
    <x v="6"/>
    <d v="2021-03-01T00:00:00"/>
    <n v="14506"/>
    <x v="14"/>
  </r>
  <r>
    <x v="1"/>
    <x v="3"/>
    <n v="13"/>
    <x v="6"/>
    <d v="2021-03-01T00:00:00"/>
    <n v="13926"/>
    <x v="15"/>
  </r>
  <r>
    <x v="1"/>
    <x v="3"/>
    <n v="13"/>
    <x v="6"/>
    <d v="2021-03-01T00:00:00"/>
    <n v="14728"/>
    <x v="16"/>
  </r>
  <r>
    <x v="1"/>
    <x v="3"/>
    <n v="13"/>
    <x v="6"/>
    <d v="2021-03-01T00:00:00"/>
    <n v="14311"/>
    <x v="17"/>
  </r>
  <r>
    <x v="1"/>
    <x v="3"/>
    <n v="13"/>
    <x v="6"/>
    <d v="2021-03-01T00:00:00"/>
    <n v="15743"/>
    <x v="18"/>
  </r>
  <r>
    <x v="1"/>
    <x v="3"/>
    <n v="13"/>
    <x v="6"/>
    <d v="2021-03-01T00:00:00"/>
    <n v="14617"/>
    <x v="19"/>
  </r>
  <r>
    <x v="1"/>
    <x v="3"/>
    <n v="13"/>
    <x v="6"/>
    <d v="2021-03-01T00:00:00"/>
    <n v="14602"/>
    <x v="20"/>
  </r>
  <r>
    <x v="1"/>
    <x v="3"/>
    <n v="13"/>
    <x v="6"/>
    <d v="2021-03-01T00:00:00"/>
    <n v="15312"/>
    <x v="21"/>
  </r>
  <r>
    <x v="1"/>
    <x v="3"/>
    <n v="13"/>
    <x v="6"/>
    <d v="2021-03-01T00:00:00"/>
    <n v="14701"/>
    <x v="22"/>
  </r>
  <r>
    <x v="1"/>
    <x v="3"/>
    <n v="13"/>
    <x v="6"/>
    <d v="2021-03-01T00:00:00"/>
    <n v="13977"/>
    <x v="23"/>
  </r>
  <r>
    <x v="1"/>
    <x v="3"/>
    <n v="13"/>
    <x v="6"/>
    <d v="2021-03-01T00:00:00"/>
    <n v="17816"/>
    <x v="24"/>
  </r>
  <r>
    <x v="1"/>
    <x v="3"/>
    <n v="13"/>
    <x v="6"/>
    <d v="2021-03-01T00:00:00"/>
    <n v="178631"/>
    <x v="12"/>
  </r>
  <r>
    <x v="1"/>
    <x v="3"/>
    <n v="14"/>
    <x v="7"/>
    <d v="2021-03-01T00:00:00"/>
    <n v="870"/>
    <x v="13"/>
  </r>
  <r>
    <x v="1"/>
    <x v="3"/>
    <n v="14"/>
    <x v="7"/>
    <d v="2021-03-01T00:00:00"/>
    <n v="975"/>
    <x v="14"/>
  </r>
  <r>
    <x v="1"/>
    <x v="3"/>
    <n v="14"/>
    <x v="7"/>
    <d v="2021-03-01T00:00:00"/>
    <n v="914"/>
    <x v="15"/>
  </r>
  <r>
    <x v="1"/>
    <x v="3"/>
    <n v="14"/>
    <x v="7"/>
    <d v="2021-03-01T00:00:00"/>
    <n v="900"/>
    <x v="16"/>
  </r>
  <r>
    <x v="1"/>
    <x v="3"/>
    <n v="14"/>
    <x v="7"/>
    <d v="2021-03-01T00:00:00"/>
    <n v="901"/>
    <x v="17"/>
  </r>
  <r>
    <x v="1"/>
    <x v="3"/>
    <n v="14"/>
    <x v="7"/>
    <d v="2021-03-01T00:00:00"/>
    <n v="864"/>
    <x v="18"/>
  </r>
  <r>
    <x v="1"/>
    <x v="3"/>
    <n v="14"/>
    <x v="7"/>
    <d v="2021-03-01T00:00:00"/>
    <n v="884"/>
    <x v="19"/>
  </r>
  <r>
    <x v="1"/>
    <x v="3"/>
    <n v="14"/>
    <x v="7"/>
    <d v="2021-03-01T00:00:00"/>
    <n v="931"/>
    <x v="20"/>
  </r>
  <r>
    <x v="1"/>
    <x v="3"/>
    <n v="14"/>
    <x v="7"/>
    <d v="2021-03-01T00:00:00"/>
    <n v="923"/>
    <x v="21"/>
  </r>
  <r>
    <x v="1"/>
    <x v="3"/>
    <n v="14"/>
    <x v="7"/>
    <d v="2021-03-01T00:00:00"/>
    <n v="932"/>
    <x v="22"/>
  </r>
  <r>
    <x v="1"/>
    <x v="3"/>
    <n v="14"/>
    <x v="7"/>
    <d v="2021-03-01T00:00:00"/>
    <n v="956"/>
    <x v="23"/>
  </r>
  <r>
    <x v="1"/>
    <x v="3"/>
    <n v="14"/>
    <x v="7"/>
    <d v="2021-03-01T00:00:00"/>
    <n v="859"/>
    <x v="24"/>
  </r>
  <r>
    <x v="1"/>
    <x v="3"/>
    <n v="14"/>
    <x v="7"/>
    <d v="2021-03-01T00:00:00"/>
    <n v="10909"/>
    <x v="12"/>
  </r>
  <r>
    <x v="1"/>
    <x v="3"/>
    <n v="15"/>
    <x v="8"/>
    <d v="2021-03-01T00:00:00"/>
    <n v="5775"/>
    <x v="13"/>
  </r>
  <r>
    <x v="1"/>
    <x v="3"/>
    <n v="15"/>
    <x v="8"/>
    <d v="2021-03-01T00:00:00"/>
    <n v="6028"/>
    <x v="14"/>
  </r>
  <r>
    <x v="1"/>
    <x v="3"/>
    <n v="15"/>
    <x v="8"/>
    <d v="2021-03-01T00:00:00"/>
    <n v="5933"/>
    <x v="15"/>
  </r>
  <r>
    <x v="1"/>
    <x v="3"/>
    <n v="15"/>
    <x v="8"/>
    <d v="2021-03-01T00:00:00"/>
    <n v="5922"/>
    <x v="16"/>
  </r>
  <r>
    <x v="1"/>
    <x v="3"/>
    <n v="15"/>
    <x v="8"/>
    <d v="2021-03-01T00:00:00"/>
    <n v="5844"/>
    <x v="17"/>
  </r>
  <r>
    <x v="1"/>
    <x v="3"/>
    <n v="15"/>
    <x v="8"/>
    <d v="2021-03-01T00:00:00"/>
    <n v="4682"/>
    <x v="18"/>
  </r>
  <r>
    <x v="1"/>
    <x v="3"/>
    <n v="15"/>
    <x v="8"/>
    <d v="2021-03-01T00:00:00"/>
    <n v="6302"/>
    <x v="19"/>
  </r>
  <r>
    <x v="1"/>
    <x v="3"/>
    <n v="15"/>
    <x v="8"/>
    <d v="2021-03-01T00:00:00"/>
    <n v="5782"/>
    <x v="20"/>
  </r>
  <r>
    <x v="1"/>
    <x v="3"/>
    <n v="15"/>
    <x v="8"/>
    <d v="2021-03-01T00:00:00"/>
    <n v="6521"/>
    <x v="21"/>
  </r>
  <r>
    <x v="1"/>
    <x v="3"/>
    <n v="15"/>
    <x v="8"/>
    <d v="2021-03-01T00:00:00"/>
    <n v="7043"/>
    <x v="22"/>
  </r>
  <r>
    <x v="1"/>
    <x v="3"/>
    <n v="15"/>
    <x v="8"/>
    <d v="2021-03-01T00:00:00"/>
    <n v="5747"/>
    <x v="23"/>
  </r>
  <r>
    <x v="1"/>
    <x v="3"/>
    <n v="15"/>
    <x v="8"/>
    <d v="2021-03-01T00:00:00"/>
    <n v="7495"/>
    <x v="24"/>
  </r>
  <r>
    <x v="1"/>
    <x v="3"/>
    <n v="15"/>
    <x v="8"/>
    <d v="2021-03-01T00:00:00"/>
    <n v="73074"/>
    <x v="12"/>
  </r>
  <r>
    <x v="1"/>
    <x v="2"/>
    <n v="7"/>
    <x v="0"/>
    <d v="2021-03-01T00:00:00"/>
    <n v="96201"/>
    <x v="13"/>
  </r>
  <r>
    <x v="1"/>
    <x v="2"/>
    <n v="7"/>
    <x v="0"/>
    <d v="2021-03-01T00:00:00"/>
    <n v="128263"/>
    <x v="14"/>
  </r>
  <r>
    <x v="1"/>
    <x v="2"/>
    <n v="7"/>
    <x v="0"/>
    <d v="2021-03-01T00:00:00"/>
    <n v="90028.010079411702"/>
    <x v="15"/>
  </r>
  <r>
    <x v="1"/>
    <x v="2"/>
    <n v="7"/>
    <x v="0"/>
    <d v="2021-03-01T00:00:00"/>
    <n v="96766.883920588196"/>
    <x v="16"/>
  </r>
  <r>
    <x v="1"/>
    <x v="2"/>
    <n v="7"/>
    <x v="0"/>
    <d v="2021-03-01T00:00:00"/>
    <n v="97268.106"/>
    <x v="17"/>
  </r>
  <r>
    <x v="1"/>
    <x v="2"/>
    <n v="7"/>
    <x v="0"/>
    <d v="2021-03-01T00:00:00"/>
    <n v="126188"/>
    <x v="18"/>
  </r>
  <r>
    <x v="1"/>
    <x v="2"/>
    <n v="7"/>
    <x v="0"/>
    <d v="2021-03-01T00:00:00"/>
    <n v="108978"/>
    <x v="19"/>
  </r>
  <r>
    <x v="1"/>
    <x v="2"/>
    <n v="7"/>
    <x v="0"/>
    <d v="2021-03-01T00:00:00"/>
    <n v="105943"/>
    <x v="20"/>
  </r>
  <r>
    <x v="1"/>
    <x v="2"/>
    <n v="7"/>
    <x v="0"/>
    <d v="2021-03-01T00:00:00"/>
    <n v="101012.29313999999"/>
    <x v="21"/>
  </r>
  <r>
    <x v="1"/>
    <x v="2"/>
    <n v="7"/>
    <x v="0"/>
    <d v="2021-03-01T00:00:00"/>
    <n v="105493.66494"/>
    <x v="22"/>
  </r>
  <r>
    <x v="1"/>
    <x v="2"/>
    <n v="7"/>
    <x v="0"/>
    <d v="2021-03-01T00:00:00"/>
    <n v="105845"/>
    <x v="23"/>
  </r>
  <r>
    <x v="1"/>
    <x v="2"/>
    <n v="7"/>
    <x v="0"/>
    <d v="2021-03-01T00:00:00"/>
    <n v="202727.04191999999"/>
    <x v="24"/>
  </r>
  <r>
    <x v="1"/>
    <x v="2"/>
    <n v="7"/>
    <x v="0"/>
    <d v="2021-03-01T00:00:00"/>
    <n v="1364714"/>
    <x v="12"/>
  </r>
  <r>
    <x v="1"/>
    <x v="2"/>
    <n v="8"/>
    <x v="1"/>
    <d v="2021-03-01T00:00:00"/>
    <n v="11562"/>
    <x v="13"/>
  </r>
  <r>
    <x v="1"/>
    <x v="2"/>
    <n v="8"/>
    <x v="1"/>
    <d v="2021-03-01T00:00:00"/>
    <n v="11751"/>
    <x v="14"/>
  </r>
  <r>
    <x v="1"/>
    <x v="2"/>
    <n v="8"/>
    <x v="1"/>
    <d v="2021-03-01T00:00:00"/>
    <n v="11781.013080000001"/>
    <x v="15"/>
  </r>
  <r>
    <x v="1"/>
    <x v="2"/>
    <n v="8"/>
    <x v="1"/>
    <d v="2021-03-01T00:00:00"/>
    <n v="12457.986919999999"/>
    <x v="16"/>
  </r>
  <r>
    <x v="1"/>
    <x v="2"/>
    <n v="8"/>
    <x v="1"/>
    <d v="2021-03-01T00:00:00"/>
    <n v="11180"/>
    <x v="17"/>
  </r>
  <r>
    <x v="1"/>
    <x v="2"/>
    <n v="8"/>
    <x v="1"/>
    <d v="2021-03-01T00:00:00"/>
    <n v="12291"/>
    <x v="18"/>
  </r>
  <r>
    <x v="1"/>
    <x v="2"/>
    <n v="8"/>
    <x v="1"/>
    <d v="2021-03-01T00:00:00"/>
    <n v="12475"/>
    <x v="19"/>
  </r>
  <r>
    <x v="1"/>
    <x v="2"/>
    <n v="8"/>
    <x v="1"/>
    <d v="2021-03-01T00:00:00"/>
    <n v="12833"/>
    <x v="20"/>
  </r>
  <r>
    <x v="1"/>
    <x v="2"/>
    <n v="8"/>
    <x v="1"/>
    <d v="2021-03-01T00:00:00"/>
    <n v="12338.4897599998"/>
    <x v="21"/>
  </r>
  <r>
    <x v="1"/>
    <x v="2"/>
    <n v="8"/>
    <x v="1"/>
    <d v="2021-03-01T00:00:00"/>
    <n v="12051.85468"/>
    <x v="22"/>
  </r>
  <r>
    <x v="1"/>
    <x v="2"/>
    <n v="8"/>
    <x v="1"/>
    <d v="2021-03-01T00:00:00"/>
    <n v="12476"/>
    <x v="23"/>
  </r>
  <r>
    <x v="1"/>
    <x v="2"/>
    <n v="8"/>
    <x v="1"/>
    <d v="2021-03-01T00:00:00"/>
    <n v="16282.655560000199"/>
    <x v="24"/>
  </r>
  <r>
    <x v="1"/>
    <x v="2"/>
    <n v="8"/>
    <x v="1"/>
    <d v="2021-03-01T00:00:00"/>
    <n v="149480"/>
    <x v="12"/>
  </r>
  <r>
    <x v="1"/>
    <x v="2"/>
    <n v="9"/>
    <x v="2"/>
    <d v="2021-03-01T00:00:00"/>
    <n v="7299"/>
    <x v="13"/>
  </r>
  <r>
    <x v="1"/>
    <x v="2"/>
    <n v="9"/>
    <x v="2"/>
    <d v="2021-03-01T00:00:00"/>
    <n v="7600"/>
    <x v="14"/>
  </r>
  <r>
    <x v="1"/>
    <x v="2"/>
    <n v="9"/>
    <x v="2"/>
    <d v="2021-03-01T00:00:00"/>
    <n v="8417.2114399999991"/>
    <x v="15"/>
  </r>
  <r>
    <x v="1"/>
    <x v="2"/>
    <n v="9"/>
    <x v="2"/>
    <d v="2021-03-01T00:00:00"/>
    <n v="8584.7885600000009"/>
    <x v="16"/>
  </r>
  <r>
    <x v="1"/>
    <x v="2"/>
    <n v="9"/>
    <x v="2"/>
    <d v="2021-03-01T00:00:00"/>
    <n v="7034"/>
    <x v="17"/>
  </r>
  <r>
    <x v="1"/>
    <x v="2"/>
    <n v="9"/>
    <x v="2"/>
    <d v="2021-03-01T00:00:00"/>
    <n v="7861"/>
    <x v="18"/>
  </r>
  <r>
    <x v="1"/>
    <x v="2"/>
    <n v="9"/>
    <x v="2"/>
    <d v="2021-03-01T00:00:00"/>
    <n v="6836"/>
    <x v="19"/>
  </r>
  <r>
    <x v="1"/>
    <x v="2"/>
    <n v="9"/>
    <x v="2"/>
    <d v="2021-03-01T00:00:00"/>
    <n v="7971"/>
    <x v="20"/>
  </r>
  <r>
    <x v="1"/>
    <x v="2"/>
    <n v="9"/>
    <x v="2"/>
    <d v="2021-03-01T00:00:00"/>
    <n v="8130.10051999998"/>
    <x v="21"/>
  </r>
  <r>
    <x v="1"/>
    <x v="2"/>
    <n v="9"/>
    <x v="2"/>
    <d v="2021-03-01T00:00:00"/>
    <n v="6447.2242399999996"/>
    <x v="22"/>
  </r>
  <r>
    <x v="1"/>
    <x v="2"/>
    <n v="9"/>
    <x v="2"/>
    <d v="2021-03-01T00:00:00"/>
    <n v="6429"/>
    <x v="23"/>
  </r>
  <r>
    <x v="1"/>
    <x v="2"/>
    <n v="9"/>
    <x v="2"/>
    <d v="2021-03-01T00:00:00"/>
    <n v="8002.6752400000096"/>
    <x v="24"/>
  </r>
  <r>
    <x v="1"/>
    <x v="2"/>
    <n v="9"/>
    <x v="2"/>
    <d v="2021-03-01T00:00:00"/>
    <n v="90612"/>
    <x v="12"/>
  </r>
  <r>
    <x v="1"/>
    <x v="2"/>
    <n v="10"/>
    <x v="3"/>
    <d v="2021-03-01T00:00:00"/>
    <n v="45605"/>
    <x v="13"/>
  </r>
  <r>
    <x v="1"/>
    <x v="2"/>
    <n v="10"/>
    <x v="3"/>
    <d v="2021-03-01T00:00:00"/>
    <n v="45773"/>
    <x v="14"/>
  </r>
  <r>
    <x v="1"/>
    <x v="2"/>
    <n v="10"/>
    <x v="3"/>
    <d v="2021-03-01T00:00:00"/>
    <n v="45214.977500000001"/>
    <x v="15"/>
  </r>
  <r>
    <x v="1"/>
    <x v="2"/>
    <n v="10"/>
    <x v="3"/>
    <d v="2021-03-01T00:00:00"/>
    <n v="45419.022499999999"/>
    <x v="16"/>
  </r>
  <r>
    <x v="1"/>
    <x v="2"/>
    <n v="10"/>
    <x v="3"/>
    <d v="2021-03-01T00:00:00"/>
    <n v="44551"/>
    <x v="17"/>
  </r>
  <r>
    <x v="1"/>
    <x v="2"/>
    <n v="10"/>
    <x v="3"/>
    <d v="2021-03-01T00:00:00"/>
    <n v="44950"/>
    <x v="18"/>
  </r>
  <r>
    <x v="1"/>
    <x v="2"/>
    <n v="10"/>
    <x v="3"/>
    <d v="2021-03-01T00:00:00"/>
    <n v="47252"/>
    <x v="19"/>
  </r>
  <r>
    <x v="1"/>
    <x v="2"/>
    <n v="10"/>
    <x v="3"/>
    <d v="2021-03-01T00:00:00"/>
    <n v="47547"/>
    <x v="20"/>
  </r>
  <r>
    <x v="1"/>
    <x v="2"/>
    <n v="10"/>
    <x v="3"/>
    <d v="2021-03-01T00:00:00"/>
    <n v="46076.791119998903"/>
    <x v="21"/>
  </r>
  <r>
    <x v="1"/>
    <x v="2"/>
    <n v="10"/>
    <x v="3"/>
    <d v="2021-03-01T00:00:00"/>
    <n v="48474.337029999901"/>
    <x v="22"/>
  </r>
  <r>
    <x v="1"/>
    <x v="2"/>
    <n v="10"/>
    <x v="3"/>
    <d v="2021-03-01T00:00:00"/>
    <n v="46720"/>
    <x v="23"/>
  </r>
  <r>
    <x v="1"/>
    <x v="2"/>
    <n v="10"/>
    <x v="3"/>
    <d v="2021-03-01T00:00:00"/>
    <n v="101506.871850001"/>
    <x v="24"/>
  </r>
  <r>
    <x v="1"/>
    <x v="2"/>
    <n v="10"/>
    <x v="3"/>
    <d v="2021-03-01T00:00:00"/>
    <n v="609090"/>
    <x v="12"/>
  </r>
  <r>
    <x v="1"/>
    <x v="2"/>
    <n v="11"/>
    <x v="4"/>
    <d v="2021-03-01T00:00:00"/>
    <n v="10591"/>
    <x v="13"/>
  </r>
  <r>
    <x v="1"/>
    <x v="2"/>
    <n v="11"/>
    <x v="4"/>
    <d v="2021-03-01T00:00:00"/>
    <n v="8300"/>
    <x v="14"/>
  </r>
  <r>
    <x v="1"/>
    <x v="2"/>
    <n v="11"/>
    <x v="4"/>
    <d v="2021-03-01T00:00:00"/>
    <n v="8507.3465699999997"/>
    <x v="15"/>
  </r>
  <r>
    <x v="1"/>
    <x v="2"/>
    <n v="11"/>
    <x v="4"/>
    <d v="2021-03-01T00:00:00"/>
    <n v="8090.6534300000003"/>
    <x v="16"/>
  </r>
  <r>
    <x v="1"/>
    <x v="2"/>
    <n v="11"/>
    <x v="4"/>
    <d v="2021-03-01T00:00:00"/>
    <n v="8981"/>
    <x v="17"/>
  </r>
  <r>
    <x v="1"/>
    <x v="2"/>
    <n v="11"/>
    <x v="4"/>
    <d v="2021-03-01T00:00:00"/>
    <n v="5725"/>
    <x v="18"/>
  </r>
  <r>
    <x v="1"/>
    <x v="2"/>
    <n v="11"/>
    <x v="4"/>
    <d v="2021-03-01T00:00:00"/>
    <n v="12682"/>
    <x v="19"/>
  </r>
  <r>
    <x v="1"/>
    <x v="2"/>
    <n v="11"/>
    <x v="4"/>
    <d v="2021-03-01T00:00:00"/>
    <n v="6222"/>
    <x v="20"/>
  </r>
  <r>
    <x v="1"/>
    <x v="2"/>
    <n v="11"/>
    <x v="4"/>
    <d v="2021-03-01T00:00:00"/>
    <n v="8941.3389300016006"/>
    <x v="21"/>
  </r>
  <r>
    <x v="1"/>
    <x v="2"/>
    <n v="11"/>
    <x v="4"/>
    <d v="2021-03-01T00:00:00"/>
    <n v="11159.582270000001"/>
    <x v="22"/>
  </r>
  <r>
    <x v="1"/>
    <x v="2"/>
    <n v="11"/>
    <x v="4"/>
    <d v="2021-03-01T00:00:00"/>
    <n v="10000"/>
    <x v="23"/>
  </r>
  <r>
    <x v="1"/>
    <x v="2"/>
    <n v="11"/>
    <x v="4"/>
    <d v="2021-03-01T00:00:00"/>
    <n v="26720.078799998399"/>
    <x v="24"/>
  </r>
  <r>
    <x v="1"/>
    <x v="2"/>
    <n v="11"/>
    <x v="4"/>
    <d v="2021-03-01T00:00:00"/>
    <n v="125920"/>
    <x v="12"/>
  </r>
  <r>
    <x v="1"/>
    <x v="2"/>
    <n v="12"/>
    <x v="5"/>
    <d v="2021-03-01T00:00:00"/>
    <n v="2317"/>
    <x v="13"/>
  </r>
  <r>
    <x v="1"/>
    <x v="2"/>
    <n v="12"/>
    <x v="5"/>
    <d v="2021-03-01T00:00:00"/>
    <n v="1581"/>
    <x v="14"/>
  </r>
  <r>
    <x v="1"/>
    <x v="2"/>
    <n v="12"/>
    <x v="5"/>
    <d v="2021-03-01T00:00:00"/>
    <n v="2607.8865300000002"/>
    <x v="15"/>
  </r>
  <r>
    <x v="1"/>
    <x v="2"/>
    <n v="12"/>
    <x v="5"/>
    <d v="2021-03-01T00:00:00"/>
    <n v="2589.1134699999998"/>
    <x v="16"/>
  </r>
  <r>
    <x v="1"/>
    <x v="2"/>
    <n v="12"/>
    <x v="5"/>
    <d v="2021-03-01T00:00:00"/>
    <n v="2694"/>
    <x v="17"/>
  </r>
  <r>
    <x v="1"/>
    <x v="2"/>
    <n v="12"/>
    <x v="5"/>
    <d v="2021-03-01T00:00:00"/>
    <n v="2987"/>
    <x v="18"/>
  </r>
  <r>
    <x v="1"/>
    <x v="2"/>
    <n v="12"/>
    <x v="5"/>
    <d v="2021-03-01T00:00:00"/>
    <n v="3160"/>
    <x v="19"/>
  </r>
  <r>
    <x v="1"/>
    <x v="2"/>
    <n v="12"/>
    <x v="5"/>
    <d v="2021-03-01T00:00:00"/>
    <n v="3221"/>
    <x v="20"/>
  </r>
  <r>
    <x v="1"/>
    <x v="2"/>
    <n v="12"/>
    <x v="5"/>
    <d v="2021-03-01T00:00:00"/>
    <n v="3171.4568900000199"/>
    <x v="21"/>
  </r>
  <r>
    <x v="1"/>
    <x v="2"/>
    <n v="12"/>
    <x v="5"/>
    <d v="2021-03-01T00:00:00"/>
    <n v="2831.2586500000002"/>
    <x v="22"/>
  </r>
  <r>
    <x v="1"/>
    <x v="2"/>
    <n v="12"/>
    <x v="5"/>
    <d v="2021-03-01T00:00:00"/>
    <n v="2491"/>
    <x v="23"/>
  </r>
  <r>
    <x v="1"/>
    <x v="2"/>
    <n v="12"/>
    <x v="5"/>
    <d v="2021-03-01T00:00:00"/>
    <n v="2714.2844599999798"/>
    <x v="24"/>
  </r>
  <r>
    <x v="1"/>
    <x v="2"/>
    <n v="12"/>
    <x v="5"/>
    <d v="2021-03-01T00:00:00"/>
    <n v="32365"/>
    <x v="12"/>
  </r>
  <r>
    <x v="1"/>
    <x v="2"/>
    <n v="13"/>
    <x v="6"/>
    <d v="2021-03-01T00:00:00"/>
    <n v="17947"/>
    <x v="13"/>
  </r>
  <r>
    <x v="1"/>
    <x v="2"/>
    <n v="13"/>
    <x v="6"/>
    <d v="2021-03-01T00:00:00"/>
    <n v="51780"/>
    <x v="14"/>
  </r>
  <r>
    <x v="1"/>
    <x v="2"/>
    <n v="13"/>
    <x v="6"/>
    <d v="2021-03-01T00:00:00"/>
    <n v="-495"/>
    <x v="15"/>
  </r>
  <r>
    <x v="1"/>
    <x v="2"/>
    <n v="13"/>
    <x v="6"/>
    <d v="2021-03-01T00:00:00"/>
    <n v="19009"/>
    <x v="16"/>
  </r>
  <r>
    <x v="1"/>
    <x v="2"/>
    <n v="13"/>
    <x v="6"/>
    <d v="2021-03-01T00:00:00"/>
    <n v="18134"/>
    <x v="17"/>
  </r>
  <r>
    <x v="1"/>
    <x v="2"/>
    <n v="13"/>
    <x v="6"/>
    <d v="2021-03-01T00:00:00"/>
    <n v="27159"/>
    <x v="18"/>
  </r>
  <r>
    <x v="1"/>
    <x v="2"/>
    <n v="13"/>
    <x v="6"/>
    <d v="2021-03-01T00:00:00"/>
    <n v="19169"/>
    <x v="19"/>
  </r>
  <r>
    <x v="1"/>
    <x v="2"/>
    <n v="13"/>
    <x v="6"/>
    <d v="2021-03-01T00:00:00"/>
    <n v="19557"/>
    <x v="20"/>
  </r>
  <r>
    <x v="1"/>
    <x v="2"/>
    <n v="13"/>
    <x v="6"/>
    <d v="2021-03-01T00:00:00"/>
    <n v="18149.439439999998"/>
    <x v="21"/>
  </r>
  <r>
    <x v="1"/>
    <x v="2"/>
    <n v="13"/>
    <x v="6"/>
    <d v="2021-03-01T00:00:00"/>
    <n v="18957.059280000001"/>
    <x v="22"/>
  </r>
  <r>
    <x v="1"/>
    <x v="2"/>
    <n v="13"/>
    <x v="6"/>
    <d v="2021-03-01T00:00:00"/>
    <n v="20699"/>
    <x v="23"/>
  </r>
  <r>
    <x v="1"/>
    <x v="2"/>
    <n v="13"/>
    <x v="6"/>
    <d v="2021-03-01T00:00:00"/>
    <n v="23873.501280000099"/>
    <x v="24"/>
  </r>
  <r>
    <x v="1"/>
    <x v="2"/>
    <n v="13"/>
    <x v="6"/>
    <d v="2021-03-01T00:00:00"/>
    <n v="253939"/>
    <x v="12"/>
  </r>
  <r>
    <x v="1"/>
    <x v="2"/>
    <n v="14"/>
    <x v="7"/>
    <d v="2021-03-01T00:00:00"/>
    <n v="80"/>
    <x v="13"/>
  </r>
  <r>
    <x v="1"/>
    <x v="2"/>
    <n v="14"/>
    <x v="7"/>
    <d v="2021-03-01T00:00:00"/>
    <n v="17"/>
    <x v="14"/>
  </r>
  <r>
    <x v="1"/>
    <x v="2"/>
    <n v="14"/>
    <x v="7"/>
    <d v="2021-03-01T00:00:00"/>
    <n v="-58"/>
    <x v="15"/>
  </r>
  <r>
    <x v="1"/>
    <x v="2"/>
    <n v="14"/>
    <x v="7"/>
    <d v="2021-03-01T00:00:00"/>
    <n v="13"/>
    <x v="16"/>
  </r>
  <r>
    <x v="1"/>
    <x v="2"/>
    <n v="14"/>
    <x v="7"/>
    <d v="2021-03-01T00:00:00"/>
    <n v="13"/>
    <x v="17"/>
  </r>
  <r>
    <x v="1"/>
    <x v="2"/>
    <n v="14"/>
    <x v="7"/>
    <d v="2021-03-01T00:00:00"/>
    <n v="13"/>
    <x v="18"/>
  </r>
  <r>
    <x v="1"/>
    <x v="2"/>
    <n v="14"/>
    <x v="7"/>
    <d v="2021-03-01T00:00:00"/>
    <n v="13"/>
    <x v="19"/>
  </r>
  <r>
    <x v="1"/>
    <x v="2"/>
    <n v="14"/>
    <x v="7"/>
    <d v="2021-03-01T00:00:00"/>
    <n v="4"/>
    <x v="20"/>
  </r>
  <r>
    <x v="1"/>
    <x v="2"/>
    <n v="14"/>
    <x v="7"/>
    <d v="2021-03-01T00:00:00"/>
    <n v="12.8848"/>
    <x v="21"/>
  </r>
  <r>
    <x v="1"/>
    <x v="2"/>
    <n v="14"/>
    <x v="7"/>
    <d v="2021-03-01T00:00:00"/>
    <n v="12.95759"/>
    <x v="22"/>
  </r>
  <r>
    <x v="1"/>
    <x v="2"/>
    <n v="14"/>
    <x v="7"/>
    <d v="2021-03-01T00:00:00"/>
    <n v="13"/>
    <x v="23"/>
  </r>
  <r>
    <x v="1"/>
    <x v="2"/>
    <n v="14"/>
    <x v="7"/>
    <d v="2021-03-01T00:00:00"/>
    <n v="13.15761"/>
    <x v="24"/>
  </r>
  <r>
    <x v="1"/>
    <x v="2"/>
    <n v="14"/>
    <x v="7"/>
    <d v="2021-03-01T00:00:00"/>
    <n v="147"/>
    <x v="12"/>
  </r>
  <r>
    <x v="1"/>
    <x v="2"/>
    <n v="15"/>
    <x v="8"/>
    <d v="2021-03-01T00:00:00"/>
    <n v="4555"/>
    <x v="13"/>
  </r>
  <r>
    <x v="1"/>
    <x v="2"/>
    <n v="15"/>
    <x v="8"/>
    <d v="2021-03-01T00:00:00"/>
    <n v="4679"/>
    <x v="14"/>
  </r>
  <r>
    <x v="1"/>
    <x v="2"/>
    <n v="15"/>
    <x v="8"/>
    <d v="2021-03-01T00:00:00"/>
    <n v="4508.8827799999999"/>
    <x v="15"/>
  </r>
  <r>
    <x v="1"/>
    <x v="2"/>
    <n v="15"/>
    <x v="8"/>
    <d v="2021-03-01T00:00:00"/>
    <n v="3209.1172200000001"/>
    <x v="16"/>
  </r>
  <r>
    <x v="1"/>
    <x v="2"/>
    <n v="15"/>
    <x v="8"/>
    <d v="2021-03-01T00:00:00"/>
    <n v="4911"/>
    <x v="17"/>
  </r>
  <r>
    <x v="1"/>
    <x v="2"/>
    <n v="15"/>
    <x v="8"/>
    <d v="2021-03-01T00:00:00"/>
    <n v="8788"/>
    <x v="18"/>
  </r>
  <r>
    <x v="1"/>
    <x v="2"/>
    <n v="15"/>
    <x v="8"/>
    <d v="2021-03-01T00:00:00"/>
    <n v="4001"/>
    <x v="19"/>
  </r>
  <r>
    <x v="1"/>
    <x v="2"/>
    <n v="15"/>
    <x v="8"/>
    <d v="2021-03-01T00:00:00"/>
    <n v="4048"/>
    <x v="20"/>
  </r>
  <r>
    <x v="1"/>
    <x v="2"/>
    <n v="15"/>
    <x v="8"/>
    <d v="2021-03-01T00:00:00"/>
    <n v="4449.3487699999896"/>
    <x v="21"/>
  </r>
  <r>
    <x v="1"/>
    <x v="2"/>
    <n v="15"/>
    <x v="8"/>
    <d v="2021-03-01T00:00:00"/>
    <n v="3220.8063499999998"/>
    <x v="22"/>
  </r>
  <r>
    <x v="1"/>
    <x v="2"/>
    <n v="15"/>
    <x v="8"/>
    <d v="2021-03-01T00:00:00"/>
    <n v="4325"/>
    <x v="23"/>
  </r>
  <r>
    <x v="1"/>
    <x v="2"/>
    <n v="15"/>
    <x v="8"/>
    <d v="2021-03-01T00:00:00"/>
    <n v="209.84488000001099"/>
    <x v="24"/>
  </r>
  <r>
    <x v="1"/>
    <x v="2"/>
    <n v="15"/>
    <x v="8"/>
    <d v="2021-03-01T00:00:00"/>
    <n v="50905"/>
    <x v="12"/>
  </r>
  <r>
    <x v="1"/>
    <x v="4"/>
    <n v="7"/>
    <x v="0"/>
    <d v="2021-03-01T00:00:00"/>
    <n v="74981"/>
    <x v="13"/>
  </r>
  <r>
    <x v="1"/>
    <x v="4"/>
    <n v="7"/>
    <x v="0"/>
    <d v="2021-03-01T00:00:00"/>
    <n v="74234"/>
    <x v="14"/>
  </r>
  <r>
    <x v="1"/>
    <x v="4"/>
    <n v="7"/>
    <x v="0"/>
    <d v="2021-03-01T00:00:00"/>
    <n v="80394"/>
    <x v="15"/>
  </r>
  <r>
    <x v="1"/>
    <x v="4"/>
    <n v="7"/>
    <x v="0"/>
    <d v="2021-03-01T00:00:00"/>
    <n v="80641"/>
    <x v="16"/>
  </r>
  <r>
    <x v="1"/>
    <x v="4"/>
    <n v="7"/>
    <x v="0"/>
    <d v="2021-03-01T00:00:00"/>
    <n v="82141"/>
    <x v="17"/>
  </r>
  <r>
    <x v="1"/>
    <x v="4"/>
    <n v="7"/>
    <x v="0"/>
    <d v="2021-03-01T00:00:00"/>
    <n v="101856"/>
    <x v="18"/>
  </r>
  <r>
    <x v="1"/>
    <x v="4"/>
    <n v="7"/>
    <x v="0"/>
    <d v="2021-03-01T00:00:00"/>
    <n v="91283"/>
    <x v="19"/>
  </r>
  <r>
    <x v="1"/>
    <x v="4"/>
    <n v="7"/>
    <x v="0"/>
    <d v="2021-03-01T00:00:00"/>
    <n v="84586"/>
    <x v="20"/>
  </r>
  <r>
    <x v="1"/>
    <x v="4"/>
    <n v="7"/>
    <x v="0"/>
    <d v="2021-03-01T00:00:00"/>
    <n v="88708"/>
    <x v="21"/>
  </r>
  <r>
    <x v="1"/>
    <x v="4"/>
    <n v="7"/>
    <x v="0"/>
    <d v="2021-03-01T00:00:00"/>
    <n v="92163"/>
    <x v="22"/>
  </r>
  <r>
    <x v="1"/>
    <x v="4"/>
    <n v="7"/>
    <x v="0"/>
    <d v="2021-03-01T00:00:00"/>
    <n v="89517"/>
    <x v="23"/>
  </r>
  <r>
    <x v="1"/>
    <x v="4"/>
    <n v="7"/>
    <x v="0"/>
    <d v="2021-03-01T00:00:00"/>
    <n v="150664"/>
    <x v="24"/>
  </r>
  <r>
    <x v="1"/>
    <x v="4"/>
    <n v="7"/>
    <x v="0"/>
    <d v="2021-03-01T00:00:00"/>
    <n v="1091168"/>
    <x v="12"/>
  </r>
  <r>
    <x v="1"/>
    <x v="4"/>
    <n v="8"/>
    <x v="1"/>
    <d v="2021-03-01T00:00:00"/>
    <n v="10051"/>
    <x v="13"/>
  </r>
  <r>
    <x v="1"/>
    <x v="4"/>
    <n v="8"/>
    <x v="1"/>
    <d v="2021-03-01T00:00:00"/>
    <n v="9679"/>
    <x v="14"/>
  </r>
  <r>
    <x v="1"/>
    <x v="4"/>
    <n v="8"/>
    <x v="1"/>
    <d v="2021-03-01T00:00:00"/>
    <n v="10102"/>
    <x v="15"/>
  </r>
  <r>
    <x v="1"/>
    <x v="4"/>
    <n v="8"/>
    <x v="1"/>
    <d v="2021-03-01T00:00:00"/>
    <n v="10268"/>
    <x v="16"/>
  </r>
  <r>
    <x v="1"/>
    <x v="4"/>
    <n v="8"/>
    <x v="1"/>
    <d v="2021-03-01T00:00:00"/>
    <n v="9908"/>
    <x v="17"/>
  </r>
  <r>
    <x v="1"/>
    <x v="4"/>
    <n v="8"/>
    <x v="1"/>
    <d v="2021-03-01T00:00:00"/>
    <n v="9606"/>
    <x v="18"/>
  </r>
  <r>
    <x v="1"/>
    <x v="4"/>
    <n v="8"/>
    <x v="1"/>
    <d v="2021-03-01T00:00:00"/>
    <n v="9585"/>
    <x v="19"/>
  </r>
  <r>
    <x v="1"/>
    <x v="4"/>
    <n v="8"/>
    <x v="1"/>
    <d v="2021-03-01T00:00:00"/>
    <n v="10148"/>
    <x v="20"/>
  </r>
  <r>
    <x v="1"/>
    <x v="4"/>
    <n v="8"/>
    <x v="1"/>
    <d v="2021-03-01T00:00:00"/>
    <n v="9878"/>
    <x v="21"/>
  </r>
  <r>
    <x v="1"/>
    <x v="4"/>
    <n v="8"/>
    <x v="1"/>
    <d v="2021-03-01T00:00:00"/>
    <n v="10822"/>
    <x v="22"/>
  </r>
  <r>
    <x v="1"/>
    <x v="4"/>
    <n v="8"/>
    <x v="1"/>
    <d v="2021-03-01T00:00:00"/>
    <n v="11774"/>
    <x v="23"/>
  </r>
  <r>
    <x v="1"/>
    <x v="4"/>
    <n v="8"/>
    <x v="1"/>
    <d v="2021-03-01T00:00:00"/>
    <n v="12222"/>
    <x v="24"/>
  </r>
  <r>
    <x v="1"/>
    <x v="4"/>
    <n v="8"/>
    <x v="1"/>
    <d v="2021-03-01T00:00:00"/>
    <n v="124043"/>
    <x v="12"/>
  </r>
  <r>
    <x v="1"/>
    <x v="4"/>
    <n v="9"/>
    <x v="2"/>
    <d v="2021-03-01T00:00:00"/>
    <n v="6368"/>
    <x v="13"/>
  </r>
  <r>
    <x v="1"/>
    <x v="4"/>
    <n v="9"/>
    <x v="2"/>
    <d v="2021-03-01T00:00:00"/>
    <n v="6418"/>
    <x v="14"/>
  </r>
  <r>
    <x v="1"/>
    <x v="4"/>
    <n v="9"/>
    <x v="2"/>
    <d v="2021-03-01T00:00:00"/>
    <n v="6668"/>
    <x v="15"/>
  </r>
  <r>
    <x v="1"/>
    <x v="4"/>
    <n v="9"/>
    <x v="2"/>
    <d v="2021-03-01T00:00:00"/>
    <n v="6535"/>
    <x v="16"/>
  </r>
  <r>
    <x v="1"/>
    <x v="4"/>
    <n v="9"/>
    <x v="2"/>
    <d v="2021-03-01T00:00:00"/>
    <n v="5917"/>
    <x v="17"/>
  </r>
  <r>
    <x v="1"/>
    <x v="4"/>
    <n v="9"/>
    <x v="2"/>
    <d v="2021-03-01T00:00:00"/>
    <n v="6585"/>
    <x v="18"/>
  </r>
  <r>
    <x v="1"/>
    <x v="4"/>
    <n v="9"/>
    <x v="2"/>
    <d v="2021-03-01T00:00:00"/>
    <n v="6992"/>
    <x v="19"/>
  </r>
  <r>
    <x v="1"/>
    <x v="4"/>
    <n v="9"/>
    <x v="2"/>
    <d v="2021-03-01T00:00:00"/>
    <n v="6423"/>
    <x v="20"/>
  </r>
  <r>
    <x v="1"/>
    <x v="4"/>
    <n v="9"/>
    <x v="2"/>
    <d v="2021-03-01T00:00:00"/>
    <n v="7176"/>
    <x v="21"/>
  </r>
  <r>
    <x v="1"/>
    <x v="4"/>
    <n v="9"/>
    <x v="2"/>
    <d v="2021-03-01T00:00:00"/>
    <n v="6574"/>
    <x v="22"/>
  </r>
  <r>
    <x v="1"/>
    <x v="4"/>
    <n v="9"/>
    <x v="2"/>
    <d v="2021-03-01T00:00:00"/>
    <n v="6048"/>
    <x v="23"/>
  </r>
  <r>
    <x v="1"/>
    <x v="4"/>
    <n v="9"/>
    <x v="2"/>
    <d v="2021-03-01T00:00:00"/>
    <n v="8945"/>
    <x v="24"/>
  </r>
  <r>
    <x v="1"/>
    <x v="4"/>
    <n v="9"/>
    <x v="2"/>
    <d v="2021-03-01T00:00:00"/>
    <n v="80649"/>
    <x v="12"/>
  </r>
  <r>
    <x v="1"/>
    <x v="4"/>
    <n v="10"/>
    <x v="3"/>
    <d v="2021-03-01T00:00:00"/>
    <n v="36319"/>
    <x v="13"/>
  </r>
  <r>
    <x v="1"/>
    <x v="4"/>
    <n v="10"/>
    <x v="3"/>
    <d v="2021-03-01T00:00:00"/>
    <n v="38066"/>
    <x v="14"/>
  </r>
  <r>
    <x v="1"/>
    <x v="4"/>
    <n v="10"/>
    <x v="3"/>
    <d v="2021-03-01T00:00:00"/>
    <n v="37790"/>
    <x v="15"/>
  </r>
  <r>
    <x v="1"/>
    <x v="4"/>
    <n v="10"/>
    <x v="3"/>
    <d v="2021-03-01T00:00:00"/>
    <n v="36664"/>
    <x v="16"/>
  </r>
  <r>
    <x v="1"/>
    <x v="4"/>
    <n v="10"/>
    <x v="3"/>
    <d v="2021-03-01T00:00:00"/>
    <n v="37343"/>
    <x v="17"/>
  </r>
  <r>
    <x v="1"/>
    <x v="4"/>
    <n v="10"/>
    <x v="3"/>
    <d v="2021-03-01T00:00:00"/>
    <n v="36446"/>
    <x v="18"/>
  </r>
  <r>
    <x v="1"/>
    <x v="4"/>
    <n v="10"/>
    <x v="3"/>
    <d v="2021-03-01T00:00:00"/>
    <n v="39264"/>
    <x v="19"/>
  </r>
  <r>
    <x v="1"/>
    <x v="4"/>
    <n v="10"/>
    <x v="3"/>
    <d v="2021-03-01T00:00:00"/>
    <n v="38451"/>
    <x v="20"/>
  </r>
  <r>
    <x v="1"/>
    <x v="4"/>
    <n v="10"/>
    <x v="3"/>
    <d v="2021-03-01T00:00:00"/>
    <n v="38158"/>
    <x v="21"/>
  </r>
  <r>
    <x v="1"/>
    <x v="4"/>
    <n v="10"/>
    <x v="3"/>
    <d v="2021-03-01T00:00:00"/>
    <n v="39298"/>
    <x v="22"/>
  </r>
  <r>
    <x v="1"/>
    <x v="4"/>
    <n v="10"/>
    <x v="3"/>
    <d v="2021-03-01T00:00:00"/>
    <n v="39524"/>
    <x v="23"/>
  </r>
  <r>
    <x v="1"/>
    <x v="4"/>
    <n v="10"/>
    <x v="3"/>
    <d v="2021-03-01T00:00:00"/>
    <n v="85151"/>
    <x v="24"/>
  </r>
  <r>
    <x v="1"/>
    <x v="4"/>
    <n v="10"/>
    <x v="3"/>
    <d v="2021-03-01T00:00:00"/>
    <n v="502474"/>
    <x v="12"/>
  </r>
  <r>
    <x v="1"/>
    <x v="4"/>
    <n v="11"/>
    <x v="4"/>
    <d v="2021-03-01T00:00:00"/>
    <n v="6400"/>
    <x v="13"/>
  </r>
  <r>
    <x v="1"/>
    <x v="4"/>
    <n v="11"/>
    <x v="4"/>
    <d v="2021-03-01T00:00:00"/>
    <n v="6445"/>
    <x v="14"/>
  </r>
  <r>
    <x v="1"/>
    <x v="4"/>
    <n v="11"/>
    <x v="4"/>
    <d v="2021-03-01T00:00:00"/>
    <n v="9645"/>
    <x v="15"/>
  </r>
  <r>
    <x v="1"/>
    <x v="4"/>
    <n v="11"/>
    <x v="4"/>
    <d v="2021-03-01T00:00:00"/>
    <n v="6994"/>
    <x v="16"/>
  </r>
  <r>
    <x v="1"/>
    <x v="4"/>
    <n v="11"/>
    <x v="4"/>
    <d v="2021-03-01T00:00:00"/>
    <n v="9824"/>
    <x v="17"/>
  </r>
  <r>
    <x v="1"/>
    <x v="4"/>
    <n v="11"/>
    <x v="4"/>
    <d v="2021-03-01T00:00:00"/>
    <n v="7540"/>
    <x v="18"/>
  </r>
  <r>
    <x v="1"/>
    <x v="4"/>
    <n v="11"/>
    <x v="4"/>
    <d v="2021-03-01T00:00:00"/>
    <n v="8840"/>
    <x v="19"/>
  </r>
  <r>
    <x v="1"/>
    <x v="4"/>
    <n v="11"/>
    <x v="4"/>
    <d v="2021-03-01T00:00:00"/>
    <n v="8820.5"/>
    <x v="20"/>
  </r>
  <r>
    <x v="1"/>
    <x v="4"/>
    <n v="11"/>
    <x v="4"/>
    <d v="2021-03-01T00:00:00"/>
    <n v="11702"/>
    <x v="21"/>
  </r>
  <r>
    <x v="1"/>
    <x v="4"/>
    <n v="11"/>
    <x v="4"/>
    <d v="2021-03-01T00:00:00"/>
    <n v="12931"/>
    <x v="22"/>
  </r>
  <r>
    <x v="1"/>
    <x v="4"/>
    <n v="11"/>
    <x v="4"/>
    <d v="2021-03-01T00:00:00"/>
    <n v="11042"/>
    <x v="23"/>
  </r>
  <r>
    <x v="1"/>
    <x v="4"/>
    <n v="11"/>
    <x v="4"/>
    <d v="2021-03-01T00:00:00"/>
    <n v="23460"/>
    <x v="24"/>
  </r>
  <r>
    <x v="1"/>
    <x v="4"/>
    <n v="11"/>
    <x v="4"/>
    <d v="2021-03-01T00:00:00"/>
    <n v="123643.5"/>
    <x v="12"/>
  </r>
  <r>
    <x v="1"/>
    <x v="4"/>
    <n v="12"/>
    <x v="5"/>
    <d v="2021-03-01T00:00:00"/>
    <n v="3199"/>
    <x v="13"/>
  </r>
  <r>
    <x v="1"/>
    <x v="4"/>
    <n v="12"/>
    <x v="5"/>
    <d v="2021-03-01T00:00:00"/>
    <n v="2883"/>
    <x v="14"/>
  </r>
  <r>
    <x v="1"/>
    <x v="4"/>
    <n v="12"/>
    <x v="5"/>
    <d v="2021-03-01T00:00:00"/>
    <n v="3387"/>
    <x v="15"/>
  </r>
  <r>
    <x v="1"/>
    <x v="4"/>
    <n v="12"/>
    <x v="5"/>
    <d v="2021-03-01T00:00:00"/>
    <n v="3803"/>
    <x v="16"/>
  </r>
  <r>
    <x v="1"/>
    <x v="4"/>
    <n v="12"/>
    <x v="5"/>
    <d v="2021-03-01T00:00:00"/>
    <n v="3312"/>
    <x v="17"/>
  </r>
  <r>
    <x v="1"/>
    <x v="4"/>
    <n v="12"/>
    <x v="5"/>
    <d v="2021-03-01T00:00:00"/>
    <n v="3853"/>
    <x v="18"/>
  </r>
  <r>
    <x v="1"/>
    <x v="4"/>
    <n v="12"/>
    <x v="5"/>
    <d v="2021-03-01T00:00:00"/>
    <n v="3665"/>
    <x v="19"/>
  </r>
  <r>
    <x v="1"/>
    <x v="4"/>
    <n v="12"/>
    <x v="5"/>
    <d v="2021-03-01T00:00:00"/>
    <n v="3911"/>
    <x v="20"/>
  </r>
  <r>
    <x v="1"/>
    <x v="4"/>
    <n v="12"/>
    <x v="5"/>
    <d v="2021-03-01T00:00:00"/>
    <n v="3831"/>
    <x v="21"/>
  </r>
  <r>
    <x v="1"/>
    <x v="4"/>
    <n v="12"/>
    <x v="5"/>
    <d v="2021-03-01T00:00:00"/>
    <n v="3904"/>
    <x v="22"/>
  </r>
  <r>
    <x v="1"/>
    <x v="4"/>
    <n v="12"/>
    <x v="5"/>
    <d v="2021-03-01T00:00:00"/>
    <n v="3463"/>
    <x v="23"/>
  </r>
  <r>
    <x v="1"/>
    <x v="4"/>
    <n v="12"/>
    <x v="5"/>
    <d v="2021-03-01T00:00:00"/>
    <n v="3935"/>
    <x v="24"/>
  </r>
  <r>
    <x v="1"/>
    <x v="4"/>
    <n v="12"/>
    <x v="5"/>
    <d v="2021-03-01T00:00:00"/>
    <n v="43146"/>
    <x v="12"/>
  </r>
  <r>
    <x v="1"/>
    <x v="4"/>
    <n v="13"/>
    <x v="6"/>
    <d v="2021-03-01T00:00:00"/>
    <n v="12433"/>
    <x v="13"/>
  </r>
  <r>
    <x v="1"/>
    <x v="4"/>
    <n v="13"/>
    <x v="6"/>
    <d v="2021-03-01T00:00:00"/>
    <n v="12867"/>
    <x v="14"/>
  </r>
  <r>
    <x v="1"/>
    <x v="4"/>
    <n v="13"/>
    <x v="6"/>
    <d v="2021-03-01T00:00:00"/>
    <n v="12329"/>
    <x v="15"/>
  </r>
  <r>
    <x v="1"/>
    <x v="4"/>
    <n v="13"/>
    <x v="6"/>
    <d v="2021-03-01T00:00:00"/>
    <n v="12995"/>
    <x v="16"/>
  </r>
  <r>
    <x v="1"/>
    <x v="4"/>
    <n v="13"/>
    <x v="6"/>
    <d v="2021-03-01T00:00:00"/>
    <n v="12788"/>
    <x v="17"/>
  </r>
  <r>
    <x v="1"/>
    <x v="4"/>
    <n v="13"/>
    <x v="6"/>
    <d v="2021-03-01T00:00:00"/>
    <n v="12575"/>
    <x v="18"/>
  </r>
  <r>
    <x v="1"/>
    <x v="4"/>
    <n v="13"/>
    <x v="6"/>
    <d v="2021-03-01T00:00:00"/>
    <n v="14952"/>
    <x v="19"/>
  </r>
  <r>
    <x v="1"/>
    <x v="4"/>
    <n v="13"/>
    <x v="6"/>
    <d v="2021-03-01T00:00:00"/>
    <n v="12705"/>
    <x v="20"/>
  </r>
  <r>
    <x v="1"/>
    <x v="4"/>
    <n v="13"/>
    <x v="6"/>
    <d v="2021-03-01T00:00:00"/>
    <n v="13546"/>
    <x v="21"/>
  </r>
  <r>
    <x v="1"/>
    <x v="4"/>
    <n v="13"/>
    <x v="6"/>
    <d v="2021-03-01T00:00:00"/>
    <n v="14064"/>
    <x v="22"/>
  </r>
  <r>
    <x v="1"/>
    <x v="4"/>
    <n v="13"/>
    <x v="6"/>
    <d v="2021-03-01T00:00:00"/>
    <n v="13099"/>
    <x v="23"/>
  </r>
  <r>
    <x v="1"/>
    <x v="4"/>
    <n v="13"/>
    <x v="6"/>
    <d v="2021-03-01T00:00:00"/>
    <n v="13024"/>
    <x v="24"/>
  </r>
  <r>
    <x v="1"/>
    <x v="4"/>
    <n v="13"/>
    <x v="6"/>
    <d v="2021-03-01T00:00:00"/>
    <n v="157377"/>
    <x v="12"/>
  </r>
  <r>
    <x v="1"/>
    <x v="4"/>
    <n v="14"/>
    <x v="7"/>
    <d v="2021-03-01T00:00:00"/>
    <n v="8"/>
    <x v="13"/>
  </r>
  <r>
    <x v="1"/>
    <x v="4"/>
    <n v="14"/>
    <x v="7"/>
    <d v="2021-03-01T00:00:00"/>
    <n v="8"/>
    <x v="14"/>
  </r>
  <r>
    <x v="1"/>
    <x v="4"/>
    <n v="14"/>
    <x v="7"/>
    <d v="2021-03-01T00:00:00"/>
    <n v="8"/>
    <x v="15"/>
  </r>
  <r>
    <x v="1"/>
    <x v="4"/>
    <n v="14"/>
    <x v="7"/>
    <d v="2021-03-01T00:00:00"/>
    <n v="8"/>
    <x v="16"/>
  </r>
  <r>
    <x v="1"/>
    <x v="4"/>
    <n v="14"/>
    <x v="7"/>
    <d v="2021-03-01T00:00:00"/>
    <n v="8"/>
    <x v="17"/>
  </r>
  <r>
    <x v="1"/>
    <x v="4"/>
    <n v="14"/>
    <x v="7"/>
    <d v="2021-03-01T00:00:00"/>
    <n v="1"/>
    <x v="18"/>
  </r>
  <r>
    <x v="1"/>
    <x v="4"/>
    <n v="14"/>
    <x v="7"/>
    <d v="2021-03-01T00:00:00"/>
    <n v="8"/>
    <x v="19"/>
  </r>
  <r>
    <x v="1"/>
    <x v="4"/>
    <n v="14"/>
    <x v="7"/>
    <d v="2021-03-01T00:00:00"/>
    <n v="6.8333333333333304"/>
    <x v="20"/>
  </r>
  <r>
    <x v="1"/>
    <x v="4"/>
    <n v="14"/>
    <x v="7"/>
    <d v="2021-03-01T00:00:00"/>
    <n v="8"/>
    <x v="21"/>
  </r>
  <r>
    <x v="1"/>
    <x v="4"/>
    <n v="14"/>
    <x v="7"/>
    <d v="2021-03-01T00:00:00"/>
    <n v="0"/>
    <x v="22"/>
  </r>
  <r>
    <x v="1"/>
    <x v="4"/>
    <n v="14"/>
    <x v="7"/>
    <d v="2021-03-01T00:00:00"/>
    <n v="0"/>
    <x v="23"/>
  </r>
  <r>
    <x v="1"/>
    <x v="4"/>
    <n v="14"/>
    <x v="7"/>
    <d v="2021-03-01T00:00:00"/>
    <n v="0"/>
    <x v="24"/>
  </r>
  <r>
    <x v="1"/>
    <x v="4"/>
    <n v="14"/>
    <x v="7"/>
    <d v="2021-03-01T00:00:00"/>
    <n v="63.8333333333333"/>
    <x v="12"/>
  </r>
  <r>
    <x v="1"/>
    <x v="4"/>
    <n v="15"/>
    <x v="8"/>
    <d v="2021-03-01T00:00:00"/>
    <n v="4729"/>
    <x v="13"/>
  </r>
  <r>
    <x v="1"/>
    <x v="4"/>
    <n v="15"/>
    <x v="8"/>
    <d v="2021-03-01T00:00:00"/>
    <n v="4432"/>
    <x v="14"/>
  </r>
  <r>
    <x v="1"/>
    <x v="4"/>
    <n v="15"/>
    <x v="8"/>
    <d v="2021-03-01T00:00:00"/>
    <n v="4255"/>
    <x v="15"/>
  </r>
  <r>
    <x v="1"/>
    <x v="4"/>
    <n v="15"/>
    <x v="8"/>
    <d v="2021-03-01T00:00:00"/>
    <n v="4330"/>
    <x v="16"/>
  </r>
  <r>
    <x v="1"/>
    <x v="4"/>
    <n v="15"/>
    <x v="8"/>
    <d v="2021-03-01T00:00:00"/>
    <n v="4120"/>
    <x v="17"/>
  </r>
  <r>
    <x v="1"/>
    <x v="4"/>
    <n v="15"/>
    <x v="8"/>
    <d v="2021-03-01T00:00:00"/>
    <n v="4110"/>
    <x v="18"/>
  </r>
  <r>
    <x v="1"/>
    <x v="4"/>
    <n v="15"/>
    <x v="8"/>
    <d v="2021-03-01T00:00:00"/>
    <n v="6377"/>
    <x v="19"/>
  </r>
  <r>
    <x v="1"/>
    <x v="4"/>
    <n v="15"/>
    <x v="8"/>
    <d v="2021-03-01T00:00:00"/>
    <n v="4173"/>
    <x v="20"/>
  </r>
  <r>
    <x v="1"/>
    <x v="4"/>
    <n v="15"/>
    <x v="8"/>
    <d v="2021-03-01T00:00:00"/>
    <n v="4498"/>
    <x v="21"/>
  </r>
  <r>
    <x v="1"/>
    <x v="4"/>
    <n v="15"/>
    <x v="8"/>
    <d v="2021-03-01T00:00:00"/>
    <n v="4378"/>
    <x v="22"/>
  </r>
  <r>
    <x v="1"/>
    <x v="4"/>
    <n v="15"/>
    <x v="8"/>
    <d v="2021-03-01T00:00:00"/>
    <n v="4470"/>
    <x v="23"/>
  </r>
  <r>
    <x v="1"/>
    <x v="4"/>
    <n v="15"/>
    <x v="8"/>
    <d v="2021-03-01T00:00:00"/>
    <n v="4255"/>
    <x v="24"/>
  </r>
  <r>
    <x v="1"/>
    <x v="4"/>
    <n v="15"/>
    <x v="8"/>
    <d v="2021-03-01T00:00:00"/>
    <n v="54127"/>
    <x v="12"/>
  </r>
  <r>
    <x v="1"/>
    <x v="5"/>
    <n v="7"/>
    <x v="0"/>
    <d v="2021-03-01T00:00:00"/>
    <n v="17692"/>
    <x v="13"/>
  </r>
  <r>
    <x v="1"/>
    <x v="5"/>
    <n v="7"/>
    <x v="0"/>
    <d v="2021-03-01T00:00:00"/>
    <n v="18508"/>
    <x v="14"/>
  </r>
  <r>
    <x v="1"/>
    <x v="5"/>
    <n v="7"/>
    <x v="0"/>
    <d v="2021-03-01T00:00:00"/>
    <n v="18638"/>
    <x v="15"/>
  </r>
  <r>
    <x v="1"/>
    <x v="5"/>
    <n v="7"/>
    <x v="0"/>
    <d v="2021-03-01T00:00:00"/>
    <n v="15418"/>
    <x v="16"/>
  </r>
  <r>
    <x v="1"/>
    <x v="5"/>
    <n v="7"/>
    <x v="0"/>
    <d v="2021-03-01T00:00:00"/>
    <n v="18839"/>
    <x v="17"/>
  </r>
  <r>
    <x v="1"/>
    <x v="5"/>
    <n v="7"/>
    <x v="0"/>
    <d v="2021-03-01T00:00:00"/>
    <n v="20509"/>
    <x v="18"/>
  </r>
  <r>
    <x v="1"/>
    <x v="5"/>
    <n v="7"/>
    <x v="0"/>
    <d v="2021-03-01T00:00:00"/>
    <n v="19451"/>
    <x v="19"/>
  </r>
  <r>
    <x v="1"/>
    <x v="5"/>
    <n v="7"/>
    <x v="0"/>
    <d v="2021-03-01T00:00:00"/>
    <n v="20539"/>
    <x v="20"/>
  </r>
  <r>
    <x v="1"/>
    <x v="5"/>
    <n v="7"/>
    <x v="0"/>
    <d v="2021-03-01T00:00:00"/>
    <n v="21268"/>
    <x v="21"/>
  </r>
  <r>
    <x v="1"/>
    <x v="5"/>
    <n v="7"/>
    <x v="0"/>
    <d v="2021-03-01T00:00:00"/>
    <n v="21727"/>
    <x v="22"/>
  </r>
  <r>
    <x v="1"/>
    <x v="5"/>
    <n v="7"/>
    <x v="0"/>
    <d v="2021-03-01T00:00:00"/>
    <n v="20679"/>
    <x v="23"/>
  </r>
  <r>
    <x v="1"/>
    <x v="5"/>
    <n v="7"/>
    <x v="0"/>
    <d v="2021-03-01T00:00:00"/>
    <n v="22083"/>
    <x v="24"/>
  </r>
  <r>
    <x v="1"/>
    <x v="5"/>
    <n v="7"/>
    <x v="0"/>
    <d v="2021-03-01T00:00:00"/>
    <n v="235351"/>
    <x v="12"/>
  </r>
  <r>
    <x v="1"/>
    <x v="5"/>
    <n v="8"/>
    <x v="1"/>
    <d v="2021-03-01T00:00:00"/>
    <n v="0"/>
    <x v="13"/>
  </r>
  <r>
    <x v="1"/>
    <x v="5"/>
    <n v="8"/>
    <x v="1"/>
    <d v="2021-03-01T00:00:00"/>
    <n v="0"/>
    <x v="14"/>
  </r>
  <r>
    <x v="1"/>
    <x v="5"/>
    <n v="8"/>
    <x v="1"/>
    <d v="2021-03-01T00:00:00"/>
    <n v="0"/>
    <x v="15"/>
  </r>
  <r>
    <x v="1"/>
    <x v="5"/>
    <n v="8"/>
    <x v="1"/>
    <d v="2021-03-01T00:00:00"/>
    <n v="0"/>
    <x v="16"/>
  </r>
  <r>
    <x v="1"/>
    <x v="5"/>
    <n v="8"/>
    <x v="1"/>
    <d v="2021-03-01T00:00:00"/>
    <n v="0"/>
    <x v="17"/>
  </r>
  <r>
    <x v="1"/>
    <x v="5"/>
    <n v="8"/>
    <x v="1"/>
    <d v="2021-03-01T00:00:00"/>
    <n v="0"/>
    <x v="18"/>
  </r>
  <r>
    <x v="1"/>
    <x v="5"/>
    <n v="8"/>
    <x v="1"/>
    <d v="2021-03-01T00:00:00"/>
    <n v="0"/>
    <x v="19"/>
  </r>
  <r>
    <x v="1"/>
    <x v="5"/>
    <n v="8"/>
    <x v="1"/>
    <d v="2021-03-01T00:00:00"/>
    <n v="0"/>
    <x v="20"/>
  </r>
  <r>
    <x v="1"/>
    <x v="5"/>
    <n v="8"/>
    <x v="1"/>
    <d v="2021-03-01T00:00:00"/>
    <n v="0"/>
    <x v="21"/>
  </r>
  <r>
    <x v="1"/>
    <x v="5"/>
    <n v="8"/>
    <x v="1"/>
    <d v="2021-03-01T00:00:00"/>
    <n v="0"/>
    <x v="22"/>
  </r>
  <r>
    <x v="1"/>
    <x v="5"/>
    <n v="8"/>
    <x v="1"/>
    <d v="2021-03-01T00:00:00"/>
    <n v="0"/>
    <x v="23"/>
  </r>
  <r>
    <x v="1"/>
    <x v="5"/>
    <n v="8"/>
    <x v="1"/>
    <d v="2021-03-01T00:00:00"/>
    <n v="0"/>
    <x v="24"/>
  </r>
  <r>
    <x v="1"/>
    <x v="5"/>
    <n v="8"/>
    <x v="1"/>
    <d v="2021-03-01T00:00:00"/>
    <n v="0"/>
    <x v="12"/>
  </r>
  <r>
    <x v="1"/>
    <x v="5"/>
    <n v="9"/>
    <x v="2"/>
    <d v="2021-03-01T00:00:00"/>
    <n v="0"/>
    <x v="13"/>
  </r>
  <r>
    <x v="1"/>
    <x v="5"/>
    <n v="9"/>
    <x v="2"/>
    <d v="2021-03-01T00:00:00"/>
    <n v="0"/>
    <x v="14"/>
  </r>
  <r>
    <x v="1"/>
    <x v="5"/>
    <n v="9"/>
    <x v="2"/>
    <d v="2021-03-01T00:00:00"/>
    <n v="0"/>
    <x v="15"/>
  </r>
  <r>
    <x v="1"/>
    <x v="5"/>
    <n v="9"/>
    <x v="2"/>
    <d v="2021-03-01T00:00:00"/>
    <n v="0"/>
    <x v="16"/>
  </r>
  <r>
    <x v="1"/>
    <x v="5"/>
    <n v="9"/>
    <x v="2"/>
    <d v="2021-03-01T00:00:00"/>
    <n v="0"/>
    <x v="17"/>
  </r>
  <r>
    <x v="1"/>
    <x v="5"/>
    <n v="9"/>
    <x v="2"/>
    <d v="2021-03-01T00:00:00"/>
    <n v="0"/>
    <x v="18"/>
  </r>
  <r>
    <x v="1"/>
    <x v="5"/>
    <n v="9"/>
    <x v="2"/>
    <d v="2021-03-01T00:00:00"/>
    <n v="0"/>
    <x v="19"/>
  </r>
  <r>
    <x v="1"/>
    <x v="5"/>
    <n v="9"/>
    <x v="2"/>
    <d v="2021-03-01T00:00:00"/>
    <n v="0"/>
    <x v="20"/>
  </r>
  <r>
    <x v="1"/>
    <x v="5"/>
    <n v="9"/>
    <x v="2"/>
    <d v="2021-03-01T00:00:00"/>
    <n v="0"/>
    <x v="21"/>
  </r>
  <r>
    <x v="1"/>
    <x v="5"/>
    <n v="9"/>
    <x v="2"/>
    <d v="2021-03-01T00:00:00"/>
    <n v="0"/>
    <x v="22"/>
  </r>
  <r>
    <x v="1"/>
    <x v="5"/>
    <n v="9"/>
    <x v="2"/>
    <d v="2021-03-01T00:00:00"/>
    <n v="0"/>
    <x v="23"/>
  </r>
  <r>
    <x v="1"/>
    <x v="5"/>
    <n v="9"/>
    <x v="2"/>
    <d v="2021-03-01T00:00:00"/>
    <n v="0"/>
    <x v="24"/>
  </r>
  <r>
    <x v="1"/>
    <x v="5"/>
    <n v="9"/>
    <x v="2"/>
    <d v="2021-03-01T00:00:00"/>
    <n v="0"/>
    <x v="12"/>
  </r>
  <r>
    <x v="1"/>
    <x v="5"/>
    <n v="10"/>
    <x v="3"/>
    <d v="2021-03-01T00:00:00"/>
    <n v="1268"/>
    <x v="13"/>
  </r>
  <r>
    <x v="1"/>
    <x v="5"/>
    <n v="10"/>
    <x v="3"/>
    <d v="2021-03-01T00:00:00"/>
    <n v="1260"/>
    <x v="14"/>
  </r>
  <r>
    <x v="1"/>
    <x v="5"/>
    <n v="10"/>
    <x v="3"/>
    <d v="2021-03-01T00:00:00"/>
    <n v="1267"/>
    <x v="15"/>
  </r>
  <r>
    <x v="1"/>
    <x v="5"/>
    <n v="10"/>
    <x v="3"/>
    <d v="2021-03-01T00:00:00"/>
    <n v="1265"/>
    <x v="16"/>
  </r>
  <r>
    <x v="1"/>
    <x v="5"/>
    <n v="10"/>
    <x v="3"/>
    <d v="2021-03-01T00:00:00"/>
    <n v="1278"/>
    <x v="17"/>
  </r>
  <r>
    <x v="1"/>
    <x v="5"/>
    <n v="10"/>
    <x v="3"/>
    <d v="2021-03-01T00:00:00"/>
    <n v="1276"/>
    <x v="18"/>
  </r>
  <r>
    <x v="1"/>
    <x v="5"/>
    <n v="10"/>
    <x v="3"/>
    <d v="2021-03-01T00:00:00"/>
    <n v="1351"/>
    <x v="19"/>
  </r>
  <r>
    <x v="1"/>
    <x v="5"/>
    <n v="10"/>
    <x v="3"/>
    <d v="2021-03-01T00:00:00"/>
    <n v="1342"/>
    <x v="20"/>
  </r>
  <r>
    <x v="1"/>
    <x v="5"/>
    <n v="10"/>
    <x v="3"/>
    <d v="2021-03-01T00:00:00"/>
    <n v="1397"/>
    <x v="21"/>
  </r>
  <r>
    <x v="1"/>
    <x v="5"/>
    <n v="10"/>
    <x v="3"/>
    <d v="2021-03-01T00:00:00"/>
    <n v="1503"/>
    <x v="22"/>
  </r>
  <r>
    <x v="1"/>
    <x v="5"/>
    <n v="10"/>
    <x v="3"/>
    <d v="2021-03-01T00:00:00"/>
    <n v="1462"/>
    <x v="23"/>
  </r>
  <r>
    <x v="1"/>
    <x v="5"/>
    <n v="10"/>
    <x v="3"/>
    <d v="2021-03-01T00:00:00"/>
    <n v="2411"/>
    <x v="24"/>
  </r>
  <r>
    <x v="1"/>
    <x v="5"/>
    <n v="10"/>
    <x v="3"/>
    <d v="2021-03-01T00:00:00"/>
    <n v="17080"/>
    <x v="12"/>
  </r>
  <r>
    <x v="1"/>
    <x v="5"/>
    <n v="11"/>
    <x v="4"/>
    <d v="2021-03-01T00:00:00"/>
    <n v="1149"/>
    <x v="13"/>
  </r>
  <r>
    <x v="1"/>
    <x v="5"/>
    <n v="11"/>
    <x v="4"/>
    <d v="2021-03-01T00:00:00"/>
    <n v="1121"/>
    <x v="14"/>
  </r>
  <r>
    <x v="1"/>
    <x v="5"/>
    <n v="11"/>
    <x v="4"/>
    <d v="2021-03-01T00:00:00"/>
    <n v="1189"/>
    <x v="15"/>
  </r>
  <r>
    <x v="1"/>
    <x v="5"/>
    <n v="11"/>
    <x v="4"/>
    <d v="2021-03-01T00:00:00"/>
    <n v="-226"/>
    <x v="16"/>
  </r>
  <r>
    <x v="1"/>
    <x v="5"/>
    <n v="11"/>
    <x v="4"/>
    <d v="2021-03-01T00:00:00"/>
    <n v="703"/>
    <x v="17"/>
  </r>
  <r>
    <x v="1"/>
    <x v="5"/>
    <n v="11"/>
    <x v="4"/>
    <d v="2021-03-01T00:00:00"/>
    <n v="1197"/>
    <x v="18"/>
  </r>
  <r>
    <x v="1"/>
    <x v="5"/>
    <n v="11"/>
    <x v="4"/>
    <d v="2021-03-01T00:00:00"/>
    <n v="1058"/>
    <x v="19"/>
  </r>
  <r>
    <x v="1"/>
    <x v="5"/>
    <n v="11"/>
    <x v="4"/>
    <d v="2021-03-01T00:00:00"/>
    <n v="1065"/>
    <x v="20"/>
  </r>
  <r>
    <x v="1"/>
    <x v="5"/>
    <n v="11"/>
    <x v="4"/>
    <d v="2021-03-01T00:00:00"/>
    <n v="1428"/>
    <x v="21"/>
  </r>
  <r>
    <x v="1"/>
    <x v="5"/>
    <n v="11"/>
    <x v="4"/>
    <d v="2021-03-01T00:00:00"/>
    <n v="1516"/>
    <x v="22"/>
  </r>
  <r>
    <x v="1"/>
    <x v="5"/>
    <n v="11"/>
    <x v="4"/>
    <d v="2021-03-01T00:00:00"/>
    <n v="1156"/>
    <x v="23"/>
  </r>
  <r>
    <x v="1"/>
    <x v="5"/>
    <n v="11"/>
    <x v="4"/>
    <d v="2021-03-01T00:00:00"/>
    <n v="1677"/>
    <x v="24"/>
  </r>
  <r>
    <x v="1"/>
    <x v="5"/>
    <n v="11"/>
    <x v="4"/>
    <d v="2021-03-01T00:00:00"/>
    <n v="13033"/>
    <x v="12"/>
  </r>
  <r>
    <x v="1"/>
    <x v="5"/>
    <n v="12"/>
    <x v="5"/>
    <d v="2021-03-01T00:00:00"/>
    <n v="0"/>
    <x v="13"/>
  </r>
  <r>
    <x v="1"/>
    <x v="5"/>
    <n v="12"/>
    <x v="5"/>
    <d v="2021-03-01T00:00:00"/>
    <n v="0"/>
    <x v="14"/>
  </r>
  <r>
    <x v="1"/>
    <x v="5"/>
    <n v="12"/>
    <x v="5"/>
    <d v="2021-03-01T00:00:00"/>
    <n v="0"/>
    <x v="15"/>
  </r>
  <r>
    <x v="1"/>
    <x v="5"/>
    <n v="12"/>
    <x v="5"/>
    <d v="2021-03-01T00:00:00"/>
    <n v="0"/>
    <x v="16"/>
  </r>
  <r>
    <x v="1"/>
    <x v="5"/>
    <n v="12"/>
    <x v="5"/>
    <d v="2021-03-01T00:00:00"/>
    <n v="0"/>
    <x v="17"/>
  </r>
  <r>
    <x v="1"/>
    <x v="5"/>
    <n v="12"/>
    <x v="5"/>
    <d v="2021-03-01T00:00:00"/>
    <n v="0"/>
    <x v="18"/>
  </r>
  <r>
    <x v="1"/>
    <x v="5"/>
    <n v="12"/>
    <x v="5"/>
    <d v="2021-03-01T00:00:00"/>
    <n v="0"/>
    <x v="19"/>
  </r>
  <r>
    <x v="1"/>
    <x v="5"/>
    <n v="12"/>
    <x v="5"/>
    <d v="2021-03-01T00:00:00"/>
    <n v="0"/>
    <x v="20"/>
  </r>
  <r>
    <x v="1"/>
    <x v="5"/>
    <n v="12"/>
    <x v="5"/>
    <d v="2021-03-01T00:00:00"/>
    <n v="0"/>
    <x v="21"/>
  </r>
  <r>
    <x v="1"/>
    <x v="5"/>
    <n v="12"/>
    <x v="5"/>
    <d v="2021-03-01T00:00:00"/>
    <n v="0"/>
    <x v="22"/>
  </r>
  <r>
    <x v="1"/>
    <x v="5"/>
    <n v="12"/>
    <x v="5"/>
    <d v="2021-03-01T00:00:00"/>
    <n v="0"/>
    <x v="23"/>
  </r>
  <r>
    <x v="1"/>
    <x v="5"/>
    <n v="12"/>
    <x v="5"/>
    <d v="2021-03-01T00:00:00"/>
    <n v="0"/>
    <x v="24"/>
  </r>
  <r>
    <x v="1"/>
    <x v="5"/>
    <n v="12"/>
    <x v="5"/>
    <d v="2021-03-01T00:00:00"/>
    <n v="0"/>
    <x v="12"/>
  </r>
  <r>
    <x v="1"/>
    <x v="5"/>
    <n v="13"/>
    <x v="6"/>
    <d v="2021-03-01T00:00:00"/>
    <n v="0"/>
    <x v="13"/>
  </r>
  <r>
    <x v="1"/>
    <x v="5"/>
    <n v="13"/>
    <x v="6"/>
    <d v="2021-03-01T00:00:00"/>
    <n v="0"/>
    <x v="14"/>
  </r>
  <r>
    <x v="1"/>
    <x v="5"/>
    <n v="13"/>
    <x v="6"/>
    <d v="2021-03-01T00:00:00"/>
    <n v="0"/>
    <x v="15"/>
  </r>
  <r>
    <x v="1"/>
    <x v="5"/>
    <n v="13"/>
    <x v="6"/>
    <d v="2021-03-01T00:00:00"/>
    <n v="0"/>
    <x v="16"/>
  </r>
  <r>
    <x v="1"/>
    <x v="5"/>
    <n v="13"/>
    <x v="6"/>
    <d v="2021-03-01T00:00:00"/>
    <n v="0"/>
    <x v="17"/>
  </r>
  <r>
    <x v="1"/>
    <x v="5"/>
    <n v="13"/>
    <x v="6"/>
    <d v="2021-03-01T00:00:00"/>
    <n v="0"/>
    <x v="18"/>
  </r>
  <r>
    <x v="1"/>
    <x v="5"/>
    <n v="13"/>
    <x v="6"/>
    <d v="2021-03-01T00:00:00"/>
    <n v="0"/>
    <x v="19"/>
  </r>
  <r>
    <x v="1"/>
    <x v="5"/>
    <n v="13"/>
    <x v="6"/>
    <d v="2021-03-01T00:00:00"/>
    <n v="0"/>
    <x v="20"/>
  </r>
  <r>
    <x v="1"/>
    <x v="5"/>
    <n v="13"/>
    <x v="6"/>
    <d v="2021-03-01T00:00:00"/>
    <n v="0"/>
    <x v="21"/>
  </r>
  <r>
    <x v="1"/>
    <x v="5"/>
    <n v="13"/>
    <x v="6"/>
    <d v="2021-03-01T00:00:00"/>
    <n v="0"/>
    <x v="22"/>
  </r>
  <r>
    <x v="1"/>
    <x v="5"/>
    <n v="13"/>
    <x v="6"/>
    <d v="2021-03-01T00:00:00"/>
    <n v="0"/>
    <x v="23"/>
  </r>
  <r>
    <x v="1"/>
    <x v="5"/>
    <n v="13"/>
    <x v="6"/>
    <d v="2021-03-01T00:00:00"/>
    <n v="0"/>
    <x v="24"/>
  </r>
  <r>
    <x v="1"/>
    <x v="5"/>
    <n v="13"/>
    <x v="6"/>
    <d v="2021-03-01T00:00:00"/>
    <n v="0"/>
    <x v="12"/>
  </r>
  <r>
    <x v="1"/>
    <x v="5"/>
    <n v="14"/>
    <x v="7"/>
    <d v="2021-03-01T00:00:00"/>
    <n v="0"/>
    <x v="13"/>
  </r>
  <r>
    <x v="1"/>
    <x v="5"/>
    <n v="14"/>
    <x v="7"/>
    <d v="2021-03-01T00:00:00"/>
    <n v="0"/>
    <x v="14"/>
  </r>
  <r>
    <x v="1"/>
    <x v="5"/>
    <n v="14"/>
    <x v="7"/>
    <d v="2021-03-01T00:00:00"/>
    <n v="0"/>
    <x v="15"/>
  </r>
  <r>
    <x v="1"/>
    <x v="5"/>
    <n v="14"/>
    <x v="7"/>
    <d v="2021-03-01T00:00:00"/>
    <n v="0"/>
    <x v="16"/>
  </r>
  <r>
    <x v="1"/>
    <x v="5"/>
    <n v="14"/>
    <x v="7"/>
    <d v="2021-03-01T00:00:00"/>
    <n v="0"/>
    <x v="17"/>
  </r>
  <r>
    <x v="1"/>
    <x v="5"/>
    <n v="14"/>
    <x v="7"/>
    <d v="2021-03-01T00:00:00"/>
    <n v="0"/>
    <x v="18"/>
  </r>
  <r>
    <x v="1"/>
    <x v="5"/>
    <n v="14"/>
    <x v="7"/>
    <d v="2021-03-01T00:00:00"/>
    <n v="0"/>
    <x v="19"/>
  </r>
  <r>
    <x v="1"/>
    <x v="5"/>
    <n v="14"/>
    <x v="7"/>
    <d v="2021-03-01T00:00:00"/>
    <n v="0"/>
    <x v="20"/>
  </r>
  <r>
    <x v="1"/>
    <x v="5"/>
    <n v="14"/>
    <x v="7"/>
    <d v="2021-03-01T00:00:00"/>
    <n v="0"/>
    <x v="21"/>
  </r>
  <r>
    <x v="1"/>
    <x v="5"/>
    <n v="14"/>
    <x v="7"/>
    <d v="2021-03-01T00:00:00"/>
    <n v="0"/>
    <x v="22"/>
  </r>
  <r>
    <x v="1"/>
    <x v="5"/>
    <n v="14"/>
    <x v="7"/>
    <d v="2021-03-01T00:00:00"/>
    <n v="0"/>
    <x v="23"/>
  </r>
  <r>
    <x v="1"/>
    <x v="5"/>
    <n v="14"/>
    <x v="7"/>
    <d v="2021-03-01T00:00:00"/>
    <n v="0"/>
    <x v="24"/>
  </r>
  <r>
    <x v="1"/>
    <x v="5"/>
    <n v="14"/>
    <x v="7"/>
    <d v="2021-03-01T00:00:00"/>
    <n v="0"/>
    <x v="12"/>
  </r>
  <r>
    <x v="1"/>
    <x v="5"/>
    <n v="15"/>
    <x v="8"/>
    <d v="2021-03-01T00:00:00"/>
    <n v="0"/>
    <x v="13"/>
  </r>
  <r>
    <x v="1"/>
    <x v="5"/>
    <n v="15"/>
    <x v="8"/>
    <d v="2021-03-01T00:00:00"/>
    <n v="0"/>
    <x v="14"/>
  </r>
  <r>
    <x v="1"/>
    <x v="5"/>
    <n v="15"/>
    <x v="8"/>
    <d v="2021-03-01T00:00:00"/>
    <n v="0"/>
    <x v="15"/>
  </r>
  <r>
    <x v="1"/>
    <x v="5"/>
    <n v="15"/>
    <x v="8"/>
    <d v="2021-03-01T00:00:00"/>
    <n v="0"/>
    <x v="16"/>
  </r>
  <r>
    <x v="1"/>
    <x v="5"/>
    <n v="15"/>
    <x v="8"/>
    <d v="2021-03-01T00:00:00"/>
    <n v="0"/>
    <x v="17"/>
  </r>
  <r>
    <x v="1"/>
    <x v="5"/>
    <n v="15"/>
    <x v="8"/>
    <d v="2021-03-01T00:00:00"/>
    <n v="0"/>
    <x v="18"/>
  </r>
  <r>
    <x v="1"/>
    <x v="5"/>
    <n v="15"/>
    <x v="8"/>
    <d v="2021-03-01T00:00:00"/>
    <n v="0"/>
    <x v="19"/>
  </r>
  <r>
    <x v="1"/>
    <x v="5"/>
    <n v="15"/>
    <x v="8"/>
    <d v="2021-03-01T00:00:00"/>
    <n v="0"/>
    <x v="20"/>
  </r>
  <r>
    <x v="1"/>
    <x v="5"/>
    <n v="15"/>
    <x v="8"/>
    <d v="2021-03-01T00:00:00"/>
    <n v="0"/>
    <x v="21"/>
  </r>
  <r>
    <x v="1"/>
    <x v="5"/>
    <n v="15"/>
    <x v="8"/>
    <d v="2021-03-01T00:00:00"/>
    <n v="0"/>
    <x v="22"/>
  </r>
  <r>
    <x v="1"/>
    <x v="5"/>
    <n v="15"/>
    <x v="8"/>
    <d v="2021-03-01T00:00:00"/>
    <n v="0"/>
    <x v="23"/>
  </r>
  <r>
    <x v="1"/>
    <x v="5"/>
    <n v="15"/>
    <x v="8"/>
    <d v="2021-03-01T00:00:00"/>
    <n v="0"/>
    <x v="24"/>
  </r>
  <r>
    <x v="1"/>
    <x v="5"/>
    <n v="15"/>
    <x v="8"/>
    <d v="2021-03-01T00:00:00"/>
    <n v="0"/>
    <x v="12"/>
  </r>
  <r>
    <x v="1"/>
    <x v="6"/>
    <n v="7"/>
    <x v="0"/>
    <d v="2021-03-01T00:00:00"/>
    <n v="8321"/>
    <x v="13"/>
  </r>
  <r>
    <x v="1"/>
    <x v="6"/>
    <n v="7"/>
    <x v="0"/>
    <d v="2021-03-01T00:00:00"/>
    <n v="6933"/>
    <x v="14"/>
  </r>
  <r>
    <x v="1"/>
    <x v="6"/>
    <n v="7"/>
    <x v="0"/>
    <d v="2021-03-01T00:00:00"/>
    <n v="7115"/>
    <x v="15"/>
  </r>
  <r>
    <x v="1"/>
    <x v="6"/>
    <n v="7"/>
    <x v="0"/>
    <d v="2021-03-01T00:00:00"/>
    <n v="7078"/>
    <x v="16"/>
  </r>
  <r>
    <x v="1"/>
    <x v="6"/>
    <n v="7"/>
    <x v="0"/>
    <d v="2021-03-01T00:00:00"/>
    <n v="7257"/>
    <x v="17"/>
  </r>
  <r>
    <x v="1"/>
    <x v="6"/>
    <n v="7"/>
    <x v="0"/>
    <d v="2021-03-01T00:00:00"/>
    <n v="9309"/>
    <x v="18"/>
  </r>
  <r>
    <x v="1"/>
    <x v="6"/>
    <n v="7"/>
    <x v="0"/>
    <d v="2021-03-01T00:00:00"/>
    <n v="8048"/>
    <x v="19"/>
  </r>
  <r>
    <x v="1"/>
    <x v="6"/>
    <n v="7"/>
    <x v="0"/>
    <d v="2021-03-01T00:00:00"/>
    <n v="7617"/>
    <x v="20"/>
  </r>
  <r>
    <x v="1"/>
    <x v="6"/>
    <n v="7"/>
    <x v="0"/>
    <d v="2021-03-01T00:00:00"/>
    <n v="7519"/>
    <x v="21"/>
  </r>
  <r>
    <x v="1"/>
    <x v="6"/>
    <n v="7"/>
    <x v="0"/>
    <d v="2021-03-01T00:00:00"/>
    <n v="7632"/>
    <x v="22"/>
  </r>
  <r>
    <x v="1"/>
    <x v="6"/>
    <n v="7"/>
    <x v="0"/>
    <d v="2021-03-01T00:00:00"/>
    <n v="7852"/>
    <x v="23"/>
  </r>
  <r>
    <x v="1"/>
    <x v="6"/>
    <n v="7"/>
    <x v="0"/>
    <d v="2021-03-01T00:00:00"/>
    <n v="18940"/>
    <x v="24"/>
  </r>
  <r>
    <x v="1"/>
    <x v="6"/>
    <n v="7"/>
    <x v="0"/>
    <d v="2021-03-01T00:00:00"/>
    <n v="103621"/>
    <x v="12"/>
  </r>
  <r>
    <x v="1"/>
    <x v="6"/>
    <n v="8"/>
    <x v="1"/>
    <d v="2021-03-01T00:00:00"/>
    <n v="0"/>
    <x v="13"/>
  </r>
  <r>
    <x v="1"/>
    <x v="6"/>
    <n v="8"/>
    <x v="1"/>
    <d v="2021-03-01T00:00:00"/>
    <n v="0"/>
    <x v="14"/>
  </r>
  <r>
    <x v="1"/>
    <x v="6"/>
    <n v="8"/>
    <x v="1"/>
    <d v="2021-03-01T00:00:00"/>
    <n v="0"/>
    <x v="15"/>
  </r>
  <r>
    <x v="1"/>
    <x v="6"/>
    <n v="8"/>
    <x v="1"/>
    <d v="2021-03-01T00:00:00"/>
    <n v="0"/>
    <x v="16"/>
  </r>
  <r>
    <x v="1"/>
    <x v="6"/>
    <n v="8"/>
    <x v="1"/>
    <d v="2021-03-01T00:00:00"/>
    <n v="0"/>
    <x v="17"/>
  </r>
  <r>
    <x v="1"/>
    <x v="6"/>
    <n v="8"/>
    <x v="1"/>
    <d v="2021-03-01T00:00:00"/>
    <n v="0"/>
    <x v="18"/>
  </r>
  <r>
    <x v="1"/>
    <x v="6"/>
    <n v="8"/>
    <x v="1"/>
    <d v="2021-03-01T00:00:00"/>
    <n v="0"/>
    <x v="19"/>
  </r>
  <r>
    <x v="1"/>
    <x v="6"/>
    <n v="8"/>
    <x v="1"/>
    <d v="2021-03-01T00:00:00"/>
    <n v="0"/>
    <x v="20"/>
  </r>
  <r>
    <x v="1"/>
    <x v="6"/>
    <n v="8"/>
    <x v="1"/>
    <d v="2021-03-01T00:00:00"/>
    <n v="0"/>
    <x v="21"/>
  </r>
  <r>
    <x v="1"/>
    <x v="6"/>
    <n v="8"/>
    <x v="1"/>
    <d v="2021-03-01T00:00:00"/>
    <n v="0"/>
    <x v="22"/>
  </r>
  <r>
    <x v="1"/>
    <x v="6"/>
    <n v="8"/>
    <x v="1"/>
    <d v="2021-03-01T00:00:00"/>
    <n v="0"/>
    <x v="23"/>
  </r>
  <r>
    <x v="1"/>
    <x v="6"/>
    <n v="8"/>
    <x v="1"/>
    <d v="2021-03-01T00:00:00"/>
    <n v="0"/>
    <x v="24"/>
  </r>
  <r>
    <x v="1"/>
    <x v="6"/>
    <n v="8"/>
    <x v="1"/>
    <d v="2021-03-01T00:00:00"/>
    <n v="0"/>
    <x v="12"/>
  </r>
  <r>
    <x v="1"/>
    <x v="6"/>
    <n v="9"/>
    <x v="2"/>
    <d v="2021-03-01T00:00:00"/>
    <n v="0"/>
    <x v="13"/>
  </r>
  <r>
    <x v="1"/>
    <x v="6"/>
    <n v="9"/>
    <x v="2"/>
    <d v="2021-03-01T00:00:00"/>
    <n v="0"/>
    <x v="14"/>
  </r>
  <r>
    <x v="1"/>
    <x v="6"/>
    <n v="9"/>
    <x v="2"/>
    <d v="2021-03-01T00:00:00"/>
    <n v="0"/>
    <x v="15"/>
  </r>
  <r>
    <x v="1"/>
    <x v="6"/>
    <n v="9"/>
    <x v="2"/>
    <d v="2021-03-01T00:00:00"/>
    <n v="0"/>
    <x v="16"/>
  </r>
  <r>
    <x v="1"/>
    <x v="6"/>
    <n v="9"/>
    <x v="2"/>
    <d v="2021-03-01T00:00:00"/>
    <n v="0"/>
    <x v="17"/>
  </r>
  <r>
    <x v="1"/>
    <x v="6"/>
    <n v="9"/>
    <x v="2"/>
    <d v="2021-03-01T00:00:00"/>
    <n v="0"/>
    <x v="18"/>
  </r>
  <r>
    <x v="1"/>
    <x v="6"/>
    <n v="9"/>
    <x v="2"/>
    <d v="2021-03-01T00:00:00"/>
    <n v="0"/>
    <x v="19"/>
  </r>
  <r>
    <x v="1"/>
    <x v="6"/>
    <n v="9"/>
    <x v="2"/>
    <d v="2021-03-01T00:00:00"/>
    <n v="0"/>
    <x v="20"/>
  </r>
  <r>
    <x v="1"/>
    <x v="6"/>
    <n v="9"/>
    <x v="2"/>
    <d v="2021-03-01T00:00:00"/>
    <n v="0"/>
    <x v="21"/>
  </r>
  <r>
    <x v="1"/>
    <x v="6"/>
    <n v="9"/>
    <x v="2"/>
    <d v="2021-03-01T00:00:00"/>
    <n v="0"/>
    <x v="22"/>
  </r>
  <r>
    <x v="1"/>
    <x v="6"/>
    <n v="9"/>
    <x v="2"/>
    <d v="2021-03-01T00:00:00"/>
    <n v="0"/>
    <x v="23"/>
  </r>
  <r>
    <x v="1"/>
    <x v="6"/>
    <n v="9"/>
    <x v="2"/>
    <d v="2021-03-01T00:00:00"/>
    <n v="0"/>
    <x v="24"/>
  </r>
  <r>
    <x v="1"/>
    <x v="6"/>
    <n v="9"/>
    <x v="2"/>
    <d v="2021-03-01T00:00:00"/>
    <n v="0"/>
    <x v="12"/>
  </r>
  <r>
    <x v="1"/>
    <x v="6"/>
    <n v="10"/>
    <x v="3"/>
    <d v="2021-03-01T00:00:00"/>
    <n v="2829"/>
    <x v="13"/>
  </r>
  <r>
    <x v="1"/>
    <x v="6"/>
    <n v="10"/>
    <x v="3"/>
    <d v="2021-03-01T00:00:00"/>
    <n v="2843"/>
    <x v="14"/>
  </r>
  <r>
    <x v="1"/>
    <x v="6"/>
    <n v="10"/>
    <x v="3"/>
    <d v="2021-03-01T00:00:00"/>
    <n v="2826"/>
    <x v="15"/>
  </r>
  <r>
    <x v="1"/>
    <x v="6"/>
    <n v="10"/>
    <x v="3"/>
    <d v="2021-03-01T00:00:00"/>
    <n v="2907"/>
    <x v="16"/>
  </r>
  <r>
    <x v="1"/>
    <x v="6"/>
    <n v="10"/>
    <x v="3"/>
    <d v="2021-03-01T00:00:00"/>
    <n v="2883"/>
    <x v="17"/>
  </r>
  <r>
    <x v="1"/>
    <x v="6"/>
    <n v="10"/>
    <x v="3"/>
    <d v="2021-03-01T00:00:00"/>
    <n v="2859"/>
    <x v="18"/>
  </r>
  <r>
    <x v="1"/>
    <x v="6"/>
    <n v="10"/>
    <x v="3"/>
    <d v="2021-03-01T00:00:00"/>
    <n v="2850"/>
    <x v="19"/>
  </r>
  <r>
    <x v="1"/>
    <x v="6"/>
    <n v="10"/>
    <x v="3"/>
    <d v="2021-03-01T00:00:00"/>
    <n v="2858"/>
    <x v="20"/>
  </r>
  <r>
    <x v="1"/>
    <x v="6"/>
    <n v="10"/>
    <x v="3"/>
    <d v="2021-03-01T00:00:00"/>
    <n v="2932"/>
    <x v="21"/>
  </r>
  <r>
    <x v="1"/>
    <x v="6"/>
    <n v="10"/>
    <x v="3"/>
    <d v="2021-03-01T00:00:00"/>
    <n v="2954"/>
    <x v="22"/>
  </r>
  <r>
    <x v="1"/>
    <x v="6"/>
    <n v="10"/>
    <x v="3"/>
    <d v="2021-03-01T00:00:00"/>
    <n v="3007"/>
    <x v="23"/>
  </r>
  <r>
    <x v="1"/>
    <x v="6"/>
    <n v="10"/>
    <x v="3"/>
    <d v="2021-03-01T00:00:00"/>
    <n v="4257"/>
    <x v="24"/>
  </r>
  <r>
    <x v="1"/>
    <x v="6"/>
    <n v="10"/>
    <x v="3"/>
    <d v="2021-03-01T00:00:00"/>
    <n v="36005"/>
    <x v="12"/>
  </r>
  <r>
    <x v="1"/>
    <x v="6"/>
    <n v="11"/>
    <x v="4"/>
    <d v="2021-03-01T00:00:00"/>
    <n v="4587"/>
    <x v="13"/>
  </r>
  <r>
    <x v="1"/>
    <x v="6"/>
    <n v="11"/>
    <x v="4"/>
    <d v="2021-03-01T00:00:00"/>
    <n v="3204"/>
    <x v="14"/>
  </r>
  <r>
    <x v="1"/>
    <x v="6"/>
    <n v="11"/>
    <x v="4"/>
    <d v="2021-03-01T00:00:00"/>
    <n v="3412"/>
    <x v="15"/>
  </r>
  <r>
    <x v="1"/>
    <x v="6"/>
    <n v="11"/>
    <x v="4"/>
    <d v="2021-03-01T00:00:00"/>
    <n v="3306"/>
    <x v="16"/>
  </r>
  <r>
    <x v="1"/>
    <x v="6"/>
    <n v="11"/>
    <x v="4"/>
    <d v="2021-03-01T00:00:00"/>
    <n v="3579"/>
    <x v="17"/>
  </r>
  <r>
    <x v="1"/>
    <x v="6"/>
    <n v="11"/>
    <x v="4"/>
    <d v="2021-03-01T00:00:00"/>
    <n v="5806"/>
    <x v="18"/>
  </r>
  <r>
    <x v="1"/>
    <x v="6"/>
    <n v="11"/>
    <x v="4"/>
    <d v="2021-03-01T00:00:00"/>
    <n v="4427"/>
    <x v="19"/>
  </r>
  <r>
    <x v="1"/>
    <x v="6"/>
    <n v="11"/>
    <x v="4"/>
    <d v="2021-03-01T00:00:00"/>
    <n v="4027"/>
    <x v="20"/>
  </r>
  <r>
    <x v="1"/>
    <x v="6"/>
    <n v="11"/>
    <x v="4"/>
    <d v="2021-03-01T00:00:00"/>
    <n v="3769"/>
    <x v="21"/>
  </r>
  <r>
    <x v="1"/>
    <x v="6"/>
    <n v="11"/>
    <x v="4"/>
    <d v="2021-03-01T00:00:00"/>
    <n v="3951"/>
    <x v="22"/>
  </r>
  <r>
    <x v="1"/>
    <x v="6"/>
    <n v="11"/>
    <x v="4"/>
    <d v="2021-03-01T00:00:00"/>
    <n v="3901"/>
    <x v="23"/>
  </r>
  <r>
    <x v="1"/>
    <x v="6"/>
    <n v="11"/>
    <x v="4"/>
    <d v="2021-03-01T00:00:00"/>
    <n v="14281"/>
    <x v="24"/>
  </r>
  <r>
    <x v="1"/>
    <x v="6"/>
    <n v="11"/>
    <x v="4"/>
    <d v="2021-03-01T00:00:00"/>
    <n v="58250"/>
    <x v="12"/>
  </r>
  <r>
    <x v="1"/>
    <x v="6"/>
    <n v="12"/>
    <x v="5"/>
    <d v="2021-03-01T00:00:00"/>
    <n v="0"/>
    <x v="13"/>
  </r>
  <r>
    <x v="1"/>
    <x v="6"/>
    <n v="12"/>
    <x v="5"/>
    <d v="2021-03-01T00:00:00"/>
    <n v="0"/>
    <x v="14"/>
  </r>
  <r>
    <x v="1"/>
    <x v="6"/>
    <n v="12"/>
    <x v="5"/>
    <d v="2021-03-01T00:00:00"/>
    <n v="0"/>
    <x v="15"/>
  </r>
  <r>
    <x v="1"/>
    <x v="6"/>
    <n v="12"/>
    <x v="5"/>
    <d v="2021-03-01T00:00:00"/>
    <n v="0"/>
    <x v="16"/>
  </r>
  <r>
    <x v="1"/>
    <x v="6"/>
    <n v="12"/>
    <x v="5"/>
    <d v="2021-03-01T00:00:00"/>
    <n v="0"/>
    <x v="17"/>
  </r>
  <r>
    <x v="1"/>
    <x v="6"/>
    <n v="12"/>
    <x v="5"/>
    <d v="2021-03-01T00:00:00"/>
    <n v="0"/>
    <x v="18"/>
  </r>
  <r>
    <x v="1"/>
    <x v="6"/>
    <n v="12"/>
    <x v="5"/>
    <d v="2021-03-01T00:00:00"/>
    <n v="0"/>
    <x v="19"/>
  </r>
  <r>
    <x v="1"/>
    <x v="6"/>
    <n v="12"/>
    <x v="5"/>
    <d v="2021-03-01T00:00:00"/>
    <n v="0"/>
    <x v="20"/>
  </r>
  <r>
    <x v="1"/>
    <x v="6"/>
    <n v="12"/>
    <x v="5"/>
    <d v="2021-03-01T00:00:00"/>
    <n v="0"/>
    <x v="21"/>
  </r>
  <r>
    <x v="1"/>
    <x v="6"/>
    <n v="12"/>
    <x v="5"/>
    <d v="2021-03-01T00:00:00"/>
    <n v="0"/>
    <x v="22"/>
  </r>
  <r>
    <x v="1"/>
    <x v="6"/>
    <n v="12"/>
    <x v="5"/>
    <d v="2021-03-01T00:00:00"/>
    <n v="0"/>
    <x v="23"/>
  </r>
  <r>
    <x v="1"/>
    <x v="6"/>
    <n v="12"/>
    <x v="5"/>
    <d v="2021-03-01T00:00:00"/>
    <n v="0"/>
    <x v="24"/>
  </r>
  <r>
    <x v="1"/>
    <x v="6"/>
    <n v="12"/>
    <x v="5"/>
    <d v="2021-03-01T00:00:00"/>
    <n v="0"/>
    <x v="12"/>
  </r>
  <r>
    <x v="1"/>
    <x v="6"/>
    <n v="13"/>
    <x v="6"/>
    <d v="2021-03-01T00:00:00"/>
    <n v="0"/>
    <x v="13"/>
  </r>
  <r>
    <x v="1"/>
    <x v="6"/>
    <n v="13"/>
    <x v="6"/>
    <d v="2021-03-01T00:00:00"/>
    <n v="0"/>
    <x v="14"/>
  </r>
  <r>
    <x v="1"/>
    <x v="6"/>
    <n v="13"/>
    <x v="6"/>
    <d v="2021-03-01T00:00:00"/>
    <n v="0"/>
    <x v="15"/>
  </r>
  <r>
    <x v="1"/>
    <x v="6"/>
    <n v="13"/>
    <x v="6"/>
    <d v="2021-03-01T00:00:00"/>
    <n v="0"/>
    <x v="16"/>
  </r>
  <r>
    <x v="1"/>
    <x v="6"/>
    <n v="13"/>
    <x v="6"/>
    <d v="2021-03-01T00:00:00"/>
    <n v="0"/>
    <x v="17"/>
  </r>
  <r>
    <x v="1"/>
    <x v="6"/>
    <n v="13"/>
    <x v="6"/>
    <d v="2021-03-01T00:00:00"/>
    <n v="0"/>
    <x v="18"/>
  </r>
  <r>
    <x v="1"/>
    <x v="6"/>
    <n v="13"/>
    <x v="6"/>
    <d v="2021-03-01T00:00:00"/>
    <n v="0"/>
    <x v="19"/>
  </r>
  <r>
    <x v="1"/>
    <x v="6"/>
    <n v="13"/>
    <x v="6"/>
    <d v="2021-03-01T00:00:00"/>
    <n v="0"/>
    <x v="20"/>
  </r>
  <r>
    <x v="1"/>
    <x v="6"/>
    <n v="13"/>
    <x v="6"/>
    <d v="2021-03-01T00:00:00"/>
    <n v="0"/>
    <x v="21"/>
  </r>
  <r>
    <x v="1"/>
    <x v="6"/>
    <n v="13"/>
    <x v="6"/>
    <d v="2021-03-01T00:00:00"/>
    <n v="0"/>
    <x v="22"/>
  </r>
  <r>
    <x v="1"/>
    <x v="6"/>
    <n v="13"/>
    <x v="6"/>
    <d v="2021-03-01T00:00:00"/>
    <n v="0"/>
    <x v="23"/>
  </r>
  <r>
    <x v="1"/>
    <x v="6"/>
    <n v="13"/>
    <x v="6"/>
    <d v="2021-03-01T00:00:00"/>
    <n v="0"/>
    <x v="24"/>
  </r>
  <r>
    <x v="1"/>
    <x v="6"/>
    <n v="13"/>
    <x v="6"/>
    <d v="2021-03-01T00:00:00"/>
    <n v="0"/>
    <x v="12"/>
  </r>
  <r>
    <x v="1"/>
    <x v="6"/>
    <n v="14"/>
    <x v="7"/>
    <d v="2021-03-01T00:00:00"/>
    <n v="68"/>
    <x v="13"/>
  </r>
  <r>
    <x v="1"/>
    <x v="6"/>
    <n v="14"/>
    <x v="7"/>
    <d v="2021-03-01T00:00:00"/>
    <n v="68"/>
    <x v="14"/>
  </r>
  <r>
    <x v="1"/>
    <x v="6"/>
    <n v="14"/>
    <x v="7"/>
    <d v="2021-03-01T00:00:00"/>
    <n v="70"/>
    <x v="15"/>
  </r>
  <r>
    <x v="1"/>
    <x v="6"/>
    <n v="14"/>
    <x v="7"/>
    <d v="2021-03-01T00:00:00"/>
    <n v="70"/>
    <x v="16"/>
  </r>
  <r>
    <x v="1"/>
    <x v="6"/>
    <n v="14"/>
    <x v="7"/>
    <d v="2021-03-01T00:00:00"/>
    <n v="70"/>
    <x v="17"/>
  </r>
  <r>
    <x v="1"/>
    <x v="6"/>
    <n v="14"/>
    <x v="7"/>
    <d v="2021-03-01T00:00:00"/>
    <n v="75"/>
    <x v="18"/>
  </r>
  <r>
    <x v="1"/>
    <x v="6"/>
    <n v="14"/>
    <x v="7"/>
    <d v="2021-03-01T00:00:00"/>
    <n v="70"/>
    <x v="19"/>
  </r>
  <r>
    <x v="1"/>
    <x v="6"/>
    <n v="14"/>
    <x v="7"/>
    <d v="2021-03-01T00:00:00"/>
    <n v="70"/>
    <x v="20"/>
  </r>
  <r>
    <x v="1"/>
    <x v="6"/>
    <n v="14"/>
    <x v="7"/>
    <d v="2021-03-01T00:00:00"/>
    <n v="70"/>
    <x v="21"/>
  </r>
  <r>
    <x v="1"/>
    <x v="6"/>
    <n v="14"/>
    <x v="7"/>
    <d v="2021-03-01T00:00:00"/>
    <n v="70"/>
    <x v="22"/>
  </r>
  <r>
    <x v="1"/>
    <x v="6"/>
    <n v="14"/>
    <x v="7"/>
    <d v="2021-03-01T00:00:00"/>
    <n v="71"/>
    <x v="23"/>
  </r>
  <r>
    <x v="1"/>
    <x v="6"/>
    <n v="14"/>
    <x v="7"/>
    <d v="2021-03-01T00:00:00"/>
    <n v="71"/>
    <x v="24"/>
  </r>
  <r>
    <x v="1"/>
    <x v="6"/>
    <n v="14"/>
    <x v="7"/>
    <d v="2021-03-01T00:00:00"/>
    <n v="843"/>
    <x v="12"/>
  </r>
  <r>
    <x v="1"/>
    <x v="6"/>
    <n v="15"/>
    <x v="8"/>
    <d v="2021-03-01T00:00:00"/>
    <n v="0"/>
    <x v="13"/>
  </r>
  <r>
    <x v="1"/>
    <x v="6"/>
    <n v="15"/>
    <x v="8"/>
    <d v="2021-03-01T00:00:00"/>
    <n v="0"/>
    <x v="14"/>
  </r>
  <r>
    <x v="1"/>
    <x v="6"/>
    <n v="15"/>
    <x v="8"/>
    <d v="2021-03-01T00:00:00"/>
    <n v="0"/>
    <x v="15"/>
  </r>
  <r>
    <x v="1"/>
    <x v="6"/>
    <n v="15"/>
    <x v="8"/>
    <d v="2021-03-01T00:00:00"/>
    <n v="0"/>
    <x v="16"/>
  </r>
  <r>
    <x v="1"/>
    <x v="6"/>
    <n v="15"/>
    <x v="8"/>
    <d v="2021-03-01T00:00:00"/>
    <n v="0"/>
    <x v="17"/>
  </r>
  <r>
    <x v="1"/>
    <x v="6"/>
    <n v="15"/>
    <x v="8"/>
    <d v="2021-03-01T00:00:00"/>
    <n v="0"/>
    <x v="18"/>
  </r>
  <r>
    <x v="1"/>
    <x v="6"/>
    <n v="15"/>
    <x v="8"/>
    <d v="2021-03-01T00:00:00"/>
    <n v="0"/>
    <x v="19"/>
  </r>
  <r>
    <x v="1"/>
    <x v="6"/>
    <n v="15"/>
    <x v="8"/>
    <d v="2021-03-01T00:00:00"/>
    <n v="0"/>
    <x v="20"/>
  </r>
  <r>
    <x v="1"/>
    <x v="6"/>
    <n v="15"/>
    <x v="8"/>
    <d v="2021-03-01T00:00:00"/>
    <n v="0"/>
    <x v="21"/>
  </r>
  <r>
    <x v="1"/>
    <x v="6"/>
    <n v="15"/>
    <x v="8"/>
    <d v="2021-03-01T00:00:00"/>
    <n v="0"/>
    <x v="22"/>
  </r>
  <r>
    <x v="1"/>
    <x v="6"/>
    <n v="15"/>
    <x v="8"/>
    <d v="2021-03-01T00:00:00"/>
    <n v="0"/>
    <x v="23"/>
  </r>
  <r>
    <x v="1"/>
    <x v="6"/>
    <n v="15"/>
    <x v="8"/>
    <d v="2021-03-01T00:00:00"/>
    <n v="0"/>
    <x v="24"/>
  </r>
  <r>
    <x v="1"/>
    <x v="6"/>
    <n v="15"/>
    <x v="8"/>
    <d v="2021-03-01T00:00:00"/>
    <n v="0"/>
    <x v="12"/>
  </r>
  <r>
    <x v="1"/>
    <x v="7"/>
    <n v="7"/>
    <x v="0"/>
    <d v="2021-03-01T00:00:00"/>
    <n v="30617"/>
    <x v="13"/>
  </r>
  <r>
    <x v="1"/>
    <x v="7"/>
    <n v="7"/>
    <x v="0"/>
    <d v="2021-03-01T00:00:00"/>
    <n v="78256"/>
    <x v="14"/>
  </r>
  <r>
    <x v="1"/>
    <x v="7"/>
    <n v="7"/>
    <x v="0"/>
    <d v="2021-03-01T00:00:00"/>
    <n v="74454"/>
    <x v="15"/>
  </r>
  <r>
    <x v="1"/>
    <x v="7"/>
    <n v="7"/>
    <x v="0"/>
    <d v="2021-03-01T00:00:00"/>
    <n v="42798"/>
    <x v="16"/>
  </r>
  <r>
    <x v="1"/>
    <x v="7"/>
    <n v="7"/>
    <x v="0"/>
    <d v="2021-03-01T00:00:00"/>
    <n v="40026.438000000002"/>
    <x v="17"/>
  </r>
  <r>
    <x v="1"/>
    <x v="7"/>
    <n v="7"/>
    <x v="0"/>
    <d v="2021-03-01T00:00:00"/>
    <n v="60276"/>
    <x v="18"/>
  </r>
  <r>
    <x v="1"/>
    <x v="7"/>
    <n v="7"/>
    <x v="0"/>
    <d v="2021-03-01T00:00:00"/>
    <n v="43665.347000000002"/>
    <x v="19"/>
  </r>
  <r>
    <x v="1"/>
    <x v="7"/>
    <n v="7"/>
    <x v="0"/>
    <d v="2021-03-01T00:00:00"/>
    <n v="43935.576390000002"/>
    <x v="20"/>
  </r>
  <r>
    <x v="1"/>
    <x v="7"/>
    <n v="7"/>
    <x v="0"/>
    <d v="2021-03-01T00:00:00"/>
    <n v="52609.434000000001"/>
    <x v="21"/>
  </r>
  <r>
    <x v="1"/>
    <x v="7"/>
    <n v="7"/>
    <x v="0"/>
    <d v="2021-03-01T00:00:00"/>
    <n v="40976"/>
    <x v="22"/>
  </r>
  <r>
    <x v="1"/>
    <x v="7"/>
    <n v="7"/>
    <x v="0"/>
    <d v="2021-03-01T00:00:00"/>
    <n v="35402"/>
    <x v="23"/>
  </r>
  <r>
    <x v="1"/>
    <x v="7"/>
    <n v="7"/>
    <x v="0"/>
    <d v="2021-03-01T00:00:00"/>
    <n v="50105"/>
    <x v="24"/>
  </r>
  <r>
    <x v="1"/>
    <x v="7"/>
    <n v="7"/>
    <x v="0"/>
    <d v="2021-03-01T00:00:00"/>
    <n v="593120.79538999998"/>
    <x v="12"/>
  </r>
  <r>
    <x v="1"/>
    <x v="7"/>
    <n v="8"/>
    <x v="1"/>
    <d v="2021-03-01T00:00:00"/>
    <n v="0"/>
    <x v="13"/>
  </r>
  <r>
    <x v="1"/>
    <x v="7"/>
    <n v="8"/>
    <x v="1"/>
    <d v="2021-03-01T00:00:00"/>
    <n v="0"/>
    <x v="14"/>
  </r>
  <r>
    <x v="1"/>
    <x v="7"/>
    <n v="8"/>
    <x v="1"/>
    <d v="2021-03-01T00:00:00"/>
    <n v="0"/>
    <x v="15"/>
  </r>
  <r>
    <x v="1"/>
    <x v="7"/>
    <n v="8"/>
    <x v="1"/>
    <d v="2021-03-01T00:00:00"/>
    <n v="0"/>
    <x v="16"/>
  </r>
  <r>
    <x v="1"/>
    <x v="7"/>
    <n v="8"/>
    <x v="1"/>
    <d v="2021-03-01T00:00:00"/>
    <n v="0"/>
    <x v="17"/>
  </r>
  <r>
    <x v="1"/>
    <x v="7"/>
    <n v="8"/>
    <x v="1"/>
    <d v="2021-03-01T00:00:00"/>
    <n v="0"/>
    <x v="18"/>
  </r>
  <r>
    <x v="1"/>
    <x v="7"/>
    <n v="8"/>
    <x v="1"/>
    <d v="2021-03-01T00:00:00"/>
    <n v="0"/>
    <x v="19"/>
  </r>
  <r>
    <x v="1"/>
    <x v="7"/>
    <n v="8"/>
    <x v="1"/>
    <d v="2021-03-01T00:00:00"/>
    <n v="0"/>
    <x v="20"/>
  </r>
  <r>
    <x v="1"/>
    <x v="7"/>
    <n v="8"/>
    <x v="1"/>
    <d v="2021-03-01T00:00:00"/>
    <n v="0"/>
    <x v="21"/>
  </r>
  <r>
    <x v="1"/>
    <x v="7"/>
    <n v="8"/>
    <x v="1"/>
    <d v="2021-03-01T00:00:00"/>
    <n v="0"/>
    <x v="22"/>
  </r>
  <r>
    <x v="1"/>
    <x v="7"/>
    <n v="8"/>
    <x v="1"/>
    <d v="2021-03-01T00:00:00"/>
    <n v="0"/>
    <x v="23"/>
  </r>
  <r>
    <x v="1"/>
    <x v="7"/>
    <n v="8"/>
    <x v="1"/>
    <d v="2021-03-01T00:00:00"/>
    <n v="0"/>
    <x v="24"/>
  </r>
  <r>
    <x v="1"/>
    <x v="7"/>
    <n v="8"/>
    <x v="1"/>
    <d v="2021-03-01T00:00:00"/>
    <n v="0"/>
    <x v="12"/>
  </r>
  <r>
    <x v="1"/>
    <x v="7"/>
    <n v="9"/>
    <x v="2"/>
    <d v="2021-03-01T00:00:00"/>
    <n v="0"/>
    <x v="13"/>
  </r>
  <r>
    <x v="1"/>
    <x v="7"/>
    <n v="9"/>
    <x v="2"/>
    <d v="2021-03-01T00:00:00"/>
    <n v="0"/>
    <x v="14"/>
  </r>
  <r>
    <x v="1"/>
    <x v="7"/>
    <n v="9"/>
    <x v="2"/>
    <d v="2021-03-01T00:00:00"/>
    <n v="0"/>
    <x v="15"/>
  </r>
  <r>
    <x v="1"/>
    <x v="7"/>
    <n v="9"/>
    <x v="2"/>
    <d v="2021-03-01T00:00:00"/>
    <n v="0"/>
    <x v="16"/>
  </r>
  <r>
    <x v="1"/>
    <x v="7"/>
    <n v="9"/>
    <x v="2"/>
    <d v="2021-03-01T00:00:00"/>
    <n v="0"/>
    <x v="17"/>
  </r>
  <r>
    <x v="1"/>
    <x v="7"/>
    <n v="9"/>
    <x v="2"/>
    <d v="2021-03-01T00:00:00"/>
    <n v="0"/>
    <x v="18"/>
  </r>
  <r>
    <x v="1"/>
    <x v="7"/>
    <n v="9"/>
    <x v="2"/>
    <d v="2021-03-01T00:00:00"/>
    <n v="0"/>
    <x v="19"/>
  </r>
  <r>
    <x v="1"/>
    <x v="7"/>
    <n v="9"/>
    <x v="2"/>
    <d v="2021-03-01T00:00:00"/>
    <n v="0"/>
    <x v="20"/>
  </r>
  <r>
    <x v="1"/>
    <x v="7"/>
    <n v="9"/>
    <x v="2"/>
    <d v="2021-03-01T00:00:00"/>
    <n v="0"/>
    <x v="21"/>
  </r>
  <r>
    <x v="1"/>
    <x v="7"/>
    <n v="9"/>
    <x v="2"/>
    <d v="2021-03-01T00:00:00"/>
    <n v="0"/>
    <x v="22"/>
  </r>
  <r>
    <x v="1"/>
    <x v="7"/>
    <n v="9"/>
    <x v="2"/>
    <d v="2021-03-01T00:00:00"/>
    <n v="0"/>
    <x v="23"/>
  </r>
  <r>
    <x v="1"/>
    <x v="7"/>
    <n v="9"/>
    <x v="2"/>
    <d v="2021-03-01T00:00:00"/>
    <n v="0"/>
    <x v="24"/>
  </r>
  <r>
    <x v="1"/>
    <x v="7"/>
    <n v="9"/>
    <x v="2"/>
    <d v="2021-03-01T00:00:00"/>
    <n v="0"/>
    <x v="12"/>
  </r>
  <r>
    <x v="1"/>
    <x v="7"/>
    <n v="10"/>
    <x v="3"/>
    <d v="2021-03-01T00:00:00"/>
    <n v="7850"/>
    <x v="13"/>
  </r>
  <r>
    <x v="1"/>
    <x v="7"/>
    <n v="10"/>
    <x v="3"/>
    <d v="2021-03-01T00:00:00"/>
    <n v="7772"/>
    <x v="14"/>
  </r>
  <r>
    <x v="1"/>
    <x v="7"/>
    <n v="10"/>
    <x v="3"/>
    <d v="2021-03-01T00:00:00"/>
    <n v="8124"/>
    <x v="15"/>
  </r>
  <r>
    <x v="1"/>
    <x v="7"/>
    <n v="10"/>
    <x v="3"/>
    <d v="2021-03-01T00:00:00"/>
    <n v="7994"/>
    <x v="16"/>
  </r>
  <r>
    <x v="1"/>
    <x v="7"/>
    <n v="10"/>
    <x v="3"/>
    <d v="2021-03-01T00:00:00"/>
    <n v="9574"/>
    <x v="17"/>
  </r>
  <r>
    <x v="1"/>
    <x v="7"/>
    <n v="10"/>
    <x v="3"/>
    <d v="2021-03-01T00:00:00"/>
    <n v="10786"/>
    <x v="18"/>
  </r>
  <r>
    <x v="1"/>
    <x v="7"/>
    <n v="10"/>
    <x v="3"/>
    <d v="2021-03-01T00:00:00"/>
    <n v="11577"/>
    <x v="19"/>
  </r>
  <r>
    <x v="1"/>
    <x v="7"/>
    <n v="10"/>
    <x v="3"/>
    <d v="2021-03-01T00:00:00"/>
    <n v="11321"/>
    <x v="20"/>
  </r>
  <r>
    <x v="1"/>
    <x v="7"/>
    <n v="10"/>
    <x v="3"/>
    <d v="2021-03-01T00:00:00"/>
    <n v="11512"/>
    <x v="21"/>
  </r>
  <r>
    <x v="1"/>
    <x v="7"/>
    <n v="10"/>
    <x v="3"/>
    <d v="2021-03-01T00:00:00"/>
    <n v="12392"/>
    <x v="22"/>
  </r>
  <r>
    <x v="1"/>
    <x v="7"/>
    <n v="10"/>
    <x v="3"/>
    <d v="2021-03-01T00:00:00"/>
    <n v="13053"/>
    <x v="23"/>
  </r>
  <r>
    <x v="1"/>
    <x v="7"/>
    <n v="10"/>
    <x v="3"/>
    <d v="2021-03-01T00:00:00"/>
    <n v="22881"/>
    <x v="24"/>
  </r>
  <r>
    <x v="1"/>
    <x v="7"/>
    <n v="10"/>
    <x v="3"/>
    <d v="2021-03-01T00:00:00"/>
    <n v="134836"/>
    <x v="12"/>
  </r>
  <r>
    <x v="1"/>
    <x v="7"/>
    <n v="11"/>
    <x v="4"/>
    <d v="2021-03-01T00:00:00"/>
    <n v="18943"/>
    <x v="13"/>
  </r>
  <r>
    <x v="1"/>
    <x v="7"/>
    <n v="11"/>
    <x v="4"/>
    <d v="2021-03-01T00:00:00"/>
    <n v="64123.6"/>
    <x v="14"/>
  </r>
  <r>
    <x v="1"/>
    <x v="7"/>
    <n v="11"/>
    <x v="4"/>
    <d v="2021-03-01T00:00:00"/>
    <n v="55764.6"/>
    <x v="15"/>
  </r>
  <r>
    <x v="1"/>
    <x v="7"/>
    <n v="11"/>
    <x v="4"/>
    <d v="2021-03-01T00:00:00"/>
    <n v="20033"/>
    <x v="16"/>
  </r>
  <r>
    <x v="1"/>
    <x v="7"/>
    <n v="11"/>
    <x v="4"/>
    <d v="2021-03-01T00:00:00"/>
    <n v="25481"/>
    <x v="17"/>
  </r>
  <r>
    <x v="1"/>
    <x v="7"/>
    <n v="11"/>
    <x v="4"/>
    <d v="2021-03-01T00:00:00"/>
    <n v="39530"/>
    <x v="18"/>
  </r>
  <r>
    <x v="1"/>
    <x v="7"/>
    <n v="11"/>
    <x v="4"/>
    <d v="2021-03-01T00:00:00"/>
    <n v="23955.4"/>
    <x v="19"/>
  </r>
  <r>
    <x v="1"/>
    <x v="7"/>
    <n v="11"/>
    <x v="4"/>
    <d v="2021-03-01T00:00:00"/>
    <n v="26144"/>
    <x v="20"/>
  </r>
  <r>
    <x v="1"/>
    <x v="7"/>
    <n v="11"/>
    <x v="4"/>
    <d v="2021-03-01T00:00:00"/>
    <n v="22845"/>
    <x v="21"/>
  </r>
  <r>
    <x v="1"/>
    <x v="7"/>
    <n v="11"/>
    <x v="4"/>
    <d v="2021-03-01T00:00:00"/>
    <n v="24072"/>
    <x v="22"/>
  </r>
  <r>
    <x v="1"/>
    <x v="7"/>
    <n v="11"/>
    <x v="4"/>
    <d v="2021-03-01T00:00:00"/>
    <n v="16594"/>
    <x v="23"/>
  </r>
  <r>
    <x v="1"/>
    <x v="7"/>
    <n v="11"/>
    <x v="4"/>
    <d v="2021-03-01T00:00:00"/>
    <n v="-11454"/>
    <x v="24"/>
  </r>
  <r>
    <x v="1"/>
    <x v="7"/>
    <n v="11"/>
    <x v="4"/>
    <d v="2021-03-01T00:00:00"/>
    <n v="326031.59999999998"/>
    <x v="12"/>
  </r>
  <r>
    <x v="1"/>
    <x v="7"/>
    <n v="12"/>
    <x v="5"/>
    <d v="2021-03-01T00:00:00"/>
    <n v="0"/>
    <x v="13"/>
  </r>
  <r>
    <x v="1"/>
    <x v="7"/>
    <n v="12"/>
    <x v="5"/>
    <d v="2021-03-01T00:00:00"/>
    <n v="0"/>
    <x v="14"/>
  </r>
  <r>
    <x v="1"/>
    <x v="7"/>
    <n v="12"/>
    <x v="5"/>
    <d v="2021-03-01T00:00:00"/>
    <n v="0"/>
    <x v="15"/>
  </r>
  <r>
    <x v="1"/>
    <x v="7"/>
    <n v="12"/>
    <x v="5"/>
    <d v="2021-03-01T00:00:00"/>
    <n v="0"/>
    <x v="16"/>
  </r>
  <r>
    <x v="1"/>
    <x v="7"/>
    <n v="12"/>
    <x v="5"/>
    <d v="2021-03-01T00:00:00"/>
    <n v="0"/>
    <x v="17"/>
  </r>
  <r>
    <x v="1"/>
    <x v="7"/>
    <n v="12"/>
    <x v="5"/>
    <d v="2021-03-01T00:00:00"/>
    <n v="0"/>
    <x v="18"/>
  </r>
  <r>
    <x v="1"/>
    <x v="7"/>
    <n v="12"/>
    <x v="5"/>
    <d v="2021-03-01T00:00:00"/>
    <n v="0"/>
    <x v="19"/>
  </r>
  <r>
    <x v="1"/>
    <x v="7"/>
    <n v="12"/>
    <x v="5"/>
    <d v="2021-03-01T00:00:00"/>
    <n v="0"/>
    <x v="20"/>
  </r>
  <r>
    <x v="1"/>
    <x v="7"/>
    <n v="12"/>
    <x v="5"/>
    <d v="2021-03-01T00:00:00"/>
    <n v="0"/>
    <x v="21"/>
  </r>
  <r>
    <x v="1"/>
    <x v="7"/>
    <n v="12"/>
    <x v="5"/>
    <d v="2021-03-01T00:00:00"/>
    <n v="0"/>
    <x v="22"/>
  </r>
  <r>
    <x v="1"/>
    <x v="7"/>
    <n v="12"/>
    <x v="5"/>
    <d v="2021-03-01T00:00:00"/>
    <n v="0"/>
    <x v="23"/>
  </r>
  <r>
    <x v="1"/>
    <x v="7"/>
    <n v="12"/>
    <x v="5"/>
    <d v="2021-03-01T00:00:00"/>
    <n v="0"/>
    <x v="24"/>
  </r>
  <r>
    <x v="1"/>
    <x v="7"/>
    <n v="12"/>
    <x v="5"/>
    <d v="2021-03-01T00:00:00"/>
    <n v="0"/>
    <x v="12"/>
  </r>
  <r>
    <x v="1"/>
    <x v="7"/>
    <n v="13"/>
    <x v="6"/>
    <d v="2021-03-01T00:00:00"/>
    <n v="0"/>
    <x v="13"/>
  </r>
  <r>
    <x v="1"/>
    <x v="7"/>
    <n v="13"/>
    <x v="6"/>
    <d v="2021-03-01T00:00:00"/>
    <n v="0"/>
    <x v="14"/>
  </r>
  <r>
    <x v="1"/>
    <x v="7"/>
    <n v="13"/>
    <x v="6"/>
    <d v="2021-03-01T00:00:00"/>
    <n v="0"/>
    <x v="15"/>
  </r>
  <r>
    <x v="1"/>
    <x v="7"/>
    <n v="13"/>
    <x v="6"/>
    <d v="2021-03-01T00:00:00"/>
    <n v="0"/>
    <x v="16"/>
  </r>
  <r>
    <x v="1"/>
    <x v="7"/>
    <n v="13"/>
    <x v="6"/>
    <d v="2021-03-01T00:00:00"/>
    <n v="0"/>
    <x v="17"/>
  </r>
  <r>
    <x v="1"/>
    <x v="7"/>
    <n v="13"/>
    <x v="6"/>
    <d v="2021-03-01T00:00:00"/>
    <n v="0"/>
    <x v="18"/>
  </r>
  <r>
    <x v="1"/>
    <x v="7"/>
    <n v="13"/>
    <x v="6"/>
    <d v="2021-03-01T00:00:00"/>
    <n v="0"/>
    <x v="19"/>
  </r>
  <r>
    <x v="1"/>
    <x v="7"/>
    <n v="13"/>
    <x v="6"/>
    <d v="2021-03-01T00:00:00"/>
    <n v="0"/>
    <x v="20"/>
  </r>
  <r>
    <x v="1"/>
    <x v="7"/>
    <n v="13"/>
    <x v="6"/>
    <d v="2021-03-01T00:00:00"/>
    <n v="0"/>
    <x v="21"/>
  </r>
  <r>
    <x v="1"/>
    <x v="7"/>
    <n v="13"/>
    <x v="6"/>
    <d v="2021-03-01T00:00:00"/>
    <n v="0"/>
    <x v="22"/>
  </r>
  <r>
    <x v="1"/>
    <x v="7"/>
    <n v="13"/>
    <x v="6"/>
    <d v="2021-03-01T00:00:00"/>
    <n v="0"/>
    <x v="23"/>
  </r>
  <r>
    <x v="1"/>
    <x v="7"/>
    <n v="13"/>
    <x v="6"/>
    <d v="2021-03-01T00:00:00"/>
    <n v="0"/>
    <x v="24"/>
  </r>
  <r>
    <x v="1"/>
    <x v="7"/>
    <n v="13"/>
    <x v="6"/>
    <d v="2021-03-01T00:00:00"/>
    <n v="0"/>
    <x v="12"/>
  </r>
  <r>
    <x v="1"/>
    <x v="7"/>
    <n v="14"/>
    <x v="7"/>
    <d v="2021-03-01T00:00:00"/>
    <n v="0"/>
    <x v="13"/>
  </r>
  <r>
    <x v="1"/>
    <x v="7"/>
    <n v="14"/>
    <x v="7"/>
    <d v="2021-03-01T00:00:00"/>
    <n v="0"/>
    <x v="14"/>
  </r>
  <r>
    <x v="1"/>
    <x v="7"/>
    <n v="14"/>
    <x v="7"/>
    <d v="2021-03-01T00:00:00"/>
    <n v="0"/>
    <x v="15"/>
  </r>
  <r>
    <x v="1"/>
    <x v="7"/>
    <n v="14"/>
    <x v="7"/>
    <d v="2021-03-01T00:00:00"/>
    <n v="0"/>
    <x v="16"/>
  </r>
  <r>
    <x v="1"/>
    <x v="7"/>
    <n v="14"/>
    <x v="7"/>
    <d v="2021-03-01T00:00:00"/>
    <n v="0"/>
    <x v="17"/>
  </r>
  <r>
    <x v="1"/>
    <x v="7"/>
    <n v="14"/>
    <x v="7"/>
    <d v="2021-03-01T00:00:00"/>
    <n v="0"/>
    <x v="18"/>
  </r>
  <r>
    <x v="1"/>
    <x v="7"/>
    <n v="14"/>
    <x v="7"/>
    <d v="2021-03-01T00:00:00"/>
    <n v="0"/>
    <x v="19"/>
  </r>
  <r>
    <x v="1"/>
    <x v="7"/>
    <n v="14"/>
    <x v="7"/>
    <d v="2021-03-01T00:00:00"/>
    <n v="0"/>
    <x v="20"/>
  </r>
  <r>
    <x v="1"/>
    <x v="7"/>
    <n v="14"/>
    <x v="7"/>
    <d v="2021-03-01T00:00:00"/>
    <n v="0"/>
    <x v="21"/>
  </r>
  <r>
    <x v="1"/>
    <x v="7"/>
    <n v="14"/>
    <x v="7"/>
    <d v="2021-03-01T00:00:00"/>
    <n v="0"/>
    <x v="22"/>
  </r>
  <r>
    <x v="1"/>
    <x v="7"/>
    <n v="14"/>
    <x v="7"/>
    <d v="2021-03-01T00:00:00"/>
    <n v="0"/>
    <x v="23"/>
  </r>
  <r>
    <x v="1"/>
    <x v="7"/>
    <n v="14"/>
    <x v="7"/>
    <d v="2021-03-01T00:00:00"/>
    <n v="0"/>
    <x v="24"/>
  </r>
  <r>
    <x v="1"/>
    <x v="7"/>
    <n v="14"/>
    <x v="7"/>
    <d v="2021-03-01T00:00:00"/>
    <n v="0"/>
    <x v="12"/>
  </r>
  <r>
    <x v="1"/>
    <x v="7"/>
    <n v="15"/>
    <x v="8"/>
    <d v="2021-03-01T00:00:00"/>
    <n v="0"/>
    <x v="13"/>
  </r>
  <r>
    <x v="1"/>
    <x v="7"/>
    <n v="15"/>
    <x v="8"/>
    <d v="2021-03-01T00:00:00"/>
    <n v="0"/>
    <x v="14"/>
  </r>
  <r>
    <x v="1"/>
    <x v="7"/>
    <n v="15"/>
    <x v="8"/>
    <d v="2021-03-01T00:00:00"/>
    <n v="0"/>
    <x v="15"/>
  </r>
  <r>
    <x v="1"/>
    <x v="7"/>
    <n v="15"/>
    <x v="8"/>
    <d v="2021-03-01T00:00:00"/>
    <n v="0"/>
    <x v="16"/>
  </r>
  <r>
    <x v="1"/>
    <x v="7"/>
    <n v="15"/>
    <x v="8"/>
    <d v="2021-03-01T00:00:00"/>
    <n v="0"/>
    <x v="17"/>
  </r>
  <r>
    <x v="1"/>
    <x v="7"/>
    <n v="15"/>
    <x v="8"/>
    <d v="2021-03-01T00:00:00"/>
    <n v="0"/>
    <x v="18"/>
  </r>
  <r>
    <x v="1"/>
    <x v="7"/>
    <n v="15"/>
    <x v="8"/>
    <d v="2021-03-01T00:00:00"/>
    <n v="0"/>
    <x v="19"/>
  </r>
  <r>
    <x v="1"/>
    <x v="7"/>
    <n v="15"/>
    <x v="8"/>
    <d v="2021-03-01T00:00:00"/>
    <n v="0"/>
    <x v="20"/>
  </r>
  <r>
    <x v="1"/>
    <x v="7"/>
    <n v="15"/>
    <x v="8"/>
    <d v="2021-03-01T00:00:00"/>
    <n v="0"/>
    <x v="21"/>
  </r>
  <r>
    <x v="1"/>
    <x v="7"/>
    <n v="15"/>
    <x v="8"/>
    <d v="2021-03-01T00:00:00"/>
    <n v="0"/>
    <x v="22"/>
  </r>
  <r>
    <x v="1"/>
    <x v="7"/>
    <n v="15"/>
    <x v="8"/>
    <d v="2021-03-01T00:00:00"/>
    <n v="0"/>
    <x v="23"/>
  </r>
  <r>
    <x v="1"/>
    <x v="7"/>
    <n v="15"/>
    <x v="8"/>
    <d v="2021-03-01T00:00:00"/>
    <n v="0"/>
    <x v="24"/>
  </r>
  <r>
    <x v="1"/>
    <x v="7"/>
    <n v="15"/>
    <x v="8"/>
    <d v="2021-03-01T00:00:00"/>
    <n v="0"/>
    <x v="12"/>
  </r>
  <r>
    <x v="1"/>
    <x v="8"/>
    <n v="7"/>
    <x v="0"/>
    <d v="2021-03-01T00:00:00"/>
    <n v="14055"/>
    <x v="13"/>
  </r>
  <r>
    <x v="1"/>
    <x v="8"/>
    <n v="7"/>
    <x v="0"/>
    <d v="2021-03-01T00:00:00"/>
    <n v="12909"/>
    <x v="14"/>
  </r>
  <r>
    <x v="1"/>
    <x v="8"/>
    <n v="7"/>
    <x v="0"/>
    <d v="2021-03-01T00:00:00"/>
    <n v="15247"/>
    <x v="15"/>
  </r>
  <r>
    <x v="1"/>
    <x v="8"/>
    <n v="7"/>
    <x v="0"/>
    <d v="2021-03-01T00:00:00"/>
    <n v="15723"/>
    <x v="16"/>
  </r>
  <r>
    <x v="1"/>
    <x v="8"/>
    <n v="7"/>
    <x v="0"/>
    <d v="2021-03-01T00:00:00"/>
    <n v="15314"/>
    <x v="17"/>
  </r>
  <r>
    <x v="1"/>
    <x v="8"/>
    <n v="7"/>
    <x v="0"/>
    <d v="2021-03-01T00:00:00"/>
    <n v="14812"/>
    <x v="18"/>
  </r>
  <r>
    <x v="1"/>
    <x v="8"/>
    <n v="7"/>
    <x v="0"/>
    <d v="2021-03-01T00:00:00"/>
    <n v="17263"/>
    <x v="19"/>
  </r>
  <r>
    <x v="1"/>
    <x v="8"/>
    <n v="7"/>
    <x v="0"/>
    <d v="2021-03-01T00:00:00"/>
    <n v="19244"/>
    <x v="20"/>
  </r>
  <r>
    <x v="1"/>
    <x v="8"/>
    <n v="7"/>
    <x v="0"/>
    <d v="2021-03-01T00:00:00"/>
    <n v="19303"/>
    <x v="21"/>
  </r>
  <r>
    <x v="1"/>
    <x v="8"/>
    <n v="7"/>
    <x v="0"/>
    <d v="2021-03-01T00:00:00"/>
    <n v="19916"/>
    <x v="22"/>
  </r>
  <r>
    <x v="1"/>
    <x v="8"/>
    <n v="7"/>
    <x v="0"/>
    <d v="2021-03-01T00:00:00"/>
    <n v="19825"/>
    <x v="23"/>
  </r>
  <r>
    <x v="1"/>
    <x v="8"/>
    <n v="7"/>
    <x v="0"/>
    <d v="2021-03-01T00:00:00"/>
    <n v="33047"/>
    <x v="24"/>
  </r>
  <r>
    <x v="1"/>
    <x v="8"/>
    <n v="7"/>
    <x v="0"/>
    <d v="2021-03-01T00:00:00"/>
    <n v="216658"/>
    <x v="12"/>
  </r>
  <r>
    <x v="1"/>
    <x v="8"/>
    <n v="9"/>
    <x v="2"/>
    <d v="2021-03-01T00:00:00"/>
    <n v="0"/>
    <x v="13"/>
  </r>
  <r>
    <x v="1"/>
    <x v="8"/>
    <n v="9"/>
    <x v="2"/>
    <d v="2021-03-01T00:00:00"/>
    <n v="0"/>
    <x v="14"/>
  </r>
  <r>
    <x v="1"/>
    <x v="8"/>
    <n v="9"/>
    <x v="2"/>
    <d v="2021-03-01T00:00:00"/>
    <n v="0"/>
    <x v="15"/>
  </r>
  <r>
    <x v="1"/>
    <x v="8"/>
    <n v="9"/>
    <x v="2"/>
    <d v="2021-03-01T00:00:00"/>
    <n v="0"/>
    <x v="16"/>
  </r>
  <r>
    <x v="1"/>
    <x v="8"/>
    <n v="9"/>
    <x v="2"/>
    <d v="2021-03-01T00:00:00"/>
    <n v="0"/>
    <x v="17"/>
  </r>
  <r>
    <x v="1"/>
    <x v="8"/>
    <n v="9"/>
    <x v="2"/>
    <d v="2021-03-01T00:00:00"/>
    <n v="0"/>
    <x v="18"/>
  </r>
  <r>
    <x v="1"/>
    <x v="8"/>
    <n v="9"/>
    <x v="2"/>
    <d v="2021-03-01T00:00:00"/>
    <n v="0"/>
    <x v="19"/>
  </r>
  <r>
    <x v="1"/>
    <x v="8"/>
    <n v="9"/>
    <x v="2"/>
    <d v="2021-03-01T00:00:00"/>
    <n v="0"/>
    <x v="20"/>
  </r>
  <r>
    <x v="1"/>
    <x v="8"/>
    <n v="9"/>
    <x v="2"/>
    <d v="2021-03-01T00:00:00"/>
    <n v="0"/>
    <x v="21"/>
  </r>
  <r>
    <x v="1"/>
    <x v="8"/>
    <n v="9"/>
    <x v="2"/>
    <d v="2021-03-01T00:00:00"/>
    <n v="0"/>
    <x v="22"/>
  </r>
  <r>
    <x v="1"/>
    <x v="8"/>
    <n v="9"/>
    <x v="2"/>
    <d v="2021-03-01T00:00:00"/>
    <n v="0"/>
    <x v="23"/>
  </r>
  <r>
    <x v="1"/>
    <x v="8"/>
    <n v="9"/>
    <x v="2"/>
    <d v="2021-03-01T00:00:00"/>
    <n v="0"/>
    <x v="24"/>
  </r>
  <r>
    <x v="1"/>
    <x v="8"/>
    <n v="9"/>
    <x v="2"/>
    <d v="2021-03-01T00:00:00"/>
    <n v="0"/>
    <x v="12"/>
  </r>
  <r>
    <x v="1"/>
    <x v="8"/>
    <n v="10"/>
    <x v="3"/>
    <d v="2021-03-01T00:00:00"/>
    <n v="8168"/>
    <x v="13"/>
  </r>
  <r>
    <x v="1"/>
    <x v="8"/>
    <n v="10"/>
    <x v="3"/>
    <d v="2021-03-01T00:00:00"/>
    <n v="8484"/>
    <x v="14"/>
  </r>
  <r>
    <x v="1"/>
    <x v="8"/>
    <n v="10"/>
    <x v="3"/>
    <d v="2021-03-01T00:00:00"/>
    <n v="8606"/>
    <x v="15"/>
  </r>
  <r>
    <x v="1"/>
    <x v="8"/>
    <n v="10"/>
    <x v="3"/>
    <d v="2021-03-01T00:00:00"/>
    <n v="8438"/>
    <x v="16"/>
  </r>
  <r>
    <x v="1"/>
    <x v="8"/>
    <n v="10"/>
    <x v="3"/>
    <d v="2021-03-01T00:00:00"/>
    <n v="8264"/>
    <x v="17"/>
  </r>
  <r>
    <x v="1"/>
    <x v="8"/>
    <n v="10"/>
    <x v="3"/>
    <d v="2021-03-01T00:00:00"/>
    <n v="8533"/>
    <x v="18"/>
  </r>
  <r>
    <x v="1"/>
    <x v="8"/>
    <n v="10"/>
    <x v="3"/>
    <d v="2021-03-01T00:00:00"/>
    <n v="8700"/>
    <x v="19"/>
  </r>
  <r>
    <x v="1"/>
    <x v="8"/>
    <n v="10"/>
    <x v="3"/>
    <d v="2021-03-01T00:00:00"/>
    <n v="8904"/>
    <x v="20"/>
  </r>
  <r>
    <x v="1"/>
    <x v="8"/>
    <n v="10"/>
    <x v="3"/>
    <d v="2021-03-01T00:00:00"/>
    <n v="8706"/>
    <x v="21"/>
  </r>
  <r>
    <x v="1"/>
    <x v="8"/>
    <n v="10"/>
    <x v="3"/>
    <d v="2021-03-01T00:00:00"/>
    <n v="9214"/>
    <x v="22"/>
  </r>
  <r>
    <x v="1"/>
    <x v="8"/>
    <n v="10"/>
    <x v="3"/>
    <d v="2021-03-01T00:00:00"/>
    <n v="9309"/>
    <x v="23"/>
  </r>
  <r>
    <x v="1"/>
    <x v="8"/>
    <n v="10"/>
    <x v="3"/>
    <d v="2021-03-01T00:00:00"/>
    <n v="15503"/>
    <x v="24"/>
  </r>
  <r>
    <x v="1"/>
    <x v="8"/>
    <n v="10"/>
    <x v="3"/>
    <d v="2021-03-01T00:00:00"/>
    <n v="110829"/>
    <x v="12"/>
  </r>
  <r>
    <x v="1"/>
    <x v="8"/>
    <n v="11"/>
    <x v="4"/>
    <d v="2021-03-01T00:00:00"/>
    <n v="5563.0793333333304"/>
    <x v="13"/>
  </r>
  <r>
    <x v="1"/>
    <x v="8"/>
    <n v="11"/>
    <x v="4"/>
    <d v="2021-03-01T00:00:00"/>
    <n v="4167"/>
    <x v="14"/>
  </r>
  <r>
    <x v="1"/>
    <x v="8"/>
    <n v="11"/>
    <x v="4"/>
    <d v="2021-03-01T00:00:00"/>
    <n v="6356"/>
    <x v="15"/>
  </r>
  <r>
    <x v="1"/>
    <x v="8"/>
    <n v="11"/>
    <x v="4"/>
    <d v="2021-03-01T00:00:00"/>
    <n v="6997"/>
    <x v="16"/>
  </r>
  <r>
    <x v="1"/>
    <x v="8"/>
    <n v="11"/>
    <x v="4"/>
    <d v="2021-03-01T00:00:00"/>
    <n v="6766"/>
    <x v="17"/>
  </r>
  <r>
    <x v="1"/>
    <x v="8"/>
    <n v="11"/>
    <x v="4"/>
    <d v="2021-03-01T00:00:00"/>
    <n v="6205"/>
    <x v="18"/>
  </r>
  <r>
    <x v="1"/>
    <x v="8"/>
    <n v="11"/>
    <x v="4"/>
    <d v="2021-03-01T00:00:00"/>
    <n v="8307.1"/>
    <x v="19"/>
  </r>
  <r>
    <x v="1"/>
    <x v="8"/>
    <n v="11"/>
    <x v="4"/>
    <d v="2021-03-01T00:00:00"/>
    <n v="10091.9"/>
    <x v="20"/>
  </r>
  <r>
    <x v="1"/>
    <x v="8"/>
    <n v="11"/>
    <x v="4"/>
    <d v="2021-03-01T00:00:00"/>
    <n v="10326.5"/>
    <x v="21"/>
  </r>
  <r>
    <x v="1"/>
    <x v="8"/>
    <n v="11"/>
    <x v="4"/>
    <d v="2021-03-01T00:00:00"/>
    <n v="10440.700000000001"/>
    <x v="22"/>
  </r>
  <r>
    <x v="1"/>
    <x v="8"/>
    <n v="11"/>
    <x v="4"/>
    <d v="2021-03-01T00:00:00"/>
    <n v="10278.299999999999"/>
    <x v="23"/>
  </r>
  <r>
    <x v="1"/>
    <x v="8"/>
    <n v="11"/>
    <x v="4"/>
    <d v="2021-03-01T00:00:00"/>
    <n v="17285.5"/>
    <x v="24"/>
  </r>
  <r>
    <x v="1"/>
    <x v="8"/>
    <n v="11"/>
    <x v="4"/>
    <d v="2021-03-01T00:00:00"/>
    <n v="102784.07933333299"/>
    <x v="12"/>
  </r>
  <r>
    <x v="1"/>
    <x v="8"/>
    <n v="8"/>
    <x v="1"/>
    <d v="2021-03-01T00:00:00"/>
    <n v="0"/>
    <x v="13"/>
  </r>
  <r>
    <x v="1"/>
    <x v="8"/>
    <n v="8"/>
    <x v="1"/>
    <d v="2021-03-01T00:00:00"/>
    <n v="0"/>
    <x v="14"/>
  </r>
  <r>
    <x v="1"/>
    <x v="8"/>
    <n v="8"/>
    <x v="1"/>
    <d v="2021-03-01T00:00:00"/>
    <n v="0"/>
    <x v="15"/>
  </r>
  <r>
    <x v="1"/>
    <x v="8"/>
    <n v="8"/>
    <x v="1"/>
    <d v="2021-03-01T00:00:00"/>
    <n v="0"/>
    <x v="16"/>
  </r>
  <r>
    <x v="1"/>
    <x v="8"/>
    <n v="8"/>
    <x v="1"/>
    <d v="2021-03-01T00:00:00"/>
    <n v="0"/>
    <x v="17"/>
  </r>
  <r>
    <x v="1"/>
    <x v="8"/>
    <n v="8"/>
    <x v="1"/>
    <d v="2021-03-01T00:00:00"/>
    <n v="0"/>
    <x v="18"/>
  </r>
  <r>
    <x v="1"/>
    <x v="8"/>
    <n v="8"/>
    <x v="1"/>
    <d v="2021-03-01T00:00:00"/>
    <n v="0"/>
    <x v="19"/>
  </r>
  <r>
    <x v="1"/>
    <x v="8"/>
    <n v="8"/>
    <x v="1"/>
    <d v="2021-03-01T00:00:00"/>
    <n v="0"/>
    <x v="20"/>
  </r>
  <r>
    <x v="1"/>
    <x v="8"/>
    <n v="8"/>
    <x v="1"/>
    <d v="2021-03-01T00:00:00"/>
    <n v="0"/>
    <x v="21"/>
  </r>
  <r>
    <x v="1"/>
    <x v="8"/>
    <n v="8"/>
    <x v="1"/>
    <d v="2021-03-01T00:00:00"/>
    <n v="0"/>
    <x v="22"/>
  </r>
  <r>
    <x v="1"/>
    <x v="8"/>
    <n v="8"/>
    <x v="1"/>
    <d v="2021-03-01T00:00:00"/>
    <n v="0"/>
    <x v="23"/>
  </r>
  <r>
    <x v="1"/>
    <x v="8"/>
    <n v="8"/>
    <x v="1"/>
    <d v="2021-03-01T00:00:00"/>
    <n v="0"/>
    <x v="24"/>
  </r>
  <r>
    <x v="1"/>
    <x v="8"/>
    <n v="8"/>
    <x v="1"/>
    <d v="2021-03-01T00:00:00"/>
    <n v="0"/>
    <x v="12"/>
  </r>
  <r>
    <x v="1"/>
    <x v="8"/>
    <n v="12"/>
    <x v="5"/>
    <d v="2021-03-01T00:00:00"/>
    <n v="0"/>
    <x v="13"/>
  </r>
  <r>
    <x v="1"/>
    <x v="8"/>
    <n v="12"/>
    <x v="5"/>
    <d v="2021-03-01T00:00:00"/>
    <n v="0"/>
    <x v="14"/>
  </r>
  <r>
    <x v="1"/>
    <x v="8"/>
    <n v="12"/>
    <x v="5"/>
    <d v="2021-03-01T00:00:00"/>
    <n v="0"/>
    <x v="15"/>
  </r>
  <r>
    <x v="1"/>
    <x v="8"/>
    <n v="12"/>
    <x v="5"/>
    <d v="2021-03-01T00:00:00"/>
    <n v="0"/>
    <x v="16"/>
  </r>
  <r>
    <x v="1"/>
    <x v="8"/>
    <n v="12"/>
    <x v="5"/>
    <d v="2021-03-01T00:00:00"/>
    <n v="0"/>
    <x v="17"/>
  </r>
  <r>
    <x v="1"/>
    <x v="8"/>
    <n v="12"/>
    <x v="5"/>
    <d v="2021-03-01T00:00:00"/>
    <n v="0"/>
    <x v="18"/>
  </r>
  <r>
    <x v="1"/>
    <x v="8"/>
    <n v="12"/>
    <x v="5"/>
    <d v="2021-03-01T00:00:00"/>
    <n v="0"/>
    <x v="19"/>
  </r>
  <r>
    <x v="1"/>
    <x v="8"/>
    <n v="12"/>
    <x v="5"/>
    <d v="2021-03-01T00:00:00"/>
    <n v="0"/>
    <x v="20"/>
  </r>
  <r>
    <x v="1"/>
    <x v="8"/>
    <n v="12"/>
    <x v="5"/>
    <d v="2021-03-01T00:00:00"/>
    <n v="0"/>
    <x v="21"/>
  </r>
  <r>
    <x v="1"/>
    <x v="8"/>
    <n v="12"/>
    <x v="5"/>
    <d v="2021-03-01T00:00:00"/>
    <n v="0"/>
    <x v="22"/>
  </r>
  <r>
    <x v="1"/>
    <x v="8"/>
    <n v="12"/>
    <x v="5"/>
    <d v="2021-03-01T00:00:00"/>
    <n v="0"/>
    <x v="23"/>
  </r>
  <r>
    <x v="1"/>
    <x v="8"/>
    <n v="12"/>
    <x v="5"/>
    <d v="2021-03-01T00:00:00"/>
    <n v="0"/>
    <x v="24"/>
  </r>
  <r>
    <x v="1"/>
    <x v="8"/>
    <n v="12"/>
    <x v="5"/>
    <d v="2021-03-01T00:00:00"/>
    <n v="0"/>
    <x v="12"/>
  </r>
  <r>
    <x v="1"/>
    <x v="8"/>
    <n v="13"/>
    <x v="6"/>
    <d v="2021-03-01T00:00:00"/>
    <n v="0"/>
    <x v="13"/>
  </r>
  <r>
    <x v="1"/>
    <x v="8"/>
    <n v="13"/>
    <x v="6"/>
    <d v="2021-03-01T00:00:00"/>
    <n v="0"/>
    <x v="14"/>
  </r>
  <r>
    <x v="1"/>
    <x v="8"/>
    <n v="13"/>
    <x v="6"/>
    <d v="2021-03-01T00:00:00"/>
    <n v="0"/>
    <x v="15"/>
  </r>
  <r>
    <x v="1"/>
    <x v="8"/>
    <n v="13"/>
    <x v="6"/>
    <d v="2021-03-01T00:00:00"/>
    <n v="0"/>
    <x v="16"/>
  </r>
  <r>
    <x v="1"/>
    <x v="8"/>
    <n v="13"/>
    <x v="6"/>
    <d v="2021-03-01T00:00:00"/>
    <n v="0"/>
    <x v="17"/>
  </r>
  <r>
    <x v="1"/>
    <x v="8"/>
    <n v="13"/>
    <x v="6"/>
    <d v="2021-03-01T00:00:00"/>
    <n v="0"/>
    <x v="18"/>
  </r>
  <r>
    <x v="1"/>
    <x v="8"/>
    <n v="13"/>
    <x v="6"/>
    <d v="2021-03-01T00:00:00"/>
    <n v="0"/>
    <x v="19"/>
  </r>
  <r>
    <x v="1"/>
    <x v="8"/>
    <n v="13"/>
    <x v="6"/>
    <d v="2021-03-01T00:00:00"/>
    <n v="0"/>
    <x v="20"/>
  </r>
  <r>
    <x v="1"/>
    <x v="8"/>
    <n v="13"/>
    <x v="6"/>
    <d v="2021-03-01T00:00:00"/>
    <n v="0"/>
    <x v="21"/>
  </r>
  <r>
    <x v="1"/>
    <x v="8"/>
    <n v="13"/>
    <x v="6"/>
    <d v="2021-03-01T00:00:00"/>
    <n v="0"/>
    <x v="22"/>
  </r>
  <r>
    <x v="1"/>
    <x v="8"/>
    <n v="13"/>
    <x v="6"/>
    <d v="2021-03-01T00:00:00"/>
    <n v="0"/>
    <x v="23"/>
  </r>
  <r>
    <x v="1"/>
    <x v="8"/>
    <n v="13"/>
    <x v="6"/>
    <d v="2021-03-01T00:00:00"/>
    <n v="0"/>
    <x v="24"/>
  </r>
  <r>
    <x v="1"/>
    <x v="8"/>
    <n v="13"/>
    <x v="6"/>
    <d v="2021-03-01T00:00:00"/>
    <n v="0"/>
    <x v="12"/>
  </r>
  <r>
    <x v="1"/>
    <x v="8"/>
    <n v="14"/>
    <x v="7"/>
    <d v="2021-03-01T00:00:00"/>
    <n v="0"/>
    <x v="13"/>
  </r>
  <r>
    <x v="1"/>
    <x v="8"/>
    <n v="14"/>
    <x v="7"/>
    <d v="2021-03-01T00:00:00"/>
    <n v="0"/>
    <x v="14"/>
  </r>
  <r>
    <x v="1"/>
    <x v="8"/>
    <n v="14"/>
    <x v="7"/>
    <d v="2021-03-01T00:00:00"/>
    <n v="0"/>
    <x v="15"/>
  </r>
  <r>
    <x v="1"/>
    <x v="8"/>
    <n v="14"/>
    <x v="7"/>
    <d v="2021-03-01T00:00:00"/>
    <n v="0"/>
    <x v="16"/>
  </r>
  <r>
    <x v="1"/>
    <x v="8"/>
    <n v="14"/>
    <x v="7"/>
    <d v="2021-03-01T00:00:00"/>
    <n v="0"/>
    <x v="17"/>
  </r>
  <r>
    <x v="1"/>
    <x v="8"/>
    <n v="14"/>
    <x v="7"/>
    <d v="2021-03-01T00:00:00"/>
    <n v="0"/>
    <x v="18"/>
  </r>
  <r>
    <x v="1"/>
    <x v="8"/>
    <n v="14"/>
    <x v="7"/>
    <d v="2021-03-01T00:00:00"/>
    <n v="0"/>
    <x v="19"/>
  </r>
  <r>
    <x v="1"/>
    <x v="8"/>
    <n v="14"/>
    <x v="7"/>
    <d v="2021-03-01T00:00:00"/>
    <n v="0"/>
    <x v="20"/>
  </r>
  <r>
    <x v="1"/>
    <x v="8"/>
    <n v="14"/>
    <x v="7"/>
    <d v="2021-03-01T00:00:00"/>
    <n v="0"/>
    <x v="21"/>
  </r>
  <r>
    <x v="1"/>
    <x v="8"/>
    <n v="14"/>
    <x v="7"/>
    <d v="2021-03-01T00:00:00"/>
    <n v="0"/>
    <x v="22"/>
  </r>
  <r>
    <x v="1"/>
    <x v="8"/>
    <n v="14"/>
    <x v="7"/>
    <d v="2021-03-01T00:00:00"/>
    <n v="0"/>
    <x v="23"/>
  </r>
  <r>
    <x v="1"/>
    <x v="8"/>
    <n v="14"/>
    <x v="7"/>
    <d v="2021-03-01T00:00:00"/>
    <n v="0"/>
    <x v="24"/>
  </r>
  <r>
    <x v="1"/>
    <x v="8"/>
    <n v="14"/>
    <x v="7"/>
    <d v="2021-03-01T00:00:00"/>
    <n v="0"/>
    <x v="12"/>
  </r>
  <r>
    <x v="1"/>
    <x v="8"/>
    <n v="15"/>
    <x v="8"/>
    <d v="2021-03-01T00:00:00"/>
    <n v="0"/>
    <x v="13"/>
  </r>
  <r>
    <x v="1"/>
    <x v="8"/>
    <n v="15"/>
    <x v="8"/>
    <d v="2021-03-01T00:00:00"/>
    <n v="0"/>
    <x v="14"/>
  </r>
  <r>
    <x v="1"/>
    <x v="8"/>
    <n v="15"/>
    <x v="8"/>
    <d v="2021-03-01T00:00:00"/>
    <n v="0"/>
    <x v="15"/>
  </r>
  <r>
    <x v="1"/>
    <x v="8"/>
    <n v="15"/>
    <x v="8"/>
    <d v="2021-03-01T00:00:00"/>
    <n v="0"/>
    <x v="16"/>
  </r>
  <r>
    <x v="1"/>
    <x v="8"/>
    <n v="15"/>
    <x v="8"/>
    <d v="2021-03-01T00:00:00"/>
    <n v="0"/>
    <x v="17"/>
  </r>
  <r>
    <x v="1"/>
    <x v="8"/>
    <n v="15"/>
    <x v="8"/>
    <d v="2021-03-01T00:00:00"/>
    <n v="0"/>
    <x v="18"/>
  </r>
  <r>
    <x v="1"/>
    <x v="8"/>
    <n v="15"/>
    <x v="8"/>
    <d v="2021-03-01T00:00:00"/>
    <n v="0"/>
    <x v="19"/>
  </r>
  <r>
    <x v="1"/>
    <x v="8"/>
    <n v="15"/>
    <x v="8"/>
    <d v="2021-03-01T00:00:00"/>
    <n v="0"/>
    <x v="20"/>
  </r>
  <r>
    <x v="1"/>
    <x v="8"/>
    <n v="15"/>
    <x v="8"/>
    <d v="2021-03-01T00:00:00"/>
    <n v="0"/>
    <x v="21"/>
  </r>
  <r>
    <x v="1"/>
    <x v="8"/>
    <n v="15"/>
    <x v="8"/>
    <d v="2021-03-01T00:00:00"/>
    <n v="0"/>
    <x v="22"/>
  </r>
  <r>
    <x v="1"/>
    <x v="8"/>
    <n v="15"/>
    <x v="8"/>
    <d v="2021-03-01T00:00:00"/>
    <n v="0"/>
    <x v="23"/>
  </r>
  <r>
    <x v="1"/>
    <x v="8"/>
    <n v="15"/>
    <x v="8"/>
    <d v="2021-03-01T00:00:00"/>
    <n v="0"/>
    <x v="24"/>
  </r>
  <r>
    <x v="1"/>
    <x v="8"/>
    <n v="15"/>
    <x v="8"/>
    <d v="2021-03-01T00:00:00"/>
    <n v="0"/>
    <x v="12"/>
  </r>
  <r>
    <x v="1"/>
    <x v="9"/>
    <n v="7"/>
    <x v="0"/>
    <d v="2021-03-01T00:00:00"/>
    <n v="28196.43"/>
    <x v="13"/>
  </r>
  <r>
    <x v="1"/>
    <x v="9"/>
    <n v="7"/>
    <x v="0"/>
    <d v="2021-03-01T00:00:00"/>
    <n v="28751.75"/>
    <x v="14"/>
  </r>
  <r>
    <x v="1"/>
    <x v="9"/>
    <n v="7"/>
    <x v="0"/>
    <d v="2021-03-01T00:00:00"/>
    <n v="28801.68"/>
    <x v="15"/>
  </r>
  <r>
    <x v="1"/>
    <x v="9"/>
    <n v="7"/>
    <x v="0"/>
    <d v="2021-03-01T00:00:00"/>
    <n v="28761.93"/>
    <x v="16"/>
  </r>
  <r>
    <x v="1"/>
    <x v="9"/>
    <n v="7"/>
    <x v="0"/>
    <d v="2021-03-01T00:00:00"/>
    <n v="29582.59"/>
    <x v="17"/>
  </r>
  <r>
    <x v="1"/>
    <x v="9"/>
    <n v="7"/>
    <x v="0"/>
    <d v="2021-03-01T00:00:00"/>
    <n v="28671.5"/>
    <x v="18"/>
  </r>
  <r>
    <x v="1"/>
    <x v="9"/>
    <n v="7"/>
    <x v="0"/>
    <d v="2021-03-01T00:00:00"/>
    <n v="28736.22"/>
    <x v="19"/>
  </r>
  <r>
    <x v="1"/>
    <x v="9"/>
    <n v="7"/>
    <x v="0"/>
    <d v="2021-03-01T00:00:00"/>
    <n v="29049.119999999999"/>
    <x v="20"/>
  </r>
  <r>
    <x v="1"/>
    <x v="9"/>
    <n v="7"/>
    <x v="0"/>
    <d v="2021-03-01T00:00:00"/>
    <n v="29820.33"/>
    <x v="21"/>
  </r>
  <r>
    <x v="1"/>
    <x v="9"/>
    <n v="7"/>
    <x v="0"/>
    <d v="2021-03-01T00:00:00"/>
    <n v="29666.84"/>
    <x v="22"/>
  </r>
  <r>
    <x v="1"/>
    <x v="9"/>
    <n v="7"/>
    <x v="0"/>
    <d v="2021-03-01T00:00:00"/>
    <n v="30001.86"/>
    <x v="23"/>
  </r>
  <r>
    <x v="1"/>
    <x v="9"/>
    <n v="7"/>
    <x v="0"/>
    <d v="2021-03-01T00:00:00"/>
    <n v="43665.366000000002"/>
    <x v="24"/>
  </r>
  <r>
    <x v="1"/>
    <x v="9"/>
    <n v="7"/>
    <x v="0"/>
    <d v="2021-03-01T00:00:00"/>
    <n v="363705.61599999998"/>
    <x v="12"/>
  </r>
  <r>
    <x v="1"/>
    <x v="9"/>
    <n v="8"/>
    <x v="1"/>
    <d v="2021-03-01T00:00:00"/>
    <n v="3265.84"/>
    <x v="13"/>
  </r>
  <r>
    <x v="1"/>
    <x v="9"/>
    <n v="8"/>
    <x v="1"/>
    <d v="2021-03-01T00:00:00"/>
    <n v="3269.27"/>
    <x v="14"/>
  </r>
  <r>
    <x v="1"/>
    <x v="9"/>
    <n v="8"/>
    <x v="1"/>
    <d v="2021-03-01T00:00:00"/>
    <n v="3405.82"/>
    <x v="15"/>
  </r>
  <r>
    <x v="1"/>
    <x v="9"/>
    <n v="8"/>
    <x v="1"/>
    <d v="2021-03-01T00:00:00"/>
    <n v="3202.21"/>
    <x v="16"/>
  </r>
  <r>
    <x v="1"/>
    <x v="9"/>
    <n v="8"/>
    <x v="1"/>
    <d v="2021-03-01T00:00:00"/>
    <n v="3279.1"/>
    <x v="17"/>
  </r>
  <r>
    <x v="1"/>
    <x v="9"/>
    <n v="8"/>
    <x v="1"/>
    <d v="2021-03-01T00:00:00"/>
    <n v="3017.89"/>
    <x v="18"/>
  </r>
  <r>
    <x v="1"/>
    <x v="9"/>
    <n v="8"/>
    <x v="1"/>
    <d v="2021-03-01T00:00:00"/>
    <n v="3050"/>
    <x v="19"/>
  </r>
  <r>
    <x v="1"/>
    <x v="9"/>
    <n v="8"/>
    <x v="1"/>
    <d v="2021-03-01T00:00:00"/>
    <n v="3195.89"/>
    <x v="20"/>
  </r>
  <r>
    <x v="1"/>
    <x v="9"/>
    <n v="8"/>
    <x v="1"/>
    <d v="2021-03-01T00:00:00"/>
    <n v="3329.51"/>
    <x v="21"/>
  </r>
  <r>
    <x v="1"/>
    <x v="9"/>
    <n v="8"/>
    <x v="1"/>
    <d v="2021-03-01T00:00:00"/>
    <n v="3279.35"/>
    <x v="22"/>
  </r>
  <r>
    <x v="1"/>
    <x v="9"/>
    <n v="8"/>
    <x v="1"/>
    <d v="2021-03-01T00:00:00"/>
    <n v="3037.14"/>
    <x v="23"/>
  </r>
  <r>
    <x v="1"/>
    <x v="9"/>
    <n v="8"/>
    <x v="1"/>
    <d v="2021-03-01T00:00:00"/>
    <n v="5512.33"/>
    <x v="24"/>
  </r>
  <r>
    <x v="1"/>
    <x v="9"/>
    <n v="8"/>
    <x v="1"/>
    <d v="2021-03-01T00:00:00"/>
    <n v="40844.35"/>
    <x v="12"/>
  </r>
  <r>
    <x v="1"/>
    <x v="9"/>
    <n v="9"/>
    <x v="2"/>
    <d v="2021-03-01T00:00:00"/>
    <n v="2432.59"/>
    <x v="13"/>
  </r>
  <r>
    <x v="1"/>
    <x v="9"/>
    <n v="9"/>
    <x v="2"/>
    <d v="2021-03-01T00:00:00"/>
    <n v="2477.69"/>
    <x v="14"/>
  </r>
  <r>
    <x v="1"/>
    <x v="9"/>
    <n v="9"/>
    <x v="2"/>
    <d v="2021-03-01T00:00:00"/>
    <n v="2701.13"/>
    <x v="15"/>
  </r>
  <r>
    <x v="1"/>
    <x v="9"/>
    <n v="9"/>
    <x v="2"/>
    <d v="2021-03-01T00:00:00"/>
    <n v="2507.38"/>
    <x v="16"/>
  </r>
  <r>
    <x v="1"/>
    <x v="9"/>
    <n v="9"/>
    <x v="2"/>
    <d v="2021-03-01T00:00:00"/>
    <n v="2773.66"/>
    <x v="17"/>
  </r>
  <r>
    <x v="1"/>
    <x v="9"/>
    <n v="9"/>
    <x v="2"/>
    <d v="2021-03-01T00:00:00"/>
    <n v="2607.46"/>
    <x v="18"/>
  </r>
  <r>
    <x v="1"/>
    <x v="9"/>
    <n v="9"/>
    <x v="2"/>
    <d v="2021-03-01T00:00:00"/>
    <n v="2589.23"/>
    <x v="19"/>
  </r>
  <r>
    <x v="1"/>
    <x v="9"/>
    <n v="9"/>
    <x v="2"/>
    <d v="2021-03-01T00:00:00"/>
    <n v="2549.4699999999998"/>
    <x v="20"/>
  </r>
  <r>
    <x v="1"/>
    <x v="9"/>
    <n v="9"/>
    <x v="2"/>
    <d v="2021-03-01T00:00:00"/>
    <n v="2572.4499999999998"/>
    <x v="21"/>
  </r>
  <r>
    <x v="1"/>
    <x v="9"/>
    <n v="9"/>
    <x v="2"/>
    <d v="2021-03-01T00:00:00"/>
    <n v="3114.88"/>
    <x v="22"/>
  </r>
  <r>
    <x v="1"/>
    <x v="9"/>
    <n v="9"/>
    <x v="2"/>
    <d v="2021-03-01T00:00:00"/>
    <n v="2632.82"/>
    <x v="23"/>
  </r>
  <r>
    <x v="1"/>
    <x v="9"/>
    <n v="9"/>
    <x v="2"/>
    <d v="2021-03-01T00:00:00"/>
    <n v="2875.31"/>
    <x v="24"/>
  </r>
  <r>
    <x v="1"/>
    <x v="9"/>
    <n v="9"/>
    <x v="2"/>
    <d v="2021-03-01T00:00:00"/>
    <n v="31834.07"/>
    <x v="12"/>
  </r>
  <r>
    <x v="1"/>
    <x v="9"/>
    <n v="10"/>
    <x v="3"/>
    <d v="2021-03-01T00:00:00"/>
    <n v="6464.91"/>
    <x v="13"/>
  </r>
  <r>
    <x v="1"/>
    <x v="9"/>
    <n v="10"/>
    <x v="3"/>
    <d v="2021-03-01T00:00:00"/>
    <n v="6378.06"/>
    <x v="14"/>
  </r>
  <r>
    <x v="1"/>
    <x v="9"/>
    <n v="10"/>
    <x v="3"/>
    <d v="2021-03-01T00:00:00"/>
    <n v="6494.03"/>
    <x v="15"/>
  </r>
  <r>
    <x v="1"/>
    <x v="9"/>
    <n v="10"/>
    <x v="3"/>
    <d v="2021-03-01T00:00:00"/>
    <n v="6575.83"/>
    <x v="16"/>
  </r>
  <r>
    <x v="1"/>
    <x v="9"/>
    <n v="10"/>
    <x v="3"/>
    <d v="2021-03-01T00:00:00"/>
    <n v="6961.05"/>
    <x v="17"/>
  </r>
  <r>
    <x v="1"/>
    <x v="9"/>
    <n v="10"/>
    <x v="3"/>
    <d v="2021-03-01T00:00:00"/>
    <n v="6620.4"/>
    <x v="18"/>
  </r>
  <r>
    <x v="1"/>
    <x v="9"/>
    <n v="10"/>
    <x v="3"/>
    <d v="2021-03-01T00:00:00"/>
    <n v="6746.74"/>
    <x v="19"/>
  </r>
  <r>
    <x v="1"/>
    <x v="9"/>
    <n v="10"/>
    <x v="3"/>
    <d v="2021-03-01T00:00:00"/>
    <n v="6863.69"/>
    <x v="20"/>
  </r>
  <r>
    <x v="1"/>
    <x v="9"/>
    <n v="10"/>
    <x v="3"/>
    <d v="2021-03-01T00:00:00"/>
    <n v="6737.15"/>
    <x v="21"/>
  </r>
  <r>
    <x v="1"/>
    <x v="9"/>
    <n v="10"/>
    <x v="3"/>
    <d v="2021-03-01T00:00:00"/>
    <n v="6717.32"/>
    <x v="22"/>
  </r>
  <r>
    <x v="1"/>
    <x v="9"/>
    <n v="10"/>
    <x v="3"/>
    <d v="2021-03-01T00:00:00"/>
    <n v="6895.84"/>
    <x v="23"/>
  </r>
  <r>
    <x v="1"/>
    <x v="9"/>
    <n v="10"/>
    <x v="3"/>
    <d v="2021-03-01T00:00:00"/>
    <n v="16152.47"/>
    <x v="24"/>
  </r>
  <r>
    <x v="1"/>
    <x v="9"/>
    <n v="10"/>
    <x v="3"/>
    <d v="2021-03-01T00:00:00"/>
    <n v="89607.49"/>
    <x v="12"/>
  </r>
  <r>
    <x v="1"/>
    <x v="9"/>
    <n v="11"/>
    <x v="4"/>
    <d v="2021-03-01T00:00:00"/>
    <n v="1589.73"/>
    <x v="13"/>
  </r>
  <r>
    <x v="1"/>
    <x v="9"/>
    <n v="11"/>
    <x v="4"/>
    <d v="2021-03-01T00:00:00"/>
    <n v="2146.8000000000002"/>
    <x v="14"/>
  </r>
  <r>
    <x v="1"/>
    <x v="9"/>
    <n v="11"/>
    <x v="4"/>
    <d v="2021-03-01T00:00:00"/>
    <n v="1581.52"/>
    <x v="15"/>
  </r>
  <r>
    <x v="1"/>
    <x v="9"/>
    <n v="11"/>
    <x v="4"/>
    <d v="2021-03-01T00:00:00"/>
    <n v="2002.78"/>
    <x v="16"/>
  </r>
  <r>
    <x v="1"/>
    <x v="9"/>
    <n v="11"/>
    <x v="4"/>
    <d v="2021-03-01T00:00:00"/>
    <n v="1704.96"/>
    <x v="17"/>
  </r>
  <r>
    <x v="1"/>
    <x v="9"/>
    <n v="11"/>
    <x v="4"/>
    <d v="2021-03-01T00:00:00"/>
    <n v="1884.34"/>
    <x v="18"/>
  </r>
  <r>
    <x v="1"/>
    <x v="9"/>
    <n v="11"/>
    <x v="4"/>
    <d v="2021-03-01T00:00:00"/>
    <n v="1975.78"/>
    <x v="19"/>
  </r>
  <r>
    <x v="1"/>
    <x v="9"/>
    <n v="11"/>
    <x v="4"/>
    <d v="2021-03-01T00:00:00"/>
    <n v="1250.72"/>
    <x v="20"/>
  </r>
  <r>
    <x v="1"/>
    <x v="9"/>
    <n v="11"/>
    <x v="4"/>
    <d v="2021-03-01T00:00:00"/>
    <n v="1987.01"/>
    <x v="21"/>
  </r>
  <r>
    <x v="1"/>
    <x v="9"/>
    <n v="11"/>
    <x v="4"/>
    <d v="2021-03-01T00:00:00"/>
    <n v="1614.15"/>
    <x v="22"/>
  </r>
  <r>
    <x v="1"/>
    <x v="9"/>
    <n v="11"/>
    <x v="4"/>
    <d v="2021-03-01T00:00:00"/>
    <n v="2863.05"/>
    <x v="23"/>
  </r>
  <r>
    <x v="1"/>
    <x v="9"/>
    <n v="11"/>
    <x v="4"/>
    <d v="2021-03-01T00:00:00"/>
    <n v="2351.636"/>
    <x v="24"/>
  </r>
  <r>
    <x v="1"/>
    <x v="9"/>
    <n v="11"/>
    <x v="4"/>
    <d v="2021-03-01T00:00:00"/>
    <n v="22952.475999999999"/>
    <x v="12"/>
  </r>
  <r>
    <x v="1"/>
    <x v="9"/>
    <n v="12"/>
    <x v="5"/>
    <d v="2021-03-01T00:00:00"/>
    <n v="83.77"/>
    <x v="13"/>
  </r>
  <r>
    <x v="1"/>
    <x v="9"/>
    <n v="12"/>
    <x v="5"/>
    <d v="2021-03-01T00:00:00"/>
    <n v="56.64"/>
    <x v="14"/>
  </r>
  <r>
    <x v="1"/>
    <x v="9"/>
    <n v="12"/>
    <x v="5"/>
    <d v="2021-03-01T00:00:00"/>
    <n v="98.19"/>
    <x v="15"/>
  </r>
  <r>
    <x v="1"/>
    <x v="9"/>
    <n v="12"/>
    <x v="5"/>
    <d v="2021-03-01T00:00:00"/>
    <n v="76.900000000000006"/>
    <x v="16"/>
  </r>
  <r>
    <x v="1"/>
    <x v="9"/>
    <n v="12"/>
    <x v="5"/>
    <d v="2021-03-01T00:00:00"/>
    <n v="81.36"/>
    <x v="17"/>
  </r>
  <r>
    <x v="1"/>
    <x v="9"/>
    <n v="12"/>
    <x v="5"/>
    <d v="2021-03-01T00:00:00"/>
    <n v="160.44999999999999"/>
    <x v="18"/>
  </r>
  <r>
    <x v="1"/>
    <x v="9"/>
    <n v="12"/>
    <x v="5"/>
    <d v="2021-03-01T00:00:00"/>
    <n v="68.78"/>
    <x v="19"/>
  </r>
  <r>
    <x v="1"/>
    <x v="9"/>
    <n v="12"/>
    <x v="5"/>
    <d v="2021-03-01T00:00:00"/>
    <n v="116.5"/>
    <x v="20"/>
  </r>
  <r>
    <x v="1"/>
    <x v="9"/>
    <n v="12"/>
    <x v="5"/>
    <d v="2021-03-01T00:00:00"/>
    <n v="99.29"/>
    <x v="21"/>
  </r>
  <r>
    <x v="1"/>
    <x v="9"/>
    <n v="12"/>
    <x v="5"/>
    <d v="2021-03-01T00:00:00"/>
    <n v="91.31"/>
    <x v="22"/>
  </r>
  <r>
    <x v="1"/>
    <x v="9"/>
    <n v="12"/>
    <x v="5"/>
    <d v="2021-03-01T00:00:00"/>
    <n v="103.59"/>
    <x v="23"/>
  </r>
  <r>
    <x v="1"/>
    <x v="9"/>
    <n v="12"/>
    <x v="5"/>
    <d v="2021-03-01T00:00:00"/>
    <n v="116.19"/>
    <x v="24"/>
  </r>
  <r>
    <x v="1"/>
    <x v="9"/>
    <n v="12"/>
    <x v="5"/>
    <d v="2021-03-01T00:00:00"/>
    <n v="1152.97"/>
    <x v="12"/>
  </r>
  <r>
    <x v="1"/>
    <x v="9"/>
    <n v="13"/>
    <x v="6"/>
    <d v="2021-03-01T00:00:00"/>
    <n v="11760.17"/>
    <x v="13"/>
  </r>
  <r>
    <x v="1"/>
    <x v="9"/>
    <n v="13"/>
    <x v="6"/>
    <d v="2021-03-01T00:00:00"/>
    <n v="11788.13"/>
    <x v="14"/>
  </r>
  <r>
    <x v="1"/>
    <x v="9"/>
    <n v="13"/>
    <x v="6"/>
    <d v="2021-03-01T00:00:00"/>
    <n v="11689.78"/>
    <x v="15"/>
  </r>
  <r>
    <x v="1"/>
    <x v="9"/>
    <n v="13"/>
    <x v="6"/>
    <d v="2021-03-01T00:00:00"/>
    <n v="11764.09"/>
    <x v="16"/>
  </r>
  <r>
    <x v="1"/>
    <x v="9"/>
    <n v="13"/>
    <x v="6"/>
    <d v="2021-03-01T00:00:00"/>
    <n v="11937.97"/>
    <x v="17"/>
  </r>
  <r>
    <x v="1"/>
    <x v="9"/>
    <n v="13"/>
    <x v="6"/>
    <d v="2021-03-01T00:00:00"/>
    <n v="11825.89"/>
    <x v="18"/>
  </r>
  <r>
    <x v="1"/>
    <x v="9"/>
    <n v="13"/>
    <x v="6"/>
    <d v="2021-03-01T00:00:00"/>
    <n v="11406.27"/>
    <x v="19"/>
  </r>
  <r>
    <x v="1"/>
    <x v="9"/>
    <n v="13"/>
    <x v="6"/>
    <d v="2021-03-01T00:00:00"/>
    <n v="11971.42"/>
    <x v="20"/>
  </r>
  <r>
    <x v="1"/>
    <x v="9"/>
    <n v="13"/>
    <x v="6"/>
    <d v="2021-03-01T00:00:00"/>
    <n v="11767.97"/>
    <x v="21"/>
  </r>
  <r>
    <x v="1"/>
    <x v="9"/>
    <n v="13"/>
    <x v="6"/>
    <d v="2021-03-01T00:00:00"/>
    <n v="11767.96"/>
    <x v="22"/>
  </r>
  <r>
    <x v="1"/>
    <x v="9"/>
    <n v="13"/>
    <x v="6"/>
    <d v="2021-03-01T00:00:00"/>
    <n v="11231.92"/>
    <x v="23"/>
  </r>
  <r>
    <x v="1"/>
    <x v="9"/>
    <n v="13"/>
    <x v="6"/>
    <d v="2021-03-01T00:00:00"/>
    <n v="12395.46"/>
    <x v="24"/>
  </r>
  <r>
    <x v="1"/>
    <x v="9"/>
    <n v="13"/>
    <x v="6"/>
    <d v="2021-03-01T00:00:00"/>
    <n v="141307.03"/>
    <x v="12"/>
  </r>
  <r>
    <x v="1"/>
    <x v="9"/>
    <n v="14"/>
    <x v="7"/>
    <d v="2021-03-01T00:00:00"/>
    <n v="0"/>
    <x v="13"/>
  </r>
  <r>
    <x v="1"/>
    <x v="9"/>
    <n v="14"/>
    <x v="7"/>
    <d v="2021-03-01T00:00:00"/>
    <n v="0"/>
    <x v="14"/>
  </r>
  <r>
    <x v="1"/>
    <x v="9"/>
    <n v="14"/>
    <x v="7"/>
    <d v="2021-03-01T00:00:00"/>
    <n v="0"/>
    <x v="15"/>
  </r>
  <r>
    <x v="1"/>
    <x v="9"/>
    <n v="14"/>
    <x v="7"/>
    <d v="2021-03-01T00:00:00"/>
    <n v="0"/>
    <x v="16"/>
  </r>
  <r>
    <x v="1"/>
    <x v="9"/>
    <n v="14"/>
    <x v="7"/>
    <d v="2021-03-01T00:00:00"/>
    <n v="0"/>
    <x v="17"/>
  </r>
  <r>
    <x v="1"/>
    <x v="9"/>
    <n v="14"/>
    <x v="7"/>
    <d v="2021-03-01T00:00:00"/>
    <n v="0"/>
    <x v="18"/>
  </r>
  <r>
    <x v="1"/>
    <x v="9"/>
    <n v="14"/>
    <x v="7"/>
    <d v="2021-03-01T00:00:00"/>
    <n v="0"/>
    <x v="19"/>
  </r>
  <r>
    <x v="1"/>
    <x v="9"/>
    <n v="14"/>
    <x v="7"/>
    <d v="2021-03-01T00:00:00"/>
    <n v="0"/>
    <x v="20"/>
  </r>
  <r>
    <x v="1"/>
    <x v="9"/>
    <n v="14"/>
    <x v="7"/>
    <d v="2021-03-01T00:00:00"/>
    <n v="0"/>
    <x v="21"/>
  </r>
  <r>
    <x v="1"/>
    <x v="9"/>
    <n v="14"/>
    <x v="7"/>
    <d v="2021-03-01T00:00:00"/>
    <n v="0"/>
    <x v="22"/>
  </r>
  <r>
    <x v="1"/>
    <x v="9"/>
    <n v="14"/>
    <x v="7"/>
    <d v="2021-03-01T00:00:00"/>
    <n v="0"/>
    <x v="23"/>
  </r>
  <r>
    <x v="1"/>
    <x v="9"/>
    <n v="14"/>
    <x v="7"/>
    <d v="2021-03-01T00:00:00"/>
    <n v="0"/>
    <x v="24"/>
  </r>
  <r>
    <x v="1"/>
    <x v="9"/>
    <n v="14"/>
    <x v="7"/>
    <d v="2021-03-01T00:00:00"/>
    <n v="0"/>
    <x v="12"/>
  </r>
  <r>
    <x v="1"/>
    <x v="9"/>
    <n v="15"/>
    <x v="8"/>
    <d v="2021-03-01T00:00:00"/>
    <n v="1257.23"/>
    <x v="13"/>
  </r>
  <r>
    <x v="1"/>
    <x v="9"/>
    <n v="15"/>
    <x v="8"/>
    <d v="2021-03-01T00:00:00"/>
    <n v="1224.22"/>
    <x v="14"/>
  </r>
  <r>
    <x v="1"/>
    <x v="9"/>
    <n v="15"/>
    <x v="8"/>
    <d v="2021-03-01T00:00:00"/>
    <n v="1258.6099999999999"/>
    <x v="15"/>
  </r>
  <r>
    <x v="1"/>
    <x v="9"/>
    <n v="15"/>
    <x v="8"/>
    <d v="2021-03-01T00:00:00"/>
    <n v="1326.2"/>
    <x v="16"/>
  </r>
  <r>
    <x v="1"/>
    <x v="9"/>
    <n v="15"/>
    <x v="8"/>
    <d v="2021-03-01T00:00:00"/>
    <n v="1181.9000000000001"/>
    <x v="17"/>
  </r>
  <r>
    <x v="1"/>
    <x v="9"/>
    <n v="15"/>
    <x v="8"/>
    <d v="2021-03-01T00:00:00"/>
    <n v="1381.91"/>
    <x v="18"/>
  </r>
  <r>
    <x v="1"/>
    <x v="9"/>
    <n v="15"/>
    <x v="8"/>
    <d v="2021-03-01T00:00:00"/>
    <n v="1318.47"/>
    <x v="19"/>
  </r>
  <r>
    <x v="1"/>
    <x v="9"/>
    <n v="15"/>
    <x v="8"/>
    <d v="2021-03-01T00:00:00"/>
    <n v="1295.73"/>
    <x v="20"/>
  </r>
  <r>
    <x v="1"/>
    <x v="9"/>
    <n v="15"/>
    <x v="8"/>
    <d v="2021-03-01T00:00:00"/>
    <n v="1350.32"/>
    <x v="21"/>
  </r>
  <r>
    <x v="1"/>
    <x v="9"/>
    <n v="15"/>
    <x v="8"/>
    <d v="2021-03-01T00:00:00"/>
    <n v="1309.68"/>
    <x v="22"/>
  </r>
  <r>
    <x v="1"/>
    <x v="9"/>
    <n v="15"/>
    <x v="8"/>
    <d v="2021-03-01T00:00:00"/>
    <n v="1364.53"/>
    <x v="23"/>
  </r>
  <r>
    <x v="1"/>
    <x v="9"/>
    <n v="15"/>
    <x v="8"/>
    <d v="2021-03-01T00:00:00"/>
    <n v="1808.77"/>
    <x v="24"/>
  </r>
  <r>
    <x v="1"/>
    <x v="9"/>
    <n v="15"/>
    <x v="8"/>
    <d v="2021-03-01T00:00:00"/>
    <n v="16077.57"/>
    <x v="12"/>
  </r>
  <r>
    <x v="1"/>
    <x v="10"/>
    <n v="7"/>
    <x v="0"/>
    <d v="2021-03-01T00:00:00"/>
    <n v="90389.698000000004"/>
    <x v="13"/>
  </r>
  <r>
    <x v="1"/>
    <x v="10"/>
    <n v="7"/>
    <x v="0"/>
    <d v="2021-03-01T00:00:00"/>
    <n v="92347.379000000001"/>
    <x v="14"/>
  </r>
  <r>
    <x v="1"/>
    <x v="10"/>
    <n v="7"/>
    <x v="0"/>
    <d v="2021-03-01T00:00:00"/>
    <n v="120485.352"/>
    <x v="15"/>
  </r>
  <r>
    <x v="1"/>
    <x v="10"/>
    <n v="7"/>
    <x v="0"/>
    <d v="2021-03-01T00:00:00"/>
    <n v="102965.75999999999"/>
    <x v="16"/>
  </r>
  <r>
    <x v="1"/>
    <x v="10"/>
    <n v="7"/>
    <x v="0"/>
    <d v="2021-03-01T00:00:00"/>
    <n v="94428.752999999997"/>
    <x v="17"/>
  </r>
  <r>
    <x v="1"/>
    <x v="10"/>
    <n v="7"/>
    <x v="0"/>
    <d v="2021-03-01T00:00:00"/>
    <n v="119456.416"/>
    <x v="18"/>
  </r>
  <r>
    <x v="1"/>
    <x v="10"/>
    <n v="7"/>
    <x v="0"/>
    <d v="2021-03-01T00:00:00"/>
    <n v="104981.7"/>
    <x v="19"/>
  </r>
  <r>
    <x v="1"/>
    <x v="10"/>
    <n v="7"/>
    <x v="0"/>
    <d v="2021-03-01T00:00:00"/>
    <n v="101744.864"/>
    <x v="20"/>
  </r>
  <r>
    <x v="1"/>
    <x v="10"/>
    <n v="7"/>
    <x v="0"/>
    <d v="2021-03-01T00:00:00"/>
    <n v="103501"/>
    <x v="21"/>
  </r>
  <r>
    <x v="1"/>
    <x v="10"/>
    <n v="7"/>
    <x v="0"/>
    <d v="2021-03-01T00:00:00"/>
    <n v="104685.30899999999"/>
    <x v="22"/>
  </r>
  <r>
    <x v="1"/>
    <x v="10"/>
    <n v="7"/>
    <x v="0"/>
    <d v="2021-03-01T00:00:00"/>
    <n v="113500.53200000001"/>
    <x v="23"/>
  </r>
  <r>
    <x v="1"/>
    <x v="10"/>
    <n v="7"/>
    <x v="0"/>
    <d v="2021-03-01T00:00:00"/>
    <n v="193390.86300000001"/>
    <x v="24"/>
  </r>
  <r>
    <x v="1"/>
    <x v="10"/>
    <n v="7"/>
    <x v="0"/>
    <d v="2021-03-01T00:00:00"/>
    <n v="1341877.6259999999"/>
    <x v="12"/>
  </r>
  <r>
    <x v="1"/>
    <x v="10"/>
    <n v="8"/>
    <x v="1"/>
    <d v="2021-03-01T00:00:00"/>
    <n v="9903.3580000000002"/>
    <x v="13"/>
  </r>
  <r>
    <x v="1"/>
    <x v="10"/>
    <n v="8"/>
    <x v="1"/>
    <d v="2021-03-01T00:00:00"/>
    <n v="9612.4339999999993"/>
    <x v="14"/>
  </r>
  <r>
    <x v="1"/>
    <x v="10"/>
    <n v="8"/>
    <x v="1"/>
    <d v="2021-03-01T00:00:00"/>
    <n v="9738.0259999999998"/>
    <x v="15"/>
  </r>
  <r>
    <x v="1"/>
    <x v="10"/>
    <n v="8"/>
    <x v="1"/>
    <d v="2021-03-01T00:00:00"/>
    <n v="10108.386"/>
    <x v="16"/>
  </r>
  <r>
    <x v="1"/>
    <x v="10"/>
    <n v="8"/>
    <x v="1"/>
    <d v="2021-03-01T00:00:00"/>
    <n v="9700.7939999999999"/>
    <x v="17"/>
  </r>
  <r>
    <x v="1"/>
    <x v="10"/>
    <n v="8"/>
    <x v="1"/>
    <d v="2021-03-01T00:00:00"/>
    <n v="10021.843999999999"/>
    <x v="18"/>
  </r>
  <r>
    <x v="1"/>
    <x v="10"/>
    <n v="8"/>
    <x v="1"/>
    <d v="2021-03-01T00:00:00"/>
    <n v="10161.062"/>
    <x v="19"/>
  </r>
  <r>
    <x v="1"/>
    <x v="10"/>
    <n v="8"/>
    <x v="1"/>
    <d v="2021-03-01T00:00:00"/>
    <n v="9493.4770000000008"/>
    <x v="20"/>
  </r>
  <r>
    <x v="1"/>
    <x v="10"/>
    <n v="8"/>
    <x v="1"/>
    <d v="2021-03-01T00:00:00"/>
    <n v="9896.2579999999998"/>
    <x v="21"/>
  </r>
  <r>
    <x v="1"/>
    <x v="10"/>
    <n v="8"/>
    <x v="1"/>
    <d v="2021-03-01T00:00:00"/>
    <n v="9074.4080000000104"/>
    <x v="22"/>
  </r>
  <r>
    <x v="1"/>
    <x v="10"/>
    <n v="8"/>
    <x v="1"/>
    <d v="2021-03-01T00:00:00"/>
    <n v="10429.717000000001"/>
    <x v="23"/>
  </r>
  <r>
    <x v="1"/>
    <x v="10"/>
    <n v="8"/>
    <x v="1"/>
    <d v="2021-03-01T00:00:00"/>
    <n v="7713.1390000000101"/>
    <x v="24"/>
  </r>
  <r>
    <x v="1"/>
    <x v="10"/>
    <n v="8"/>
    <x v="1"/>
    <d v="2021-03-01T00:00:00"/>
    <n v="115852.90300000001"/>
    <x v="12"/>
  </r>
  <r>
    <x v="1"/>
    <x v="10"/>
    <n v="9"/>
    <x v="2"/>
    <d v="2021-03-01T00:00:00"/>
    <n v="6230.1989999999996"/>
    <x v="13"/>
  </r>
  <r>
    <x v="1"/>
    <x v="10"/>
    <n v="9"/>
    <x v="2"/>
    <d v="2021-03-01T00:00:00"/>
    <n v="6147.2439999999997"/>
    <x v="14"/>
  </r>
  <r>
    <x v="1"/>
    <x v="10"/>
    <n v="9"/>
    <x v="2"/>
    <d v="2021-03-01T00:00:00"/>
    <n v="6983.723"/>
    <x v="15"/>
  </r>
  <r>
    <x v="1"/>
    <x v="10"/>
    <n v="9"/>
    <x v="2"/>
    <d v="2021-03-01T00:00:00"/>
    <n v="6349.8639999999996"/>
    <x v="16"/>
  </r>
  <r>
    <x v="1"/>
    <x v="10"/>
    <n v="9"/>
    <x v="2"/>
    <d v="2021-03-01T00:00:00"/>
    <n v="6738.1880000000001"/>
    <x v="17"/>
  </r>
  <r>
    <x v="1"/>
    <x v="10"/>
    <n v="9"/>
    <x v="2"/>
    <d v="2021-03-01T00:00:00"/>
    <n v="6332.24"/>
    <x v="18"/>
  </r>
  <r>
    <x v="1"/>
    <x v="10"/>
    <n v="9"/>
    <x v="2"/>
    <d v="2021-03-01T00:00:00"/>
    <n v="5946.3040000000001"/>
    <x v="19"/>
  </r>
  <r>
    <x v="1"/>
    <x v="10"/>
    <n v="9"/>
    <x v="2"/>
    <d v="2021-03-01T00:00:00"/>
    <n v="6343.5659999999998"/>
    <x v="20"/>
  </r>
  <r>
    <x v="1"/>
    <x v="10"/>
    <n v="9"/>
    <x v="2"/>
    <d v="2021-03-01T00:00:00"/>
    <n v="6664.6139999999996"/>
    <x v="21"/>
  </r>
  <r>
    <x v="1"/>
    <x v="10"/>
    <n v="9"/>
    <x v="2"/>
    <d v="2021-03-01T00:00:00"/>
    <n v="7058.3710000000001"/>
    <x v="22"/>
  </r>
  <r>
    <x v="1"/>
    <x v="10"/>
    <n v="9"/>
    <x v="2"/>
    <d v="2021-03-01T00:00:00"/>
    <n v="6162.4750000000004"/>
    <x v="23"/>
  </r>
  <r>
    <x v="1"/>
    <x v="10"/>
    <n v="9"/>
    <x v="2"/>
    <d v="2021-03-01T00:00:00"/>
    <n v="7608.2029999999904"/>
    <x v="24"/>
  </r>
  <r>
    <x v="1"/>
    <x v="10"/>
    <n v="9"/>
    <x v="2"/>
    <d v="2021-03-01T00:00:00"/>
    <n v="78564.990999999995"/>
    <x v="12"/>
  </r>
  <r>
    <x v="1"/>
    <x v="10"/>
    <n v="10"/>
    <x v="3"/>
    <d v="2021-03-01T00:00:00"/>
    <n v="45794.502"/>
    <x v="13"/>
  </r>
  <r>
    <x v="1"/>
    <x v="10"/>
    <n v="10"/>
    <x v="3"/>
    <d v="2021-03-01T00:00:00"/>
    <n v="48892.273000000001"/>
    <x v="14"/>
  </r>
  <r>
    <x v="1"/>
    <x v="10"/>
    <n v="10"/>
    <x v="3"/>
    <d v="2021-03-01T00:00:00"/>
    <n v="48286.326000000001"/>
    <x v="15"/>
  </r>
  <r>
    <x v="1"/>
    <x v="10"/>
    <n v="10"/>
    <x v="3"/>
    <d v="2021-03-01T00:00:00"/>
    <n v="47391.203999999998"/>
    <x v="16"/>
  </r>
  <r>
    <x v="1"/>
    <x v="10"/>
    <n v="10"/>
    <x v="3"/>
    <d v="2021-03-01T00:00:00"/>
    <n v="48099.415999999997"/>
    <x v="17"/>
  </r>
  <r>
    <x v="1"/>
    <x v="10"/>
    <n v="10"/>
    <x v="3"/>
    <d v="2021-03-01T00:00:00"/>
    <n v="47453.936000000002"/>
    <x v="18"/>
  </r>
  <r>
    <x v="1"/>
    <x v="10"/>
    <n v="10"/>
    <x v="3"/>
    <d v="2021-03-01T00:00:00"/>
    <n v="51615.071000000004"/>
    <x v="19"/>
  </r>
  <r>
    <x v="1"/>
    <x v="10"/>
    <n v="10"/>
    <x v="3"/>
    <d v="2021-03-01T00:00:00"/>
    <n v="48462.625"/>
    <x v="20"/>
  </r>
  <r>
    <x v="1"/>
    <x v="10"/>
    <n v="10"/>
    <x v="3"/>
    <d v="2021-03-01T00:00:00"/>
    <n v="49294.923999999999"/>
    <x v="21"/>
  </r>
  <r>
    <x v="1"/>
    <x v="10"/>
    <n v="10"/>
    <x v="3"/>
    <d v="2021-03-01T00:00:00"/>
    <n v="51509.915999999997"/>
    <x v="22"/>
  </r>
  <r>
    <x v="1"/>
    <x v="10"/>
    <n v="10"/>
    <x v="3"/>
    <d v="2021-03-01T00:00:00"/>
    <n v="50741.074000000001"/>
    <x v="23"/>
  </r>
  <r>
    <x v="1"/>
    <x v="10"/>
    <n v="10"/>
    <x v="3"/>
    <d v="2021-03-01T00:00:00"/>
    <n v="110729.932"/>
    <x v="24"/>
  </r>
  <r>
    <x v="1"/>
    <x v="10"/>
    <n v="10"/>
    <x v="3"/>
    <d v="2021-03-01T00:00:00"/>
    <n v="648271.19900000002"/>
    <x v="12"/>
  </r>
  <r>
    <x v="1"/>
    <x v="10"/>
    <n v="11"/>
    <x v="4"/>
    <d v="2021-03-01T00:00:00"/>
    <n v="9272.0249999999996"/>
    <x v="13"/>
  </r>
  <r>
    <x v="1"/>
    <x v="10"/>
    <n v="11"/>
    <x v="4"/>
    <d v="2021-03-01T00:00:00"/>
    <n v="13603.628000000001"/>
    <x v="14"/>
  </r>
  <r>
    <x v="1"/>
    <x v="10"/>
    <n v="11"/>
    <x v="4"/>
    <d v="2021-03-01T00:00:00"/>
    <n v="29775.412"/>
    <x v="15"/>
  </r>
  <r>
    <x v="1"/>
    <x v="10"/>
    <n v="11"/>
    <x v="4"/>
    <d v="2021-03-01T00:00:00"/>
    <n v="-9289.6229999999996"/>
    <x v="16"/>
  </r>
  <r>
    <x v="1"/>
    <x v="10"/>
    <n v="11"/>
    <x v="4"/>
    <d v="2021-03-01T00:00:00"/>
    <n v="9675.6260000000002"/>
    <x v="17"/>
  </r>
  <r>
    <x v="1"/>
    <x v="10"/>
    <n v="11"/>
    <x v="4"/>
    <d v="2021-03-01T00:00:00"/>
    <n v="10043.677"/>
    <x v="18"/>
  </r>
  <r>
    <x v="1"/>
    <x v="10"/>
    <n v="11"/>
    <x v="4"/>
    <d v="2021-03-01T00:00:00"/>
    <n v="10657.379000000001"/>
    <x v="19"/>
  </r>
  <r>
    <x v="1"/>
    <x v="10"/>
    <n v="11"/>
    <x v="4"/>
    <d v="2021-03-01T00:00:00"/>
    <n v="11254.642"/>
    <x v="20"/>
  </r>
  <r>
    <x v="1"/>
    <x v="10"/>
    <n v="11"/>
    <x v="4"/>
    <d v="2021-03-01T00:00:00"/>
    <n v="11328.553"/>
    <x v="21"/>
  </r>
  <r>
    <x v="1"/>
    <x v="10"/>
    <n v="11"/>
    <x v="4"/>
    <d v="2021-03-01T00:00:00"/>
    <n v="10732.597"/>
    <x v="22"/>
  </r>
  <r>
    <x v="1"/>
    <x v="10"/>
    <n v="11"/>
    <x v="4"/>
    <d v="2021-03-01T00:00:00"/>
    <n v="11377.268"/>
    <x v="23"/>
  </r>
  <r>
    <x v="1"/>
    <x v="10"/>
    <n v="11"/>
    <x v="4"/>
    <d v="2021-03-01T00:00:00"/>
    <n v="22712"/>
    <x v="24"/>
  </r>
  <r>
    <x v="1"/>
    <x v="10"/>
    <n v="11"/>
    <x v="4"/>
    <d v="2021-03-01T00:00:00"/>
    <n v="141143.18400000001"/>
    <x v="12"/>
  </r>
  <r>
    <x v="1"/>
    <x v="10"/>
    <n v="12"/>
    <x v="5"/>
    <d v="2021-03-01T00:00:00"/>
    <n v="4835.2089999999998"/>
    <x v="13"/>
  </r>
  <r>
    <x v="1"/>
    <x v="10"/>
    <n v="12"/>
    <x v="5"/>
    <d v="2021-03-01T00:00:00"/>
    <n v="4334.0829999999996"/>
    <x v="14"/>
  </r>
  <r>
    <x v="1"/>
    <x v="10"/>
    <n v="12"/>
    <x v="5"/>
    <d v="2021-03-01T00:00:00"/>
    <n v="5706.8980000000001"/>
    <x v="15"/>
  </r>
  <r>
    <x v="1"/>
    <x v="10"/>
    <n v="12"/>
    <x v="5"/>
    <d v="2021-03-01T00:00:00"/>
    <n v="5631.2730000000001"/>
    <x v="16"/>
  </r>
  <r>
    <x v="1"/>
    <x v="10"/>
    <n v="12"/>
    <x v="5"/>
    <d v="2021-03-01T00:00:00"/>
    <n v="4950.4350000000004"/>
    <x v="17"/>
  </r>
  <r>
    <x v="1"/>
    <x v="10"/>
    <n v="12"/>
    <x v="5"/>
    <d v="2021-03-01T00:00:00"/>
    <n v="5989.3050000000003"/>
    <x v="18"/>
  </r>
  <r>
    <x v="1"/>
    <x v="10"/>
    <n v="12"/>
    <x v="5"/>
    <d v="2021-03-01T00:00:00"/>
    <n v="5627.3379999999997"/>
    <x v="19"/>
  </r>
  <r>
    <x v="1"/>
    <x v="10"/>
    <n v="12"/>
    <x v="5"/>
    <d v="2021-03-01T00:00:00"/>
    <n v="5479.4290000000001"/>
    <x v="20"/>
  </r>
  <r>
    <x v="1"/>
    <x v="10"/>
    <n v="12"/>
    <x v="5"/>
    <d v="2021-03-01T00:00:00"/>
    <n v="5706.6710000000003"/>
    <x v="21"/>
  </r>
  <r>
    <x v="1"/>
    <x v="10"/>
    <n v="12"/>
    <x v="5"/>
    <d v="2021-03-01T00:00:00"/>
    <n v="4991.9129999999896"/>
    <x v="22"/>
  </r>
  <r>
    <x v="1"/>
    <x v="10"/>
    <n v="12"/>
    <x v="5"/>
    <d v="2021-03-01T00:00:00"/>
    <n v="4843.4949999999999"/>
    <x v="23"/>
  </r>
  <r>
    <x v="1"/>
    <x v="10"/>
    <n v="12"/>
    <x v="5"/>
    <d v="2021-03-01T00:00:00"/>
    <n v="8617.4269999999997"/>
    <x v="24"/>
  </r>
  <r>
    <x v="1"/>
    <x v="10"/>
    <n v="12"/>
    <x v="5"/>
    <d v="2021-03-01T00:00:00"/>
    <n v="66713.475999999995"/>
    <x v="12"/>
  </r>
  <r>
    <x v="1"/>
    <x v="10"/>
    <n v="13"/>
    <x v="6"/>
    <d v="2021-03-01T00:00:00"/>
    <n v="12740.108"/>
    <x v="13"/>
  </r>
  <r>
    <x v="1"/>
    <x v="10"/>
    <n v="13"/>
    <x v="6"/>
    <d v="2021-03-01T00:00:00"/>
    <n v="12797.007"/>
    <x v="14"/>
  </r>
  <r>
    <x v="1"/>
    <x v="10"/>
    <n v="13"/>
    <x v="6"/>
    <d v="2021-03-01T00:00:00"/>
    <n v="12720.504999999999"/>
    <x v="15"/>
  </r>
  <r>
    <x v="1"/>
    <x v="10"/>
    <n v="13"/>
    <x v="6"/>
    <d v="2021-03-01T00:00:00"/>
    <n v="13644.786"/>
    <x v="16"/>
  </r>
  <r>
    <x v="1"/>
    <x v="10"/>
    <n v="13"/>
    <x v="6"/>
    <d v="2021-03-01T00:00:00"/>
    <n v="12986.66"/>
    <x v="17"/>
  </r>
  <r>
    <x v="1"/>
    <x v="10"/>
    <n v="13"/>
    <x v="6"/>
    <d v="2021-03-01T00:00:00"/>
    <n v="14380.927"/>
    <x v="18"/>
  </r>
  <r>
    <x v="1"/>
    <x v="10"/>
    <n v="13"/>
    <x v="6"/>
    <d v="2021-03-01T00:00:00"/>
    <n v="13213.2"/>
    <x v="19"/>
  </r>
  <r>
    <x v="1"/>
    <x v="10"/>
    <n v="13"/>
    <x v="6"/>
    <d v="2021-03-01T00:00:00"/>
    <n v="13737.339"/>
    <x v="20"/>
  </r>
  <r>
    <x v="1"/>
    <x v="10"/>
    <n v="13"/>
    <x v="6"/>
    <d v="2021-03-01T00:00:00"/>
    <n v="13472.965"/>
    <x v="21"/>
  </r>
  <r>
    <x v="1"/>
    <x v="10"/>
    <n v="13"/>
    <x v="6"/>
    <d v="2021-03-01T00:00:00"/>
    <n v="13340.739"/>
    <x v="22"/>
  </r>
  <r>
    <x v="1"/>
    <x v="10"/>
    <n v="13"/>
    <x v="6"/>
    <d v="2021-03-01T00:00:00"/>
    <n v="11764.43"/>
    <x v="23"/>
  </r>
  <r>
    <x v="1"/>
    <x v="10"/>
    <n v="13"/>
    <x v="6"/>
    <d v="2021-03-01T00:00:00"/>
    <n v="13971.883"/>
    <x v="24"/>
  </r>
  <r>
    <x v="1"/>
    <x v="10"/>
    <n v="13"/>
    <x v="6"/>
    <d v="2021-03-01T00:00:00"/>
    <n v="158770.549"/>
    <x v="12"/>
  </r>
  <r>
    <x v="1"/>
    <x v="10"/>
    <n v="14"/>
    <x v="7"/>
    <d v="2021-03-01T00:00:00"/>
    <n v="0"/>
    <x v="13"/>
  </r>
  <r>
    <x v="1"/>
    <x v="10"/>
    <n v="14"/>
    <x v="7"/>
    <d v="2021-03-01T00:00:00"/>
    <n v="0"/>
    <x v="14"/>
  </r>
  <r>
    <x v="1"/>
    <x v="10"/>
    <n v="14"/>
    <x v="7"/>
    <d v="2021-03-01T00:00:00"/>
    <n v="0"/>
    <x v="15"/>
  </r>
  <r>
    <x v="1"/>
    <x v="10"/>
    <n v="14"/>
    <x v="7"/>
    <d v="2021-03-01T00:00:00"/>
    <n v="0"/>
    <x v="16"/>
  </r>
  <r>
    <x v="1"/>
    <x v="10"/>
    <n v="14"/>
    <x v="7"/>
    <d v="2021-03-01T00:00:00"/>
    <n v="0"/>
    <x v="17"/>
  </r>
  <r>
    <x v="1"/>
    <x v="10"/>
    <n v="14"/>
    <x v="7"/>
    <d v="2021-03-01T00:00:00"/>
    <n v="0"/>
    <x v="18"/>
  </r>
  <r>
    <x v="1"/>
    <x v="10"/>
    <n v="14"/>
    <x v="7"/>
    <d v="2021-03-01T00:00:00"/>
    <n v="0"/>
    <x v="19"/>
  </r>
  <r>
    <x v="1"/>
    <x v="10"/>
    <n v="14"/>
    <x v="7"/>
    <d v="2021-03-01T00:00:00"/>
    <n v="0"/>
    <x v="20"/>
  </r>
  <r>
    <x v="1"/>
    <x v="10"/>
    <n v="14"/>
    <x v="7"/>
    <d v="2021-03-01T00:00:00"/>
    <n v="0"/>
    <x v="21"/>
  </r>
  <r>
    <x v="1"/>
    <x v="10"/>
    <n v="14"/>
    <x v="7"/>
    <d v="2021-03-01T00:00:00"/>
    <n v="0"/>
    <x v="22"/>
  </r>
  <r>
    <x v="1"/>
    <x v="10"/>
    <n v="14"/>
    <x v="7"/>
    <d v="2021-03-01T00:00:00"/>
    <n v="0"/>
    <x v="23"/>
  </r>
  <r>
    <x v="1"/>
    <x v="10"/>
    <n v="14"/>
    <x v="7"/>
    <d v="2021-03-01T00:00:00"/>
    <n v="0"/>
    <x v="24"/>
  </r>
  <r>
    <x v="1"/>
    <x v="10"/>
    <n v="14"/>
    <x v="7"/>
    <d v="2021-03-01T00:00:00"/>
    <n v="0"/>
    <x v="12"/>
  </r>
  <r>
    <x v="1"/>
    <x v="10"/>
    <n v="15"/>
    <x v="8"/>
    <d v="2021-03-01T00:00:00"/>
    <n v="4601.5680000000002"/>
    <x v="13"/>
  </r>
  <r>
    <x v="1"/>
    <x v="10"/>
    <n v="15"/>
    <x v="8"/>
    <d v="2021-03-01T00:00:00"/>
    <n v="4717.3220000000001"/>
    <x v="14"/>
  </r>
  <r>
    <x v="1"/>
    <x v="10"/>
    <n v="15"/>
    <x v="8"/>
    <d v="2021-03-01T00:00:00"/>
    <n v="4538.2079999999996"/>
    <x v="15"/>
  </r>
  <r>
    <x v="1"/>
    <x v="10"/>
    <n v="15"/>
    <x v="8"/>
    <d v="2021-03-01T00:00:00"/>
    <n v="4969.2169999999996"/>
    <x v="16"/>
  </r>
  <r>
    <x v="1"/>
    <x v="10"/>
    <n v="15"/>
    <x v="8"/>
    <d v="2021-03-01T00:00:00"/>
    <n v="4900.1210000000001"/>
    <x v="17"/>
  </r>
  <r>
    <x v="1"/>
    <x v="10"/>
    <n v="15"/>
    <x v="8"/>
    <d v="2021-03-01T00:00:00"/>
    <n v="5834.0990000000002"/>
    <x v="18"/>
  </r>
  <r>
    <x v="1"/>
    <x v="10"/>
    <n v="15"/>
    <x v="8"/>
    <d v="2021-03-01T00:00:00"/>
    <n v="5560.1629999999996"/>
    <x v="19"/>
  </r>
  <r>
    <x v="1"/>
    <x v="10"/>
    <n v="15"/>
    <x v="8"/>
    <d v="2021-03-01T00:00:00"/>
    <n v="5121.3779999999997"/>
    <x v="20"/>
  </r>
  <r>
    <x v="1"/>
    <x v="10"/>
    <n v="15"/>
    <x v="8"/>
    <d v="2021-03-01T00:00:00"/>
    <n v="5292.8379999999997"/>
    <x v="21"/>
  </r>
  <r>
    <x v="1"/>
    <x v="10"/>
    <n v="15"/>
    <x v="8"/>
    <d v="2021-03-01T00:00:00"/>
    <n v="5751.5209999999997"/>
    <x v="22"/>
  </r>
  <r>
    <x v="1"/>
    <x v="10"/>
    <n v="15"/>
    <x v="8"/>
    <d v="2021-03-01T00:00:00"/>
    <n v="5199.3460000000096"/>
    <x v="23"/>
  </r>
  <r>
    <x v="1"/>
    <x v="10"/>
    <n v="15"/>
    <x v="8"/>
    <d v="2021-03-01T00:00:00"/>
    <n v="7384.3050000000003"/>
    <x v="24"/>
  </r>
  <r>
    <x v="1"/>
    <x v="10"/>
    <n v="15"/>
    <x v="8"/>
    <d v="2021-03-01T00:00:00"/>
    <n v="63870.086000000003"/>
    <x v="12"/>
  </r>
  <r>
    <x v="1"/>
    <x v="11"/>
    <n v="7"/>
    <x v="0"/>
    <d v="2021-03-01T00:00:00"/>
    <n v="10361.721"/>
    <x v="13"/>
  </r>
  <r>
    <x v="1"/>
    <x v="11"/>
    <n v="7"/>
    <x v="0"/>
    <d v="2021-03-01T00:00:00"/>
    <n v="13537"/>
    <x v="14"/>
  </r>
  <r>
    <x v="1"/>
    <x v="11"/>
    <n v="7"/>
    <x v="0"/>
    <d v="2021-03-01T00:00:00"/>
    <n v="12455.279"/>
    <x v="15"/>
  </r>
  <r>
    <x v="1"/>
    <x v="11"/>
    <n v="7"/>
    <x v="0"/>
    <d v="2021-03-01T00:00:00"/>
    <n v="11906"/>
    <x v="16"/>
  </r>
  <r>
    <x v="1"/>
    <x v="11"/>
    <n v="7"/>
    <x v="0"/>
    <d v="2021-03-01T00:00:00"/>
    <n v="11567.01742"/>
    <x v="17"/>
  </r>
  <r>
    <x v="1"/>
    <x v="11"/>
    <n v="7"/>
    <x v="0"/>
    <d v="2021-03-01T00:00:00"/>
    <n v="14334.742840000001"/>
    <x v="18"/>
  </r>
  <r>
    <x v="1"/>
    <x v="11"/>
    <n v="7"/>
    <x v="0"/>
    <d v="2021-03-01T00:00:00"/>
    <n v="12617.884840000001"/>
    <x v="19"/>
  </r>
  <r>
    <x v="1"/>
    <x v="11"/>
    <n v="7"/>
    <x v="0"/>
    <d v="2021-03-01T00:00:00"/>
    <n v="12432.69593"/>
    <x v="20"/>
  </r>
  <r>
    <x v="1"/>
    <x v="11"/>
    <n v="7"/>
    <x v="0"/>
    <d v="2021-03-01T00:00:00"/>
    <n v="14105.27259"/>
    <x v="21"/>
  </r>
  <r>
    <x v="1"/>
    <x v="11"/>
    <n v="7"/>
    <x v="0"/>
    <d v="2021-03-01T00:00:00"/>
    <n v="14066.079589999999"/>
    <x v="22"/>
  </r>
  <r>
    <x v="1"/>
    <x v="11"/>
    <n v="7"/>
    <x v="0"/>
    <d v="2021-03-01T00:00:00"/>
    <n v="8427.4275899999993"/>
    <x v="23"/>
  </r>
  <r>
    <x v="1"/>
    <x v="11"/>
    <n v="7"/>
    <x v="0"/>
    <d v="2021-03-01T00:00:00"/>
    <n v="16675.827600000001"/>
    <x v="24"/>
  </r>
  <r>
    <x v="1"/>
    <x v="11"/>
    <n v="7"/>
    <x v="0"/>
    <d v="2021-03-01T00:00:00"/>
    <n v="152486.94839999999"/>
    <x v="12"/>
  </r>
  <r>
    <x v="1"/>
    <x v="11"/>
    <n v="8"/>
    <x v="1"/>
    <d v="2021-03-01T00:00:00"/>
    <n v="0"/>
    <x v="13"/>
  </r>
  <r>
    <x v="1"/>
    <x v="11"/>
    <n v="8"/>
    <x v="1"/>
    <d v="2021-03-01T00:00:00"/>
    <n v="0"/>
    <x v="14"/>
  </r>
  <r>
    <x v="1"/>
    <x v="11"/>
    <n v="8"/>
    <x v="1"/>
    <d v="2021-03-01T00:00:00"/>
    <n v="0"/>
    <x v="15"/>
  </r>
  <r>
    <x v="1"/>
    <x v="11"/>
    <n v="8"/>
    <x v="1"/>
    <d v="2021-03-01T00:00:00"/>
    <n v="0"/>
    <x v="16"/>
  </r>
  <r>
    <x v="1"/>
    <x v="11"/>
    <n v="8"/>
    <x v="1"/>
    <d v="2021-03-01T00:00:00"/>
    <n v="0"/>
    <x v="17"/>
  </r>
  <r>
    <x v="1"/>
    <x v="11"/>
    <n v="8"/>
    <x v="1"/>
    <d v="2021-03-01T00:00:00"/>
    <n v="0"/>
    <x v="18"/>
  </r>
  <r>
    <x v="1"/>
    <x v="11"/>
    <n v="8"/>
    <x v="1"/>
    <d v="2021-03-01T00:00:00"/>
    <n v="0"/>
    <x v="19"/>
  </r>
  <r>
    <x v="1"/>
    <x v="11"/>
    <n v="8"/>
    <x v="1"/>
    <d v="2021-03-01T00:00:00"/>
    <n v="0"/>
    <x v="20"/>
  </r>
  <r>
    <x v="1"/>
    <x v="11"/>
    <n v="8"/>
    <x v="1"/>
    <d v="2021-03-01T00:00:00"/>
    <n v="0"/>
    <x v="21"/>
  </r>
  <r>
    <x v="1"/>
    <x v="11"/>
    <n v="8"/>
    <x v="1"/>
    <d v="2021-03-01T00:00:00"/>
    <n v="0"/>
    <x v="22"/>
  </r>
  <r>
    <x v="1"/>
    <x v="11"/>
    <n v="8"/>
    <x v="1"/>
    <d v="2021-03-01T00:00:00"/>
    <n v="0"/>
    <x v="23"/>
  </r>
  <r>
    <x v="1"/>
    <x v="11"/>
    <n v="8"/>
    <x v="1"/>
    <d v="2021-03-01T00:00:00"/>
    <n v="0"/>
    <x v="24"/>
  </r>
  <r>
    <x v="1"/>
    <x v="11"/>
    <n v="8"/>
    <x v="1"/>
    <d v="2021-03-01T00:00:00"/>
    <n v="0"/>
    <x v="12"/>
  </r>
  <r>
    <x v="1"/>
    <x v="11"/>
    <n v="9"/>
    <x v="2"/>
    <d v="2021-03-01T00:00:00"/>
    <n v="0"/>
    <x v="13"/>
  </r>
  <r>
    <x v="1"/>
    <x v="11"/>
    <n v="9"/>
    <x v="2"/>
    <d v="2021-03-01T00:00:00"/>
    <n v="0"/>
    <x v="14"/>
  </r>
  <r>
    <x v="1"/>
    <x v="11"/>
    <n v="9"/>
    <x v="2"/>
    <d v="2021-03-01T00:00:00"/>
    <n v="0"/>
    <x v="15"/>
  </r>
  <r>
    <x v="1"/>
    <x v="11"/>
    <n v="9"/>
    <x v="2"/>
    <d v="2021-03-01T00:00:00"/>
    <n v="0"/>
    <x v="16"/>
  </r>
  <r>
    <x v="1"/>
    <x v="11"/>
    <n v="9"/>
    <x v="2"/>
    <d v="2021-03-01T00:00:00"/>
    <n v="0"/>
    <x v="17"/>
  </r>
  <r>
    <x v="1"/>
    <x v="11"/>
    <n v="9"/>
    <x v="2"/>
    <d v="2021-03-01T00:00:00"/>
    <n v="0"/>
    <x v="18"/>
  </r>
  <r>
    <x v="1"/>
    <x v="11"/>
    <n v="9"/>
    <x v="2"/>
    <d v="2021-03-01T00:00:00"/>
    <n v="0"/>
    <x v="19"/>
  </r>
  <r>
    <x v="1"/>
    <x v="11"/>
    <n v="9"/>
    <x v="2"/>
    <d v="2021-03-01T00:00:00"/>
    <n v="0"/>
    <x v="20"/>
  </r>
  <r>
    <x v="1"/>
    <x v="11"/>
    <n v="9"/>
    <x v="2"/>
    <d v="2021-03-01T00:00:00"/>
    <n v="0"/>
    <x v="21"/>
  </r>
  <r>
    <x v="1"/>
    <x v="11"/>
    <n v="9"/>
    <x v="2"/>
    <d v="2021-03-01T00:00:00"/>
    <n v="0"/>
    <x v="22"/>
  </r>
  <r>
    <x v="1"/>
    <x v="11"/>
    <n v="9"/>
    <x v="2"/>
    <d v="2021-03-01T00:00:00"/>
    <n v="0"/>
    <x v="23"/>
  </r>
  <r>
    <x v="1"/>
    <x v="11"/>
    <n v="9"/>
    <x v="2"/>
    <d v="2021-03-01T00:00:00"/>
    <n v="0"/>
    <x v="24"/>
  </r>
  <r>
    <x v="1"/>
    <x v="11"/>
    <n v="9"/>
    <x v="2"/>
    <d v="2021-03-01T00:00:00"/>
    <n v="0"/>
    <x v="12"/>
  </r>
  <r>
    <x v="1"/>
    <x v="11"/>
    <n v="10"/>
    <x v="3"/>
    <d v="2021-03-01T00:00:00"/>
    <n v="5267"/>
    <x v="13"/>
  </r>
  <r>
    <x v="1"/>
    <x v="11"/>
    <n v="10"/>
    <x v="3"/>
    <d v="2021-03-01T00:00:00"/>
    <n v="5343"/>
    <x v="14"/>
  </r>
  <r>
    <x v="1"/>
    <x v="11"/>
    <n v="10"/>
    <x v="3"/>
    <d v="2021-03-01T00:00:00"/>
    <n v="5372.9790000000003"/>
    <x v="15"/>
  </r>
  <r>
    <x v="1"/>
    <x v="11"/>
    <n v="10"/>
    <x v="3"/>
    <d v="2021-03-01T00:00:00"/>
    <n v="5522.7439999999997"/>
    <x v="16"/>
  </r>
  <r>
    <x v="1"/>
    <x v="11"/>
    <n v="10"/>
    <x v="3"/>
    <d v="2021-03-01T00:00:00"/>
    <n v="5591"/>
    <x v="17"/>
  </r>
  <r>
    <x v="1"/>
    <x v="11"/>
    <n v="10"/>
    <x v="3"/>
    <d v="2021-03-01T00:00:00"/>
    <n v="5491.7564000000002"/>
    <x v="18"/>
  </r>
  <r>
    <x v="1"/>
    <x v="11"/>
    <n v="10"/>
    <x v="3"/>
    <d v="2021-03-01T00:00:00"/>
    <n v="5728"/>
    <x v="19"/>
  </r>
  <r>
    <x v="1"/>
    <x v="11"/>
    <n v="10"/>
    <x v="3"/>
    <d v="2021-03-01T00:00:00"/>
    <n v="5411.1109999999999"/>
    <x v="20"/>
  </r>
  <r>
    <x v="1"/>
    <x v="11"/>
    <n v="10"/>
    <x v="3"/>
    <d v="2021-03-01T00:00:00"/>
    <n v="5471.3860000000004"/>
    <x v="21"/>
  </r>
  <r>
    <x v="1"/>
    <x v="11"/>
    <n v="10"/>
    <x v="3"/>
    <d v="2021-03-01T00:00:00"/>
    <n v="5665.0375000000004"/>
    <x v="22"/>
  </r>
  <r>
    <x v="1"/>
    <x v="11"/>
    <n v="10"/>
    <x v="3"/>
    <d v="2021-03-01T00:00:00"/>
    <n v="5526.5545199999997"/>
    <x v="23"/>
  </r>
  <r>
    <x v="1"/>
    <x v="11"/>
    <n v="10"/>
    <x v="3"/>
    <d v="2021-03-01T00:00:00"/>
    <n v="10901"/>
    <x v="24"/>
  </r>
  <r>
    <x v="1"/>
    <x v="11"/>
    <n v="10"/>
    <x v="3"/>
    <d v="2021-03-01T00:00:00"/>
    <n v="71291.568419999996"/>
    <x v="12"/>
  </r>
  <r>
    <x v="1"/>
    <x v="11"/>
    <n v="11"/>
    <x v="4"/>
    <d v="2021-03-01T00:00:00"/>
    <n v="2300"/>
    <x v="13"/>
  </r>
  <r>
    <x v="1"/>
    <x v="11"/>
    <n v="11"/>
    <x v="4"/>
    <d v="2021-03-01T00:00:00"/>
    <n v="4248"/>
    <x v="14"/>
  </r>
  <r>
    <x v="1"/>
    <x v="11"/>
    <n v="11"/>
    <x v="4"/>
    <d v="2021-03-01T00:00:00"/>
    <n v="3079.6"/>
    <x v="15"/>
  </r>
  <r>
    <x v="1"/>
    <x v="11"/>
    <n v="11"/>
    <x v="4"/>
    <d v="2021-03-01T00:00:00"/>
    <n v="2664.2"/>
    <x v="16"/>
  </r>
  <r>
    <x v="1"/>
    <x v="11"/>
    <n v="11"/>
    <x v="4"/>
    <d v="2021-03-01T00:00:00"/>
    <n v="2705.2"/>
    <x v="17"/>
  </r>
  <r>
    <x v="1"/>
    <x v="11"/>
    <n v="11"/>
    <x v="4"/>
    <d v="2021-03-01T00:00:00"/>
    <n v="3947.1091099999899"/>
    <x v="18"/>
  </r>
  <r>
    <x v="1"/>
    <x v="11"/>
    <n v="11"/>
    <x v="4"/>
    <d v="2021-03-01T00:00:00"/>
    <n v="3166.6"/>
    <x v="19"/>
  </r>
  <r>
    <x v="1"/>
    <x v="11"/>
    <n v="11"/>
    <x v="4"/>
    <d v="2021-03-01T00:00:00"/>
    <n v="3215.6"/>
    <x v="20"/>
  </r>
  <r>
    <x v="1"/>
    <x v="11"/>
    <n v="11"/>
    <x v="4"/>
    <d v="2021-03-01T00:00:00"/>
    <n v="4817.6000000000004"/>
    <x v="21"/>
  </r>
  <r>
    <x v="1"/>
    <x v="11"/>
    <n v="11"/>
    <x v="4"/>
    <d v="2021-03-01T00:00:00"/>
    <n v="3489.7"/>
    <x v="22"/>
  </r>
  <r>
    <x v="1"/>
    <x v="11"/>
    <n v="11"/>
    <x v="4"/>
    <d v="2021-03-01T00:00:00"/>
    <n v="3189"/>
    <x v="23"/>
  </r>
  <r>
    <x v="1"/>
    <x v="11"/>
    <n v="11"/>
    <x v="4"/>
    <d v="2021-03-01T00:00:00"/>
    <n v="1268"/>
    <x v="24"/>
  </r>
  <r>
    <x v="1"/>
    <x v="11"/>
    <n v="11"/>
    <x v="4"/>
    <d v="2021-03-01T00:00:00"/>
    <n v="38090.609109999998"/>
    <x v="12"/>
  </r>
  <r>
    <x v="1"/>
    <x v="11"/>
    <n v="12"/>
    <x v="5"/>
    <d v="2021-03-01T00:00:00"/>
    <n v="2255"/>
    <x v="13"/>
  </r>
  <r>
    <x v="1"/>
    <x v="11"/>
    <n v="12"/>
    <x v="5"/>
    <d v="2021-03-01T00:00:00"/>
    <n v="3411"/>
    <x v="14"/>
  </r>
  <r>
    <x v="1"/>
    <x v="11"/>
    <n v="12"/>
    <x v="5"/>
    <d v="2021-03-01T00:00:00"/>
    <n v="3482"/>
    <x v="15"/>
  </r>
  <r>
    <x v="1"/>
    <x v="11"/>
    <n v="12"/>
    <x v="5"/>
    <d v="2021-03-01T00:00:00"/>
    <n v="3193"/>
    <x v="16"/>
  </r>
  <r>
    <x v="1"/>
    <x v="11"/>
    <n v="12"/>
    <x v="5"/>
    <d v="2021-03-01T00:00:00"/>
    <n v="2757"/>
    <x v="17"/>
  </r>
  <r>
    <x v="1"/>
    <x v="11"/>
    <n v="12"/>
    <x v="5"/>
    <d v="2021-03-01T00:00:00"/>
    <n v="4337"/>
    <x v="18"/>
  </r>
  <r>
    <x v="1"/>
    <x v="11"/>
    <n v="12"/>
    <x v="5"/>
    <d v="2021-03-01T00:00:00"/>
    <n v="3212"/>
    <x v="19"/>
  </r>
  <r>
    <x v="1"/>
    <x v="11"/>
    <n v="12"/>
    <x v="5"/>
    <d v="2021-03-01T00:00:00"/>
    <n v="3259"/>
    <x v="20"/>
  </r>
  <r>
    <x v="1"/>
    <x v="11"/>
    <n v="12"/>
    <x v="5"/>
    <d v="2021-03-01T00:00:00"/>
    <n v="3300"/>
    <x v="21"/>
  </r>
  <r>
    <x v="1"/>
    <x v="11"/>
    <n v="12"/>
    <x v="5"/>
    <d v="2021-03-01T00:00:00"/>
    <n v="4388"/>
    <x v="22"/>
  </r>
  <r>
    <x v="1"/>
    <x v="11"/>
    <n v="12"/>
    <x v="5"/>
    <d v="2021-03-01T00:00:00"/>
    <n v="-811"/>
    <x v="23"/>
  </r>
  <r>
    <x v="1"/>
    <x v="11"/>
    <n v="12"/>
    <x v="5"/>
    <d v="2021-03-01T00:00:00"/>
    <n v="4003"/>
    <x v="24"/>
  </r>
  <r>
    <x v="1"/>
    <x v="11"/>
    <n v="12"/>
    <x v="5"/>
    <d v="2021-03-01T00:00:00"/>
    <n v="36786"/>
    <x v="12"/>
  </r>
  <r>
    <x v="1"/>
    <x v="11"/>
    <n v="13"/>
    <x v="6"/>
    <d v="2021-03-01T00:00:00"/>
    <n v="0"/>
    <x v="13"/>
  </r>
  <r>
    <x v="1"/>
    <x v="11"/>
    <n v="13"/>
    <x v="6"/>
    <d v="2021-03-01T00:00:00"/>
    <n v="0"/>
    <x v="14"/>
  </r>
  <r>
    <x v="1"/>
    <x v="11"/>
    <n v="13"/>
    <x v="6"/>
    <d v="2021-03-01T00:00:00"/>
    <n v="0"/>
    <x v="15"/>
  </r>
  <r>
    <x v="1"/>
    <x v="11"/>
    <n v="13"/>
    <x v="6"/>
    <d v="2021-03-01T00:00:00"/>
    <n v="0"/>
    <x v="16"/>
  </r>
  <r>
    <x v="1"/>
    <x v="11"/>
    <n v="13"/>
    <x v="6"/>
    <d v="2021-03-01T00:00:00"/>
    <n v="0"/>
    <x v="17"/>
  </r>
  <r>
    <x v="1"/>
    <x v="11"/>
    <n v="13"/>
    <x v="6"/>
    <d v="2021-03-01T00:00:00"/>
    <n v="0"/>
    <x v="18"/>
  </r>
  <r>
    <x v="1"/>
    <x v="11"/>
    <n v="13"/>
    <x v="6"/>
    <d v="2021-03-01T00:00:00"/>
    <n v="0"/>
    <x v="19"/>
  </r>
  <r>
    <x v="1"/>
    <x v="11"/>
    <n v="13"/>
    <x v="6"/>
    <d v="2021-03-01T00:00:00"/>
    <n v="0"/>
    <x v="20"/>
  </r>
  <r>
    <x v="1"/>
    <x v="11"/>
    <n v="13"/>
    <x v="6"/>
    <d v="2021-03-01T00:00:00"/>
    <n v="0"/>
    <x v="21"/>
  </r>
  <r>
    <x v="1"/>
    <x v="11"/>
    <n v="13"/>
    <x v="6"/>
    <d v="2021-03-01T00:00:00"/>
    <n v="0"/>
    <x v="22"/>
  </r>
  <r>
    <x v="1"/>
    <x v="11"/>
    <n v="13"/>
    <x v="6"/>
    <d v="2021-03-01T00:00:00"/>
    <n v="0"/>
    <x v="23"/>
  </r>
  <r>
    <x v="1"/>
    <x v="11"/>
    <n v="13"/>
    <x v="6"/>
    <d v="2021-03-01T00:00:00"/>
    <n v="0"/>
    <x v="24"/>
  </r>
  <r>
    <x v="1"/>
    <x v="11"/>
    <n v="13"/>
    <x v="6"/>
    <d v="2021-03-01T00:00:00"/>
    <n v="0"/>
    <x v="12"/>
  </r>
  <r>
    <x v="1"/>
    <x v="11"/>
    <n v="14"/>
    <x v="7"/>
    <d v="2021-03-01T00:00:00"/>
    <n v="0"/>
    <x v="13"/>
  </r>
  <r>
    <x v="1"/>
    <x v="11"/>
    <n v="14"/>
    <x v="7"/>
    <d v="2021-03-01T00:00:00"/>
    <n v="0"/>
    <x v="14"/>
  </r>
  <r>
    <x v="1"/>
    <x v="11"/>
    <n v="14"/>
    <x v="7"/>
    <d v="2021-03-01T00:00:00"/>
    <n v="0"/>
    <x v="15"/>
  </r>
  <r>
    <x v="1"/>
    <x v="11"/>
    <n v="14"/>
    <x v="7"/>
    <d v="2021-03-01T00:00:00"/>
    <n v="0"/>
    <x v="16"/>
  </r>
  <r>
    <x v="1"/>
    <x v="11"/>
    <n v="14"/>
    <x v="7"/>
    <d v="2021-03-01T00:00:00"/>
    <n v="0"/>
    <x v="17"/>
  </r>
  <r>
    <x v="1"/>
    <x v="11"/>
    <n v="14"/>
    <x v="7"/>
    <d v="2021-03-01T00:00:00"/>
    <n v="0"/>
    <x v="18"/>
  </r>
  <r>
    <x v="1"/>
    <x v="11"/>
    <n v="14"/>
    <x v="7"/>
    <d v="2021-03-01T00:00:00"/>
    <n v="0"/>
    <x v="19"/>
  </r>
  <r>
    <x v="1"/>
    <x v="11"/>
    <n v="14"/>
    <x v="7"/>
    <d v="2021-03-01T00:00:00"/>
    <n v="0"/>
    <x v="20"/>
  </r>
  <r>
    <x v="1"/>
    <x v="11"/>
    <n v="14"/>
    <x v="7"/>
    <d v="2021-03-01T00:00:00"/>
    <n v="0"/>
    <x v="21"/>
  </r>
  <r>
    <x v="1"/>
    <x v="11"/>
    <n v="14"/>
    <x v="7"/>
    <d v="2021-03-01T00:00:00"/>
    <n v="0"/>
    <x v="22"/>
  </r>
  <r>
    <x v="1"/>
    <x v="11"/>
    <n v="14"/>
    <x v="7"/>
    <d v="2021-03-01T00:00:00"/>
    <n v="0"/>
    <x v="23"/>
  </r>
  <r>
    <x v="1"/>
    <x v="11"/>
    <n v="14"/>
    <x v="7"/>
    <d v="2021-03-01T00:00:00"/>
    <n v="0"/>
    <x v="24"/>
  </r>
  <r>
    <x v="1"/>
    <x v="11"/>
    <n v="14"/>
    <x v="7"/>
    <d v="2021-03-01T00:00:00"/>
    <n v="0"/>
    <x v="12"/>
  </r>
  <r>
    <x v="1"/>
    <x v="11"/>
    <n v="15"/>
    <x v="8"/>
    <d v="2021-03-01T00:00:00"/>
    <n v="0"/>
    <x v="13"/>
  </r>
  <r>
    <x v="1"/>
    <x v="11"/>
    <n v="15"/>
    <x v="8"/>
    <d v="2021-03-01T00:00:00"/>
    <n v="0"/>
    <x v="14"/>
  </r>
  <r>
    <x v="1"/>
    <x v="11"/>
    <n v="15"/>
    <x v="8"/>
    <d v="2021-03-01T00:00:00"/>
    <n v="0"/>
    <x v="15"/>
  </r>
  <r>
    <x v="1"/>
    <x v="11"/>
    <n v="15"/>
    <x v="8"/>
    <d v="2021-03-01T00:00:00"/>
    <n v="0"/>
    <x v="16"/>
  </r>
  <r>
    <x v="1"/>
    <x v="11"/>
    <n v="15"/>
    <x v="8"/>
    <d v="2021-03-01T00:00:00"/>
    <n v="0"/>
    <x v="17"/>
  </r>
  <r>
    <x v="1"/>
    <x v="11"/>
    <n v="15"/>
    <x v="8"/>
    <d v="2021-03-01T00:00:00"/>
    <n v="0"/>
    <x v="18"/>
  </r>
  <r>
    <x v="1"/>
    <x v="11"/>
    <n v="15"/>
    <x v="8"/>
    <d v="2021-03-01T00:00:00"/>
    <n v="0"/>
    <x v="19"/>
  </r>
  <r>
    <x v="1"/>
    <x v="11"/>
    <n v="15"/>
    <x v="8"/>
    <d v="2021-03-01T00:00:00"/>
    <n v="0"/>
    <x v="20"/>
  </r>
  <r>
    <x v="1"/>
    <x v="11"/>
    <n v="15"/>
    <x v="8"/>
    <d v="2021-03-01T00:00:00"/>
    <n v="0"/>
    <x v="21"/>
  </r>
  <r>
    <x v="1"/>
    <x v="11"/>
    <n v="15"/>
    <x v="8"/>
    <d v="2021-03-01T00:00:00"/>
    <n v="0"/>
    <x v="22"/>
  </r>
  <r>
    <x v="1"/>
    <x v="11"/>
    <n v="15"/>
    <x v="8"/>
    <d v="2021-03-01T00:00:00"/>
    <n v="0"/>
    <x v="23"/>
  </r>
  <r>
    <x v="1"/>
    <x v="11"/>
    <n v="15"/>
    <x v="8"/>
    <d v="2021-03-01T00:00:00"/>
    <n v="0"/>
    <x v="24"/>
  </r>
  <r>
    <x v="1"/>
    <x v="11"/>
    <n v="15"/>
    <x v="8"/>
    <d v="2021-03-01T00:00:00"/>
    <n v="0"/>
    <x v="12"/>
  </r>
  <r>
    <x v="1"/>
    <x v="12"/>
    <n v="7"/>
    <x v="0"/>
    <d v="2021-03-01T00:00:00"/>
    <n v="18374"/>
    <x v="13"/>
  </r>
  <r>
    <x v="1"/>
    <x v="12"/>
    <n v="7"/>
    <x v="0"/>
    <d v="2021-03-01T00:00:00"/>
    <n v="18838"/>
    <x v="14"/>
  </r>
  <r>
    <x v="1"/>
    <x v="12"/>
    <n v="7"/>
    <x v="0"/>
    <d v="2021-03-01T00:00:00"/>
    <n v="18945"/>
    <x v="15"/>
  </r>
  <r>
    <x v="1"/>
    <x v="12"/>
    <n v="7"/>
    <x v="0"/>
    <d v="2021-03-01T00:00:00"/>
    <n v="18065"/>
    <x v="16"/>
  </r>
  <r>
    <x v="1"/>
    <x v="12"/>
    <n v="7"/>
    <x v="0"/>
    <d v="2021-03-01T00:00:00"/>
    <n v="18544"/>
    <x v="17"/>
  </r>
  <r>
    <x v="1"/>
    <x v="12"/>
    <n v="7"/>
    <x v="0"/>
    <d v="2021-03-01T00:00:00"/>
    <n v="17967"/>
    <x v="18"/>
  </r>
  <r>
    <x v="1"/>
    <x v="12"/>
    <n v="7"/>
    <x v="0"/>
    <d v="2021-03-01T00:00:00"/>
    <n v="18401"/>
    <x v="19"/>
  </r>
  <r>
    <x v="1"/>
    <x v="12"/>
    <n v="7"/>
    <x v="0"/>
    <d v="2021-03-01T00:00:00"/>
    <n v="18657"/>
    <x v="20"/>
  </r>
  <r>
    <x v="1"/>
    <x v="12"/>
    <n v="7"/>
    <x v="0"/>
    <d v="2021-03-01T00:00:00"/>
    <n v="21742"/>
    <x v="21"/>
  </r>
  <r>
    <x v="1"/>
    <x v="12"/>
    <n v="7"/>
    <x v="0"/>
    <d v="2021-03-01T00:00:00"/>
    <n v="16745"/>
    <x v="22"/>
  </r>
  <r>
    <x v="1"/>
    <x v="12"/>
    <n v="7"/>
    <x v="0"/>
    <d v="2021-03-01T00:00:00"/>
    <n v="21486"/>
    <x v="23"/>
  </r>
  <r>
    <x v="1"/>
    <x v="12"/>
    <n v="7"/>
    <x v="0"/>
    <d v="2021-03-01T00:00:00"/>
    <n v="31861"/>
    <x v="24"/>
  </r>
  <r>
    <x v="1"/>
    <x v="12"/>
    <n v="7"/>
    <x v="0"/>
    <d v="2021-03-01T00:00:00"/>
    <n v="239625"/>
    <x v="12"/>
  </r>
  <r>
    <x v="1"/>
    <x v="12"/>
    <n v="9"/>
    <x v="2"/>
    <d v="2021-03-01T00:00:00"/>
    <n v="0"/>
    <x v="13"/>
  </r>
  <r>
    <x v="1"/>
    <x v="12"/>
    <n v="9"/>
    <x v="2"/>
    <d v="2021-03-01T00:00:00"/>
    <n v="0"/>
    <x v="14"/>
  </r>
  <r>
    <x v="1"/>
    <x v="12"/>
    <n v="9"/>
    <x v="2"/>
    <d v="2021-03-01T00:00:00"/>
    <n v="0"/>
    <x v="15"/>
  </r>
  <r>
    <x v="1"/>
    <x v="12"/>
    <n v="9"/>
    <x v="2"/>
    <d v="2021-03-01T00:00:00"/>
    <n v="0"/>
    <x v="16"/>
  </r>
  <r>
    <x v="1"/>
    <x v="12"/>
    <n v="9"/>
    <x v="2"/>
    <d v="2021-03-01T00:00:00"/>
    <n v="0"/>
    <x v="17"/>
  </r>
  <r>
    <x v="1"/>
    <x v="12"/>
    <n v="9"/>
    <x v="2"/>
    <d v="2021-03-01T00:00:00"/>
    <n v="0"/>
    <x v="18"/>
  </r>
  <r>
    <x v="1"/>
    <x v="12"/>
    <n v="9"/>
    <x v="2"/>
    <d v="2021-03-01T00:00:00"/>
    <n v="0"/>
    <x v="19"/>
  </r>
  <r>
    <x v="1"/>
    <x v="12"/>
    <n v="9"/>
    <x v="2"/>
    <d v="2021-03-01T00:00:00"/>
    <n v="0"/>
    <x v="20"/>
  </r>
  <r>
    <x v="1"/>
    <x v="12"/>
    <n v="9"/>
    <x v="2"/>
    <d v="2021-03-01T00:00:00"/>
    <n v="0"/>
    <x v="21"/>
  </r>
  <r>
    <x v="1"/>
    <x v="12"/>
    <n v="9"/>
    <x v="2"/>
    <d v="2021-03-01T00:00:00"/>
    <n v="0"/>
    <x v="22"/>
  </r>
  <r>
    <x v="1"/>
    <x v="12"/>
    <n v="9"/>
    <x v="2"/>
    <d v="2021-03-01T00:00:00"/>
    <n v="0"/>
    <x v="23"/>
  </r>
  <r>
    <x v="1"/>
    <x v="12"/>
    <n v="9"/>
    <x v="2"/>
    <d v="2021-03-01T00:00:00"/>
    <n v="0"/>
    <x v="24"/>
  </r>
  <r>
    <x v="1"/>
    <x v="12"/>
    <n v="9"/>
    <x v="2"/>
    <d v="2021-03-01T00:00:00"/>
    <n v="0"/>
    <x v="12"/>
  </r>
  <r>
    <x v="1"/>
    <x v="12"/>
    <n v="10"/>
    <x v="3"/>
    <d v="2021-03-01T00:00:00"/>
    <n v="12953"/>
    <x v="13"/>
  </r>
  <r>
    <x v="1"/>
    <x v="12"/>
    <n v="10"/>
    <x v="3"/>
    <d v="2021-03-01T00:00:00"/>
    <n v="13335"/>
    <x v="14"/>
  </r>
  <r>
    <x v="1"/>
    <x v="12"/>
    <n v="10"/>
    <x v="3"/>
    <d v="2021-03-01T00:00:00"/>
    <n v="13310"/>
    <x v="15"/>
  </r>
  <r>
    <x v="1"/>
    <x v="12"/>
    <n v="10"/>
    <x v="3"/>
    <d v="2021-03-01T00:00:00"/>
    <n v="12753"/>
    <x v="16"/>
  </r>
  <r>
    <x v="1"/>
    <x v="12"/>
    <n v="10"/>
    <x v="3"/>
    <d v="2021-03-01T00:00:00"/>
    <n v="12928"/>
    <x v="17"/>
  </r>
  <r>
    <x v="1"/>
    <x v="12"/>
    <n v="10"/>
    <x v="3"/>
    <d v="2021-03-01T00:00:00"/>
    <n v="13282"/>
    <x v="18"/>
  </r>
  <r>
    <x v="1"/>
    <x v="12"/>
    <n v="10"/>
    <x v="3"/>
    <d v="2021-03-01T00:00:00"/>
    <n v="13024"/>
    <x v="19"/>
  </r>
  <r>
    <x v="1"/>
    <x v="12"/>
    <n v="10"/>
    <x v="3"/>
    <d v="2021-03-01T00:00:00"/>
    <n v="13510"/>
    <x v="20"/>
  </r>
  <r>
    <x v="1"/>
    <x v="12"/>
    <n v="10"/>
    <x v="3"/>
    <d v="2021-03-01T00:00:00"/>
    <n v="15940"/>
    <x v="21"/>
  </r>
  <r>
    <x v="1"/>
    <x v="12"/>
    <n v="10"/>
    <x v="3"/>
    <d v="2021-03-01T00:00:00"/>
    <n v="11467"/>
    <x v="22"/>
  </r>
  <r>
    <x v="1"/>
    <x v="12"/>
    <n v="10"/>
    <x v="3"/>
    <d v="2021-03-01T00:00:00"/>
    <n v="15726"/>
    <x v="23"/>
  </r>
  <r>
    <x v="1"/>
    <x v="12"/>
    <n v="10"/>
    <x v="3"/>
    <d v="2021-03-01T00:00:00"/>
    <n v="25216"/>
    <x v="24"/>
  </r>
  <r>
    <x v="1"/>
    <x v="12"/>
    <n v="10"/>
    <x v="3"/>
    <d v="2021-03-01T00:00:00"/>
    <n v="173444"/>
    <x v="12"/>
  </r>
  <r>
    <x v="1"/>
    <x v="12"/>
    <n v="8"/>
    <x v="1"/>
    <d v="2021-03-01T00:00:00"/>
    <n v="0"/>
    <x v="13"/>
  </r>
  <r>
    <x v="1"/>
    <x v="12"/>
    <n v="8"/>
    <x v="1"/>
    <d v="2021-03-01T00:00:00"/>
    <n v="0"/>
    <x v="14"/>
  </r>
  <r>
    <x v="1"/>
    <x v="12"/>
    <n v="8"/>
    <x v="1"/>
    <d v="2021-03-01T00:00:00"/>
    <n v="0"/>
    <x v="15"/>
  </r>
  <r>
    <x v="1"/>
    <x v="12"/>
    <n v="8"/>
    <x v="1"/>
    <d v="2021-03-01T00:00:00"/>
    <n v="0"/>
    <x v="16"/>
  </r>
  <r>
    <x v="1"/>
    <x v="12"/>
    <n v="8"/>
    <x v="1"/>
    <d v="2021-03-01T00:00:00"/>
    <n v="0"/>
    <x v="17"/>
  </r>
  <r>
    <x v="1"/>
    <x v="12"/>
    <n v="8"/>
    <x v="1"/>
    <d v="2021-03-01T00:00:00"/>
    <n v="0"/>
    <x v="18"/>
  </r>
  <r>
    <x v="1"/>
    <x v="12"/>
    <n v="8"/>
    <x v="1"/>
    <d v="2021-03-01T00:00:00"/>
    <n v="0"/>
    <x v="19"/>
  </r>
  <r>
    <x v="1"/>
    <x v="12"/>
    <n v="8"/>
    <x v="1"/>
    <d v="2021-03-01T00:00:00"/>
    <n v="0"/>
    <x v="20"/>
  </r>
  <r>
    <x v="1"/>
    <x v="12"/>
    <n v="8"/>
    <x v="1"/>
    <d v="2021-03-01T00:00:00"/>
    <n v="0"/>
    <x v="21"/>
  </r>
  <r>
    <x v="1"/>
    <x v="12"/>
    <n v="8"/>
    <x v="1"/>
    <d v="2021-03-01T00:00:00"/>
    <n v="0"/>
    <x v="22"/>
  </r>
  <r>
    <x v="1"/>
    <x v="12"/>
    <n v="8"/>
    <x v="1"/>
    <d v="2021-03-01T00:00:00"/>
    <n v="0"/>
    <x v="23"/>
  </r>
  <r>
    <x v="1"/>
    <x v="12"/>
    <n v="8"/>
    <x v="1"/>
    <d v="2021-03-01T00:00:00"/>
    <n v="0"/>
    <x v="24"/>
  </r>
  <r>
    <x v="1"/>
    <x v="12"/>
    <n v="8"/>
    <x v="1"/>
    <d v="2021-03-01T00:00:00"/>
    <n v="0"/>
    <x v="12"/>
  </r>
  <r>
    <x v="1"/>
    <x v="12"/>
    <n v="11"/>
    <x v="4"/>
    <d v="2021-03-01T00:00:00"/>
    <n v="3316"/>
    <x v="13"/>
  </r>
  <r>
    <x v="1"/>
    <x v="12"/>
    <n v="11"/>
    <x v="4"/>
    <d v="2021-03-01T00:00:00"/>
    <n v="3428"/>
    <x v="14"/>
  </r>
  <r>
    <x v="1"/>
    <x v="12"/>
    <n v="11"/>
    <x v="4"/>
    <d v="2021-03-01T00:00:00"/>
    <n v="3319"/>
    <x v="15"/>
  </r>
  <r>
    <x v="1"/>
    <x v="12"/>
    <n v="11"/>
    <x v="4"/>
    <d v="2021-03-01T00:00:00"/>
    <n v="3044"/>
    <x v="16"/>
  </r>
  <r>
    <x v="1"/>
    <x v="12"/>
    <n v="11"/>
    <x v="4"/>
    <d v="2021-03-01T00:00:00"/>
    <n v="3085"/>
    <x v="17"/>
  </r>
  <r>
    <x v="1"/>
    <x v="12"/>
    <n v="11"/>
    <x v="4"/>
    <d v="2021-03-01T00:00:00"/>
    <n v="3086"/>
    <x v="18"/>
  </r>
  <r>
    <x v="1"/>
    <x v="12"/>
    <n v="11"/>
    <x v="4"/>
    <d v="2021-03-01T00:00:00"/>
    <n v="3396"/>
    <x v="19"/>
  </r>
  <r>
    <x v="1"/>
    <x v="12"/>
    <n v="11"/>
    <x v="4"/>
    <d v="2021-03-01T00:00:00"/>
    <n v="3247"/>
    <x v="20"/>
  </r>
  <r>
    <x v="1"/>
    <x v="12"/>
    <n v="11"/>
    <x v="4"/>
    <d v="2021-03-01T00:00:00"/>
    <n v="3069"/>
    <x v="21"/>
  </r>
  <r>
    <x v="1"/>
    <x v="12"/>
    <n v="11"/>
    <x v="4"/>
    <d v="2021-03-01T00:00:00"/>
    <n v="3526"/>
    <x v="22"/>
  </r>
  <r>
    <x v="1"/>
    <x v="12"/>
    <n v="11"/>
    <x v="4"/>
    <d v="2021-03-01T00:00:00"/>
    <n v="3347"/>
    <x v="23"/>
  </r>
  <r>
    <x v="1"/>
    <x v="12"/>
    <n v="11"/>
    <x v="4"/>
    <d v="2021-03-01T00:00:00"/>
    <n v="4291"/>
    <x v="24"/>
  </r>
  <r>
    <x v="1"/>
    <x v="12"/>
    <n v="11"/>
    <x v="4"/>
    <d v="2021-03-01T00:00:00"/>
    <n v="40154"/>
    <x v="12"/>
  </r>
  <r>
    <x v="1"/>
    <x v="12"/>
    <n v="12"/>
    <x v="5"/>
    <d v="2021-03-01T00:00:00"/>
    <n v="52"/>
    <x v="13"/>
  </r>
  <r>
    <x v="1"/>
    <x v="12"/>
    <n v="12"/>
    <x v="5"/>
    <d v="2021-03-01T00:00:00"/>
    <n v="36"/>
    <x v="14"/>
  </r>
  <r>
    <x v="1"/>
    <x v="12"/>
    <n v="12"/>
    <x v="5"/>
    <d v="2021-03-01T00:00:00"/>
    <n v="34"/>
    <x v="15"/>
  </r>
  <r>
    <x v="1"/>
    <x v="12"/>
    <n v="12"/>
    <x v="5"/>
    <d v="2021-03-01T00:00:00"/>
    <n v="19"/>
    <x v="16"/>
  </r>
  <r>
    <x v="1"/>
    <x v="12"/>
    <n v="12"/>
    <x v="5"/>
    <d v="2021-03-01T00:00:00"/>
    <n v="32"/>
    <x v="17"/>
  </r>
  <r>
    <x v="1"/>
    <x v="12"/>
    <n v="12"/>
    <x v="5"/>
    <d v="2021-03-01T00:00:00"/>
    <n v="39"/>
    <x v="18"/>
  </r>
  <r>
    <x v="1"/>
    <x v="12"/>
    <n v="12"/>
    <x v="5"/>
    <d v="2021-03-01T00:00:00"/>
    <n v="41"/>
    <x v="19"/>
  </r>
  <r>
    <x v="1"/>
    <x v="12"/>
    <n v="12"/>
    <x v="5"/>
    <d v="2021-03-01T00:00:00"/>
    <n v="38"/>
    <x v="20"/>
  </r>
  <r>
    <x v="1"/>
    <x v="12"/>
    <n v="12"/>
    <x v="5"/>
    <d v="2021-03-01T00:00:00"/>
    <n v="40"/>
    <x v="21"/>
  </r>
  <r>
    <x v="1"/>
    <x v="12"/>
    <n v="12"/>
    <x v="5"/>
    <d v="2021-03-01T00:00:00"/>
    <n v="31"/>
    <x v="22"/>
  </r>
  <r>
    <x v="1"/>
    <x v="12"/>
    <n v="12"/>
    <x v="5"/>
    <d v="2021-03-01T00:00:00"/>
    <n v="35"/>
    <x v="23"/>
  </r>
  <r>
    <x v="1"/>
    <x v="12"/>
    <n v="12"/>
    <x v="5"/>
    <d v="2021-03-01T00:00:00"/>
    <n v="27"/>
    <x v="24"/>
  </r>
  <r>
    <x v="1"/>
    <x v="12"/>
    <n v="12"/>
    <x v="5"/>
    <d v="2021-03-01T00:00:00"/>
    <n v="424"/>
    <x v="12"/>
  </r>
  <r>
    <x v="1"/>
    <x v="12"/>
    <n v="13"/>
    <x v="6"/>
    <d v="2021-03-01T00:00:00"/>
    <n v="0"/>
    <x v="13"/>
  </r>
  <r>
    <x v="1"/>
    <x v="12"/>
    <n v="13"/>
    <x v="6"/>
    <d v="2021-03-01T00:00:00"/>
    <n v="0"/>
    <x v="14"/>
  </r>
  <r>
    <x v="1"/>
    <x v="12"/>
    <n v="13"/>
    <x v="6"/>
    <d v="2021-03-01T00:00:00"/>
    <n v="0"/>
    <x v="15"/>
  </r>
  <r>
    <x v="1"/>
    <x v="12"/>
    <n v="13"/>
    <x v="6"/>
    <d v="2021-03-01T00:00:00"/>
    <n v="0"/>
    <x v="16"/>
  </r>
  <r>
    <x v="1"/>
    <x v="12"/>
    <n v="13"/>
    <x v="6"/>
    <d v="2021-03-01T00:00:00"/>
    <n v="0"/>
    <x v="17"/>
  </r>
  <r>
    <x v="1"/>
    <x v="12"/>
    <n v="13"/>
    <x v="6"/>
    <d v="2021-03-01T00:00:00"/>
    <n v="0"/>
    <x v="18"/>
  </r>
  <r>
    <x v="1"/>
    <x v="12"/>
    <n v="13"/>
    <x v="6"/>
    <d v="2021-03-01T00:00:00"/>
    <n v="0"/>
    <x v="19"/>
  </r>
  <r>
    <x v="1"/>
    <x v="12"/>
    <n v="13"/>
    <x v="6"/>
    <d v="2021-03-01T00:00:00"/>
    <n v="0"/>
    <x v="20"/>
  </r>
  <r>
    <x v="1"/>
    <x v="12"/>
    <n v="13"/>
    <x v="6"/>
    <d v="2021-03-01T00:00:00"/>
    <n v="0"/>
    <x v="21"/>
  </r>
  <r>
    <x v="1"/>
    <x v="12"/>
    <n v="13"/>
    <x v="6"/>
    <d v="2021-03-01T00:00:00"/>
    <n v="0"/>
    <x v="22"/>
  </r>
  <r>
    <x v="1"/>
    <x v="12"/>
    <n v="13"/>
    <x v="6"/>
    <d v="2021-03-01T00:00:00"/>
    <n v="0"/>
    <x v="23"/>
  </r>
  <r>
    <x v="1"/>
    <x v="12"/>
    <n v="13"/>
    <x v="6"/>
    <d v="2021-03-01T00:00:00"/>
    <n v="0"/>
    <x v="24"/>
  </r>
  <r>
    <x v="1"/>
    <x v="12"/>
    <n v="13"/>
    <x v="6"/>
    <d v="2021-03-01T00:00:00"/>
    <n v="0"/>
    <x v="12"/>
  </r>
  <r>
    <x v="1"/>
    <x v="12"/>
    <n v="14"/>
    <x v="7"/>
    <d v="2021-03-01T00:00:00"/>
    <n v="0"/>
    <x v="13"/>
  </r>
  <r>
    <x v="1"/>
    <x v="12"/>
    <n v="14"/>
    <x v="7"/>
    <d v="2021-03-01T00:00:00"/>
    <n v="0"/>
    <x v="14"/>
  </r>
  <r>
    <x v="1"/>
    <x v="12"/>
    <n v="14"/>
    <x v="7"/>
    <d v="2021-03-01T00:00:00"/>
    <n v="0"/>
    <x v="15"/>
  </r>
  <r>
    <x v="1"/>
    <x v="12"/>
    <n v="14"/>
    <x v="7"/>
    <d v="2021-03-01T00:00:00"/>
    <n v="0"/>
    <x v="16"/>
  </r>
  <r>
    <x v="1"/>
    <x v="12"/>
    <n v="14"/>
    <x v="7"/>
    <d v="2021-03-01T00:00:00"/>
    <n v="0"/>
    <x v="17"/>
  </r>
  <r>
    <x v="1"/>
    <x v="12"/>
    <n v="14"/>
    <x v="7"/>
    <d v="2021-03-01T00:00:00"/>
    <n v="0"/>
    <x v="18"/>
  </r>
  <r>
    <x v="1"/>
    <x v="12"/>
    <n v="14"/>
    <x v="7"/>
    <d v="2021-03-01T00:00:00"/>
    <n v="0"/>
    <x v="19"/>
  </r>
  <r>
    <x v="1"/>
    <x v="12"/>
    <n v="14"/>
    <x v="7"/>
    <d v="2021-03-01T00:00:00"/>
    <n v="0"/>
    <x v="20"/>
  </r>
  <r>
    <x v="1"/>
    <x v="12"/>
    <n v="14"/>
    <x v="7"/>
    <d v="2021-03-01T00:00:00"/>
    <n v="0"/>
    <x v="21"/>
  </r>
  <r>
    <x v="1"/>
    <x v="12"/>
    <n v="14"/>
    <x v="7"/>
    <d v="2021-03-01T00:00:00"/>
    <n v="0"/>
    <x v="22"/>
  </r>
  <r>
    <x v="1"/>
    <x v="12"/>
    <n v="14"/>
    <x v="7"/>
    <d v="2021-03-01T00:00:00"/>
    <n v="0"/>
    <x v="23"/>
  </r>
  <r>
    <x v="1"/>
    <x v="12"/>
    <n v="14"/>
    <x v="7"/>
    <d v="2021-03-01T00:00:00"/>
    <n v="0"/>
    <x v="24"/>
  </r>
  <r>
    <x v="1"/>
    <x v="12"/>
    <n v="14"/>
    <x v="7"/>
    <d v="2021-03-01T00:00:00"/>
    <n v="0"/>
    <x v="12"/>
  </r>
  <r>
    <x v="1"/>
    <x v="12"/>
    <n v="15"/>
    <x v="8"/>
    <d v="2021-03-01T00:00:00"/>
    <n v="0"/>
    <x v="13"/>
  </r>
  <r>
    <x v="1"/>
    <x v="12"/>
    <n v="15"/>
    <x v="8"/>
    <d v="2021-03-01T00:00:00"/>
    <n v="0"/>
    <x v="14"/>
  </r>
  <r>
    <x v="1"/>
    <x v="12"/>
    <n v="15"/>
    <x v="8"/>
    <d v="2021-03-01T00:00:00"/>
    <n v="0"/>
    <x v="15"/>
  </r>
  <r>
    <x v="1"/>
    <x v="12"/>
    <n v="15"/>
    <x v="8"/>
    <d v="2021-03-01T00:00:00"/>
    <n v="0"/>
    <x v="16"/>
  </r>
  <r>
    <x v="1"/>
    <x v="12"/>
    <n v="15"/>
    <x v="8"/>
    <d v="2021-03-01T00:00:00"/>
    <n v="0"/>
    <x v="17"/>
  </r>
  <r>
    <x v="1"/>
    <x v="12"/>
    <n v="15"/>
    <x v="8"/>
    <d v="2021-03-01T00:00:00"/>
    <n v="0"/>
    <x v="18"/>
  </r>
  <r>
    <x v="1"/>
    <x v="12"/>
    <n v="15"/>
    <x v="8"/>
    <d v="2021-03-01T00:00:00"/>
    <n v="0"/>
    <x v="19"/>
  </r>
  <r>
    <x v="1"/>
    <x v="12"/>
    <n v="15"/>
    <x v="8"/>
    <d v="2021-03-01T00:00:00"/>
    <n v="0"/>
    <x v="20"/>
  </r>
  <r>
    <x v="1"/>
    <x v="12"/>
    <n v="15"/>
    <x v="8"/>
    <d v="2021-03-01T00:00:00"/>
    <n v="0"/>
    <x v="21"/>
  </r>
  <r>
    <x v="1"/>
    <x v="12"/>
    <n v="15"/>
    <x v="8"/>
    <d v="2021-03-01T00:00:00"/>
    <n v="0"/>
    <x v="22"/>
  </r>
  <r>
    <x v="1"/>
    <x v="12"/>
    <n v="15"/>
    <x v="8"/>
    <d v="2021-03-01T00:00:00"/>
    <n v="0"/>
    <x v="23"/>
  </r>
  <r>
    <x v="1"/>
    <x v="12"/>
    <n v="15"/>
    <x v="8"/>
    <d v="2021-03-01T00:00:00"/>
    <n v="0"/>
    <x v="24"/>
  </r>
  <r>
    <x v="1"/>
    <x v="12"/>
    <n v="15"/>
    <x v="8"/>
    <d v="2021-03-01T00:00:00"/>
    <n v="0"/>
    <x v="12"/>
  </r>
  <r>
    <x v="1"/>
    <x v="13"/>
    <n v="7"/>
    <x v="0"/>
    <d v="2021-03-01T00:00:00"/>
    <n v="76095.58"/>
    <x v="13"/>
  </r>
  <r>
    <x v="1"/>
    <x v="13"/>
    <n v="7"/>
    <x v="0"/>
    <d v="2021-03-01T00:00:00"/>
    <n v="73068.66"/>
    <x v="14"/>
  </r>
  <r>
    <x v="1"/>
    <x v="13"/>
    <n v="7"/>
    <x v="0"/>
    <d v="2021-03-01T00:00:00"/>
    <n v="68830.240000000005"/>
    <x v="15"/>
  </r>
  <r>
    <x v="1"/>
    <x v="13"/>
    <n v="7"/>
    <x v="0"/>
    <d v="2021-03-01T00:00:00"/>
    <n v="73622"/>
    <x v="16"/>
  </r>
  <r>
    <x v="1"/>
    <x v="13"/>
    <n v="7"/>
    <x v="0"/>
    <d v="2021-03-01T00:00:00"/>
    <n v="70575"/>
    <x v="17"/>
  </r>
  <r>
    <x v="1"/>
    <x v="13"/>
    <n v="7"/>
    <x v="0"/>
    <d v="2021-03-01T00:00:00"/>
    <n v="77001"/>
    <x v="18"/>
  </r>
  <r>
    <x v="1"/>
    <x v="13"/>
    <n v="7"/>
    <x v="0"/>
    <d v="2021-03-01T00:00:00"/>
    <n v="70662"/>
    <x v="19"/>
  </r>
  <r>
    <x v="1"/>
    <x v="13"/>
    <n v="7"/>
    <x v="0"/>
    <d v="2021-03-01T00:00:00"/>
    <n v="72853"/>
    <x v="20"/>
  </r>
  <r>
    <x v="1"/>
    <x v="13"/>
    <n v="7"/>
    <x v="0"/>
    <d v="2021-03-01T00:00:00"/>
    <n v="76861"/>
    <x v="21"/>
  </r>
  <r>
    <x v="1"/>
    <x v="13"/>
    <n v="7"/>
    <x v="0"/>
    <d v="2021-03-01T00:00:00"/>
    <n v="70479"/>
    <x v="22"/>
  </r>
  <r>
    <x v="1"/>
    <x v="13"/>
    <n v="7"/>
    <x v="0"/>
    <d v="2021-03-01T00:00:00"/>
    <n v="69994"/>
    <x v="23"/>
  </r>
  <r>
    <x v="1"/>
    <x v="13"/>
    <n v="7"/>
    <x v="0"/>
    <d v="2021-03-01T00:00:00"/>
    <n v="93711"/>
    <x v="24"/>
  </r>
  <r>
    <x v="1"/>
    <x v="13"/>
    <n v="7"/>
    <x v="0"/>
    <d v="2021-03-01T00:00:00"/>
    <n v="893752.48"/>
    <x v="12"/>
  </r>
  <r>
    <x v="1"/>
    <x v="13"/>
    <n v="9"/>
    <x v="2"/>
    <d v="2021-03-01T00:00:00"/>
    <n v="0"/>
    <x v="13"/>
  </r>
  <r>
    <x v="1"/>
    <x v="13"/>
    <n v="9"/>
    <x v="2"/>
    <d v="2021-03-01T00:00:00"/>
    <n v="0"/>
    <x v="14"/>
  </r>
  <r>
    <x v="1"/>
    <x v="13"/>
    <n v="9"/>
    <x v="2"/>
    <d v="2021-03-01T00:00:00"/>
    <n v="0"/>
    <x v="15"/>
  </r>
  <r>
    <x v="1"/>
    <x v="13"/>
    <n v="9"/>
    <x v="2"/>
    <d v="2021-03-01T00:00:00"/>
    <n v="0"/>
    <x v="16"/>
  </r>
  <r>
    <x v="1"/>
    <x v="13"/>
    <n v="9"/>
    <x v="2"/>
    <d v="2021-03-01T00:00:00"/>
    <n v="0"/>
    <x v="17"/>
  </r>
  <r>
    <x v="1"/>
    <x v="13"/>
    <n v="9"/>
    <x v="2"/>
    <d v="2021-03-01T00:00:00"/>
    <n v="0"/>
    <x v="18"/>
  </r>
  <r>
    <x v="1"/>
    <x v="13"/>
    <n v="9"/>
    <x v="2"/>
    <d v="2021-03-01T00:00:00"/>
    <n v="0"/>
    <x v="19"/>
  </r>
  <r>
    <x v="1"/>
    <x v="13"/>
    <n v="9"/>
    <x v="2"/>
    <d v="2021-03-01T00:00:00"/>
    <n v="0"/>
    <x v="20"/>
  </r>
  <r>
    <x v="1"/>
    <x v="13"/>
    <n v="9"/>
    <x v="2"/>
    <d v="2021-03-01T00:00:00"/>
    <n v="0"/>
    <x v="21"/>
  </r>
  <r>
    <x v="1"/>
    <x v="13"/>
    <n v="9"/>
    <x v="2"/>
    <d v="2021-03-01T00:00:00"/>
    <n v="0"/>
    <x v="22"/>
  </r>
  <r>
    <x v="1"/>
    <x v="13"/>
    <n v="9"/>
    <x v="2"/>
    <d v="2021-03-01T00:00:00"/>
    <n v="0"/>
    <x v="23"/>
  </r>
  <r>
    <x v="1"/>
    <x v="13"/>
    <n v="9"/>
    <x v="2"/>
    <d v="2021-03-01T00:00:00"/>
    <n v="0"/>
    <x v="24"/>
  </r>
  <r>
    <x v="1"/>
    <x v="13"/>
    <n v="9"/>
    <x v="2"/>
    <d v="2021-03-01T00:00:00"/>
    <n v="0"/>
    <x v="12"/>
  </r>
  <r>
    <x v="1"/>
    <x v="13"/>
    <n v="10"/>
    <x v="3"/>
    <d v="2021-03-01T00:00:00"/>
    <n v="516"/>
    <x v="13"/>
  </r>
  <r>
    <x v="1"/>
    <x v="13"/>
    <n v="10"/>
    <x v="3"/>
    <d v="2021-03-01T00:00:00"/>
    <n v="536"/>
    <x v="14"/>
  </r>
  <r>
    <x v="1"/>
    <x v="13"/>
    <n v="10"/>
    <x v="3"/>
    <d v="2021-03-01T00:00:00"/>
    <n v="537"/>
    <x v="15"/>
  </r>
  <r>
    <x v="1"/>
    <x v="13"/>
    <n v="10"/>
    <x v="3"/>
    <d v="2021-03-01T00:00:00"/>
    <n v="535"/>
    <x v="16"/>
  </r>
  <r>
    <x v="1"/>
    <x v="13"/>
    <n v="10"/>
    <x v="3"/>
    <d v="2021-03-01T00:00:00"/>
    <n v="520"/>
    <x v="17"/>
  </r>
  <r>
    <x v="1"/>
    <x v="13"/>
    <n v="10"/>
    <x v="3"/>
    <d v="2021-03-01T00:00:00"/>
    <n v="542"/>
    <x v="18"/>
  </r>
  <r>
    <x v="1"/>
    <x v="13"/>
    <n v="10"/>
    <x v="3"/>
    <d v="2021-03-01T00:00:00"/>
    <n v="525"/>
    <x v="19"/>
  </r>
  <r>
    <x v="1"/>
    <x v="13"/>
    <n v="10"/>
    <x v="3"/>
    <d v="2021-03-01T00:00:00"/>
    <n v="491"/>
    <x v="20"/>
  </r>
  <r>
    <x v="1"/>
    <x v="13"/>
    <n v="10"/>
    <x v="3"/>
    <d v="2021-03-01T00:00:00"/>
    <n v="532"/>
    <x v="21"/>
  </r>
  <r>
    <x v="1"/>
    <x v="13"/>
    <n v="10"/>
    <x v="3"/>
    <d v="2021-03-01T00:00:00"/>
    <n v="547"/>
    <x v="22"/>
  </r>
  <r>
    <x v="1"/>
    <x v="13"/>
    <n v="10"/>
    <x v="3"/>
    <d v="2021-03-01T00:00:00"/>
    <n v="561"/>
    <x v="23"/>
  </r>
  <r>
    <x v="1"/>
    <x v="13"/>
    <n v="10"/>
    <x v="3"/>
    <d v="2021-03-01T00:00:00"/>
    <n v="867"/>
    <x v="24"/>
  </r>
  <r>
    <x v="1"/>
    <x v="13"/>
    <n v="10"/>
    <x v="3"/>
    <d v="2021-03-01T00:00:00"/>
    <n v="6709"/>
    <x v="12"/>
  </r>
  <r>
    <x v="1"/>
    <x v="13"/>
    <n v="11"/>
    <x v="4"/>
    <d v="2021-03-01T00:00:00"/>
    <n v="119"/>
    <x v="13"/>
  </r>
  <r>
    <x v="1"/>
    <x v="13"/>
    <n v="11"/>
    <x v="4"/>
    <d v="2021-03-01T00:00:00"/>
    <n v="119"/>
    <x v="14"/>
  </r>
  <r>
    <x v="1"/>
    <x v="13"/>
    <n v="11"/>
    <x v="4"/>
    <d v="2021-03-01T00:00:00"/>
    <n v="119"/>
    <x v="15"/>
  </r>
  <r>
    <x v="1"/>
    <x v="13"/>
    <n v="11"/>
    <x v="4"/>
    <d v="2021-03-01T00:00:00"/>
    <n v="119"/>
    <x v="16"/>
  </r>
  <r>
    <x v="1"/>
    <x v="13"/>
    <n v="11"/>
    <x v="4"/>
    <d v="2021-03-01T00:00:00"/>
    <n v="119"/>
    <x v="17"/>
  </r>
  <r>
    <x v="1"/>
    <x v="13"/>
    <n v="11"/>
    <x v="4"/>
    <d v="2021-03-01T00:00:00"/>
    <n v="119"/>
    <x v="18"/>
  </r>
  <r>
    <x v="1"/>
    <x v="13"/>
    <n v="11"/>
    <x v="4"/>
    <d v="2021-03-01T00:00:00"/>
    <n v="119"/>
    <x v="19"/>
  </r>
  <r>
    <x v="1"/>
    <x v="13"/>
    <n v="11"/>
    <x v="4"/>
    <d v="2021-03-01T00:00:00"/>
    <n v="119"/>
    <x v="20"/>
  </r>
  <r>
    <x v="1"/>
    <x v="13"/>
    <n v="11"/>
    <x v="4"/>
    <d v="2021-03-01T00:00:00"/>
    <n v="119"/>
    <x v="21"/>
  </r>
  <r>
    <x v="1"/>
    <x v="13"/>
    <n v="11"/>
    <x v="4"/>
    <d v="2021-03-01T00:00:00"/>
    <n v="119"/>
    <x v="22"/>
  </r>
  <r>
    <x v="1"/>
    <x v="13"/>
    <n v="11"/>
    <x v="4"/>
    <d v="2021-03-01T00:00:00"/>
    <n v="119"/>
    <x v="23"/>
  </r>
  <r>
    <x v="1"/>
    <x v="13"/>
    <n v="11"/>
    <x v="4"/>
    <d v="2021-03-01T00:00:00"/>
    <n v="119"/>
    <x v="24"/>
  </r>
  <r>
    <x v="1"/>
    <x v="13"/>
    <n v="11"/>
    <x v="4"/>
    <d v="2021-03-01T00:00:00"/>
    <n v="1428"/>
    <x v="12"/>
  </r>
  <r>
    <x v="1"/>
    <x v="13"/>
    <n v="12"/>
    <x v="5"/>
    <d v="2021-03-01T00:00:00"/>
    <n v="0"/>
    <x v="13"/>
  </r>
  <r>
    <x v="1"/>
    <x v="13"/>
    <n v="12"/>
    <x v="5"/>
    <d v="2021-03-01T00:00:00"/>
    <n v="0"/>
    <x v="14"/>
  </r>
  <r>
    <x v="1"/>
    <x v="13"/>
    <n v="12"/>
    <x v="5"/>
    <d v="2021-03-01T00:00:00"/>
    <n v="0"/>
    <x v="15"/>
  </r>
  <r>
    <x v="1"/>
    <x v="13"/>
    <n v="12"/>
    <x v="5"/>
    <d v="2021-03-01T00:00:00"/>
    <n v="0"/>
    <x v="16"/>
  </r>
  <r>
    <x v="1"/>
    <x v="13"/>
    <n v="12"/>
    <x v="5"/>
    <d v="2021-03-01T00:00:00"/>
    <n v="0"/>
    <x v="17"/>
  </r>
  <r>
    <x v="1"/>
    <x v="13"/>
    <n v="12"/>
    <x v="5"/>
    <d v="2021-03-01T00:00:00"/>
    <n v="0"/>
    <x v="18"/>
  </r>
  <r>
    <x v="1"/>
    <x v="13"/>
    <n v="12"/>
    <x v="5"/>
    <d v="2021-03-01T00:00:00"/>
    <n v="0"/>
    <x v="19"/>
  </r>
  <r>
    <x v="1"/>
    <x v="13"/>
    <n v="12"/>
    <x v="5"/>
    <d v="2021-03-01T00:00:00"/>
    <n v="0"/>
    <x v="20"/>
  </r>
  <r>
    <x v="1"/>
    <x v="13"/>
    <n v="12"/>
    <x v="5"/>
    <d v="2021-03-01T00:00:00"/>
    <n v="0"/>
    <x v="21"/>
  </r>
  <r>
    <x v="1"/>
    <x v="13"/>
    <n v="12"/>
    <x v="5"/>
    <d v="2021-03-01T00:00:00"/>
    <n v="0"/>
    <x v="22"/>
  </r>
  <r>
    <x v="1"/>
    <x v="13"/>
    <n v="12"/>
    <x v="5"/>
    <d v="2021-03-01T00:00:00"/>
    <n v="0"/>
    <x v="23"/>
  </r>
  <r>
    <x v="1"/>
    <x v="13"/>
    <n v="12"/>
    <x v="5"/>
    <d v="2021-03-01T00:00:00"/>
    <n v="0"/>
    <x v="24"/>
  </r>
  <r>
    <x v="1"/>
    <x v="13"/>
    <n v="12"/>
    <x v="5"/>
    <d v="2021-03-01T00:00:00"/>
    <n v="0"/>
    <x v="12"/>
  </r>
  <r>
    <x v="1"/>
    <x v="13"/>
    <n v="8"/>
    <x v="1"/>
    <d v="2021-03-01T00:00:00"/>
    <n v="0"/>
    <x v="13"/>
  </r>
  <r>
    <x v="1"/>
    <x v="13"/>
    <n v="8"/>
    <x v="1"/>
    <d v="2021-03-01T00:00:00"/>
    <n v="0"/>
    <x v="14"/>
  </r>
  <r>
    <x v="1"/>
    <x v="13"/>
    <n v="8"/>
    <x v="1"/>
    <d v="2021-03-01T00:00:00"/>
    <n v="0"/>
    <x v="15"/>
  </r>
  <r>
    <x v="1"/>
    <x v="13"/>
    <n v="8"/>
    <x v="1"/>
    <d v="2021-03-01T00:00:00"/>
    <n v="0"/>
    <x v="16"/>
  </r>
  <r>
    <x v="1"/>
    <x v="13"/>
    <n v="8"/>
    <x v="1"/>
    <d v="2021-03-01T00:00:00"/>
    <n v="0"/>
    <x v="17"/>
  </r>
  <r>
    <x v="1"/>
    <x v="13"/>
    <n v="8"/>
    <x v="1"/>
    <d v="2021-03-01T00:00:00"/>
    <n v="0"/>
    <x v="18"/>
  </r>
  <r>
    <x v="1"/>
    <x v="13"/>
    <n v="8"/>
    <x v="1"/>
    <d v="2021-03-01T00:00:00"/>
    <n v="0"/>
    <x v="19"/>
  </r>
  <r>
    <x v="1"/>
    <x v="13"/>
    <n v="8"/>
    <x v="1"/>
    <d v="2021-03-01T00:00:00"/>
    <n v="0"/>
    <x v="20"/>
  </r>
  <r>
    <x v="1"/>
    <x v="13"/>
    <n v="8"/>
    <x v="1"/>
    <d v="2021-03-01T00:00:00"/>
    <n v="0"/>
    <x v="21"/>
  </r>
  <r>
    <x v="1"/>
    <x v="13"/>
    <n v="8"/>
    <x v="1"/>
    <d v="2021-03-01T00:00:00"/>
    <n v="0"/>
    <x v="22"/>
  </r>
  <r>
    <x v="1"/>
    <x v="13"/>
    <n v="8"/>
    <x v="1"/>
    <d v="2021-03-01T00:00:00"/>
    <n v="0"/>
    <x v="23"/>
  </r>
  <r>
    <x v="1"/>
    <x v="13"/>
    <n v="8"/>
    <x v="1"/>
    <d v="2021-03-01T00:00:00"/>
    <n v="0"/>
    <x v="24"/>
  </r>
  <r>
    <x v="1"/>
    <x v="13"/>
    <n v="8"/>
    <x v="1"/>
    <d v="2021-03-01T00:00:00"/>
    <n v="0"/>
    <x v="12"/>
  </r>
  <r>
    <x v="1"/>
    <x v="13"/>
    <n v="13"/>
    <x v="6"/>
    <d v="2021-03-01T00:00:00"/>
    <n v="67075"/>
    <x v="13"/>
  </r>
  <r>
    <x v="1"/>
    <x v="13"/>
    <n v="13"/>
    <x v="6"/>
    <d v="2021-03-01T00:00:00"/>
    <n v="65432"/>
    <x v="14"/>
  </r>
  <r>
    <x v="1"/>
    <x v="13"/>
    <n v="13"/>
    <x v="6"/>
    <d v="2021-03-01T00:00:00"/>
    <n v="63126"/>
    <x v="15"/>
  </r>
  <r>
    <x v="1"/>
    <x v="13"/>
    <n v="13"/>
    <x v="6"/>
    <d v="2021-03-01T00:00:00"/>
    <n v="67005"/>
    <x v="16"/>
  </r>
  <r>
    <x v="1"/>
    <x v="13"/>
    <n v="13"/>
    <x v="6"/>
    <d v="2021-03-01T00:00:00"/>
    <n v="65573"/>
    <x v="17"/>
  </r>
  <r>
    <x v="1"/>
    <x v="13"/>
    <n v="13"/>
    <x v="6"/>
    <d v="2021-03-01T00:00:00"/>
    <n v="73188"/>
    <x v="18"/>
  </r>
  <r>
    <x v="1"/>
    <x v="13"/>
    <n v="13"/>
    <x v="6"/>
    <d v="2021-03-01T00:00:00"/>
    <n v="66577"/>
    <x v="19"/>
  </r>
  <r>
    <x v="1"/>
    <x v="13"/>
    <n v="13"/>
    <x v="6"/>
    <d v="2021-03-01T00:00:00"/>
    <n v="68867"/>
    <x v="20"/>
  </r>
  <r>
    <x v="1"/>
    <x v="13"/>
    <n v="13"/>
    <x v="6"/>
    <d v="2021-03-01T00:00:00"/>
    <n v="73289"/>
    <x v="21"/>
  </r>
  <r>
    <x v="1"/>
    <x v="13"/>
    <n v="13"/>
    <x v="6"/>
    <d v="2021-03-01T00:00:00"/>
    <n v="66625"/>
    <x v="22"/>
  </r>
  <r>
    <x v="1"/>
    <x v="13"/>
    <n v="13"/>
    <x v="6"/>
    <d v="2021-03-01T00:00:00"/>
    <n v="66014"/>
    <x v="23"/>
  </r>
  <r>
    <x v="1"/>
    <x v="13"/>
    <n v="13"/>
    <x v="6"/>
    <d v="2021-03-01T00:00:00"/>
    <n v="86487"/>
    <x v="24"/>
  </r>
  <r>
    <x v="1"/>
    <x v="13"/>
    <n v="13"/>
    <x v="6"/>
    <d v="2021-03-01T00:00:00"/>
    <n v="829258"/>
    <x v="12"/>
  </r>
  <r>
    <x v="1"/>
    <x v="13"/>
    <n v="14"/>
    <x v="7"/>
    <d v="2021-03-01T00:00:00"/>
    <n v="0"/>
    <x v="13"/>
  </r>
  <r>
    <x v="1"/>
    <x v="13"/>
    <n v="14"/>
    <x v="7"/>
    <d v="2021-03-01T00:00:00"/>
    <n v="0"/>
    <x v="14"/>
  </r>
  <r>
    <x v="1"/>
    <x v="13"/>
    <n v="14"/>
    <x v="7"/>
    <d v="2021-03-01T00:00:00"/>
    <n v="0"/>
    <x v="15"/>
  </r>
  <r>
    <x v="1"/>
    <x v="13"/>
    <n v="14"/>
    <x v="7"/>
    <d v="2021-03-01T00:00:00"/>
    <n v="0"/>
    <x v="16"/>
  </r>
  <r>
    <x v="1"/>
    <x v="13"/>
    <n v="14"/>
    <x v="7"/>
    <d v="2021-03-01T00:00:00"/>
    <n v="0"/>
    <x v="17"/>
  </r>
  <r>
    <x v="1"/>
    <x v="13"/>
    <n v="14"/>
    <x v="7"/>
    <d v="2021-03-01T00:00:00"/>
    <n v="0"/>
    <x v="18"/>
  </r>
  <r>
    <x v="1"/>
    <x v="13"/>
    <n v="14"/>
    <x v="7"/>
    <d v="2021-03-01T00:00:00"/>
    <n v="0"/>
    <x v="19"/>
  </r>
  <r>
    <x v="1"/>
    <x v="13"/>
    <n v="14"/>
    <x v="7"/>
    <d v="2021-03-01T00:00:00"/>
    <n v="0"/>
    <x v="20"/>
  </r>
  <r>
    <x v="1"/>
    <x v="13"/>
    <n v="14"/>
    <x v="7"/>
    <d v="2021-03-01T00:00:00"/>
    <n v="0"/>
    <x v="21"/>
  </r>
  <r>
    <x v="1"/>
    <x v="13"/>
    <n v="14"/>
    <x v="7"/>
    <d v="2021-03-01T00:00:00"/>
    <n v="0"/>
    <x v="22"/>
  </r>
  <r>
    <x v="1"/>
    <x v="13"/>
    <n v="14"/>
    <x v="7"/>
    <d v="2021-03-01T00:00:00"/>
    <n v="0"/>
    <x v="23"/>
  </r>
  <r>
    <x v="1"/>
    <x v="13"/>
    <n v="14"/>
    <x v="7"/>
    <d v="2021-03-01T00:00:00"/>
    <n v="0"/>
    <x v="24"/>
  </r>
  <r>
    <x v="1"/>
    <x v="13"/>
    <n v="14"/>
    <x v="7"/>
    <d v="2021-03-01T00:00:00"/>
    <n v="0"/>
    <x v="12"/>
  </r>
  <r>
    <x v="1"/>
    <x v="13"/>
    <n v="15"/>
    <x v="8"/>
    <d v="2021-03-01T00:00:00"/>
    <n v="0"/>
    <x v="13"/>
  </r>
  <r>
    <x v="1"/>
    <x v="13"/>
    <n v="15"/>
    <x v="8"/>
    <d v="2021-03-01T00:00:00"/>
    <n v="0"/>
    <x v="14"/>
  </r>
  <r>
    <x v="1"/>
    <x v="13"/>
    <n v="15"/>
    <x v="8"/>
    <d v="2021-03-01T00:00:00"/>
    <n v="0"/>
    <x v="15"/>
  </r>
  <r>
    <x v="1"/>
    <x v="13"/>
    <n v="15"/>
    <x v="8"/>
    <d v="2021-03-01T00:00:00"/>
    <n v="0"/>
    <x v="16"/>
  </r>
  <r>
    <x v="1"/>
    <x v="13"/>
    <n v="15"/>
    <x v="8"/>
    <d v="2021-03-01T00:00:00"/>
    <n v="0"/>
    <x v="17"/>
  </r>
  <r>
    <x v="1"/>
    <x v="13"/>
    <n v="15"/>
    <x v="8"/>
    <d v="2021-03-01T00:00:00"/>
    <n v="0"/>
    <x v="18"/>
  </r>
  <r>
    <x v="1"/>
    <x v="13"/>
    <n v="15"/>
    <x v="8"/>
    <d v="2021-03-01T00:00:00"/>
    <n v="0"/>
    <x v="19"/>
  </r>
  <r>
    <x v="1"/>
    <x v="13"/>
    <n v="15"/>
    <x v="8"/>
    <d v="2021-03-01T00:00:00"/>
    <n v="0"/>
    <x v="20"/>
  </r>
  <r>
    <x v="1"/>
    <x v="13"/>
    <n v="15"/>
    <x v="8"/>
    <d v="2021-03-01T00:00:00"/>
    <n v="0"/>
    <x v="21"/>
  </r>
  <r>
    <x v="1"/>
    <x v="13"/>
    <n v="15"/>
    <x v="8"/>
    <d v="2021-03-01T00:00:00"/>
    <n v="0"/>
    <x v="22"/>
  </r>
  <r>
    <x v="1"/>
    <x v="13"/>
    <n v="15"/>
    <x v="8"/>
    <d v="2021-03-01T00:00:00"/>
    <n v="0"/>
    <x v="23"/>
  </r>
  <r>
    <x v="1"/>
    <x v="13"/>
    <n v="15"/>
    <x v="8"/>
    <d v="2021-03-01T00:00:00"/>
    <n v="0"/>
    <x v="24"/>
  </r>
  <r>
    <x v="1"/>
    <x v="13"/>
    <n v="15"/>
    <x v="8"/>
    <d v="2021-03-01T00:00:00"/>
    <n v="0"/>
    <x v="12"/>
  </r>
  <r>
    <x v="2"/>
    <x v="0"/>
    <n v="7"/>
    <x v="0"/>
    <d v="2022-03-01T00:00:00"/>
    <n v="113977"/>
    <x v="25"/>
  </r>
  <r>
    <x v="2"/>
    <x v="0"/>
    <n v="7"/>
    <x v="0"/>
    <d v="2022-03-01T00:00:00"/>
    <n v="131565"/>
    <x v="26"/>
  </r>
  <r>
    <x v="2"/>
    <x v="0"/>
    <n v="7"/>
    <x v="0"/>
    <d v="2022-03-01T00:00:00"/>
    <n v="136100"/>
    <x v="27"/>
  </r>
  <r>
    <x v="2"/>
    <x v="0"/>
    <n v="7"/>
    <x v="0"/>
    <d v="2022-03-01T00:00:00"/>
    <n v="134299"/>
    <x v="28"/>
  </r>
  <r>
    <x v="2"/>
    <x v="0"/>
    <n v="7"/>
    <x v="0"/>
    <d v="2022-03-01T00:00:00"/>
    <n v="134722"/>
    <x v="29"/>
  </r>
  <r>
    <x v="2"/>
    <x v="0"/>
    <n v="7"/>
    <x v="0"/>
    <d v="2022-03-01T00:00:00"/>
    <n v="140277.29999999999"/>
    <x v="30"/>
  </r>
  <r>
    <x v="2"/>
    <x v="0"/>
    <n v="7"/>
    <x v="0"/>
    <d v="2022-03-01T00:00:00"/>
    <n v="130403"/>
    <x v="31"/>
  </r>
  <r>
    <x v="2"/>
    <x v="0"/>
    <n v="7"/>
    <x v="0"/>
    <d v="2022-03-01T00:00:00"/>
    <n v="139854"/>
    <x v="32"/>
  </r>
  <r>
    <x v="2"/>
    <x v="0"/>
    <n v="7"/>
    <x v="0"/>
    <d v="2022-03-01T00:00:00"/>
    <n v="144291.20000000001"/>
    <x v="33"/>
  </r>
  <r>
    <x v="2"/>
    <x v="0"/>
    <n v="7"/>
    <x v="0"/>
    <d v="2022-03-01T00:00:00"/>
    <n v="149483"/>
    <x v="34"/>
  </r>
  <r>
    <x v="2"/>
    <x v="0"/>
    <n v="7"/>
    <x v="0"/>
    <d v="2022-03-01T00:00:00"/>
    <n v="144745"/>
    <x v="35"/>
  </r>
  <r>
    <x v="2"/>
    <x v="0"/>
    <n v="7"/>
    <x v="0"/>
    <d v="2022-03-01T00:00:00"/>
    <n v="208052"/>
    <x v="36"/>
  </r>
  <r>
    <x v="2"/>
    <x v="0"/>
    <n v="7"/>
    <x v="0"/>
    <d v="2022-03-01T00:00:00"/>
    <n v="1707768.5"/>
    <x v="12"/>
  </r>
  <r>
    <x v="2"/>
    <x v="0"/>
    <n v="8"/>
    <x v="1"/>
    <d v="2022-03-01T00:00:00"/>
    <n v="14919"/>
    <x v="25"/>
  </r>
  <r>
    <x v="2"/>
    <x v="0"/>
    <n v="8"/>
    <x v="1"/>
    <d v="2022-03-01T00:00:00"/>
    <n v="15531"/>
    <x v="26"/>
  </r>
  <r>
    <x v="2"/>
    <x v="0"/>
    <n v="8"/>
    <x v="1"/>
    <d v="2022-03-01T00:00:00"/>
    <n v="14382"/>
    <x v="27"/>
  </r>
  <r>
    <x v="2"/>
    <x v="0"/>
    <n v="8"/>
    <x v="1"/>
    <d v="2022-03-01T00:00:00"/>
    <n v="16952"/>
    <x v="28"/>
  </r>
  <r>
    <x v="2"/>
    <x v="0"/>
    <n v="8"/>
    <x v="1"/>
    <d v="2022-03-01T00:00:00"/>
    <n v="15915"/>
    <x v="29"/>
  </r>
  <r>
    <x v="2"/>
    <x v="0"/>
    <n v="8"/>
    <x v="1"/>
    <d v="2022-03-01T00:00:00"/>
    <n v="14030"/>
    <x v="30"/>
  </r>
  <r>
    <x v="2"/>
    <x v="0"/>
    <n v="8"/>
    <x v="1"/>
    <d v="2022-03-01T00:00:00"/>
    <n v="14348"/>
    <x v="31"/>
  </r>
  <r>
    <x v="2"/>
    <x v="0"/>
    <n v="8"/>
    <x v="1"/>
    <d v="2022-03-01T00:00:00"/>
    <n v="14378"/>
    <x v="32"/>
  </r>
  <r>
    <x v="2"/>
    <x v="0"/>
    <n v="8"/>
    <x v="1"/>
    <d v="2022-03-01T00:00:00"/>
    <n v="16910"/>
    <x v="33"/>
  </r>
  <r>
    <x v="2"/>
    <x v="0"/>
    <n v="8"/>
    <x v="1"/>
    <d v="2022-03-01T00:00:00"/>
    <n v="17124"/>
    <x v="34"/>
  </r>
  <r>
    <x v="2"/>
    <x v="0"/>
    <n v="8"/>
    <x v="1"/>
    <d v="2022-03-01T00:00:00"/>
    <n v="15777"/>
    <x v="35"/>
  </r>
  <r>
    <x v="2"/>
    <x v="0"/>
    <n v="8"/>
    <x v="1"/>
    <d v="2022-03-01T00:00:00"/>
    <n v="17200"/>
    <x v="36"/>
  </r>
  <r>
    <x v="2"/>
    <x v="0"/>
    <n v="8"/>
    <x v="1"/>
    <d v="2022-03-01T00:00:00"/>
    <n v="187466"/>
    <x v="12"/>
  </r>
  <r>
    <x v="2"/>
    <x v="0"/>
    <n v="9"/>
    <x v="2"/>
    <d v="2022-03-01T00:00:00"/>
    <n v="8998"/>
    <x v="25"/>
  </r>
  <r>
    <x v="2"/>
    <x v="0"/>
    <n v="9"/>
    <x v="2"/>
    <d v="2022-03-01T00:00:00"/>
    <n v="8948"/>
    <x v="26"/>
  </r>
  <r>
    <x v="2"/>
    <x v="0"/>
    <n v="9"/>
    <x v="2"/>
    <d v="2022-03-01T00:00:00"/>
    <n v="9227"/>
    <x v="27"/>
  </r>
  <r>
    <x v="2"/>
    <x v="0"/>
    <n v="9"/>
    <x v="2"/>
    <d v="2022-03-01T00:00:00"/>
    <n v="8776"/>
    <x v="28"/>
  </r>
  <r>
    <x v="2"/>
    <x v="0"/>
    <n v="9"/>
    <x v="2"/>
    <d v="2022-03-01T00:00:00"/>
    <n v="8824"/>
    <x v="29"/>
  </r>
  <r>
    <x v="2"/>
    <x v="0"/>
    <n v="9"/>
    <x v="2"/>
    <d v="2022-03-01T00:00:00"/>
    <n v="8877"/>
    <x v="30"/>
  </r>
  <r>
    <x v="2"/>
    <x v="0"/>
    <n v="9"/>
    <x v="2"/>
    <d v="2022-03-01T00:00:00"/>
    <n v="8663"/>
    <x v="31"/>
  </r>
  <r>
    <x v="2"/>
    <x v="0"/>
    <n v="9"/>
    <x v="2"/>
    <d v="2022-03-01T00:00:00"/>
    <n v="8943"/>
    <x v="32"/>
  </r>
  <r>
    <x v="2"/>
    <x v="0"/>
    <n v="9"/>
    <x v="2"/>
    <d v="2022-03-01T00:00:00"/>
    <n v="8811"/>
    <x v="33"/>
  </r>
  <r>
    <x v="2"/>
    <x v="0"/>
    <n v="9"/>
    <x v="2"/>
    <d v="2022-03-01T00:00:00"/>
    <n v="8981"/>
    <x v="34"/>
  </r>
  <r>
    <x v="2"/>
    <x v="0"/>
    <n v="9"/>
    <x v="2"/>
    <d v="2022-03-01T00:00:00"/>
    <n v="8808"/>
    <x v="35"/>
  </r>
  <r>
    <x v="2"/>
    <x v="0"/>
    <n v="9"/>
    <x v="2"/>
    <d v="2022-03-01T00:00:00"/>
    <n v="9029"/>
    <x v="36"/>
  </r>
  <r>
    <x v="2"/>
    <x v="0"/>
    <n v="9"/>
    <x v="2"/>
    <d v="2022-03-01T00:00:00"/>
    <n v="106885"/>
    <x v="12"/>
  </r>
  <r>
    <x v="2"/>
    <x v="0"/>
    <n v="10"/>
    <x v="3"/>
    <d v="2022-03-01T00:00:00"/>
    <n v="52141"/>
    <x v="25"/>
  </r>
  <r>
    <x v="2"/>
    <x v="0"/>
    <n v="10"/>
    <x v="3"/>
    <d v="2022-03-01T00:00:00"/>
    <n v="52720"/>
    <x v="26"/>
  </r>
  <r>
    <x v="2"/>
    <x v="0"/>
    <n v="10"/>
    <x v="3"/>
    <d v="2022-03-01T00:00:00"/>
    <n v="52905"/>
    <x v="27"/>
  </r>
  <r>
    <x v="2"/>
    <x v="0"/>
    <n v="10"/>
    <x v="3"/>
    <d v="2022-03-01T00:00:00"/>
    <n v="52020"/>
    <x v="28"/>
  </r>
  <r>
    <x v="2"/>
    <x v="0"/>
    <n v="10"/>
    <x v="3"/>
    <d v="2022-03-01T00:00:00"/>
    <n v="53294"/>
    <x v="29"/>
  </r>
  <r>
    <x v="2"/>
    <x v="0"/>
    <n v="10"/>
    <x v="3"/>
    <d v="2022-03-01T00:00:00"/>
    <n v="61697"/>
    <x v="30"/>
  </r>
  <r>
    <x v="2"/>
    <x v="0"/>
    <n v="10"/>
    <x v="3"/>
    <d v="2022-03-01T00:00:00"/>
    <n v="53802.65"/>
    <x v="31"/>
  </r>
  <r>
    <x v="2"/>
    <x v="0"/>
    <n v="10"/>
    <x v="3"/>
    <d v="2022-03-01T00:00:00"/>
    <n v="57195"/>
    <x v="32"/>
  </r>
  <r>
    <x v="2"/>
    <x v="0"/>
    <n v="10"/>
    <x v="3"/>
    <d v="2022-03-01T00:00:00"/>
    <n v="58034"/>
    <x v="33"/>
  </r>
  <r>
    <x v="2"/>
    <x v="0"/>
    <n v="10"/>
    <x v="3"/>
    <d v="2022-03-01T00:00:00"/>
    <n v="59325"/>
    <x v="34"/>
  </r>
  <r>
    <x v="2"/>
    <x v="0"/>
    <n v="10"/>
    <x v="3"/>
    <d v="2022-03-01T00:00:00"/>
    <n v="58753"/>
    <x v="35"/>
  </r>
  <r>
    <x v="2"/>
    <x v="0"/>
    <n v="10"/>
    <x v="3"/>
    <d v="2022-03-01T00:00:00"/>
    <n v="88309"/>
    <x v="36"/>
  </r>
  <r>
    <x v="2"/>
    <x v="0"/>
    <n v="10"/>
    <x v="3"/>
    <d v="2022-03-01T00:00:00"/>
    <n v="700195.65"/>
    <x v="12"/>
  </r>
  <r>
    <x v="2"/>
    <x v="0"/>
    <n v="11"/>
    <x v="4"/>
    <d v="2022-03-01T00:00:00"/>
    <n v="9692"/>
    <x v="25"/>
  </r>
  <r>
    <x v="2"/>
    <x v="0"/>
    <n v="11"/>
    <x v="4"/>
    <d v="2022-03-01T00:00:00"/>
    <n v="9736"/>
    <x v="26"/>
  </r>
  <r>
    <x v="2"/>
    <x v="0"/>
    <n v="11"/>
    <x v="4"/>
    <d v="2022-03-01T00:00:00"/>
    <n v="11479"/>
    <x v="27"/>
  </r>
  <r>
    <x v="2"/>
    <x v="0"/>
    <n v="11"/>
    <x v="4"/>
    <d v="2022-03-01T00:00:00"/>
    <n v="11271"/>
    <x v="28"/>
  </r>
  <r>
    <x v="2"/>
    <x v="0"/>
    <n v="11"/>
    <x v="4"/>
    <d v="2022-03-01T00:00:00"/>
    <n v="10715"/>
    <x v="29"/>
  </r>
  <r>
    <x v="2"/>
    <x v="0"/>
    <n v="11"/>
    <x v="4"/>
    <d v="2022-03-01T00:00:00"/>
    <n v="10584"/>
    <x v="30"/>
  </r>
  <r>
    <x v="2"/>
    <x v="0"/>
    <n v="11"/>
    <x v="4"/>
    <d v="2022-03-01T00:00:00"/>
    <n v="10473"/>
    <x v="31"/>
  </r>
  <r>
    <x v="2"/>
    <x v="0"/>
    <n v="11"/>
    <x v="4"/>
    <d v="2022-03-01T00:00:00"/>
    <n v="11544"/>
    <x v="32"/>
  </r>
  <r>
    <x v="2"/>
    <x v="0"/>
    <n v="11"/>
    <x v="4"/>
    <d v="2022-03-01T00:00:00"/>
    <n v="11642"/>
    <x v="33"/>
  </r>
  <r>
    <x v="2"/>
    <x v="0"/>
    <n v="11"/>
    <x v="4"/>
    <d v="2022-03-01T00:00:00"/>
    <n v="13811"/>
    <x v="34"/>
  </r>
  <r>
    <x v="2"/>
    <x v="0"/>
    <n v="11"/>
    <x v="4"/>
    <d v="2022-03-01T00:00:00"/>
    <n v="12997"/>
    <x v="35"/>
  </r>
  <r>
    <x v="2"/>
    <x v="0"/>
    <n v="11"/>
    <x v="4"/>
    <d v="2022-03-01T00:00:00"/>
    <n v="22807"/>
    <x v="36"/>
  </r>
  <r>
    <x v="2"/>
    <x v="0"/>
    <n v="11"/>
    <x v="4"/>
    <d v="2022-03-01T00:00:00"/>
    <n v="146751"/>
    <x v="12"/>
  </r>
  <r>
    <x v="2"/>
    <x v="0"/>
    <n v="12"/>
    <x v="5"/>
    <d v="2022-03-01T00:00:00"/>
    <n v="4197"/>
    <x v="25"/>
  </r>
  <r>
    <x v="2"/>
    <x v="0"/>
    <n v="12"/>
    <x v="5"/>
    <d v="2022-03-01T00:00:00"/>
    <n v="3767"/>
    <x v="26"/>
  </r>
  <r>
    <x v="2"/>
    <x v="0"/>
    <n v="12"/>
    <x v="5"/>
    <d v="2022-03-01T00:00:00"/>
    <n v="4961"/>
    <x v="27"/>
  </r>
  <r>
    <x v="2"/>
    <x v="0"/>
    <n v="12"/>
    <x v="5"/>
    <d v="2022-03-01T00:00:00"/>
    <n v="4547"/>
    <x v="28"/>
  </r>
  <r>
    <x v="2"/>
    <x v="0"/>
    <n v="12"/>
    <x v="5"/>
    <d v="2022-03-01T00:00:00"/>
    <n v="4709"/>
    <x v="29"/>
  </r>
  <r>
    <x v="2"/>
    <x v="0"/>
    <n v="12"/>
    <x v="5"/>
    <d v="2022-03-01T00:00:00"/>
    <n v="4289"/>
    <x v="30"/>
  </r>
  <r>
    <x v="2"/>
    <x v="0"/>
    <n v="12"/>
    <x v="5"/>
    <d v="2022-03-01T00:00:00"/>
    <n v="4406"/>
    <x v="31"/>
  </r>
  <r>
    <x v="2"/>
    <x v="0"/>
    <n v="12"/>
    <x v="5"/>
    <d v="2022-03-01T00:00:00"/>
    <n v="4780"/>
    <x v="32"/>
  </r>
  <r>
    <x v="2"/>
    <x v="0"/>
    <n v="12"/>
    <x v="5"/>
    <d v="2022-03-01T00:00:00"/>
    <n v="4727"/>
    <x v="33"/>
  </r>
  <r>
    <x v="2"/>
    <x v="0"/>
    <n v="12"/>
    <x v="5"/>
    <d v="2022-03-01T00:00:00"/>
    <n v="4828"/>
    <x v="34"/>
  </r>
  <r>
    <x v="2"/>
    <x v="0"/>
    <n v="12"/>
    <x v="5"/>
    <d v="2022-03-01T00:00:00"/>
    <n v="4964"/>
    <x v="35"/>
  </r>
  <r>
    <x v="2"/>
    <x v="0"/>
    <n v="12"/>
    <x v="5"/>
    <d v="2022-03-01T00:00:00"/>
    <n v="4865"/>
    <x v="36"/>
  </r>
  <r>
    <x v="2"/>
    <x v="0"/>
    <n v="12"/>
    <x v="5"/>
    <d v="2022-03-01T00:00:00"/>
    <n v="55040"/>
    <x v="12"/>
  </r>
  <r>
    <x v="2"/>
    <x v="0"/>
    <n v="13"/>
    <x v="6"/>
    <d v="2022-03-01T00:00:00"/>
    <n v="24780"/>
    <x v="25"/>
  </r>
  <r>
    <x v="2"/>
    <x v="0"/>
    <n v="13"/>
    <x v="6"/>
    <d v="2022-03-01T00:00:00"/>
    <n v="23764"/>
    <x v="26"/>
  </r>
  <r>
    <x v="2"/>
    <x v="0"/>
    <n v="13"/>
    <x v="6"/>
    <d v="2022-03-01T00:00:00"/>
    <n v="25055"/>
    <x v="27"/>
  </r>
  <r>
    <x v="2"/>
    <x v="0"/>
    <n v="13"/>
    <x v="6"/>
    <d v="2022-03-01T00:00:00"/>
    <n v="24181"/>
    <x v="28"/>
  </r>
  <r>
    <x v="2"/>
    <x v="0"/>
    <n v="13"/>
    <x v="6"/>
    <d v="2022-03-01T00:00:00"/>
    <n v="22944"/>
    <x v="29"/>
  </r>
  <r>
    <x v="2"/>
    <x v="0"/>
    <n v="13"/>
    <x v="6"/>
    <d v="2022-03-01T00:00:00"/>
    <n v="24125"/>
    <x v="30"/>
  </r>
  <r>
    <x v="2"/>
    <x v="0"/>
    <n v="13"/>
    <x v="6"/>
    <d v="2022-03-01T00:00:00"/>
    <n v="24623"/>
    <x v="31"/>
  </r>
  <r>
    <x v="2"/>
    <x v="0"/>
    <n v="13"/>
    <x v="6"/>
    <d v="2022-03-01T00:00:00"/>
    <n v="25751"/>
    <x v="32"/>
  </r>
  <r>
    <x v="2"/>
    <x v="0"/>
    <n v="13"/>
    <x v="6"/>
    <d v="2022-03-01T00:00:00"/>
    <n v="24660"/>
    <x v="33"/>
  </r>
  <r>
    <x v="2"/>
    <x v="0"/>
    <n v="13"/>
    <x v="6"/>
    <d v="2022-03-01T00:00:00"/>
    <n v="27103"/>
    <x v="34"/>
  </r>
  <r>
    <x v="2"/>
    <x v="0"/>
    <n v="13"/>
    <x v="6"/>
    <d v="2022-03-01T00:00:00"/>
    <n v="25192"/>
    <x v="35"/>
  </r>
  <r>
    <x v="2"/>
    <x v="0"/>
    <n v="13"/>
    <x v="6"/>
    <d v="2022-03-01T00:00:00"/>
    <n v="27399"/>
    <x v="36"/>
  </r>
  <r>
    <x v="2"/>
    <x v="0"/>
    <n v="13"/>
    <x v="6"/>
    <d v="2022-03-01T00:00:00"/>
    <n v="299577"/>
    <x v="12"/>
  </r>
  <r>
    <x v="2"/>
    <x v="0"/>
    <n v="14"/>
    <x v="7"/>
    <d v="2022-03-01T00:00:00"/>
    <n v="0"/>
    <x v="25"/>
  </r>
  <r>
    <x v="2"/>
    <x v="0"/>
    <n v="14"/>
    <x v="7"/>
    <d v="2022-03-01T00:00:00"/>
    <n v="0"/>
    <x v="26"/>
  </r>
  <r>
    <x v="2"/>
    <x v="0"/>
    <n v="14"/>
    <x v="7"/>
    <d v="2022-03-01T00:00:00"/>
    <n v="0"/>
    <x v="27"/>
  </r>
  <r>
    <x v="2"/>
    <x v="0"/>
    <n v="14"/>
    <x v="7"/>
    <d v="2022-03-01T00:00:00"/>
    <n v="0"/>
    <x v="28"/>
  </r>
  <r>
    <x v="2"/>
    <x v="0"/>
    <n v="14"/>
    <x v="7"/>
    <d v="2022-03-01T00:00:00"/>
    <n v="0"/>
    <x v="29"/>
  </r>
  <r>
    <x v="2"/>
    <x v="0"/>
    <n v="14"/>
    <x v="7"/>
    <d v="2022-03-01T00:00:00"/>
    <n v="0"/>
    <x v="30"/>
  </r>
  <r>
    <x v="2"/>
    <x v="0"/>
    <n v="14"/>
    <x v="7"/>
    <d v="2022-03-01T00:00:00"/>
    <n v="0"/>
    <x v="31"/>
  </r>
  <r>
    <x v="2"/>
    <x v="0"/>
    <n v="14"/>
    <x v="7"/>
    <d v="2022-03-01T00:00:00"/>
    <n v="0"/>
    <x v="32"/>
  </r>
  <r>
    <x v="2"/>
    <x v="0"/>
    <n v="14"/>
    <x v="7"/>
    <d v="2022-03-01T00:00:00"/>
    <n v="0"/>
    <x v="33"/>
  </r>
  <r>
    <x v="2"/>
    <x v="0"/>
    <n v="14"/>
    <x v="7"/>
    <d v="2022-03-01T00:00:00"/>
    <n v="0"/>
    <x v="34"/>
  </r>
  <r>
    <x v="2"/>
    <x v="0"/>
    <n v="14"/>
    <x v="7"/>
    <d v="2022-03-01T00:00:00"/>
    <n v="0"/>
    <x v="35"/>
  </r>
  <r>
    <x v="2"/>
    <x v="0"/>
    <n v="14"/>
    <x v="7"/>
    <d v="2022-03-01T00:00:00"/>
    <n v="0"/>
    <x v="36"/>
  </r>
  <r>
    <x v="2"/>
    <x v="0"/>
    <n v="14"/>
    <x v="7"/>
    <d v="2022-03-01T00:00:00"/>
    <n v="0"/>
    <x v="12"/>
  </r>
  <r>
    <x v="2"/>
    <x v="0"/>
    <n v="15"/>
    <x v="8"/>
    <d v="2022-03-01T00:00:00"/>
    <n v="8363"/>
    <x v="25"/>
  </r>
  <r>
    <x v="2"/>
    <x v="0"/>
    <n v="15"/>
    <x v="8"/>
    <d v="2022-03-01T00:00:00"/>
    <n v="8746"/>
    <x v="26"/>
  </r>
  <r>
    <x v="2"/>
    <x v="0"/>
    <n v="15"/>
    <x v="8"/>
    <d v="2022-03-01T00:00:00"/>
    <n v="8289"/>
    <x v="27"/>
  </r>
  <r>
    <x v="2"/>
    <x v="0"/>
    <n v="15"/>
    <x v="8"/>
    <d v="2022-03-01T00:00:00"/>
    <n v="8309"/>
    <x v="28"/>
  </r>
  <r>
    <x v="2"/>
    <x v="0"/>
    <n v="15"/>
    <x v="8"/>
    <d v="2022-03-01T00:00:00"/>
    <n v="9075"/>
    <x v="29"/>
  </r>
  <r>
    <x v="2"/>
    <x v="0"/>
    <n v="15"/>
    <x v="8"/>
    <d v="2022-03-01T00:00:00"/>
    <n v="8884"/>
    <x v="30"/>
  </r>
  <r>
    <x v="2"/>
    <x v="0"/>
    <n v="15"/>
    <x v="8"/>
    <d v="2022-03-01T00:00:00"/>
    <n v="9102"/>
    <x v="31"/>
  </r>
  <r>
    <x v="2"/>
    <x v="0"/>
    <n v="15"/>
    <x v="8"/>
    <d v="2022-03-01T00:00:00"/>
    <n v="8888"/>
    <x v="32"/>
  </r>
  <r>
    <x v="2"/>
    <x v="0"/>
    <n v="15"/>
    <x v="8"/>
    <d v="2022-03-01T00:00:00"/>
    <n v="10421"/>
    <x v="33"/>
  </r>
  <r>
    <x v="2"/>
    <x v="0"/>
    <n v="15"/>
    <x v="8"/>
    <d v="2022-03-01T00:00:00"/>
    <n v="9343"/>
    <x v="34"/>
  </r>
  <r>
    <x v="2"/>
    <x v="0"/>
    <n v="15"/>
    <x v="8"/>
    <d v="2022-03-01T00:00:00"/>
    <n v="8582"/>
    <x v="35"/>
  </r>
  <r>
    <x v="2"/>
    <x v="0"/>
    <n v="15"/>
    <x v="8"/>
    <d v="2022-03-01T00:00:00"/>
    <n v="9101"/>
    <x v="36"/>
  </r>
  <r>
    <x v="2"/>
    <x v="0"/>
    <n v="15"/>
    <x v="8"/>
    <d v="2022-03-01T00:00:00"/>
    <n v="107103"/>
    <x v="12"/>
  </r>
  <r>
    <x v="2"/>
    <x v="1"/>
    <n v="7"/>
    <x v="0"/>
    <d v="2022-03-01T00:00:00"/>
    <n v="148714"/>
    <x v="25"/>
  </r>
  <r>
    <x v="2"/>
    <x v="1"/>
    <n v="7"/>
    <x v="0"/>
    <d v="2022-03-01T00:00:00"/>
    <n v="158971"/>
    <x v="26"/>
  </r>
  <r>
    <x v="2"/>
    <x v="1"/>
    <n v="7"/>
    <x v="0"/>
    <d v="2022-03-01T00:00:00"/>
    <n v="158807"/>
    <x v="27"/>
  </r>
  <r>
    <x v="2"/>
    <x v="1"/>
    <n v="7"/>
    <x v="0"/>
    <d v="2022-03-01T00:00:00"/>
    <n v="158991"/>
    <x v="28"/>
  </r>
  <r>
    <x v="2"/>
    <x v="1"/>
    <n v="7"/>
    <x v="0"/>
    <d v="2022-03-01T00:00:00"/>
    <n v="163848"/>
    <x v="29"/>
  </r>
  <r>
    <x v="2"/>
    <x v="1"/>
    <n v="7"/>
    <x v="0"/>
    <d v="2022-03-01T00:00:00"/>
    <n v="160347"/>
    <x v="30"/>
  </r>
  <r>
    <x v="2"/>
    <x v="1"/>
    <n v="7"/>
    <x v="0"/>
    <d v="2022-03-01T00:00:00"/>
    <n v="160918"/>
    <x v="31"/>
  </r>
  <r>
    <x v="2"/>
    <x v="1"/>
    <n v="7"/>
    <x v="0"/>
    <d v="2022-03-01T00:00:00"/>
    <n v="163862"/>
    <x v="32"/>
  </r>
  <r>
    <x v="2"/>
    <x v="1"/>
    <n v="7"/>
    <x v="0"/>
    <d v="2022-03-01T00:00:00"/>
    <n v="171682"/>
    <x v="33"/>
  </r>
  <r>
    <x v="2"/>
    <x v="1"/>
    <n v="7"/>
    <x v="0"/>
    <d v="2022-03-01T00:00:00"/>
    <n v="178082"/>
    <x v="34"/>
  </r>
  <r>
    <x v="2"/>
    <x v="1"/>
    <n v="7"/>
    <x v="0"/>
    <d v="2022-03-01T00:00:00"/>
    <n v="173208"/>
    <x v="35"/>
  </r>
  <r>
    <x v="2"/>
    <x v="1"/>
    <n v="7"/>
    <x v="0"/>
    <d v="2022-03-01T00:00:00"/>
    <n v="229897"/>
    <x v="36"/>
  </r>
  <r>
    <x v="2"/>
    <x v="1"/>
    <n v="7"/>
    <x v="0"/>
    <d v="2022-03-01T00:00:00"/>
    <n v="2027327"/>
    <x v="12"/>
  </r>
  <r>
    <x v="2"/>
    <x v="1"/>
    <n v="9"/>
    <x v="2"/>
    <d v="2022-03-01T00:00:00"/>
    <n v="9198"/>
    <x v="25"/>
  </r>
  <r>
    <x v="2"/>
    <x v="1"/>
    <n v="9"/>
    <x v="2"/>
    <d v="2022-03-01T00:00:00"/>
    <n v="7930"/>
    <x v="26"/>
  </r>
  <r>
    <x v="2"/>
    <x v="1"/>
    <n v="9"/>
    <x v="2"/>
    <d v="2022-03-01T00:00:00"/>
    <n v="9258"/>
    <x v="27"/>
  </r>
  <r>
    <x v="2"/>
    <x v="1"/>
    <n v="9"/>
    <x v="2"/>
    <d v="2022-03-01T00:00:00"/>
    <n v="10467"/>
    <x v="28"/>
  </r>
  <r>
    <x v="2"/>
    <x v="1"/>
    <n v="9"/>
    <x v="2"/>
    <d v="2022-03-01T00:00:00"/>
    <n v="9325"/>
    <x v="29"/>
  </r>
  <r>
    <x v="2"/>
    <x v="1"/>
    <n v="9"/>
    <x v="2"/>
    <d v="2022-03-01T00:00:00"/>
    <n v="9801"/>
    <x v="30"/>
  </r>
  <r>
    <x v="2"/>
    <x v="1"/>
    <n v="9"/>
    <x v="2"/>
    <d v="2022-03-01T00:00:00"/>
    <n v="8807"/>
    <x v="31"/>
  </r>
  <r>
    <x v="2"/>
    <x v="1"/>
    <n v="9"/>
    <x v="2"/>
    <d v="2022-03-01T00:00:00"/>
    <n v="9252"/>
    <x v="32"/>
  </r>
  <r>
    <x v="2"/>
    <x v="1"/>
    <n v="9"/>
    <x v="2"/>
    <d v="2022-03-01T00:00:00"/>
    <n v="10283"/>
    <x v="33"/>
  </r>
  <r>
    <x v="2"/>
    <x v="1"/>
    <n v="9"/>
    <x v="2"/>
    <d v="2022-03-01T00:00:00"/>
    <n v="9316"/>
    <x v="34"/>
  </r>
  <r>
    <x v="2"/>
    <x v="1"/>
    <n v="9"/>
    <x v="2"/>
    <d v="2022-03-01T00:00:00"/>
    <n v="8901"/>
    <x v="35"/>
  </r>
  <r>
    <x v="2"/>
    <x v="1"/>
    <n v="9"/>
    <x v="2"/>
    <d v="2022-03-01T00:00:00"/>
    <n v="9764"/>
    <x v="36"/>
  </r>
  <r>
    <x v="2"/>
    <x v="1"/>
    <n v="9"/>
    <x v="2"/>
    <d v="2022-03-01T00:00:00"/>
    <n v="112302"/>
    <x v="12"/>
  </r>
  <r>
    <x v="2"/>
    <x v="1"/>
    <n v="10"/>
    <x v="3"/>
    <d v="2022-03-01T00:00:00"/>
    <n v="68195"/>
    <x v="25"/>
  </r>
  <r>
    <x v="2"/>
    <x v="1"/>
    <n v="10"/>
    <x v="3"/>
    <d v="2022-03-01T00:00:00"/>
    <n v="70220"/>
    <x v="26"/>
  </r>
  <r>
    <x v="2"/>
    <x v="1"/>
    <n v="10"/>
    <x v="3"/>
    <d v="2022-03-01T00:00:00"/>
    <n v="69655"/>
    <x v="27"/>
  </r>
  <r>
    <x v="2"/>
    <x v="1"/>
    <n v="10"/>
    <x v="3"/>
    <d v="2022-03-01T00:00:00"/>
    <n v="69040"/>
    <x v="28"/>
  </r>
  <r>
    <x v="2"/>
    <x v="1"/>
    <n v="10"/>
    <x v="3"/>
    <d v="2022-03-01T00:00:00"/>
    <n v="76096"/>
    <x v="29"/>
  </r>
  <r>
    <x v="2"/>
    <x v="1"/>
    <n v="10"/>
    <x v="3"/>
    <d v="2022-03-01T00:00:00"/>
    <n v="71989"/>
    <x v="30"/>
  </r>
  <r>
    <x v="2"/>
    <x v="1"/>
    <n v="10"/>
    <x v="3"/>
    <d v="2022-03-01T00:00:00"/>
    <n v="68512"/>
    <x v="31"/>
  </r>
  <r>
    <x v="2"/>
    <x v="1"/>
    <n v="10"/>
    <x v="3"/>
    <d v="2022-03-01T00:00:00"/>
    <n v="74010"/>
    <x v="32"/>
  </r>
  <r>
    <x v="2"/>
    <x v="1"/>
    <n v="10"/>
    <x v="3"/>
    <d v="2022-03-01T00:00:00"/>
    <n v="75451"/>
    <x v="33"/>
  </r>
  <r>
    <x v="2"/>
    <x v="1"/>
    <n v="10"/>
    <x v="3"/>
    <d v="2022-03-01T00:00:00"/>
    <n v="76663"/>
    <x v="34"/>
  </r>
  <r>
    <x v="2"/>
    <x v="1"/>
    <n v="10"/>
    <x v="3"/>
    <d v="2022-03-01T00:00:00"/>
    <n v="75266"/>
    <x v="35"/>
  </r>
  <r>
    <x v="2"/>
    <x v="1"/>
    <n v="10"/>
    <x v="3"/>
    <d v="2022-03-01T00:00:00"/>
    <n v="119373"/>
    <x v="36"/>
  </r>
  <r>
    <x v="2"/>
    <x v="1"/>
    <n v="10"/>
    <x v="3"/>
    <d v="2022-03-01T00:00:00"/>
    <n v="914470"/>
    <x v="12"/>
  </r>
  <r>
    <x v="2"/>
    <x v="1"/>
    <n v="11"/>
    <x v="4"/>
    <d v="2022-03-01T00:00:00"/>
    <n v="15182"/>
    <x v="25"/>
  </r>
  <r>
    <x v="2"/>
    <x v="1"/>
    <n v="11"/>
    <x v="4"/>
    <d v="2022-03-01T00:00:00"/>
    <n v="17563"/>
    <x v="26"/>
  </r>
  <r>
    <x v="2"/>
    <x v="1"/>
    <n v="11"/>
    <x v="4"/>
    <d v="2022-03-01T00:00:00"/>
    <n v="15845"/>
    <x v="27"/>
  </r>
  <r>
    <x v="2"/>
    <x v="1"/>
    <n v="11"/>
    <x v="4"/>
    <d v="2022-03-01T00:00:00"/>
    <n v="10560"/>
    <x v="28"/>
  </r>
  <r>
    <x v="2"/>
    <x v="1"/>
    <n v="11"/>
    <x v="4"/>
    <d v="2022-03-01T00:00:00"/>
    <n v="15781"/>
    <x v="29"/>
  </r>
  <r>
    <x v="2"/>
    <x v="1"/>
    <n v="11"/>
    <x v="4"/>
    <d v="2022-03-01T00:00:00"/>
    <n v="14590"/>
    <x v="30"/>
  </r>
  <r>
    <x v="2"/>
    <x v="1"/>
    <n v="11"/>
    <x v="4"/>
    <d v="2022-03-01T00:00:00"/>
    <n v="19039"/>
    <x v="31"/>
  </r>
  <r>
    <x v="2"/>
    <x v="1"/>
    <n v="11"/>
    <x v="4"/>
    <d v="2022-03-01T00:00:00"/>
    <n v="16871"/>
    <x v="32"/>
  </r>
  <r>
    <x v="2"/>
    <x v="1"/>
    <n v="11"/>
    <x v="4"/>
    <d v="2022-03-01T00:00:00"/>
    <n v="20436"/>
    <x v="33"/>
  </r>
  <r>
    <x v="2"/>
    <x v="1"/>
    <n v="11"/>
    <x v="4"/>
    <d v="2022-03-01T00:00:00"/>
    <n v="22073"/>
    <x v="34"/>
  </r>
  <r>
    <x v="2"/>
    <x v="1"/>
    <n v="11"/>
    <x v="4"/>
    <d v="2022-03-01T00:00:00"/>
    <n v="22726"/>
    <x v="35"/>
  </r>
  <r>
    <x v="2"/>
    <x v="1"/>
    <n v="11"/>
    <x v="4"/>
    <d v="2022-03-01T00:00:00"/>
    <n v="30049"/>
    <x v="36"/>
  </r>
  <r>
    <x v="2"/>
    <x v="1"/>
    <n v="11"/>
    <x v="4"/>
    <d v="2022-03-01T00:00:00"/>
    <n v="220715"/>
    <x v="12"/>
  </r>
  <r>
    <x v="2"/>
    <x v="1"/>
    <n v="12"/>
    <x v="5"/>
    <d v="2022-03-01T00:00:00"/>
    <n v="5618"/>
    <x v="25"/>
  </r>
  <r>
    <x v="2"/>
    <x v="1"/>
    <n v="12"/>
    <x v="5"/>
    <d v="2022-03-01T00:00:00"/>
    <n v="6033"/>
    <x v="26"/>
  </r>
  <r>
    <x v="2"/>
    <x v="1"/>
    <n v="12"/>
    <x v="5"/>
    <d v="2022-03-01T00:00:00"/>
    <n v="6797"/>
    <x v="27"/>
  </r>
  <r>
    <x v="2"/>
    <x v="1"/>
    <n v="12"/>
    <x v="5"/>
    <d v="2022-03-01T00:00:00"/>
    <n v="6861"/>
    <x v="28"/>
  </r>
  <r>
    <x v="2"/>
    <x v="1"/>
    <n v="12"/>
    <x v="5"/>
    <d v="2022-03-01T00:00:00"/>
    <n v="7056"/>
    <x v="29"/>
  </r>
  <r>
    <x v="2"/>
    <x v="1"/>
    <n v="12"/>
    <x v="5"/>
    <d v="2022-03-01T00:00:00"/>
    <n v="7521"/>
    <x v="30"/>
  </r>
  <r>
    <x v="2"/>
    <x v="1"/>
    <n v="12"/>
    <x v="5"/>
    <d v="2022-03-01T00:00:00"/>
    <n v="7455"/>
    <x v="31"/>
  </r>
  <r>
    <x v="2"/>
    <x v="1"/>
    <n v="12"/>
    <x v="5"/>
    <d v="2022-03-01T00:00:00"/>
    <n v="7101"/>
    <x v="32"/>
  </r>
  <r>
    <x v="2"/>
    <x v="1"/>
    <n v="12"/>
    <x v="5"/>
    <d v="2022-03-01T00:00:00"/>
    <n v="7149"/>
    <x v="33"/>
  </r>
  <r>
    <x v="2"/>
    <x v="1"/>
    <n v="12"/>
    <x v="5"/>
    <d v="2022-03-01T00:00:00"/>
    <n v="7184"/>
    <x v="34"/>
  </r>
  <r>
    <x v="2"/>
    <x v="1"/>
    <n v="12"/>
    <x v="5"/>
    <d v="2022-03-01T00:00:00"/>
    <n v="6359"/>
    <x v="35"/>
  </r>
  <r>
    <x v="2"/>
    <x v="1"/>
    <n v="12"/>
    <x v="5"/>
    <d v="2022-03-01T00:00:00"/>
    <n v="7081"/>
    <x v="36"/>
  </r>
  <r>
    <x v="2"/>
    <x v="1"/>
    <n v="12"/>
    <x v="5"/>
    <d v="2022-03-01T00:00:00"/>
    <n v="82215"/>
    <x v="12"/>
  </r>
  <r>
    <x v="2"/>
    <x v="1"/>
    <n v="8"/>
    <x v="1"/>
    <d v="2022-03-01T00:00:00"/>
    <n v="18135"/>
    <x v="25"/>
  </r>
  <r>
    <x v="2"/>
    <x v="1"/>
    <n v="8"/>
    <x v="1"/>
    <d v="2022-03-01T00:00:00"/>
    <n v="19071"/>
    <x v="26"/>
  </r>
  <r>
    <x v="2"/>
    <x v="1"/>
    <n v="8"/>
    <x v="1"/>
    <d v="2022-03-01T00:00:00"/>
    <n v="19080"/>
    <x v="27"/>
  </r>
  <r>
    <x v="2"/>
    <x v="1"/>
    <n v="8"/>
    <x v="1"/>
    <d v="2022-03-01T00:00:00"/>
    <n v="19713"/>
    <x v="28"/>
  </r>
  <r>
    <x v="2"/>
    <x v="1"/>
    <n v="8"/>
    <x v="1"/>
    <d v="2022-03-01T00:00:00"/>
    <n v="18455"/>
    <x v="29"/>
  </r>
  <r>
    <x v="2"/>
    <x v="1"/>
    <n v="8"/>
    <x v="1"/>
    <d v="2022-03-01T00:00:00"/>
    <n v="17954"/>
    <x v="30"/>
  </r>
  <r>
    <x v="2"/>
    <x v="1"/>
    <n v="8"/>
    <x v="1"/>
    <d v="2022-03-01T00:00:00"/>
    <n v="18689"/>
    <x v="31"/>
  </r>
  <r>
    <x v="2"/>
    <x v="1"/>
    <n v="8"/>
    <x v="1"/>
    <d v="2022-03-01T00:00:00"/>
    <n v="18851"/>
    <x v="32"/>
  </r>
  <r>
    <x v="2"/>
    <x v="1"/>
    <n v="8"/>
    <x v="1"/>
    <d v="2022-03-01T00:00:00"/>
    <n v="20808"/>
    <x v="33"/>
  </r>
  <r>
    <x v="2"/>
    <x v="1"/>
    <n v="8"/>
    <x v="1"/>
    <d v="2022-03-01T00:00:00"/>
    <n v="20257"/>
    <x v="34"/>
  </r>
  <r>
    <x v="2"/>
    <x v="1"/>
    <n v="8"/>
    <x v="1"/>
    <d v="2022-03-01T00:00:00"/>
    <n v="18240"/>
    <x v="35"/>
  </r>
  <r>
    <x v="2"/>
    <x v="1"/>
    <n v="8"/>
    <x v="1"/>
    <d v="2022-03-01T00:00:00"/>
    <n v="19387"/>
    <x v="36"/>
  </r>
  <r>
    <x v="2"/>
    <x v="1"/>
    <n v="8"/>
    <x v="1"/>
    <d v="2022-03-01T00:00:00"/>
    <n v="228640"/>
    <x v="12"/>
  </r>
  <r>
    <x v="2"/>
    <x v="1"/>
    <n v="13"/>
    <x v="6"/>
    <d v="2022-03-01T00:00:00"/>
    <n v="22821"/>
    <x v="25"/>
  </r>
  <r>
    <x v="2"/>
    <x v="1"/>
    <n v="13"/>
    <x v="6"/>
    <d v="2022-03-01T00:00:00"/>
    <n v="22833"/>
    <x v="26"/>
  </r>
  <r>
    <x v="2"/>
    <x v="1"/>
    <n v="13"/>
    <x v="6"/>
    <d v="2022-03-01T00:00:00"/>
    <n v="23387"/>
    <x v="27"/>
  </r>
  <r>
    <x v="2"/>
    <x v="1"/>
    <n v="13"/>
    <x v="6"/>
    <d v="2022-03-01T00:00:00"/>
    <n v="24412"/>
    <x v="28"/>
  </r>
  <r>
    <x v="2"/>
    <x v="1"/>
    <n v="13"/>
    <x v="6"/>
    <d v="2022-03-01T00:00:00"/>
    <n v="23277"/>
    <x v="29"/>
  </r>
  <r>
    <x v="2"/>
    <x v="1"/>
    <n v="13"/>
    <x v="6"/>
    <d v="2022-03-01T00:00:00"/>
    <n v="23725"/>
    <x v="30"/>
  </r>
  <r>
    <x v="2"/>
    <x v="1"/>
    <n v="13"/>
    <x v="6"/>
    <d v="2022-03-01T00:00:00"/>
    <n v="23522"/>
    <x v="31"/>
  </r>
  <r>
    <x v="2"/>
    <x v="1"/>
    <n v="13"/>
    <x v="6"/>
    <d v="2022-03-01T00:00:00"/>
    <n v="24464"/>
    <x v="32"/>
  </r>
  <r>
    <x v="2"/>
    <x v="1"/>
    <n v="13"/>
    <x v="6"/>
    <d v="2022-03-01T00:00:00"/>
    <n v="23501"/>
    <x v="33"/>
  </r>
  <r>
    <x v="2"/>
    <x v="1"/>
    <n v="13"/>
    <x v="6"/>
    <d v="2022-03-01T00:00:00"/>
    <n v="27354"/>
    <x v="34"/>
  </r>
  <r>
    <x v="2"/>
    <x v="1"/>
    <n v="13"/>
    <x v="6"/>
    <d v="2022-03-01T00:00:00"/>
    <n v="24123"/>
    <x v="35"/>
  </r>
  <r>
    <x v="2"/>
    <x v="1"/>
    <n v="13"/>
    <x v="6"/>
    <d v="2022-03-01T00:00:00"/>
    <n v="27963"/>
    <x v="36"/>
  </r>
  <r>
    <x v="2"/>
    <x v="1"/>
    <n v="13"/>
    <x v="6"/>
    <d v="2022-03-01T00:00:00"/>
    <n v="291382"/>
    <x v="12"/>
  </r>
  <r>
    <x v="2"/>
    <x v="1"/>
    <n v="14"/>
    <x v="7"/>
    <d v="2022-03-01T00:00:00"/>
    <n v="0"/>
    <x v="25"/>
  </r>
  <r>
    <x v="2"/>
    <x v="1"/>
    <n v="14"/>
    <x v="7"/>
    <d v="2022-03-01T00:00:00"/>
    <n v="0"/>
    <x v="26"/>
  </r>
  <r>
    <x v="2"/>
    <x v="1"/>
    <n v="14"/>
    <x v="7"/>
    <d v="2022-03-01T00:00:00"/>
    <n v="0"/>
    <x v="27"/>
  </r>
  <r>
    <x v="2"/>
    <x v="1"/>
    <n v="14"/>
    <x v="7"/>
    <d v="2022-03-01T00:00:00"/>
    <n v="0"/>
    <x v="28"/>
  </r>
  <r>
    <x v="2"/>
    <x v="1"/>
    <n v="14"/>
    <x v="7"/>
    <d v="2022-03-01T00:00:00"/>
    <n v="0"/>
    <x v="29"/>
  </r>
  <r>
    <x v="2"/>
    <x v="1"/>
    <n v="14"/>
    <x v="7"/>
    <d v="2022-03-01T00:00:00"/>
    <n v="0"/>
    <x v="30"/>
  </r>
  <r>
    <x v="2"/>
    <x v="1"/>
    <n v="14"/>
    <x v="7"/>
    <d v="2022-03-01T00:00:00"/>
    <n v="0"/>
    <x v="31"/>
  </r>
  <r>
    <x v="2"/>
    <x v="1"/>
    <n v="14"/>
    <x v="7"/>
    <d v="2022-03-01T00:00:00"/>
    <n v="0"/>
    <x v="32"/>
  </r>
  <r>
    <x v="2"/>
    <x v="1"/>
    <n v="14"/>
    <x v="7"/>
    <d v="2022-03-01T00:00:00"/>
    <n v="0"/>
    <x v="33"/>
  </r>
  <r>
    <x v="2"/>
    <x v="1"/>
    <n v="14"/>
    <x v="7"/>
    <d v="2022-03-01T00:00:00"/>
    <n v="0"/>
    <x v="34"/>
  </r>
  <r>
    <x v="2"/>
    <x v="1"/>
    <n v="14"/>
    <x v="7"/>
    <d v="2022-03-01T00:00:00"/>
    <n v="0"/>
    <x v="35"/>
  </r>
  <r>
    <x v="2"/>
    <x v="1"/>
    <n v="14"/>
    <x v="7"/>
    <d v="2022-03-01T00:00:00"/>
    <n v="0"/>
    <x v="36"/>
  </r>
  <r>
    <x v="2"/>
    <x v="1"/>
    <n v="14"/>
    <x v="7"/>
    <d v="2022-03-01T00:00:00"/>
    <n v="0"/>
    <x v="12"/>
  </r>
  <r>
    <x v="2"/>
    <x v="1"/>
    <n v="15"/>
    <x v="8"/>
    <d v="2022-03-01T00:00:00"/>
    <n v="8153"/>
    <x v="25"/>
  </r>
  <r>
    <x v="2"/>
    <x v="1"/>
    <n v="15"/>
    <x v="8"/>
    <d v="2022-03-01T00:00:00"/>
    <n v="9156"/>
    <x v="26"/>
  </r>
  <r>
    <x v="2"/>
    <x v="1"/>
    <n v="15"/>
    <x v="8"/>
    <d v="2022-03-01T00:00:00"/>
    <n v="8479"/>
    <x v="27"/>
  </r>
  <r>
    <x v="2"/>
    <x v="1"/>
    <n v="15"/>
    <x v="8"/>
    <d v="2022-03-01T00:00:00"/>
    <n v="10208"/>
    <x v="28"/>
  </r>
  <r>
    <x v="2"/>
    <x v="1"/>
    <n v="15"/>
    <x v="8"/>
    <d v="2022-03-01T00:00:00"/>
    <n v="8645"/>
    <x v="29"/>
  </r>
  <r>
    <x v="2"/>
    <x v="1"/>
    <n v="15"/>
    <x v="8"/>
    <d v="2022-03-01T00:00:00"/>
    <n v="7130"/>
    <x v="30"/>
  </r>
  <r>
    <x v="2"/>
    <x v="1"/>
    <n v="15"/>
    <x v="8"/>
    <d v="2022-03-01T00:00:00"/>
    <n v="9354"/>
    <x v="31"/>
  </r>
  <r>
    <x v="2"/>
    <x v="1"/>
    <n v="15"/>
    <x v="8"/>
    <d v="2022-03-01T00:00:00"/>
    <n v="7147"/>
    <x v="32"/>
  </r>
  <r>
    <x v="2"/>
    <x v="1"/>
    <n v="15"/>
    <x v="8"/>
    <d v="2022-03-01T00:00:00"/>
    <n v="8907"/>
    <x v="33"/>
  </r>
  <r>
    <x v="2"/>
    <x v="1"/>
    <n v="15"/>
    <x v="8"/>
    <d v="2022-03-01T00:00:00"/>
    <n v="8738"/>
    <x v="34"/>
  </r>
  <r>
    <x v="2"/>
    <x v="1"/>
    <n v="15"/>
    <x v="8"/>
    <d v="2022-03-01T00:00:00"/>
    <n v="7552"/>
    <x v="35"/>
  </r>
  <r>
    <x v="2"/>
    <x v="1"/>
    <n v="15"/>
    <x v="8"/>
    <d v="2022-03-01T00:00:00"/>
    <n v="9385"/>
    <x v="36"/>
  </r>
  <r>
    <x v="2"/>
    <x v="1"/>
    <n v="15"/>
    <x v="8"/>
    <d v="2022-03-01T00:00:00"/>
    <n v="102854"/>
    <x v="12"/>
  </r>
  <r>
    <x v="2"/>
    <x v="3"/>
    <n v="7"/>
    <x v="0"/>
    <d v="2022-03-01T00:00:00"/>
    <n v="131714"/>
    <x v="25"/>
  </r>
  <r>
    <x v="2"/>
    <x v="3"/>
    <n v="7"/>
    <x v="0"/>
    <d v="2022-03-01T00:00:00"/>
    <n v="134136"/>
    <x v="26"/>
  </r>
  <r>
    <x v="2"/>
    <x v="3"/>
    <n v="7"/>
    <x v="0"/>
    <d v="2022-03-01T00:00:00"/>
    <n v="133824"/>
    <x v="27"/>
  </r>
  <r>
    <x v="2"/>
    <x v="3"/>
    <n v="7"/>
    <x v="0"/>
    <d v="2022-03-01T00:00:00"/>
    <n v="133200"/>
    <x v="28"/>
  </r>
  <r>
    <x v="2"/>
    <x v="3"/>
    <n v="7"/>
    <x v="0"/>
    <d v="2022-03-01T00:00:00"/>
    <n v="136512"/>
    <x v="29"/>
  </r>
  <r>
    <x v="2"/>
    <x v="3"/>
    <n v="7"/>
    <x v="0"/>
    <d v="2022-03-01T00:00:00"/>
    <n v="145048"/>
    <x v="30"/>
  </r>
  <r>
    <x v="2"/>
    <x v="3"/>
    <n v="7"/>
    <x v="0"/>
    <d v="2022-03-01T00:00:00"/>
    <n v="138991"/>
    <x v="31"/>
  </r>
  <r>
    <x v="2"/>
    <x v="3"/>
    <n v="7"/>
    <x v="0"/>
    <d v="2022-03-01T00:00:00"/>
    <n v="137916"/>
    <x v="32"/>
  </r>
  <r>
    <x v="2"/>
    <x v="3"/>
    <n v="7"/>
    <x v="0"/>
    <d v="2022-03-01T00:00:00"/>
    <n v="139432"/>
    <x v="33"/>
  </r>
  <r>
    <x v="2"/>
    <x v="3"/>
    <n v="7"/>
    <x v="0"/>
    <d v="2022-03-01T00:00:00"/>
    <n v="148020"/>
    <x v="34"/>
  </r>
  <r>
    <x v="2"/>
    <x v="3"/>
    <n v="7"/>
    <x v="0"/>
    <d v="2022-03-01T00:00:00"/>
    <n v="144658"/>
    <x v="35"/>
  </r>
  <r>
    <x v="2"/>
    <x v="3"/>
    <n v="7"/>
    <x v="0"/>
    <d v="2022-03-01T00:00:00"/>
    <n v="207927"/>
    <x v="36"/>
  </r>
  <r>
    <x v="2"/>
    <x v="3"/>
    <n v="7"/>
    <x v="0"/>
    <d v="2022-03-01T00:00:00"/>
    <n v="1731378"/>
    <x v="12"/>
  </r>
  <r>
    <x v="2"/>
    <x v="3"/>
    <n v="8"/>
    <x v="1"/>
    <d v="2022-03-01T00:00:00"/>
    <n v="13860"/>
    <x v="25"/>
  </r>
  <r>
    <x v="2"/>
    <x v="3"/>
    <n v="8"/>
    <x v="1"/>
    <d v="2022-03-01T00:00:00"/>
    <n v="13663"/>
    <x v="26"/>
  </r>
  <r>
    <x v="2"/>
    <x v="3"/>
    <n v="8"/>
    <x v="1"/>
    <d v="2022-03-01T00:00:00"/>
    <n v="13329"/>
    <x v="27"/>
  </r>
  <r>
    <x v="2"/>
    <x v="3"/>
    <n v="8"/>
    <x v="1"/>
    <d v="2022-03-01T00:00:00"/>
    <n v="15444"/>
    <x v="28"/>
  </r>
  <r>
    <x v="2"/>
    <x v="3"/>
    <n v="8"/>
    <x v="1"/>
    <d v="2022-03-01T00:00:00"/>
    <n v="13625"/>
    <x v="29"/>
  </r>
  <r>
    <x v="2"/>
    <x v="3"/>
    <n v="8"/>
    <x v="1"/>
    <d v="2022-03-01T00:00:00"/>
    <n v="14158"/>
    <x v="30"/>
  </r>
  <r>
    <x v="2"/>
    <x v="3"/>
    <n v="8"/>
    <x v="1"/>
    <d v="2022-03-01T00:00:00"/>
    <n v="15535"/>
    <x v="31"/>
  </r>
  <r>
    <x v="2"/>
    <x v="3"/>
    <n v="8"/>
    <x v="1"/>
    <d v="2022-03-01T00:00:00"/>
    <n v="12869"/>
    <x v="32"/>
  </r>
  <r>
    <x v="2"/>
    <x v="3"/>
    <n v="8"/>
    <x v="1"/>
    <d v="2022-03-01T00:00:00"/>
    <n v="13830"/>
    <x v="33"/>
  </r>
  <r>
    <x v="2"/>
    <x v="3"/>
    <n v="8"/>
    <x v="1"/>
    <d v="2022-03-01T00:00:00"/>
    <n v="15740"/>
    <x v="34"/>
  </r>
  <r>
    <x v="2"/>
    <x v="3"/>
    <n v="8"/>
    <x v="1"/>
    <d v="2022-03-01T00:00:00"/>
    <n v="14546"/>
    <x v="35"/>
  </r>
  <r>
    <x v="2"/>
    <x v="3"/>
    <n v="8"/>
    <x v="1"/>
    <d v="2022-03-01T00:00:00"/>
    <n v="11633"/>
    <x v="36"/>
  </r>
  <r>
    <x v="2"/>
    <x v="3"/>
    <n v="8"/>
    <x v="1"/>
    <d v="2022-03-01T00:00:00"/>
    <n v="168232"/>
    <x v="12"/>
  </r>
  <r>
    <x v="2"/>
    <x v="3"/>
    <n v="9"/>
    <x v="2"/>
    <d v="2022-03-01T00:00:00"/>
    <n v="6518"/>
    <x v="25"/>
  </r>
  <r>
    <x v="2"/>
    <x v="3"/>
    <n v="9"/>
    <x v="2"/>
    <d v="2022-03-01T00:00:00"/>
    <n v="6648"/>
    <x v="26"/>
  </r>
  <r>
    <x v="2"/>
    <x v="3"/>
    <n v="9"/>
    <x v="2"/>
    <d v="2022-03-01T00:00:00"/>
    <n v="6979"/>
    <x v="27"/>
  </r>
  <r>
    <x v="2"/>
    <x v="3"/>
    <n v="9"/>
    <x v="2"/>
    <d v="2022-03-01T00:00:00"/>
    <n v="7037"/>
    <x v="28"/>
  </r>
  <r>
    <x v="2"/>
    <x v="3"/>
    <n v="9"/>
    <x v="2"/>
    <d v="2022-03-01T00:00:00"/>
    <n v="6490"/>
    <x v="29"/>
  </r>
  <r>
    <x v="2"/>
    <x v="3"/>
    <n v="9"/>
    <x v="2"/>
    <d v="2022-03-01T00:00:00"/>
    <n v="7053"/>
    <x v="30"/>
  </r>
  <r>
    <x v="2"/>
    <x v="3"/>
    <n v="9"/>
    <x v="2"/>
    <d v="2022-03-01T00:00:00"/>
    <n v="6749"/>
    <x v="31"/>
  </r>
  <r>
    <x v="2"/>
    <x v="3"/>
    <n v="9"/>
    <x v="2"/>
    <d v="2022-03-01T00:00:00"/>
    <n v="6904"/>
    <x v="32"/>
  </r>
  <r>
    <x v="2"/>
    <x v="3"/>
    <n v="9"/>
    <x v="2"/>
    <d v="2022-03-01T00:00:00"/>
    <n v="7054"/>
    <x v="33"/>
  </r>
  <r>
    <x v="2"/>
    <x v="3"/>
    <n v="9"/>
    <x v="2"/>
    <d v="2022-03-01T00:00:00"/>
    <n v="6059"/>
    <x v="34"/>
  </r>
  <r>
    <x v="2"/>
    <x v="3"/>
    <n v="9"/>
    <x v="2"/>
    <d v="2022-03-01T00:00:00"/>
    <n v="6670"/>
    <x v="35"/>
  </r>
  <r>
    <x v="2"/>
    <x v="3"/>
    <n v="9"/>
    <x v="2"/>
    <d v="2022-03-01T00:00:00"/>
    <n v="8097"/>
    <x v="36"/>
  </r>
  <r>
    <x v="2"/>
    <x v="3"/>
    <n v="9"/>
    <x v="2"/>
    <d v="2022-03-01T00:00:00"/>
    <n v="82258"/>
    <x v="12"/>
  </r>
  <r>
    <x v="2"/>
    <x v="3"/>
    <n v="10"/>
    <x v="3"/>
    <d v="2022-03-01T00:00:00"/>
    <n v="59095"/>
    <x v="25"/>
  </r>
  <r>
    <x v="2"/>
    <x v="3"/>
    <n v="10"/>
    <x v="3"/>
    <d v="2022-03-01T00:00:00"/>
    <n v="59945"/>
    <x v="26"/>
  </r>
  <r>
    <x v="2"/>
    <x v="3"/>
    <n v="10"/>
    <x v="3"/>
    <d v="2022-03-01T00:00:00"/>
    <n v="58874"/>
    <x v="27"/>
  </r>
  <r>
    <x v="2"/>
    <x v="3"/>
    <n v="10"/>
    <x v="3"/>
    <d v="2022-03-01T00:00:00"/>
    <n v="58673"/>
    <x v="28"/>
  </r>
  <r>
    <x v="2"/>
    <x v="3"/>
    <n v="10"/>
    <x v="3"/>
    <d v="2022-03-01T00:00:00"/>
    <n v="60651"/>
    <x v="29"/>
  </r>
  <r>
    <x v="2"/>
    <x v="3"/>
    <n v="10"/>
    <x v="3"/>
    <d v="2022-03-01T00:00:00"/>
    <n v="68599"/>
    <x v="30"/>
  </r>
  <r>
    <x v="2"/>
    <x v="3"/>
    <n v="10"/>
    <x v="3"/>
    <d v="2022-03-01T00:00:00"/>
    <n v="59221"/>
    <x v="31"/>
  </r>
  <r>
    <x v="2"/>
    <x v="3"/>
    <n v="10"/>
    <x v="3"/>
    <d v="2022-03-01T00:00:00"/>
    <n v="62995"/>
    <x v="32"/>
  </r>
  <r>
    <x v="2"/>
    <x v="3"/>
    <n v="10"/>
    <x v="3"/>
    <d v="2022-03-01T00:00:00"/>
    <n v="63492"/>
    <x v="33"/>
  </r>
  <r>
    <x v="2"/>
    <x v="3"/>
    <n v="10"/>
    <x v="3"/>
    <d v="2022-03-01T00:00:00"/>
    <n v="66171"/>
    <x v="34"/>
  </r>
  <r>
    <x v="2"/>
    <x v="3"/>
    <n v="10"/>
    <x v="3"/>
    <d v="2022-03-01T00:00:00"/>
    <n v="62135"/>
    <x v="35"/>
  </r>
  <r>
    <x v="2"/>
    <x v="3"/>
    <n v="10"/>
    <x v="3"/>
    <d v="2022-03-01T00:00:00"/>
    <n v="104023"/>
    <x v="36"/>
  </r>
  <r>
    <x v="2"/>
    <x v="3"/>
    <n v="10"/>
    <x v="3"/>
    <d v="2022-03-01T00:00:00"/>
    <n v="783874"/>
    <x v="12"/>
  </r>
  <r>
    <x v="2"/>
    <x v="3"/>
    <n v="11"/>
    <x v="4"/>
    <d v="2022-03-01T00:00:00"/>
    <n v="16900"/>
    <x v="25"/>
  </r>
  <r>
    <x v="2"/>
    <x v="3"/>
    <n v="11"/>
    <x v="4"/>
    <d v="2022-03-01T00:00:00"/>
    <n v="15010"/>
    <x v="26"/>
  </r>
  <r>
    <x v="2"/>
    <x v="3"/>
    <n v="11"/>
    <x v="4"/>
    <d v="2022-03-01T00:00:00"/>
    <n v="16548"/>
    <x v="27"/>
  </r>
  <r>
    <x v="2"/>
    <x v="3"/>
    <n v="11"/>
    <x v="4"/>
    <d v="2022-03-01T00:00:00"/>
    <n v="16114"/>
    <x v="28"/>
  </r>
  <r>
    <x v="2"/>
    <x v="3"/>
    <n v="11"/>
    <x v="4"/>
    <d v="2022-03-01T00:00:00"/>
    <n v="17234"/>
    <x v="29"/>
  </r>
  <r>
    <x v="2"/>
    <x v="3"/>
    <n v="11"/>
    <x v="4"/>
    <d v="2022-03-01T00:00:00"/>
    <n v="18098"/>
    <x v="30"/>
  </r>
  <r>
    <x v="2"/>
    <x v="3"/>
    <n v="11"/>
    <x v="4"/>
    <d v="2022-03-01T00:00:00"/>
    <n v="17866"/>
    <x v="31"/>
  </r>
  <r>
    <x v="2"/>
    <x v="3"/>
    <n v="11"/>
    <x v="4"/>
    <d v="2022-03-01T00:00:00"/>
    <n v="18315"/>
    <x v="32"/>
  </r>
  <r>
    <x v="2"/>
    <x v="3"/>
    <n v="11"/>
    <x v="4"/>
    <d v="2022-03-01T00:00:00"/>
    <n v="17835"/>
    <x v="33"/>
  </r>
  <r>
    <x v="2"/>
    <x v="3"/>
    <n v="11"/>
    <x v="4"/>
    <d v="2022-03-01T00:00:00"/>
    <n v="19760"/>
    <x v="34"/>
  </r>
  <r>
    <x v="2"/>
    <x v="3"/>
    <n v="11"/>
    <x v="4"/>
    <d v="2022-03-01T00:00:00"/>
    <n v="22279"/>
    <x v="35"/>
  </r>
  <r>
    <x v="2"/>
    <x v="3"/>
    <n v="11"/>
    <x v="4"/>
    <d v="2022-03-01T00:00:00"/>
    <n v="44327"/>
    <x v="36"/>
  </r>
  <r>
    <x v="2"/>
    <x v="3"/>
    <n v="11"/>
    <x v="4"/>
    <d v="2022-03-01T00:00:00"/>
    <n v="240286"/>
    <x v="12"/>
  </r>
  <r>
    <x v="2"/>
    <x v="3"/>
    <n v="12"/>
    <x v="5"/>
    <d v="2022-03-01T00:00:00"/>
    <n v="9357"/>
    <x v="25"/>
  </r>
  <r>
    <x v="2"/>
    <x v="3"/>
    <n v="12"/>
    <x v="5"/>
    <d v="2022-03-01T00:00:00"/>
    <n v="9226"/>
    <x v="26"/>
  </r>
  <r>
    <x v="2"/>
    <x v="3"/>
    <n v="12"/>
    <x v="5"/>
    <d v="2022-03-01T00:00:00"/>
    <n v="9918"/>
    <x v="27"/>
  </r>
  <r>
    <x v="2"/>
    <x v="3"/>
    <n v="12"/>
    <x v="5"/>
    <d v="2022-03-01T00:00:00"/>
    <n v="7740"/>
    <x v="28"/>
  </r>
  <r>
    <x v="2"/>
    <x v="3"/>
    <n v="12"/>
    <x v="5"/>
    <d v="2022-03-01T00:00:00"/>
    <n v="10280"/>
    <x v="29"/>
  </r>
  <r>
    <x v="2"/>
    <x v="3"/>
    <n v="12"/>
    <x v="5"/>
    <d v="2022-03-01T00:00:00"/>
    <n v="8530"/>
    <x v="30"/>
  </r>
  <r>
    <x v="2"/>
    <x v="3"/>
    <n v="12"/>
    <x v="5"/>
    <d v="2022-03-01T00:00:00"/>
    <n v="10621"/>
    <x v="31"/>
  </r>
  <r>
    <x v="2"/>
    <x v="3"/>
    <n v="12"/>
    <x v="5"/>
    <d v="2022-03-01T00:00:00"/>
    <n v="8479"/>
    <x v="32"/>
  </r>
  <r>
    <x v="2"/>
    <x v="3"/>
    <n v="12"/>
    <x v="5"/>
    <d v="2022-03-01T00:00:00"/>
    <n v="8485"/>
    <x v="33"/>
  </r>
  <r>
    <x v="2"/>
    <x v="3"/>
    <n v="12"/>
    <x v="5"/>
    <d v="2022-03-01T00:00:00"/>
    <n v="9416"/>
    <x v="34"/>
  </r>
  <r>
    <x v="2"/>
    <x v="3"/>
    <n v="12"/>
    <x v="5"/>
    <d v="2022-03-01T00:00:00"/>
    <n v="9550"/>
    <x v="35"/>
  </r>
  <r>
    <x v="2"/>
    <x v="3"/>
    <n v="12"/>
    <x v="5"/>
    <d v="2022-03-01T00:00:00"/>
    <n v="13377"/>
    <x v="36"/>
  </r>
  <r>
    <x v="2"/>
    <x v="3"/>
    <n v="12"/>
    <x v="5"/>
    <d v="2022-03-01T00:00:00"/>
    <n v="114979"/>
    <x v="12"/>
  </r>
  <r>
    <x v="2"/>
    <x v="3"/>
    <n v="13"/>
    <x v="6"/>
    <d v="2022-03-01T00:00:00"/>
    <n v="15646"/>
    <x v="25"/>
  </r>
  <r>
    <x v="2"/>
    <x v="3"/>
    <n v="13"/>
    <x v="6"/>
    <d v="2022-03-01T00:00:00"/>
    <n v="15518"/>
    <x v="26"/>
  </r>
  <r>
    <x v="2"/>
    <x v="3"/>
    <n v="13"/>
    <x v="6"/>
    <d v="2022-03-01T00:00:00"/>
    <n v="14920"/>
    <x v="27"/>
  </r>
  <r>
    <x v="2"/>
    <x v="3"/>
    <n v="13"/>
    <x v="6"/>
    <d v="2022-03-01T00:00:00"/>
    <n v="15629"/>
    <x v="28"/>
  </r>
  <r>
    <x v="2"/>
    <x v="3"/>
    <n v="13"/>
    <x v="6"/>
    <d v="2022-03-01T00:00:00"/>
    <n v="15663"/>
    <x v="29"/>
  </r>
  <r>
    <x v="2"/>
    <x v="3"/>
    <n v="13"/>
    <x v="6"/>
    <d v="2022-03-01T00:00:00"/>
    <n v="15248"/>
    <x v="30"/>
  </r>
  <r>
    <x v="2"/>
    <x v="3"/>
    <n v="13"/>
    <x v="6"/>
    <d v="2022-03-01T00:00:00"/>
    <n v="16232"/>
    <x v="31"/>
  </r>
  <r>
    <x v="2"/>
    <x v="3"/>
    <n v="13"/>
    <x v="6"/>
    <d v="2022-03-01T00:00:00"/>
    <n v="15999"/>
    <x v="32"/>
  </r>
  <r>
    <x v="2"/>
    <x v="3"/>
    <n v="13"/>
    <x v="6"/>
    <d v="2022-03-01T00:00:00"/>
    <n v="16306"/>
    <x v="33"/>
  </r>
  <r>
    <x v="2"/>
    <x v="3"/>
    <n v="13"/>
    <x v="6"/>
    <d v="2022-03-01T00:00:00"/>
    <n v="17752"/>
    <x v="34"/>
  </r>
  <r>
    <x v="2"/>
    <x v="3"/>
    <n v="13"/>
    <x v="6"/>
    <d v="2022-03-01T00:00:00"/>
    <n v="16801"/>
    <x v="35"/>
  </r>
  <r>
    <x v="2"/>
    <x v="3"/>
    <n v="13"/>
    <x v="6"/>
    <d v="2022-03-01T00:00:00"/>
    <n v="17568"/>
    <x v="36"/>
  </r>
  <r>
    <x v="2"/>
    <x v="3"/>
    <n v="13"/>
    <x v="6"/>
    <d v="2022-03-01T00:00:00"/>
    <n v="193282"/>
    <x v="12"/>
  </r>
  <r>
    <x v="2"/>
    <x v="3"/>
    <n v="14"/>
    <x v="7"/>
    <d v="2022-03-01T00:00:00"/>
    <n v="891"/>
    <x v="25"/>
  </r>
  <r>
    <x v="2"/>
    <x v="3"/>
    <n v="14"/>
    <x v="7"/>
    <d v="2022-03-01T00:00:00"/>
    <n v="903"/>
    <x v="26"/>
  </r>
  <r>
    <x v="2"/>
    <x v="3"/>
    <n v="14"/>
    <x v="7"/>
    <d v="2022-03-01T00:00:00"/>
    <n v="854"/>
    <x v="27"/>
  </r>
  <r>
    <x v="2"/>
    <x v="3"/>
    <n v="14"/>
    <x v="7"/>
    <d v="2022-03-01T00:00:00"/>
    <n v="930"/>
    <x v="28"/>
  </r>
  <r>
    <x v="2"/>
    <x v="3"/>
    <n v="14"/>
    <x v="7"/>
    <d v="2022-03-01T00:00:00"/>
    <n v="977"/>
    <x v="29"/>
  </r>
  <r>
    <x v="2"/>
    <x v="3"/>
    <n v="14"/>
    <x v="7"/>
    <d v="2022-03-01T00:00:00"/>
    <n v="942"/>
    <x v="30"/>
  </r>
  <r>
    <x v="2"/>
    <x v="3"/>
    <n v="14"/>
    <x v="7"/>
    <d v="2022-03-01T00:00:00"/>
    <n v="951"/>
    <x v="31"/>
  </r>
  <r>
    <x v="2"/>
    <x v="3"/>
    <n v="14"/>
    <x v="7"/>
    <d v="2022-03-01T00:00:00"/>
    <n v="873"/>
    <x v="32"/>
  </r>
  <r>
    <x v="2"/>
    <x v="3"/>
    <n v="14"/>
    <x v="7"/>
    <d v="2022-03-01T00:00:00"/>
    <n v="1107"/>
    <x v="33"/>
  </r>
  <r>
    <x v="2"/>
    <x v="3"/>
    <n v="14"/>
    <x v="7"/>
    <d v="2022-03-01T00:00:00"/>
    <n v="1034"/>
    <x v="34"/>
  </r>
  <r>
    <x v="2"/>
    <x v="3"/>
    <n v="14"/>
    <x v="7"/>
    <d v="2022-03-01T00:00:00"/>
    <n v="878"/>
    <x v="35"/>
  </r>
  <r>
    <x v="2"/>
    <x v="3"/>
    <n v="14"/>
    <x v="7"/>
    <d v="2022-03-01T00:00:00"/>
    <n v="1361"/>
    <x v="36"/>
  </r>
  <r>
    <x v="2"/>
    <x v="3"/>
    <n v="14"/>
    <x v="7"/>
    <d v="2022-03-01T00:00:00"/>
    <n v="11701"/>
    <x v="12"/>
  </r>
  <r>
    <x v="2"/>
    <x v="3"/>
    <n v="15"/>
    <x v="8"/>
    <d v="2022-03-01T00:00:00"/>
    <n v="6270"/>
    <x v="25"/>
  </r>
  <r>
    <x v="2"/>
    <x v="3"/>
    <n v="15"/>
    <x v="8"/>
    <d v="2022-03-01T00:00:00"/>
    <n v="6468"/>
    <x v="26"/>
  </r>
  <r>
    <x v="2"/>
    <x v="3"/>
    <n v="15"/>
    <x v="8"/>
    <d v="2022-03-01T00:00:00"/>
    <n v="6144"/>
    <x v="27"/>
  </r>
  <r>
    <x v="2"/>
    <x v="3"/>
    <n v="15"/>
    <x v="8"/>
    <d v="2022-03-01T00:00:00"/>
    <n v="6309"/>
    <x v="28"/>
  </r>
  <r>
    <x v="2"/>
    <x v="3"/>
    <n v="15"/>
    <x v="8"/>
    <d v="2022-03-01T00:00:00"/>
    <n v="6411"/>
    <x v="29"/>
  </r>
  <r>
    <x v="2"/>
    <x v="3"/>
    <n v="15"/>
    <x v="8"/>
    <d v="2022-03-01T00:00:00"/>
    <n v="6048"/>
    <x v="30"/>
  </r>
  <r>
    <x v="2"/>
    <x v="3"/>
    <n v="15"/>
    <x v="8"/>
    <d v="2022-03-01T00:00:00"/>
    <n v="6108"/>
    <x v="31"/>
  </r>
  <r>
    <x v="2"/>
    <x v="3"/>
    <n v="15"/>
    <x v="8"/>
    <d v="2022-03-01T00:00:00"/>
    <n v="6083"/>
    <x v="32"/>
  </r>
  <r>
    <x v="2"/>
    <x v="3"/>
    <n v="15"/>
    <x v="8"/>
    <d v="2022-03-01T00:00:00"/>
    <n v="6315"/>
    <x v="33"/>
  </r>
  <r>
    <x v="2"/>
    <x v="3"/>
    <n v="15"/>
    <x v="8"/>
    <d v="2022-03-01T00:00:00"/>
    <n v="6220"/>
    <x v="34"/>
  </r>
  <r>
    <x v="2"/>
    <x v="3"/>
    <n v="15"/>
    <x v="8"/>
    <d v="2022-03-01T00:00:00"/>
    <n v="5620"/>
    <x v="35"/>
  </r>
  <r>
    <x v="2"/>
    <x v="3"/>
    <n v="15"/>
    <x v="8"/>
    <d v="2022-03-01T00:00:00"/>
    <n v="7174"/>
    <x v="36"/>
  </r>
  <r>
    <x v="2"/>
    <x v="3"/>
    <n v="15"/>
    <x v="8"/>
    <d v="2022-03-01T00:00:00"/>
    <n v="75170"/>
    <x v="12"/>
  </r>
  <r>
    <x v="2"/>
    <x v="2"/>
    <n v="7"/>
    <x v="0"/>
    <d v="2022-03-01T00:00:00"/>
    <n v="105094.20754"/>
    <x v="25"/>
  </r>
  <r>
    <x v="2"/>
    <x v="2"/>
    <n v="7"/>
    <x v="0"/>
    <d v="2022-03-01T00:00:00"/>
    <n v="108759.84035"/>
    <x v="26"/>
  </r>
  <r>
    <x v="2"/>
    <x v="2"/>
    <n v="7"/>
    <x v="0"/>
    <d v="2022-03-01T00:00:00"/>
    <n v="109874.07311"/>
    <x v="27"/>
  </r>
  <r>
    <x v="2"/>
    <x v="2"/>
    <n v="7"/>
    <x v="0"/>
    <d v="2022-03-01T00:00:00"/>
    <n v="109787.092"/>
    <x v="28"/>
  </r>
  <r>
    <x v="2"/>
    <x v="2"/>
    <n v="7"/>
    <x v="0"/>
    <d v="2022-03-01T00:00:00"/>
    <n v="108931"/>
    <x v="29"/>
  </r>
  <r>
    <x v="2"/>
    <x v="2"/>
    <n v="7"/>
    <x v="0"/>
    <d v="2022-03-01T00:00:00"/>
    <n v="114844"/>
    <x v="30"/>
  </r>
  <r>
    <x v="2"/>
    <x v="2"/>
    <n v="7"/>
    <x v="0"/>
    <d v="2022-03-01T00:00:00"/>
    <n v="111072.13124"/>
    <x v="31"/>
  </r>
  <r>
    <x v="2"/>
    <x v="2"/>
    <n v="7"/>
    <x v="0"/>
    <d v="2022-03-01T00:00:00"/>
    <n v="115297.86876"/>
    <x v="32"/>
  </r>
  <r>
    <x v="2"/>
    <x v="2"/>
    <n v="7"/>
    <x v="0"/>
    <d v="2022-03-01T00:00:00"/>
    <n v="119861.25685999999"/>
    <x v="33"/>
  </r>
  <r>
    <x v="2"/>
    <x v="2"/>
    <n v="7"/>
    <x v="0"/>
    <d v="2022-03-01T00:00:00"/>
    <n v="118180.02849"/>
    <x v="34"/>
  </r>
  <r>
    <x v="2"/>
    <x v="2"/>
    <n v="7"/>
    <x v="0"/>
    <d v="2022-03-01T00:00:00"/>
    <n v="115200.861"/>
    <x v="35"/>
  </r>
  <r>
    <x v="2"/>
    <x v="2"/>
    <n v="7"/>
    <x v="0"/>
    <d v="2022-03-01T00:00:00"/>
    <n v="182809.72132000001"/>
    <x v="36"/>
  </r>
  <r>
    <x v="2"/>
    <x v="2"/>
    <n v="7"/>
    <x v="0"/>
    <d v="2022-03-01T00:00:00"/>
    <n v="1419712.0806700001"/>
    <x v="12"/>
  </r>
  <r>
    <x v="2"/>
    <x v="2"/>
    <n v="8"/>
    <x v="1"/>
    <d v="2022-03-01T00:00:00"/>
    <n v="11797.687519999999"/>
    <x v="25"/>
  </r>
  <r>
    <x v="2"/>
    <x v="2"/>
    <n v="8"/>
    <x v="1"/>
    <d v="2022-03-01T00:00:00"/>
    <n v="12631.91973"/>
    <x v="26"/>
  </r>
  <r>
    <x v="2"/>
    <x v="2"/>
    <n v="8"/>
    <x v="1"/>
    <d v="2022-03-01T00:00:00"/>
    <n v="12820.392750000001"/>
    <x v="27"/>
  </r>
  <r>
    <x v="2"/>
    <x v="2"/>
    <n v="8"/>
    <x v="1"/>
    <d v="2022-03-01T00:00:00"/>
    <n v="12516"/>
    <x v="28"/>
  </r>
  <r>
    <x v="2"/>
    <x v="2"/>
    <n v="8"/>
    <x v="1"/>
    <d v="2022-03-01T00:00:00"/>
    <n v="12955"/>
    <x v="29"/>
  </r>
  <r>
    <x v="2"/>
    <x v="2"/>
    <n v="8"/>
    <x v="1"/>
    <d v="2022-03-01T00:00:00"/>
    <n v="12426"/>
    <x v="30"/>
  </r>
  <r>
    <x v="2"/>
    <x v="2"/>
    <n v="8"/>
    <x v="1"/>
    <d v="2022-03-01T00:00:00"/>
    <n v="12612.27248"/>
    <x v="31"/>
  </r>
  <r>
    <x v="2"/>
    <x v="2"/>
    <n v="8"/>
    <x v="1"/>
    <d v="2022-03-01T00:00:00"/>
    <n v="12219.72752"/>
    <x v="32"/>
  </r>
  <r>
    <x v="2"/>
    <x v="2"/>
    <n v="8"/>
    <x v="1"/>
    <d v="2022-03-01T00:00:00"/>
    <n v="12897.78311"/>
    <x v="33"/>
  </r>
  <r>
    <x v="2"/>
    <x v="2"/>
    <n v="8"/>
    <x v="1"/>
    <d v="2022-03-01T00:00:00"/>
    <n v="13464.3905"/>
    <x v="34"/>
  </r>
  <r>
    <x v="2"/>
    <x v="2"/>
    <n v="8"/>
    <x v="1"/>
    <d v="2022-03-01T00:00:00"/>
    <n v="12180.707"/>
    <x v="35"/>
  </r>
  <r>
    <x v="2"/>
    <x v="2"/>
    <n v="8"/>
    <x v="1"/>
    <d v="2022-03-01T00:00:00"/>
    <n v="16066.365610000001"/>
    <x v="36"/>
  </r>
  <r>
    <x v="2"/>
    <x v="2"/>
    <n v="8"/>
    <x v="1"/>
    <d v="2022-03-01T00:00:00"/>
    <n v="154588.24622"/>
    <x v="12"/>
  </r>
  <r>
    <x v="2"/>
    <x v="2"/>
    <n v="9"/>
    <x v="2"/>
    <d v="2022-03-01T00:00:00"/>
    <n v="7911.9652699999997"/>
    <x v="25"/>
  </r>
  <r>
    <x v="2"/>
    <x v="2"/>
    <n v="9"/>
    <x v="2"/>
    <d v="2022-03-01T00:00:00"/>
    <n v="7597.1791199999998"/>
    <x v="26"/>
  </r>
  <r>
    <x v="2"/>
    <x v="2"/>
    <n v="9"/>
    <x v="2"/>
    <d v="2022-03-01T00:00:00"/>
    <n v="7872.7656100000004"/>
    <x v="27"/>
  </r>
  <r>
    <x v="2"/>
    <x v="2"/>
    <n v="9"/>
    <x v="2"/>
    <d v="2022-03-01T00:00:00"/>
    <n v="8009.09"/>
    <x v="28"/>
  </r>
  <r>
    <x v="2"/>
    <x v="2"/>
    <n v="9"/>
    <x v="2"/>
    <d v="2022-03-01T00:00:00"/>
    <n v="6810"/>
    <x v="29"/>
  </r>
  <r>
    <x v="2"/>
    <x v="2"/>
    <n v="9"/>
    <x v="2"/>
    <d v="2022-03-01T00:00:00"/>
    <n v="7887"/>
    <x v="30"/>
  </r>
  <r>
    <x v="2"/>
    <x v="2"/>
    <n v="9"/>
    <x v="2"/>
    <d v="2022-03-01T00:00:00"/>
    <n v="8731.5594199999996"/>
    <x v="31"/>
  </r>
  <r>
    <x v="2"/>
    <x v="2"/>
    <n v="9"/>
    <x v="2"/>
    <d v="2022-03-01T00:00:00"/>
    <n v="7358.4405800000004"/>
    <x v="32"/>
  </r>
  <r>
    <x v="2"/>
    <x v="2"/>
    <n v="9"/>
    <x v="2"/>
    <d v="2022-03-01T00:00:00"/>
    <n v="7626.2950099999998"/>
    <x v="33"/>
  </r>
  <r>
    <x v="2"/>
    <x v="2"/>
    <n v="9"/>
    <x v="2"/>
    <d v="2022-03-01T00:00:00"/>
    <n v="7399.0248199999996"/>
    <x v="34"/>
  </r>
  <r>
    <x v="2"/>
    <x v="2"/>
    <n v="9"/>
    <x v="2"/>
    <d v="2022-03-01T00:00:00"/>
    <n v="7020.9279999999999"/>
    <x v="35"/>
  </r>
  <r>
    <x v="2"/>
    <x v="2"/>
    <n v="9"/>
    <x v="2"/>
    <d v="2022-03-01T00:00:00"/>
    <n v="8867.8571699999993"/>
    <x v="36"/>
  </r>
  <r>
    <x v="2"/>
    <x v="2"/>
    <n v="9"/>
    <x v="2"/>
    <d v="2022-03-01T00:00:00"/>
    <n v="93092.104999999996"/>
    <x v="12"/>
  </r>
  <r>
    <x v="2"/>
    <x v="2"/>
    <n v="10"/>
    <x v="3"/>
    <d v="2022-03-01T00:00:00"/>
    <n v="47687.627739999902"/>
    <x v="25"/>
  </r>
  <r>
    <x v="2"/>
    <x v="2"/>
    <n v="10"/>
    <x v="3"/>
    <d v="2022-03-01T00:00:00"/>
    <n v="48147.642169999803"/>
    <x v="26"/>
  </r>
  <r>
    <x v="2"/>
    <x v="2"/>
    <n v="10"/>
    <x v="3"/>
    <d v="2022-03-01T00:00:00"/>
    <n v="46433.380090000297"/>
    <x v="27"/>
  </r>
  <r>
    <x v="2"/>
    <x v="2"/>
    <n v="10"/>
    <x v="3"/>
    <d v="2022-03-01T00:00:00"/>
    <n v="46374.35"/>
    <x v="28"/>
  </r>
  <r>
    <x v="2"/>
    <x v="2"/>
    <n v="10"/>
    <x v="3"/>
    <d v="2022-03-01T00:00:00"/>
    <n v="48957"/>
    <x v="29"/>
  </r>
  <r>
    <x v="2"/>
    <x v="2"/>
    <n v="10"/>
    <x v="3"/>
    <d v="2022-03-01T00:00:00"/>
    <n v="54174"/>
    <x v="30"/>
  </r>
  <r>
    <x v="2"/>
    <x v="2"/>
    <n v="10"/>
    <x v="3"/>
    <d v="2022-03-01T00:00:00"/>
    <n v="49232.751550000001"/>
    <x v="31"/>
  </r>
  <r>
    <x v="2"/>
    <x v="2"/>
    <n v="10"/>
    <x v="3"/>
    <d v="2022-03-01T00:00:00"/>
    <n v="51482.248449999999"/>
    <x v="32"/>
  </r>
  <r>
    <x v="2"/>
    <x v="2"/>
    <n v="10"/>
    <x v="3"/>
    <d v="2022-03-01T00:00:00"/>
    <n v="50544.791360000199"/>
    <x v="33"/>
  </r>
  <r>
    <x v="2"/>
    <x v="2"/>
    <n v="10"/>
    <x v="3"/>
    <d v="2022-03-01T00:00:00"/>
    <n v="52672"/>
    <x v="34"/>
  </r>
  <r>
    <x v="2"/>
    <x v="2"/>
    <n v="10"/>
    <x v="3"/>
    <d v="2022-03-01T00:00:00"/>
    <n v="51259.67"/>
    <x v="35"/>
  </r>
  <r>
    <x v="2"/>
    <x v="2"/>
    <n v="10"/>
    <x v="3"/>
    <d v="2022-03-01T00:00:00"/>
    <n v="80236.249819999604"/>
    <x v="36"/>
  </r>
  <r>
    <x v="2"/>
    <x v="2"/>
    <n v="10"/>
    <x v="3"/>
    <d v="2022-03-01T00:00:00"/>
    <n v="627201.71117999998"/>
    <x v="12"/>
  </r>
  <r>
    <x v="2"/>
    <x v="2"/>
    <n v="11"/>
    <x v="4"/>
    <d v="2022-03-01T00:00:00"/>
    <n v="8695.1322800000307"/>
    <x v="25"/>
  </r>
  <r>
    <x v="2"/>
    <x v="2"/>
    <n v="11"/>
    <x v="4"/>
    <d v="2022-03-01T00:00:00"/>
    <n v="8340.6691000000301"/>
    <x v="26"/>
  </r>
  <r>
    <x v="2"/>
    <x v="2"/>
    <n v="11"/>
    <x v="4"/>
    <d v="2022-03-01T00:00:00"/>
    <n v="9671.1066199999404"/>
    <x v="27"/>
  </r>
  <r>
    <x v="2"/>
    <x v="2"/>
    <n v="11"/>
    <x v="4"/>
    <d v="2022-03-01T00:00:00"/>
    <n v="10044.092000000001"/>
    <x v="28"/>
  </r>
  <r>
    <x v="2"/>
    <x v="2"/>
    <n v="11"/>
    <x v="4"/>
    <d v="2022-03-01T00:00:00"/>
    <n v="7368"/>
    <x v="29"/>
  </r>
  <r>
    <x v="2"/>
    <x v="2"/>
    <n v="11"/>
    <x v="4"/>
    <d v="2022-03-01T00:00:00"/>
    <n v="10642"/>
    <x v="30"/>
  </r>
  <r>
    <x v="2"/>
    <x v="2"/>
    <n v="11"/>
    <x v="4"/>
    <d v="2022-03-01T00:00:00"/>
    <n v="8575.8895500000108"/>
    <x v="31"/>
  </r>
  <r>
    <x v="2"/>
    <x v="2"/>
    <n v="11"/>
    <x v="4"/>
    <d v="2022-03-01T00:00:00"/>
    <n v="10396.11045"/>
    <x v="32"/>
  </r>
  <r>
    <x v="2"/>
    <x v="2"/>
    <n v="11"/>
    <x v="4"/>
    <d v="2022-03-01T00:00:00"/>
    <n v="9413.9241899999997"/>
    <x v="33"/>
  </r>
  <r>
    <x v="2"/>
    <x v="2"/>
    <n v="11"/>
    <x v="4"/>
    <d v="2022-03-01T00:00:00"/>
    <n v="9722.9972199999993"/>
    <x v="34"/>
  </r>
  <r>
    <x v="2"/>
    <x v="2"/>
    <n v="11"/>
    <x v="4"/>
    <d v="2022-03-01T00:00:00"/>
    <n v="9554.2990000000009"/>
    <x v="35"/>
  </r>
  <r>
    <x v="2"/>
    <x v="2"/>
    <n v="11"/>
    <x v="4"/>
    <d v="2022-03-01T00:00:00"/>
    <n v="15921.86428"/>
    <x v="36"/>
  </r>
  <r>
    <x v="2"/>
    <x v="2"/>
    <n v="11"/>
    <x v="4"/>
    <d v="2022-03-01T00:00:00"/>
    <n v="118346.08469"/>
    <x v="12"/>
  </r>
  <r>
    <x v="2"/>
    <x v="2"/>
    <n v="12"/>
    <x v="5"/>
    <d v="2022-03-01T00:00:00"/>
    <n v="2733.24125"/>
    <x v="25"/>
  </r>
  <r>
    <x v="2"/>
    <x v="2"/>
    <n v="12"/>
    <x v="5"/>
    <d v="2022-03-01T00:00:00"/>
    <n v="3802.8693899999998"/>
    <x v="26"/>
  </r>
  <r>
    <x v="2"/>
    <x v="2"/>
    <n v="12"/>
    <x v="5"/>
    <d v="2022-03-01T00:00:00"/>
    <n v="3149.8313600000001"/>
    <x v="27"/>
  </r>
  <r>
    <x v="2"/>
    <x v="2"/>
    <n v="12"/>
    <x v="5"/>
    <d v="2022-03-01T00:00:00"/>
    <n v="3047.058"/>
    <x v="28"/>
  </r>
  <r>
    <x v="2"/>
    <x v="2"/>
    <n v="12"/>
    <x v="5"/>
    <d v="2022-03-01T00:00:00"/>
    <n v="3273"/>
    <x v="29"/>
  </r>
  <r>
    <x v="2"/>
    <x v="2"/>
    <n v="12"/>
    <x v="5"/>
    <d v="2022-03-01T00:00:00"/>
    <n v="3943"/>
    <x v="30"/>
  </r>
  <r>
    <x v="2"/>
    <x v="2"/>
    <n v="12"/>
    <x v="5"/>
    <d v="2022-03-01T00:00:00"/>
    <n v="2660.1433299999999"/>
    <x v="31"/>
  </r>
  <r>
    <x v="2"/>
    <x v="2"/>
    <n v="12"/>
    <x v="5"/>
    <d v="2022-03-01T00:00:00"/>
    <n v="4014.8566700000001"/>
    <x v="32"/>
  </r>
  <r>
    <x v="2"/>
    <x v="2"/>
    <n v="12"/>
    <x v="5"/>
    <d v="2022-03-01T00:00:00"/>
    <n v="3558.9527899999998"/>
    <x v="33"/>
  </r>
  <r>
    <x v="2"/>
    <x v="2"/>
    <n v="12"/>
    <x v="5"/>
    <d v="2022-03-01T00:00:00"/>
    <n v="3269.3787900000002"/>
    <x v="34"/>
  </r>
  <r>
    <x v="2"/>
    <x v="2"/>
    <n v="12"/>
    <x v="5"/>
    <d v="2022-03-01T00:00:00"/>
    <n v="3380.7939999999999"/>
    <x v="35"/>
  </r>
  <r>
    <x v="2"/>
    <x v="2"/>
    <n v="12"/>
    <x v="5"/>
    <d v="2022-03-01T00:00:00"/>
    <n v="3417.3430199999998"/>
    <x v="36"/>
  </r>
  <r>
    <x v="2"/>
    <x v="2"/>
    <n v="12"/>
    <x v="5"/>
    <d v="2022-03-01T00:00:00"/>
    <n v="40250.4686"/>
    <x v="12"/>
  </r>
  <r>
    <x v="2"/>
    <x v="2"/>
    <n v="13"/>
    <x v="6"/>
    <d v="2022-03-01T00:00:00"/>
    <n v="18574.604220000001"/>
    <x v="25"/>
  </r>
  <r>
    <x v="2"/>
    <x v="2"/>
    <n v="13"/>
    <x v="6"/>
    <d v="2022-03-01T00:00:00"/>
    <n v="20020.409039999999"/>
    <x v="26"/>
  </r>
  <r>
    <x v="2"/>
    <x v="2"/>
    <n v="13"/>
    <x v="6"/>
    <d v="2022-03-01T00:00:00"/>
    <n v="19660.083259999999"/>
    <x v="27"/>
  </r>
  <r>
    <x v="2"/>
    <x v="2"/>
    <n v="13"/>
    <x v="6"/>
    <d v="2022-03-01T00:00:00"/>
    <n v="20094.47"/>
    <x v="28"/>
  </r>
  <r>
    <x v="2"/>
    <x v="2"/>
    <n v="13"/>
    <x v="6"/>
    <d v="2022-03-01T00:00:00"/>
    <n v="21603"/>
    <x v="29"/>
  </r>
  <r>
    <x v="2"/>
    <x v="2"/>
    <n v="13"/>
    <x v="6"/>
    <d v="2022-03-01T00:00:00"/>
    <n v="20021"/>
    <x v="30"/>
  </r>
  <r>
    <x v="2"/>
    <x v="2"/>
    <n v="13"/>
    <x v="6"/>
    <d v="2022-03-01T00:00:00"/>
    <n v="20513.195650000001"/>
    <x v="31"/>
  </r>
  <r>
    <x v="2"/>
    <x v="2"/>
    <n v="13"/>
    <x v="6"/>
    <d v="2022-03-01T00:00:00"/>
    <n v="20808.50546"/>
    <x v="32"/>
  </r>
  <r>
    <x v="2"/>
    <x v="2"/>
    <n v="13"/>
    <x v="6"/>
    <d v="2022-03-01T00:00:00"/>
    <n v="26074.527539999999"/>
    <x v="33"/>
  </r>
  <r>
    <x v="2"/>
    <x v="2"/>
    <n v="13"/>
    <x v="6"/>
    <d v="2022-03-01T00:00:00"/>
    <n v="20137.799169999998"/>
    <x v="34"/>
  </r>
  <r>
    <x v="2"/>
    <x v="2"/>
    <n v="13"/>
    <x v="6"/>
    <d v="2022-03-01T00:00:00"/>
    <n v="22920.756000000001"/>
    <x v="35"/>
  </r>
  <r>
    <x v="2"/>
    <x v="2"/>
    <n v="13"/>
    <x v="6"/>
    <d v="2022-03-01T00:00:00"/>
    <n v="26148.39645"/>
    <x v="36"/>
  </r>
  <r>
    <x v="2"/>
    <x v="2"/>
    <n v="13"/>
    <x v="6"/>
    <d v="2022-03-01T00:00:00"/>
    <n v="256576.74679"/>
    <x v="12"/>
  </r>
  <r>
    <x v="2"/>
    <x v="2"/>
    <n v="14"/>
    <x v="7"/>
    <d v="2022-03-01T00:00:00"/>
    <n v="13.21674"/>
    <x v="25"/>
  </r>
  <r>
    <x v="2"/>
    <x v="2"/>
    <n v="14"/>
    <x v="7"/>
    <d v="2022-03-01T00:00:00"/>
    <n v="13.21674"/>
    <x v="26"/>
  </r>
  <r>
    <x v="2"/>
    <x v="2"/>
    <n v="14"/>
    <x v="7"/>
    <d v="2022-03-01T00:00:00"/>
    <n v="13"/>
    <x v="27"/>
  </r>
  <r>
    <x v="2"/>
    <x v="2"/>
    <n v="14"/>
    <x v="7"/>
    <d v="2022-03-01T00:00:00"/>
    <n v="13"/>
    <x v="28"/>
  </r>
  <r>
    <x v="2"/>
    <x v="2"/>
    <n v="14"/>
    <x v="7"/>
    <d v="2022-03-01T00:00:00"/>
    <n v="14"/>
    <x v="29"/>
  </r>
  <r>
    <x v="2"/>
    <x v="2"/>
    <n v="14"/>
    <x v="7"/>
    <d v="2022-03-01T00:00:00"/>
    <n v="15"/>
    <x v="30"/>
  </r>
  <r>
    <x v="2"/>
    <x v="2"/>
    <n v="14"/>
    <x v="7"/>
    <d v="2022-03-01T00:00:00"/>
    <n v="192.29889"/>
    <x v="31"/>
  </r>
  <r>
    <x v="2"/>
    <x v="2"/>
    <n v="14"/>
    <x v="7"/>
    <d v="2022-03-01T00:00:00"/>
    <n v="41"/>
    <x v="32"/>
  </r>
  <r>
    <x v="2"/>
    <x v="2"/>
    <n v="14"/>
    <x v="7"/>
    <d v="2022-03-01T00:00:00"/>
    <n v="40.841000000000001"/>
    <x v="33"/>
  </r>
  <r>
    <x v="2"/>
    <x v="2"/>
    <n v="14"/>
    <x v="7"/>
    <d v="2022-03-01T00:00:00"/>
    <n v="258.73500000000001"/>
    <x v="34"/>
  </r>
  <r>
    <x v="2"/>
    <x v="2"/>
    <n v="14"/>
    <x v="7"/>
    <d v="2022-03-01T00:00:00"/>
    <n v="253.28700000000001"/>
    <x v="35"/>
  </r>
  <r>
    <x v="2"/>
    <x v="2"/>
    <n v="14"/>
    <x v="7"/>
    <d v="2022-03-01T00:00:00"/>
    <n v="190.29599999999999"/>
    <x v="36"/>
  </r>
  <r>
    <x v="2"/>
    <x v="2"/>
    <n v="14"/>
    <x v="7"/>
    <d v="2022-03-01T00:00:00"/>
    <n v="1057.8913700000001"/>
    <x v="12"/>
  </r>
  <r>
    <x v="2"/>
    <x v="2"/>
    <n v="15"/>
    <x v="8"/>
    <d v="2022-03-01T00:00:00"/>
    <n v="4570.3742300000004"/>
    <x v="25"/>
  </r>
  <r>
    <x v="2"/>
    <x v="2"/>
    <n v="15"/>
    <x v="8"/>
    <d v="2022-03-01T00:00:00"/>
    <n v="5468.8433999999997"/>
    <x v="26"/>
  </r>
  <r>
    <x v="2"/>
    <x v="2"/>
    <n v="15"/>
    <x v="8"/>
    <d v="2022-03-01T00:00:00"/>
    <n v="4550.7823699999999"/>
    <x v="27"/>
  </r>
  <r>
    <x v="2"/>
    <x v="2"/>
    <n v="15"/>
    <x v="8"/>
    <d v="2022-03-01T00:00:00"/>
    <n v="5615"/>
    <x v="28"/>
  </r>
  <r>
    <x v="2"/>
    <x v="2"/>
    <n v="15"/>
    <x v="8"/>
    <d v="2022-03-01T00:00:00"/>
    <n v="4325"/>
    <x v="29"/>
  </r>
  <r>
    <x v="2"/>
    <x v="2"/>
    <n v="15"/>
    <x v="8"/>
    <d v="2022-03-01T00:00:00"/>
    <n v="799"/>
    <x v="30"/>
  </r>
  <r>
    <x v="2"/>
    <x v="2"/>
    <n v="15"/>
    <x v="8"/>
    <d v="2022-03-01T00:00:00"/>
    <n v="3878.9904700000002"/>
    <x v="31"/>
  </r>
  <r>
    <x v="2"/>
    <x v="2"/>
    <n v="15"/>
    <x v="8"/>
    <d v="2022-03-01T00:00:00"/>
    <n v="4860.0095300000003"/>
    <x v="32"/>
  </r>
  <r>
    <x v="2"/>
    <x v="2"/>
    <n v="15"/>
    <x v="8"/>
    <d v="2022-03-01T00:00:00"/>
    <n v="5492.61096"/>
    <x v="33"/>
  </r>
  <r>
    <x v="2"/>
    <x v="2"/>
    <n v="15"/>
    <x v="8"/>
    <d v="2022-03-01T00:00:00"/>
    <n v="4897.33277000001"/>
    <x v="34"/>
  </r>
  <r>
    <x v="2"/>
    <x v="2"/>
    <n v="15"/>
    <x v="8"/>
    <d v="2022-03-01T00:00:00"/>
    <n v="3047.165"/>
    <x v="35"/>
  </r>
  <r>
    <x v="2"/>
    <x v="2"/>
    <n v="15"/>
    <x v="8"/>
    <d v="2022-03-01T00:00:00"/>
    <n v="5204.3797599999998"/>
    <x v="36"/>
  </r>
  <r>
    <x v="2"/>
    <x v="2"/>
    <n v="15"/>
    <x v="8"/>
    <d v="2022-03-01T00:00:00"/>
    <n v="52709.488490000003"/>
    <x v="12"/>
  </r>
  <r>
    <x v="2"/>
    <x v="2"/>
    <n v="58"/>
    <x v="9"/>
    <d v="2022-03-01T00:00:00"/>
    <n v="0"/>
    <x v="25"/>
  </r>
  <r>
    <x v="2"/>
    <x v="2"/>
    <n v="58"/>
    <x v="9"/>
    <d v="2022-03-01T00:00:00"/>
    <n v="0"/>
    <x v="26"/>
  </r>
  <r>
    <x v="2"/>
    <x v="2"/>
    <n v="58"/>
    <x v="9"/>
    <d v="2022-03-01T00:00:00"/>
    <n v="0"/>
    <x v="27"/>
  </r>
  <r>
    <x v="2"/>
    <x v="2"/>
    <n v="58"/>
    <x v="9"/>
    <d v="2022-03-01T00:00:00"/>
    <n v="0"/>
    <x v="28"/>
  </r>
  <r>
    <x v="2"/>
    <x v="2"/>
    <n v="58"/>
    <x v="9"/>
    <d v="2022-03-01T00:00:00"/>
    <n v="0"/>
    <x v="29"/>
  </r>
  <r>
    <x v="2"/>
    <x v="2"/>
    <n v="58"/>
    <x v="9"/>
    <d v="2022-03-01T00:00:00"/>
    <n v="0"/>
    <x v="30"/>
  </r>
  <r>
    <x v="2"/>
    <x v="2"/>
    <n v="58"/>
    <x v="9"/>
    <d v="2022-03-01T00:00:00"/>
    <n v="0"/>
    <x v="31"/>
  </r>
  <r>
    <x v="2"/>
    <x v="2"/>
    <n v="58"/>
    <x v="9"/>
    <d v="2022-03-01T00:00:00"/>
    <n v="0"/>
    <x v="32"/>
  </r>
  <r>
    <x v="2"/>
    <x v="2"/>
    <n v="58"/>
    <x v="9"/>
    <d v="2022-03-01T00:00:00"/>
    <n v="0"/>
    <x v="33"/>
  </r>
  <r>
    <x v="2"/>
    <x v="2"/>
    <n v="58"/>
    <x v="9"/>
    <d v="2022-03-01T00:00:00"/>
    <n v="0"/>
    <x v="34"/>
  </r>
  <r>
    <x v="2"/>
    <x v="2"/>
    <n v="58"/>
    <x v="9"/>
    <d v="2022-03-01T00:00:00"/>
    <n v="0"/>
    <x v="35"/>
  </r>
  <r>
    <x v="2"/>
    <x v="2"/>
    <n v="58"/>
    <x v="9"/>
    <d v="2022-03-01T00:00:00"/>
    <n v="0"/>
    <x v="36"/>
  </r>
  <r>
    <x v="2"/>
    <x v="2"/>
    <n v="58"/>
    <x v="9"/>
    <d v="2022-03-01T00:00:00"/>
    <n v="0"/>
    <x v="12"/>
  </r>
  <r>
    <x v="2"/>
    <x v="14"/>
    <n v="7"/>
    <x v="0"/>
    <d v="2022-03-01T00:00:00"/>
    <n v="8989"/>
    <x v="25"/>
  </r>
  <r>
    <x v="2"/>
    <x v="14"/>
    <n v="7"/>
    <x v="0"/>
    <d v="2022-03-01T00:00:00"/>
    <n v="9597"/>
    <x v="26"/>
  </r>
  <r>
    <x v="2"/>
    <x v="14"/>
    <n v="7"/>
    <x v="0"/>
    <d v="2022-03-01T00:00:00"/>
    <n v="9475"/>
    <x v="27"/>
  </r>
  <r>
    <x v="2"/>
    <x v="14"/>
    <n v="7"/>
    <x v="0"/>
    <d v="2022-03-01T00:00:00"/>
    <n v="10185"/>
    <x v="28"/>
  </r>
  <r>
    <x v="2"/>
    <x v="14"/>
    <n v="7"/>
    <x v="0"/>
    <d v="2022-03-01T00:00:00"/>
    <n v="9863"/>
    <x v="29"/>
  </r>
  <r>
    <x v="2"/>
    <x v="14"/>
    <n v="7"/>
    <x v="0"/>
    <d v="2022-03-01T00:00:00"/>
    <n v="11207"/>
    <x v="30"/>
  </r>
  <r>
    <x v="2"/>
    <x v="14"/>
    <n v="7"/>
    <x v="0"/>
    <d v="2022-03-01T00:00:00"/>
    <n v="10306"/>
    <x v="31"/>
  </r>
  <r>
    <x v="2"/>
    <x v="14"/>
    <n v="7"/>
    <x v="0"/>
    <d v="2022-03-01T00:00:00"/>
    <n v="11202"/>
    <x v="32"/>
  </r>
  <r>
    <x v="2"/>
    <x v="14"/>
    <n v="7"/>
    <x v="0"/>
    <d v="2022-03-01T00:00:00"/>
    <n v="11715"/>
    <x v="33"/>
  </r>
  <r>
    <x v="2"/>
    <x v="14"/>
    <n v="7"/>
    <x v="0"/>
    <d v="2022-03-01T00:00:00"/>
    <n v="10337"/>
    <x v="34"/>
  </r>
  <r>
    <x v="2"/>
    <x v="14"/>
    <n v="7"/>
    <x v="0"/>
    <d v="2022-03-01T00:00:00"/>
    <n v="10181"/>
    <x v="35"/>
  </r>
  <r>
    <x v="2"/>
    <x v="14"/>
    <n v="7"/>
    <x v="0"/>
    <d v="2022-03-01T00:00:00"/>
    <n v="18011"/>
    <x v="36"/>
  </r>
  <r>
    <x v="2"/>
    <x v="14"/>
    <n v="7"/>
    <x v="0"/>
    <d v="2022-03-01T00:00:00"/>
    <n v="131068"/>
    <x v="12"/>
  </r>
  <r>
    <x v="2"/>
    <x v="14"/>
    <n v="8"/>
    <x v="1"/>
    <d v="2022-03-01T00:00:00"/>
    <n v="0"/>
    <x v="25"/>
  </r>
  <r>
    <x v="2"/>
    <x v="14"/>
    <n v="8"/>
    <x v="1"/>
    <d v="2022-03-01T00:00:00"/>
    <n v="0"/>
    <x v="26"/>
  </r>
  <r>
    <x v="2"/>
    <x v="14"/>
    <n v="8"/>
    <x v="1"/>
    <d v="2022-03-01T00:00:00"/>
    <n v="0"/>
    <x v="27"/>
  </r>
  <r>
    <x v="2"/>
    <x v="14"/>
    <n v="8"/>
    <x v="1"/>
    <d v="2022-03-01T00:00:00"/>
    <n v="0"/>
    <x v="28"/>
  </r>
  <r>
    <x v="2"/>
    <x v="14"/>
    <n v="8"/>
    <x v="1"/>
    <d v="2022-03-01T00:00:00"/>
    <n v="0"/>
    <x v="29"/>
  </r>
  <r>
    <x v="2"/>
    <x v="14"/>
    <n v="8"/>
    <x v="1"/>
    <d v="2022-03-01T00:00:00"/>
    <n v="0"/>
    <x v="30"/>
  </r>
  <r>
    <x v="2"/>
    <x v="14"/>
    <n v="8"/>
    <x v="1"/>
    <d v="2022-03-01T00:00:00"/>
    <n v="0"/>
    <x v="31"/>
  </r>
  <r>
    <x v="2"/>
    <x v="14"/>
    <n v="8"/>
    <x v="1"/>
    <d v="2022-03-01T00:00:00"/>
    <n v="0"/>
    <x v="32"/>
  </r>
  <r>
    <x v="2"/>
    <x v="14"/>
    <n v="8"/>
    <x v="1"/>
    <d v="2022-03-01T00:00:00"/>
    <n v="0"/>
    <x v="33"/>
  </r>
  <r>
    <x v="2"/>
    <x v="14"/>
    <n v="8"/>
    <x v="1"/>
    <d v="2022-03-01T00:00:00"/>
    <n v="0"/>
    <x v="34"/>
  </r>
  <r>
    <x v="2"/>
    <x v="14"/>
    <n v="8"/>
    <x v="1"/>
    <d v="2022-03-01T00:00:00"/>
    <n v="0"/>
    <x v="35"/>
  </r>
  <r>
    <x v="2"/>
    <x v="14"/>
    <n v="8"/>
    <x v="1"/>
    <d v="2022-03-01T00:00:00"/>
    <n v="0"/>
    <x v="36"/>
  </r>
  <r>
    <x v="2"/>
    <x v="14"/>
    <n v="8"/>
    <x v="1"/>
    <d v="2022-03-01T00:00:00"/>
    <n v="0"/>
    <x v="12"/>
  </r>
  <r>
    <x v="2"/>
    <x v="14"/>
    <n v="9"/>
    <x v="2"/>
    <d v="2022-03-01T00:00:00"/>
    <n v="0"/>
    <x v="25"/>
  </r>
  <r>
    <x v="2"/>
    <x v="14"/>
    <n v="9"/>
    <x v="2"/>
    <d v="2022-03-01T00:00:00"/>
    <n v="0"/>
    <x v="26"/>
  </r>
  <r>
    <x v="2"/>
    <x v="14"/>
    <n v="9"/>
    <x v="2"/>
    <d v="2022-03-01T00:00:00"/>
    <n v="0"/>
    <x v="27"/>
  </r>
  <r>
    <x v="2"/>
    <x v="14"/>
    <n v="9"/>
    <x v="2"/>
    <d v="2022-03-01T00:00:00"/>
    <n v="0"/>
    <x v="28"/>
  </r>
  <r>
    <x v="2"/>
    <x v="14"/>
    <n v="9"/>
    <x v="2"/>
    <d v="2022-03-01T00:00:00"/>
    <n v="0"/>
    <x v="29"/>
  </r>
  <r>
    <x v="2"/>
    <x v="14"/>
    <n v="9"/>
    <x v="2"/>
    <d v="2022-03-01T00:00:00"/>
    <n v="0"/>
    <x v="30"/>
  </r>
  <r>
    <x v="2"/>
    <x v="14"/>
    <n v="9"/>
    <x v="2"/>
    <d v="2022-03-01T00:00:00"/>
    <n v="0"/>
    <x v="31"/>
  </r>
  <r>
    <x v="2"/>
    <x v="14"/>
    <n v="9"/>
    <x v="2"/>
    <d v="2022-03-01T00:00:00"/>
    <n v="0"/>
    <x v="32"/>
  </r>
  <r>
    <x v="2"/>
    <x v="14"/>
    <n v="9"/>
    <x v="2"/>
    <d v="2022-03-01T00:00:00"/>
    <n v="0"/>
    <x v="33"/>
  </r>
  <r>
    <x v="2"/>
    <x v="14"/>
    <n v="9"/>
    <x v="2"/>
    <d v="2022-03-01T00:00:00"/>
    <n v="0"/>
    <x v="34"/>
  </r>
  <r>
    <x v="2"/>
    <x v="14"/>
    <n v="9"/>
    <x v="2"/>
    <d v="2022-03-01T00:00:00"/>
    <n v="0"/>
    <x v="35"/>
  </r>
  <r>
    <x v="2"/>
    <x v="14"/>
    <n v="9"/>
    <x v="2"/>
    <d v="2022-03-01T00:00:00"/>
    <n v="0"/>
    <x v="36"/>
  </r>
  <r>
    <x v="2"/>
    <x v="14"/>
    <n v="9"/>
    <x v="2"/>
    <d v="2022-03-01T00:00:00"/>
    <n v="0"/>
    <x v="12"/>
  </r>
  <r>
    <x v="2"/>
    <x v="14"/>
    <n v="10"/>
    <x v="3"/>
    <d v="2022-03-01T00:00:00"/>
    <n v="3075"/>
    <x v="25"/>
  </r>
  <r>
    <x v="2"/>
    <x v="14"/>
    <n v="10"/>
    <x v="3"/>
    <d v="2022-03-01T00:00:00"/>
    <n v="3242"/>
    <x v="26"/>
  </r>
  <r>
    <x v="2"/>
    <x v="14"/>
    <n v="10"/>
    <x v="3"/>
    <d v="2022-03-01T00:00:00"/>
    <n v="3399"/>
    <x v="27"/>
  </r>
  <r>
    <x v="2"/>
    <x v="14"/>
    <n v="10"/>
    <x v="3"/>
    <d v="2022-03-01T00:00:00"/>
    <n v="3343"/>
    <x v="28"/>
  </r>
  <r>
    <x v="2"/>
    <x v="14"/>
    <n v="10"/>
    <x v="3"/>
    <d v="2022-03-01T00:00:00"/>
    <n v="3530"/>
    <x v="29"/>
  </r>
  <r>
    <x v="2"/>
    <x v="14"/>
    <n v="10"/>
    <x v="3"/>
    <d v="2022-03-01T00:00:00"/>
    <n v="3578"/>
    <x v="30"/>
  </r>
  <r>
    <x v="2"/>
    <x v="14"/>
    <n v="10"/>
    <x v="3"/>
    <d v="2022-03-01T00:00:00"/>
    <n v="3538"/>
    <x v="31"/>
  </r>
  <r>
    <x v="2"/>
    <x v="14"/>
    <n v="10"/>
    <x v="3"/>
    <d v="2022-03-01T00:00:00"/>
    <n v="3598"/>
    <x v="32"/>
  </r>
  <r>
    <x v="2"/>
    <x v="14"/>
    <n v="10"/>
    <x v="3"/>
    <d v="2022-03-01T00:00:00"/>
    <n v="3617"/>
    <x v="33"/>
  </r>
  <r>
    <x v="2"/>
    <x v="14"/>
    <n v="10"/>
    <x v="3"/>
    <d v="2022-03-01T00:00:00"/>
    <n v="3528"/>
    <x v="34"/>
  </r>
  <r>
    <x v="2"/>
    <x v="14"/>
    <n v="10"/>
    <x v="3"/>
    <d v="2022-03-01T00:00:00"/>
    <n v="3544"/>
    <x v="35"/>
  </r>
  <r>
    <x v="2"/>
    <x v="14"/>
    <n v="10"/>
    <x v="3"/>
    <d v="2022-03-01T00:00:00"/>
    <n v="6229"/>
    <x v="36"/>
  </r>
  <r>
    <x v="2"/>
    <x v="14"/>
    <n v="10"/>
    <x v="3"/>
    <d v="2022-03-01T00:00:00"/>
    <n v="44221"/>
    <x v="12"/>
  </r>
  <r>
    <x v="2"/>
    <x v="14"/>
    <n v="11"/>
    <x v="4"/>
    <d v="2022-03-01T00:00:00"/>
    <n v="4820"/>
    <x v="25"/>
  </r>
  <r>
    <x v="2"/>
    <x v="14"/>
    <n v="11"/>
    <x v="4"/>
    <d v="2022-03-01T00:00:00"/>
    <n v="5452"/>
    <x v="26"/>
  </r>
  <r>
    <x v="2"/>
    <x v="14"/>
    <n v="11"/>
    <x v="4"/>
    <d v="2022-03-01T00:00:00"/>
    <n v="5295"/>
    <x v="27"/>
  </r>
  <r>
    <x v="2"/>
    <x v="14"/>
    <n v="11"/>
    <x v="4"/>
    <d v="2022-03-01T00:00:00"/>
    <n v="5988"/>
    <x v="28"/>
  </r>
  <r>
    <x v="2"/>
    <x v="14"/>
    <n v="11"/>
    <x v="4"/>
    <d v="2022-03-01T00:00:00"/>
    <n v="5528"/>
    <x v="29"/>
  </r>
  <r>
    <x v="2"/>
    <x v="14"/>
    <n v="11"/>
    <x v="4"/>
    <d v="2022-03-01T00:00:00"/>
    <n v="6631"/>
    <x v="30"/>
  </r>
  <r>
    <x v="2"/>
    <x v="14"/>
    <n v="11"/>
    <x v="4"/>
    <d v="2022-03-01T00:00:00"/>
    <n v="5957"/>
    <x v="31"/>
  </r>
  <r>
    <x v="2"/>
    <x v="14"/>
    <n v="11"/>
    <x v="4"/>
    <d v="2022-03-01T00:00:00"/>
    <n v="6528"/>
    <x v="32"/>
  </r>
  <r>
    <x v="2"/>
    <x v="14"/>
    <n v="11"/>
    <x v="4"/>
    <d v="2022-03-01T00:00:00"/>
    <n v="7316"/>
    <x v="33"/>
  </r>
  <r>
    <x v="2"/>
    <x v="14"/>
    <n v="11"/>
    <x v="4"/>
    <d v="2022-03-01T00:00:00"/>
    <n v="6028"/>
    <x v="34"/>
  </r>
  <r>
    <x v="2"/>
    <x v="14"/>
    <n v="11"/>
    <x v="4"/>
    <d v="2022-03-01T00:00:00"/>
    <n v="5898"/>
    <x v="35"/>
  </r>
  <r>
    <x v="2"/>
    <x v="14"/>
    <n v="11"/>
    <x v="4"/>
    <d v="2022-03-01T00:00:00"/>
    <n v="11274"/>
    <x v="36"/>
  </r>
  <r>
    <x v="2"/>
    <x v="14"/>
    <n v="11"/>
    <x v="4"/>
    <d v="2022-03-01T00:00:00"/>
    <n v="76715"/>
    <x v="12"/>
  </r>
  <r>
    <x v="2"/>
    <x v="14"/>
    <n v="12"/>
    <x v="5"/>
    <d v="2022-03-01T00:00:00"/>
    <n v="0"/>
    <x v="25"/>
  </r>
  <r>
    <x v="2"/>
    <x v="14"/>
    <n v="12"/>
    <x v="5"/>
    <d v="2022-03-01T00:00:00"/>
    <n v="0"/>
    <x v="26"/>
  </r>
  <r>
    <x v="2"/>
    <x v="14"/>
    <n v="12"/>
    <x v="5"/>
    <d v="2022-03-01T00:00:00"/>
    <n v="0"/>
    <x v="27"/>
  </r>
  <r>
    <x v="2"/>
    <x v="14"/>
    <n v="12"/>
    <x v="5"/>
    <d v="2022-03-01T00:00:00"/>
    <n v="0"/>
    <x v="28"/>
  </r>
  <r>
    <x v="2"/>
    <x v="14"/>
    <n v="12"/>
    <x v="5"/>
    <d v="2022-03-01T00:00:00"/>
    <n v="0"/>
    <x v="29"/>
  </r>
  <r>
    <x v="2"/>
    <x v="14"/>
    <n v="12"/>
    <x v="5"/>
    <d v="2022-03-01T00:00:00"/>
    <n v="0"/>
    <x v="30"/>
  </r>
  <r>
    <x v="2"/>
    <x v="14"/>
    <n v="12"/>
    <x v="5"/>
    <d v="2022-03-01T00:00:00"/>
    <n v="0"/>
    <x v="31"/>
  </r>
  <r>
    <x v="2"/>
    <x v="14"/>
    <n v="12"/>
    <x v="5"/>
    <d v="2022-03-01T00:00:00"/>
    <n v="0"/>
    <x v="32"/>
  </r>
  <r>
    <x v="2"/>
    <x v="14"/>
    <n v="12"/>
    <x v="5"/>
    <d v="2022-03-01T00:00:00"/>
    <n v="0"/>
    <x v="33"/>
  </r>
  <r>
    <x v="2"/>
    <x v="14"/>
    <n v="12"/>
    <x v="5"/>
    <d v="2022-03-01T00:00:00"/>
    <n v="0"/>
    <x v="34"/>
  </r>
  <r>
    <x v="2"/>
    <x v="14"/>
    <n v="12"/>
    <x v="5"/>
    <d v="2022-03-01T00:00:00"/>
    <n v="0"/>
    <x v="35"/>
  </r>
  <r>
    <x v="2"/>
    <x v="14"/>
    <n v="12"/>
    <x v="5"/>
    <d v="2022-03-01T00:00:00"/>
    <n v="0"/>
    <x v="36"/>
  </r>
  <r>
    <x v="2"/>
    <x v="14"/>
    <n v="12"/>
    <x v="5"/>
    <d v="2022-03-01T00:00:00"/>
    <n v="0"/>
    <x v="12"/>
  </r>
  <r>
    <x v="2"/>
    <x v="14"/>
    <n v="13"/>
    <x v="6"/>
    <d v="2022-03-01T00:00:00"/>
    <n v="0"/>
    <x v="25"/>
  </r>
  <r>
    <x v="2"/>
    <x v="14"/>
    <n v="13"/>
    <x v="6"/>
    <d v="2022-03-01T00:00:00"/>
    <n v="0"/>
    <x v="26"/>
  </r>
  <r>
    <x v="2"/>
    <x v="14"/>
    <n v="13"/>
    <x v="6"/>
    <d v="2022-03-01T00:00:00"/>
    <n v="0"/>
    <x v="27"/>
  </r>
  <r>
    <x v="2"/>
    <x v="14"/>
    <n v="13"/>
    <x v="6"/>
    <d v="2022-03-01T00:00:00"/>
    <n v="0"/>
    <x v="28"/>
  </r>
  <r>
    <x v="2"/>
    <x v="14"/>
    <n v="13"/>
    <x v="6"/>
    <d v="2022-03-01T00:00:00"/>
    <n v="0"/>
    <x v="29"/>
  </r>
  <r>
    <x v="2"/>
    <x v="14"/>
    <n v="13"/>
    <x v="6"/>
    <d v="2022-03-01T00:00:00"/>
    <n v="0"/>
    <x v="30"/>
  </r>
  <r>
    <x v="2"/>
    <x v="14"/>
    <n v="13"/>
    <x v="6"/>
    <d v="2022-03-01T00:00:00"/>
    <n v="0"/>
    <x v="31"/>
  </r>
  <r>
    <x v="2"/>
    <x v="14"/>
    <n v="13"/>
    <x v="6"/>
    <d v="2022-03-01T00:00:00"/>
    <n v="0"/>
    <x v="32"/>
  </r>
  <r>
    <x v="2"/>
    <x v="14"/>
    <n v="13"/>
    <x v="6"/>
    <d v="2022-03-01T00:00:00"/>
    <n v="0"/>
    <x v="33"/>
  </r>
  <r>
    <x v="2"/>
    <x v="14"/>
    <n v="13"/>
    <x v="6"/>
    <d v="2022-03-01T00:00:00"/>
    <n v="0"/>
    <x v="34"/>
  </r>
  <r>
    <x v="2"/>
    <x v="14"/>
    <n v="13"/>
    <x v="6"/>
    <d v="2022-03-01T00:00:00"/>
    <n v="0"/>
    <x v="35"/>
  </r>
  <r>
    <x v="2"/>
    <x v="14"/>
    <n v="13"/>
    <x v="6"/>
    <d v="2022-03-01T00:00:00"/>
    <n v="0"/>
    <x v="36"/>
  </r>
  <r>
    <x v="2"/>
    <x v="14"/>
    <n v="13"/>
    <x v="6"/>
    <d v="2022-03-01T00:00:00"/>
    <n v="0"/>
    <x v="12"/>
  </r>
  <r>
    <x v="2"/>
    <x v="14"/>
    <n v="14"/>
    <x v="7"/>
    <d v="2022-03-01T00:00:00"/>
    <n v="64"/>
    <x v="25"/>
  </r>
  <r>
    <x v="2"/>
    <x v="14"/>
    <n v="14"/>
    <x v="7"/>
    <d v="2022-03-01T00:00:00"/>
    <n v="76"/>
    <x v="26"/>
  </r>
  <r>
    <x v="2"/>
    <x v="14"/>
    <n v="14"/>
    <x v="7"/>
    <d v="2022-03-01T00:00:00"/>
    <n v="56"/>
    <x v="27"/>
  </r>
  <r>
    <x v="2"/>
    <x v="14"/>
    <n v="14"/>
    <x v="7"/>
    <d v="2022-03-01T00:00:00"/>
    <n v="48"/>
    <x v="28"/>
  </r>
  <r>
    <x v="2"/>
    <x v="14"/>
    <n v="14"/>
    <x v="7"/>
    <d v="2022-03-01T00:00:00"/>
    <n v="64"/>
    <x v="29"/>
  </r>
  <r>
    <x v="2"/>
    <x v="14"/>
    <n v="14"/>
    <x v="7"/>
    <d v="2022-03-01T00:00:00"/>
    <n v="136"/>
    <x v="30"/>
  </r>
  <r>
    <x v="2"/>
    <x v="14"/>
    <n v="14"/>
    <x v="7"/>
    <d v="2022-03-01T00:00:00"/>
    <n v="66"/>
    <x v="31"/>
  </r>
  <r>
    <x v="2"/>
    <x v="14"/>
    <n v="14"/>
    <x v="7"/>
    <d v="2022-03-01T00:00:00"/>
    <n v="64"/>
    <x v="32"/>
  </r>
  <r>
    <x v="2"/>
    <x v="14"/>
    <n v="14"/>
    <x v="7"/>
    <d v="2022-03-01T00:00:00"/>
    <n v="64"/>
    <x v="33"/>
  </r>
  <r>
    <x v="2"/>
    <x v="14"/>
    <n v="14"/>
    <x v="7"/>
    <d v="2022-03-01T00:00:00"/>
    <n v="64"/>
    <x v="34"/>
  </r>
  <r>
    <x v="2"/>
    <x v="14"/>
    <n v="14"/>
    <x v="7"/>
    <d v="2022-03-01T00:00:00"/>
    <n v="64"/>
    <x v="35"/>
  </r>
  <r>
    <x v="2"/>
    <x v="14"/>
    <n v="14"/>
    <x v="7"/>
    <d v="2022-03-01T00:00:00"/>
    <n v="64"/>
    <x v="36"/>
  </r>
  <r>
    <x v="2"/>
    <x v="14"/>
    <n v="14"/>
    <x v="7"/>
    <d v="2022-03-01T00:00:00"/>
    <n v="830"/>
    <x v="12"/>
  </r>
  <r>
    <x v="2"/>
    <x v="14"/>
    <n v="15"/>
    <x v="8"/>
    <d v="2022-03-01T00:00:00"/>
    <n v="0"/>
    <x v="25"/>
  </r>
  <r>
    <x v="2"/>
    <x v="14"/>
    <n v="15"/>
    <x v="8"/>
    <d v="2022-03-01T00:00:00"/>
    <n v="0"/>
    <x v="26"/>
  </r>
  <r>
    <x v="2"/>
    <x v="14"/>
    <n v="15"/>
    <x v="8"/>
    <d v="2022-03-01T00:00:00"/>
    <n v="0"/>
    <x v="27"/>
  </r>
  <r>
    <x v="2"/>
    <x v="14"/>
    <n v="15"/>
    <x v="8"/>
    <d v="2022-03-01T00:00:00"/>
    <n v="0"/>
    <x v="28"/>
  </r>
  <r>
    <x v="2"/>
    <x v="14"/>
    <n v="15"/>
    <x v="8"/>
    <d v="2022-03-01T00:00:00"/>
    <n v="0"/>
    <x v="29"/>
  </r>
  <r>
    <x v="2"/>
    <x v="14"/>
    <n v="15"/>
    <x v="8"/>
    <d v="2022-03-01T00:00:00"/>
    <n v="0"/>
    <x v="30"/>
  </r>
  <r>
    <x v="2"/>
    <x v="14"/>
    <n v="15"/>
    <x v="8"/>
    <d v="2022-03-01T00:00:00"/>
    <n v="0"/>
    <x v="31"/>
  </r>
  <r>
    <x v="2"/>
    <x v="14"/>
    <n v="15"/>
    <x v="8"/>
    <d v="2022-03-01T00:00:00"/>
    <n v="0"/>
    <x v="32"/>
  </r>
  <r>
    <x v="2"/>
    <x v="14"/>
    <n v="15"/>
    <x v="8"/>
    <d v="2022-03-01T00:00:00"/>
    <n v="0"/>
    <x v="33"/>
  </r>
  <r>
    <x v="2"/>
    <x v="14"/>
    <n v="15"/>
    <x v="8"/>
    <d v="2022-03-01T00:00:00"/>
    <n v="0"/>
    <x v="34"/>
  </r>
  <r>
    <x v="2"/>
    <x v="14"/>
    <n v="15"/>
    <x v="8"/>
    <d v="2022-03-01T00:00:00"/>
    <n v="0"/>
    <x v="35"/>
  </r>
  <r>
    <x v="2"/>
    <x v="14"/>
    <n v="15"/>
    <x v="8"/>
    <d v="2022-03-01T00:00:00"/>
    <n v="0"/>
    <x v="36"/>
  </r>
  <r>
    <x v="2"/>
    <x v="14"/>
    <n v="15"/>
    <x v="8"/>
    <d v="2022-03-01T00:00:00"/>
    <n v="0"/>
    <x v="12"/>
  </r>
  <r>
    <x v="2"/>
    <x v="4"/>
    <n v="7"/>
    <x v="0"/>
    <d v="2022-03-01T00:00:00"/>
    <n v="82184"/>
    <x v="25"/>
  </r>
  <r>
    <x v="2"/>
    <x v="4"/>
    <n v="7"/>
    <x v="0"/>
    <d v="2022-03-01T00:00:00"/>
    <n v="88374"/>
    <x v="26"/>
  </r>
  <r>
    <x v="2"/>
    <x v="4"/>
    <n v="7"/>
    <x v="0"/>
    <d v="2022-03-01T00:00:00"/>
    <n v="88129"/>
    <x v="27"/>
  </r>
  <r>
    <x v="2"/>
    <x v="4"/>
    <n v="7"/>
    <x v="0"/>
    <d v="2022-03-01T00:00:00"/>
    <n v="84819.553700000004"/>
    <x v="28"/>
  </r>
  <r>
    <x v="2"/>
    <x v="4"/>
    <n v="7"/>
    <x v="0"/>
    <d v="2022-03-01T00:00:00"/>
    <n v="90071"/>
    <x v="29"/>
  </r>
  <r>
    <x v="2"/>
    <x v="4"/>
    <n v="7"/>
    <x v="0"/>
    <d v="2022-03-01T00:00:00"/>
    <n v="95381"/>
    <x v="30"/>
  </r>
  <r>
    <x v="2"/>
    <x v="4"/>
    <n v="7"/>
    <x v="0"/>
    <d v="2022-03-01T00:00:00"/>
    <n v="90413"/>
    <x v="31"/>
  </r>
  <r>
    <x v="2"/>
    <x v="4"/>
    <n v="7"/>
    <x v="0"/>
    <d v="2022-03-01T00:00:00"/>
    <n v="92890"/>
    <x v="32"/>
  </r>
  <r>
    <x v="2"/>
    <x v="4"/>
    <n v="7"/>
    <x v="0"/>
    <d v="2022-03-01T00:00:00"/>
    <n v="102642"/>
    <x v="33"/>
  </r>
  <r>
    <x v="2"/>
    <x v="4"/>
    <n v="7"/>
    <x v="0"/>
    <d v="2022-03-01T00:00:00"/>
    <n v="99280"/>
    <x v="34"/>
  </r>
  <r>
    <x v="2"/>
    <x v="4"/>
    <n v="7"/>
    <x v="0"/>
    <d v="2022-03-01T00:00:00"/>
    <n v="92935"/>
    <x v="35"/>
  </r>
  <r>
    <x v="2"/>
    <x v="4"/>
    <n v="7"/>
    <x v="0"/>
    <d v="2022-03-01T00:00:00"/>
    <n v="132993.484"/>
    <x v="36"/>
  </r>
  <r>
    <x v="2"/>
    <x v="4"/>
    <n v="7"/>
    <x v="0"/>
    <d v="2022-03-01T00:00:00"/>
    <n v="1140112.0377"/>
    <x v="12"/>
  </r>
  <r>
    <x v="2"/>
    <x v="4"/>
    <n v="8"/>
    <x v="1"/>
    <d v="2022-03-01T00:00:00"/>
    <n v="10362"/>
    <x v="25"/>
  </r>
  <r>
    <x v="2"/>
    <x v="4"/>
    <n v="8"/>
    <x v="1"/>
    <d v="2022-03-01T00:00:00"/>
    <n v="10752"/>
    <x v="26"/>
  </r>
  <r>
    <x v="2"/>
    <x v="4"/>
    <n v="8"/>
    <x v="1"/>
    <d v="2022-03-01T00:00:00"/>
    <n v="11453"/>
    <x v="27"/>
  </r>
  <r>
    <x v="2"/>
    <x v="4"/>
    <n v="8"/>
    <x v="1"/>
    <d v="2022-03-01T00:00:00"/>
    <n v="10428"/>
    <x v="28"/>
  </r>
  <r>
    <x v="2"/>
    <x v="4"/>
    <n v="8"/>
    <x v="1"/>
    <d v="2022-03-01T00:00:00"/>
    <n v="10415"/>
    <x v="29"/>
  </r>
  <r>
    <x v="2"/>
    <x v="4"/>
    <n v="8"/>
    <x v="1"/>
    <d v="2022-03-01T00:00:00"/>
    <n v="10416"/>
    <x v="30"/>
  </r>
  <r>
    <x v="2"/>
    <x v="4"/>
    <n v="8"/>
    <x v="1"/>
    <d v="2022-03-01T00:00:00"/>
    <n v="9360"/>
    <x v="31"/>
  </r>
  <r>
    <x v="2"/>
    <x v="4"/>
    <n v="8"/>
    <x v="1"/>
    <d v="2022-03-01T00:00:00"/>
    <n v="10036"/>
    <x v="32"/>
  </r>
  <r>
    <x v="2"/>
    <x v="4"/>
    <n v="8"/>
    <x v="1"/>
    <d v="2022-03-01T00:00:00"/>
    <n v="12087"/>
    <x v="33"/>
  </r>
  <r>
    <x v="2"/>
    <x v="4"/>
    <n v="8"/>
    <x v="1"/>
    <d v="2022-03-01T00:00:00"/>
    <n v="9698"/>
    <x v="34"/>
  </r>
  <r>
    <x v="2"/>
    <x v="4"/>
    <n v="8"/>
    <x v="1"/>
    <d v="2022-03-01T00:00:00"/>
    <n v="9487"/>
    <x v="35"/>
  </r>
  <r>
    <x v="2"/>
    <x v="4"/>
    <n v="8"/>
    <x v="1"/>
    <d v="2022-03-01T00:00:00"/>
    <n v="14506"/>
    <x v="36"/>
  </r>
  <r>
    <x v="2"/>
    <x v="4"/>
    <n v="8"/>
    <x v="1"/>
    <d v="2022-03-01T00:00:00"/>
    <n v="129000"/>
    <x v="12"/>
  </r>
  <r>
    <x v="2"/>
    <x v="4"/>
    <n v="9"/>
    <x v="2"/>
    <d v="2022-03-01T00:00:00"/>
    <n v="6561"/>
    <x v="25"/>
  </r>
  <r>
    <x v="2"/>
    <x v="4"/>
    <n v="9"/>
    <x v="2"/>
    <d v="2022-03-01T00:00:00"/>
    <n v="6172"/>
    <x v="26"/>
  </r>
  <r>
    <x v="2"/>
    <x v="4"/>
    <n v="9"/>
    <x v="2"/>
    <d v="2022-03-01T00:00:00"/>
    <n v="7006"/>
    <x v="27"/>
  </r>
  <r>
    <x v="2"/>
    <x v="4"/>
    <n v="9"/>
    <x v="2"/>
    <d v="2022-03-01T00:00:00"/>
    <n v="6938"/>
    <x v="28"/>
  </r>
  <r>
    <x v="2"/>
    <x v="4"/>
    <n v="9"/>
    <x v="2"/>
    <d v="2022-03-01T00:00:00"/>
    <n v="6473"/>
    <x v="29"/>
  </r>
  <r>
    <x v="2"/>
    <x v="4"/>
    <n v="9"/>
    <x v="2"/>
    <d v="2022-03-01T00:00:00"/>
    <n v="6829"/>
    <x v="30"/>
  </r>
  <r>
    <x v="2"/>
    <x v="4"/>
    <n v="9"/>
    <x v="2"/>
    <d v="2022-03-01T00:00:00"/>
    <n v="7030"/>
    <x v="31"/>
  </r>
  <r>
    <x v="2"/>
    <x v="4"/>
    <n v="9"/>
    <x v="2"/>
    <d v="2022-03-01T00:00:00"/>
    <n v="6850"/>
    <x v="32"/>
  </r>
  <r>
    <x v="2"/>
    <x v="4"/>
    <n v="9"/>
    <x v="2"/>
    <d v="2022-03-01T00:00:00"/>
    <n v="6859"/>
    <x v="33"/>
  </r>
  <r>
    <x v="2"/>
    <x v="4"/>
    <n v="9"/>
    <x v="2"/>
    <d v="2022-03-01T00:00:00"/>
    <n v="6276"/>
    <x v="34"/>
  </r>
  <r>
    <x v="2"/>
    <x v="4"/>
    <n v="9"/>
    <x v="2"/>
    <d v="2022-03-01T00:00:00"/>
    <n v="6078"/>
    <x v="35"/>
  </r>
  <r>
    <x v="2"/>
    <x v="4"/>
    <n v="9"/>
    <x v="2"/>
    <d v="2022-03-01T00:00:00"/>
    <n v="6644"/>
    <x v="36"/>
  </r>
  <r>
    <x v="2"/>
    <x v="4"/>
    <n v="9"/>
    <x v="2"/>
    <d v="2022-03-01T00:00:00"/>
    <n v="79716"/>
    <x v="12"/>
  </r>
  <r>
    <x v="2"/>
    <x v="4"/>
    <n v="10"/>
    <x v="3"/>
    <d v="2022-03-01T00:00:00"/>
    <n v="39404"/>
    <x v="25"/>
  </r>
  <r>
    <x v="2"/>
    <x v="4"/>
    <n v="10"/>
    <x v="3"/>
    <d v="2022-03-01T00:00:00"/>
    <n v="40234"/>
    <x v="26"/>
  </r>
  <r>
    <x v="2"/>
    <x v="4"/>
    <n v="10"/>
    <x v="3"/>
    <d v="2022-03-01T00:00:00"/>
    <n v="39868"/>
    <x v="27"/>
  </r>
  <r>
    <x v="2"/>
    <x v="4"/>
    <n v="10"/>
    <x v="3"/>
    <d v="2022-03-01T00:00:00"/>
    <n v="40045"/>
    <x v="28"/>
  </r>
  <r>
    <x v="2"/>
    <x v="4"/>
    <n v="10"/>
    <x v="3"/>
    <d v="2022-03-01T00:00:00"/>
    <n v="42506"/>
    <x v="29"/>
  </r>
  <r>
    <x v="2"/>
    <x v="4"/>
    <n v="10"/>
    <x v="3"/>
    <d v="2022-03-01T00:00:00"/>
    <n v="46350"/>
    <x v="30"/>
  </r>
  <r>
    <x v="2"/>
    <x v="4"/>
    <n v="10"/>
    <x v="3"/>
    <d v="2022-03-01T00:00:00"/>
    <n v="42567"/>
    <x v="31"/>
  </r>
  <r>
    <x v="2"/>
    <x v="4"/>
    <n v="10"/>
    <x v="3"/>
    <d v="2022-03-01T00:00:00"/>
    <n v="43570"/>
    <x v="32"/>
  </r>
  <r>
    <x v="2"/>
    <x v="4"/>
    <n v="10"/>
    <x v="3"/>
    <d v="2022-03-01T00:00:00"/>
    <n v="42682"/>
    <x v="33"/>
  </r>
  <r>
    <x v="2"/>
    <x v="4"/>
    <n v="10"/>
    <x v="3"/>
    <d v="2022-03-01T00:00:00"/>
    <n v="44191"/>
    <x v="34"/>
  </r>
  <r>
    <x v="2"/>
    <x v="4"/>
    <n v="10"/>
    <x v="3"/>
    <d v="2022-03-01T00:00:00"/>
    <n v="43561"/>
    <x v="35"/>
  </r>
  <r>
    <x v="2"/>
    <x v="4"/>
    <n v="10"/>
    <x v="3"/>
    <d v="2022-03-01T00:00:00"/>
    <n v="66810.483999999997"/>
    <x v="36"/>
  </r>
  <r>
    <x v="2"/>
    <x v="4"/>
    <n v="10"/>
    <x v="3"/>
    <d v="2022-03-01T00:00:00"/>
    <n v="531788.48400000005"/>
    <x v="12"/>
  </r>
  <r>
    <x v="2"/>
    <x v="4"/>
    <n v="11"/>
    <x v="4"/>
    <d v="2022-03-01T00:00:00"/>
    <n v="6856"/>
    <x v="25"/>
  </r>
  <r>
    <x v="2"/>
    <x v="4"/>
    <n v="11"/>
    <x v="4"/>
    <d v="2022-03-01T00:00:00"/>
    <n v="6318"/>
    <x v="26"/>
  </r>
  <r>
    <x v="2"/>
    <x v="4"/>
    <n v="11"/>
    <x v="4"/>
    <d v="2022-03-01T00:00:00"/>
    <n v="7132"/>
    <x v="27"/>
  </r>
  <r>
    <x v="2"/>
    <x v="4"/>
    <n v="11"/>
    <x v="4"/>
    <d v="2022-03-01T00:00:00"/>
    <n v="7411"/>
    <x v="28"/>
  </r>
  <r>
    <x v="2"/>
    <x v="4"/>
    <n v="11"/>
    <x v="4"/>
    <d v="2022-03-01T00:00:00"/>
    <n v="8071"/>
    <x v="29"/>
  </r>
  <r>
    <x v="2"/>
    <x v="4"/>
    <n v="11"/>
    <x v="4"/>
    <d v="2022-03-01T00:00:00"/>
    <n v="8381"/>
    <x v="30"/>
  </r>
  <r>
    <x v="2"/>
    <x v="4"/>
    <n v="11"/>
    <x v="4"/>
    <d v="2022-03-01T00:00:00"/>
    <n v="9189"/>
    <x v="31"/>
  </r>
  <r>
    <x v="2"/>
    <x v="4"/>
    <n v="11"/>
    <x v="4"/>
    <d v="2022-03-01T00:00:00"/>
    <n v="8799"/>
    <x v="32"/>
  </r>
  <r>
    <x v="2"/>
    <x v="4"/>
    <n v="11"/>
    <x v="4"/>
    <d v="2022-03-01T00:00:00"/>
    <n v="9309"/>
    <x v="33"/>
  </r>
  <r>
    <x v="2"/>
    <x v="4"/>
    <n v="11"/>
    <x v="4"/>
    <d v="2022-03-01T00:00:00"/>
    <n v="13318"/>
    <x v="34"/>
  </r>
  <r>
    <x v="2"/>
    <x v="4"/>
    <n v="11"/>
    <x v="4"/>
    <d v="2022-03-01T00:00:00"/>
    <n v="10681"/>
    <x v="35"/>
  </r>
  <r>
    <x v="2"/>
    <x v="4"/>
    <n v="11"/>
    <x v="4"/>
    <d v="2022-03-01T00:00:00"/>
    <n v="20469"/>
    <x v="36"/>
  </r>
  <r>
    <x v="2"/>
    <x v="4"/>
    <n v="11"/>
    <x v="4"/>
    <d v="2022-03-01T00:00:00"/>
    <n v="115934"/>
    <x v="12"/>
  </r>
  <r>
    <x v="2"/>
    <x v="4"/>
    <n v="12"/>
    <x v="5"/>
    <d v="2022-03-01T00:00:00"/>
    <n v="3932"/>
    <x v="25"/>
  </r>
  <r>
    <x v="2"/>
    <x v="4"/>
    <n v="12"/>
    <x v="5"/>
    <d v="2022-03-01T00:00:00"/>
    <n v="4192"/>
    <x v="26"/>
  </r>
  <r>
    <x v="2"/>
    <x v="4"/>
    <n v="12"/>
    <x v="5"/>
    <d v="2022-03-01T00:00:00"/>
    <n v="3623"/>
    <x v="27"/>
  </r>
  <r>
    <x v="2"/>
    <x v="4"/>
    <n v="12"/>
    <x v="5"/>
    <d v="2022-03-01T00:00:00"/>
    <n v="4149"/>
    <x v="28"/>
  </r>
  <r>
    <x v="2"/>
    <x v="4"/>
    <n v="12"/>
    <x v="5"/>
    <d v="2022-03-01T00:00:00"/>
    <n v="3877"/>
    <x v="29"/>
  </r>
  <r>
    <x v="2"/>
    <x v="4"/>
    <n v="12"/>
    <x v="5"/>
    <d v="2022-03-01T00:00:00"/>
    <n v="4319"/>
    <x v="30"/>
  </r>
  <r>
    <x v="2"/>
    <x v="4"/>
    <n v="12"/>
    <x v="5"/>
    <d v="2022-03-01T00:00:00"/>
    <n v="4185"/>
    <x v="31"/>
  </r>
  <r>
    <x v="2"/>
    <x v="4"/>
    <n v="12"/>
    <x v="5"/>
    <d v="2022-03-01T00:00:00"/>
    <n v="4550"/>
    <x v="32"/>
  </r>
  <r>
    <x v="2"/>
    <x v="4"/>
    <n v="12"/>
    <x v="5"/>
    <d v="2022-03-01T00:00:00"/>
    <n v="4491"/>
    <x v="33"/>
  </r>
  <r>
    <x v="2"/>
    <x v="4"/>
    <n v="12"/>
    <x v="5"/>
    <d v="2022-03-01T00:00:00"/>
    <n v="4283"/>
    <x v="34"/>
  </r>
  <r>
    <x v="2"/>
    <x v="4"/>
    <n v="12"/>
    <x v="5"/>
    <d v="2022-03-01T00:00:00"/>
    <n v="3935"/>
    <x v="35"/>
  </r>
  <r>
    <x v="2"/>
    <x v="4"/>
    <n v="12"/>
    <x v="5"/>
    <d v="2022-03-01T00:00:00"/>
    <n v="4568"/>
    <x v="36"/>
  </r>
  <r>
    <x v="2"/>
    <x v="4"/>
    <n v="12"/>
    <x v="5"/>
    <d v="2022-03-01T00:00:00"/>
    <n v="50104"/>
    <x v="12"/>
  </r>
  <r>
    <x v="2"/>
    <x v="4"/>
    <n v="13"/>
    <x v="6"/>
    <d v="2022-03-01T00:00:00"/>
    <n v="13572"/>
    <x v="25"/>
  </r>
  <r>
    <x v="2"/>
    <x v="4"/>
    <n v="13"/>
    <x v="6"/>
    <d v="2022-03-01T00:00:00"/>
    <n v="13575"/>
    <x v="26"/>
  </r>
  <r>
    <x v="2"/>
    <x v="4"/>
    <n v="13"/>
    <x v="6"/>
    <d v="2022-03-01T00:00:00"/>
    <n v="13725"/>
    <x v="27"/>
  </r>
  <r>
    <x v="2"/>
    <x v="4"/>
    <n v="13"/>
    <x v="6"/>
    <d v="2022-03-01T00:00:00"/>
    <n v="13922"/>
    <x v="28"/>
  </r>
  <r>
    <x v="2"/>
    <x v="4"/>
    <n v="13"/>
    <x v="6"/>
    <d v="2022-03-01T00:00:00"/>
    <n v="13687"/>
    <x v="29"/>
  </r>
  <r>
    <x v="2"/>
    <x v="4"/>
    <n v="13"/>
    <x v="6"/>
    <d v="2022-03-01T00:00:00"/>
    <n v="13782"/>
    <x v="30"/>
  </r>
  <r>
    <x v="2"/>
    <x v="4"/>
    <n v="13"/>
    <x v="6"/>
    <d v="2022-03-01T00:00:00"/>
    <n v="14080"/>
    <x v="31"/>
  </r>
  <r>
    <x v="2"/>
    <x v="4"/>
    <n v="13"/>
    <x v="6"/>
    <d v="2022-03-01T00:00:00"/>
    <n v="14134"/>
    <x v="32"/>
  </r>
  <r>
    <x v="2"/>
    <x v="4"/>
    <n v="13"/>
    <x v="6"/>
    <d v="2022-03-01T00:00:00"/>
    <n v="13768"/>
    <x v="33"/>
  </r>
  <r>
    <x v="2"/>
    <x v="4"/>
    <n v="13"/>
    <x v="6"/>
    <d v="2022-03-01T00:00:00"/>
    <n v="15259"/>
    <x v="34"/>
  </r>
  <r>
    <x v="2"/>
    <x v="4"/>
    <n v="13"/>
    <x v="6"/>
    <d v="2022-03-01T00:00:00"/>
    <n v="13584"/>
    <x v="35"/>
  </r>
  <r>
    <x v="2"/>
    <x v="4"/>
    <n v="13"/>
    <x v="6"/>
    <d v="2022-03-01T00:00:00"/>
    <n v="15102"/>
    <x v="36"/>
  </r>
  <r>
    <x v="2"/>
    <x v="4"/>
    <n v="13"/>
    <x v="6"/>
    <d v="2022-03-01T00:00:00"/>
    <n v="168190"/>
    <x v="12"/>
  </r>
  <r>
    <x v="2"/>
    <x v="4"/>
    <n v="14"/>
    <x v="7"/>
    <d v="2022-03-01T00:00:00"/>
    <n v="0"/>
    <x v="25"/>
  </r>
  <r>
    <x v="2"/>
    <x v="4"/>
    <n v="14"/>
    <x v="7"/>
    <d v="2022-03-01T00:00:00"/>
    <n v="0"/>
    <x v="26"/>
  </r>
  <r>
    <x v="2"/>
    <x v="4"/>
    <n v="14"/>
    <x v="7"/>
    <d v="2022-03-01T00:00:00"/>
    <n v="0"/>
    <x v="27"/>
  </r>
  <r>
    <x v="2"/>
    <x v="4"/>
    <n v="14"/>
    <x v="7"/>
    <d v="2022-03-01T00:00:00"/>
    <n v="0"/>
    <x v="28"/>
  </r>
  <r>
    <x v="2"/>
    <x v="4"/>
    <n v="14"/>
    <x v="7"/>
    <d v="2022-03-01T00:00:00"/>
    <n v="0"/>
    <x v="29"/>
  </r>
  <r>
    <x v="2"/>
    <x v="4"/>
    <n v="14"/>
    <x v="7"/>
    <d v="2022-03-01T00:00:00"/>
    <n v="0"/>
    <x v="30"/>
  </r>
  <r>
    <x v="2"/>
    <x v="4"/>
    <n v="14"/>
    <x v="7"/>
    <d v="2022-03-01T00:00:00"/>
    <n v="0"/>
    <x v="31"/>
  </r>
  <r>
    <x v="2"/>
    <x v="4"/>
    <n v="14"/>
    <x v="7"/>
    <d v="2022-03-01T00:00:00"/>
    <n v="0"/>
    <x v="32"/>
  </r>
  <r>
    <x v="2"/>
    <x v="4"/>
    <n v="14"/>
    <x v="7"/>
    <d v="2022-03-01T00:00:00"/>
    <n v="0"/>
    <x v="33"/>
  </r>
  <r>
    <x v="2"/>
    <x v="4"/>
    <n v="14"/>
    <x v="7"/>
    <d v="2022-03-01T00:00:00"/>
    <n v="0"/>
    <x v="34"/>
  </r>
  <r>
    <x v="2"/>
    <x v="4"/>
    <n v="14"/>
    <x v="7"/>
    <d v="2022-03-01T00:00:00"/>
    <n v="0"/>
    <x v="35"/>
  </r>
  <r>
    <x v="2"/>
    <x v="4"/>
    <n v="14"/>
    <x v="7"/>
    <d v="2022-03-01T00:00:00"/>
    <n v="0"/>
    <x v="36"/>
  </r>
  <r>
    <x v="2"/>
    <x v="4"/>
    <n v="14"/>
    <x v="7"/>
    <d v="2022-03-01T00:00:00"/>
    <n v="0"/>
    <x v="12"/>
  </r>
  <r>
    <x v="2"/>
    <x v="4"/>
    <n v="15"/>
    <x v="8"/>
    <d v="2022-03-01T00:00:00"/>
    <n v="4117"/>
    <x v="25"/>
  </r>
  <r>
    <x v="2"/>
    <x v="4"/>
    <n v="15"/>
    <x v="8"/>
    <d v="2022-03-01T00:00:00"/>
    <n v="4310"/>
    <x v="26"/>
  </r>
  <r>
    <x v="2"/>
    <x v="4"/>
    <n v="15"/>
    <x v="8"/>
    <d v="2022-03-01T00:00:00"/>
    <n v="4754"/>
    <x v="27"/>
  </r>
  <r>
    <x v="2"/>
    <x v="4"/>
    <n v="15"/>
    <x v="8"/>
    <d v="2022-03-01T00:00:00"/>
    <n v="4348"/>
    <x v="28"/>
  </r>
  <r>
    <x v="2"/>
    <x v="4"/>
    <n v="15"/>
    <x v="8"/>
    <d v="2022-03-01T00:00:00"/>
    <n v="4168"/>
    <x v="29"/>
  </r>
  <r>
    <x v="2"/>
    <x v="4"/>
    <n v="15"/>
    <x v="8"/>
    <d v="2022-03-01T00:00:00"/>
    <n v="4945"/>
    <x v="30"/>
  </r>
  <r>
    <x v="2"/>
    <x v="4"/>
    <n v="15"/>
    <x v="8"/>
    <d v="2022-03-01T00:00:00"/>
    <n v="4432"/>
    <x v="31"/>
  </r>
  <r>
    <x v="2"/>
    <x v="4"/>
    <n v="15"/>
    <x v="8"/>
    <d v="2022-03-01T00:00:00"/>
    <n v="4303"/>
    <x v="32"/>
  </r>
  <r>
    <x v="2"/>
    <x v="4"/>
    <n v="15"/>
    <x v="8"/>
    <d v="2022-03-01T00:00:00"/>
    <n v="4451"/>
    <x v="33"/>
  </r>
  <r>
    <x v="2"/>
    <x v="4"/>
    <n v="15"/>
    <x v="8"/>
    <d v="2022-03-01T00:00:00"/>
    <n v="4641"/>
    <x v="34"/>
  </r>
  <r>
    <x v="2"/>
    <x v="4"/>
    <n v="15"/>
    <x v="8"/>
    <d v="2022-03-01T00:00:00"/>
    <n v="4144"/>
    <x v="35"/>
  </r>
  <r>
    <x v="2"/>
    <x v="4"/>
    <n v="15"/>
    <x v="8"/>
    <d v="2022-03-01T00:00:00"/>
    <n v="3002"/>
    <x v="36"/>
  </r>
  <r>
    <x v="2"/>
    <x v="4"/>
    <n v="15"/>
    <x v="8"/>
    <d v="2022-03-01T00:00:00"/>
    <n v="51615"/>
    <x v="12"/>
  </r>
  <r>
    <x v="2"/>
    <x v="5"/>
    <n v="7"/>
    <x v="0"/>
    <d v="2022-03-01T00:00:00"/>
    <n v="20020"/>
    <x v="25"/>
  </r>
  <r>
    <x v="2"/>
    <x v="5"/>
    <n v="7"/>
    <x v="0"/>
    <d v="2022-03-01T00:00:00"/>
    <n v="20135"/>
    <x v="26"/>
  </r>
  <r>
    <x v="2"/>
    <x v="5"/>
    <n v="7"/>
    <x v="0"/>
    <d v="2022-03-01T00:00:00"/>
    <n v="18799"/>
    <x v="27"/>
  </r>
  <r>
    <x v="2"/>
    <x v="5"/>
    <n v="7"/>
    <x v="0"/>
    <d v="2022-03-01T00:00:00"/>
    <n v="20086"/>
    <x v="28"/>
  </r>
  <r>
    <x v="2"/>
    <x v="5"/>
    <n v="7"/>
    <x v="0"/>
    <d v="2022-03-01T00:00:00"/>
    <n v="21160"/>
    <x v="29"/>
  </r>
  <r>
    <x v="2"/>
    <x v="5"/>
    <n v="7"/>
    <x v="0"/>
    <d v="2022-03-01T00:00:00"/>
    <n v="23157"/>
    <x v="30"/>
  </r>
  <r>
    <x v="2"/>
    <x v="5"/>
    <n v="7"/>
    <x v="0"/>
    <d v="2022-03-01T00:00:00"/>
    <n v="23579"/>
    <x v="31"/>
  </r>
  <r>
    <x v="2"/>
    <x v="5"/>
    <n v="7"/>
    <x v="0"/>
    <d v="2022-03-01T00:00:00"/>
    <n v="23124"/>
    <x v="32"/>
  </r>
  <r>
    <x v="2"/>
    <x v="5"/>
    <n v="7"/>
    <x v="0"/>
    <d v="2022-03-01T00:00:00"/>
    <n v="22732"/>
    <x v="33"/>
  </r>
  <r>
    <x v="2"/>
    <x v="5"/>
    <n v="7"/>
    <x v="0"/>
    <d v="2022-03-01T00:00:00"/>
    <n v="22223"/>
    <x v="34"/>
  </r>
  <r>
    <x v="2"/>
    <x v="5"/>
    <n v="7"/>
    <x v="0"/>
    <d v="2022-03-01T00:00:00"/>
    <n v="24602"/>
    <x v="35"/>
  </r>
  <r>
    <x v="2"/>
    <x v="5"/>
    <n v="7"/>
    <x v="0"/>
    <d v="2022-03-01T00:00:00"/>
    <n v="29090"/>
    <x v="36"/>
  </r>
  <r>
    <x v="2"/>
    <x v="5"/>
    <n v="7"/>
    <x v="0"/>
    <d v="2022-03-01T00:00:00"/>
    <n v="268707"/>
    <x v="12"/>
  </r>
  <r>
    <x v="2"/>
    <x v="5"/>
    <n v="8"/>
    <x v="1"/>
    <d v="2022-03-01T00:00:00"/>
    <n v="0"/>
    <x v="25"/>
  </r>
  <r>
    <x v="2"/>
    <x v="5"/>
    <n v="8"/>
    <x v="1"/>
    <d v="2022-03-01T00:00:00"/>
    <n v="0"/>
    <x v="26"/>
  </r>
  <r>
    <x v="2"/>
    <x v="5"/>
    <n v="8"/>
    <x v="1"/>
    <d v="2022-03-01T00:00:00"/>
    <n v="0"/>
    <x v="27"/>
  </r>
  <r>
    <x v="2"/>
    <x v="5"/>
    <n v="8"/>
    <x v="1"/>
    <d v="2022-03-01T00:00:00"/>
    <n v="0"/>
    <x v="28"/>
  </r>
  <r>
    <x v="2"/>
    <x v="5"/>
    <n v="8"/>
    <x v="1"/>
    <d v="2022-03-01T00:00:00"/>
    <n v="0"/>
    <x v="29"/>
  </r>
  <r>
    <x v="2"/>
    <x v="5"/>
    <n v="8"/>
    <x v="1"/>
    <d v="2022-03-01T00:00:00"/>
    <n v="0"/>
    <x v="30"/>
  </r>
  <r>
    <x v="2"/>
    <x v="5"/>
    <n v="8"/>
    <x v="1"/>
    <d v="2022-03-01T00:00:00"/>
    <n v="0"/>
    <x v="31"/>
  </r>
  <r>
    <x v="2"/>
    <x v="5"/>
    <n v="8"/>
    <x v="1"/>
    <d v="2022-03-01T00:00:00"/>
    <n v="0"/>
    <x v="32"/>
  </r>
  <r>
    <x v="2"/>
    <x v="5"/>
    <n v="8"/>
    <x v="1"/>
    <d v="2022-03-01T00:00:00"/>
    <n v="0"/>
    <x v="33"/>
  </r>
  <r>
    <x v="2"/>
    <x v="5"/>
    <n v="8"/>
    <x v="1"/>
    <d v="2022-03-01T00:00:00"/>
    <n v="0"/>
    <x v="34"/>
  </r>
  <r>
    <x v="2"/>
    <x v="5"/>
    <n v="8"/>
    <x v="1"/>
    <d v="2022-03-01T00:00:00"/>
    <n v="0"/>
    <x v="35"/>
  </r>
  <r>
    <x v="2"/>
    <x v="5"/>
    <n v="8"/>
    <x v="1"/>
    <d v="2022-03-01T00:00:00"/>
    <n v="0"/>
    <x v="36"/>
  </r>
  <r>
    <x v="2"/>
    <x v="5"/>
    <n v="8"/>
    <x v="1"/>
    <d v="2022-03-01T00:00:00"/>
    <n v="0"/>
    <x v="12"/>
  </r>
  <r>
    <x v="2"/>
    <x v="5"/>
    <n v="9"/>
    <x v="2"/>
    <d v="2022-03-01T00:00:00"/>
    <n v="0"/>
    <x v="25"/>
  </r>
  <r>
    <x v="2"/>
    <x v="5"/>
    <n v="9"/>
    <x v="2"/>
    <d v="2022-03-01T00:00:00"/>
    <n v="0"/>
    <x v="26"/>
  </r>
  <r>
    <x v="2"/>
    <x v="5"/>
    <n v="9"/>
    <x v="2"/>
    <d v="2022-03-01T00:00:00"/>
    <n v="0"/>
    <x v="27"/>
  </r>
  <r>
    <x v="2"/>
    <x v="5"/>
    <n v="9"/>
    <x v="2"/>
    <d v="2022-03-01T00:00:00"/>
    <n v="0"/>
    <x v="28"/>
  </r>
  <r>
    <x v="2"/>
    <x v="5"/>
    <n v="9"/>
    <x v="2"/>
    <d v="2022-03-01T00:00:00"/>
    <n v="0"/>
    <x v="29"/>
  </r>
  <r>
    <x v="2"/>
    <x v="5"/>
    <n v="9"/>
    <x v="2"/>
    <d v="2022-03-01T00:00:00"/>
    <n v="0"/>
    <x v="30"/>
  </r>
  <r>
    <x v="2"/>
    <x v="5"/>
    <n v="9"/>
    <x v="2"/>
    <d v="2022-03-01T00:00:00"/>
    <n v="0"/>
    <x v="31"/>
  </r>
  <r>
    <x v="2"/>
    <x v="5"/>
    <n v="9"/>
    <x v="2"/>
    <d v="2022-03-01T00:00:00"/>
    <n v="0"/>
    <x v="32"/>
  </r>
  <r>
    <x v="2"/>
    <x v="5"/>
    <n v="9"/>
    <x v="2"/>
    <d v="2022-03-01T00:00:00"/>
    <n v="0"/>
    <x v="33"/>
  </r>
  <r>
    <x v="2"/>
    <x v="5"/>
    <n v="9"/>
    <x v="2"/>
    <d v="2022-03-01T00:00:00"/>
    <n v="0"/>
    <x v="34"/>
  </r>
  <r>
    <x v="2"/>
    <x v="5"/>
    <n v="9"/>
    <x v="2"/>
    <d v="2022-03-01T00:00:00"/>
    <n v="0"/>
    <x v="35"/>
  </r>
  <r>
    <x v="2"/>
    <x v="5"/>
    <n v="9"/>
    <x v="2"/>
    <d v="2022-03-01T00:00:00"/>
    <n v="0"/>
    <x v="36"/>
  </r>
  <r>
    <x v="2"/>
    <x v="5"/>
    <n v="9"/>
    <x v="2"/>
    <d v="2022-03-01T00:00:00"/>
    <n v="0"/>
    <x v="12"/>
  </r>
  <r>
    <x v="2"/>
    <x v="5"/>
    <n v="10"/>
    <x v="3"/>
    <d v="2022-03-01T00:00:00"/>
    <n v="1491"/>
    <x v="25"/>
  </r>
  <r>
    <x v="2"/>
    <x v="5"/>
    <n v="10"/>
    <x v="3"/>
    <d v="2022-03-01T00:00:00"/>
    <n v="1490"/>
    <x v="26"/>
  </r>
  <r>
    <x v="2"/>
    <x v="5"/>
    <n v="10"/>
    <x v="3"/>
    <d v="2022-03-01T00:00:00"/>
    <n v="1560"/>
    <x v="27"/>
  </r>
  <r>
    <x v="2"/>
    <x v="5"/>
    <n v="10"/>
    <x v="3"/>
    <d v="2022-03-01T00:00:00"/>
    <n v="1560"/>
    <x v="28"/>
  </r>
  <r>
    <x v="2"/>
    <x v="5"/>
    <n v="10"/>
    <x v="3"/>
    <d v="2022-03-01T00:00:00"/>
    <n v="1584"/>
    <x v="29"/>
  </r>
  <r>
    <x v="2"/>
    <x v="5"/>
    <n v="10"/>
    <x v="3"/>
    <d v="2022-03-01T00:00:00"/>
    <n v="1822"/>
    <x v="30"/>
  </r>
  <r>
    <x v="2"/>
    <x v="5"/>
    <n v="10"/>
    <x v="3"/>
    <d v="2022-03-01T00:00:00"/>
    <n v="1743"/>
    <x v="31"/>
  </r>
  <r>
    <x v="2"/>
    <x v="5"/>
    <n v="10"/>
    <x v="3"/>
    <d v="2022-03-01T00:00:00"/>
    <n v="1752"/>
    <x v="32"/>
  </r>
  <r>
    <x v="2"/>
    <x v="5"/>
    <n v="10"/>
    <x v="3"/>
    <d v="2022-03-01T00:00:00"/>
    <n v="1774"/>
    <x v="33"/>
  </r>
  <r>
    <x v="2"/>
    <x v="5"/>
    <n v="10"/>
    <x v="3"/>
    <d v="2022-03-01T00:00:00"/>
    <n v="1851"/>
    <x v="34"/>
  </r>
  <r>
    <x v="2"/>
    <x v="5"/>
    <n v="10"/>
    <x v="3"/>
    <d v="2022-03-01T00:00:00"/>
    <n v="1850"/>
    <x v="35"/>
  </r>
  <r>
    <x v="2"/>
    <x v="5"/>
    <n v="10"/>
    <x v="3"/>
    <d v="2022-03-01T00:00:00"/>
    <n v="2822"/>
    <x v="36"/>
  </r>
  <r>
    <x v="2"/>
    <x v="5"/>
    <n v="10"/>
    <x v="3"/>
    <d v="2022-03-01T00:00:00"/>
    <n v="21299"/>
    <x v="12"/>
  </r>
  <r>
    <x v="2"/>
    <x v="5"/>
    <n v="11"/>
    <x v="4"/>
    <d v="2022-03-01T00:00:00"/>
    <n v="899"/>
    <x v="25"/>
  </r>
  <r>
    <x v="2"/>
    <x v="5"/>
    <n v="11"/>
    <x v="4"/>
    <d v="2022-03-01T00:00:00"/>
    <n v="854"/>
    <x v="26"/>
  </r>
  <r>
    <x v="2"/>
    <x v="5"/>
    <n v="11"/>
    <x v="4"/>
    <d v="2022-03-01T00:00:00"/>
    <n v="975"/>
    <x v="27"/>
  </r>
  <r>
    <x v="2"/>
    <x v="5"/>
    <n v="11"/>
    <x v="4"/>
    <d v="2022-03-01T00:00:00"/>
    <n v="1038"/>
    <x v="28"/>
  </r>
  <r>
    <x v="2"/>
    <x v="5"/>
    <n v="11"/>
    <x v="4"/>
    <d v="2022-03-01T00:00:00"/>
    <n v="783"/>
    <x v="29"/>
  </r>
  <r>
    <x v="2"/>
    <x v="5"/>
    <n v="11"/>
    <x v="4"/>
    <d v="2022-03-01T00:00:00"/>
    <n v="1015"/>
    <x v="30"/>
  </r>
  <r>
    <x v="2"/>
    <x v="5"/>
    <n v="11"/>
    <x v="4"/>
    <d v="2022-03-01T00:00:00"/>
    <n v="1194"/>
    <x v="31"/>
  </r>
  <r>
    <x v="2"/>
    <x v="5"/>
    <n v="11"/>
    <x v="4"/>
    <d v="2022-03-01T00:00:00"/>
    <n v="1009"/>
    <x v="32"/>
  </r>
  <r>
    <x v="2"/>
    <x v="5"/>
    <n v="11"/>
    <x v="4"/>
    <d v="2022-03-01T00:00:00"/>
    <n v="1501"/>
    <x v="33"/>
  </r>
  <r>
    <x v="2"/>
    <x v="5"/>
    <n v="11"/>
    <x v="4"/>
    <d v="2022-03-01T00:00:00"/>
    <n v="1125"/>
    <x v="34"/>
  </r>
  <r>
    <x v="2"/>
    <x v="5"/>
    <n v="11"/>
    <x v="4"/>
    <d v="2022-03-01T00:00:00"/>
    <n v="1339"/>
    <x v="35"/>
  </r>
  <r>
    <x v="2"/>
    <x v="5"/>
    <n v="11"/>
    <x v="4"/>
    <d v="2022-03-01T00:00:00"/>
    <n v="1813"/>
    <x v="36"/>
  </r>
  <r>
    <x v="2"/>
    <x v="5"/>
    <n v="11"/>
    <x v="4"/>
    <d v="2022-03-01T00:00:00"/>
    <n v="13545"/>
    <x v="12"/>
  </r>
  <r>
    <x v="2"/>
    <x v="5"/>
    <n v="12"/>
    <x v="5"/>
    <d v="2022-03-01T00:00:00"/>
    <n v="0"/>
    <x v="25"/>
  </r>
  <r>
    <x v="2"/>
    <x v="5"/>
    <n v="12"/>
    <x v="5"/>
    <d v="2022-03-01T00:00:00"/>
    <n v="0"/>
    <x v="26"/>
  </r>
  <r>
    <x v="2"/>
    <x v="5"/>
    <n v="12"/>
    <x v="5"/>
    <d v="2022-03-01T00:00:00"/>
    <n v="0"/>
    <x v="27"/>
  </r>
  <r>
    <x v="2"/>
    <x v="5"/>
    <n v="12"/>
    <x v="5"/>
    <d v="2022-03-01T00:00:00"/>
    <n v="0"/>
    <x v="28"/>
  </r>
  <r>
    <x v="2"/>
    <x v="5"/>
    <n v="12"/>
    <x v="5"/>
    <d v="2022-03-01T00:00:00"/>
    <n v="0"/>
    <x v="29"/>
  </r>
  <r>
    <x v="2"/>
    <x v="5"/>
    <n v="12"/>
    <x v="5"/>
    <d v="2022-03-01T00:00:00"/>
    <n v="0"/>
    <x v="30"/>
  </r>
  <r>
    <x v="2"/>
    <x v="5"/>
    <n v="12"/>
    <x v="5"/>
    <d v="2022-03-01T00:00:00"/>
    <n v="0"/>
    <x v="31"/>
  </r>
  <r>
    <x v="2"/>
    <x v="5"/>
    <n v="12"/>
    <x v="5"/>
    <d v="2022-03-01T00:00:00"/>
    <n v="0"/>
    <x v="32"/>
  </r>
  <r>
    <x v="2"/>
    <x v="5"/>
    <n v="12"/>
    <x v="5"/>
    <d v="2022-03-01T00:00:00"/>
    <n v="0"/>
    <x v="33"/>
  </r>
  <r>
    <x v="2"/>
    <x v="5"/>
    <n v="12"/>
    <x v="5"/>
    <d v="2022-03-01T00:00:00"/>
    <n v="0"/>
    <x v="34"/>
  </r>
  <r>
    <x v="2"/>
    <x v="5"/>
    <n v="12"/>
    <x v="5"/>
    <d v="2022-03-01T00:00:00"/>
    <n v="0"/>
    <x v="35"/>
  </r>
  <r>
    <x v="2"/>
    <x v="5"/>
    <n v="12"/>
    <x v="5"/>
    <d v="2022-03-01T00:00:00"/>
    <n v="0"/>
    <x v="36"/>
  </r>
  <r>
    <x v="2"/>
    <x v="5"/>
    <n v="12"/>
    <x v="5"/>
    <d v="2022-03-01T00:00:00"/>
    <n v="0"/>
    <x v="12"/>
  </r>
  <r>
    <x v="2"/>
    <x v="5"/>
    <n v="13"/>
    <x v="6"/>
    <d v="2022-03-01T00:00:00"/>
    <n v="0"/>
    <x v="25"/>
  </r>
  <r>
    <x v="2"/>
    <x v="5"/>
    <n v="13"/>
    <x v="6"/>
    <d v="2022-03-01T00:00:00"/>
    <n v="0"/>
    <x v="26"/>
  </r>
  <r>
    <x v="2"/>
    <x v="5"/>
    <n v="13"/>
    <x v="6"/>
    <d v="2022-03-01T00:00:00"/>
    <n v="0"/>
    <x v="27"/>
  </r>
  <r>
    <x v="2"/>
    <x v="5"/>
    <n v="13"/>
    <x v="6"/>
    <d v="2022-03-01T00:00:00"/>
    <n v="0"/>
    <x v="28"/>
  </r>
  <r>
    <x v="2"/>
    <x v="5"/>
    <n v="13"/>
    <x v="6"/>
    <d v="2022-03-01T00:00:00"/>
    <n v="0"/>
    <x v="29"/>
  </r>
  <r>
    <x v="2"/>
    <x v="5"/>
    <n v="13"/>
    <x v="6"/>
    <d v="2022-03-01T00:00:00"/>
    <n v="0"/>
    <x v="30"/>
  </r>
  <r>
    <x v="2"/>
    <x v="5"/>
    <n v="13"/>
    <x v="6"/>
    <d v="2022-03-01T00:00:00"/>
    <n v="0"/>
    <x v="31"/>
  </r>
  <r>
    <x v="2"/>
    <x v="5"/>
    <n v="13"/>
    <x v="6"/>
    <d v="2022-03-01T00:00:00"/>
    <n v="0"/>
    <x v="32"/>
  </r>
  <r>
    <x v="2"/>
    <x v="5"/>
    <n v="13"/>
    <x v="6"/>
    <d v="2022-03-01T00:00:00"/>
    <n v="0"/>
    <x v="33"/>
  </r>
  <r>
    <x v="2"/>
    <x v="5"/>
    <n v="13"/>
    <x v="6"/>
    <d v="2022-03-01T00:00:00"/>
    <n v="0"/>
    <x v="34"/>
  </r>
  <r>
    <x v="2"/>
    <x v="5"/>
    <n v="13"/>
    <x v="6"/>
    <d v="2022-03-01T00:00:00"/>
    <n v="0"/>
    <x v="35"/>
  </r>
  <r>
    <x v="2"/>
    <x v="5"/>
    <n v="13"/>
    <x v="6"/>
    <d v="2022-03-01T00:00:00"/>
    <n v="0"/>
    <x v="36"/>
  </r>
  <r>
    <x v="2"/>
    <x v="5"/>
    <n v="13"/>
    <x v="6"/>
    <d v="2022-03-01T00:00:00"/>
    <n v="0"/>
    <x v="12"/>
  </r>
  <r>
    <x v="2"/>
    <x v="5"/>
    <n v="14"/>
    <x v="7"/>
    <d v="2022-03-01T00:00:00"/>
    <n v="0"/>
    <x v="25"/>
  </r>
  <r>
    <x v="2"/>
    <x v="5"/>
    <n v="14"/>
    <x v="7"/>
    <d v="2022-03-01T00:00:00"/>
    <n v="0"/>
    <x v="26"/>
  </r>
  <r>
    <x v="2"/>
    <x v="5"/>
    <n v="14"/>
    <x v="7"/>
    <d v="2022-03-01T00:00:00"/>
    <n v="0"/>
    <x v="27"/>
  </r>
  <r>
    <x v="2"/>
    <x v="5"/>
    <n v="14"/>
    <x v="7"/>
    <d v="2022-03-01T00:00:00"/>
    <n v="0"/>
    <x v="28"/>
  </r>
  <r>
    <x v="2"/>
    <x v="5"/>
    <n v="14"/>
    <x v="7"/>
    <d v="2022-03-01T00:00:00"/>
    <n v="0"/>
    <x v="29"/>
  </r>
  <r>
    <x v="2"/>
    <x v="5"/>
    <n v="14"/>
    <x v="7"/>
    <d v="2022-03-01T00:00:00"/>
    <n v="0"/>
    <x v="30"/>
  </r>
  <r>
    <x v="2"/>
    <x v="5"/>
    <n v="14"/>
    <x v="7"/>
    <d v="2022-03-01T00:00:00"/>
    <n v="0"/>
    <x v="31"/>
  </r>
  <r>
    <x v="2"/>
    <x v="5"/>
    <n v="14"/>
    <x v="7"/>
    <d v="2022-03-01T00:00:00"/>
    <n v="0"/>
    <x v="32"/>
  </r>
  <r>
    <x v="2"/>
    <x v="5"/>
    <n v="14"/>
    <x v="7"/>
    <d v="2022-03-01T00:00:00"/>
    <n v="0"/>
    <x v="33"/>
  </r>
  <r>
    <x v="2"/>
    <x v="5"/>
    <n v="14"/>
    <x v="7"/>
    <d v="2022-03-01T00:00:00"/>
    <n v="0"/>
    <x v="34"/>
  </r>
  <r>
    <x v="2"/>
    <x v="5"/>
    <n v="14"/>
    <x v="7"/>
    <d v="2022-03-01T00:00:00"/>
    <n v="0"/>
    <x v="35"/>
  </r>
  <r>
    <x v="2"/>
    <x v="5"/>
    <n v="14"/>
    <x v="7"/>
    <d v="2022-03-01T00:00:00"/>
    <n v="0"/>
    <x v="36"/>
  </r>
  <r>
    <x v="2"/>
    <x v="5"/>
    <n v="14"/>
    <x v="7"/>
    <d v="2022-03-01T00:00:00"/>
    <n v="0"/>
    <x v="12"/>
  </r>
  <r>
    <x v="2"/>
    <x v="5"/>
    <n v="15"/>
    <x v="8"/>
    <d v="2022-03-01T00:00:00"/>
    <n v="0"/>
    <x v="25"/>
  </r>
  <r>
    <x v="2"/>
    <x v="5"/>
    <n v="15"/>
    <x v="8"/>
    <d v="2022-03-01T00:00:00"/>
    <n v="0"/>
    <x v="26"/>
  </r>
  <r>
    <x v="2"/>
    <x v="5"/>
    <n v="15"/>
    <x v="8"/>
    <d v="2022-03-01T00:00:00"/>
    <n v="0"/>
    <x v="27"/>
  </r>
  <r>
    <x v="2"/>
    <x v="5"/>
    <n v="15"/>
    <x v="8"/>
    <d v="2022-03-01T00:00:00"/>
    <n v="0"/>
    <x v="28"/>
  </r>
  <r>
    <x v="2"/>
    <x v="5"/>
    <n v="15"/>
    <x v="8"/>
    <d v="2022-03-01T00:00:00"/>
    <n v="0"/>
    <x v="29"/>
  </r>
  <r>
    <x v="2"/>
    <x v="5"/>
    <n v="15"/>
    <x v="8"/>
    <d v="2022-03-01T00:00:00"/>
    <n v="0"/>
    <x v="30"/>
  </r>
  <r>
    <x v="2"/>
    <x v="5"/>
    <n v="15"/>
    <x v="8"/>
    <d v="2022-03-01T00:00:00"/>
    <n v="0"/>
    <x v="31"/>
  </r>
  <r>
    <x v="2"/>
    <x v="5"/>
    <n v="15"/>
    <x v="8"/>
    <d v="2022-03-01T00:00:00"/>
    <n v="0"/>
    <x v="32"/>
  </r>
  <r>
    <x v="2"/>
    <x v="5"/>
    <n v="15"/>
    <x v="8"/>
    <d v="2022-03-01T00:00:00"/>
    <n v="0"/>
    <x v="33"/>
  </r>
  <r>
    <x v="2"/>
    <x v="5"/>
    <n v="15"/>
    <x v="8"/>
    <d v="2022-03-01T00:00:00"/>
    <n v="0"/>
    <x v="34"/>
  </r>
  <r>
    <x v="2"/>
    <x v="5"/>
    <n v="15"/>
    <x v="8"/>
    <d v="2022-03-01T00:00:00"/>
    <n v="0"/>
    <x v="35"/>
  </r>
  <r>
    <x v="2"/>
    <x v="5"/>
    <n v="15"/>
    <x v="8"/>
    <d v="2022-03-01T00:00:00"/>
    <n v="0"/>
    <x v="36"/>
  </r>
  <r>
    <x v="2"/>
    <x v="5"/>
    <n v="15"/>
    <x v="8"/>
    <d v="2022-03-01T00:00:00"/>
    <n v="0"/>
    <x v="12"/>
  </r>
  <r>
    <x v="2"/>
    <x v="7"/>
    <n v="7"/>
    <x v="0"/>
    <d v="2022-03-01T00:00:00"/>
    <n v="28354"/>
    <x v="25"/>
  </r>
  <r>
    <x v="2"/>
    <x v="7"/>
    <n v="7"/>
    <x v="0"/>
    <d v="2022-03-01T00:00:00"/>
    <n v="30869"/>
    <x v="26"/>
  </r>
  <r>
    <x v="2"/>
    <x v="7"/>
    <n v="7"/>
    <x v="0"/>
    <d v="2022-03-01T00:00:00"/>
    <n v="33558"/>
    <x v="27"/>
  </r>
  <r>
    <x v="2"/>
    <x v="7"/>
    <n v="7"/>
    <x v="0"/>
    <d v="2022-03-01T00:00:00"/>
    <n v="38850"/>
    <x v="28"/>
  </r>
  <r>
    <x v="2"/>
    <x v="7"/>
    <n v="7"/>
    <x v="0"/>
    <d v="2022-03-01T00:00:00"/>
    <n v="41327"/>
    <x v="29"/>
  </r>
  <r>
    <x v="2"/>
    <x v="7"/>
    <n v="7"/>
    <x v="0"/>
    <d v="2022-03-01T00:00:00"/>
    <n v="45240"/>
    <x v="30"/>
  </r>
  <r>
    <x v="2"/>
    <x v="7"/>
    <n v="7"/>
    <x v="0"/>
    <d v="2022-03-01T00:00:00"/>
    <n v="44656"/>
    <x v="31"/>
  </r>
  <r>
    <x v="2"/>
    <x v="7"/>
    <n v="7"/>
    <x v="0"/>
    <d v="2022-03-01T00:00:00"/>
    <n v="36686"/>
    <x v="32"/>
  </r>
  <r>
    <x v="2"/>
    <x v="7"/>
    <n v="7"/>
    <x v="0"/>
    <d v="2022-03-01T00:00:00"/>
    <n v="69287"/>
    <x v="33"/>
  </r>
  <r>
    <x v="2"/>
    <x v="7"/>
    <n v="7"/>
    <x v="0"/>
    <d v="2022-03-01T00:00:00"/>
    <n v="46154"/>
    <x v="34"/>
  </r>
  <r>
    <x v="2"/>
    <x v="7"/>
    <n v="7"/>
    <x v="0"/>
    <d v="2022-03-01T00:00:00"/>
    <n v="45991"/>
    <x v="35"/>
  </r>
  <r>
    <x v="2"/>
    <x v="7"/>
    <n v="7"/>
    <x v="0"/>
    <d v="2022-03-01T00:00:00"/>
    <n v="112752"/>
    <x v="36"/>
  </r>
  <r>
    <x v="2"/>
    <x v="7"/>
    <n v="7"/>
    <x v="0"/>
    <d v="2022-03-01T00:00:00"/>
    <n v="573724"/>
    <x v="12"/>
  </r>
  <r>
    <x v="2"/>
    <x v="7"/>
    <n v="8"/>
    <x v="1"/>
    <d v="2022-03-01T00:00:00"/>
    <n v="0"/>
    <x v="25"/>
  </r>
  <r>
    <x v="2"/>
    <x v="7"/>
    <n v="8"/>
    <x v="1"/>
    <d v="2022-03-01T00:00:00"/>
    <n v="0"/>
    <x v="26"/>
  </r>
  <r>
    <x v="2"/>
    <x v="7"/>
    <n v="8"/>
    <x v="1"/>
    <d v="2022-03-01T00:00:00"/>
    <n v="0"/>
    <x v="27"/>
  </r>
  <r>
    <x v="2"/>
    <x v="7"/>
    <n v="8"/>
    <x v="1"/>
    <d v="2022-03-01T00:00:00"/>
    <n v="0"/>
    <x v="28"/>
  </r>
  <r>
    <x v="2"/>
    <x v="7"/>
    <n v="8"/>
    <x v="1"/>
    <d v="2022-03-01T00:00:00"/>
    <n v="0"/>
    <x v="29"/>
  </r>
  <r>
    <x v="2"/>
    <x v="7"/>
    <n v="8"/>
    <x v="1"/>
    <d v="2022-03-01T00:00:00"/>
    <n v="0"/>
    <x v="30"/>
  </r>
  <r>
    <x v="2"/>
    <x v="7"/>
    <n v="8"/>
    <x v="1"/>
    <d v="2022-03-01T00:00:00"/>
    <n v="0"/>
    <x v="31"/>
  </r>
  <r>
    <x v="2"/>
    <x v="7"/>
    <n v="8"/>
    <x v="1"/>
    <d v="2022-03-01T00:00:00"/>
    <n v="0"/>
    <x v="32"/>
  </r>
  <r>
    <x v="2"/>
    <x v="7"/>
    <n v="8"/>
    <x v="1"/>
    <d v="2022-03-01T00:00:00"/>
    <n v="0"/>
    <x v="33"/>
  </r>
  <r>
    <x v="2"/>
    <x v="7"/>
    <n v="8"/>
    <x v="1"/>
    <d v="2022-03-01T00:00:00"/>
    <n v="0"/>
    <x v="34"/>
  </r>
  <r>
    <x v="2"/>
    <x v="7"/>
    <n v="8"/>
    <x v="1"/>
    <d v="2022-03-01T00:00:00"/>
    <n v="0"/>
    <x v="35"/>
  </r>
  <r>
    <x v="2"/>
    <x v="7"/>
    <n v="8"/>
    <x v="1"/>
    <d v="2022-03-01T00:00:00"/>
    <n v="0"/>
    <x v="36"/>
  </r>
  <r>
    <x v="2"/>
    <x v="7"/>
    <n v="8"/>
    <x v="1"/>
    <d v="2022-03-01T00:00:00"/>
    <n v="0"/>
    <x v="12"/>
  </r>
  <r>
    <x v="2"/>
    <x v="7"/>
    <n v="9"/>
    <x v="2"/>
    <d v="2022-03-01T00:00:00"/>
    <n v="0"/>
    <x v="25"/>
  </r>
  <r>
    <x v="2"/>
    <x v="7"/>
    <n v="9"/>
    <x v="2"/>
    <d v="2022-03-01T00:00:00"/>
    <n v="0"/>
    <x v="26"/>
  </r>
  <r>
    <x v="2"/>
    <x v="7"/>
    <n v="9"/>
    <x v="2"/>
    <d v="2022-03-01T00:00:00"/>
    <n v="0"/>
    <x v="27"/>
  </r>
  <r>
    <x v="2"/>
    <x v="7"/>
    <n v="9"/>
    <x v="2"/>
    <d v="2022-03-01T00:00:00"/>
    <n v="0"/>
    <x v="28"/>
  </r>
  <r>
    <x v="2"/>
    <x v="7"/>
    <n v="9"/>
    <x v="2"/>
    <d v="2022-03-01T00:00:00"/>
    <n v="0"/>
    <x v="29"/>
  </r>
  <r>
    <x v="2"/>
    <x v="7"/>
    <n v="9"/>
    <x v="2"/>
    <d v="2022-03-01T00:00:00"/>
    <n v="0"/>
    <x v="30"/>
  </r>
  <r>
    <x v="2"/>
    <x v="7"/>
    <n v="9"/>
    <x v="2"/>
    <d v="2022-03-01T00:00:00"/>
    <n v="0"/>
    <x v="31"/>
  </r>
  <r>
    <x v="2"/>
    <x v="7"/>
    <n v="9"/>
    <x v="2"/>
    <d v="2022-03-01T00:00:00"/>
    <n v="0"/>
    <x v="32"/>
  </r>
  <r>
    <x v="2"/>
    <x v="7"/>
    <n v="9"/>
    <x v="2"/>
    <d v="2022-03-01T00:00:00"/>
    <n v="0"/>
    <x v="33"/>
  </r>
  <r>
    <x v="2"/>
    <x v="7"/>
    <n v="9"/>
    <x v="2"/>
    <d v="2022-03-01T00:00:00"/>
    <n v="0"/>
    <x v="34"/>
  </r>
  <r>
    <x v="2"/>
    <x v="7"/>
    <n v="9"/>
    <x v="2"/>
    <d v="2022-03-01T00:00:00"/>
    <n v="0"/>
    <x v="35"/>
  </r>
  <r>
    <x v="2"/>
    <x v="7"/>
    <n v="9"/>
    <x v="2"/>
    <d v="2022-03-01T00:00:00"/>
    <n v="0"/>
    <x v="36"/>
  </r>
  <r>
    <x v="2"/>
    <x v="7"/>
    <n v="9"/>
    <x v="2"/>
    <d v="2022-03-01T00:00:00"/>
    <n v="0"/>
    <x v="12"/>
  </r>
  <r>
    <x v="2"/>
    <x v="7"/>
    <n v="10"/>
    <x v="3"/>
    <d v="2022-03-01T00:00:00"/>
    <n v="14054"/>
    <x v="25"/>
  </r>
  <r>
    <x v="2"/>
    <x v="7"/>
    <n v="10"/>
    <x v="3"/>
    <d v="2022-03-01T00:00:00"/>
    <n v="14687"/>
    <x v="26"/>
  </r>
  <r>
    <x v="2"/>
    <x v="7"/>
    <n v="10"/>
    <x v="3"/>
    <d v="2022-03-01T00:00:00"/>
    <n v="14353"/>
    <x v="27"/>
  </r>
  <r>
    <x v="2"/>
    <x v="7"/>
    <n v="10"/>
    <x v="3"/>
    <d v="2022-03-01T00:00:00"/>
    <n v="14293"/>
    <x v="28"/>
  </r>
  <r>
    <x v="2"/>
    <x v="7"/>
    <n v="10"/>
    <x v="3"/>
    <d v="2022-03-01T00:00:00"/>
    <n v="16872"/>
    <x v="29"/>
  </r>
  <r>
    <x v="2"/>
    <x v="7"/>
    <n v="10"/>
    <x v="3"/>
    <d v="2022-03-01T00:00:00"/>
    <n v="20087"/>
    <x v="30"/>
  </r>
  <r>
    <x v="2"/>
    <x v="7"/>
    <n v="10"/>
    <x v="3"/>
    <d v="2022-03-01T00:00:00"/>
    <n v="17698"/>
    <x v="31"/>
  </r>
  <r>
    <x v="2"/>
    <x v="7"/>
    <n v="10"/>
    <x v="3"/>
    <d v="2022-03-01T00:00:00"/>
    <n v="19166"/>
    <x v="32"/>
  </r>
  <r>
    <x v="2"/>
    <x v="7"/>
    <n v="10"/>
    <x v="3"/>
    <d v="2022-03-01T00:00:00"/>
    <n v="19300"/>
    <x v="33"/>
  </r>
  <r>
    <x v="2"/>
    <x v="7"/>
    <n v="10"/>
    <x v="3"/>
    <d v="2022-03-01T00:00:00"/>
    <n v="19539.400000000001"/>
    <x v="34"/>
  </r>
  <r>
    <x v="2"/>
    <x v="7"/>
    <n v="10"/>
    <x v="3"/>
    <d v="2022-03-01T00:00:00"/>
    <n v="19220.003489999999"/>
    <x v="35"/>
  </r>
  <r>
    <x v="2"/>
    <x v="7"/>
    <n v="10"/>
    <x v="3"/>
    <d v="2022-03-01T00:00:00"/>
    <n v="29159"/>
    <x v="36"/>
  </r>
  <r>
    <x v="2"/>
    <x v="7"/>
    <n v="10"/>
    <x v="3"/>
    <d v="2022-03-01T00:00:00"/>
    <n v="218428.40349"/>
    <x v="12"/>
  </r>
  <r>
    <x v="2"/>
    <x v="7"/>
    <n v="11"/>
    <x v="4"/>
    <d v="2022-03-01T00:00:00"/>
    <n v="13378.9"/>
    <x v="25"/>
  </r>
  <r>
    <x v="2"/>
    <x v="7"/>
    <n v="11"/>
    <x v="4"/>
    <d v="2022-03-01T00:00:00"/>
    <n v="13038"/>
    <x v="26"/>
  </r>
  <r>
    <x v="2"/>
    <x v="7"/>
    <n v="11"/>
    <x v="4"/>
    <d v="2022-03-01T00:00:00"/>
    <n v="14684"/>
    <x v="27"/>
  </r>
  <r>
    <x v="2"/>
    <x v="7"/>
    <n v="11"/>
    <x v="4"/>
    <d v="2022-03-01T00:00:00"/>
    <n v="14143.5"/>
    <x v="28"/>
  </r>
  <r>
    <x v="2"/>
    <x v="7"/>
    <n v="11"/>
    <x v="4"/>
    <d v="2022-03-01T00:00:00"/>
    <n v="13902"/>
    <x v="29"/>
  </r>
  <r>
    <x v="2"/>
    <x v="7"/>
    <n v="11"/>
    <x v="4"/>
    <d v="2022-03-01T00:00:00"/>
    <n v="17154"/>
    <x v="30"/>
  </r>
  <r>
    <x v="2"/>
    <x v="7"/>
    <n v="11"/>
    <x v="4"/>
    <d v="2022-03-01T00:00:00"/>
    <n v="17823"/>
    <x v="31"/>
  </r>
  <r>
    <x v="2"/>
    <x v="7"/>
    <n v="11"/>
    <x v="4"/>
    <d v="2022-03-01T00:00:00"/>
    <n v="12626"/>
    <x v="32"/>
  </r>
  <r>
    <x v="2"/>
    <x v="7"/>
    <n v="11"/>
    <x v="4"/>
    <d v="2022-03-01T00:00:00"/>
    <n v="17850"/>
    <x v="33"/>
  </r>
  <r>
    <x v="2"/>
    <x v="7"/>
    <n v="11"/>
    <x v="4"/>
    <d v="2022-03-01T00:00:00"/>
    <n v="17904.5"/>
    <x v="34"/>
  </r>
  <r>
    <x v="2"/>
    <x v="7"/>
    <n v="11"/>
    <x v="4"/>
    <d v="2022-03-01T00:00:00"/>
    <n v="14939.7"/>
    <x v="35"/>
  </r>
  <r>
    <x v="2"/>
    <x v="7"/>
    <n v="11"/>
    <x v="4"/>
    <d v="2022-03-01T00:00:00"/>
    <n v="42549"/>
    <x v="36"/>
  </r>
  <r>
    <x v="2"/>
    <x v="7"/>
    <n v="11"/>
    <x v="4"/>
    <d v="2022-03-01T00:00:00"/>
    <n v="209992.6"/>
    <x v="12"/>
  </r>
  <r>
    <x v="2"/>
    <x v="7"/>
    <n v="12"/>
    <x v="5"/>
    <d v="2022-03-01T00:00:00"/>
    <n v="0"/>
    <x v="25"/>
  </r>
  <r>
    <x v="2"/>
    <x v="7"/>
    <n v="12"/>
    <x v="5"/>
    <d v="2022-03-01T00:00:00"/>
    <n v="0"/>
    <x v="26"/>
  </r>
  <r>
    <x v="2"/>
    <x v="7"/>
    <n v="12"/>
    <x v="5"/>
    <d v="2022-03-01T00:00:00"/>
    <n v="0"/>
    <x v="27"/>
  </r>
  <r>
    <x v="2"/>
    <x v="7"/>
    <n v="12"/>
    <x v="5"/>
    <d v="2022-03-01T00:00:00"/>
    <n v="0"/>
    <x v="28"/>
  </r>
  <r>
    <x v="2"/>
    <x v="7"/>
    <n v="12"/>
    <x v="5"/>
    <d v="2022-03-01T00:00:00"/>
    <n v="0"/>
    <x v="29"/>
  </r>
  <r>
    <x v="2"/>
    <x v="7"/>
    <n v="12"/>
    <x v="5"/>
    <d v="2022-03-01T00:00:00"/>
    <n v="0"/>
    <x v="30"/>
  </r>
  <r>
    <x v="2"/>
    <x v="7"/>
    <n v="12"/>
    <x v="5"/>
    <d v="2022-03-01T00:00:00"/>
    <n v="0"/>
    <x v="31"/>
  </r>
  <r>
    <x v="2"/>
    <x v="7"/>
    <n v="12"/>
    <x v="5"/>
    <d v="2022-03-01T00:00:00"/>
    <n v="0"/>
    <x v="32"/>
  </r>
  <r>
    <x v="2"/>
    <x v="7"/>
    <n v="12"/>
    <x v="5"/>
    <d v="2022-03-01T00:00:00"/>
    <n v="0"/>
    <x v="33"/>
  </r>
  <r>
    <x v="2"/>
    <x v="7"/>
    <n v="12"/>
    <x v="5"/>
    <d v="2022-03-01T00:00:00"/>
    <n v="0"/>
    <x v="34"/>
  </r>
  <r>
    <x v="2"/>
    <x v="7"/>
    <n v="12"/>
    <x v="5"/>
    <d v="2022-03-01T00:00:00"/>
    <n v="0"/>
    <x v="35"/>
  </r>
  <r>
    <x v="2"/>
    <x v="7"/>
    <n v="12"/>
    <x v="5"/>
    <d v="2022-03-01T00:00:00"/>
    <n v="0"/>
    <x v="36"/>
  </r>
  <r>
    <x v="2"/>
    <x v="7"/>
    <n v="12"/>
    <x v="5"/>
    <d v="2022-03-01T00:00:00"/>
    <n v="0"/>
    <x v="12"/>
  </r>
  <r>
    <x v="2"/>
    <x v="7"/>
    <n v="13"/>
    <x v="6"/>
    <d v="2022-03-01T00:00:00"/>
    <n v="0"/>
    <x v="25"/>
  </r>
  <r>
    <x v="2"/>
    <x v="7"/>
    <n v="13"/>
    <x v="6"/>
    <d v="2022-03-01T00:00:00"/>
    <n v="0"/>
    <x v="26"/>
  </r>
  <r>
    <x v="2"/>
    <x v="7"/>
    <n v="13"/>
    <x v="6"/>
    <d v="2022-03-01T00:00:00"/>
    <n v="0"/>
    <x v="27"/>
  </r>
  <r>
    <x v="2"/>
    <x v="7"/>
    <n v="13"/>
    <x v="6"/>
    <d v="2022-03-01T00:00:00"/>
    <n v="0"/>
    <x v="28"/>
  </r>
  <r>
    <x v="2"/>
    <x v="7"/>
    <n v="13"/>
    <x v="6"/>
    <d v="2022-03-01T00:00:00"/>
    <n v="0"/>
    <x v="29"/>
  </r>
  <r>
    <x v="2"/>
    <x v="7"/>
    <n v="13"/>
    <x v="6"/>
    <d v="2022-03-01T00:00:00"/>
    <n v="0"/>
    <x v="30"/>
  </r>
  <r>
    <x v="2"/>
    <x v="7"/>
    <n v="13"/>
    <x v="6"/>
    <d v="2022-03-01T00:00:00"/>
    <n v="0"/>
    <x v="31"/>
  </r>
  <r>
    <x v="2"/>
    <x v="7"/>
    <n v="13"/>
    <x v="6"/>
    <d v="2022-03-01T00:00:00"/>
    <n v="0"/>
    <x v="32"/>
  </r>
  <r>
    <x v="2"/>
    <x v="7"/>
    <n v="13"/>
    <x v="6"/>
    <d v="2022-03-01T00:00:00"/>
    <n v="0"/>
    <x v="33"/>
  </r>
  <r>
    <x v="2"/>
    <x v="7"/>
    <n v="13"/>
    <x v="6"/>
    <d v="2022-03-01T00:00:00"/>
    <n v="0"/>
    <x v="34"/>
  </r>
  <r>
    <x v="2"/>
    <x v="7"/>
    <n v="13"/>
    <x v="6"/>
    <d v="2022-03-01T00:00:00"/>
    <n v="0"/>
    <x v="35"/>
  </r>
  <r>
    <x v="2"/>
    <x v="7"/>
    <n v="13"/>
    <x v="6"/>
    <d v="2022-03-01T00:00:00"/>
    <n v="0"/>
    <x v="36"/>
  </r>
  <r>
    <x v="2"/>
    <x v="7"/>
    <n v="13"/>
    <x v="6"/>
    <d v="2022-03-01T00:00:00"/>
    <n v="0"/>
    <x v="12"/>
  </r>
  <r>
    <x v="2"/>
    <x v="7"/>
    <n v="14"/>
    <x v="7"/>
    <d v="2022-03-01T00:00:00"/>
    <n v="0"/>
    <x v="25"/>
  </r>
  <r>
    <x v="2"/>
    <x v="7"/>
    <n v="14"/>
    <x v="7"/>
    <d v="2022-03-01T00:00:00"/>
    <n v="0"/>
    <x v="26"/>
  </r>
  <r>
    <x v="2"/>
    <x v="7"/>
    <n v="14"/>
    <x v="7"/>
    <d v="2022-03-01T00:00:00"/>
    <n v="0"/>
    <x v="27"/>
  </r>
  <r>
    <x v="2"/>
    <x v="7"/>
    <n v="14"/>
    <x v="7"/>
    <d v="2022-03-01T00:00:00"/>
    <n v="0"/>
    <x v="28"/>
  </r>
  <r>
    <x v="2"/>
    <x v="7"/>
    <n v="14"/>
    <x v="7"/>
    <d v="2022-03-01T00:00:00"/>
    <n v="0"/>
    <x v="29"/>
  </r>
  <r>
    <x v="2"/>
    <x v="7"/>
    <n v="14"/>
    <x v="7"/>
    <d v="2022-03-01T00:00:00"/>
    <n v="0"/>
    <x v="30"/>
  </r>
  <r>
    <x v="2"/>
    <x v="7"/>
    <n v="14"/>
    <x v="7"/>
    <d v="2022-03-01T00:00:00"/>
    <n v="0"/>
    <x v="31"/>
  </r>
  <r>
    <x v="2"/>
    <x v="7"/>
    <n v="14"/>
    <x v="7"/>
    <d v="2022-03-01T00:00:00"/>
    <n v="0"/>
    <x v="32"/>
  </r>
  <r>
    <x v="2"/>
    <x v="7"/>
    <n v="14"/>
    <x v="7"/>
    <d v="2022-03-01T00:00:00"/>
    <n v="0"/>
    <x v="33"/>
  </r>
  <r>
    <x v="2"/>
    <x v="7"/>
    <n v="14"/>
    <x v="7"/>
    <d v="2022-03-01T00:00:00"/>
    <n v="0"/>
    <x v="34"/>
  </r>
  <r>
    <x v="2"/>
    <x v="7"/>
    <n v="14"/>
    <x v="7"/>
    <d v="2022-03-01T00:00:00"/>
    <n v="0"/>
    <x v="35"/>
  </r>
  <r>
    <x v="2"/>
    <x v="7"/>
    <n v="14"/>
    <x v="7"/>
    <d v="2022-03-01T00:00:00"/>
    <n v="0"/>
    <x v="36"/>
  </r>
  <r>
    <x v="2"/>
    <x v="7"/>
    <n v="14"/>
    <x v="7"/>
    <d v="2022-03-01T00:00:00"/>
    <n v="0"/>
    <x v="12"/>
  </r>
  <r>
    <x v="2"/>
    <x v="7"/>
    <n v="15"/>
    <x v="8"/>
    <d v="2022-03-01T00:00:00"/>
    <n v="0"/>
    <x v="25"/>
  </r>
  <r>
    <x v="2"/>
    <x v="7"/>
    <n v="15"/>
    <x v="8"/>
    <d v="2022-03-01T00:00:00"/>
    <n v="0"/>
    <x v="26"/>
  </r>
  <r>
    <x v="2"/>
    <x v="7"/>
    <n v="15"/>
    <x v="8"/>
    <d v="2022-03-01T00:00:00"/>
    <n v="0"/>
    <x v="27"/>
  </r>
  <r>
    <x v="2"/>
    <x v="7"/>
    <n v="15"/>
    <x v="8"/>
    <d v="2022-03-01T00:00:00"/>
    <n v="0"/>
    <x v="28"/>
  </r>
  <r>
    <x v="2"/>
    <x v="7"/>
    <n v="15"/>
    <x v="8"/>
    <d v="2022-03-01T00:00:00"/>
    <n v="0"/>
    <x v="29"/>
  </r>
  <r>
    <x v="2"/>
    <x v="7"/>
    <n v="15"/>
    <x v="8"/>
    <d v="2022-03-01T00:00:00"/>
    <n v="0"/>
    <x v="30"/>
  </r>
  <r>
    <x v="2"/>
    <x v="7"/>
    <n v="15"/>
    <x v="8"/>
    <d v="2022-03-01T00:00:00"/>
    <n v="0"/>
    <x v="31"/>
  </r>
  <r>
    <x v="2"/>
    <x v="7"/>
    <n v="15"/>
    <x v="8"/>
    <d v="2022-03-01T00:00:00"/>
    <n v="0"/>
    <x v="32"/>
  </r>
  <r>
    <x v="2"/>
    <x v="7"/>
    <n v="15"/>
    <x v="8"/>
    <d v="2022-03-01T00:00:00"/>
    <n v="0"/>
    <x v="33"/>
  </r>
  <r>
    <x v="2"/>
    <x v="7"/>
    <n v="15"/>
    <x v="8"/>
    <d v="2022-03-01T00:00:00"/>
    <n v="0"/>
    <x v="34"/>
  </r>
  <r>
    <x v="2"/>
    <x v="7"/>
    <n v="15"/>
    <x v="8"/>
    <d v="2022-03-01T00:00:00"/>
    <n v="0"/>
    <x v="35"/>
  </r>
  <r>
    <x v="2"/>
    <x v="7"/>
    <n v="15"/>
    <x v="8"/>
    <d v="2022-03-01T00:00:00"/>
    <n v="0"/>
    <x v="36"/>
  </r>
  <r>
    <x v="2"/>
    <x v="7"/>
    <n v="15"/>
    <x v="8"/>
    <d v="2022-03-01T00:00:00"/>
    <n v="0"/>
    <x v="12"/>
  </r>
  <r>
    <x v="2"/>
    <x v="8"/>
    <n v="7"/>
    <x v="0"/>
    <d v="2022-03-01T00:00:00"/>
    <n v="18121"/>
    <x v="25"/>
  </r>
  <r>
    <x v="2"/>
    <x v="8"/>
    <n v="7"/>
    <x v="0"/>
    <d v="2022-03-01T00:00:00"/>
    <n v="17015"/>
    <x v="26"/>
  </r>
  <r>
    <x v="2"/>
    <x v="8"/>
    <n v="7"/>
    <x v="0"/>
    <d v="2022-03-01T00:00:00"/>
    <n v="17677"/>
    <x v="27"/>
  </r>
  <r>
    <x v="2"/>
    <x v="8"/>
    <n v="7"/>
    <x v="0"/>
    <d v="2022-03-01T00:00:00"/>
    <n v="20600"/>
    <x v="28"/>
  </r>
  <r>
    <x v="2"/>
    <x v="8"/>
    <n v="7"/>
    <x v="0"/>
    <d v="2022-03-01T00:00:00"/>
    <n v="21134"/>
    <x v="29"/>
  </r>
  <r>
    <x v="2"/>
    <x v="8"/>
    <n v="7"/>
    <x v="0"/>
    <d v="2022-03-01T00:00:00"/>
    <n v="22180"/>
    <x v="30"/>
  </r>
  <r>
    <x v="2"/>
    <x v="8"/>
    <n v="7"/>
    <x v="0"/>
    <d v="2022-03-01T00:00:00"/>
    <n v="21651"/>
    <x v="31"/>
  </r>
  <r>
    <x v="2"/>
    <x v="8"/>
    <n v="7"/>
    <x v="0"/>
    <d v="2022-03-01T00:00:00"/>
    <n v="23994"/>
    <x v="32"/>
  </r>
  <r>
    <x v="2"/>
    <x v="8"/>
    <n v="7"/>
    <x v="0"/>
    <d v="2022-03-01T00:00:00"/>
    <n v="20893"/>
    <x v="33"/>
  </r>
  <r>
    <x v="2"/>
    <x v="8"/>
    <n v="7"/>
    <x v="0"/>
    <d v="2022-03-01T00:00:00"/>
    <n v="21986"/>
    <x v="34"/>
  </r>
  <r>
    <x v="2"/>
    <x v="8"/>
    <n v="7"/>
    <x v="0"/>
    <d v="2022-03-01T00:00:00"/>
    <n v="20989"/>
    <x v="35"/>
  </r>
  <r>
    <x v="2"/>
    <x v="8"/>
    <n v="7"/>
    <x v="0"/>
    <d v="2022-03-01T00:00:00"/>
    <n v="33663.24"/>
    <x v="36"/>
  </r>
  <r>
    <x v="2"/>
    <x v="8"/>
    <n v="7"/>
    <x v="0"/>
    <d v="2022-03-01T00:00:00"/>
    <n v="259903.24"/>
    <x v="12"/>
  </r>
  <r>
    <x v="2"/>
    <x v="8"/>
    <n v="8"/>
    <x v="1"/>
    <d v="2022-03-01T00:00:00"/>
    <n v="0"/>
    <x v="25"/>
  </r>
  <r>
    <x v="2"/>
    <x v="8"/>
    <n v="8"/>
    <x v="1"/>
    <d v="2022-03-01T00:00:00"/>
    <n v="0"/>
    <x v="26"/>
  </r>
  <r>
    <x v="2"/>
    <x v="8"/>
    <n v="8"/>
    <x v="1"/>
    <d v="2022-03-01T00:00:00"/>
    <n v="0"/>
    <x v="27"/>
  </r>
  <r>
    <x v="2"/>
    <x v="8"/>
    <n v="8"/>
    <x v="1"/>
    <d v="2022-03-01T00:00:00"/>
    <n v="0"/>
    <x v="28"/>
  </r>
  <r>
    <x v="2"/>
    <x v="8"/>
    <n v="8"/>
    <x v="1"/>
    <d v="2022-03-01T00:00:00"/>
    <n v="0"/>
    <x v="29"/>
  </r>
  <r>
    <x v="2"/>
    <x v="8"/>
    <n v="8"/>
    <x v="1"/>
    <d v="2022-03-01T00:00:00"/>
    <n v="0"/>
    <x v="30"/>
  </r>
  <r>
    <x v="2"/>
    <x v="8"/>
    <n v="8"/>
    <x v="1"/>
    <d v="2022-03-01T00:00:00"/>
    <n v="0"/>
    <x v="31"/>
  </r>
  <r>
    <x v="2"/>
    <x v="8"/>
    <n v="8"/>
    <x v="1"/>
    <d v="2022-03-01T00:00:00"/>
    <n v="0"/>
    <x v="32"/>
  </r>
  <r>
    <x v="2"/>
    <x v="8"/>
    <n v="8"/>
    <x v="1"/>
    <d v="2022-03-01T00:00:00"/>
    <n v="0"/>
    <x v="33"/>
  </r>
  <r>
    <x v="2"/>
    <x v="8"/>
    <n v="8"/>
    <x v="1"/>
    <d v="2022-03-01T00:00:00"/>
    <n v="0"/>
    <x v="34"/>
  </r>
  <r>
    <x v="2"/>
    <x v="8"/>
    <n v="8"/>
    <x v="1"/>
    <d v="2022-03-01T00:00:00"/>
    <n v="0"/>
    <x v="35"/>
  </r>
  <r>
    <x v="2"/>
    <x v="8"/>
    <n v="8"/>
    <x v="1"/>
    <d v="2022-03-01T00:00:00"/>
    <n v="0"/>
    <x v="36"/>
  </r>
  <r>
    <x v="2"/>
    <x v="8"/>
    <n v="8"/>
    <x v="1"/>
    <d v="2022-03-01T00:00:00"/>
    <n v="0"/>
    <x v="12"/>
  </r>
  <r>
    <x v="2"/>
    <x v="8"/>
    <n v="9"/>
    <x v="2"/>
    <d v="2022-03-01T00:00:00"/>
    <n v="0"/>
    <x v="25"/>
  </r>
  <r>
    <x v="2"/>
    <x v="8"/>
    <n v="9"/>
    <x v="2"/>
    <d v="2022-03-01T00:00:00"/>
    <n v="0"/>
    <x v="26"/>
  </r>
  <r>
    <x v="2"/>
    <x v="8"/>
    <n v="9"/>
    <x v="2"/>
    <d v="2022-03-01T00:00:00"/>
    <n v="0"/>
    <x v="27"/>
  </r>
  <r>
    <x v="2"/>
    <x v="8"/>
    <n v="9"/>
    <x v="2"/>
    <d v="2022-03-01T00:00:00"/>
    <n v="0"/>
    <x v="28"/>
  </r>
  <r>
    <x v="2"/>
    <x v="8"/>
    <n v="9"/>
    <x v="2"/>
    <d v="2022-03-01T00:00:00"/>
    <n v="0"/>
    <x v="29"/>
  </r>
  <r>
    <x v="2"/>
    <x v="8"/>
    <n v="9"/>
    <x v="2"/>
    <d v="2022-03-01T00:00:00"/>
    <n v="0"/>
    <x v="30"/>
  </r>
  <r>
    <x v="2"/>
    <x v="8"/>
    <n v="9"/>
    <x v="2"/>
    <d v="2022-03-01T00:00:00"/>
    <n v="0"/>
    <x v="31"/>
  </r>
  <r>
    <x v="2"/>
    <x v="8"/>
    <n v="9"/>
    <x v="2"/>
    <d v="2022-03-01T00:00:00"/>
    <n v="0"/>
    <x v="32"/>
  </r>
  <r>
    <x v="2"/>
    <x v="8"/>
    <n v="9"/>
    <x v="2"/>
    <d v="2022-03-01T00:00:00"/>
    <n v="0"/>
    <x v="33"/>
  </r>
  <r>
    <x v="2"/>
    <x v="8"/>
    <n v="9"/>
    <x v="2"/>
    <d v="2022-03-01T00:00:00"/>
    <n v="0"/>
    <x v="34"/>
  </r>
  <r>
    <x v="2"/>
    <x v="8"/>
    <n v="9"/>
    <x v="2"/>
    <d v="2022-03-01T00:00:00"/>
    <n v="0"/>
    <x v="35"/>
  </r>
  <r>
    <x v="2"/>
    <x v="8"/>
    <n v="9"/>
    <x v="2"/>
    <d v="2022-03-01T00:00:00"/>
    <n v="0"/>
    <x v="36"/>
  </r>
  <r>
    <x v="2"/>
    <x v="8"/>
    <n v="9"/>
    <x v="2"/>
    <d v="2022-03-01T00:00:00"/>
    <n v="0"/>
    <x v="12"/>
  </r>
  <r>
    <x v="2"/>
    <x v="8"/>
    <n v="10"/>
    <x v="3"/>
    <d v="2022-03-01T00:00:00"/>
    <n v="9364"/>
    <x v="25"/>
  </r>
  <r>
    <x v="2"/>
    <x v="8"/>
    <n v="10"/>
    <x v="3"/>
    <d v="2022-03-01T00:00:00"/>
    <n v="9274"/>
    <x v="26"/>
  </r>
  <r>
    <x v="2"/>
    <x v="8"/>
    <n v="10"/>
    <x v="3"/>
    <d v="2022-03-01T00:00:00"/>
    <n v="9808"/>
    <x v="27"/>
  </r>
  <r>
    <x v="2"/>
    <x v="8"/>
    <n v="10"/>
    <x v="3"/>
    <d v="2022-03-01T00:00:00"/>
    <n v="9714"/>
    <x v="28"/>
  </r>
  <r>
    <x v="2"/>
    <x v="8"/>
    <n v="10"/>
    <x v="3"/>
    <d v="2022-03-01T00:00:00"/>
    <n v="9563"/>
    <x v="29"/>
  </r>
  <r>
    <x v="2"/>
    <x v="8"/>
    <n v="10"/>
    <x v="3"/>
    <d v="2022-03-01T00:00:00"/>
    <n v="10719"/>
    <x v="30"/>
  </r>
  <r>
    <x v="2"/>
    <x v="8"/>
    <n v="10"/>
    <x v="3"/>
    <d v="2022-03-01T00:00:00"/>
    <n v="9928"/>
    <x v="31"/>
  </r>
  <r>
    <x v="2"/>
    <x v="8"/>
    <n v="10"/>
    <x v="3"/>
    <d v="2022-03-01T00:00:00"/>
    <n v="10274"/>
    <x v="32"/>
  </r>
  <r>
    <x v="2"/>
    <x v="8"/>
    <n v="10"/>
    <x v="3"/>
    <d v="2022-03-01T00:00:00"/>
    <n v="10442"/>
    <x v="33"/>
  </r>
  <r>
    <x v="2"/>
    <x v="8"/>
    <n v="10"/>
    <x v="3"/>
    <d v="2022-03-01T00:00:00"/>
    <n v="10407"/>
    <x v="34"/>
  </r>
  <r>
    <x v="2"/>
    <x v="8"/>
    <n v="10"/>
    <x v="3"/>
    <d v="2022-03-01T00:00:00"/>
    <n v="9616"/>
    <x v="35"/>
  </r>
  <r>
    <x v="2"/>
    <x v="8"/>
    <n v="10"/>
    <x v="3"/>
    <d v="2022-03-01T00:00:00"/>
    <n v="12552"/>
    <x v="36"/>
  </r>
  <r>
    <x v="2"/>
    <x v="8"/>
    <n v="10"/>
    <x v="3"/>
    <d v="2022-03-01T00:00:00"/>
    <n v="121661"/>
    <x v="12"/>
  </r>
  <r>
    <x v="2"/>
    <x v="8"/>
    <n v="11"/>
    <x v="4"/>
    <d v="2022-03-01T00:00:00"/>
    <n v="8453"/>
    <x v="25"/>
  </r>
  <r>
    <x v="2"/>
    <x v="8"/>
    <n v="11"/>
    <x v="4"/>
    <d v="2022-03-01T00:00:00"/>
    <n v="7429"/>
    <x v="26"/>
  </r>
  <r>
    <x v="2"/>
    <x v="8"/>
    <n v="11"/>
    <x v="4"/>
    <d v="2022-03-01T00:00:00"/>
    <n v="7604"/>
    <x v="27"/>
  </r>
  <r>
    <x v="2"/>
    <x v="8"/>
    <n v="11"/>
    <x v="4"/>
    <d v="2022-03-01T00:00:00"/>
    <n v="10564"/>
    <x v="28"/>
  </r>
  <r>
    <x v="2"/>
    <x v="8"/>
    <n v="11"/>
    <x v="4"/>
    <d v="2022-03-01T00:00:00"/>
    <n v="10885.62"/>
    <x v="29"/>
  </r>
  <r>
    <x v="2"/>
    <x v="8"/>
    <n v="11"/>
    <x v="4"/>
    <d v="2022-03-01T00:00:00"/>
    <n v="11077.34"/>
    <x v="30"/>
  </r>
  <r>
    <x v="2"/>
    <x v="8"/>
    <n v="11"/>
    <x v="4"/>
    <d v="2022-03-01T00:00:00"/>
    <n v="11422.34"/>
    <x v="31"/>
  </r>
  <r>
    <x v="2"/>
    <x v="8"/>
    <n v="11"/>
    <x v="4"/>
    <d v="2022-03-01T00:00:00"/>
    <n v="13354.34"/>
    <x v="32"/>
  </r>
  <r>
    <x v="2"/>
    <x v="8"/>
    <n v="11"/>
    <x v="4"/>
    <d v="2022-03-01T00:00:00"/>
    <n v="10081.34"/>
    <x v="33"/>
  </r>
  <r>
    <x v="2"/>
    <x v="8"/>
    <n v="11"/>
    <x v="4"/>
    <d v="2022-03-01T00:00:00"/>
    <n v="11193.34"/>
    <x v="34"/>
  </r>
  <r>
    <x v="2"/>
    <x v="8"/>
    <n v="11"/>
    <x v="4"/>
    <d v="2022-03-01T00:00:00"/>
    <n v="11028.34"/>
    <x v="35"/>
  </r>
  <r>
    <x v="2"/>
    <x v="8"/>
    <n v="11"/>
    <x v="4"/>
    <d v="2022-03-01T00:00:00"/>
    <n v="20777.34"/>
    <x v="36"/>
  </r>
  <r>
    <x v="2"/>
    <x v="8"/>
    <n v="11"/>
    <x v="4"/>
    <d v="2022-03-01T00:00:00"/>
    <n v="133870"/>
    <x v="12"/>
  </r>
  <r>
    <x v="2"/>
    <x v="8"/>
    <n v="12"/>
    <x v="5"/>
    <d v="2022-03-01T00:00:00"/>
    <n v="0"/>
    <x v="25"/>
  </r>
  <r>
    <x v="2"/>
    <x v="8"/>
    <n v="12"/>
    <x v="5"/>
    <d v="2022-03-01T00:00:00"/>
    <n v="0"/>
    <x v="26"/>
  </r>
  <r>
    <x v="2"/>
    <x v="8"/>
    <n v="12"/>
    <x v="5"/>
    <d v="2022-03-01T00:00:00"/>
    <n v="0"/>
    <x v="27"/>
  </r>
  <r>
    <x v="2"/>
    <x v="8"/>
    <n v="12"/>
    <x v="5"/>
    <d v="2022-03-01T00:00:00"/>
    <n v="0"/>
    <x v="28"/>
  </r>
  <r>
    <x v="2"/>
    <x v="8"/>
    <n v="12"/>
    <x v="5"/>
    <d v="2022-03-01T00:00:00"/>
    <n v="0"/>
    <x v="29"/>
  </r>
  <r>
    <x v="2"/>
    <x v="8"/>
    <n v="12"/>
    <x v="5"/>
    <d v="2022-03-01T00:00:00"/>
    <n v="0"/>
    <x v="30"/>
  </r>
  <r>
    <x v="2"/>
    <x v="8"/>
    <n v="12"/>
    <x v="5"/>
    <d v="2022-03-01T00:00:00"/>
    <n v="0"/>
    <x v="31"/>
  </r>
  <r>
    <x v="2"/>
    <x v="8"/>
    <n v="12"/>
    <x v="5"/>
    <d v="2022-03-01T00:00:00"/>
    <n v="0"/>
    <x v="32"/>
  </r>
  <r>
    <x v="2"/>
    <x v="8"/>
    <n v="12"/>
    <x v="5"/>
    <d v="2022-03-01T00:00:00"/>
    <n v="0"/>
    <x v="33"/>
  </r>
  <r>
    <x v="2"/>
    <x v="8"/>
    <n v="12"/>
    <x v="5"/>
    <d v="2022-03-01T00:00:00"/>
    <n v="0"/>
    <x v="34"/>
  </r>
  <r>
    <x v="2"/>
    <x v="8"/>
    <n v="12"/>
    <x v="5"/>
    <d v="2022-03-01T00:00:00"/>
    <n v="0"/>
    <x v="35"/>
  </r>
  <r>
    <x v="2"/>
    <x v="8"/>
    <n v="12"/>
    <x v="5"/>
    <d v="2022-03-01T00:00:00"/>
    <n v="0"/>
    <x v="36"/>
  </r>
  <r>
    <x v="2"/>
    <x v="8"/>
    <n v="12"/>
    <x v="5"/>
    <d v="2022-03-01T00:00:00"/>
    <n v="0"/>
    <x v="12"/>
  </r>
  <r>
    <x v="2"/>
    <x v="8"/>
    <n v="13"/>
    <x v="6"/>
    <d v="2022-03-01T00:00:00"/>
    <n v="0"/>
    <x v="25"/>
  </r>
  <r>
    <x v="2"/>
    <x v="8"/>
    <n v="13"/>
    <x v="6"/>
    <d v="2022-03-01T00:00:00"/>
    <n v="0"/>
    <x v="26"/>
  </r>
  <r>
    <x v="2"/>
    <x v="8"/>
    <n v="13"/>
    <x v="6"/>
    <d v="2022-03-01T00:00:00"/>
    <n v="0"/>
    <x v="27"/>
  </r>
  <r>
    <x v="2"/>
    <x v="8"/>
    <n v="13"/>
    <x v="6"/>
    <d v="2022-03-01T00:00:00"/>
    <n v="0"/>
    <x v="28"/>
  </r>
  <r>
    <x v="2"/>
    <x v="8"/>
    <n v="13"/>
    <x v="6"/>
    <d v="2022-03-01T00:00:00"/>
    <n v="0"/>
    <x v="29"/>
  </r>
  <r>
    <x v="2"/>
    <x v="8"/>
    <n v="13"/>
    <x v="6"/>
    <d v="2022-03-01T00:00:00"/>
    <n v="0"/>
    <x v="30"/>
  </r>
  <r>
    <x v="2"/>
    <x v="8"/>
    <n v="13"/>
    <x v="6"/>
    <d v="2022-03-01T00:00:00"/>
    <n v="0"/>
    <x v="31"/>
  </r>
  <r>
    <x v="2"/>
    <x v="8"/>
    <n v="13"/>
    <x v="6"/>
    <d v="2022-03-01T00:00:00"/>
    <n v="0"/>
    <x v="32"/>
  </r>
  <r>
    <x v="2"/>
    <x v="8"/>
    <n v="13"/>
    <x v="6"/>
    <d v="2022-03-01T00:00:00"/>
    <n v="0"/>
    <x v="33"/>
  </r>
  <r>
    <x v="2"/>
    <x v="8"/>
    <n v="13"/>
    <x v="6"/>
    <d v="2022-03-01T00:00:00"/>
    <n v="0"/>
    <x v="34"/>
  </r>
  <r>
    <x v="2"/>
    <x v="8"/>
    <n v="13"/>
    <x v="6"/>
    <d v="2022-03-01T00:00:00"/>
    <n v="0"/>
    <x v="35"/>
  </r>
  <r>
    <x v="2"/>
    <x v="8"/>
    <n v="13"/>
    <x v="6"/>
    <d v="2022-03-01T00:00:00"/>
    <n v="0"/>
    <x v="36"/>
  </r>
  <r>
    <x v="2"/>
    <x v="8"/>
    <n v="13"/>
    <x v="6"/>
    <d v="2022-03-01T00:00:00"/>
    <n v="0"/>
    <x v="12"/>
  </r>
  <r>
    <x v="2"/>
    <x v="8"/>
    <n v="14"/>
    <x v="7"/>
    <d v="2022-03-01T00:00:00"/>
    <n v="0"/>
    <x v="25"/>
  </r>
  <r>
    <x v="2"/>
    <x v="8"/>
    <n v="14"/>
    <x v="7"/>
    <d v="2022-03-01T00:00:00"/>
    <n v="0"/>
    <x v="26"/>
  </r>
  <r>
    <x v="2"/>
    <x v="8"/>
    <n v="14"/>
    <x v="7"/>
    <d v="2022-03-01T00:00:00"/>
    <n v="0"/>
    <x v="27"/>
  </r>
  <r>
    <x v="2"/>
    <x v="8"/>
    <n v="14"/>
    <x v="7"/>
    <d v="2022-03-01T00:00:00"/>
    <n v="0"/>
    <x v="28"/>
  </r>
  <r>
    <x v="2"/>
    <x v="8"/>
    <n v="14"/>
    <x v="7"/>
    <d v="2022-03-01T00:00:00"/>
    <n v="0"/>
    <x v="29"/>
  </r>
  <r>
    <x v="2"/>
    <x v="8"/>
    <n v="14"/>
    <x v="7"/>
    <d v="2022-03-01T00:00:00"/>
    <n v="0"/>
    <x v="30"/>
  </r>
  <r>
    <x v="2"/>
    <x v="8"/>
    <n v="14"/>
    <x v="7"/>
    <d v="2022-03-01T00:00:00"/>
    <n v="0"/>
    <x v="31"/>
  </r>
  <r>
    <x v="2"/>
    <x v="8"/>
    <n v="14"/>
    <x v="7"/>
    <d v="2022-03-01T00:00:00"/>
    <n v="0"/>
    <x v="32"/>
  </r>
  <r>
    <x v="2"/>
    <x v="8"/>
    <n v="14"/>
    <x v="7"/>
    <d v="2022-03-01T00:00:00"/>
    <n v="0"/>
    <x v="33"/>
  </r>
  <r>
    <x v="2"/>
    <x v="8"/>
    <n v="14"/>
    <x v="7"/>
    <d v="2022-03-01T00:00:00"/>
    <n v="0"/>
    <x v="34"/>
  </r>
  <r>
    <x v="2"/>
    <x v="8"/>
    <n v="14"/>
    <x v="7"/>
    <d v="2022-03-01T00:00:00"/>
    <n v="0"/>
    <x v="35"/>
  </r>
  <r>
    <x v="2"/>
    <x v="8"/>
    <n v="14"/>
    <x v="7"/>
    <d v="2022-03-01T00:00:00"/>
    <n v="0"/>
    <x v="36"/>
  </r>
  <r>
    <x v="2"/>
    <x v="8"/>
    <n v="14"/>
    <x v="7"/>
    <d v="2022-03-01T00:00:00"/>
    <n v="0"/>
    <x v="12"/>
  </r>
  <r>
    <x v="2"/>
    <x v="8"/>
    <n v="15"/>
    <x v="8"/>
    <d v="2022-03-01T00:00:00"/>
    <n v="0"/>
    <x v="25"/>
  </r>
  <r>
    <x v="2"/>
    <x v="8"/>
    <n v="15"/>
    <x v="8"/>
    <d v="2022-03-01T00:00:00"/>
    <n v="0"/>
    <x v="26"/>
  </r>
  <r>
    <x v="2"/>
    <x v="8"/>
    <n v="15"/>
    <x v="8"/>
    <d v="2022-03-01T00:00:00"/>
    <n v="0"/>
    <x v="27"/>
  </r>
  <r>
    <x v="2"/>
    <x v="8"/>
    <n v="15"/>
    <x v="8"/>
    <d v="2022-03-01T00:00:00"/>
    <n v="0"/>
    <x v="28"/>
  </r>
  <r>
    <x v="2"/>
    <x v="8"/>
    <n v="15"/>
    <x v="8"/>
    <d v="2022-03-01T00:00:00"/>
    <n v="0"/>
    <x v="29"/>
  </r>
  <r>
    <x v="2"/>
    <x v="8"/>
    <n v="15"/>
    <x v="8"/>
    <d v="2022-03-01T00:00:00"/>
    <n v="0"/>
    <x v="30"/>
  </r>
  <r>
    <x v="2"/>
    <x v="8"/>
    <n v="15"/>
    <x v="8"/>
    <d v="2022-03-01T00:00:00"/>
    <n v="0"/>
    <x v="31"/>
  </r>
  <r>
    <x v="2"/>
    <x v="8"/>
    <n v="15"/>
    <x v="8"/>
    <d v="2022-03-01T00:00:00"/>
    <n v="0"/>
    <x v="32"/>
  </r>
  <r>
    <x v="2"/>
    <x v="8"/>
    <n v="15"/>
    <x v="8"/>
    <d v="2022-03-01T00:00:00"/>
    <n v="0"/>
    <x v="33"/>
  </r>
  <r>
    <x v="2"/>
    <x v="8"/>
    <n v="15"/>
    <x v="8"/>
    <d v="2022-03-01T00:00:00"/>
    <n v="0"/>
    <x v="34"/>
  </r>
  <r>
    <x v="2"/>
    <x v="8"/>
    <n v="15"/>
    <x v="8"/>
    <d v="2022-03-01T00:00:00"/>
    <n v="0"/>
    <x v="35"/>
  </r>
  <r>
    <x v="2"/>
    <x v="8"/>
    <n v="15"/>
    <x v="8"/>
    <d v="2022-03-01T00:00:00"/>
    <n v="0"/>
    <x v="36"/>
  </r>
  <r>
    <x v="2"/>
    <x v="8"/>
    <n v="15"/>
    <x v="8"/>
    <d v="2022-03-01T00:00:00"/>
    <n v="0"/>
    <x v="12"/>
  </r>
  <r>
    <x v="2"/>
    <x v="9"/>
    <n v="7"/>
    <x v="0"/>
    <d v="2022-03-01T00:00:00"/>
    <n v="30437.66"/>
    <x v="25"/>
  </r>
  <r>
    <x v="2"/>
    <x v="9"/>
    <n v="7"/>
    <x v="0"/>
    <d v="2022-03-01T00:00:00"/>
    <n v="30171.17"/>
    <x v="26"/>
  </r>
  <r>
    <x v="2"/>
    <x v="9"/>
    <n v="7"/>
    <x v="0"/>
    <d v="2022-03-01T00:00:00"/>
    <n v="31082.53"/>
    <x v="27"/>
  </r>
  <r>
    <x v="2"/>
    <x v="9"/>
    <n v="7"/>
    <x v="0"/>
    <d v="2022-03-01T00:00:00"/>
    <n v="31672.5"/>
    <x v="28"/>
  </r>
  <r>
    <x v="2"/>
    <x v="9"/>
    <n v="7"/>
    <x v="0"/>
    <d v="2022-03-01T00:00:00"/>
    <n v="30595.45"/>
    <x v="29"/>
  </r>
  <r>
    <x v="2"/>
    <x v="9"/>
    <n v="7"/>
    <x v="0"/>
    <d v="2022-03-01T00:00:00"/>
    <n v="31543.23"/>
    <x v="30"/>
  </r>
  <r>
    <x v="2"/>
    <x v="9"/>
    <n v="7"/>
    <x v="0"/>
    <d v="2022-03-01T00:00:00"/>
    <n v="31613.93"/>
    <x v="31"/>
  </r>
  <r>
    <x v="2"/>
    <x v="9"/>
    <n v="7"/>
    <x v="0"/>
    <d v="2022-03-01T00:00:00"/>
    <n v="31271.26"/>
    <x v="32"/>
  </r>
  <r>
    <x v="2"/>
    <x v="9"/>
    <n v="7"/>
    <x v="0"/>
    <d v="2022-03-01T00:00:00"/>
    <n v="32561.41"/>
    <x v="33"/>
  </r>
  <r>
    <x v="2"/>
    <x v="9"/>
    <n v="7"/>
    <x v="0"/>
    <d v="2022-03-01T00:00:00"/>
    <n v="32779.040000000001"/>
    <x v="34"/>
  </r>
  <r>
    <x v="2"/>
    <x v="9"/>
    <n v="7"/>
    <x v="0"/>
    <d v="2022-03-01T00:00:00"/>
    <n v="31981.49"/>
    <x v="35"/>
  </r>
  <r>
    <x v="2"/>
    <x v="9"/>
    <n v="7"/>
    <x v="0"/>
    <d v="2022-03-01T00:00:00"/>
    <n v="47839.43"/>
    <x v="36"/>
  </r>
  <r>
    <x v="2"/>
    <x v="9"/>
    <n v="7"/>
    <x v="0"/>
    <d v="2022-03-01T00:00:00"/>
    <n v="393549.1"/>
    <x v="12"/>
  </r>
  <r>
    <x v="2"/>
    <x v="9"/>
    <n v="8"/>
    <x v="1"/>
    <d v="2022-03-01T00:00:00"/>
    <n v="3368.4"/>
    <x v="25"/>
  </r>
  <r>
    <x v="2"/>
    <x v="9"/>
    <n v="8"/>
    <x v="1"/>
    <d v="2022-03-01T00:00:00"/>
    <n v="3137.66"/>
    <x v="26"/>
  </r>
  <r>
    <x v="2"/>
    <x v="9"/>
    <n v="8"/>
    <x v="1"/>
    <d v="2022-03-01T00:00:00"/>
    <n v="3519.87"/>
    <x v="27"/>
  </r>
  <r>
    <x v="2"/>
    <x v="9"/>
    <n v="8"/>
    <x v="1"/>
    <d v="2022-03-01T00:00:00"/>
    <n v="4073.73"/>
    <x v="28"/>
  </r>
  <r>
    <x v="2"/>
    <x v="9"/>
    <n v="8"/>
    <x v="1"/>
    <d v="2022-03-01T00:00:00"/>
    <n v="3430.81"/>
    <x v="29"/>
  </r>
  <r>
    <x v="2"/>
    <x v="9"/>
    <n v="8"/>
    <x v="1"/>
    <d v="2022-03-01T00:00:00"/>
    <n v="3400.27"/>
    <x v="30"/>
  </r>
  <r>
    <x v="2"/>
    <x v="9"/>
    <n v="8"/>
    <x v="1"/>
    <d v="2022-03-01T00:00:00"/>
    <n v="3387.38"/>
    <x v="31"/>
  </r>
  <r>
    <x v="2"/>
    <x v="9"/>
    <n v="8"/>
    <x v="1"/>
    <d v="2022-03-01T00:00:00"/>
    <n v="3046"/>
    <x v="32"/>
  </r>
  <r>
    <x v="2"/>
    <x v="9"/>
    <n v="8"/>
    <x v="1"/>
    <d v="2022-03-01T00:00:00"/>
    <n v="3878.89"/>
    <x v="33"/>
  </r>
  <r>
    <x v="2"/>
    <x v="9"/>
    <n v="8"/>
    <x v="1"/>
    <d v="2022-03-01T00:00:00"/>
    <n v="3400.79"/>
    <x v="34"/>
  </r>
  <r>
    <x v="2"/>
    <x v="9"/>
    <n v="8"/>
    <x v="1"/>
    <d v="2022-03-01T00:00:00"/>
    <n v="3122.65"/>
    <x v="35"/>
  </r>
  <r>
    <x v="2"/>
    <x v="9"/>
    <n v="8"/>
    <x v="1"/>
    <d v="2022-03-01T00:00:00"/>
    <n v="5496.65"/>
    <x v="36"/>
  </r>
  <r>
    <x v="2"/>
    <x v="9"/>
    <n v="8"/>
    <x v="1"/>
    <d v="2022-03-01T00:00:00"/>
    <n v="43263.1"/>
    <x v="12"/>
  </r>
  <r>
    <x v="2"/>
    <x v="9"/>
    <n v="9"/>
    <x v="2"/>
    <d v="2022-03-01T00:00:00"/>
    <n v="2615.54"/>
    <x v="25"/>
  </r>
  <r>
    <x v="2"/>
    <x v="9"/>
    <n v="9"/>
    <x v="2"/>
    <d v="2022-03-01T00:00:00"/>
    <n v="2615.54"/>
    <x v="26"/>
  </r>
  <r>
    <x v="2"/>
    <x v="9"/>
    <n v="9"/>
    <x v="2"/>
    <d v="2022-03-01T00:00:00"/>
    <n v="2615.54"/>
    <x v="27"/>
  </r>
  <r>
    <x v="2"/>
    <x v="9"/>
    <n v="9"/>
    <x v="2"/>
    <d v="2022-03-01T00:00:00"/>
    <n v="2680.67"/>
    <x v="28"/>
  </r>
  <r>
    <x v="2"/>
    <x v="9"/>
    <n v="9"/>
    <x v="2"/>
    <d v="2022-03-01T00:00:00"/>
    <n v="2552.23"/>
    <x v="29"/>
  </r>
  <r>
    <x v="2"/>
    <x v="9"/>
    <n v="9"/>
    <x v="2"/>
    <d v="2022-03-01T00:00:00"/>
    <n v="2585.25"/>
    <x v="30"/>
  </r>
  <r>
    <x v="2"/>
    <x v="9"/>
    <n v="9"/>
    <x v="2"/>
    <d v="2022-03-01T00:00:00"/>
    <n v="2450.58"/>
    <x v="31"/>
  </r>
  <r>
    <x v="2"/>
    <x v="9"/>
    <n v="9"/>
    <x v="2"/>
    <d v="2022-03-01T00:00:00"/>
    <n v="2467.88"/>
    <x v="32"/>
  </r>
  <r>
    <x v="2"/>
    <x v="9"/>
    <n v="9"/>
    <x v="2"/>
    <d v="2022-03-01T00:00:00"/>
    <n v="2457.83"/>
    <x v="33"/>
  </r>
  <r>
    <x v="2"/>
    <x v="9"/>
    <n v="9"/>
    <x v="2"/>
    <d v="2022-03-01T00:00:00"/>
    <n v="2486.34"/>
    <x v="34"/>
  </r>
  <r>
    <x v="2"/>
    <x v="9"/>
    <n v="9"/>
    <x v="2"/>
    <d v="2022-03-01T00:00:00"/>
    <n v="2446.81"/>
    <x v="35"/>
  </r>
  <r>
    <x v="2"/>
    <x v="9"/>
    <n v="9"/>
    <x v="2"/>
    <d v="2022-03-01T00:00:00"/>
    <n v="2728.31"/>
    <x v="36"/>
  </r>
  <r>
    <x v="2"/>
    <x v="9"/>
    <n v="9"/>
    <x v="2"/>
    <d v="2022-03-01T00:00:00"/>
    <n v="30702.52"/>
    <x v="12"/>
  </r>
  <r>
    <x v="2"/>
    <x v="9"/>
    <n v="10"/>
    <x v="3"/>
    <d v="2022-03-01T00:00:00"/>
    <n v="7319.36"/>
    <x v="25"/>
  </r>
  <r>
    <x v="2"/>
    <x v="9"/>
    <n v="10"/>
    <x v="3"/>
    <d v="2022-03-01T00:00:00"/>
    <n v="7524.65"/>
    <x v="26"/>
  </r>
  <r>
    <x v="2"/>
    <x v="9"/>
    <n v="10"/>
    <x v="3"/>
    <d v="2022-03-01T00:00:00"/>
    <n v="7336.83"/>
    <x v="27"/>
  </r>
  <r>
    <x v="2"/>
    <x v="9"/>
    <n v="10"/>
    <x v="3"/>
    <d v="2022-03-01T00:00:00"/>
    <n v="7351.96"/>
    <x v="28"/>
  </r>
  <r>
    <x v="2"/>
    <x v="9"/>
    <n v="10"/>
    <x v="3"/>
    <d v="2022-03-01T00:00:00"/>
    <n v="7350.61"/>
    <x v="29"/>
  </r>
  <r>
    <x v="2"/>
    <x v="9"/>
    <n v="10"/>
    <x v="3"/>
    <d v="2022-03-01T00:00:00"/>
    <n v="8124.12"/>
    <x v="30"/>
  </r>
  <r>
    <x v="2"/>
    <x v="9"/>
    <n v="10"/>
    <x v="3"/>
    <d v="2022-03-01T00:00:00"/>
    <n v="7339.36"/>
    <x v="31"/>
  </r>
  <r>
    <x v="2"/>
    <x v="9"/>
    <n v="10"/>
    <x v="3"/>
    <d v="2022-03-01T00:00:00"/>
    <n v="7627.34"/>
    <x v="32"/>
  </r>
  <r>
    <x v="2"/>
    <x v="9"/>
    <n v="10"/>
    <x v="3"/>
    <d v="2022-03-01T00:00:00"/>
    <n v="7539.06"/>
    <x v="33"/>
  </r>
  <r>
    <x v="2"/>
    <x v="9"/>
    <n v="10"/>
    <x v="3"/>
    <d v="2022-03-01T00:00:00"/>
    <n v="7818.71"/>
    <x v="34"/>
  </r>
  <r>
    <x v="2"/>
    <x v="9"/>
    <n v="10"/>
    <x v="3"/>
    <d v="2022-03-01T00:00:00"/>
    <n v="7600.35"/>
    <x v="35"/>
  </r>
  <r>
    <x v="2"/>
    <x v="9"/>
    <n v="10"/>
    <x v="3"/>
    <d v="2022-03-01T00:00:00"/>
    <n v="13137.16"/>
    <x v="36"/>
  </r>
  <r>
    <x v="2"/>
    <x v="9"/>
    <n v="10"/>
    <x v="3"/>
    <d v="2022-03-01T00:00:00"/>
    <n v="96069.51"/>
    <x v="12"/>
  </r>
  <r>
    <x v="2"/>
    <x v="9"/>
    <n v="11"/>
    <x v="4"/>
    <d v="2022-03-01T00:00:00"/>
    <n v="1767.62"/>
    <x v="25"/>
  </r>
  <r>
    <x v="2"/>
    <x v="9"/>
    <n v="11"/>
    <x v="4"/>
    <d v="2022-03-01T00:00:00"/>
    <n v="1486.94"/>
    <x v="26"/>
  </r>
  <r>
    <x v="2"/>
    <x v="9"/>
    <n v="11"/>
    <x v="4"/>
    <d v="2022-03-01T00:00:00"/>
    <n v="1854.3"/>
    <x v="27"/>
  </r>
  <r>
    <x v="2"/>
    <x v="9"/>
    <n v="11"/>
    <x v="4"/>
    <d v="2022-03-01T00:00:00"/>
    <n v="1842.62"/>
    <x v="28"/>
  </r>
  <r>
    <x v="2"/>
    <x v="9"/>
    <n v="11"/>
    <x v="4"/>
    <d v="2022-03-01T00:00:00"/>
    <n v="1364.21"/>
    <x v="29"/>
  </r>
  <r>
    <x v="2"/>
    <x v="9"/>
    <n v="11"/>
    <x v="4"/>
    <d v="2022-03-01T00:00:00"/>
    <n v="1440.9"/>
    <x v="30"/>
  </r>
  <r>
    <x v="2"/>
    <x v="9"/>
    <n v="11"/>
    <x v="4"/>
    <d v="2022-03-01T00:00:00"/>
    <n v="2273.94"/>
    <x v="31"/>
  </r>
  <r>
    <x v="2"/>
    <x v="9"/>
    <n v="11"/>
    <x v="4"/>
    <d v="2022-03-01T00:00:00"/>
    <n v="1916"/>
    <x v="32"/>
  </r>
  <r>
    <x v="2"/>
    <x v="9"/>
    <n v="11"/>
    <x v="4"/>
    <d v="2022-03-01T00:00:00"/>
    <n v="2182.12"/>
    <x v="33"/>
  </r>
  <r>
    <x v="2"/>
    <x v="9"/>
    <n v="11"/>
    <x v="4"/>
    <d v="2022-03-01T00:00:00"/>
    <n v="2606.98"/>
    <x v="34"/>
  </r>
  <r>
    <x v="2"/>
    <x v="9"/>
    <n v="11"/>
    <x v="4"/>
    <d v="2022-03-01T00:00:00"/>
    <n v="3033.24"/>
    <x v="35"/>
  </r>
  <r>
    <x v="2"/>
    <x v="9"/>
    <n v="11"/>
    <x v="4"/>
    <d v="2022-03-01T00:00:00"/>
    <n v="5456.6"/>
    <x v="36"/>
  </r>
  <r>
    <x v="2"/>
    <x v="9"/>
    <n v="11"/>
    <x v="4"/>
    <d v="2022-03-01T00:00:00"/>
    <n v="27225.47"/>
    <x v="12"/>
  </r>
  <r>
    <x v="2"/>
    <x v="9"/>
    <n v="12"/>
    <x v="5"/>
    <d v="2022-03-01T00:00:00"/>
    <n v="121.73"/>
    <x v="25"/>
  </r>
  <r>
    <x v="2"/>
    <x v="9"/>
    <n v="12"/>
    <x v="5"/>
    <d v="2022-03-01T00:00:00"/>
    <n v="92.09"/>
    <x v="26"/>
  </r>
  <r>
    <x v="2"/>
    <x v="9"/>
    <n v="12"/>
    <x v="5"/>
    <d v="2022-03-01T00:00:00"/>
    <n v="125.61"/>
    <x v="27"/>
  </r>
  <r>
    <x v="2"/>
    <x v="9"/>
    <n v="12"/>
    <x v="5"/>
    <d v="2022-03-01T00:00:00"/>
    <n v="128.56"/>
    <x v="28"/>
  </r>
  <r>
    <x v="2"/>
    <x v="9"/>
    <n v="12"/>
    <x v="5"/>
    <d v="2022-03-01T00:00:00"/>
    <n v="87.58"/>
    <x v="29"/>
  </r>
  <r>
    <x v="2"/>
    <x v="9"/>
    <n v="12"/>
    <x v="5"/>
    <d v="2022-03-01T00:00:00"/>
    <n v="116"/>
    <x v="30"/>
  </r>
  <r>
    <x v="2"/>
    <x v="9"/>
    <n v="12"/>
    <x v="5"/>
    <d v="2022-03-01T00:00:00"/>
    <n v="115.85"/>
    <x v="31"/>
  </r>
  <r>
    <x v="2"/>
    <x v="9"/>
    <n v="12"/>
    <x v="5"/>
    <d v="2022-03-01T00:00:00"/>
    <n v="121.2"/>
    <x v="32"/>
  </r>
  <r>
    <x v="2"/>
    <x v="9"/>
    <n v="12"/>
    <x v="5"/>
    <d v="2022-03-01T00:00:00"/>
    <n v="114.88"/>
    <x v="33"/>
  </r>
  <r>
    <x v="2"/>
    <x v="9"/>
    <n v="12"/>
    <x v="5"/>
    <d v="2022-03-01T00:00:00"/>
    <n v="115.7"/>
    <x v="34"/>
  </r>
  <r>
    <x v="2"/>
    <x v="9"/>
    <n v="12"/>
    <x v="5"/>
    <d v="2022-03-01T00:00:00"/>
    <n v="100.26"/>
    <x v="35"/>
  </r>
  <r>
    <x v="2"/>
    <x v="9"/>
    <n v="12"/>
    <x v="5"/>
    <d v="2022-03-01T00:00:00"/>
    <n v="123.64"/>
    <x v="36"/>
  </r>
  <r>
    <x v="2"/>
    <x v="9"/>
    <n v="12"/>
    <x v="5"/>
    <d v="2022-03-01T00:00:00"/>
    <n v="1363.1"/>
    <x v="12"/>
  </r>
  <r>
    <x v="2"/>
    <x v="9"/>
    <n v="13"/>
    <x v="6"/>
    <d v="2022-03-01T00:00:00"/>
    <n v="12016.02"/>
    <x v="25"/>
  </r>
  <r>
    <x v="2"/>
    <x v="9"/>
    <n v="13"/>
    <x v="6"/>
    <d v="2022-03-01T00:00:00"/>
    <n v="12021.42"/>
    <x v="26"/>
  </r>
  <r>
    <x v="2"/>
    <x v="9"/>
    <n v="13"/>
    <x v="6"/>
    <d v="2022-03-01T00:00:00"/>
    <n v="12007.93"/>
    <x v="27"/>
  </r>
  <r>
    <x v="2"/>
    <x v="9"/>
    <n v="13"/>
    <x v="6"/>
    <d v="2022-03-01T00:00:00"/>
    <n v="12303.75"/>
    <x v="28"/>
  </r>
  <r>
    <x v="2"/>
    <x v="9"/>
    <n v="13"/>
    <x v="6"/>
    <d v="2022-03-01T00:00:00"/>
    <n v="12350.42"/>
    <x v="29"/>
  </r>
  <r>
    <x v="2"/>
    <x v="9"/>
    <n v="13"/>
    <x v="6"/>
    <d v="2022-03-01T00:00:00"/>
    <n v="12338.87"/>
    <x v="30"/>
  </r>
  <r>
    <x v="2"/>
    <x v="9"/>
    <n v="13"/>
    <x v="6"/>
    <d v="2022-03-01T00:00:00"/>
    <n v="12260.93"/>
    <x v="31"/>
  </r>
  <r>
    <x v="2"/>
    <x v="9"/>
    <n v="13"/>
    <x v="6"/>
    <d v="2022-03-01T00:00:00"/>
    <n v="12224.27"/>
    <x v="32"/>
  </r>
  <r>
    <x v="2"/>
    <x v="9"/>
    <n v="13"/>
    <x v="6"/>
    <d v="2022-03-01T00:00:00"/>
    <n v="12701.1"/>
    <x v="33"/>
  </r>
  <r>
    <x v="2"/>
    <x v="9"/>
    <n v="13"/>
    <x v="6"/>
    <d v="2022-03-01T00:00:00"/>
    <n v="12336.51"/>
    <x v="34"/>
  </r>
  <r>
    <x v="2"/>
    <x v="9"/>
    <n v="13"/>
    <x v="6"/>
    <d v="2022-03-01T00:00:00"/>
    <n v="12038.17"/>
    <x v="35"/>
  </r>
  <r>
    <x v="2"/>
    <x v="9"/>
    <n v="13"/>
    <x v="6"/>
    <d v="2022-03-01T00:00:00"/>
    <n v="14674.15"/>
    <x v="36"/>
  </r>
  <r>
    <x v="2"/>
    <x v="9"/>
    <n v="13"/>
    <x v="6"/>
    <d v="2022-03-01T00:00:00"/>
    <n v="149273.54"/>
    <x v="12"/>
  </r>
  <r>
    <x v="2"/>
    <x v="9"/>
    <n v="14"/>
    <x v="7"/>
    <d v="2022-03-01T00:00:00"/>
    <n v="0"/>
    <x v="25"/>
  </r>
  <r>
    <x v="2"/>
    <x v="9"/>
    <n v="14"/>
    <x v="7"/>
    <d v="2022-03-01T00:00:00"/>
    <n v="0"/>
    <x v="26"/>
  </r>
  <r>
    <x v="2"/>
    <x v="9"/>
    <n v="14"/>
    <x v="7"/>
    <d v="2022-03-01T00:00:00"/>
    <n v="0"/>
    <x v="27"/>
  </r>
  <r>
    <x v="2"/>
    <x v="9"/>
    <n v="14"/>
    <x v="7"/>
    <d v="2022-03-01T00:00:00"/>
    <n v="0"/>
    <x v="28"/>
  </r>
  <r>
    <x v="2"/>
    <x v="9"/>
    <n v="14"/>
    <x v="7"/>
    <d v="2022-03-01T00:00:00"/>
    <n v="0"/>
    <x v="29"/>
  </r>
  <r>
    <x v="2"/>
    <x v="9"/>
    <n v="14"/>
    <x v="7"/>
    <d v="2022-03-01T00:00:00"/>
    <n v="0"/>
    <x v="30"/>
  </r>
  <r>
    <x v="2"/>
    <x v="9"/>
    <n v="14"/>
    <x v="7"/>
    <d v="2022-03-01T00:00:00"/>
    <n v="0"/>
    <x v="31"/>
  </r>
  <r>
    <x v="2"/>
    <x v="9"/>
    <n v="14"/>
    <x v="7"/>
    <d v="2022-03-01T00:00:00"/>
    <n v="0"/>
    <x v="32"/>
  </r>
  <r>
    <x v="2"/>
    <x v="9"/>
    <n v="14"/>
    <x v="7"/>
    <d v="2022-03-01T00:00:00"/>
    <n v="0"/>
    <x v="33"/>
  </r>
  <r>
    <x v="2"/>
    <x v="9"/>
    <n v="14"/>
    <x v="7"/>
    <d v="2022-03-01T00:00:00"/>
    <n v="0"/>
    <x v="34"/>
  </r>
  <r>
    <x v="2"/>
    <x v="9"/>
    <n v="14"/>
    <x v="7"/>
    <d v="2022-03-01T00:00:00"/>
    <n v="0"/>
    <x v="35"/>
  </r>
  <r>
    <x v="2"/>
    <x v="9"/>
    <n v="14"/>
    <x v="7"/>
    <d v="2022-03-01T00:00:00"/>
    <n v="0"/>
    <x v="36"/>
  </r>
  <r>
    <x v="2"/>
    <x v="9"/>
    <n v="14"/>
    <x v="7"/>
    <d v="2022-03-01T00:00:00"/>
    <n v="0"/>
    <x v="12"/>
  </r>
  <r>
    <x v="2"/>
    <x v="9"/>
    <n v="15"/>
    <x v="8"/>
    <d v="2022-03-01T00:00:00"/>
    <n v="1531.46"/>
    <x v="25"/>
  </r>
  <r>
    <x v="2"/>
    <x v="9"/>
    <n v="15"/>
    <x v="8"/>
    <d v="2022-03-01T00:00:00"/>
    <n v="1480.18"/>
    <x v="26"/>
  </r>
  <r>
    <x v="2"/>
    <x v="9"/>
    <n v="15"/>
    <x v="8"/>
    <d v="2022-03-01T00:00:00"/>
    <n v="1730.81"/>
    <x v="27"/>
  </r>
  <r>
    <x v="2"/>
    <x v="9"/>
    <n v="15"/>
    <x v="8"/>
    <d v="2022-03-01T00:00:00"/>
    <n v="1506.61"/>
    <x v="28"/>
  </r>
  <r>
    <x v="2"/>
    <x v="9"/>
    <n v="15"/>
    <x v="8"/>
    <d v="2022-03-01T00:00:00"/>
    <n v="1555.21"/>
    <x v="29"/>
  </r>
  <r>
    <x v="2"/>
    <x v="9"/>
    <n v="15"/>
    <x v="8"/>
    <d v="2022-03-01T00:00:00"/>
    <n v="1628.97"/>
    <x v="30"/>
  </r>
  <r>
    <x v="2"/>
    <x v="9"/>
    <n v="15"/>
    <x v="8"/>
    <d v="2022-03-01T00:00:00"/>
    <n v="1797.64"/>
    <x v="31"/>
  </r>
  <r>
    <x v="2"/>
    <x v="9"/>
    <n v="15"/>
    <x v="8"/>
    <d v="2022-03-01T00:00:00"/>
    <n v="1922.87"/>
    <x v="32"/>
  </r>
  <r>
    <x v="2"/>
    <x v="9"/>
    <n v="15"/>
    <x v="8"/>
    <d v="2022-03-01T00:00:00"/>
    <n v="1612.01"/>
    <x v="33"/>
  </r>
  <r>
    <x v="2"/>
    <x v="9"/>
    <n v="15"/>
    <x v="8"/>
    <d v="2022-03-01T00:00:00"/>
    <n v="1924.43"/>
    <x v="34"/>
  </r>
  <r>
    <x v="2"/>
    <x v="9"/>
    <n v="15"/>
    <x v="8"/>
    <d v="2022-03-01T00:00:00"/>
    <n v="1766.84"/>
    <x v="35"/>
  </r>
  <r>
    <x v="2"/>
    <x v="9"/>
    <n v="15"/>
    <x v="8"/>
    <d v="2022-03-01T00:00:00"/>
    <n v="3292.76"/>
    <x v="36"/>
  </r>
  <r>
    <x v="2"/>
    <x v="9"/>
    <n v="15"/>
    <x v="8"/>
    <d v="2022-03-01T00:00:00"/>
    <n v="21749.79"/>
    <x v="12"/>
  </r>
  <r>
    <x v="2"/>
    <x v="10"/>
    <n v="7"/>
    <x v="0"/>
    <d v="2022-03-01T00:00:00"/>
    <n v="99371.835000000006"/>
    <x v="25"/>
  </r>
  <r>
    <x v="2"/>
    <x v="10"/>
    <n v="7"/>
    <x v="0"/>
    <d v="2022-03-01T00:00:00"/>
    <n v="102812.94899999999"/>
    <x v="26"/>
  </r>
  <r>
    <x v="2"/>
    <x v="10"/>
    <n v="7"/>
    <x v="0"/>
    <d v="2022-03-01T00:00:00"/>
    <n v="103097.849"/>
    <x v="27"/>
  </r>
  <r>
    <x v="2"/>
    <x v="10"/>
    <n v="7"/>
    <x v="0"/>
    <d v="2022-03-01T00:00:00"/>
    <n v="106767.572"/>
    <x v="28"/>
  </r>
  <r>
    <x v="2"/>
    <x v="10"/>
    <n v="7"/>
    <x v="0"/>
    <d v="2022-03-01T00:00:00"/>
    <n v="107036.2"/>
    <x v="29"/>
  </r>
  <r>
    <x v="2"/>
    <x v="10"/>
    <n v="7"/>
    <x v="0"/>
    <d v="2022-03-01T00:00:00"/>
    <n v="115142.643"/>
    <x v="30"/>
  </r>
  <r>
    <x v="2"/>
    <x v="10"/>
    <n v="7"/>
    <x v="0"/>
    <d v="2022-03-01T00:00:00"/>
    <n v="108473.202"/>
    <x v="31"/>
  </r>
  <r>
    <x v="2"/>
    <x v="10"/>
    <n v="7"/>
    <x v="0"/>
    <d v="2022-03-01T00:00:00"/>
    <n v="109853.92600000001"/>
    <x v="32"/>
  </r>
  <r>
    <x v="2"/>
    <x v="10"/>
    <n v="7"/>
    <x v="0"/>
    <d v="2022-03-01T00:00:00"/>
    <n v="112807.57"/>
    <x v="33"/>
  </r>
  <r>
    <x v="2"/>
    <x v="10"/>
    <n v="7"/>
    <x v="0"/>
    <d v="2022-03-01T00:00:00"/>
    <n v="117061.141"/>
    <x v="34"/>
  </r>
  <r>
    <x v="2"/>
    <x v="10"/>
    <n v="7"/>
    <x v="0"/>
    <d v="2022-03-01T00:00:00"/>
    <n v="112458.35"/>
    <x v="35"/>
  </r>
  <r>
    <x v="2"/>
    <x v="10"/>
    <n v="7"/>
    <x v="0"/>
    <d v="2022-03-01T00:00:00"/>
    <n v="180314.53"/>
    <x v="36"/>
  </r>
  <r>
    <x v="2"/>
    <x v="10"/>
    <n v="7"/>
    <x v="0"/>
    <d v="2022-03-01T00:00:00"/>
    <n v="1375197.767"/>
    <x v="12"/>
  </r>
  <r>
    <x v="2"/>
    <x v="10"/>
    <n v="8"/>
    <x v="1"/>
    <d v="2022-03-01T00:00:00"/>
    <n v="9189.1620000000003"/>
    <x v="25"/>
  </r>
  <r>
    <x v="2"/>
    <x v="10"/>
    <n v="8"/>
    <x v="1"/>
    <d v="2022-03-01T00:00:00"/>
    <n v="9665.9369999999999"/>
    <x v="26"/>
  </r>
  <r>
    <x v="2"/>
    <x v="10"/>
    <n v="8"/>
    <x v="1"/>
    <d v="2022-03-01T00:00:00"/>
    <n v="9334.65"/>
    <x v="27"/>
  </r>
  <r>
    <x v="2"/>
    <x v="10"/>
    <n v="8"/>
    <x v="1"/>
    <d v="2022-03-01T00:00:00"/>
    <n v="11800.132"/>
    <x v="28"/>
  </r>
  <r>
    <x v="2"/>
    <x v="10"/>
    <n v="8"/>
    <x v="1"/>
    <d v="2022-03-01T00:00:00"/>
    <n v="10201.841"/>
    <x v="29"/>
  </r>
  <r>
    <x v="2"/>
    <x v="10"/>
    <n v="8"/>
    <x v="1"/>
    <d v="2022-03-01T00:00:00"/>
    <n v="9823.1239999999998"/>
    <x v="30"/>
  </r>
  <r>
    <x v="2"/>
    <x v="10"/>
    <n v="8"/>
    <x v="1"/>
    <d v="2022-03-01T00:00:00"/>
    <n v="10016.858"/>
    <x v="31"/>
  </r>
  <r>
    <x v="2"/>
    <x v="10"/>
    <n v="8"/>
    <x v="1"/>
    <d v="2022-03-01T00:00:00"/>
    <n v="9680.44"/>
    <x v="32"/>
  </r>
  <r>
    <x v="2"/>
    <x v="10"/>
    <n v="8"/>
    <x v="1"/>
    <d v="2022-03-01T00:00:00"/>
    <n v="11324.512000000001"/>
    <x v="33"/>
  </r>
  <r>
    <x v="2"/>
    <x v="10"/>
    <n v="8"/>
    <x v="1"/>
    <d v="2022-03-01T00:00:00"/>
    <n v="9693.33"/>
    <x v="34"/>
  </r>
  <r>
    <x v="2"/>
    <x v="10"/>
    <n v="8"/>
    <x v="1"/>
    <d v="2022-03-01T00:00:00"/>
    <n v="8845.69"/>
    <x v="35"/>
  </r>
  <r>
    <x v="2"/>
    <x v="10"/>
    <n v="8"/>
    <x v="1"/>
    <d v="2022-03-01T00:00:00"/>
    <n v="10929.857"/>
    <x v="36"/>
  </r>
  <r>
    <x v="2"/>
    <x v="10"/>
    <n v="8"/>
    <x v="1"/>
    <d v="2022-03-01T00:00:00"/>
    <n v="120505.533"/>
    <x v="12"/>
  </r>
  <r>
    <x v="2"/>
    <x v="10"/>
    <n v="9"/>
    <x v="2"/>
    <d v="2022-03-01T00:00:00"/>
    <n v="7046.6049999999996"/>
    <x v="25"/>
  </r>
  <r>
    <x v="2"/>
    <x v="10"/>
    <n v="9"/>
    <x v="2"/>
    <d v="2022-03-01T00:00:00"/>
    <n v="6556.1859999999997"/>
    <x v="26"/>
  </r>
  <r>
    <x v="2"/>
    <x v="10"/>
    <n v="9"/>
    <x v="2"/>
    <d v="2022-03-01T00:00:00"/>
    <n v="6582.317"/>
    <x v="27"/>
  </r>
  <r>
    <x v="2"/>
    <x v="10"/>
    <n v="9"/>
    <x v="2"/>
    <d v="2022-03-01T00:00:00"/>
    <n v="6593.2579999999998"/>
    <x v="28"/>
  </r>
  <r>
    <x v="2"/>
    <x v="10"/>
    <n v="9"/>
    <x v="2"/>
    <d v="2022-03-01T00:00:00"/>
    <n v="6804.7420000000002"/>
    <x v="29"/>
  </r>
  <r>
    <x v="2"/>
    <x v="10"/>
    <n v="9"/>
    <x v="2"/>
    <d v="2022-03-01T00:00:00"/>
    <n v="6414.7039999999997"/>
    <x v="30"/>
  </r>
  <r>
    <x v="2"/>
    <x v="10"/>
    <n v="9"/>
    <x v="2"/>
    <d v="2022-03-01T00:00:00"/>
    <n v="6247.9229999999998"/>
    <x v="31"/>
  </r>
  <r>
    <x v="2"/>
    <x v="10"/>
    <n v="9"/>
    <x v="2"/>
    <d v="2022-03-01T00:00:00"/>
    <n v="6564.1040000000003"/>
    <x v="32"/>
  </r>
  <r>
    <x v="2"/>
    <x v="10"/>
    <n v="9"/>
    <x v="2"/>
    <d v="2022-03-01T00:00:00"/>
    <n v="6651.5119999999997"/>
    <x v="33"/>
  </r>
  <r>
    <x v="2"/>
    <x v="10"/>
    <n v="9"/>
    <x v="2"/>
    <d v="2022-03-01T00:00:00"/>
    <n v="6603.9009999999898"/>
    <x v="34"/>
  </r>
  <r>
    <x v="2"/>
    <x v="10"/>
    <n v="9"/>
    <x v="2"/>
    <d v="2022-03-01T00:00:00"/>
    <n v="6457.5140000000101"/>
    <x v="35"/>
  </r>
  <r>
    <x v="2"/>
    <x v="10"/>
    <n v="9"/>
    <x v="2"/>
    <d v="2022-03-01T00:00:00"/>
    <n v="5895.6909999999898"/>
    <x v="36"/>
  </r>
  <r>
    <x v="2"/>
    <x v="10"/>
    <n v="9"/>
    <x v="2"/>
    <d v="2022-03-01T00:00:00"/>
    <n v="78418.456999999995"/>
    <x v="12"/>
  </r>
  <r>
    <x v="2"/>
    <x v="10"/>
    <n v="10"/>
    <x v="3"/>
    <d v="2022-03-01T00:00:00"/>
    <n v="49002.392999999996"/>
    <x v="25"/>
  </r>
  <r>
    <x v="2"/>
    <x v="10"/>
    <n v="10"/>
    <x v="3"/>
    <d v="2022-03-01T00:00:00"/>
    <n v="49071.368000000002"/>
    <x v="26"/>
  </r>
  <r>
    <x v="2"/>
    <x v="10"/>
    <n v="10"/>
    <x v="3"/>
    <d v="2022-03-01T00:00:00"/>
    <n v="48376.724000000002"/>
    <x v="27"/>
  </r>
  <r>
    <x v="2"/>
    <x v="10"/>
    <n v="10"/>
    <x v="3"/>
    <d v="2022-03-01T00:00:00"/>
    <n v="49139.817999999999"/>
    <x v="28"/>
  </r>
  <r>
    <x v="2"/>
    <x v="10"/>
    <n v="10"/>
    <x v="3"/>
    <d v="2022-03-01T00:00:00"/>
    <n v="50532.385000000002"/>
    <x v="29"/>
  </r>
  <r>
    <x v="2"/>
    <x v="10"/>
    <n v="10"/>
    <x v="3"/>
    <d v="2022-03-01T00:00:00"/>
    <n v="57539.614999999998"/>
    <x v="30"/>
  </r>
  <r>
    <x v="2"/>
    <x v="10"/>
    <n v="10"/>
    <x v="3"/>
    <d v="2022-03-01T00:00:00"/>
    <n v="51711.83"/>
    <x v="31"/>
  </r>
  <r>
    <x v="2"/>
    <x v="10"/>
    <n v="10"/>
    <x v="3"/>
    <d v="2022-03-01T00:00:00"/>
    <n v="52682.656000000003"/>
    <x v="32"/>
  </r>
  <r>
    <x v="2"/>
    <x v="10"/>
    <n v="10"/>
    <x v="3"/>
    <d v="2022-03-01T00:00:00"/>
    <n v="52273.201999999997"/>
    <x v="33"/>
  </r>
  <r>
    <x v="2"/>
    <x v="10"/>
    <n v="10"/>
    <x v="3"/>
    <d v="2022-03-01T00:00:00"/>
    <n v="56191.694000000003"/>
    <x v="34"/>
  </r>
  <r>
    <x v="2"/>
    <x v="10"/>
    <n v="10"/>
    <x v="3"/>
    <d v="2022-03-01T00:00:00"/>
    <n v="53486.351999999999"/>
    <x v="35"/>
  </r>
  <r>
    <x v="2"/>
    <x v="10"/>
    <n v="10"/>
    <x v="3"/>
    <d v="2022-03-01T00:00:00"/>
    <n v="95795.86"/>
    <x v="36"/>
  </r>
  <r>
    <x v="2"/>
    <x v="10"/>
    <n v="10"/>
    <x v="3"/>
    <d v="2022-03-01T00:00:00"/>
    <n v="665803.897"/>
    <x v="12"/>
  </r>
  <r>
    <x v="2"/>
    <x v="10"/>
    <n v="11"/>
    <x v="4"/>
    <d v="2022-03-01T00:00:00"/>
    <n v="9733.2649999999994"/>
    <x v="25"/>
  </r>
  <r>
    <x v="2"/>
    <x v="10"/>
    <n v="11"/>
    <x v="4"/>
    <d v="2022-03-01T00:00:00"/>
    <n v="8893.42"/>
    <x v="26"/>
  </r>
  <r>
    <x v="2"/>
    <x v="10"/>
    <n v="11"/>
    <x v="4"/>
    <d v="2022-03-01T00:00:00"/>
    <n v="11533.084999999999"/>
    <x v="27"/>
  </r>
  <r>
    <x v="2"/>
    <x v="10"/>
    <n v="11"/>
    <x v="4"/>
    <d v="2022-03-01T00:00:00"/>
    <n v="10913.953"/>
    <x v="28"/>
  </r>
  <r>
    <x v="2"/>
    <x v="10"/>
    <n v="11"/>
    <x v="4"/>
    <d v="2022-03-01T00:00:00"/>
    <n v="10884.763999999999"/>
    <x v="29"/>
  </r>
  <r>
    <x v="2"/>
    <x v="10"/>
    <n v="11"/>
    <x v="4"/>
    <d v="2022-03-01T00:00:00"/>
    <n v="11726.383"/>
    <x v="30"/>
  </r>
  <r>
    <x v="2"/>
    <x v="10"/>
    <n v="11"/>
    <x v="4"/>
    <d v="2022-03-01T00:00:00"/>
    <n v="11037.362999999999"/>
    <x v="31"/>
  </r>
  <r>
    <x v="2"/>
    <x v="10"/>
    <n v="11"/>
    <x v="4"/>
    <d v="2022-03-01T00:00:00"/>
    <n v="11991.054"/>
    <x v="32"/>
  </r>
  <r>
    <x v="2"/>
    <x v="10"/>
    <n v="11"/>
    <x v="4"/>
    <d v="2022-03-01T00:00:00"/>
    <n v="13200.569"/>
    <x v="33"/>
  </r>
  <r>
    <x v="2"/>
    <x v="10"/>
    <n v="11"/>
    <x v="4"/>
    <d v="2022-03-01T00:00:00"/>
    <n v="12404.708000000001"/>
    <x v="34"/>
  </r>
  <r>
    <x v="2"/>
    <x v="10"/>
    <n v="11"/>
    <x v="4"/>
    <d v="2022-03-01T00:00:00"/>
    <n v="13618.137000000001"/>
    <x v="35"/>
  </r>
  <r>
    <x v="2"/>
    <x v="10"/>
    <n v="11"/>
    <x v="4"/>
    <d v="2022-03-01T00:00:00"/>
    <n v="25482.395"/>
    <x v="36"/>
  </r>
  <r>
    <x v="2"/>
    <x v="10"/>
    <n v="11"/>
    <x v="4"/>
    <d v="2022-03-01T00:00:00"/>
    <n v="151419.09599999999"/>
    <x v="12"/>
  </r>
  <r>
    <x v="2"/>
    <x v="10"/>
    <n v="12"/>
    <x v="5"/>
    <d v="2022-03-01T00:00:00"/>
    <n v="5939.1080000000002"/>
    <x v="25"/>
  </r>
  <r>
    <x v="2"/>
    <x v="10"/>
    <n v="12"/>
    <x v="5"/>
    <d v="2022-03-01T00:00:00"/>
    <n v="7083.9719999999998"/>
    <x v="26"/>
  </r>
  <r>
    <x v="2"/>
    <x v="10"/>
    <n v="12"/>
    <x v="5"/>
    <d v="2022-03-01T00:00:00"/>
    <n v="5482.2049999999999"/>
    <x v="27"/>
  </r>
  <r>
    <x v="2"/>
    <x v="10"/>
    <n v="12"/>
    <x v="5"/>
    <d v="2022-03-01T00:00:00"/>
    <n v="6510.4589999999998"/>
    <x v="28"/>
  </r>
  <r>
    <x v="2"/>
    <x v="10"/>
    <n v="12"/>
    <x v="5"/>
    <d v="2022-03-01T00:00:00"/>
    <n v="6037.3389999999999"/>
    <x v="29"/>
  </r>
  <r>
    <x v="2"/>
    <x v="10"/>
    <n v="12"/>
    <x v="5"/>
    <d v="2022-03-01T00:00:00"/>
    <n v="6506.4669999999996"/>
    <x v="30"/>
  </r>
  <r>
    <x v="2"/>
    <x v="10"/>
    <n v="12"/>
    <x v="5"/>
    <d v="2022-03-01T00:00:00"/>
    <n v="6715.9480000000003"/>
    <x v="31"/>
  </r>
  <r>
    <x v="2"/>
    <x v="10"/>
    <n v="12"/>
    <x v="5"/>
    <d v="2022-03-01T00:00:00"/>
    <n v="6363.9369999999999"/>
    <x v="32"/>
  </r>
  <r>
    <x v="2"/>
    <x v="10"/>
    <n v="12"/>
    <x v="5"/>
    <d v="2022-03-01T00:00:00"/>
    <n v="5774.6760000000004"/>
    <x v="33"/>
  </r>
  <r>
    <x v="2"/>
    <x v="10"/>
    <n v="12"/>
    <x v="5"/>
    <d v="2022-03-01T00:00:00"/>
    <n v="6835.7089999999998"/>
    <x v="34"/>
  </r>
  <r>
    <x v="2"/>
    <x v="10"/>
    <n v="12"/>
    <x v="5"/>
    <d v="2022-03-01T00:00:00"/>
    <n v="6422.0140000000001"/>
    <x v="35"/>
  </r>
  <r>
    <x v="2"/>
    <x v="10"/>
    <n v="12"/>
    <x v="5"/>
    <d v="2022-03-01T00:00:00"/>
    <n v="6163.7969999999896"/>
    <x v="36"/>
  </r>
  <r>
    <x v="2"/>
    <x v="10"/>
    <n v="12"/>
    <x v="5"/>
    <d v="2022-03-01T00:00:00"/>
    <n v="75835.630999999994"/>
    <x v="12"/>
  </r>
  <r>
    <x v="2"/>
    <x v="10"/>
    <n v="13"/>
    <x v="6"/>
    <d v="2022-03-01T00:00:00"/>
    <n v="13355.688"/>
    <x v="25"/>
  </r>
  <r>
    <x v="2"/>
    <x v="10"/>
    <n v="13"/>
    <x v="6"/>
    <d v="2022-03-01T00:00:00"/>
    <n v="13410.807000000001"/>
    <x v="26"/>
  </r>
  <r>
    <x v="2"/>
    <x v="10"/>
    <n v="13"/>
    <x v="6"/>
    <d v="2022-03-01T00:00:00"/>
    <n v="13509.227999999999"/>
    <x v="27"/>
  </r>
  <r>
    <x v="2"/>
    <x v="10"/>
    <n v="13"/>
    <x v="6"/>
    <d v="2022-03-01T00:00:00"/>
    <n v="14267.585999999999"/>
    <x v="28"/>
  </r>
  <r>
    <x v="2"/>
    <x v="10"/>
    <n v="13"/>
    <x v="6"/>
    <d v="2022-03-01T00:00:00"/>
    <n v="14689.236999999999"/>
    <x v="29"/>
  </r>
  <r>
    <x v="2"/>
    <x v="10"/>
    <n v="13"/>
    <x v="6"/>
    <d v="2022-03-01T00:00:00"/>
    <n v="14864.656999999999"/>
    <x v="30"/>
  </r>
  <r>
    <x v="2"/>
    <x v="10"/>
    <n v="13"/>
    <x v="6"/>
    <d v="2022-03-01T00:00:00"/>
    <n v="14185.879000000001"/>
    <x v="31"/>
  </r>
  <r>
    <x v="2"/>
    <x v="10"/>
    <n v="13"/>
    <x v="6"/>
    <d v="2022-03-01T00:00:00"/>
    <n v="14059.081"/>
    <x v="32"/>
  </r>
  <r>
    <x v="2"/>
    <x v="10"/>
    <n v="13"/>
    <x v="6"/>
    <d v="2022-03-01T00:00:00"/>
    <n v="14370.455"/>
    <x v="33"/>
  </r>
  <r>
    <x v="2"/>
    <x v="10"/>
    <n v="13"/>
    <x v="6"/>
    <d v="2022-03-01T00:00:00"/>
    <n v="14659.778"/>
    <x v="34"/>
  </r>
  <r>
    <x v="2"/>
    <x v="10"/>
    <n v="13"/>
    <x v="6"/>
    <d v="2022-03-01T00:00:00"/>
    <n v="13033.494000000001"/>
    <x v="35"/>
  </r>
  <r>
    <x v="2"/>
    <x v="10"/>
    <n v="13"/>
    <x v="6"/>
    <d v="2022-03-01T00:00:00"/>
    <n v="15937.138000000001"/>
    <x v="36"/>
  </r>
  <r>
    <x v="2"/>
    <x v="10"/>
    <n v="13"/>
    <x v="6"/>
    <d v="2022-03-01T00:00:00"/>
    <n v="170343.02799999999"/>
    <x v="12"/>
  </r>
  <r>
    <x v="2"/>
    <x v="10"/>
    <n v="14"/>
    <x v="7"/>
    <d v="2022-03-01T00:00:00"/>
    <n v="0"/>
    <x v="25"/>
  </r>
  <r>
    <x v="2"/>
    <x v="10"/>
    <n v="14"/>
    <x v="7"/>
    <d v="2022-03-01T00:00:00"/>
    <n v="0"/>
    <x v="26"/>
  </r>
  <r>
    <x v="2"/>
    <x v="10"/>
    <n v="14"/>
    <x v="7"/>
    <d v="2022-03-01T00:00:00"/>
    <n v="0"/>
    <x v="27"/>
  </r>
  <r>
    <x v="2"/>
    <x v="10"/>
    <n v="14"/>
    <x v="7"/>
    <d v="2022-03-01T00:00:00"/>
    <n v="0"/>
    <x v="28"/>
  </r>
  <r>
    <x v="2"/>
    <x v="10"/>
    <n v="14"/>
    <x v="7"/>
    <d v="2022-03-01T00:00:00"/>
    <n v="0"/>
    <x v="29"/>
  </r>
  <r>
    <x v="2"/>
    <x v="10"/>
    <n v="14"/>
    <x v="7"/>
    <d v="2022-03-01T00:00:00"/>
    <n v="0"/>
    <x v="30"/>
  </r>
  <r>
    <x v="2"/>
    <x v="10"/>
    <n v="14"/>
    <x v="7"/>
    <d v="2022-03-01T00:00:00"/>
    <n v="0"/>
    <x v="31"/>
  </r>
  <r>
    <x v="2"/>
    <x v="10"/>
    <n v="14"/>
    <x v="7"/>
    <d v="2022-03-01T00:00:00"/>
    <n v="0"/>
    <x v="32"/>
  </r>
  <r>
    <x v="2"/>
    <x v="10"/>
    <n v="14"/>
    <x v="7"/>
    <d v="2022-03-01T00:00:00"/>
    <n v="0"/>
    <x v="33"/>
  </r>
  <r>
    <x v="2"/>
    <x v="10"/>
    <n v="14"/>
    <x v="7"/>
    <d v="2022-03-01T00:00:00"/>
    <n v="0"/>
    <x v="34"/>
  </r>
  <r>
    <x v="2"/>
    <x v="10"/>
    <n v="14"/>
    <x v="7"/>
    <d v="2022-03-01T00:00:00"/>
    <n v="0"/>
    <x v="35"/>
  </r>
  <r>
    <x v="2"/>
    <x v="10"/>
    <n v="14"/>
    <x v="7"/>
    <d v="2022-03-01T00:00:00"/>
    <n v="0"/>
    <x v="36"/>
  </r>
  <r>
    <x v="2"/>
    <x v="10"/>
    <n v="14"/>
    <x v="7"/>
    <d v="2022-03-01T00:00:00"/>
    <n v="0"/>
    <x v="12"/>
  </r>
  <r>
    <x v="2"/>
    <x v="10"/>
    <n v="15"/>
    <x v="8"/>
    <d v="2022-03-01T00:00:00"/>
    <n v="5248.7579999999998"/>
    <x v="25"/>
  </r>
  <r>
    <x v="2"/>
    <x v="10"/>
    <n v="15"/>
    <x v="8"/>
    <d v="2022-03-01T00:00:00"/>
    <n v="5180.8670000000002"/>
    <x v="26"/>
  </r>
  <r>
    <x v="2"/>
    <x v="10"/>
    <n v="15"/>
    <x v="8"/>
    <d v="2022-03-01T00:00:00"/>
    <n v="4923.6499999999996"/>
    <x v="27"/>
  </r>
  <r>
    <x v="2"/>
    <x v="10"/>
    <n v="15"/>
    <x v="8"/>
    <d v="2022-03-01T00:00:00"/>
    <n v="5190.9350000000004"/>
    <x v="28"/>
  </r>
  <r>
    <x v="2"/>
    <x v="10"/>
    <n v="15"/>
    <x v="8"/>
    <d v="2022-03-01T00:00:00"/>
    <n v="5108.1009999999997"/>
    <x v="29"/>
  </r>
  <r>
    <x v="2"/>
    <x v="10"/>
    <n v="15"/>
    <x v="8"/>
    <d v="2022-03-01T00:00:00"/>
    <n v="5522.2120000000004"/>
    <x v="30"/>
  </r>
  <r>
    <x v="2"/>
    <x v="10"/>
    <n v="15"/>
    <x v="8"/>
    <d v="2022-03-01T00:00:00"/>
    <n v="5579.6769999999997"/>
    <x v="31"/>
  </r>
  <r>
    <x v="2"/>
    <x v="10"/>
    <n v="15"/>
    <x v="8"/>
    <d v="2022-03-01T00:00:00"/>
    <n v="5296.3770000000004"/>
    <x v="32"/>
  </r>
  <r>
    <x v="2"/>
    <x v="10"/>
    <n v="15"/>
    <x v="8"/>
    <d v="2022-03-01T00:00:00"/>
    <n v="6124.9080000000004"/>
    <x v="33"/>
  </r>
  <r>
    <x v="2"/>
    <x v="10"/>
    <n v="15"/>
    <x v="8"/>
    <d v="2022-03-01T00:00:00"/>
    <n v="5312.2749999999996"/>
    <x v="34"/>
  </r>
  <r>
    <x v="2"/>
    <x v="10"/>
    <n v="15"/>
    <x v="8"/>
    <d v="2022-03-01T00:00:00"/>
    <n v="6317.2160000000003"/>
    <x v="35"/>
  </r>
  <r>
    <x v="2"/>
    <x v="10"/>
    <n v="15"/>
    <x v="8"/>
    <d v="2022-03-01T00:00:00"/>
    <n v="8562.6219999999994"/>
    <x v="36"/>
  </r>
  <r>
    <x v="2"/>
    <x v="10"/>
    <n v="15"/>
    <x v="8"/>
    <d v="2022-03-01T00:00:00"/>
    <n v="68367.597999999998"/>
    <x v="12"/>
  </r>
  <r>
    <x v="2"/>
    <x v="11"/>
    <n v="7"/>
    <x v="0"/>
    <d v="2022-03-01T00:00:00"/>
    <n v="12864.0603333333"/>
    <x v="25"/>
  </r>
  <r>
    <x v="2"/>
    <x v="11"/>
    <n v="7"/>
    <x v="0"/>
    <d v="2022-03-01T00:00:00"/>
    <n v="13539.667173333301"/>
    <x v="26"/>
  </r>
  <r>
    <x v="2"/>
    <x v="11"/>
    <n v="7"/>
    <x v="0"/>
    <d v="2022-03-01T00:00:00"/>
    <n v="12942.6673333333"/>
    <x v="27"/>
  </r>
  <r>
    <x v="2"/>
    <x v="11"/>
    <n v="7"/>
    <x v="0"/>
    <d v="2022-03-01T00:00:00"/>
    <n v="12715.658160000001"/>
    <x v="28"/>
  </r>
  <r>
    <x v="2"/>
    <x v="11"/>
    <n v="7"/>
    <x v="0"/>
    <d v="2022-03-01T00:00:00"/>
    <n v="13947.423000000001"/>
    <x v="29"/>
  </r>
  <r>
    <x v="2"/>
    <x v="11"/>
    <n v="7"/>
    <x v="0"/>
    <d v="2022-03-01T00:00:00"/>
    <n v="14064.468000000001"/>
    <x v="30"/>
  </r>
  <r>
    <x v="2"/>
    <x v="11"/>
    <n v="7"/>
    <x v="0"/>
    <d v="2022-03-01T00:00:00"/>
    <n v="13082.546609999999"/>
    <x v="31"/>
  </r>
  <r>
    <x v="2"/>
    <x v="11"/>
    <n v="7"/>
    <x v="0"/>
    <d v="2022-03-01T00:00:00"/>
    <n v="13802.331"/>
    <x v="32"/>
  </r>
  <r>
    <x v="2"/>
    <x v="11"/>
    <n v="7"/>
    <x v="0"/>
    <d v="2022-03-01T00:00:00"/>
    <n v="13897.325999999999"/>
    <x v="33"/>
  </r>
  <r>
    <x v="2"/>
    <x v="11"/>
    <n v="7"/>
    <x v="0"/>
    <d v="2022-03-01T00:00:00"/>
    <n v="13600"/>
    <x v="34"/>
  </r>
  <r>
    <x v="2"/>
    <x v="11"/>
    <n v="7"/>
    <x v="0"/>
    <d v="2022-03-01T00:00:00"/>
    <n v="14267.10483"/>
    <x v="35"/>
  </r>
  <r>
    <x v="2"/>
    <x v="11"/>
    <n v="7"/>
    <x v="0"/>
    <d v="2022-03-01T00:00:00"/>
    <n v="22899.280429999999"/>
    <x v="36"/>
  </r>
  <r>
    <x v="2"/>
    <x v="11"/>
    <n v="7"/>
    <x v="0"/>
    <d v="2022-03-01T00:00:00"/>
    <n v="171622.53287"/>
    <x v="12"/>
  </r>
  <r>
    <x v="2"/>
    <x v="11"/>
    <n v="8"/>
    <x v="1"/>
    <d v="2022-03-01T00:00:00"/>
    <n v="0"/>
    <x v="25"/>
  </r>
  <r>
    <x v="2"/>
    <x v="11"/>
    <n v="8"/>
    <x v="1"/>
    <d v="2022-03-01T00:00:00"/>
    <n v="0"/>
    <x v="26"/>
  </r>
  <r>
    <x v="2"/>
    <x v="11"/>
    <n v="8"/>
    <x v="1"/>
    <d v="2022-03-01T00:00:00"/>
    <n v="0"/>
    <x v="27"/>
  </r>
  <r>
    <x v="2"/>
    <x v="11"/>
    <n v="8"/>
    <x v="1"/>
    <d v="2022-03-01T00:00:00"/>
    <n v="0"/>
    <x v="28"/>
  </r>
  <r>
    <x v="2"/>
    <x v="11"/>
    <n v="8"/>
    <x v="1"/>
    <d v="2022-03-01T00:00:00"/>
    <n v="0"/>
    <x v="29"/>
  </r>
  <r>
    <x v="2"/>
    <x v="11"/>
    <n v="8"/>
    <x v="1"/>
    <d v="2022-03-01T00:00:00"/>
    <n v="0"/>
    <x v="30"/>
  </r>
  <r>
    <x v="2"/>
    <x v="11"/>
    <n v="8"/>
    <x v="1"/>
    <d v="2022-03-01T00:00:00"/>
    <n v="0"/>
    <x v="31"/>
  </r>
  <r>
    <x v="2"/>
    <x v="11"/>
    <n v="8"/>
    <x v="1"/>
    <d v="2022-03-01T00:00:00"/>
    <n v="0"/>
    <x v="32"/>
  </r>
  <r>
    <x v="2"/>
    <x v="11"/>
    <n v="8"/>
    <x v="1"/>
    <d v="2022-03-01T00:00:00"/>
    <n v="0"/>
    <x v="33"/>
  </r>
  <r>
    <x v="2"/>
    <x v="11"/>
    <n v="8"/>
    <x v="1"/>
    <d v="2022-03-01T00:00:00"/>
    <n v="0"/>
    <x v="34"/>
  </r>
  <r>
    <x v="2"/>
    <x v="11"/>
    <n v="8"/>
    <x v="1"/>
    <d v="2022-03-01T00:00:00"/>
    <n v="0"/>
    <x v="35"/>
  </r>
  <r>
    <x v="2"/>
    <x v="11"/>
    <n v="8"/>
    <x v="1"/>
    <d v="2022-03-01T00:00:00"/>
    <n v="0"/>
    <x v="36"/>
  </r>
  <r>
    <x v="2"/>
    <x v="11"/>
    <n v="8"/>
    <x v="1"/>
    <d v="2022-03-01T00:00:00"/>
    <n v="0"/>
    <x v="12"/>
  </r>
  <r>
    <x v="2"/>
    <x v="11"/>
    <n v="9"/>
    <x v="2"/>
    <d v="2022-03-01T00:00:00"/>
    <n v="0"/>
    <x v="25"/>
  </r>
  <r>
    <x v="2"/>
    <x v="11"/>
    <n v="9"/>
    <x v="2"/>
    <d v="2022-03-01T00:00:00"/>
    <n v="0"/>
    <x v="26"/>
  </r>
  <r>
    <x v="2"/>
    <x v="11"/>
    <n v="9"/>
    <x v="2"/>
    <d v="2022-03-01T00:00:00"/>
    <n v="0"/>
    <x v="27"/>
  </r>
  <r>
    <x v="2"/>
    <x v="11"/>
    <n v="9"/>
    <x v="2"/>
    <d v="2022-03-01T00:00:00"/>
    <n v="0"/>
    <x v="28"/>
  </r>
  <r>
    <x v="2"/>
    <x v="11"/>
    <n v="9"/>
    <x v="2"/>
    <d v="2022-03-01T00:00:00"/>
    <n v="0"/>
    <x v="29"/>
  </r>
  <r>
    <x v="2"/>
    <x v="11"/>
    <n v="9"/>
    <x v="2"/>
    <d v="2022-03-01T00:00:00"/>
    <n v="0"/>
    <x v="30"/>
  </r>
  <r>
    <x v="2"/>
    <x v="11"/>
    <n v="9"/>
    <x v="2"/>
    <d v="2022-03-01T00:00:00"/>
    <n v="0"/>
    <x v="31"/>
  </r>
  <r>
    <x v="2"/>
    <x v="11"/>
    <n v="9"/>
    <x v="2"/>
    <d v="2022-03-01T00:00:00"/>
    <n v="0"/>
    <x v="32"/>
  </r>
  <r>
    <x v="2"/>
    <x v="11"/>
    <n v="9"/>
    <x v="2"/>
    <d v="2022-03-01T00:00:00"/>
    <n v="0"/>
    <x v="33"/>
  </r>
  <r>
    <x v="2"/>
    <x v="11"/>
    <n v="9"/>
    <x v="2"/>
    <d v="2022-03-01T00:00:00"/>
    <n v="0"/>
    <x v="34"/>
  </r>
  <r>
    <x v="2"/>
    <x v="11"/>
    <n v="9"/>
    <x v="2"/>
    <d v="2022-03-01T00:00:00"/>
    <n v="0"/>
    <x v="35"/>
  </r>
  <r>
    <x v="2"/>
    <x v="11"/>
    <n v="9"/>
    <x v="2"/>
    <d v="2022-03-01T00:00:00"/>
    <n v="0"/>
    <x v="36"/>
  </r>
  <r>
    <x v="2"/>
    <x v="11"/>
    <n v="9"/>
    <x v="2"/>
    <d v="2022-03-01T00:00:00"/>
    <n v="0"/>
    <x v="12"/>
  </r>
  <r>
    <x v="2"/>
    <x v="11"/>
    <n v="10"/>
    <x v="3"/>
    <d v="2022-03-01T00:00:00"/>
    <n v="5681.482"/>
    <x v="25"/>
  </r>
  <r>
    <x v="2"/>
    <x v="11"/>
    <n v="10"/>
    <x v="3"/>
    <d v="2022-03-01T00:00:00"/>
    <n v="5760"/>
    <x v="26"/>
  </r>
  <r>
    <x v="2"/>
    <x v="11"/>
    <n v="10"/>
    <x v="3"/>
    <d v="2022-03-01T00:00:00"/>
    <n v="5749.4080000000004"/>
    <x v="27"/>
  </r>
  <r>
    <x v="2"/>
    <x v="11"/>
    <n v="10"/>
    <x v="3"/>
    <d v="2022-03-01T00:00:00"/>
    <n v="5585.3578900000002"/>
    <x v="28"/>
  </r>
  <r>
    <x v="2"/>
    <x v="11"/>
    <n v="10"/>
    <x v="3"/>
    <d v="2022-03-01T00:00:00"/>
    <n v="5965.0128077777799"/>
    <x v="29"/>
  </r>
  <r>
    <x v="2"/>
    <x v="11"/>
    <n v="10"/>
    <x v="3"/>
    <d v="2022-03-01T00:00:00"/>
    <n v="6770"/>
    <x v="30"/>
  </r>
  <r>
    <x v="2"/>
    <x v="11"/>
    <n v="10"/>
    <x v="3"/>
    <d v="2022-03-01T00:00:00"/>
    <n v="5960.9709999999995"/>
    <x v="31"/>
  </r>
  <r>
    <x v="2"/>
    <x v="11"/>
    <n v="10"/>
    <x v="3"/>
    <d v="2022-03-01T00:00:00"/>
    <n v="6026.9560000000001"/>
    <x v="32"/>
  </r>
  <r>
    <x v="2"/>
    <x v="11"/>
    <n v="10"/>
    <x v="3"/>
    <d v="2022-03-01T00:00:00"/>
    <n v="5755.9369999999999"/>
    <x v="33"/>
  </r>
  <r>
    <x v="2"/>
    <x v="11"/>
    <n v="10"/>
    <x v="3"/>
    <d v="2022-03-01T00:00:00"/>
    <n v="6191"/>
    <x v="34"/>
  </r>
  <r>
    <x v="2"/>
    <x v="11"/>
    <n v="10"/>
    <x v="3"/>
    <d v="2022-03-01T00:00:00"/>
    <n v="5889"/>
    <x v="35"/>
  </r>
  <r>
    <x v="2"/>
    <x v="11"/>
    <n v="10"/>
    <x v="3"/>
    <d v="2022-03-01T00:00:00"/>
    <n v="10257"/>
    <x v="36"/>
  </r>
  <r>
    <x v="2"/>
    <x v="11"/>
    <n v="10"/>
    <x v="3"/>
    <d v="2022-03-01T00:00:00"/>
    <n v="75592.124697777806"/>
    <x v="12"/>
  </r>
  <r>
    <x v="2"/>
    <x v="11"/>
    <n v="11"/>
    <x v="4"/>
    <d v="2022-03-01T00:00:00"/>
    <n v="2685"/>
    <x v="25"/>
  </r>
  <r>
    <x v="2"/>
    <x v="11"/>
    <n v="11"/>
    <x v="4"/>
    <d v="2022-03-01T00:00:00"/>
    <n v="2927.5"/>
    <x v="26"/>
  </r>
  <r>
    <x v="2"/>
    <x v="11"/>
    <n v="11"/>
    <x v="4"/>
    <d v="2022-03-01T00:00:00"/>
    <n v="3188.5"/>
    <x v="27"/>
  </r>
  <r>
    <x v="2"/>
    <x v="11"/>
    <n v="11"/>
    <x v="4"/>
    <d v="2022-03-01T00:00:00"/>
    <n v="2864.45"/>
    <x v="28"/>
  </r>
  <r>
    <x v="2"/>
    <x v="11"/>
    <n v="11"/>
    <x v="4"/>
    <d v="2022-03-01T00:00:00"/>
    <n v="3157.45"/>
    <x v="29"/>
  </r>
  <r>
    <x v="2"/>
    <x v="11"/>
    <n v="11"/>
    <x v="4"/>
    <d v="2022-03-01T00:00:00"/>
    <n v="3164.8"/>
    <x v="30"/>
  </r>
  <r>
    <x v="2"/>
    <x v="11"/>
    <n v="11"/>
    <x v="4"/>
    <d v="2022-03-01T00:00:00"/>
    <n v="2966.13"/>
    <x v="31"/>
  </r>
  <r>
    <x v="2"/>
    <x v="11"/>
    <n v="11"/>
    <x v="4"/>
    <d v="2022-03-01T00:00:00"/>
    <n v="3498.13"/>
    <x v="32"/>
  </r>
  <r>
    <x v="2"/>
    <x v="11"/>
    <n v="11"/>
    <x v="4"/>
    <d v="2022-03-01T00:00:00"/>
    <n v="2970.13"/>
    <x v="33"/>
  </r>
  <r>
    <x v="2"/>
    <x v="11"/>
    <n v="11"/>
    <x v="4"/>
    <d v="2022-03-01T00:00:00"/>
    <n v="3390.5"/>
    <x v="34"/>
  </r>
  <r>
    <x v="2"/>
    <x v="11"/>
    <n v="11"/>
    <x v="4"/>
    <d v="2022-03-01T00:00:00"/>
    <n v="3249.3"/>
    <x v="35"/>
  </r>
  <r>
    <x v="2"/>
    <x v="11"/>
    <n v="11"/>
    <x v="4"/>
    <d v="2022-03-01T00:00:00"/>
    <n v="6262.3"/>
    <x v="36"/>
  </r>
  <r>
    <x v="2"/>
    <x v="11"/>
    <n v="11"/>
    <x v="4"/>
    <d v="2022-03-01T00:00:00"/>
    <n v="40324.19"/>
    <x v="12"/>
  </r>
  <r>
    <x v="2"/>
    <x v="11"/>
    <n v="12"/>
    <x v="5"/>
    <d v="2022-03-01T00:00:00"/>
    <n v="3933"/>
    <x v="25"/>
  </r>
  <r>
    <x v="2"/>
    <x v="11"/>
    <n v="12"/>
    <x v="5"/>
    <d v="2022-03-01T00:00:00"/>
    <n v="4287"/>
    <x v="26"/>
  </r>
  <r>
    <x v="2"/>
    <x v="11"/>
    <n v="12"/>
    <x v="5"/>
    <d v="2022-03-01T00:00:00"/>
    <n v="3441"/>
    <x v="27"/>
  </r>
  <r>
    <x v="2"/>
    <x v="11"/>
    <n v="12"/>
    <x v="5"/>
    <d v="2022-03-01T00:00:00"/>
    <n v="3689"/>
    <x v="28"/>
  </r>
  <r>
    <x v="2"/>
    <x v="11"/>
    <n v="12"/>
    <x v="5"/>
    <d v="2022-03-01T00:00:00"/>
    <n v="4246"/>
    <x v="29"/>
  </r>
  <r>
    <x v="2"/>
    <x v="11"/>
    <n v="12"/>
    <x v="5"/>
    <d v="2022-03-01T00:00:00"/>
    <n v="3492"/>
    <x v="30"/>
  </r>
  <r>
    <x v="2"/>
    <x v="11"/>
    <n v="12"/>
    <x v="5"/>
    <d v="2022-03-01T00:00:00"/>
    <n v="3488"/>
    <x v="31"/>
  </r>
  <r>
    <x v="2"/>
    <x v="11"/>
    <n v="12"/>
    <x v="5"/>
    <d v="2022-03-01T00:00:00"/>
    <n v="3609"/>
    <x v="32"/>
  </r>
  <r>
    <x v="2"/>
    <x v="11"/>
    <n v="12"/>
    <x v="5"/>
    <d v="2022-03-01T00:00:00"/>
    <n v="4464"/>
    <x v="33"/>
  </r>
  <r>
    <x v="2"/>
    <x v="11"/>
    <n v="12"/>
    <x v="5"/>
    <d v="2022-03-01T00:00:00"/>
    <n v="3271"/>
    <x v="34"/>
  </r>
  <r>
    <x v="2"/>
    <x v="11"/>
    <n v="12"/>
    <x v="5"/>
    <d v="2022-03-01T00:00:00"/>
    <n v="4330"/>
    <x v="35"/>
  </r>
  <r>
    <x v="2"/>
    <x v="11"/>
    <n v="12"/>
    <x v="5"/>
    <d v="2022-03-01T00:00:00"/>
    <n v="5606"/>
    <x v="36"/>
  </r>
  <r>
    <x v="2"/>
    <x v="11"/>
    <n v="12"/>
    <x v="5"/>
    <d v="2022-03-01T00:00:00"/>
    <n v="47856"/>
    <x v="12"/>
  </r>
  <r>
    <x v="2"/>
    <x v="11"/>
    <n v="13"/>
    <x v="6"/>
    <d v="2022-03-01T00:00:00"/>
    <n v="0"/>
    <x v="25"/>
  </r>
  <r>
    <x v="2"/>
    <x v="11"/>
    <n v="13"/>
    <x v="6"/>
    <d v="2022-03-01T00:00:00"/>
    <n v="0"/>
    <x v="26"/>
  </r>
  <r>
    <x v="2"/>
    <x v="11"/>
    <n v="13"/>
    <x v="6"/>
    <d v="2022-03-01T00:00:00"/>
    <n v="0"/>
    <x v="27"/>
  </r>
  <r>
    <x v="2"/>
    <x v="11"/>
    <n v="13"/>
    <x v="6"/>
    <d v="2022-03-01T00:00:00"/>
    <n v="0"/>
    <x v="28"/>
  </r>
  <r>
    <x v="2"/>
    <x v="11"/>
    <n v="13"/>
    <x v="6"/>
    <d v="2022-03-01T00:00:00"/>
    <n v="0"/>
    <x v="29"/>
  </r>
  <r>
    <x v="2"/>
    <x v="11"/>
    <n v="13"/>
    <x v="6"/>
    <d v="2022-03-01T00:00:00"/>
    <n v="0"/>
    <x v="30"/>
  </r>
  <r>
    <x v="2"/>
    <x v="11"/>
    <n v="13"/>
    <x v="6"/>
    <d v="2022-03-01T00:00:00"/>
    <n v="0"/>
    <x v="31"/>
  </r>
  <r>
    <x v="2"/>
    <x v="11"/>
    <n v="13"/>
    <x v="6"/>
    <d v="2022-03-01T00:00:00"/>
    <n v="0"/>
    <x v="32"/>
  </r>
  <r>
    <x v="2"/>
    <x v="11"/>
    <n v="13"/>
    <x v="6"/>
    <d v="2022-03-01T00:00:00"/>
    <n v="0"/>
    <x v="33"/>
  </r>
  <r>
    <x v="2"/>
    <x v="11"/>
    <n v="13"/>
    <x v="6"/>
    <d v="2022-03-01T00:00:00"/>
    <n v="0"/>
    <x v="34"/>
  </r>
  <r>
    <x v="2"/>
    <x v="11"/>
    <n v="13"/>
    <x v="6"/>
    <d v="2022-03-01T00:00:00"/>
    <n v="0"/>
    <x v="35"/>
  </r>
  <r>
    <x v="2"/>
    <x v="11"/>
    <n v="13"/>
    <x v="6"/>
    <d v="2022-03-01T00:00:00"/>
    <n v="0"/>
    <x v="36"/>
  </r>
  <r>
    <x v="2"/>
    <x v="11"/>
    <n v="13"/>
    <x v="6"/>
    <d v="2022-03-01T00:00:00"/>
    <n v="0"/>
    <x v="12"/>
  </r>
  <r>
    <x v="2"/>
    <x v="11"/>
    <n v="14"/>
    <x v="7"/>
    <d v="2022-03-01T00:00:00"/>
    <n v="0"/>
    <x v="25"/>
  </r>
  <r>
    <x v="2"/>
    <x v="11"/>
    <n v="14"/>
    <x v="7"/>
    <d v="2022-03-01T00:00:00"/>
    <n v="0"/>
    <x v="26"/>
  </r>
  <r>
    <x v="2"/>
    <x v="11"/>
    <n v="14"/>
    <x v="7"/>
    <d v="2022-03-01T00:00:00"/>
    <n v="0"/>
    <x v="27"/>
  </r>
  <r>
    <x v="2"/>
    <x v="11"/>
    <n v="14"/>
    <x v="7"/>
    <d v="2022-03-01T00:00:00"/>
    <n v="0"/>
    <x v="28"/>
  </r>
  <r>
    <x v="2"/>
    <x v="11"/>
    <n v="14"/>
    <x v="7"/>
    <d v="2022-03-01T00:00:00"/>
    <n v="0"/>
    <x v="29"/>
  </r>
  <r>
    <x v="2"/>
    <x v="11"/>
    <n v="14"/>
    <x v="7"/>
    <d v="2022-03-01T00:00:00"/>
    <n v="0"/>
    <x v="30"/>
  </r>
  <r>
    <x v="2"/>
    <x v="11"/>
    <n v="14"/>
    <x v="7"/>
    <d v="2022-03-01T00:00:00"/>
    <n v="0"/>
    <x v="31"/>
  </r>
  <r>
    <x v="2"/>
    <x v="11"/>
    <n v="14"/>
    <x v="7"/>
    <d v="2022-03-01T00:00:00"/>
    <n v="0"/>
    <x v="32"/>
  </r>
  <r>
    <x v="2"/>
    <x v="11"/>
    <n v="14"/>
    <x v="7"/>
    <d v="2022-03-01T00:00:00"/>
    <n v="0"/>
    <x v="33"/>
  </r>
  <r>
    <x v="2"/>
    <x v="11"/>
    <n v="14"/>
    <x v="7"/>
    <d v="2022-03-01T00:00:00"/>
    <n v="0"/>
    <x v="34"/>
  </r>
  <r>
    <x v="2"/>
    <x v="11"/>
    <n v="14"/>
    <x v="7"/>
    <d v="2022-03-01T00:00:00"/>
    <n v="0"/>
    <x v="35"/>
  </r>
  <r>
    <x v="2"/>
    <x v="11"/>
    <n v="14"/>
    <x v="7"/>
    <d v="2022-03-01T00:00:00"/>
    <n v="0"/>
    <x v="36"/>
  </r>
  <r>
    <x v="2"/>
    <x v="11"/>
    <n v="14"/>
    <x v="7"/>
    <d v="2022-03-01T00:00:00"/>
    <n v="0"/>
    <x v="12"/>
  </r>
  <r>
    <x v="2"/>
    <x v="11"/>
    <n v="15"/>
    <x v="8"/>
    <d v="2022-03-01T00:00:00"/>
    <n v="0"/>
    <x v="25"/>
  </r>
  <r>
    <x v="2"/>
    <x v="11"/>
    <n v="15"/>
    <x v="8"/>
    <d v="2022-03-01T00:00:00"/>
    <n v="0"/>
    <x v="26"/>
  </r>
  <r>
    <x v="2"/>
    <x v="11"/>
    <n v="15"/>
    <x v="8"/>
    <d v="2022-03-01T00:00:00"/>
    <n v="0"/>
    <x v="27"/>
  </r>
  <r>
    <x v="2"/>
    <x v="11"/>
    <n v="15"/>
    <x v="8"/>
    <d v="2022-03-01T00:00:00"/>
    <n v="0"/>
    <x v="28"/>
  </r>
  <r>
    <x v="2"/>
    <x v="11"/>
    <n v="15"/>
    <x v="8"/>
    <d v="2022-03-01T00:00:00"/>
    <n v="0"/>
    <x v="29"/>
  </r>
  <r>
    <x v="2"/>
    <x v="11"/>
    <n v="15"/>
    <x v="8"/>
    <d v="2022-03-01T00:00:00"/>
    <n v="0"/>
    <x v="30"/>
  </r>
  <r>
    <x v="2"/>
    <x v="11"/>
    <n v="15"/>
    <x v="8"/>
    <d v="2022-03-01T00:00:00"/>
    <n v="0"/>
    <x v="31"/>
  </r>
  <r>
    <x v="2"/>
    <x v="11"/>
    <n v="15"/>
    <x v="8"/>
    <d v="2022-03-01T00:00:00"/>
    <n v="0"/>
    <x v="32"/>
  </r>
  <r>
    <x v="2"/>
    <x v="11"/>
    <n v="15"/>
    <x v="8"/>
    <d v="2022-03-01T00:00:00"/>
    <n v="0"/>
    <x v="33"/>
  </r>
  <r>
    <x v="2"/>
    <x v="11"/>
    <n v="15"/>
    <x v="8"/>
    <d v="2022-03-01T00:00:00"/>
    <n v="0"/>
    <x v="34"/>
  </r>
  <r>
    <x v="2"/>
    <x v="11"/>
    <n v="15"/>
    <x v="8"/>
    <d v="2022-03-01T00:00:00"/>
    <n v="0"/>
    <x v="35"/>
  </r>
  <r>
    <x v="2"/>
    <x v="11"/>
    <n v="15"/>
    <x v="8"/>
    <d v="2022-03-01T00:00:00"/>
    <n v="0"/>
    <x v="36"/>
  </r>
  <r>
    <x v="2"/>
    <x v="11"/>
    <n v="15"/>
    <x v="8"/>
    <d v="2022-03-01T00:00:00"/>
    <n v="0"/>
    <x v="12"/>
  </r>
  <r>
    <x v="2"/>
    <x v="12"/>
    <n v="7"/>
    <x v="0"/>
    <d v="2022-03-01T00:00:00"/>
    <n v="18993"/>
    <x v="25"/>
  </r>
  <r>
    <x v="2"/>
    <x v="12"/>
    <n v="7"/>
    <x v="0"/>
    <d v="2022-03-01T00:00:00"/>
    <n v="19651"/>
    <x v="26"/>
  </r>
  <r>
    <x v="2"/>
    <x v="12"/>
    <n v="7"/>
    <x v="0"/>
    <d v="2022-03-01T00:00:00"/>
    <n v="19900"/>
    <x v="27"/>
  </r>
  <r>
    <x v="2"/>
    <x v="12"/>
    <n v="7"/>
    <x v="0"/>
    <d v="2022-03-01T00:00:00"/>
    <n v="24404"/>
    <x v="28"/>
  </r>
  <r>
    <x v="2"/>
    <x v="12"/>
    <n v="7"/>
    <x v="0"/>
    <d v="2022-03-01T00:00:00"/>
    <n v="20246"/>
    <x v="29"/>
  </r>
  <r>
    <x v="2"/>
    <x v="12"/>
    <n v="7"/>
    <x v="0"/>
    <d v="2022-03-01T00:00:00"/>
    <n v="23337"/>
    <x v="30"/>
  </r>
  <r>
    <x v="2"/>
    <x v="12"/>
    <n v="7"/>
    <x v="0"/>
    <d v="2022-03-01T00:00:00"/>
    <n v="21579"/>
    <x v="31"/>
  </r>
  <r>
    <x v="2"/>
    <x v="12"/>
    <n v="7"/>
    <x v="0"/>
    <d v="2022-03-01T00:00:00"/>
    <n v="22855"/>
    <x v="32"/>
  </r>
  <r>
    <x v="2"/>
    <x v="12"/>
    <n v="7"/>
    <x v="0"/>
    <d v="2022-03-01T00:00:00"/>
    <n v="24239"/>
    <x v="33"/>
  </r>
  <r>
    <x v="2"/>
    <x v="12"/>
    <n v="7"/>
    <x v="0"/>
    <d v="2022-03-01T00:00:00"/>
    <n v="22758"/>
    <x v="34"/>
  </r>
  <r>
    <x v="2"/>
    <x v="12"/>
    <n v="7"/>
    <x v="0"/>
    <d v="2022-03-01T00:00:00"/>
    <n v="22771"/>
    <x v="35"/>
  </r>
  <r>
    <x v="2"/>
    <x v="12"/>
    <n v="7"/>
    <x v="0"/>
    <d v="2022-03-01T00:00:00"/>
    <n v="27699"/>
    <x v="36"/>
  </r>
  <r>
    <x v="2"/>
    <x v="12"/>
    <n v="7"/>
    <x v="0"/>
    <d v="2022-03-01T00:00:00"/>
    <n v="268432"/>
    <x v="12"/>
  </r>
  <r>
    <x v="2"/>
    <x v="12"/>
    <n v="8"/>
    <x v="1"/>
    <d v="2022-03-01T00:00:00"/>
    <n v="0"/>
    <x v="25"/>
  </r>
  <r>
    <x v="2"/>
    <x v="12"/>
    <n v="8"/>
    <x v="1"/>
    <d v="2022-03-01T00:00:00"/>
    <n v="0"/>
    <x v="26"/>
  </r>
  <r>
    <x v="2"/>
    <x v="12"/>
    <n v="8"/>
    <x v="1"/>
    <d v="2022-03-01T00:00:00"/>
    <n v="0"/>
    <x v="27"/>
  </r>
  <r>
    <x v="2"/>
    <x v="12"/>
    <n v="8"/>
    <x v="1"/>
    <d v="2022-03-01T00:00:00"/>
    <n v="0"/>
    <x v="28"/>
  </r>
  <r>
    <x v="2"/>
    <x v="12"/>
    <n v="8"/>
    <x v="1"/>
    <d v="2022-03-01T00:00:00"/>
    <n v="0"/>
    <x v="29"/>
  </r>
  <r>
    <x v="2"/>
    <x v="12"/>
    <n v="8"/>
    <x v="1"/>
    <d v="2022-03-01T00:00:00"/>
    <n v="0"/>
    <x v="30"/>
  </r>
  <r>
    <x v="2"/>
    <x v="12"/>
    <n v="8"/>
    <x v="1"/>
    <d v="2022-03-01T00:00:00"/>
    <n v="0"/>
    <x v="31"/>
  </r>
  <r>
    <x v="2"/>
    <x v="12"/>
    <n v="8"/>
    <x v="1"/>
    <d v="2022-03-01T00:00:00"/>
    <n v="0"/>
    <x v="32"/>
  </r>
  <r>
    <x v="2"/>
    <x v="12"/>
    <n v="8"/>
    <x v="1"/>
    <d v="2022-03-01T00:00:00"/>
    <n v="0"/>
    <x v="33"/>
  </r>
  <r>
    <x v="2"/>
    <x v="12"/>
    <n v="8"/>
    <x v="1"/>
    <d v="2022-03-01T00:00:00"/>
    <n v="0"/>
    <x v="34"/>
  </r>
  <r>
    <x v="2"/>
    <x v="12"/>
    <n v="8"/>
    <x v="1"/>
    <d v="2022-03-01T00:00:00"/>
    <n v="0"/>
    <x v="35"/>
  </r>
  <r>
    <x v="2"/>
    <x v="12"/>
    <n v="8"/>
    <x v="1"/>
    <d v="2022-03-01T00:00:00"/>
    <n v="0"/>
    <x v="36"/>
  </r>
  <r>
    <x v="2"/>
    <x v="12"/>
    <n v="8"/>
    <x v="1"/>
    <d v="2022-03-01T00:00:00"/>
    <n v="0"/>
    <x v="12"/>
  </r>
  <r>
    <x v="2"/>
    <x v="12"/>
    <n v="9"/>
    <x v="2"/>
    <d v="2022-03-01T00:00:00"/>
    <n v="0"/>
    <x v="25"/>
  </r>
  <r>
    <x v="2"/>
    <x v="12"/>
    <n v="9"/>
    <x v="2"/>
    <d v="2022-03-01T00:00:00"/>
    <n v="0"/>
    <x v="26"/>
  </r>
  <r>
    <x v="2"/>
    <x v="12"/>
    <n v="9"/>
    <x v="2"/>
    <d v="2022-03-01T00:00:00"/>
    <n v="0"/>
    <x v="27"/>
  </r>
  <r>
    <x v="2"/>
    <x v="12"/>
    <n v="9"/>
    <x v="2"/>
    <d v="2022-03-01T00:00:00"/>
    <n v="0"/>
    <x v="28"/>
  </r>
  <r>
    <x v="2"/>
    <x v="12"/>
    <n v="9"/>
    <x v="2"/>
    <d v="2022-03-01T00:00:00"/>
    <n v="0"/>
    <x v="29"/>
  </r>
  <r>
    <x v="2"/>
    <x v="12"/>
    <n v="9"/>
    <x v="2"/>
    <d v="2022-03-01T00:00:00"/>
    <n v="0"/>
    <x v="30"/>
  </r>
  <r>
    <x v="2"/>
    <x v="12"/>
    <n v="9"/>
    <x v="2"/>
    <d v="2022-03-01T00:00:00"/>
    <n v="0"/>
    <x v="31"/>
  </r>
  <r>
    <x v="2"/>
    <x v="12"/>
    <n v="9"/>
    <x v="2"/>
    <d v="2022-03-01T00:00:00"/>
    <n v="0"/>
    <x v="32"/>
  </r>
  <r>
    <x v="2"/>
    <x v="12"/>
    <n v="9"/>
    <x v="2"/>
    <d v="2022-03-01T00:00:00"/>
    <n v="0"/>
    <x v="33"/>
  </r>
  <r>
    <x v="2"/>
    <x v="12"/>
    <n v="9"/>
    <x v="2"/>
    <d v="2022-03-01T00:00:00"/>
    <n v="0"/>
    <x v="34"/>
  </r>
  <r>
    <x v="2"/>
    <x v="12"/>
    <n v="9"/>
    <x v="2"/>
    <d v="2022-03-01T00:00:00"/>
    <n v="0"/>
    <x v="35"/>
  </r>
  <r>
    <x v="2"/>
    <x v="12"/>
    <n v="9"/>
    <x v="2"/>
    <d v="2022-03-01T00:00:00"/>
    <n v="0"/>
    <x v="36"/>
  </r>
  <r>
    <x v="2"/>
    <x v="12"/>
    <n v="9"/>
    <x v="2"/>
    <d v="2022-03-01T00:00:00"/>
    <n v="0"/>
    <x v="12"/>
  </r>
  <r>
    <x v="2"/>
    <x v="12"/>
    <n v="10"/>
    <x v="3"/>
    <d v="2022-03-01T00:00:00"/>
    <n v="13760"/>
    <x v="25"/>
  </r>
  <r>
    <x v="2"/>
    <x v="12"/>
    <n v="10"/>
    <x v="3"/>
    <d v="2022-03-01T00:00:00"/>
    <n v="14358"/>
    <x v="26"/>
  </r>
  <r>
    <x v="2"/>
    <x v="12"/>
    <n v="10"/>
    <x v="3"/>
    <d v="2022-03-01T00:00:00"/>
    <n v="14500"/>
    <x v="27"/>
  </r>
  <r>
    <x v="2"/>
    <x v="12"/>
    <n v="10"/>
    <x v="3"/>
    <d v="2022-03-01T00:00:00"/>
    <n v="13986"/>
    <x v="28"/>
  </r>
  <r>
    <x v="2"/>
    <x v="12"/>
    <n v="10"/>
    <x v="3"/>
    <d v="2022-03-01T00:00:00"/>
    <n v="14298"/>
    <x v="29"/>
  </r>
  <r>
    <x v="2"/>
    <x v="12"/>
    <n v="10"/>
    <x v="3"/>
    <d v="2022-03-01T00:00:00"/>
    <n v="16784"/>
    <x v="30"/>
  </r>
  <r>
    <x v="2"/>
    <x v="12"/>
    <n v="10"/>
    <x v="3"/>
    <d v="2022-03-01T00:00:00"/>
    <n v="14402"/>
    <x v="31"/>
  </r>
  <r>
    <x v="2"/>
    <x v="12"/>
    <n v="10"/>
    <x v="3"/>
    <d v="2022-03-01T00:00:00"/>
    <n v="15041"/>
    <x v="32"/>
  </r>
  <r>
    <x v="2"/>
    <x v="12"/>
    <n v="10"/>
    <x v="3"/>
    <d v="2022-03-01T00:00:00"/>
    <n v="17260"/>
    <x v="33"/>
  </r>
  <r>
    <x v="2"/>
    <x v="12"/>
    <n v="10"/>
    <x v="3"/>
    <d v="2022-03-01T00:00:00"/>
    <n v="16284"/>
    <x v="34"/>
  </r>
  <r>
    <x v="2"/>
    <x v="12"/>
    <n v="10"/>
    <x v="3"/>
    <d v="2022-03-01T00:00:00"/>
    <n v="15643"/>
    <x v="35"/>
  </r>
  <r>
    <x v="2"/>
    <x v="12"/>
    <n v="10"/>
    <x v="3"/>
    <d v="2022-03-01T00:00:00"/>
    <n v="17498"/>
    <x v="36"/>
  </r>
  <r>
    <x v="2"/>
    <x v="12"/>
    <n v="10"/>
    <x v="3"/>
    <d v="2022-03-01T00:00:00"/>
    <n v="183814"/>
    <x v="12"/>
  </r>
  <r>
    <x v="2"/>
    <x v="12"/>
    <n v="11"/>
    <x v="4"/>
    <d v="2022-03-01T00:00:00"/>
    <n v="3109"/>
    <x v="25"/>
  </r>
  <r>
    <x v="2"/>
    <x v="12"/>
    <n v="11"/>
    <x v="4"/>
    <d v="2022-03-01T00:00:00"/>
    <n v="3334"/>
    <x v="26"/>
  </r>
  <r>
    <x v="2"/>
    <x v="12"/>
    <n v="11"/>
    <x v="4"/>
    <d v="2022-03-01T00:00:00"/>
    <n v="3310"/>
    <x v="27"/>
  </r>
  <r>
    <x v="2"/>
    <x v="12"/>
    <n v="11"/>
    <x v="4"/>
    <d v="2022-03-01T00:00:00"/>
    <n v="3463"/>
    <x v="28"/>
  </r>
  <r>
    <x v="2"/>
    <x v="12"/>
    <n v="11"/>
    <x v="4"/>
    <d v="2022-03-01T00:00:00"/>
    <n v="3474"/>
    <x v="29"/>
  </r>
  <r>
    <x v="2"/>
    <x v="12"/>
    <n v="11"/>
    <x v="4"/>
    <d v="2022-03-01T00:00:00"/>
    <n v="3704"/>
    <x v="30"/>
  </r>
  <r>
    <x v="2"/>
    <x v="12"/>
    <n v="11"/>
    <x v="4"/>
    <d v="2022-03-01T00:00:00"/>
    <n v="3094"/>
    <x v="31"/>
  </r>
  <r>
    <x v="2"/>
    <x v="12"/>
    <n v="11"/>
    <x v="4"/>
    <d v="2022-03-01T00:00:00"/>
    <n v="4274"/>
    <x v="32"/>
  </r>
  <r>
    <x v="2"/>
    <x v="12"/>
    <n v="11"/>
    <x v="4"/>
    <d v="2022-03-01T00:00:00"/>
    <n v="3667"/>
    <x v="33"/>
  </r>
  <r>
    <x v="2"/>
    <x v="12"/>
    <n v="11"/>
    <x v="4"/>
    <d v="2022-03-01T00:00:00"/>
    <n v="4462"/>
    <x v="34"/>
  </r>
  <r>
    <x v="2"/>
    <x v="12"/>
    <n v="11"/>
    <x v="4"/>
    <d v="2022-03-01T00:00:00"/>
    <n v="4514"/>
    <x v="35"/>
  </r>
  <r>
    <x v="2"/>
    <x v="12"/>
    <n v="11"/>
    <x v="4"/>
    <d v="2022-03-01T00:00:00"/>
    <n v="7265"/>
    <x v="36"/>
  </r>
  <r>
    <x v="2"/>
    <x v="12"/>
    <n v="11"/>
    <x v="4"/>
    <d v="2022-03-01T00:00:00"/>
    <n v="47670"/>
    <x v="12"/>
  </r>
  <r>
    <x v="2"/>
    <x v="12"/>
    <n v="12"/>
    <x v="5"/>
    <d v="2022-03-01T00:00:00"/>
    <n v="34"/>
    <x v="25"/>
  </r>
  <r>
    <x v="2"/>
    <x v="12"/>
    <n v="12"/>
    <x v="5"/>
    <d v="2022-03-01T00:00:00"/>
    <n v="35"/>
    <x v="26"/>
  </r>
  <r>
    <x v="2"/>
    <x v="12"/>
    <n v="12"/>
    <x v="5"/>
    <d v="2022-03-01T00:00:00"/>
    <n v="35"/>
    <x v="27"/>
  </r>
  <r>
    <x v="2"/>
    <x v="12"/>
    <n v="12"/>
    <x v="5"/>
    <d v="2022-03-01T00:00:00"/>
    <n v="33"/>
    <x v="28"/>
  </r>
  <r>
    <x v="2"/>
    <x v="12"/>
    <n v="12"/>
    <x v="5"/>
    <d v="2022-03-01T00:00:00"/>
    <n v="35"/>
    <x v="29"/>
  </r>
  <r>
    <x v="2"/>
    <x v="12"/>
    <n v="12"/>
    <x v="5"/>
    <d v="2022-03-01T00:00:00"/>
    <n v="35"/>
    <x v="30"/>
  </r>
  <r>
    <x v="2"/>
    <x v="12"/>
    <n v="12"/>
    <x v="5"/>
    <d v="2022-03-01T00:00:00"/>
    <n v="34"/>
    <x v="31"/>
  </r>
  <r>
    <x v="2"/>
    <x v="12"/>
    <n v="12"/>
    <x v="5"/>
    <d v="2022-03-01T00:00:00"/>
    <n v="35"/>
    <x v="32"/>
  </r>
  <r>
    <x v="2"/>
    <x v="12"/>
    <n v="12"/>
    <x v="5"/>
    <d v="2022-03-01T00:00:00"/>
    <n v="33"/>
    <x v="33"/>
  </r>
  <r>
    <x v="2"/>
    <x v="12"/>
    <n v="12"/>
    <x v="5"/>
    <d v="2022-03-01T00:00:00"/>
    <n v="35"/>
    <x v="34"/>
  </r>
  <r>
    <x v="2"/>
    <x v="12"/>
    <n v="12"/>
    <x v="5"/>
    <d v="2022-03-01T00:00:00"/>
    <n v="35"/>
    <x v="35"/>
  </r>
  <r>
    <x v="2"/>
    <x v="12"/>
    <n v="12"/>
    <x v="5"/>
    <d v="2022-03-01T00:00:00"/>
    <n v="-9"/>
    <x v="36"/>
  </r>
  <r>
    <x v="2"/>
    <x v="12"/>
    <n v="12"/>
    <x v="5"/>
    <d v="2022-03-01T00:00:00"/>
    <n v="370"/>
    <x v="12"/>
  </r>
  <r>
    <x v="2"/>
    <x v="12"/>
    <n v="13"/>
    <x v="6"/>
    <d v="2022-03-01T00:00:00"/>
    <n v="0"/>
    <x v="25"/>
  </r>
  <r>
    <x v="2"/>
    <x v="12"/>
    <n v="13"/>
    <x v="6"/>
    <d v="2022-03-01T00:00:00"/>
    <n v="0"/>
    <x v="26"/>
  </r>
  <r>
    <x v="2"/>
    <x v="12"/>
    <n v="13"/>
    <x v="6"/>
    <d v="2022-03-01T00:00:00"/>
    <n v="0"/>
    <x v="27"/>
  </r>
  <r>
    <x v="2"/>
    <x v="12"/>
    <n v="13"/>
    <x v="6"/>
    <d v="2022-03-01T00:00:00"/>
    <n v="0"/>
    <x v="28"/>
  </r>
  <r>
    <x v="2"/>
    <x v="12"/>
    <n v="13"/>
    <x v="6"/>
    <d v="2022-03-01T00:00:00"/>
    <n v="0"/>
    <x v="29"/>
  </r>
  <r>
    <x v="2"/>
    <x v="12"/>
    <n v="13"/>
    <x v="6"/>
    <d v="2022-03-01T00:00:00"/>
    <n v="0"/>
    <x v="30"/>
  </r>
  <r>
    <x v="2"/>
    <x v="12"/>
    <n v="13"/>
    <x v="6"/>
    <d v="2022-03-01T00:00:00"/>
    <n v="0"/>
    <x v="31"/>
  </r>
  <r>
    <x v="2"/>
    <x v="12"/>
    <n v="13"/>
    <x v="6"/>
    <d v="2022-03-01T00:00:00"/>
    <n v="0"/>
    <x v="32"/>
  </r>
  <r>
    <x v="2"/>
    <x v="12"/>
    <n v="13"/>
    <x v="6"/>
    <d v="2022-03-01T00:00:00"/>
    <n v="0"/>
    <x v="33"/>
  </r>
  <r>
    <x v="2"/>
    <x v="12"/>
    <n v="13"/>
    <x v="6"/>
    <d v="2022-03-01T00:00:00"/>
    <n v="0"/>
    <x v="34"/>
  </r>
  <r>
    <x v="2"/>
    <x v="12"/>
    <n v="13"/>
    <x v="6"/>
    <d v="2022-03-01T00:00:00"/>
    <n v="0"/>
    <x v="35"/>
  </r>
  <r>
    <x v="2"/>
    <x v="12"/>
    <n v="13"/>
    <x v="6"/>
    <d v="2022-03-01T00:00:00"/>
    <n v="0"/>
    <x v="36"/>
  </r>
  <r>
    <x v="2"/>
    <x v="12"/>
    <n v="13"/>
    <x v="6"/>
    <d v="2022-03-01T00:00:00"/>
    <n v="0"/>
    <x v="12"/>
  </r>
  <r>
    <x v="2"/>
    <x v="12"/>
    <n v="14"/>
    <x v="7"/>
    <d v="2022-03-01T00:00:00"/>
    <n v="0"/>
    <x v="25"/>
  </r>
  <r>
    <x v="2"/>
    <x v="12"/>
    <n v="14"/>
    <x v="7"/>
    <d v="2022-03-01T00:00:00"/>
    <n v="0"/>
    <x v="26"/>
  </r>
  <r>
    <x v="2"/>
    <x v="12"/>
    <n v="14"/>
    <x v="7"/>
    <d v="2022-03-01T00:00:00"/>
    <n v="0"/>
    <x v="27"/>
  </r>
  <r>
    <x v="2"/>
    <x v="12"/>
    <n v="14"/>
    <x v="7"/>
    <d v="2022-03-01T00:00:00"/>
    <n v="0"/>
    <x v="28"/>
  </r>
  <r>
    <x v="2"/>
    <x v="12"/>
    <n v="14"/>
    <x v="7"/>
    <d v="2022-03-01T00:00:00"/>
    <n v="0"/>
    <x v="29"/>
  </r>
  <r>
    <x v="2"/>
    <x v="12"/>
    <n v="14"/>
    <x v="7"/>
    <d v="2022-03-01T00:00:00"/>
    <n v="0"/>
    <x v="30"/>
  </r>
  <r>
    <x v="2"/>
    <x v="12"/>
    <n v="14"/>
    <x v="7"/>
    <d v="2022-03-01T00:00:00"/>
    <n v="0"/>
    <x v="31"/>
  </r>
  <r>
    <x v="2"/>
    <x v="12"/>
    <n v="14"/>
    <x v="7"/>
    <d v="2022-03-01T00:00:00"/>
    <n v="0"/>
    <x v="32"/>
  </r>
  <r>
    <x v="2"/>
    <x v="12"/>
    <n v="14"/>
    <x v="7"/>
    <d v="2022-03-01T00:00:00"/>
    <n v="0"/>
    <x v="33"/>
  </r>
  <r>
    <x v="2"/>
    <x v="12"/>
    <n v="14"/>
    <x v="7"/>
    <d v="2022-03-01T00:00:00"/>
    <n v="0"/>
    <x v="34"/>
  </r>
  <r>
    <x v="2"/>
    <x v="12"/>
    <n v="14"/>
    <x v="7"/>
    <d v="2022-03-01T00:00:00"/>
    <n v="0"/>
    <x v="35"/>
  </r>
  <r>
    <x v="2"/>
    <x v="12"/>
    <n v="14"/>
    <x v="7"/>
    <d v="2022-03-01T00:00:00"/>
    <n v="0"/>
    <x v="36"/>
  </r>
  <r>
    <x v="2"/>
    <x v="12"/>
    <n v="14"/>
    <x v="7"/>
    <d v="2022-03-01T00:00:00"/>
    <n v="0"/>
    <x v="12"/>
  </r>
  <r>
    <x v="2"/>
    <x v="12"/>
    <n v="15"/>
    <x v="8"/>
    <d v="2022-03-01T00:00:00"/>
    <n v="0"/>
    <x v="25"/>
  </r>
  <r>
    <x v="2"/>
    <x v="12"/>
    <n v="15"/>
    <x v="8"/>
    <d v="2022-03-01T00:00:00"/>
    <n v="0"/>
    <x v="26"/>
  </r>
  <r>
    <x v="2"/>
    <x v="12"/>
    <n v="15"/>
    <x v="8"/>
    <d v="2022-03-01T00:00:00"/>
    <n v="0"/>
    <x v="27"/>
  </r>
  <r>
    <x v="2"/>
    <x v="12"/>
    <n v="15"/>
    <x v="8"/>
    <d v="2022-03-01T00:00:00"/>
    <n v="0"/>
    <x v="28"/>
  </r>
  <r>
    <x v="2"/>
    <x v="12"/>
    <n v="15"/>
    <x v="8"/>
    <d v="2022-03-01T00:00:00"/>
    <n v="0"/>
    <x v="29"/>
  </r>
  <r>
    <x v="2"/>
    <x v="12"/>
    <n v="15"/>
    <x v="8"/>
    <d v="2022-03-01T00:00:00"/>
    <n v="0"/>
    <x v="30"/>
  </r>
  <r>
    <x v="2"/>
    <x v="12"/>
    <n v="15"/>
    <x v="8"/>
    <d v="2022-03-01T00:00:00"/>
    <n v="0"/>
    <x v="31"/>
  </r>
  <r>
    <x v="2"/>
    <x v="12"/>
    <n v="15"/>
    <x v="8"/>
    <d v="2022-03-01T00:00:00"/>
    <n v="0"/>
    <x v="32"/>
  </r>
  <r>
    <x v="2"/>
    <x v="12"/>
    <n v="15"/>
    <x v="8"/>
    <d v="2022-03-01T00:00:00"/>
    <n v="0"/>
    <x v="33"/>
  </r>
  <r>
    <x v="2"/>
    <x v="12"/>
    <n v="15"/>
    <x v="8"/>
    <d v="2022-03-01T00:00:00"/>
    <n v="0"/>
    <x v="34"/>
  </r>
  <r>
    <x v="2"/>
    <x v="12"/>
    <n v="15"/>
    <x v="8"/>
    <d v="2022-03-01T00:00:00"/>
    <n v="0"/>
    <x v="35"/>
  </r>
  <r>
    <x v="2"/>
    <x v="12"/>
    <n v="15"/>
    <x v="8"/>
    <d v="2022-03-01T00:00:00"/>
    <n v="0"/>
    <x v="36"/>
  </r>
  <r>
    <x v="2"/>
    <x v="12"/>
    <n v="15"/>
    <x v="8"/>
    <d v="2022-03-01T00:00:00"/>
    <n v="0"/>
    <x v="12"/>
  </r>
  <r>
    <x v="2"/>
    <x v="13"/>
    <n v="7"/>
    <x v="0"/>
    <d v="2022-03-01T00:00:00"/>
    <n v="75388"/>
    <x v="25"/>
  </r>
  <r>
    <x v="2"/>
    <x v="13"/>
    <n v="7"/>
    <x v="0"/>
    <d v="2022-03-01T00:00:00"/>
    <n v="75669"/>
    <x v="26"/>
  </r>
  <r>
    <x v="2"/>
    <x v="13"/>
    <n v="7"/>
    <x v="0"/>
    <d v="2022-03-01T00:00:00"/>
    <n v="74727"/>
    <x v="27"/>
  </r>
  <r>
    <x v="2"/>
    <x v="13"/>
    <n v="7"/>
    <x v="0"/>
    <d v="2022-03-01T00:00:00"/>
    <n v="75931"/>
    <x v="28"/>
  </r>
  <r>
    <x v="2"/>
    <x v="13"/>
    <n v="7"/>
    <x v="0"/>
    <d v="2022-03-01T00:00:00"/>
    <n v="75908"/>
    <x v="29"/>
  </r>
  <r>
    <x v="2"/>
    <x v="13"/>
    <n v="7"/>
    <x v="0"/>
    <d v="2022-03-01T00:00:00"/>
    <n v="73873"/>
    <x v="30"/>
  </r>
  <r>
    <x v="2"/>
    <x v="13"/>
    <n v="7"/>
    <x v="0"/>
    <d v="2022-03-01T00:00:00"/>
    <n v="78657"/>
    <x v="31"/>
  </r>
  <r>
    <x v="2"/>
    <x v="13"/>
    <n v="7"/>
    <x v="0"/>
    <d v="2022-03-01T00:00:00"/>
    <n v="75735"/>
    <x v="32"/>
  </r>
  <r>
    <x v="2"/>
    <x v="13"/>
    <n v="7"/>
    <x v="0"/>
    <d v="2022-03-01T00:00:00"/>
    <n v="75818"/>
    <x v="33"/>
  </r>
  <r>
    <x v="2"/>
    <x v="13"/>
    <n v="7"/>
    <x v="0"/>
    <d v="2022-03-01T00:00:00"/>
    <n v="85829"/>
    <x v="34"/>
  </r>
  <r>
    <x v="2"/>
    <x v="13"/>
    <n v="7"/>
    <x v="0"/>
    <d v="2022-03-01T00:00:00"/>
    <n v="80700"/>
    <x v="35"/>
  </r>
  <r>
    <x v="2"/>
    <x v="13"/>
    <n v="7"/>
    <x v="0"/>
    <d v="2022-03-01T00:00:00"/>
    <n v="94847"/>
    <x v="36"/>
  </r>
  <r>
    <x v="2"/>
    <x v="13"/>
    <n v="7"/>
    <x v="0"/>
    <d v="2022-03-01T00:00:00"/>
    <n v="943082"/>
    <x v="12"/>
  </r>
  <r>
    <x v="2"/>
    <x v="13"/>
    <n v="8"/>
    <x v="1"/>
    <d v="2022-03-01T00:00:00"/>
    <n v="0"/>
    <x v="25"/>
  </r>
  <r>
    <x v="2"/>
    <x v="13"/>
    <n v="8"/>
    <x v="1"/>
    <d v="2022-03-01T00:00:00"/>
    <n v="0"/>
    <x v="26"/>
  </r>
  <r>
    <x v="2"/>
    <x v="13"/>
    <n v="8"/>
    <x v="1"/>
    <d v="2022-03-01T00:00:00"/>
    <n v="0"/>
    <x v="27"/>
  </r>
  <r>
    <x v="2"/>
    <x v="13"/>
    <n v="8"/>
    <x v="1"/>
    <d v="2022-03-01T00:00:00"/>
    <n v="0"/>
    <x v="28"/>
  </r>
  <r>
    <x v="2"/>
    <x v="13"/>
    <n v="8"/>
    <x v="1"/>
    <d v="2022-03-01T00:00:00"/>
    <n v="0"/>
    <x v="29"/>
  </r>
  <r>
    <x v="2"/>
    <x v="13"/>
    <n v="8"/>
    <x v="1"/>
    <d v="2022-03-01T00:00:00"/>
    <n v="0"/>
    <x v="30"/>
  </r>
  <r>
    <x v="2"/>
    <x v="13"/>
    <n v="8"/>
    <x v="1"/>
    <d v="2022-03-01T00:00:00"/>
    <n v="0"/>
    <x v="31"/>
  </r>
  <r>
    <x v="2"/>
    <x v="13"/>
    <n v="8"/>
    <x v="1"/>
    <d v="2022-03-01T00:00:00"/>
    <n v="0"/>
    <x v="32"/>
  </r>
  <r>
    <x v="2"/>
    <x v="13"/>
    <n v="8"/>
    <x v="1"/>
    <d v="2022-03-01T00:00:00"/>
    <n v="0"/>
    <x v="33"/>
  </r>
  <r>
    <x v="2"/>
    <x v="13"/>
    <n v="8"/>
    <x v="1"/>
    <d v="2022-03-01T00:00:00"/>
    <n v="0"/>
    <x v="34"/>
  </r>
  <r>
    <x v="2"/>
    <x v="13"/>
    <n v="8"/>
    <x v="1"/>
    <d v="2022-03-01T00:00:00"/>
    <n v="0"/>
    <x v="35"/>
  </r>
  <r>
    <x v="2"/>
    <x v="13"/>
    <n v="8"/>
    <x v="1"/>
    <d v="2022-03-01T00:00:00"/>
    <n v="0"/>
    <x v="36"/>
  </r>
  <r>
    <x v="2"/>
    <x v="13"/>
    <n v="8"/>
    <x v="1"/>
    <d v="2022-03-01T00:00:00"/>
    <n v="0"/>
    <x v="12"/>
  </r>
  <r>
    <x v="2"/>
    <x v="13"/>
    <n v="9"/>
    <x v="2"/>
    <d v="2022-03-01T00:00:00"/>
    <n v="0"/>
    <x v="25"/>
  </r>
  <r>
    <x v="2"/>
    <x v="13"/>
    <n v="9"/>
    <x v="2"/>
    <d v="2022-03-01T00:00:00"/>
    <n v="0"/>
    <x v="26"/>
  </r>
  <r>
    <x v="2"/>
    <x v="13"/>
    <n v="9"/>
    <x v="2"/>
    <d v="2022-03-01T00:00:00"/>
    <n v="0"/>
    <x v="27"/>
  </r>
  <r>
    <x v="2"/>
    <x v="13"/>
    <n v="9"/>
    <x v="2"/>
    <d v="2022-03-01T00:00:00"/>
    <n v="0"/>
    <x v="28"/>
  </r>
  <r>
    <x v="2"/>
    <x v="13"/>
    <n v="9"/>
    <x v="2"/>
    <d v="2022-03-01T00:00:00"/>
    <n v="0"/>
    <x v="29"/>
  </r>
  <r>
    <x v="2"/>
    <x v="13"/>
    <n v="9"/>
    <x v="2"/>
    <d v="2022-03-01T00:00:00"/>
    <n v="0"/>
    <x v="30"/>
  </r>
  <r>
    <x v="2"/>
    <x v="13"/>
    <n v="9"/>
    <x v="2"/>
    <d v="2022-03-01T00:00:00"/>
    <n v="0"/>
    <x v="31"/>
  </r>
  <r>
    <x v="2"/>
    <x v="13"/>
    <n v="9"/>
    <x v="2"/>
    <d v="2022-03-01T00:00:00"/>
    <n v="0"/>
    <x v="32"/>
  </r>
  <r>
    <x v="2"/>
    <x v="13"/>
    <n v="9"/>
    <x v="2"/>
    <d v="2022-03-01T00:00:00"/>
    <n v="0"/>
    <x v="33"/>
  </r>
  <r>
    <x v="2"/>
    <x v="13"/>
    <n v="9"/>
    <x v="2"/>
    <d v="2022-03-01T00:00:00"/>
    <n v="0"/>
    <x v="34"/>
  </r>
  <r>
    <x v="2"/>
    <x v="13"/>
    <n v="9"/>
    <x v="2"/>
    <d v="2022-03-01T00:00:00"/>
    <n v="0"/>
    <x v="35"/>
  </r>
  <r>
    <x v="2"/>
    <x v="13"/>
    <n v="9"/>
    <x v="2"/>
    <d v="2022-03-01T00:00:00"/>
    <n v="0"/>
    <x v="36"/>
  </r>
  <r>
    <x v="2"/>
    <x v="13"/>
    <n v="9"/>
    <x v="2"/>
    <d v="2022-03-01T00:00:00"/>
    <n v="0"/>
    <x v="12"/>
  </r>
  <r>
    <x v="2"/>
    <x v="13"/>
    <n v="10"/>
    <x v="3"/>
    <d v="2022-03-01T00:00:00"/>
    <n v="533"/>
    <x v="25"/>
  </r>
  <r>
    <x v="2"/>
    <x v="13"/>
    <n v="10"/>
    <x v="3"/>
    <d v="2022-03-01T00:00:00"/>
    <n v="584"/>
    <x v="26"/>
  </r>
  <r>
    <x v="2"/>
    <x v="13"/>
    <n v="10"/>
    <x v="3"/>
    <d v="2022-03-01T00:00:00"/>
    <n v="648"/>
    <x v="27"/>
  </r>
  <r>
    <x v="2"/>
    <x v="13"/>
    <n v="10"/>
    <x v="3"/>
    <d v="2022-03-01T00:00:00"/>
    <n v="562"/>
    <x v="28"/>
  </r>
  <r>
    <x v="2"/>
    <x v="13"/>
    <n v="10"/>
    <x v="3"/>
    <d v="2022-03-01T00:00:00"/>
    <n v="544"/>
    <x v="29"/>
  </r>
  <r>
    <x v="2"/>
    <x v="13"/>
    <n v="10"/>
    <x v="3"/>
    <d v="2022-03-01T00:00:00"/>
    <n v="627"/>
    <x v="30"/>
  </r>
  <r>
    <x v="2"/>
    <x v="13"/>
    <n v="10"/>
    <x v="3"/>
    <d v="2022-03-01T00:00:00"/>
    <n v="531"/>
    <x v="31"/>
  </r>
  <r>
    <x v="2"/>
    <x v="13"/>
    <n v="10"/>
    <x v="3"/>
    <d v="2022-03-01T00:00:00"/>
    <n v="598"/>
    <x v="32"/>
  </r>
  <r>
    <x v="2"/>
    <x v="13"/>
    <n v="10"/>
    <x v="3"/>
    <d v="2022-03-01T00:00:00"/>
    <n v="569"/>
    <x v="33"/>
  </r>
  <r>
    <x v="2"/>
    <x v="13"/>
    <n v="10"/>
    <x v="3"/>
    <d v="2022-03-01T00:00:00"/>
    <n v="621"/>
    <x v="34"/>
  </r>
  <r>
    <x v="2"/>
    <x v="13"/>
    <n v="10"/>
    <x v="3"/>
    <d v="2022-03-01T00:00:00"/>
    <n v="598"/>
    <x v="35"/>
  </r>
  <r>
    <x v="2"/>
    <x v="13"/>
    <n v="10"/>
    <x v="3"/>
    <d v="2022-03-01T00:00:00"/>
    <n v="838"/>
    <x v="36"/>
  </r>
  <r>
    <x v="2"/>
    <x v="13"/>
    <n v="10"/>
    <x v="3"/>
    <d v="2022-03-01T00:00:00"/>
    <n v="7253"/>
    <x v="12"/>
  </r>
  <r>
    <x v="2"/>
    <x v="13"/>
    <n v="11"/>
    <x v="4"/>
    <d v="2022-03-01T00:00:00"/>
    <n v="119"/>
    <x v="25"/>
  </r>
  <r>
    <x v="2"/>
    <x v="13"/>
    <n v="11"/>
    <x v="4"/>
    <d v="2022-03-01T00:00:00"/>
    <n v="119"/>
    <x v="26"/>
  </r>
  <r>
    <x v="2"/>
    <x v="13"/>
    <n v="11"/>
    <x v="4"/>
    <d v="2022-03-01T00:00:00"/>
    <n v="119"/>
    <x v="27"/>
  </r>
  <r>
    <x v="2"/>
    <x v="13"/>
    <n v="11"/>
    <x v="4"/>
    <d v="2022-03-01T00:00:00"/>
    <n v="119"/>
    <x v="28"/>
  </r>
  <r>
    <x v="2"/>
    <x v="13"/>
    <n v="11"/>
    <x v="4"/>
    <d v="2022-03-01T00:00:00"/>
    <n v="119"/>
    <x v="29"/>
  </r>
  <r>
    <x v="2"/>
    <x v="13"/>
    <n v="11"/>
    <x v="4"/>
    <d v="2022-03-01T00:00:00"/>
    <n v="119"/>
    <x v="30"/>
  </r>
  <r>
    <x v="2"/>
    <x v="13"/>
    <n v="11"/>
    <x v="4"/>
    <d v="2022-03-01T00:00:00"/>
    <n v="119"/>
    <x v="31"/>
  </r>
  <r>
    <x v="2"/>
    <x v="13"/>
    <n v="11"/>
    <x v="4"/>
    <d v="2022-03-01T00:00:00"/>
    <n v="119"/>
    <x v="32"/>
  </r>
  <r>
    <x v="2"/>
    <x v="13"/>
    <n v="11"/>
    <x v="4"/>
    <d v="2022-03-01T00:00:00"/>
    <n v="119"/>
    <x v="33"/>
  </r>
  <r>
    <x v="2"/>
    <x v="13"/>
    <n v="11"/>
    <x v="4"/>
    <d v="2022-03-01T00:00:00"/>
    <n v="119"/>
    <x v="34"/>
  </r>
  <r>
    <x v="2"/>
    <x v="13"/>
    <n v="11"/>
    <x v="4"/>
    <d v="2022-03-01T00:00:00"/>
    <n v="119"/>
    <x v="35"/>
  </r>
  <r>
    <x v="2"/>
    <x v="13"/>
    <n v="11"/>
    <x v="4"/>
    <d v="2022-03-01T00:00:00"/>
    <n v="119"/>
    <x v="36"/>
  </r>
  <r>
    <x v="2"/>
    <x v="13"/>
    <n v="11"/>
    <x v="4"/>
    <d v="2022-03-01T00:00:00"/>
    <n v="1428"/>
    <x v="12"/>
  </r>
  <r>
    <x v="2"/>
    <x v="13"/>
    <n v="12"/>
    <x v="5"/>
    <d v="2022-03-01T00:00:00"/>
    <n v="0"/>
    <x v="25"/>
  </r>
  <r>
    <x v="2"/>
    <x v="13"/>
    <n v="12"/>
    <x v="5"/>
    <d v="2022-03-01T00:00:00"/>
    <n v="0"/>
    <x v="26"/>
  </r>
  <r>
    <x v="2"/>
    <x v="13"/>
    <n v="12"/>
    <x v="5"/>
    <d v="2022-03-01T00:00:00"/>
    <n v="0"/>
    <x v="27"/>
  </r>
  <r>
    <x v="2"/>
    <x v="13"/>
    <n v="12"/>
    <x v="5"/>
    <d v="2022-03-01T00:00:00"/>
    <n v="0"/>
    <x v="28"/>
  </r>
  <r>
    <x v="2"/>
    <x v="13"/>
    <n v="12"/>
    <x v="5"/>
    <d v="2022-03-01T00:00:00"/>
    <n v="0"/>
    <x v="29"/>
  </r>
  <r>
    <x v="2"/>
    <x v="13"/>
    <n v="12"/>
    <x v="5"/>
    <d v="2022-03-01T00:00:00"/>
    <n v="0"/>
    <x v="30"/>
  </r>
  <r>
    <x v="2"/>
    <x v="13"/>
    <n v="12"/>
    <x v="5"/>
    <d v="2022-03-01T00:00:00"/>
    <n v="0"/>
    <x v="31"/>
  </r>
  <r>
    <x v="2"/>
    <x v="13"/>
    <n v="12"/>
    <x v="5"/>
    <d v="2022-03-01T00:00:00"/>
    <n v="0"/>
    <x v="32"/>
  </r>
  <r>
    <x v="2"/>
    <x v="13"/>
    <n v="12"/>
    <x v="5"/>
    <d v="2022-03-01T00:00:00"/>
    <n v="0"/>
    <x v="33"/>
  </r>
  <r>
    <x v="2"/>
    <x v="13"/>
    <n v="12"/>
    <x v="5"/>
    <d v="2022-03-01T00:00:00"/>
    <n v="0"/>
    <x v="34"/>
  </r>
  <r>
    <x v="2"/>
    <x v="13"/>
    <n v="12"/>
    <x v="5"/>
    <d v="2022-03-01T00:00:00"/>
    <n v="0"/>
    <x v="35"/>
  </r>
  <r>
    <x v="2"/>
    <x v="13"/>
    <n v="12"/>
    <x v="5"/>
    <d v="2022-03-01T00:00:00"/>
    <n v="0"/>
    <x v="36"/>
  </r>
  <r>
    <x v="2"/>
    <x v="13"/>
    <n v="12"/>
    <x v="5"/>
    <d v="2022-03-01T00:00:00"/>
    <n v="0"/>
    <x v="12"/>
  </r>
  <r>
    <x v="2"/>
    <x v="13"/>
    <n v="13"/>
    <x v="6"/>
    <d v="2022-03-01T00:00:00"/>
    <n v="72491"/>
    <x v="25"/>
  </r>
  <r>
    <x v="2"/>
    <x v="13"/>
    <n v="13"/>
    <x v="6"/>
    <d v="2022-03-01T00:00:00"/>
    <n v="72721"/>
    <x v="26"/>
  </r>
  <r>
    <x v="2"/>
    <x v="13"/>
    <n v="13"/>
    <x v="6"/>
    <d v="2022-03-01T00:00:00"/>
    <n v="71715"/>
    <x v="27"/>
  </r>
  <r>
    <x v="2"/>
    <x v="13"/>
    <n v="13"/>
    <x v="6"/>
    <d v="2022-03-01T00:00:00"/>
    <n v="72405"/>
    <x v="28"/>
  </r>
  <r>
    <x v="2"/>
    <x v="13"/>
    <n v="13"/>
    <x v="6"/>
    <d v="2022-03-01T00:00:00"/>
    <n v="71400"/>
    <x v="29"/>
  </r>
  <r>
    <x v="2"/>
    <x v="13"/>
    <n v="13"/>
    <x v="6"/>
    <d v="2022-03-01T00:00:00"/>
    <n v="70182"/>
    <x v="30"/>
  </r>
  <r>
    <x v="2"/>
    <x v="13"/>
    <n v="13"/>
    <x v="6"/>
    <d v="2022-03-01T00:00:00"/>
    <n v="75279"/>
    <x v="31"/>
  </r>
  <r>
    <x v="2"/>
    <x v="13"/>
    <n v="13"/>
    <x v="6"/>
    <d v="2022-03-01T00:00:00"/>
    <n v="72860"/>
    <x v="32"/>
  </r>
  <r>
    <x v="2"/>
    <x v="13"/>
    <n v="13"/>
    <x v="6"/>
    <d v="2022-03-01T00:00:00"/>
    <n v="72985"/>
    <x v="33"/>
  </r>
  <r>
    <x v="2"/>
    <x v="13"/>
    <n v="13"/>
    <x v="6"/>
    <d v="2022-03-01T00:00:00"/>
    <n v="82369"/>
    <x v="34"/>
  </r>
  <r>
    <x v="2"/>
    <x v="13"/>
    <n v="13"/>
    <x v="6"/>
    <d v="2022-03-01T00:00:00"/>
    <n v="76420"/>
    <x v="35"/>
  </r>
  <r>
    <x v="2"/>
    <x v="13"/>
    <n v="13"/>
    <x v="6"/>
    <d v="2022-03-01T00:00:00"/>
    <n v="86803"/>
    <x v="36"/>
  </r>
  <r>
    <x v="2"/>
    <x v="13"/>
    <n v="13"/>
    <x v="6"/>
    <d v="2022-03-01T00:00:00"/>
    <n v="897630"/>
    <x v="12"/>
  </r>
  <r>
    <x v="2"/>
    <x v="13"/>
    <n v="14"/>
    <x v="7"/>
    <d v="2022-03-01T00:00:00"/>
    <n v="0"/>
    <x v="25"/>
  </r>
  <r>
    <x v="2"/>
    <x v="13"/>
    <n v="14"/>
    <x v="7"/>
    <d v="2022-03-01T00:00:00"/>
    <n v="0"/>
    <x v="26"/>
  </r>
  <r>
    <x v="2"/>
    <x v="13"/>
    <n v="14"/>
    <x v="7"/>
    <d v="2022-03-01T00:00:00"/>
    <n v="0"/>
    <x v="27"/>
  </r>
  <r>
    <x v="2"/>
    <x v="13"/>
    <n v="14"/>
    <x v="7"/>
    <d v="2022-03-01T00:00:00"/>
    <n v="0"/>
    <x v="28"/>
  </r>
  <r>
    <x v="2"/>
    <x v="13"/>
    <n v="14"/>
    <x v="7"/>
    <d v="2022-03-01T00:00:00"/>
    <n v="0"/>
    <x v="29"/>
  </r>
  <r>
    <x v="2"/>
    <x v="13"/>
    <n v="14"/>
    <x v="7"/>
    <d v="2022-03-01T00:00:00"/>
    <n v="0"/>
    <x v="30"/>
  </r>
  <r>
    <x v="2"/>
    <x v="13"/>
    <n v="14"/>
    <x v="7"/>
    <d v="2022-03-01T00:00:00"/>
    <n v="0"/>
    <x v="31"/>
  </r>
  <r>
    <x v="2"/>
    <x v="13"/>
    <n v="14"/>
    <x v="7"/>
    <d v="2022-03-01T00:00:00"/>
    <n v="0"/>
    <x v="32"/>
  </r>
  <r>
    <x v="2"/>
    <x v="13"/>
    <n v="14"/>
    <x v="7"/>
    <d v="2022-03-01T00:00:00"/>
    <n v="0"/>
    <x v="33"/>
  </r>
  <r>
    <x v="2"/>
    <x v="13"/>
    <n v="14"/>
    <x v="7"/>
    <d v="2022-03-01T00:00:00"/>
    <n v="0"/>
    <x v="34"/>
  </r>
  <r>
    <x v="2"/>
    <x v="13"/>
    <n v="14"/>
    <x v="7"/>
    <d v="2022-03-01T00:00:00"/>
    <n v="0"/>
    <x v="35"/>
  </r>
  <r>
    <x v="2"/>
    <x v="13"/>
    <n v="14"/>
    <x v="7"/>
    <d v="2022-03-01T00:00:00"/>
    <n v="0"/>
    <x v="36"/>
  </r>
  <r>
    <x v="2"/>
    <x v="13"/>
    <n v="14"/>
    <x v="7"/>
    <d v="2022-03-01T00:00:00"/>
    <n v="0"/>
    <x v="12"/>
  </r>
  <r>
    <x v="2"/>
    <x v="13"/>
    <n v="15"/>
    <x v="8"/>
    <d v="2022-03-01T00:00:00"/>
    <n v="0"/>
    <x v="25"/>
  </r>
  <r>
    <x v="2"/>
    <x v="13"/>
    <n v="15"/>
    <x v="8"/>
    <d v="2022-03-01T00:00:00"/>
    <n v="0"/>
    <x v="26"/>
  </r>
  <r>
    <x v="2"/>
    <x v="13"/>
    <n v="15"/>
    <x v="8"/>
    <d v="2022-03-01T00:00:00"/>
    <n v="0"/>
    <x v="27"/>
  </r>
  <r>
    <x v="2"/>
    <x v="13"/>
    <n v="15"/>
    <x v="8"/>
    <d v="2022-03-01T00:00:00"/>
    <n v="0"/>
    <x v="28"/>
  </r>
  <r>
    <x v="2"/>
    <x v="13"/>
    <n v="15"/>
    <x v="8"/>
    <d v="2022-03-01T00:00:00"/>
    <n v="0"/>
    <x v="29"/>
  </r>
  <r>
    <x v="2"/>
    <x v="13"/>
    <n v="15"/>
    <x v="8"/>
    <d v="2022-03-01T00:00:00"/>
    <n v="0"/>
    <x v="30"/>
  </r>
  <r>
    <x v="2"/>
    <x v="13"/>
    <n v="15"/>
    <x v="8"/>
    <d v="2022-03-01T00:00:00"/>
    <n v="0"/>
    <x v="31"/>
  </r>
  <r>
    <x v="2"/>
    <x v="13"/>
    <n v="15"/>
    <x v="8"/>
    <d v="2022-03-01T00:00:00"/>
    <n v="0"/>
    <x v="32"/>
  </r>
  <r>
    <x v="2"/>
    <x v="13"/>
    <n v="15"/>
    <x v="8"/>
    <d v="2022-03-01T00:00:00"/>
    <n v="0"/>
    <x v="33"/>
  </r>
  <r>
    <x v="2"/>
    <x v="13"/>
    <n v="15"/>
    <x v="8"/>
    <d v="2022-03-01T00:00:00"/>
    <n v="0"/>
    <x v="34"/>
  </r>
  <r>
    <x v="2"/>
    <x v="13"/>
    <n v="15"/>
    <x v="8"/>
    <d v="2022-03-01T00:00:00"/>
    <n v="0"/>
    <x v="35"/>
  </r>
  <r>
    <x v="2"/>
    <x v="13"/>
    <n v="15"/>
    <x v="8"/>
    <d v="2022-03-01T00:00:00"/>
    <n v="0"/>
    <x v="36"/>
  </r>
  <r>
    <x v="2"/>
    <x v="13"/>
    <n v="15"/>
    <x v="8"/>
    <d v="2022-03-01T00:00:00"/>
    <n v="0"/>
    <x v="12"/>
  </r>
  <r>
    <x v="3"/>
    <x v="0"/>
    <n v="7"/>
    <x v="0"/>
    <d v="2023-03-01T00:00:00"/>
    <n v="137283"/>
    <x v="37"/>
  </r>
  <r>
    <x v="3"/>
    <x v="0"/>
    <n v="7"/>
    <x v="0"/>
    <d v="2023-03-01T00:00:00"/>
    <n v="138959"/>
    <x v="38"/>
  </r>
  <r>
    <x v="3"/>
    <x v="0"/>
    <n v="7"/>
    <x v="0"/>
    <d v="2023-03-01T00:00:00"/>
    <n v="137084"/>
    <x v="39"/>
  </r>
  <r>
    <x v="3"/>
    <x v="0"/>
    <n v="7"/>
    <x v="0"/>
    <d v="2023-03-01T00:00:00"/>
    <n v="132648"/>
    <x v="40"/>
  </r>
  <r>
    <x v="3"/>
    <x v="0"/>
    <n v="7"/>
    <x v="0"/>
    <d v="2023-03-01T00:00:00"/>
    <n v="136883"/>
    <x v="41"/>
  </r>
  <r>
    <x v="3"/>
    <x v="0"/>
    <n v="7"/>
    <x v="0"/>
    <d v="2023-03-01T00:00:00"/>
    <n v="150983"/>
    <x v="42"/>
  </r>
  <r>
    <x v="3"/>
    <x v="0"/>
    <n v="7"/>
    <x v="0"/>
    <d v="2023-03-01T00:00:00"/>
    <n v="129745"/>
    <x v="43"/>
  </r>
  <r>
    <x v="3"/>
    <x v="0"/>
    <n v="7"/>
    <x v="0"/>
    <d v="2023-03-01T00:00:00"/>
    <n v="143715"/>
    <x v="44"/>
  </r>
  <r>
    <x v="3"/>
    <x v="0"/>
    <n v="7"/>
    <x v="0"/>
    <d v="2023-03-01T00:00:00"/>
    <n v="147299"/>
    <x v="45"/>
  </r>
  <r>
    <x v="3"/>
    <x v="0"/>
    <n v="7"/>
    <x v="0"/>
    <d v="2023-03-01T00:00:00"/>
    <n v="145744"/>
    <x v="46"/>
  </r>
  <r>
    <x v="3"/>
    <x v="0"/>
    <n v="7"/>
    <x v="0"/>
    <d v="2023-03-01T00:00:00"/>
    <n v="151343"/>
    <x v="47"/>
  </r>
  <r>
    <x v="3"/>
    <x v="0"/>
    <n v="7"/>
    <x v="0"/>
    <d v="2023-03-01T00:00:00"/>
    <n v="195488.88699999999"/>
    <x v="48"/>
  </r>
  <r>
    <x v="3"/>
    <x v="0"/>
    <n v="7"/>
    <x v="0"/>
    <d v="2023-03-01T00:00:00"/>
    <n v="1747174.8870000001"/>
    <x v="12"/>
  </r>
  <r>
    <x v="3"/>
    <x v="0"/>
    <n v="8"/>
    <x v="1"/>
    <d v="2023-03-01T00:00:00"/>
    <n v="14731"/>
    <x v="37"/>
  </r>
  <r>
    <x v="3"/>
    <x v="0"/>
    <n v="8"/>
    <x v="1"/>
    <d v="2023-03-01T00:00:00"/>
    <n v="15648"/>
    <x v="38"/>
  </r>
  <r>
    <x v="3"/>
    <x v="0"/>
    <n v="8"/>
    <x v="1"/>
    <d v="2023-03-01T00:00:00"/>
    <n v="15694"/>
    <x v="39"/>
  </r>
  <r>
    <x v="3"/>
    <x v="0"/>
    <n v="8"/>
    <x v="1"/>
    <d v="2023-03-01T00:00:00"/>
    <n v="14239"/>
    <x v="40"/>
  </r>
  <r>
    <x v="3"/>
    <x v="0"/>
    <n v="8"/>
    <x v="1"/>
    <d v="2023-03-01T00:00:00"/>
    <n v="15588"/>
    <x v="41"/>
  </r>
  <r>
    <x v="3"/>
    <x v="0"/>
    <n v="8"/>
    <x v="1"/>
    <d v="2023-03-01T00:00:00"/>
    <n v="15962"/>
    <x v="42"/>
  </r>
  <r>
    <x v="3"/>
    <x v="0"/>
    <n v="8"/>
    <x v="1"/>
    <d v="2023-03-01T00:00:00"/>
    <n v="16067"/>
    <x v="43"/>
  </r>
  <r>
    <x v="3"/>
    <x v="0"/>
    <n v="8"/>
    <x v="1"/>
    <d v="2023-03-01T00:00:00"/>
    <n v="18213"/>
    <x v="44"/>
  </r>
  <r>
    <x v="3"/>
    <x v="0"/>
    <n v="8"/>
    <x v="1"/>
    <d v="2023-03-01T00:00:00"/>
    <n v="16120"/>
    <x v="45"/>
  </r>
  <r>
    <x v="3"/>
    <x v="0"/>
    <n v="8"/>
    <x v="1"/>
    <d v="2023-03-01T00:00:00"/>
    <n v="15644"/>
    <x v="46"/>
  </r>
  <r>
    <x v="3"/>
    <x v="0"/>
    <n v="8"/>
    <x v="1"/>
    <d v="2023-03-01T00:00:00"/>
    <n v="17331"/>
    <x v="47"/>
  </r>
  <r>
    <x v="3"/>
    <x v="0"/>
    <n v="8"/>
    <x v="1"/>
    <d v="2023-03-01T00:00:00"/>
    <n v="17454"/>
    <x v="48"/>
  </r>
  <r>
    <x v="3"/>
    <x v="0"/>
    <n v="8"/>
    <x v="1"/>
    <d v="2023-03-01T00:00:00"/>
    <n v="192691"/>
    <x v="12"/>
  </r>
  <r>
    <x v="3"/>
    <x v="0"/>
    <n v="9"/>
    <x v="2"/>
    <d v="2023-03-01T00:00:00"/>
    <n v="8733"/>
    <x v="37"/>
  </r>
  <r>
    <x v="3"/>
    <x v="0"/>
    <n v="9"/>
    <x v="2"/>
    <d v="2023-03-01T00:00:00"/>
    <n v="8767"/>
    <x v="38"/>
  </r>
  <r>
    <x v="3"/>
    <x v="0"/>
    <n v="9"/>
    <x v="2"/>
    <d v="2023-03-01T00:00:00"/>
    <n v="8845"/>
    <x v="39"/>
  </r>
  <r>
    <x v="3"/>
    <x v="0"/>
    <n v="9"/>
    <x v="2"/>
    <d v="2023-03-01T00:00:00"/>
    <n v="8783"/>
    <x v="40"/>
  </r>
  <r>
    <x v="3"/>
    <x v="0"/>
    <n v="9"/>
    <x v="2"/>
    <d v="2023-03-01T00:00:00"/>
    <n v="9320"/>
    <x v="41"/>
  </r>
  <r>
    <x v="3"/>
    <x v="0"/>
    <n v="9"/>
    <x v="2"/>
    <d v="2023-03-01T00:00:00"/>
    <n v="9332"/>
    <x v="42"/>
  </r>
  <r>
    <x v="3"/>
    <x v="0"/>
    <n v="9"/>
    <x v="2"/>
    <d v="2023-03-01T00:00:00"/>
    <n v="9552"/>
    <x v="43"/>
  </r>
  <r>
    <x v="3"/>
    <x v="0"/>
    <n v="9"/>
    <x v="2"/>
    <d v="2023-03-01T00:00:00"/>
    <n v="9535"/>
    <x v="44"/>
  </r>
  <r>
    <x v="3"/>
    <x v="0"/>
    <n v="9"/>
    <x v="2"/>
    <d v="2023-03-01T00:00:00"/>
    <n v="9732"/>
    <x v="45"/>
  </r>
  <r>
    <x v="3"/>
    <x v="0"/>
    <n v="9"/>
    <x v="2"/>
    <d v="2023-03-01T00:00:00"/>
    <n v="9804"/>
    <x v="46"/>
  </r>
  <r>
    <x v="3"/>
    <x v="0"/>
    <n v="9"/>
    <x v="2"/>
    <d v="2023-03-01T00:00:00"/>
    <n v="9912"/>
    <x v="47"/>
  </r>
  <r>
    <x v="3"/>
    <x v="0"/>
    <n v="9"/>
    <x v="2"/>
    <d v="2023-03-01T00:00:00"/>
    <n v="12016"/>
    <x v="48"/>
  </r>
  <r>
    <x v="3"/>
    <x v="0"/>
    <n v="9"/>
    <x v="2"/>
    <d v="2023-03-01T00:00:00"/>
    <n v="114331"/>
    <x v="12"/>
  </r>
  <r>
    <x v="3"/>
    <x v="0"/>
    <n v="10"/>
    <x v="3"/>
    <d v="2023-03-01T00:00:00"/>
    <n v="55828"/>
    <x v="37"/>
  </r>
  <r>
    <x v="3"/>
    <x v="0"/>
    <n v="10"/>
    <x v="3"/>
    <d v="2023-03-01T00:00:00"/>
    <n v="57512"/>
    <x v="38"/>
  </r>
  <r>
    <x v="3"/>
    <x v="0"/>
    <n v="10"/>
    <x v="3"/>
    <d v="2023-03-01T00:00:00"/>
    <n v="56156"/>
    <x v="39"/>
  </r>
  <r>
    <x v="3"/>
    <x v="0"/>
    <n v="10"/>
    <x v="3"/>
    <d v="2023-03-01T00:00:00"/>
    <n v="55972"/>
    <x v="40"/>
  </r>
  <r>
    <x v="3"/>
    <x v="0"/>
    <n v="10"/>
    <x v="3"/>
    <d v="2023-03-01T00:00:00"/>
    <n v="55212"/>
    <x v="41"/>
  </r>
  <r>
    <x v="3"/>
    <x v="0"/>
    <n v="10"/>
    <x v="3"/>
    <d v="2023-03-01T00:00:00"/>
    <n v="69059"/>
    <x v="42"/>
  </r>
  <r>
    <x v="3"/>
    <x v="0"/>
    <n v="10"/>
    <x v="3"/>
    <d v="2023-03-01T00:00:00"/>
    <n v="58701"/>
    <x v="43"/>
  </r>
  <r>
    <x v="3"/>
    <x v="0"/>
    <n v="10"/>
    <x v="3"/>
    <d v="2023-03-01T00:00:00"/>
    <n v="59267"/>
    <x v="44"/>
  </r>
  <r>
    <x v="3"/>
    <x v="0"/>
    <n v="10"/>
    <x v="3"/>
    <d v="2023-03-01T00:00:00"/>
    <n v="57246"/>
    <x v="45"/>
  </r>
  <r>
    <x v="3"/>
    <x v="0"/>
    <n v="10"/>
    <x v="3"/>
    <d v="2023-03-01T00:00:00"/>
    <n v="59571"/>
    <x v="46"/>
  </r>
  <r>
    <x v="3"/>
    <x v="0"/>
    <n v="10"/>
    <x v="3"/>
    <d v="2023-03-01T00:00:00"/>
    <n v="59138"/>
    <x v="47"/>
  </r>
  <r>
    <x v="3"/>
    <x v="0"/>
    <n v="10"/>
    <x v="3"/>
    <d v="2023-03-01T00:00:00"/>
    <n v="103343"/>
    <x v="48"/>
  </r>
  <r>
    <x v="3"/>
    <x v="0"/>
    <n v="10"/>
    <x v="3"/>
    <d v="2023-03-01T00:00:00"/>
    <n v="747005"/>
    <x v="12"/>
  </r>
  <r>
    <x v="3"/>
    <x v="0"/>
    <n v="11"/>
    <x v="4"/>
    <d v="2023-03-01T00:00:00"/>
    <n v="11736"/>
    <x v="37"/>
  </r>
  <r>
    <x v="3"/>
    <x v="0"/>
    <n v="11"/>
    <x v="4"/>
    <d v="2023-03-01T00:00:00"/>
    <n v="10949"/>
    <x v="38"/>
  </r>
  <r>
    <x v="3"/>
    <x v="0"/>
    <n v="11"/>
    <x v="4"/>
    <d v="2023-03-01T00:00:00"/>
    <n v="12076"/>
    <x v="39"/>
  </r>
  <r>
    <x v="3"/>
    <x v="0"/>
    <n v="11"/>
    <x v="4"/>
    <d v="2023-03-01T00:00:00"/>
    <n v="10090"/>
    <x v="40"/>
  </r>
  <r>
    <x v="3"/>
    <x v="0"/>
    <n v="11"/>
    <x v="4"/>
    <d v="2023-03-01T00:00:00"/>
    <n v="10968"/>
    <x v="41"/>
  </r>
  <r>
    <x v="3"/>
    <x v="0"/>
    <n v="11"/>
    <x v="4"/>
    <d v="2023-03-01T00:00:00"/>
    <n v="12663"/>
    <x v="42"/>
  </r>
  <r>
    <x v="3"/>
    <x v="0"/>
    <n v="11"/>
    <x v="4"/>
    <d v="2023-03-01T00:00:00"/>
    <n v="12973"/>
    <x v="43"/>
  </r>
  <r>
    <x v="3"/>
    <x v="0"/>
    <n v="11"/>
    <x v="4"/>
    <d v="2023-03-01T00:00:00"/>
    <n v="12136"/>
    <x v="44"/>
  </r>
  <r>
    <x v="3"/>
    <x v="0"/>
    <n v="11"/>
    <x v="4"/>
    <d v="2023-03-01T00:00:00"/>
    <n v="13341"/>
    <x v="45"/>
  </r>
  <r>
    <x v="3"/>
    <x v="0"/>
    <n v="11"/>
    <x v="4"/>
    <d v="2023-03-01T00:00:00"/>
    <n v="13891"/>
    <x v="46"/>
  </r>
  <r>
    <x v="3"/>
    <x v="0"/>
    <n v="11"/>
    <x v="4"/>
    <d v="2023-03-01T00:00:00"/>
    <n v="11929"/>
    <x v="47"/>
  </r>
  <r>
    <x v="3"/>
    <x v="0"/>
    <n v="11"/>
    <x v="4"/>
    <d v="2023-03-01T00:00:00"/>
    <n v="14875"/>
    <x v="48"/>
  </r>
  <r>
    <x v="3"/>
    <x v="0"/>
    <n v="11"/>
    <x v="4"/>
    <d v="2023-03-01T00:00:00"/>
    <n v="147627"/>
    <x v="12"/>
  </r>
  <r>
    <x v="3"/>
    <x v="0"/>
    <n v="12"/>
    <x v="5"/>
    <d v="2023-03-01T00:00:00"/>
    <n v="4527"/>
    <x v="37"/>
  </r>
  <r>
    <x v="3"/>
    <x v="0"/>
    <n v="12"/>
    <x v="5"/>
    <d v="2023-03-01T00:00:00"/>
    <n v="5283"/>
    <x v="38"/>
  </r>
  <r>
    <x v="3"/>
    <x v="0"/>
    <n v="12"/>
    <x v="5"/>
    <d v="2023-03-01T00:00:00"/>
    <n v="4943"/>
    <x v="39"/>
  </r>
  <r>
    <x v="3"/>
    <x v="0"/>
    <n v="12"/>
    <x v="5"/>
    <d v="2023-03-01T00:00:00"/>
    <n v="4937"/>
    <x v="40"/>
  </r>
  <r>
    <x v="3"/>
    <x v="0"/>
    <n v="12"/>
    <x v="5"/>
    <d v="2023-03-01T00:00:00"/>
    <n v="5196"/>
    <x v="41"/>
  </r>
  <r>
    <x v="3"/>
    <x v="0"/>
    <n v="12"/>
    <x v="5"/>
    <d v="2023-03-01T00:00:00"/>
    <n v="5390"/>
    <x v="42"/>
  </r>
  <r>
    <x v="3"/>
    <x v="0"/>
    <n v="12"/>
    <x v="5"/>
    <d v="2023-03-01T00:00:00"/>
    <n v="4742"/>
    <x v="43"/>
  </r>
  <r>
    <x v="3"/>
    <x v="0"/>
    <n v="12"/>
    <x v="5"/>
    <d v="2023-03-01T00:00:00"/>
    <n v="5147"/>
    <x v="44"/>
  </r>
  <r>
    <x v="3"/>
    <x v="0"/>
    <n v="12"/>
    <x v="5"/>
    <d v="2023-03-01T00:00:00"/>
    <n v="5365"/>
    <x v="45"/>
  </r>
  <r>
    <x v="3"/>
    <x v="0"/>
    <n v="12"/>
    <x v="5"/>
    <d v="2023-03-01T00:00:00"/>
    <n v="5641"/>
    <x v="46"/>
  </r>
  <r>
    <x v="3"/>
    <x v="0"/>
    <n v="12"/>
    <x v="5"/>
    <d v="2023-03-01T00:00:00"/>
    <n v="4845"/>
    <x v="47"/>
  </r>
  <r>
    <x v="3"/>
    <x v="0"/>
    <n v="12"/>
    <x v="5"/>
    <d v="2023-03-01T00:00:00"/>
    <n v="5648"/>
    <x v="48"/>
  </r>
  <r>
    <x v="3"/>
    <x v="0"/>
    <n v="12"/>
    <x v="5"/>
    <d v="2023-03-01T00:00:00"/>
    <n v="61664"/>
    <x v="12"/>
  </r>
  <r>
    <x v="3"/>
    <x v="0"/>
    <n v="13"/>
    <x v="6"/>
    <d v="2023-03-01T00:00:00"/>
    <n v="26003"/>
    <x v="37"/>
  </r>
  <r>
    <x v="3"/>
    <x v="0"/>
    <n v="13"/>
    <x v="6"/>
    <d v="2023-03-01T00:00:00"/>
    <n v="26107"/>
    <x v="38"/>
  </r>
  <r>
    <x v="3"/>
    <x v="0"/>
    <n v="13"/>
    <x v="6"/>
    <d v="2023-03-01T00:00:00"/>
    <n v="25764"/>
    <x v="39"/>
  </r>
  <r>
    <x v="3"/>
    <x v="0"/>
    <n v="13"/>
    <x v="6"/>
    <d v="2023-03-01T00:00:00"/>
    <n v="26588"/>
    <x v="40"/>
  </r>
  <r>
    <x v="3"/>
    <x v="0"/>
    <n v="13"/>
    <x v="6"/>
    <d v="2023-03-01T00:00:00"/>
    <n v="25129"/>
    <x v="41"/>
  </r>
  <r>
    <x v="3"/>
    <x v="0"/>
    <n v="13"/>
    <x v="6"/>
    <d v="2023-03-01T00:00:00"/>
    <n v="25421"/>
    <x v="42"/>
  </r>
  <r>
    <x v="3"/>
    <x v="0"/>
    <n v="13"/>
    <x v="6"/>
    <d v="2023-03-01T00:00:00"/>
    <n v="24869"/>
    <x v="43"/>
  </r>
  <r>
    <x v="3"/>
    <x v="0"/>
    <n v="13"/>
    <x v="6"/>
    <d v="2023-03-01T00:00:00"/>
    <n v="24413"/>
    <x v="44"/>
  </r>
  <r>
    <x v="3"/>
    <x v="0"/>
    <n v="13"/>
    <x v="6"/>
    <d v="2023-03-01T00:00:00"/>
    <n v="29058"/>
    <x v="45"/>
  </r>
  <r>
    <x v="3"/>
    <x v="0"/>
    <n v="13"/>
    <x v="6"/>
    <d v="2023-03-01T00:00:00"/>
    <n v="25720"/>
    <x v="46"/>
  </r>
  <r>
    <x v="3"/>
    <x v="0"/>
    <n v="13"/>
    <x v="6"/>
    <d v="2023-03-01T00:00:00"/>
    <n v="30349"/>
    <x v="47"/>
  </r>
  <r>
    <x v="3"/>
    <x v="0"/>
    <n v="13"/>
    <x v="6"/>
    <d v="2023-03-01T00:00:00"/>
    <n v="27629"/>
    <x v="48"/>
  </r>
  <r>
    <x v="3"/>
    <x v="0"/>
    <n v="13"/>
    <x v="6"/>
    <d v="2023-03-01T00:00:00"/>
    <n v="317050"/>
    <x v="12"/>
  </r>
  <r>
    <x v="3"/>
    <x v="0"/>
    <n v="14"/>
    <x v="7"/>
    <d v="2023-03-01T00:00:00"/>
    <n v="0"/>
    <x v="37"/>
  </r>
  <r>
    <x v="3"/>
    <x v="0"/>
    <n v="14"/>
    <x v="7"/>
    <d v="2023-03-01T00:00:00"/>
    <n v="0"/>
    <x v="38"/>
  </r>
  <r>
    <x v="3"/>
    <x v="0"/>
    <n v="14"/>
    <x v="7"/>
    <d v="2023-03-01T00:00:00"/>
    <n v="0"/>
    <x v="39"/>
  </r>
  <r>
    <x v="3"/>
    <x v="0"/>
    <n v="14"/>
    <x v="7"/>
    <d v="2023-03-01T00:00:00"/>
    <n v="0"/>
    <x v="40"/>
  </r>
  <r>
    <x v="3"/>
    <x v="0"/>
    <n v="14"/>
    <x v="7"/>
    <d v="2023-03-01T00:00:00"/>
    <n v="0"/>
    <x v="41"/>
  </r>
  <r>
    <x v="3"/>
    <x v="0"/>
    <n v="14"/>
    <x v="7"/>
    <d v="2023-03-01T00:00:00"/>
    <n v="0"/>
    <x v="42"/>
  </r>
  <r>
    <x v="3"/>
    <x v="0"/>
    <n v="14"/>
    <x v="7"/>
    <d v="2023-03-01T00:00:00"/>
    <n v="0"/>
    <x v="43"/>
  </r>
  <r>
    <x v="3"/>
    <x v="0"/>
    <n v="14"/>
    <x v="7"/>
    <d v="2023-03-01T00:00:00"/>
    <n v="0"/>
    <x v="44"/>
  </r>
  <r>
    <x v="3"/>
    <x v="0"/>
    <n v="14"/>
    <x v="7"/>
    <d v="2023-03-01T00:00:00"/>
    <n v="0"/>
    <x v="45"/>
  </r>
  <r>
    <x v="3"/>
    <x v="0"/>
    <n v="14"/>
    <x v="7"/>
    <d v="2023-03-01T00:00:00"/>
    <n v="0"/>
    <x v="46"/>
  </r>
  <r>
    <x v="3"/>
    <x v="0"/>
    <n v="14"/>
    <x v="7"/>
    <d v="2023-03-01T00:00:00"/>
    <n v="0"/>
    <x v="47"/>
  </r>
  <r>
    <x v="3"/>
    <x v="0"/>
    <n v="14"/>
    <x v="7"/>
    <d v="2023-03-01T00:00:00"/>
    <n v="0"/>
    <x v="48"/>
  </r>
  <r>
    <x v="3"/>
    <x v="0"/>
    <n v="14"/>
    <x v="7"/>
    <d v="2023-03-01T00:00:00"/>
    <n v="0"/>
    <x v="12"/>
  </r>
  <r>
    <x v="3"/>
    <x v="0"/>
    <n v="15"/>
    <x v="8"/>
    <d v="2023-03-01T00:00:00"/>
    <n v="9497"/>
    <x v="37"/>
  </r>
  <r>
    <x v="3"/>
    <x v="0"/>
    <n v="15"/>
    <x v="8"/>
    <d v="2023-03-01T00:00:00"/>
    <n v="8176"/>
    <x v="38"/>
  </r>
  <r>
    <x v="3"/>
    <x v="0"/>
    <n v="15"/>
    <x v="8"/>
    <d v="2023-03-01T00:00:00"/>
    <n v="8512"/>
    <x v="39"/>
  </r>
  <r>
    <x v="3"/>
    <x v="0"/>
    <n v="15"/>
    <x v="8"/>
    <d v="2023-03-01T00:00:00"/>
    <n v="10526"/>
    <x v="40"/>
  </r>
  <r>
    <x v="3"/>
    <x v="0"/>
    <n v="15"/>
    <x v="8"/>
    <d v="2023-03-01T00:00:00"/>
    <n v="9329"/>
    <x v="41"/>
  </r>
  <r>
    <x v="3"/>
    <x v="0"/>
    <n v="15"/>
    <x v="8"/>
    <d v="2023-03-01T00:00:00"/>
    <n v="9886"/>
    <x v="42"/>
  </r>
  <r>
    <x v="3"/>
    <x v="0"/>
    <n v="15"/>
    <x v="8"/>
    <d v="2023-03-01T00:00:00"/>
    <n v="8811"/>
    <x v="43"/>
  </r>
  <r>
    <x v="3"/>
    <x v="0"/>
    <n v="15"/>
    <x v="8"/>
    <d v="2023-03-01T00:00:00"/>
    <n v="9514"/>
    <x v="44"/>
  </r>
  <r>
    <x v="3"/>
    <x v="0"/>
    <n v="15"/>
    <x v="8"/>
    <d v="2023-03-01T00:00:00"/>
    <n v="9528"/>
    <x v="45"/>
  </r>
  <r>
    <x v="3"/>
    <x v="0"/>
    <n v="15"/>
    <x v="8"/>
    <d v="2023-03-01T00:00:00"/>
    <n v="9285"/>
    <x v="46"/>
  </r>
  <r>
    <x v="3"/>
    <x v="0"/>
    <n v="15"/>
    <x v="8"/>
    <d v="2023-03-01T00:00:00"/>
    <n v="7468"/>
    <x v="47"/>
  </r>
  <r>
    <x v="3"/>
    <x v="0"/>
    <n v="15"/>
    <x v="8"/>
    <d v="2023-03-01T00:00:00"/>
    <n v="9868"/>
    <x v="48"/>
  </r>
  <r>
    <x v="3"/>
    <x v="0"/>
    <n v="15"/>
    <x v="8"/>
    <d v="2023-03-01T00:00:00"/>
    <n v="110400"/>
    <x v="12"/>
  </r>
  <r>
    <x v="3"/>
    <x v="1"/>
    <n v="7"/>
    <x v="0"/>
    <d v="2023-03-01T00:00:00"/>
    <n v="164175"/>
    <x v="37"/>
  </r>
  <r>
    <x v="3"/>
    <x v="1"/>
    <n v="7"/>
    <x v="0"/>
    <d v="2023-03-01T00:00:00"/>
    <n v="162396"/>
    <x v="38"/>
  </r>
  <r>
    <x v="3"/>
    <x v="1"/>
    <n v="7"/>
    <x v="0"/>
    <d v="2023-03-01T00:00:00"/>
    <n v="163819"/>
    <x v="39"/>
  </r>
  <r>
    <x v="3"/>
    <x v="1"/>
    <n v="7"/>
    <x v="0"/>
    <d v="2023-03-01T00:00:00"/>
    <n v="170733"/>
    <x v="40"/>
  </r>
  <r>
    <x v="3"/>
    <x v="1"/>
    <n v="7"/>
    <x v="0"/>
    <d v="2023-03-01T00:00:00"/>
    <n v="172741"/>
    <x v="41"/>
  </r>
  <r>
    <x v="3"/>
    <x v="1"/>
    <n v="7"/>
    <x v="0"/>
    <d v="2023-03-01T00:00:00"/>
    <n v="187122"/>
    <x v="42"/>
  </r>
  <r>
    <x v="3"/>
    <x v="1"/>
    <n v="7"/>
    <x v="0"/>
    <d v="2023-03-01T00:00:00"/>
    <n v="170898"/>
    <x v="43"/>
  </r>
  <r>
    <x v="3"/>
    <x v="1"/>
    <n v="7"/>
    <x v="0"/>
    <d v="2023-03-01T00:00:00"/>
    <n v="171284"/>
    <x v="44"/>
  </r>
  <r>
    <x v="3"/>
    <x v="1"/>
    <n v="7"/>
    <x v="0"/>
    <d v="2023-03-01T00:00:00"/>
    <n v="172317"/>
    <x v="45"/>
  </r>
  <r>
    <x v="3"/>
    <x v="1"/>
    <n v="7"/>
    <x v="0"/>
    <d v="2023-03-01T00:00:00"/>
    <n v="173837"/>
    <x v="46"/>
  </r>
  <r>
    <x v="3"/>
    <x v="1"/>
    <n v="7"/>
    <x v="0"/>
    <d v="2023-03-01T00:00:00"/>
    <n v="179306"/>
    <x v="47"/>
  </r>
  <r>
    <x v="3"/>
    <x v="1"/>
    <n v="7"/>
    <x v="0"/>
    <d v="2023-03-01T00:00:00"/>
    <n v="255152"/>
    <x v="48"/>
  </r>
  <r>
    <x v="3"/>
    <x v="1"/>
    <n v="7"/>
    <x v="0"/>
    <d v="2023-03-01T00:00:00"/>
    <n v="2143780"/>
    <x v="12"/>
  </r>
  <r>
    <x v="3"/>
    <x v="1"/>
    <n v="8"/>
    <x v="1"/>
    <d v="2023-03-01T00:00:00"/>
    <n v="18117"/>
    <x v="37"/>
  </r>
  <r>
    <x v="3"/>
    <x v="1"/>
    <n v="8"/>
    <x v="1"/>
    <d v="2023-03-01T00:00:00"/>
    <n v="17906"/>
    <x v="38"/>
  </r>
  <r>
    <x v="3"/>
    <x v="1"/>
    <n v="8"/>
    <x v="1"/>
    <d v="2023-03-01T00:00:00"/>
    <n v="16529"/>
    <x v="39"/>
  </r>
  <r>
    <x v="3"/>
    <x v="1"/>
    <n v="8"/>
    <x v="1"/>
    <d v="2023-03-01T00:00:00"/>
    <n v="18135"/>
    <x v="40"/>
  </r>
  <r>
    <x v="3"/>
    <x v="1"/>
    <n v="8"/>
    <x v="1"/>
    <d v="2023-03-01T00:00:00"/>
    <n v="17415"/>
    <x v="41"/>
  </r>
  <r>
    <x v="3"/>
    <x v="1"/>
    <n v="8"/>
    <x v="1"/>
    <d v="2023-03-01T00:00:00"/>
    <n v="18117"/>
    <x v="42"/>
  </r>
  <r>
    <x v="3"/>
    <x v="1"/>
    <n v="8"/>
    <x v="1"/>
    <d v="2023-03-01T00:00:00"/>
    <n v="18719"/>
    <x v="43"/>
  </r>
  <r>
    <x v="3"/>
    <x v="1"/>
    <n v="8"/>
    <x v="1"/>
    <d v="2023-03-01T00:00:00"/>
    <n v="22109"/>
    <x v="44"/>
  </r>
  <r>
    <x v="3"/>
    <x v="1"/>
    <n v="8"/>
    <x v="1"/>
    <d v="2023-03-01T00:00:00"/>
    <n v="18909"/>
    <x v="45"/>
  </r>
  <r>
    <x v="3"/>
    <x v="1"/>
    <n v="8"/>
    <x v="1"/>
    <d v="2023-03-01T00:00:00"/>
    <n v="19628"/>
    <x v="46"/>
  </r>
  <r>
    <x v="3"/>
    <x v="1"/>
    <n v="8"/>
    <x v="1"/>
    <d v="2023-03-01T00:00:00"/>
    <n v="18988"/>
    <x v="47"/>
  </r>
  <r>
    <x v="3"/>
    <x v="1"/>
    <n v="8"/>
    <x v="1"/>
    <d v="2023-03-01T00:00:00"/>
    <n v="17541"/>
    <x v="48"/>
  </r>
  <r>
    <x v="3"/>
    <x v="1"/>
    <n v="8"/>
    <x v="1"/>
    <d v="2023-03-01T00:00:00"/>
    <n v="222113"/>
    <x v="12"/>
  </r>
  <r>
    <x v="3"/>
    <x v="1"/>
    <n v="9"/>
    <x v="2"/>
    <d v="2023-03-01T00:00:00"/>
    <n v="8696"/>
    <x v="37"/>
  </r>
  <r>
    <x v="3"/>
    <x v="1"/>
    <n v="9"/>
    <x v="2"/>
    <d v="2023-03-01T00:00:00"/>
    <n v="8772"/>
    <x v="38"/>
  </r>
  <r>
    <x v="3"/>
    <x v="1"/>
    <n v="9"/>
    <x v="2"/>
    <d v="2023-03-01T00:00:00"/>
    <n v="9930"/>
    <x v="39"/>
  </r>
  <r>
    <x v="3"/>
    <x v="1"/>
    <n v="9"/>
    <x v="2"/>
    <d v="2023-03-01T00:00:00"/>
    <n v="10087"/>
    <x v="40"/>
  </r>
  <r>
    <x v="3"/>
    <x v="1"/>
    <n v="9"/>
    <x v="2"/>
    <d v="2023-03-01T00:00:00"/>
    <n v="10344"/>
    <x v="41"/>
  </r>
  <r>
    <x v="3"/>
    <x v="1"/>
    <n v="9"/>
    <x v="2"/>
    <d v="2023-03-01T00:00:00"/>
    <n v="10503"/>
    <x v="42"/>
  </r>
  <r>
    <x v="3"/>
    <x v="1"/>
    <n v="9"/>
    <x v="2"/>
    <d v="2023-03-01T00:00:00"/>
    <n v="9917"/>
    <x v="43"/>
  </r>
  <r>
    <x v="3"/>
    <x v="1"/>
    <n v="9"/>
    <x v="2"/>
    <d v="2023-03-01T00:00:00"/>
    <n v="9936"/>
    <x v="44"/>
  </r>
  <r>
    <x v="3"/>
    <x v="1"/>
    <n v="9"/>
    <x v="2"/>
    <d v="2023-03-01T00:00:00"/>
    <n v="10197"/>
    <x v="45"/>
  </r>
  <r>
    <x v="3"/>
    <x v="1"/>
    <n v="9"/>
    <x v="2"/>
    <d v="2023-03-01T00:00:00"/>
    <n v="10353"/>
    <x v="46"/>
  </r>
  <r>
    <x v="3"/>
    <x v="1"/>
    <n v="9"/>
    <x v="2"/>
    <d v="2023-03-01T00:00:00"/>
    <n v="10266"/>
    <x v="47"/>
  </r>
  <r>
    <x v="3"/>
    <x v="1"/>
    <n v="9"/>
    <x v="2"/>
    <d v="2023-03-01T00:00:00"/>
    <n v="11818"/>
    <x v="48"/>
  </r>
  <r>
    <x v="3"/>
    <x v="1"/>
    <n v="9"/>
    <x v="2"/>
    <d v="2023-03-01T00:00:00"/>
    <n v="120819"/>
    <x v="12"/>
  </r>
  <r>
    <x v="3"/>
    <x v="1"/>
    <n v="10"/>
    <x v="3"/>
    <d v="2023-03-01T00:00:00"/>
    <n v="76620"/>
    <x v="37"/>
  </r>
  <r>
    <x v="3"/>
    <x v="1"/>
    <n v="10"/>
    <x v="3"/>
    <d v="2023-03-01T00:00:00"/>
    <n v="73442"/>
    <x v="38"/>
  </r>
  <r>
    <x v="3"/>
    <x v="1"/>
    <n v="10"/>
    <x v="3"/>
    <d v="2023-03-01T00:00:00"/>
    <n v="75384"/>
    <x v="39"/>
  </r>
  <r>
    <x v="3"/>
    <x v="1"/>
    <n v="10"/>
    <x v="3"/>
    <d v="2023-03-01T00:00:00"/>
    <n v="76336"/>
    <x v="40"/>
  </r>
  <r>
    <x v="3"/>
    <x v="1"/>
    <n v="10"/>
    <x v="3"/>
    <d v="2023-03-01T00:00:00"/>
    <n v="75084"/>
    <x v="41"/>
  </r>
  <r>
    <x v="3"/>
    <x v="1"/>
    <n v="10"/>
    <x v="3"/>
    <d v="2023-03-01T00:00:00"/>
    <n v="95804"/>
    <x v="42"/>
  </r>
  <r>
    <x v="3"/>
    <x v="1"/>
    <n v="10"/>
    <x v="3"/>
    <d v="2023-03-01T00:00:00"/>
    <n v="79428"/>
    <x v="43"/>
  </r>
  <r>
    <x v="3"/>
    <x v="1"/>
    <n v="10"/>
    <x v="3"/>
    <d v="2023-03-01T00:00:00"/>
    <n v="79684"/>
    <x v="44"/>
  </r>
  <r>
    <x v="3"/>
    <x v="1"/>
    <n v="10"/>
    <x v="3"/>
    <d v="2023-03-01T00:00:00"/>
    <n v="75126"/>
    <x v="45"/>
  </r>
  <r>
    <x v="3"/>
    <x v="1"/>
    <n v="10"/>
    <x v="3"/>
    <d v="2023-03-01T00:00:00"/>
    <n v="80774"/>
    <x v="46"/>
  </r>
  <r>
    <x v="3"/>
    <x v="1"/>
    <n v="10"/>
    <x v="3"/>
    <d v="2023-03-01T00:00:00"/>
    <n v="81475"/>
    <x v="47"/>
  </r>
  <r>
    <x v="3"/>
    <x v="1"/>
    <n v="10"/>
    <x v="3"/>
    <d v="2023-03-01T00:00:00"/>
    <n v="142445"/>
    <x v="48"/>
  </r>
  <r>
    <x v="3"/>
    <x v="1"/>
    <n v="10"/>
    <x v="3"/>
    <d v="2023-03-01T00:00:00"/>
    <n v="1011602"/>
    <x v="12"/>
  </r>
  <r>
    <x v="3"/>
    <x v="1"/>
    <n v="11"/>
    <x v="4"/>
    <d v="2023-03-01T00:00:00"/>
    <n v="15727"/>
    <x v="37"/>
  </r>
  <r>
    <x v="3"/>
    <x v="1"/>
    <n v="11"/>
    <x v="4"/>
    <d v="2023-03-01T00:00:00"/>
    <n v="15984"/>
    <x v="38"/>
  </r>
  <r>
    <x v="3"/>
    <x v="1"/>
    <n v="11"/>
    <x v="4"/>
    <d v="2023-03-01T00:00:00"/>
    <n v="17801"/>
    <x v="39"/>
  </r>
  <r>
    <x v="3"/>
    <x v="1"/>
    <n v="11"/>
    <x v="4"/>
    <d v="2023-03-01T00:00:00"/>
    <n v="13728"/>
    <x v="40"/>
  </r>
  <r>
    <x v="3"/>
    <x v="1"/>
    <n v="11"/>
    <x v="4"/>
    <d v="2023-03-01T00:00:00"/>
    <n v="19442"/>
    <x v="41"/>
  </r>
  <r>
    <x v="3"/>
    <x v="1"/>
    <n v="11"/>
    <x v="4"/>
    <d v="2023-03-01T00:00:00"/>
    <n v="19295"/>
    <x v="42"/>
  </r>
  <r>
    <x v="3"/>
    <x v="1"/>
    <n v="11"/>
    <x v="4"/>
    <d v="2023-03-01T00:00:00"/>
    <n v="17657"/>
    <x v="43"/>
  </r>
  <r>
    <x v="3"/>
    <x v="1"/>
    <n v="11"/>
    <x v="4"/>
    <d v="2023-03-01T00:00:00"/>
    <n v="15311"/>
    <x v="44"/>
  </r>
  <r>
    <x v="3"/>
    <x v="1"/>
    <n v="11"/>
    <x v="4"/>
    <d v="2023-03-01T00:00:00"/>
    <n v="19687"/>
    <x v="45"/>
  </r>
  <r>
    <x v="3"/>
    <x v="1"/>
    <n v="11"/>
    <x v="4"/>
    <d v="2023-03-01T00:00:00"/>
    <n v="16256"/>
    <x v="46"/>
  </r>
  <r>
    <x v="3"/>
    <x v="1"/>
    <n v="11"/>
    <x v="4"/>
    <d v="2023-03-01T00:00:00"/>
    <n v="17756"/>
    <x v="47"/>
  </r>
  <r>
    <x v="3"/>
    <x v="1"/>
    <n v="11"/>
    <x v="4"/>
    <d v="2023-03-01T00:00:00"/>
    <n v="21873"/>
    <x v="48"/>
  </r>
  <r>
    <x v="3"/>
    <x v="1"/>
    <n v="11"/>
    <x v="4"/>
    <d v="2023-03-01T00:00:00"/>
    <n v="210517"/>
    <x v="12"/>
  </r>
  <r>
    <x v="3"/>
    <x v="1"/>
    <n v="12"/>
    <x v="5"/>
    <d v="2023-03-01T00:00:00"/>
    <n v="6977"/>
    <x v="37"/>
  </r>
  <r>
    <x v="3"/>
    <x v="1"/>
    <n v="12"/>
    <x v="5"/>
    <d v="2023-03-01T00:00:00"/>
    <n v="7289"/>
    <x v="38"/>
  </r>
  <r>
    <x v="3"/>
    <x v="1"/>
    <n v="12"/>
    <x v="5"/>
    <d v="2023-03-01T00:00:00"/>
    <n v="5359"/>
    <x v="39"/>
  </r>
  <r>
    <x v="3"/>
    <x v="1"/>
    <n v="12"/>
    <x v="5"/>
    <d v="2023-03-01T00:00:00"/>
    <n v="6659"/>
    <x v="40"/>
  </r>
  <r>
    <x v="3"/>
    <x v="1"/>
    <n v="12"/>
    <x v="5"/>
    <d v="2023-03-01T00:00:00"/>
    <n v="7189"/>
    <x v="41"/>
  </r>
  <r>
    <x v="3"/>
    <x v="1"/>
    <n v="12"/>
    <x v="5"/>
    <d v="2023-03-01T00:00:00"/>
    <n v="7151"/>
    <x v="42"/>
  </r>
  <r>
    <x v="3"/>
    <x v="1"/>
    <n v="12"/>
    <x v="5"/>
    <d v="2023-03-01T00:00:00"/>
    <n v="7033"/>
    <x v="43"/>
  </r>
  <r>
    <x v="3"/>
    <x v="1"/>
    <n v="12"/>
    <x v="5"/>
    <d v="2023-03-01T00:00:00"/>
    <n v="7427"/>
    <x v="44"/>
  </r>
  <r>
    <x v="3"/>
    <x v="1"/>
    <n v="12"/>
    <x v="5"/>
    <d v="2023-03-01T00:00:00"/>
    <n v="7129"/>
    <x v="45"/>
  </r>
  <r>
    <x v="3"/>
    <x v="1"/>
    <n v="12"/>
    <x v="5"/>
    <d v="2023-03-01T00:00:00"/>
    <n v="7419"/>
    <x v="46"/>
  </r>
  <r>
    <x v="3"/>
    <x v="1"/>
    <n v="12"/>
    <x v="5"/>
    <d v="2023-03-01T00:00:00"/>
    <n v="7543"/>
    <x v="47"/>
  </r>
  <r>
    <x v="3"/>
    <x v="1"/>
    <n v="12"/>
    <x v="5"/>
    <d v="2023-03-01T00:00:00"/>
    <n v="5707"/>
    <x v="48"/>
  </r>
  <r>
    <x v="3"/>
    <x v="1"/>
    <n v="12"/>
    <x v="5"/>
    <d v="2023-03-01T00:00:00"/>
    <n v="82882"/>
    <x v="12"/>
  </r>
  <r>
    <x v="3"/>
    <x v="1"/>
    <n v="13"/>
    <x v="6"/>
    <d v="2023-03-01T00:00:00"/>
    <n v="25124"/>
    <x v="37"/>
  </r>
  <r>
    <x v="3"/>
    <x v="1"/>
    <n v="13"/>
    <x v="6"/>
    <d v="2023-03-01T00:00:00"/>
    <n v="25745"/>
    <x v="38"/>
  </r>
  <r>
    <x v="3"/>
    <x v="1"/>
    <n v="13"/>
    <x v="6"/>
    <d v="2023-03-01T00:00:00"/>
    <n v="24684"/>
    <x v="39"/>
  </r>
  <r>
    <x v="3"/>
    <x v="1"/>
    <n v="13"/>
    <x v="6"/>
    <d v="2023-03-01T00:00:00"/>
    <n v="27886"/>
    <x v="40"/>
  </r>
  <r>
    <x v="3"/>
    <x v="1"/>
    <n v="13"/>
    <x v="6"/>
    <d v="2023-03-01T00:00:00"/>
    <n v="24680"/>
    <x v="41"/>
  </r>
  <r>
    <x v="3"/>
    <x v="1"/>
    <n v="13"/>
    <x v="6"/>
    <d v="2023-03-01T00:00:00"/>
    <n v="25733"/>
    <x v="42"/>
  </r>
  <r>
    <x v="3"/>
    <x v="1"/>
    <n v="13"/>
    <x v="6"/>
    <d v="2023-03-01T00:00:00"/>
    <n v="24628"/>
    <x v="43"/>
  </r>
  <r>
    <x v="3"/>
    <x v="1"/>
    <n v="13"/>
    <x v="6"/>
    <d v="2023-03-01T00:00:00"/>
    <n v="21548"/>
    <x v="44"/>
  </r>
  <r>
    <x v="3"/>
    <x v="1"/>
    <n v="13"/>
    <x v="6"/>
    <d v="2023-03-01T00:00:00"/>
    <n v="27893"/>
    <x v="45"/>
  </r>
  <r>
    <x v="3"/>
    <x v="1"/>
    <n v="13"/>
    <x v="6"/>
    <d v="2023-03-01T00:00:00"/>
    <n v="27179"/>
    <x v="46"/>
  </r>
  <r>
    <x v="3"/>
    <x v="1"/>
    <n v="13"/>
    <x v="6"/>
    <d v="2023-03-01T00:00:00"/>
    <n v="31087"/>
    <x v="47"/>
  </r>
  <r>
    <x v="3"/>
    <x v="1"/>
    <n v="13"/>
    <x v="6"/>
    <d v="2023-03-01T00:00:00"/>
    <n v="26066"/>
    <x v="48"/>
  </r>
  <r>
    <x v="3"/>
    <x v="1"/>
    <n v="13"/>
    <x v="6"/>
    <d v="2023-03-01T00:00:00"/>
    <n v="312253"/>
    <x v="12"/>
  </r>
  <r>
    <x v="3"/>
    <x v="1"/>
    <n v="14"/>
    <x v="7"/>
    <d v="2023-03-01T00:00:00"/>
    <n v="0"/>
    <x v="37"/>
  </r>
  <r>
    <x v="3"/>
    <x v="1"/>
    <n v="14"/>
    <x v="7"/>
    <d v="2023-03-01T00:00:00"/>
    <n v="0"/>
    <x v="38"/>
  </r>
  <r>
    <x v="3"/>
    <x v="1"/>
    <n v="14"/>
    <x v="7"/>
    <d v="2023-03-01T00:00:00"/>
    <n v="0"/>
    <x v="39"/>
  </r>
  <r>
    <x v="3"/>
    <x v="1"/>
    <n v="14"/>
    <x v="7"/>
    <d v="2023-03-01T00:00:00"/>
    <n v="0"/>
    <x v="40"/>
  </r>
  <r>
    <x v="3"/>
    <x v="1"/>
    <n v="14"/>
    <x v="7"/>
    <d v="2023-03-01T00:00:00"/>
    <n v="0"/>
    <x v="41"/>
  </r>
  <r>
    <x v="3"/>
    <x v="1"/>
    <n v="14"/>
    <x v="7"/>
    <d v="2023-03-01T00:00:00"/>
    <n v="0"/>
    <x v="42"/>
  </r>
  <r>
    <x v="3"/>
    <x v="1"/>
    <n v="14"/>
    <x v="7"/>
    <d v="2023-03-01T00:00:00"/>
    <n v="0"/>
    <x v="43"/>
  </r>
  <r>
    <x v="3"/>
    <x v="1"/>
    <n v="14"/>
    <x v="7"/>
    <d v="2023-03-01T00:00:00"/>
    <n v="0"/>
    <x v="44"/>
  </r>
  <r>
    <x v="3"/>
    <x v="1"/>
    <n v="14"/>
    <x v="7"/>
    <d v="2023-03-01T00:00:00"/>
    <n v="0"/>
    <x v="45"/>
  </r>
  <r>
    <x v="3"/>
    <x v="1"/>
    <n v="14"/>
    <x v="7"/>
    <d v="2023-03-01T00:00:00"/>
    <n v="0"/>
    <x v="46"/>
  </r>
  <r>
    <x v="3"/>
    <x v="1"/>
    <n v="14"/>
    <x v="7"/>
    <d v="2023-03-01T00:00:00"/>
    <n v="0"/>
    <x v="47"/>
  </r>
  <r>
    <x v="3"/>
    <x v="1"/>
    <n v="14"/>
    <x v="7"/>
    <d v="2023-03-01T00:00:00"/>
    <n v="0"/>
    <x v="48"/>
  </r>
  <r>
    <x v="3"/>
    <x v="1"/>
    <n v="14"/>
    <x v="7"/>
    <d v="2023-03-01T00:00:00"/>
    <n v="0"/>
    <x v="12"/>
  </r>
  <r>
    <x v="3"/>
    <x v="1"/>
    <n v="15"/>
    <x v="8"/>
    <d v="2023-03-01T00:00:00"/>
    <n v="9380"/>
    <x v="37"/>
  </r>
  <r>
    <x v="3"/>
    <x v="1"/>
    <n v="15"/>
    <x v="8"/>
    <d v="2023-03-01T00:00:00"/>
    <n v="9423"/>
    <x v="38"/>
  </r>
  <r>
    <x v="3"/>
    <x v="1"/>
    <n v="15"/>
    <x v="8"/>
    <d v="2023-03-01T00:00:00"/>
    <n v="9396"/>
    <x v="39"/>
  </r>
  <r>
    <x v="3"/>
    <x v="1"/>
    <n v="15"/>
    <x v="8"/>
    <d v="2023-03-01T00:00:00"/>
    <n v="10233"/>
    <x v="40"/>
  </r>
  <r>
    <x v="3"/>
    <x v="1"/>
    <n v="15"/>
    <x v="8"/>
    <d v="2023-03-01T00:00:00"/>
    <n v="9604"/>
    <x v="41"/>
  </r>
  <r>
    <x v="3"/>
    <x v="1"/>
    <n v="15"/>
    <x v="8"/>
    <d v="2023-03-01T00:00:00"/>
    <n v="5472"/>
    <x v="42"/>
  </r>
  <r>
    <x v="3"/>
    <x v="1"/>
    <n v="15"/>
    <x v="8"/>
    <d v="2023-03-01T00:00:00"/>
    <n v="8685"/>
    <x v="43"/>
  </r>
  <r>
    <x v="3"/>
    <x v="1"/>
    <n v="15"/>
    <x v="8"/>
    <d v="2023-03-01T00:00:00"/>
    <n v="8833"/>
    <x v="44"/>
  </r>
  <r>
    <x v="3"/>
    <x v="1"/>
    <n v="15"/>
    <x v="8"/>
    <d v="2023-03-01T00:00:00"/>
    <n v="8864"/>
    <x v="45"/>
  </r>
  <r>
    <x v="3"/>
    <x v="1"/>
    <n v="15"/>
    <x v="8"/>
    <d v="2023-03-01T00:00:00"/>
    <n v="6966"/>
    <x v="46"/>
  </r>
  <r>
    <x v="3"/>
    <x v="1"/>
    <n v="15"/>
    <x v="8"/>
    <d v="2023-03-01T00:00:00"/>
    <n v="6929"/>
    <x v="47"/>
  </r>
  <r>
    <x v="3"/>
    <x v="1"/>
    <n v="15"/>
    <x v="8"/>
    <d v="2023-03-01T00:00:00"/>
    <n v="10295"/>
    <x v="48"/>
  </r>
  <r>
    <x v="3"/>
    <x v="1"/>
    <n v="15"/>
    <x v="8"/>
    <d v="2023-03-01T00:00:00"/>
    <n v="104080"/>
    <x v="12"/>
  </r>
  <r>
    <x v="3"/>
    <x v="3"/>
    <n v="7"/>
    <x v="0"/>
    <d v="2023-03-01T00:00:00"/>
    <n v="139167"/>
    <x v="37"/>
  </r>
  <r>
    <x v="3"/>
    <x v="3"/>
    <n v="7"/>
    <x v="0"/>
    <d v="2023-03-01T00:00:00"/>
    <n v="141633"/>
    <x v="38"/>
  </r>
  <r>
    <x v="3"/>
    <x v="3"/>
    <n v="7"/>
    <x v="0"/>
    <d v="2023-03-01T00:00:00"/>
    <n v="140362"/>
    <x v="39"/>
  </r>
  <r>
    <x v="3"/>
    <x v="3"/>
    <n v="7"/>
    <x v="0"/>
    <d v="2023-03-01T00:00:00"/>
    <n v="140267"/>
    <x v="40"/>
  </r>
  <r>
    <x v="3"/>
    <x v="3"/>
    <n v="7"/>
    <x v="0"/>
    <d v="2023-03-01T00:00:00"/>
    <n v="141762"/>
    <x v="41"/>
  </r>
  <r>
    <x v="3"/>
    <x v="3"/>
    <n v="7"/>
    <x v="0"/>
    <d v="2023-03-01T00:00:00"/>
    <n v="162462"/>
    <x v="42"/>
  </r>
  <r>
    <x v="3"/>
    <x v="3"/>
    <n v="7"/>
    <x v="0"/>
    <d v="2023-03-01T00:00:00"/>
    <n v="149518"/>
    <x v="43"/>
  </r>
  <r>
    <x v="3"/>
    <x v="3"/>
    <n v="7"/>
    <x v="0"/>
    <d v="2023-03-01T00:00:00"/>
    <n v="151654"/>
    <x v="44"/>
  </r>
  <r>
    <x v="3"/>
    <x v="3"/>
    <n v="7"/>
    <x v="0"/>
    <d v="2023-03-01T00:00:00"/>
    <n v="151606"/>
    <x v="45"/>
  </r>
  <r>
    <x v="3"/>
    <x v="3"/>
    <n v="7"/>
    <x v="0"/>
    <d v="2023-03-01T00:00:00"/>
    <n v="154408"/>
    <x v="46"/>
  </r>
  <r>
    <x v="3"/>
    <x v="3"/>
    <n v="7"/>
    <x v="0"/>
    <d v="2023-03-01T00:00:00"/>
    <n v="148694"/>
    <x v="47"/>
  </r>
  <r>
    <x v="3"/>
    <x v="3"/>
    <n v="7"/>
    <x v="0"/>
    <d v="2023-03-01T00:00:00"/>
    <n v="210239"/>
    <x v="48"/>
  </r>
  <r>
    <x v="3"/>
    <x v="3"/>
    <n v="7"/>
    <x v="0"/>
    <d v="2023-03-01T00:00:00"/>
    <n v="1831772"/>
    <x v="12"/>
  </r>
  <r>
    <x v="3"/>
    <x v="3"/>
    <n v="8"/>
    <x v="1"/>
    <d v="2023-03-01T00:00:00"/>
    <n v="13381"/>
    <x v="37"/>
  </r>
  <r>
    <x v="3"/>
    <x v="3"/>
    <n v="8"/>
    <x v="1"/>
    <d v="2023-03-01T00:00:00"/>
    <n v="12842"/>
    <x v="38"/>
  </r>
  <r>
    <x v="3"/>
    <x v="3"/>
    <n v="8"/>
    <x v="1"/>
    <d v="2023-03-01T00:00:00"/>
    <n v="13234"/>
    <x v="39"/>
  </r>
  <r>
    <x v="3"/>
    <x v="3"/>
    <n v="8"/>
    <x v="1"/>
    <d v="2023-03-01T00:00:00"/>
    <n v="14113"/>
    <x v="40"/>
  </r>
  <r>
    <x v="3"/>
    <x v="3"/>
    <n v="8"/>
    <x v="1"/>
    <d v="2023-03-01T00:00:00"/>
    <n v="13020"/>
    <x v="41"/>
  </r>
  <r>
    <x v="3"/>
    <x v="3"/>
    <n v="8"/>
    <x v="1"/>
    <d v="2023-03-01T00:00:00"/>
    <n v="14233"/>
    <x v="42"/>
  </r>
  <r>
    <x v="3"/>
    <x v="3"/>
    <n v="8"/>
    <x v="1"/>
    <d v="2023-03-01T00:00:00"/>
    <n v="14342"/>
    <x v="43"/>
  </r>
  <r>
    <x v="3"/>
    <x v="3"/>
    <n v="8"/>
    <x v="1"/>
    <d v="2023-03-01T00:00:00"/>
    <n v="16849"/>
    <x v="44"/>
  </r>
  <r>
    <x v="3"/>
    <x v="3"/>
    <n v="8"/>
    <x v="1"/>
    <d v="2023-03-01T00:00:00"/>
    <n v="15149"/>
    <x v="45"/>
  </r>
  <r>
    <x v="3"/>
    <x v="3"/>
    <n v="8"/>
    <x v="1"/>
    <d v="2023-03-01T00:00:00"/>
    <n v="14314"/>
    <x v="46"/>
  </r>
  <r>
    <x v="3"/>
    <x v="3"/>
    <n v="8"/>
    <x v="1"/>
    <d v="2023-03-01T00:00:00"/>
    <n v="13887"/>
    <x v="47"/>
  </r>
  <r>
    <x v="3"/>
    <x v="3"/>
    <n v="8"/>
    <x v="1"/>
    <d v="2023-03-01T00:00:00"/>
    <n v="14332"/>
    <x v="48"/>
  </r>
  <r>
    <x v="3"/>
    <x v="3"/>
    <n v="8"/>
    <x v="1"/>
    <d v="2023-03-01T00:00:00"/>
    <n v="169696"/>
    <x v="12"/>
  </r>
  <r>
    <x v="3"/>
    <x v="3"/>
    <n v="9"/>
    <x v="2"/>
    <d v="2023-03-01T00:00:00"/>
    <n v="6685"/>
    <x v="37"/>
  </r>
  <r>
    <x v="3"/>
    <x v="3"/>
    <n v="9"/>
    <x v="2"/>
    <d v="2023-03-01T00:00:00"/>
    <n v="6824"/>
    <x v="38"/>
  </r>
  <r>
    <x v="3"/>
    <x v="3"/>
    <n v="9"/>
    <x v="2"/>
    <d v="2023-03-01T00:00:00"/>
    <n v="6473"/>
    <x v="39"/>
  </r>
  <r>
    <x v="3"/>
    <x v="3"/>
    <n v="9"/>
    <x v="2"/>
    <d v="2023-03-01T00:00:00"/>
    <n v="7428"/>
    <x v="40"/>
  </r>
  <r>
    <x v="3"/>
    <x v="3"/>
    <n v="9"/>
    <x v="2"/>
    <d v="2023-03-01T00:00:00"/>
    <n v="7314"/>
    <x v="41"/>
  </r>
  <r>
    <x v="3"/>
    <x v="3"/>
    <n v="9"/>
    <x v="2"/>
    <d v="2023-03-01T00:00:00"/>
    <n v="7246"/>
    <x v="42"/>
  </r>
  <r>
    <x v="3"/>
    <x v="3"/>
    <n v="9"/>
    <x v="2"/>
    <d v="2023-03-01T00:00:00"/>
    <n v="6938"/>
    <x v="43"/>
  </r>
  <r>
    <x v="3"/>
    <x v="3"/>
    <n v="9"/>
    <x v="2"/>
    <d v="2023-03-01T00:00:00"/>
    <n v="7936"/>
    <x v="44"/>
  </r>
  <r>
    <x v="3"/>
    <x v="3"/>
    <n v="9"/>
    <x v="2"/>
    <d v="2023-03-01T00:00:00"/>
    <n v="8173"/>
    <x v="45"/>
  </r>
  <r>
    <x v="3"/>
    <x v="3"/>
    <n v="9"/>
    <x v="2"/>
    <d v="2023-03-01T00:00:00"/>
    <n v="7404"/>
    <x v="46"/>
  </r>
  <r>
    <x v="3"/>
    <x v="3"/>
    <n v="9"/>
    <x v="2"/>
    <d v="2023-03-01T00:00:00"/>
    <n v="6279"/>
    <x v="47"/>
  </r>
  <r>
    <x v="3"/>
    <x v="3"/>
    <n v="9"/>
    <x v="2"/>
    <d v="2023-03-01T00:00:00"/>
    <n v="9981"/>
    <x v="48"/>
  </r>
  <r>
    <x v="3"/>
    <x v="3"/>
    <n v="9"/>
    <x v="2"/>
    <d v="2023-03-01T00:00:00"/>
    <n v="88681"/>
    <x v="12"/>
  </r>
  <r>
    <x v="3"/>
    <x v="3"/>
    <n v="10"/>
    <x v="3"/>
    <d v="2023-03-01T00:00:00"/>
    <n v="63041"/>
    <x v="37"/>
  </r>
  <r>
    <x v="3"/>
    <x v="3"/>
    <n v="10"/>
    <x v="3"/>
    <d v="2023-03-01T00:00:00"/>
    <n v="63471"/>
    <x v="38"/>
  </r>
  <r>
    <x v="3"/>
    <x v="3"/>
    <n v="10"/>
    <x v="3"/>
    <d v="2023-03-01T00:00:00"/>
    <n v="63835"/>
    <x v="39"/>
  </r>
  <r>
    <x v="3"/>
    <x v="3"/>
    <n v="10"/>
    <x v="3"/>
    <d v="2023-03-01T00:00:00"/>
    <n v="63939"/>
    <x v="40"/>
  </r>
  <r>
    <x v="3"/>
    <x v="3"/>
    <n v="10"/>
    <x v="3"/>
    <d v="2023-03-01T00:00:00"/>
    <n v="63586"/>
    <x v="41"/>
  </r>
  <r>
    <x v="3"/>
    <x v="3"/>
    <n v="10"/>
    <x v="3"/>
    <d v="2023-03-01T00:00:00"/>
    <n v="81911"/>
    <x v="42"/>
  </r>
  <r>
    <x v="3"/>
    <x v="3"/>
    <n v="10"/>
    <x v="3"/>
    <d v="2023-03-01T00:00:00"/>
    <n v="67812"/>
    <x v="43"/>
  </r>
  <r>
    <x v="3"/>
    <x v="3"/>
    <n v="10"/>
    <x v="3"/>
    <d v="2023-03-01T00:00:00"/>
    <n v="68741"/>
    <x v="44"/>
  </r>
  <r>
    <x v="3"/>
    <x v="3"/>
    <n v="10"/>
    <x v="3"/>
    <d v="2023-03-01T00:00:00"/>
    <n v="67105"/>
    <x v="45"/>
  </r>
  <r>
    <x v="3"/>
    <x v="3"/>
    <n v="10"/>
    <x v="3"/>
    <d v="2023-03-01T00:00:00"/>
    <n v="68120"/>
    <x v="46"/>
  </r>
  <r>
    <x v="3"/>
    <x v="3"/>
    <n v="10"/>
    <x v="3"/>
    <d v="2023-03-01T00:00:00"/>
    <n v="68201"/>
    <x v="47"/>
  </r>
  <r>
    <x v="3"/>
    <x v="3"/>
    <n v="10"/>
    <x v="3"/>
    <d v="2023-03-01T00:00:00"/>
    <n v="120403"/>
    <x v="48"/>
  </r>
  <r>
    <x v="3"/>
    <x v="3"/>
    <n v="10"/>
    <x v="3"/>
    <d v="2023-03-01T00:00:00"/>
    <n v="860165"/>
    <x v="12"/>
  </r>
  <r>
    <x v="3"/>
    <x v="3"/>
    <n v="11"/>
    <x v="4"/>
    <d v="2023-03-01T00:00:00"/>
    <n v="17793"/>
    <x v="37"/>
  </r>
  <r>
    <x v="3"/>
    <x v="3"/>
    <n v="11"/>
    <x v="4"/>
    <d v="2023-03-01T00:00:00"/>
    <n v="18657"/>
    <x v="38"/>
  </r>
  <r>
    <x v="3"/>
    <x v="3"/>
    <n v="11"/>
    <x v="4"/>
    <d v="2023-03-01T00:00:00"/>
    <n v="17567"/>
    <x v="39"/>
  </r>
  <r>
    <x v="3"/>
    <x v="3"/>
    <n v="11"/>
    <x v="4"/>
    <d v="2023-03-01T00:00:00"/>
    <n v="16185"/>
    <x v="40"/>
  </r>
  <r>
    <x v="3"/>
    <x v="3"/>
    <n v="11"/>
    <x v="4"/>
    <d v="2023-03-01T00:00:00"/>
    <n v="17247"/>
    <x v="41"/>
  </r>
  <r>
    <x v="3"/>
    <x v="3"/>
    <n v="11"/>
    <x v="4"/>
    <d v="2023-03-01T00:00:00"/>
    <n v="17612"/>
    <x v="42"/>
  </r>
  <r>
    <x v="3"/>
    <x v="3"/>
    <n v="11"/>
    <x v="4"/>
    <d v="2023-03-01T00:00:00"/>
    <n v="18697"/>
    <x v="43"/>
  </r>
  <r>
    <x v="3"/>
    <x v="3"/>
    <n v="11"/>
    <x v="4"/>
    <d v="2023-03-01T00:00:00"/>
    <n v="19817"/>
    <x v="44"/>
  </r>
  <r>
    <x v="3"/>
    <x v="3"/>
    <n v="11"/>
    <x v="4"/>
    <d v="2023-03-01T00:00:00"/>
    <n v="18413"/>
    <x v="45"/>
  </r>
  <r>
    <x v="3"/>
    <x v="3"/>
    <n v="11"/>
    <x v="4"/>
    <d v="2023-03-01T00:00:00"/>
    <n v="19972"/>
    <x v="46"/>
  </r>
  <r>
    <x v="3"/>
    <x v="3"/>
    <n v="11"/>
    <x v="4"/>
    <d v="2023-03-01T00:00:00"/>
    <n v="16801"/>
    <x v="47"/>
  </r>
  <r>
    <x v="3"/>
    <x v="3"/>
    <n v="11"/>
    <x v="4"/>
    <d v="2023-03-01T00:00:00"/>
    <n v="34974"/>
    <x v="48"/>
  </r>
  <r>
    <x v="3"/>
    <x v="3"/>
    <n v="11"/>
    <x v="4"/>
    <d v="2023-03-01T00:00:00"/>
    <n v="233735"/>
    <x v="12"/>
  </r>
  <r>
    <x v="3"/>
    <x v="3"/>
    <n v="12"/>
    <x v="5"/>
    <d v="2023-03-01T00:00:00"/>
    <n v="10327"/>
    <x v="37"/>
  </r>
  <r>
    <x v="3"/>
    <x v="3"/>
    <n v="12"/>
    <x v="5"/>
    <d v="2023-03-01T00:00:00"/>
    <n v="12549"/>
    <x v="38"/>
  </r>
  <r>
    <x v="3"/>
    <x v="3"/>
    <n v="12"/>
    <x v="5"/>
    <d v="2023-03-01T00:00:00"/>
    <n v="10511"/>
    <x v="39"/>
  </r>
  <r>
    <x v="3"/>
    <x v="3"/>
    <n v="12"/>
    <x v="5"/>
    <d v="2023-03-01T00:00:00"/>
    <n v="10343"/>
    <x v="40"/>
  </r>
  <r>
    <x v="3"/>
    <x v="3"/>
    <n v="12"/>
    <x v="5"/>
    <d v="2023-03-01T00:00:00"/>
    <n v="11708"/>
    <x v="41"/>
  </r>
  <r>
    <x v="3"/>
    <x v="3"/>
    <n v="12"/>
    <x v="5"/>
    <d v="2023-03-01T00:00:00"/>
    <n v="11260"/>
    <x v="42"/>
  </r>
  <r>
    <x v="3"/>
    <x v="3"/>
    <n v="12"/>
    <x v="5"/>
    <d v="2023-03-01T00:00:00"/>
    <n v="10435"/>
    <x v="43"/>
  </r>
  <r>
    <x v="3"/>
    <x v="3"/>
    <n v="12"/>
    <x v="5"/>
    <d v="2023-03-01T00:00:00"/>
    <n v="9401"/>
    <x v="44"/>
  </r>
  <r>
    <x v="3"/>
    <x v="3"/>
    <n v="12"/>
    <x v="5"/>
    <d v="2023-03-01T00:00:00"/>
    <n v="12013"/>
    <x v="45"/>
  </r>
  <r>
    <x v="3"/>
    <x v="3"/>
    <n v="12"/>
    <x v="5"/>
    <d v="2023-03-01T00:00:00"/>
    <n v="13121"/>
    <x v="46"/>
  </r>
  <r>
    <x v="3"/>
    <x v="3"/>
    <n v="12"/>
    <x v="5"/>
    <d v="2023-03-01T00:00:00"/>
    <n v="10810"/>
    <x v="47"/>
  </r>
  <r>
    <x v="3"/>
    <x v="3"/>
    <n v="12"/>
    <x v="5"/>
    <d v="2023-03-01T00:00:00"/>
    <n v="12437"/>
    <x v="48"/>
  </r>
  <r>
    <x v="3"/>
    <x v="3"/>
    <n v="12"/>
    <x v="5"/>
    <d v="2023-03-01T00:00:00"/>
    <n v="134915"/>
    <x v="12"/>
  </r>
  <r>
    <x v="3"/>
    <x v="3"/>
    <n v="13"/>
    <x v="6"/>
    <d v="2023-03-01T00:00:00"/>
    <n v="17895"/>
    <x v="37"/>
  </r>
  <r>
    <x v="3"/>
    <x v="3"/>
    <n v="13"/>
    <x v="6"/>
    <d v="2023-03-01T00:00:00"/>
    <n v="17290"/>
    <x v="38"/>
  </r>
  <r>
    <x v="3"/>
    <x v="3"/>
    <n v="13"/>
    <x v="6"/>
    <d v="2023-03-01T00:00:00"/>
    <n v="18439"/>
    <x v="39"/>
  </r>
  <r>
    <x v="3"/>
    <x v="3"/>
    <n v="13"/>
    <x v="6"/>
    <d v="2023-03-01T00:00:00"/>
    <n v="17776"/>
    <x v="40"/>
  </r>
  <r>
    <x v="3"/>
    <x v="3"/>
    <n v="13"/>
    <x v="6"/>
    <d v="2023-03-01T00:00:00"/>
    <n v="18374"/>
    <x v="41"/>
  </r>
  <r>
    <x v="3"/>
    <x v="3"/>
    <n v="13"/>
    <x v="6"/>
    <d v="2023-03-01T00:00:00"/>
    <n v="21155"/>
    <x v="42"/>
  </r>
  <r>
    <x v="3"/>
    <x v="3"/>
    <n v="13"/>
    <x v="6"/>
    <d v="2023-03-01T00:00:00"/>
    <n v="18925"/>
    <x v="43"/>
  </r>
  <r>
    <x v="3"/>
    <x v="3"/>
    <n v="13"/>
    <x v="6"/>
    <d v="2023-03-01T00:00:00"/>
    <n v="17759"/>
    <x v="44"/>
  </r>
  <r>
    <x v="3"/>
    <x v="3"/>
    <n v="13"/>
    <x v="6"/>
    <d v="2023-03-01T00:00:00"/>
    <n v="20443"/>
    <x v="45"/>
  </r>
  <r>
    <x v="3"/>
    <x v="3"/>
    <n v="13"/>
    <x v="6"/>
    <d v="2023-03-01T00:00:00"/>
    <n v="19463"/>
    <x v="46"/>
  </r>
  <r>
    <x v="3"/>
    <x v="3"/>
    <n v="13"/>
    <x v="6"/>
    <d v="2023-03-01T00:00:00"/>
    <n v="22245"/>
    <x v="47"/>
  </r>
  <r>
    <x v="3"/>
    <x v="3"/>
    <n v="13"/>
    <x v="6"/>
    <d v="2023-03-01T00:00:00"/>
    <n v="20984"/>
    <x v="48"/>
  </r>
  <r>
    <x v="3"/>
    <x v="3"/>
    <n v="13"/>
    <x v="6"/>
    <d v="2023-03-01T00:00:00"/>
    <n v="230748"/>
    <x v="12"/>
  </r>
  <r>
    <x v="3"/>
    <x v="3"/>
    <n v="14"/>
    <x v="7"/>
    <d v="2023-03-01T00:00:00"/>
    <n v="0"/>
    <x v="37"/>
  </r>
  <r>
    <x v="3"/>
    <x v="3"/>
    <n v="14"/>
    <x v="7"/>
    <d v="2023-03-01T00:00:00"/>
    <n v="0"/>
    <x v="38"/>
  </r>
  <r>
    <x v="3"/>
    <x v="3"/>
    <n v="14"/>
    <x v="7"/>
    <d v="2023-03-01T00:00:00"/>
    <n v="0"/>
    <x v="39"/>
  </r>
  <r>
    <x v="3"/>
    <x v="3"/>
    <n v="14"/>
    <x v="7"/>
    <d v="2023-03-01T00:00:00"/>
    <n v="0"/>
    <x v="40"/>
  </r>
  <r>
    <x v="3"/>
    <x v="3"/>
    <n v="14"/>
    <x v="7"/>
    <d v="2023-03-01T00:00:00"/>
    <n v="0"/>
    <x v="41"/>
  </r>
  <r>
    <x v="3"/>
    <x v="3"/>
    <n v="14"/>
    <x v="7"/>
    <d v="2023-03-01T00:00:00"/>
    <n v="0"/>
    <x v="42"/>
  </r>
  <r>
    <x v="3"/>
    <x v="3"/>
    <n v="14"/>
    <x v="7"/>
    <d v="2023-03-01T00:00:00"/>
    <n v="0"/>
    <x v="43"/>
  </r>
  <r>
    <x v="3"/>
    <x v="3"/>
    <n v="14"/>
    <x v="7"/>
    <d v="2023-03-01T00:00:00"/>
    <n v="0"/>
    <x v="44"/>
  </r>
  <r>
    <x v="3"/>
    <x v="3"/>
    <n v="14"/>
    <x v="7"/>
    <d v="2023-03-01T00:00:00"/>
    <n v="0"/>
    <x v="45"/>
  </r>
  <r>
    <x v="3"/>
    <x v="3"/>
    <n v="14"/>
    <x v="7"/>
    <d v="2023-03-01T00:00:00"/>
    <n v="0"/>
    <x v="46"/>
  </r>
  <r>
    <x v="3"/>
    <x v="3"/>
    <n v="14"/>
    <x v="7"/>
    <d v="2023-03-01T00:00:00"/>
    <n v="0"/>
    <x v="47"/>
  </r>
  <r>
    <x v="3"/>
    <x v="3"/>
    <n v="14"/>
    <x v="7"/>
    <d v="2023-03-01T00:00:00"/>
    <n v="0"/>
    <x v="48"/>
  </r>
  <r>
    <x v="3"/>
    <x v="3"/>
    <n v="14"/>
    <x v="7"/>
    <d v="2023-03-01T00:00:00"/>
    <n v="0"/>
    <x v="12"/>
  </r>
  <r>
    <x v="3"/>
    <x v="3"/>
    <n v="15"/>
    <x v="8"/>
    <d v="2023-03-01T00:00:00"/>
    <n v="6450"/>
    <x v="37"/>
  </r>
  <r>
    <x v="3"/>
    <x v="3"/>
    <n v="15"/>
    <x v="8"/>
    <d v="2023-03-01T00:00:00"/>
    <n v="6538"/>
    <x v="38"/>
  </r>
  <r>
    <x v="3"/>
    <x v="3"/>
    <n v="15"/>
    <x v="8"/>
    <d v="2023-03-01T00:00:00"/>
    <n v="6567"/>
    <x v="39"/>
  </r>
  <r>
    <x v="3"/>
    <x v="3"/>
    <n v="15"/>
    <x v="8"/>
    <d v="2023-03-01T00:00:00"/>
    <n v="6651"/>
    <x v="40"/>
  </r>
  <r>
    <x v="3"/>
    <x v="3"/>
    <n v="15"/>
    <x v="8"/>
    <d v="2023-03-01T00:00:00"/>
    <n v="6663"/>
    <x v="41"/>
  </r>
  <r>
    <x v="3"/>
    <x v="3"/>
    <n v="15"/>
    <x v="8"/>
    <d v="2023-03-01T00:00:00"/>
    <n v="6547"/>
    <x v="42"/>
  </r>
  <r>
    <x v="3"/>
    <x v="3"/>
    <n v="15"/>
    <x v="8"/>
    <d v="2023-03-01T00:00:00"/>
    <n v="7272"/>
    <x v="43"/>
  </r>
  <r>
    <x v="3"/>
    <x v="3"/>
    <n v="15"/>
    <x v="8"/>
    <d v="2023-03-01T00:00:00"/>
    <n v="7580"/>
    <x v="44"/>
  </r>
  <r>
    <x v="3"/>
    <x v="3"/>
    <n v="15"/>
    <x v="8"/>
    <d v="2023-03-01T00:00:00"/>
    <n v="6877"/>
    <x v="45"/>
  </r>
  <r>
    <x v="3"/>
    <x v="3"/>
    <n v="15"/>
    <x v="8"/>
    <d v="2023-03-01T00:00:00"/>
    <n v="7115"/>
    <x v="46"/>
  </r>
  <r>
    <x v="3"/>
    <x v="3"/>
    <n v="15"/>
    <x v="8"/>
    <d v="2023-03-01T00:00:00"/>
    <n v="6924"/>
    <x v="47"/>
  </r>
  <r>
    <x v="3"/>
    <x v="3"/>
    <n v="15"/>
    <x v="8"/>
    <d v="2023-03-01T00:00:00"/>
    <n v="7892"/>
    <x v="48"/>
  </r>
  <r>
    <x v="3"/>
    <x v="3"/>
    <n v="15"/>
    <x v="8"/>
    <d v="2023-03-01T00:00:00"/>
    <n v="83076"/>
    <x v="12"/>
  </r>
  <r>
    <x v="3"/>
    <x v="2"/>
    <n v="7"/>
    <x v="0"/>
    <d v="2023-03-01T00:00:00"/>
    <n v="109304.79902000001"/>
    <x v="37"/>
  </r>
  <r>
    <x v="3"/>
    <x v="2"/>
    <n v="7"/>
    <x v="0"/>
    <d v="2023-03-01T00:00:00"/>
    <n v="108992.78268999999"/>
    <x v="38"/>
  </r>
  <r>
    <x v="3"/>
    <x v="2"/>
    <n v="7"/>
    <x v="0"/>
    <d v="2023-03-01T00:00:00"/>
    <n v="112509.36"/>
    <x v="39"/>
  </r>
  <r>
    <x v="3"/>
    <x v="2"/>
    <n v="7"/>
    <x v="0"/>
    <d v="2023-03-01T00:00:00"/>
    <n v="111442.36"/>
    <x v="40"/>
  </r>
  <r>
    <x v="3"/>
    <x v="2"/>
    <n v="7"/>
    <x v="0"/>
    <d v="2023-03-01T00:00:00"/>
    <n v="111511.26"/>
    <x v="41"/>
  </r>
  <r>
    <x v="3"/>
    <x v="2"/>
    <n v="7"/>
    <x v="0"/>
    <d v="2023-03-01T00:00:00"/>
    <n v="121213.26"/>
    <x v="42"/>
  </r>
  <r>
    <x v="3"/>
    <x v="2"/>
    <n v="7"/>
    <x v="0"/>
    <d v="2023-03-01T00:00:00"/>
    <n v="117481.47"/>
    <x v="43"/>
  </r>
  <r>
    <x v="3"/>
    <x v="2"/>
    <n v="7"/>
    <x v="0"/>
    <d v="2023-03-01T00:00:00"/>
    <n v="116736.92"/>
    <x v="44"/>
  </r>
  <r>
    <x v="3"/>
    <x v="2"/>
    <n v="7"/>
    <x v="0"/>
    <d v="2023-03-01T00:00:00"/>
    <n v="123129.88"/>
    <x v="45"/>
  </r>
  <r>
    <x v="3"/>
    <x v="2"/>
    <n v="7"/>
    <x v="0"/>
    <d v="2023-03-01T00:00:00"/>
    <n v="114933.99"/>
    <x v="46"/>
  </r>
  <r>
    <x v="3"/>
    <x v="2"/>
    <n v="7"/>
    <x v="0"/>
    <d v="2023-03-01T00:00:00"/>
    <n v="123583.87"/>
    <x v="47"/>
  </r>
  <r>
    <x v="3"/>
    <x v="2"/>
    <n v="7"/>
    <x v="0"/>
    <d v="2023-03-01T00:00:00"/>
    <n v="213661.04829000001"/>
    <x v="48"/>
  </r>
  <r>
    <x v="3"/>
    <x v="2"/>
    <n v="7"/>
    <x v="0"/>
    <d v="2023-03-01T00:00:00"/>
    <n v="1484501"/>
    <x v="12"/>
  </r>
  <r>
    <x v="3"/>
    <x v="2"/>
    <n v="8"/>
    <x v="1"/>
    <d v="2023-03-01T00:00:00"/>
    <n v="11317.823420000001"/>
    <x v="37"/>
  </r>
  <r>
    <x v="3"/>
    <x v="2"/>
    <n v="8"/>
    <x v="1"/>
    <d v="2023-03-01T00:00:00"/>
    <n v="12360.58812"/>
    <x v="38"/>
  </r>
  <r>
    <x v="3"/>
    <x v="2"/>
    <n v="8"/>
    <x v="1"/>
    <d v="2023-03-01T00:00:00"/>
    <n v="12251.86"/>
    <x v="39"/>
  </r>
  <r>
    <x v="3"/>
    <x v="2"/>
    <n v="8"/>
    <x v="1"/>
    <d v="2023-03-01T00:00:00"/>
    <n v="13075.485699999999"/>
    <x v="40"/>
  </r>
  <r>
    <x v="3"/>
    <x v="2"/>
    <n v="8"/>
    <x v="1"/>
    <d v="2023-03-01T00:00:00"/>
    <n v="11518.38"/>
    <x v="41"/>
  </r>
  <r>
    <x v="3"/>
    <x v="2"/>
    <n v="8"/>
    <x v="1"/>
    <d v="2023-03-01T00:00:00"/>
    <n v="12759.98"/>
    <x v="42"/>
  </r>
  <r>
    <x v="3"/>
    <x v="2"/>
    <n v="8"/>
    <x v="1"/>
    <d v="2023-03-01T00:00:00"/>
    <n v="12647.09"/>
    <x v="43"/>
  </r>
  <r>
    <x v="3"/>
    <x v="2"/>
    <n v="8"/>
    <x v="1"/>
    <d v="2023-03-01T00:00:00"/>
    <n v="11987.37"/>
    <x v="44"/>
  </r>
  <r>
    <x v="3"/>
    <x v="2"/>
    <n v="8"/>
    <x v="1"/>
    <d v="2023-03-01T00:00:00"/>
    <n v="14920.98"/>
    <x v="45"/>
  </r>
  <r>
    <x v="3"/>
    <x v="2"/>
    <n v="8"/>
    <x v="1"/>
    <d v="2023-03-01T00:00:00"/>
    <n v="12610.92"/>
    <x v="46"/>
  </r>
  <r>
    <x v="3"/>
    <x v="2"/>
    <n v="8"/>
    <x v="1"/>
    <d v="2023-03-01T00:00:00"/>
    <n v="12507.2"/>
    <x v="47"/>
  </r>
  <r>
    <x v="3"/>
    <x v="2"/>
    <n v="8"/>
    <x v="1"/>
    <d v="2023-03-01T00:00:00"/>
    <n v="12824.322759999999"/>
    <x v="48"/>
  </r>
  <r>
    <x v="3"/>
    <x v="2"/>
    <n v="8"/>
    <x v="1"/>
    <d v="2023-03-01T00:00:00"/>
    <n v="150782"/>
    <x v="12"/>
  </r>
  <r>
    <x v="3"/>
    <x v="2"/>
    <n v="9"/>
    <x v="2"/>
    <d v="2023-03-01T00:00:00"/>
    <n v="7731.24161"/>
    <x v="37"/>
  </r>
  <r>
    <x v="3"/>
    <x v="2"/>
    <n v="9"/>
    <x v="2"/>
    <d v="2023-03-01T00:00:00"/>
    <n v="7506.5236599999998"/>
    <x v="38"/>
  </r>
  <r>
    <x v="3"/>
    <x v="2"/>
    <n v="9"/>
    <x v="2"/>
    <d v="2023-03-01T00:00:00"/>
    <n v="7271.22"/>
    <x v="39"/>
  </r>
  <r>
    <x v="3"/>
    <x v="2"/>
    <n v="9"/>
    <x v="2"/>
    <d v="2023-03-01T00:00:00"/>
    <n v="7964.2404699999997"/>
    <x v="40"/>
  </r>
  <r>
    <x v="3"/>
    <x v="2"/>
    <n v="9"/>
    <x v="2"/>
    <d v="2023-03-01T00:00:00"/>
    <n v="7568.72"/>
    <x v="41"/>
  </r>
  <r>
    <x v="3"/>
    <x v="2"/>
    <n v="9"/>
    <x v="2"/>
    <d v="2023-03-01T00:00:00"/>
    <n v="7649.19"/>
    <x v="42"/>
  </r>
  <r>
    <x v="3"/>
    <x v="2"/>
    <n v="9"/>
    <x v="2"/>
    <d v="2023-03-01T00:00:00"/>
    <n v="8814.4699999999993"/>
    <x v="43"/>
  </r>
  <r>
    <x v="3"/>
    <x v="2"/>
    <n v="9"/>
    <x v="2"/>
    <d v="2023-03-01T00:00:00"/>
    <n v="8893.3799999999992"/>
    <x v="44"/>
  </r>
  <r>
    <x v="3"/>
    <x v="2"/>
    <n v="9"/>
    <x v="2"/>
    <d v="2023-03-01T00:00:00"/>
    <n v="11447.68"/>
    <x v="45"/>
  </r>
  <r>
    <x v="3"/>
    <x v="2"/>
    <n v="9"/>
    <x v="2"/>
    <d v="2023-03-01T00:00:00"/>
    <n v="7467.96"/>
    <x v="46"/>
  </r>
  <r>
    <x v="3"/>
    <x v="2"/>
    <n v="9"/>
    <x v="2"/>
    <d v="2023-03-01T00:00:00"/>
    <n v="6999.75"/>
    <x v="47"/>
  </r>
  <r>
    <x v="3"/>
    <x v="2"/>
    <n v="9"/>
    <x v="2"/>
    <d v="2023-03-01T00:00:00"/>
    <n v="8439.6242600000096"/>
    <x v="48"/>
  </r>
  <r>
    <x v="3"/>
    <x v="2"/>
    <n v="9"/>
    <x v="2"/>
    <d v="2023-03-01T00:00:00"/>
    <n v="97754"/>
    <x v="12"/>
  </r>
  <r>
    <x v="3"/>
    <x v="2"/>
    <n v="10"/>
    <x v="3"/>
    <d v="2023-03-01T00:00:00"/>
    <n v="50860.746679999698"/>
    <x v="37"/>
  </r>
  <r>
    <x v="3"/>
    <x v="2"/>
    <n v="10"/>
    <x v="3"/>
    <d v="2023-03-01T00:00:00"/>
    <n v="49530.882879999903"/>
    <x v="38"/>
  </r>
  <r>
    <x v="3"/>
    <x v="2"/>
    <n v="10"/>
    <x v="3"/>
    <d v="2023-03-01T00:00:00"/>
    <n v="50460.06"/>
    <x v="39"/>
  </r>
  <r>
    <x v="3"/>
    <x v="2"/>
    <n v="10"/>
    <x v="3"/>
    <d v="2023-03-01T00:00:00"/>
    <n v="49350.02"/>
    <x v="40"/>
  </r>
  <r>
    <x v="3"/>
    <x v="2"/>
    <n v="10"/>
    <x v="3"/>
    <d v="2023-03-01T00:00:00"/>
    <n v="48994.95"/>
    <x v="41"/>
  </r>
  <r>
    <x v="3"/>
    <x v="2"/>
    <n v="10"/>
    <x v="3"/>
    <d v="2023-03-01T00:00:00"/>
    <n v="62397.78"/>
    <x v="42"/>
  </r>
  <r>
    <x v="3"/>
    <x v="2"/>
    <n v="10"/>
    <x v="3"/>
    <d v="2023-03-01T00:00:00"/>
    <n v="52462.8"/>
    <x v="43"/>
  </r>
  <r>
    <x v="3"/>
    <x v="2"/>
    <n v="10"/>
    <x v="3"/>
    <d v="2023-03-01T00:00:00"/>
    <n v="52407.51"/>
    <x v="44"/>
  </r>
  <r>
    <x v="3"/>
    <x v="2"/>
    <n v="10"/>
    <x v="3"/>
    <d v="2023-03-01T00:00:00"/>
    <n v="52408.99"/>
    <x v="45"/>
  </r>
  <r>
    <x v="3"/>
    <x v="2"/>
    <n v="10"/>
    <x v="3"/>
    <d v="2023-03-01T00:00:00"/>
    <n v="52657.91"/>
    <x v="46"/>
  </r>
  <r>
    <x v="3"/>
    <x v="2"/>
    <n v="10"/>
    <x v="3"/>
    <d v="2023-03-01T00:00:00"/>
    <n v="52172.69"/>
    <x v="47"/>
  </r>
  <r>
    <x v="3"/>
    <x v="2"/>
    <n v="10"/>
    <x v="3"/>
    <d v="2023-03-01T00:00:00"/>
    <n v="91310.660440000502"/>
    <x v="48"/>
  </r>
  <r>
    <x v="3"/>
    <x v="2"/>
    <n v="10"/>
    <x v="3"/>
    <d v="2023-03-01T00:00:00"/>
    <n v="665015"/>
    <x v="12"/>
  </r>
  <r>
    <x v="3"/>
    <x v="2"/>
    <n v="11"/>
    <x v="4"/>
    <d v="2023-03-01T00:00:00"/>
    <n v="8437.5106099610002"/>
    <x v="37"/>
  </r>
  <r>
    <x v="3"/>
    <x v="2"/>
    <n v="11"/>
    <x v="4"/>
    <d v="2023-03-01T00:00:00"/>
    <n v="8801.9457400000902"/>
    <x v="38"/>
  </r>
  <r>
    <x v="3"/>
    <x v="2"/>
    <n v="11"/>
    <x v="4"/>
    <d v="2023-03-01T00:00:00"/>
    <n v="9565.84"/>
    <x v="39"/>
  </r>
  <r>
    <x v="3"/>
    <x v="2"/>
    <n v="11"/>
    <x v="4"/>
    <d v="2023-03-01T00:00:00"/>
    <n v="9237.8700000000008"/>
    <x v="40"/>
  </r>
  <r>
    <x v="3"/>
    <x v="2"/>
    <n v="11"/>
    <x v="4"/>
    <d v="2023-03-01T00:00:00"/>
    <n v="11800.63"/>
    <x v="41"/>
  </r>
  <r>
    <x v="3"/>
    <x v="2"/>
    <n v="11"/>
    <x v="4"/>
    <d v="2023-03-01T00:00:00"/>
    <n v="8260.66"/>
    <x v="42"/>
  </r>
  <r>
    <x v="3"/>
    <x v="2"/>
    <n v="11"/>
    <x v="4"/>
    <d v="2023-03-01T00:00:00"/>
    <n v="9767.6200000000008"/>
    <x v="43"/>
  </r>
  <r>
    <x v="3"/>
    <x v="2"/>
    <n v="11"/>
    <x v="4"/>
    <d v="2023-03-01T00:00:00"/>
    <n v="9823.3700000000008"/>
    <x v="44"/>
  </r>
  <r>
    <x v="3"/>
    <x v="2"/>
    <n v="11"/>
    <x v="4"/>
    <d v="2023-03-01T00:00:00"/>
    <n v="10062.98"/>
    <x v="45"/>
  </r>
  <r>
    <x v="3"/>
    <x v="2"/>
    <n v="11"/>
    <x v="4"/>
    <d v="2023-03-01T00:00:00"/>
    <n v="11106.56"/>
    <x v="46"/>
  </r>
  <r>
    <x v="3"/>
    <x v="2"/>
    <n v="11"/>
    <x v="4"/>
    <d v="2023-03-01T00:00:00"/>
    <n v="10184.379999999999"/>
    <x v="47"/>
  </r>
  <r>
    <x v="3"/>
    <x v="2"/>
    <n v="11"/>
    <x v="4"/>
    <d v="2023-03-01T00:00:00"/>
    <n v="16834.633650038901"/>
    <x v="48"/>
  </r>
  <r>
    <x v="3"/>
    <x v="2"/>
    <n v="11"/>
    <x v="4"/>
    <d v="2023-03-01T00:00:00"/>
    <n v="123884"/>
    <x v="12"/>
  </r>
  <r>
    <x v="3"/>
    <x v="2"/>
    <n v="12"/>
    <x v="5"/>
    <d v="2023-03-01T00:00:00"/>
    <n v="3272.81196"/>
    <x v="37"/>
  </r>
  <r>
    <x v="3"/>
    <x v="2"/>
    <n v="12"/>
    <x v="5"/>
    <d v="2023-03-01T00:00:00"/>
    <n v="3664.5612999999998"/>
    <x v="38"/>
  </r>
  <r>
    <x v="3"/>
    <x v="2"/>
    <n v="12"/>
    <x v="5"/>
    <d v="2023-03-01T00:00:00"/>
    <n v="3376.54"/>
    <x v="39"/>
  </r>
  <r>
    <x v="3"/>
    <x v="2"/>
    <n v="12"/>
    <x v="5"/>
    <d v="2023-03-01T00:00:00"/>
    <n v="3679.15"/>
    <x v="40"/>
  </r>
  <r>
    <x v="3"/>
    <x v="2"/>
    <n v="12"/>
    <x v="5"/>
    <d v="2023-03-01T00:00:00"/>
    <n v="3627.73"/>
    <x v="41"/>
  </r>
  <r>
    <x v="3"/>
    <x v="2"/>
    <n v="12"/>
    <x v="5"/>
    <d v="2023-03-01T00:00:00"/>
    <n v="3979.55"/>
    <x v="42"/>
  </r>
  <r>
    <x v="3"/>
    <x v="2"/>
    <n v="12"/>
    <x v="5"/>
    <d v="2023-03-01T00:00:00"/>
    <n v="4329.3"/>
    <x v="43"/>
  </r>
  <r>
    <x v="3"/>
    <x v="2"/>
    <n v="12"/>
    <x v="5"/>
    <d v="2023-03-01T00:00:00"/>
    <n v="4552.38"/>
    <x v="44"/>
  </r>
  <r>
    <x v="3"/>
    <x v="2"/>
    <n v="12"/>
    <x v="5"/>
    <d v="2023-03-01T00:00:00"/>
    <n v="4813.03"/>
    <x v="45"/>
  </r>
  <r>
    <x v="3"/>
    <x v="2"/>
    <n v="12"/>
    <x v="5"/>
    <d v="2023-03-01T00:00:00"/>
    <n v="3960.65"/>
    <x v="46"/>
  </r>
  <r>
    <x v="3"/>
    <x v="2"/>
    <n v="12"/>
    <x v="5"/>
    <d v="2023-03-01T00:00:00"/>
    <n v="4397.04"/>
    <x v="47"/>
  </r>
  <r>
    <x v="3"/>
    <x v="2"/>
    <n v="12"/>
    <x v="5"/>
    <d v="2023-03-01T00:00:00"/>
    <n v="4627.2567399999998"/>
    <x v="48"/>
  </r>
  <r>
    <x v="3"/>
    <x v="2"/>
    <n v="12"/>
    <x v="5"/>
    <d v="2023-03-01T00:00:00"/>
    <n v="48280"/>
    <x v="12"/>
  </r>
  <r>
    <x v="3"/>
    <x v="2"/>
    <n v="13"/>
    <x v="6"/>
    <d v="2023-03-01T00:00:00"/>
    <n v="20664.935880000001"/>
    <x v="37"/>
  </r>
  <r>
    <x v="3"/>
    <x v="2"/>
    <n v="13"/>
    <x v="6"/>
    <d v="2023-03-01T00:00:00"/>
    <n v="21017.05471"/>
    <x v="38"/>
  </r>
  <r>
    <x v="3"/>
    <x v="2"/>
    <n v="13"/>
    <x v="6"/>
    <d v="2023-03-01T00:00:00"/>
    <n v="21517.46"/>
    <x v="39"/>
  </r>
  <r>
    <x v="3"/>
    <x v="2"/>
    <n v="13"/>
    <x v="6"/>
    <d v="2023-03-01T00:00:00"/>
    <n v="20447.05"/>
    <x v="40"/>
  </r>
  <r>
    <x v="3"/>
    <x v="2"/>
    <n v="13"/>
    <x v="6"/>
    <d v="2023-03-01T00:00:00"/>
    <n v="20890.93"/>
    <x v="41"/>
  </r>
  <r>
    <x v="3"/>
    <x v="2"/>
    <n v="13"/>
    <x v="6"/>
    <d v="2023-03-01T00:00:00"/>
    <n v="19724.7"/>
    <x v="42"/>
  </r>
  <r>
    <x v="3"/>
    <x v="2"/>
    <n v="13"/>
    <x v="6"/>
    <d v="2023-03-01T00:00:00"/>
    <n v="21875.3"/>
    <x v="43"/>
  </r>
  <r>
    <x v="3"/>
    <x v="2"/>
    <n v="13"/>
    <x v="6"/>
    <d v="2023-03-01T00:00:00"/>
    <n v="19557.91"/>
    <x v="44"/>
  </r>
  <r>
    <x v="3"/>
    <x v="2"/>
    <n v="13"/>
    <x v="6"/>
    <d v="2023-03-01T00:00:00"/>
    <n v="23168.81"/>
    <x v="45"/>
  </r>
  <r>
    <x v="3"/>
    <x v="2"/>
    <n v="13"/>
    <x v="6"/>
    <d v="2023-03-01T00:00:00"/>
    <n v="19379.330000000002"/>
    <x v="46"/>
  </r>
  <r>
    <x v="3"/>
    <x v="2"/>
    <n v="13"/>
    <x v="6"/>
    <d v="2023-03-01T00:00:00"/>
    <n v="28190.49"/>
    <x v="47"/>
  </r>
  <r>
    <x v="3"/>
    <x v="2"/>
    <n v="13"/>
    <x v="6"/>
    <d v="2023-03-01T00:00:00"/>
    <n v="22738.029409999999"/>
    <x v="48"/>
  </r>
  <r>
    <x v="3"/>
    <x v="2"/>
    <n v="13"/>
    <x v="6"/>
    <d v="2023-03-01T00:00:00"/>
    <n v="259172"/>
    <x v="12"/>
  </r>
  <r>
    <x v="3"/>
    <x v="2"/>
    <n v="14"/>
    <x v="7"/>
    <d v="2023-03-01T00:00:00"/>
    <n v="6.2249999999999996"/>
    <x v="37"/>
  </r>
  <r>
    <x v="3"/>
    <x v="2"/>
    <n v="14"/>
    <x v="7"/>
    <d v="2023-03-01T00:00:00"/>
    <n v="582.24400000000003"/>
    <x v="38"/>
  </r>
  <r>
    <x v="3"/>
    <x v="2"/>
    <n v="14"/>
    <x v="7"/>
    <d v="2023-03-01T00:00:00"/>
    <n v="292.99"/>
    <x v="39"/>
  </r>
  <r>
    <x v="3"/>
    <x v="2"/>
    <n v="14"/>
    <x v="7"/>
    <d v="2023-03-01T00:00:00"/>
    <n v="293.82"/>
    <x v="40"/>
  </r>
  <r>
    <x v="3"/>
    <x v="2"/>
    <n v="14"/>
    <x v="7"/>
    <d v="2023-03-01T00:00:00"/>
    <n v="293.82"/>
    <x v="41"/>
  </r>
  <r>
    <x v="3"/>
    <x v="2"/>
    <n v="14"/>
    <x v="7"/>
    <d v="2023-03-01T00:00:00"/>
    <n v="293.82"/>
    <x v="42"/>
  </r>
  <r>
    <x v="3"/>
    <x v="2"/>
    <n v="14"/>
    <x v="7"/>
    <d v="2023-03-01T00:00:00"/>
    <n v="293.82"/>
    <x v="43"/>
  </r>
  <r>
    <x v="3"/>
    <x v="2"/>
    <n v="14"/>
    <x v="7"/>
    <d v="2023-03-01T00:00:00"/>
    <n v="250.64"/>
    <x v="44"/>
  </r>
  <r>
    <x v="3"/>
    <x v="2"/>
    <n v="14"/>
    <x v="7"/>
    <d v="2023-03-01T00:00:00"/>
    <n v="288.42"/>
    <x v="45"/>
  </r>
  <r>
    <x v="3"/>
    <x v="2"/>
    <n v="14"/>
    <x v="7"/>
    <d v="2023-03-01T00:00:00"/>
    <n v="288.42"/>
    <x v="46"/>
  </r>
  <r>
    <x v="3"/>
    <x v="2"/>
    <n v="14"/>
    <x v="7"/>
    <d v="2023-03-01T00:00:00"/>
    <n v="288.42"/>
    <x v="47"/>
  </r>
  <r>
    <x v="3"/>
    <x v="2"/>
    <n v="14"/>
    <x v="7"/>
    <d v="2023-03-01T00:00:00"/>
    <n v="343.36099999999999"/>
    <x v="48"/>
  </r>
  <r>
    <x v="3"/>
    <x v="2"/>
    <n v="14"/>
    <x v="7"/>
    <d v="2023-03-01T00:00:00"/>
    <n v="3516"/>
    <x v="12"/>
  </r>
  <r>
    <x v="3"/>
    <x v="2"/>
    <n v="15"/>
    <x v="8"/>
    <d v="2023-03-01T00:00:00"/>
    <n v="5065.7678800000003"/>
    <x v="37"/>
  </r>
  <r>
    <x v="3"/>
    <x v="2"/>
    <n v="15"/>
    <x v="8"/>
    <d v="2023-03-01T00:00:00"/>
    <n v="4727.8933200000001"/>
    <x v="38"/>
  </r>
  <r>
    <x v="3"/>
    <x v="2"/>
    <n v="15"/>
    <x v="8"/>
    <d v="2023-03-01T00:00:00"/>
    <n v="4955.6400000000003"/>
    <x v="39"/>
  </r>
  <r>
    <x v="3"/>
    <x v="2"/>
    <n v="15"/>
    <x v="8"/>
    <d v="2023-03-01T00:00:00"/>
    <n v="5415.1350499999999"/>
    <x v="40"/>
  </r>
  <r>
    <x v="3"/>
    <x v="2"/>
    <n v="15"/>
    <x v="8"/>
    <d v="2023-03-01T00:00:00"/>
    <n v="5622.2"/>
    <x v="41"/>
  </r>
  <r>
    <x v="3"/>
    <x v="2"/>
    <n v="15"/>
    <x v="8"/>
    <d v="2023-03-01T00:00:00"/>
    <n v="2749.82"/>
    <x v="42"/>
  </r>
  <r>
    <x v="3"/>
    <x v="2"/>
    <n v="15"/>
    <x v="8"/>
    <d v="2023-03-01T00:00:00"/>
    <n v="5346.85"/>
    <x v="43"/>
  </r>
  <r>
    <x v="3"/>
    <x v="2"/>
    <n v="15"/>
    <x v="8"/>
    <d v="2023-03-01T00:00:00"/>
    <n v="5244.25"/>
    <x v="44"/>
  </r>
  <r>
    <x v="3"/>
    <x v="2"/>
    <n v="15"/>
    <x v="8"/>
    <d v="2023-03-01T00:00:00"/>
    <n v="5190.79"/>
    <x v="45"/>
  </r>
  <r>
    <x v="3"/>
    <x v="2"/>
    <n v="15"/>
    <x v="8"/>
    <d v="2023-03-01T00:00:00"/>
    <n v="4987.25"/>
    <x v="46"/>
  </r>
  <r>
    <x v="3"/>
    <x v="2"/>
    <n v="15"/>
    <x v="8"/>
    <d v="2023-03-01T00:00:00"/>
    <n v="4793.34"/>
    <x v="47"/>
  </r>
  <r>
    <x v="3"/>
    <x v="2"/>
    <n v="15"/>
    <x v="8"/>
    <d v="2023-03-01T00:00:00"/>
    <n v="4983.0637500000003"/>
    <x v="48"/>
  </r>
  <r>
    <x v="3"/>
    <x v="2"/>
    <n v="15"/>
    <x v="8"/>
    <d v="2023-03-01T00:00:00"/>
    <n v="59082"/>
    <x v="12"/>
  </r>
  <r>
    <x v="3"/>
    <x v="7"/>
    <n v="7"/>
    <x v="0"/>
    <d v="2023-03-01T00:00:00"/>
    <n v="37085.4"/>
    <x v="37"/>
  </r>
  <r>
    <x v="3"/>
    <x v="7"/>
    <n v="7"/>
    <x v="0"/>
    <d v="2023-03-01T00:00:00"/>
    <n v="40048"/>
    <x v="38"/>
  </r>
  <r>
    <x v="3"/>
    <x v="7"/>
    <n v="7"/>
    <x v="0"/>
    <d v="2023-03-01T00:00:00"/>
    <n v="45889"/>
    <x v="39"/>
  </r>
  <r>
    <x v="3"/>
    <x v="7"/>
    <n v="7"/>
    <x v="0"/>
    <d v="2023-03-01T00:00:00"/>
    <n v="46129"/>
    <x v="40"/>
  </r>
  <r>
    <x v="3"/>
    <x v="7"/>
    <n v="7"/>
    <x v="0"/>
    <d v="2023-03-01T00:00:00"/>
    <n v="44727"/>
    <x v="41"/>
  </r>
  <r>
    <x v="3"/>
    <x v="7"/>
    <n v="7"/>
    <x v="0"/>
    <d v="2023-03-01T00:00:00"/>
    <n v="56327"/>
    <x v="42"/>
  </r>
  <r>
    <x v="3"/>
    <x v="7"/>
    <n v="7"/>
    <x v="0"/>
    <d v="2023-03-01T00:00:00"/>
    <n v="78315"/>
    <x v="43"/>
  </r>
  <r>
    <x v="3"/>
    <x v="7"/>
    <n v="7"/>
    <x v="0"/>
    <d v="2023-03-01T00:00:00"/>
    <n v="60835"/>
    <x v="44"/>
  </r>
  <r>
    <x v="3"/>
    <x v="7"/>
    <n v="7"/>
    <x v="0"/>
    <d v="2023-03-01T00:00:00"/>
    <n v="68383"/>
    <x v="45"/>
  </r>
  <r>
    <x v="3"/>
    <x v="7"/>
    <n v="7"/>
    <x v="0"/>
    <d v="2023-03-01T00:00:00"/>
    <n v="46669"/>
    <x v="46"/>
  </r>
  <r>
    <x v="3"/>
    <x v="7"/>
    <n v="7"/>
    <x v="0"/>
    <d v="2023-03-01T00:00:00"/>
    <n v="48139"/>
    <x v="47"/>
  </r>
  <r>
    <x v="3"/>
    <x v="7"/>
    <n v="7"/>
    <x v="0"/>
    <d v="2023-03-01T00:00:00"/>
    <n v="136205"/>
    <x v="48"/>
  </r>
  <r>
    <x v="3"/>
    <x v="7"/>
    <n v="7"/>
    <x v="0"/>
    <d v="2023-03-01T00:00:00"/>
    <n v="708751.4"/>
    <x v="12"/>
  </r>
  <r>
    <x v="3"/>
    <x v="7"/>
    <n v="13"/>
    <x v="6"/>
    <d v="2023-03-01T00:00:00"/>
    <n v="0"/>
    <x v="37"/>
  </r>
  <r>
    <x v="3"/>
    <x v="7"/>
    <n v="13"/>
    <x v="6"/>
    <d v="2023-03-01T00:00:00"/>
    <n v="0"/>
    <x v="38"/>
  </r>
  <r>
    <x v="3"/>
    <x v="7"/>
    <n v="13"/>
    <x v="6"/>
    <d v="2023-03-01T00:00:00"/>
    <n v="0"/>
    <x v="39"/>
  </r>
  <r>
    <x v="3"/>
    <x v="7"/>
    <n v="13"/>
    <x v="6"/>
    <d v="2023-03-01T00:00:00"/>
    <n v="0"/>
    <x v="40"/>
  </r>
  <r>
    <x v="3"/>
    <x v="7"/>
    <n v="13"/>
    <x v="6"/>
    <d v="2023-03-01T00:00:00"/>
    <n v="0"/>
    <x v="41"/>
  </r>
  <r>
    <x v="3"/>
    <x v="7"/>
    <n v="13"/>
    <x v="6"/>
    <d v="2023-03-01T00:00:00"/>
    <n v="0"/>
    <x v="42"/>
  </r>
  <r>
    <x v="3"/>
    <x v="7"/>
    <n v="13"/>
    <x v="6"/>
    <d v="2023-03-01T00:00:00"/>
    <n v="0"/>
    <x v="43"/>
  </r>
  <r>
    <x v="3"/>
    <x v="7"/>
    <n v="13"/>
    <x v="6"/>
    <d v="2023-03-01T00:00:00"/>
    <n v="0"/>
    <x v="44"/>
  </r>
  <r>
    <x v="3"/>
    <x v="7"/>
    <n v="13"/>
    <x v="6"/>
    <d v="2023-03-01T00:00:00"/>
    <n v="0"/>
    <x v="45"/>
  </r>
  <r>
    <x v="3"/>
    <x v="7"/>
    <n v="13"/>
    <x v="6"/>
    <d v="2023-03-01T00:00:00"/>
    <n v="0"/>
    <x v="46"/>
  </r>
  <r>
    <x v="3"/>
    <x v="7"/>
    <n v="13"/>
    <x v="6"/>
    <d v="2023-03-01T00:00:00"/>
    <n v="0"/>
    <x v="47"/>
  </r>
  <r>
    <x v="3"/>
    <x v="7"/>
    <n v="13"/>
    <x v="6"/>
    <d v="2023-03-01T00:00:00"/>
    <n v="0"/>
    <x v="48"/>
  </r>
  <r>
    <x v="3"/>
    <x v="7"/>
    <n v="13"/>
    <x v="6"/>
    <d v="2023-03-01T00:00:00"/>
    <n v="0"/>
    <x v="12"/>
  </r>
  <r>
    <x v="3"/>
    <x v="7"/>
    <n v="14"/>
    <x v="7"/>
    <d v="2023-03-01T00:00:00"/>
    <n v="0"/>
    <x v="37"/>
  </r>
  <r>
    <x v="3"/>
    <x v="7"/>
    <n v="14"/>
    <x v="7"/>
    <d v="2023-03-01T00:00:00"/>
    <n v="0"/>
    <x v="38"/>
  </r>
  <r>
    <x v="3"/>
    <x v="7"/>
    <n v="14"/>
    <x v="7"/>
    <d v="2023-03-01T00:00:00"/>
    <n v="0"/>
    <x v="39"/>
  </r>
  <r>
    <x v="3"/>
    <x v="7"/>
    <n v="14"/>
    <x v="7"/>
    <d v="2023-03-01T00:00:00"/>
    <n v="0"/>
    <x v="40"/>
  </r>
  <r>
    <x v="3"/>
    <x v="7"/>
    <n v="14"/>
    <x v="7"/>
    <d v="2023-03-01T00:00:00"/>
    <n v="0"/>
    <x v="41"/>
  </r>
  <r>
    <x v="3"/>
    <x v="7"/>
    <n v="14"/>
    <x v="7"/>
    <d v="2023-03-01T00:00:00"/>
    <n v="0"/>
    <x v="42"/>
  </r>
  <r>
    <x v="3"/>
    <x v="7"/>
    <n v="14"/>
    <x v="7"/>
    <d v="2023-03-01T00:00:00"/>
    <n v="0"/>
    <x v="43"/>
  </r>
  <r>
    <x v="3"/>
    <x v="7"/>
    <n v="14"/>
    <x v="7"/>
    <d v="2023-03-01T00:00:00"/>
    <n v="0"/>
    <x v="44"/>
  </r>
  <r>
    <x v="3"/>
    <x v="7"/>
    <n v="14"/>
    <x v="7"/>
    <d v="2023-03-01T00:00:00"/>
    <n v="0"/>
    <x v="45"/>
  </r>
  <r>
    <x v="3"/>
    <x v="7"/>
    <n v="14"/>
    <x v="7"/>
    <d v="2023-03-01T00:00:00"/>
    <n v="0"/>
    <x v="46"/>
  </r>
  <r>
    <x v="3"/>
    <x v="7"/>
    <n v="14"/>
    <x v="7"/>
    <d v="2023-03-01T00:00:00"/>
    <n v="0"/>
    <x v="47"/>
  </r>
  <r>
    <x v="3"/>
    <x v="7"/>
    <n v="14"/>
    <x v="7"/>
    <d v="2023-03-01T00:00:00"/>
    <n v="0"/>
    <x v="48"/>
  </r>
  <r>
    <x v="3"/>
    <x v="7"/>
    <n v="14"/>
    <x v="7"/>
    <d v="2023-03-01T00:00:00"/>
    <n v="0"/>
    <x v="12"/>
  </r>
  <r>
    <x v="3"/>
    <x v="7"/>
    <n v="15"/>
    <x v="8"/>
    <d v="2023-03-01T00:00:00"/>
    <n v="0"/>
    <x v="37"/>
  </r>
  <r>
    <x v="3"/>
    <x v="7"/>
    <n v="15"/>
    <x v="8"/>
    <d v="2023-03-01T00:00:00"/>
    <n v="0"/>
    <x v="38"/>
  </r>
  <r>
    <x v="3"/>
    <x v="7"/>
    <n v="15"/>
    <x v="8"/>
    <d v="2023-03-01T00:00:00"/>
    <n v="0"/>
    <x v="39"/>
  </r>
  <r>
    <x v="3"/>
    <x v="7"/>
    <n v="15"/>
    <x v="8"/>
    <d v="2023-03-01T00:00:00"/>
    <n v="0"/>
    <x v="40"/>
  </r>
  <r>
    <x v="3"/>
    <x v="7"/>
    <n v="15"/>
    <x v="8"/>
    <d v="2023-03-01T00:00:00"/>
    <n v="0"/>
    <x v="41"/>
  </r>
  <r>
    <x v="3"/>
    <x v="7"/>
    <n v="15"/>
    <x v="8"/>
    <d v="2023-03-01T00:00:00"/>
    <n v="0"/>
    <x v="42"/>
  </r>
  <r>
    <x v="3"/>
    <x v="7"/>
    <n v="15"/>
    <x v="8"/>
    <d v="2023-03-01T00:00:00"/>
    <n v="0"/>
    <x v="43"/>
  </r>
  <r>
    <x v="3"/>
    <x v="7"/>
    <n v="15"/>
    <x v="8"/>
    <d v="2023-03-01T00:00:00"/>
    <n v="0"/>
    <x v="44"/>
  </r>
  <r>
    <x v="3"/>
    <x v="7"/>
    <n v="15"/>
    <x v="8"/>
    <d v="2023-03-01T00:00:00"/>
    <n v="0"/>
    <x v="45"/>
  </r>
  <r>
    <x v="3"/>
    <x v="7"/>
    <n v="15"/>
    <x v="8"/>
    <d v="2023-03-01T00:00:00"/>
    <n v="0"/>
    <x v="46"/>
  </r>
  <r>
    <x v="3"/>
    <x v="7"/>
    <n v="15"/>
    <x v="8"/>
    <d v="2023-03-01T00:00:00"/>
    <n v="0"/>
    <x v="47"/>
  </r>
  <r>
    <x v="3"/>
    <x v="7"/>
    <n v="15"/>
    <x v="8"/>
    <d v="2023-03-01T00:00:00"/>
    <n v="0"/>
    <x v="48"/>
  </r>
  <r>
    <x v="3"/>
    <x v="7"/>
    <n v="15"/>
    <x v="8"/>
    <d v="2023-03-01T00:00:00"/>
    <n v="0"/>
    <x v="12"/>
  </r>
  <r>
    <x v="3"/>
    <x v="7"/>
    <n v="9"/>
    <x v="2"/>
    <d v="2023-03-01T00:00:00"/>
    <n v="0"/>
    <x v="37"/>
  </r>
  <r>
    <x v="3"/>
    <x v="7"/>
    <n v="9"/>
    <x v="2"/>
    <d v="2023-03-01T00:00:00"/>
    <n v="0"/>
    <x v="38"/>
  </r>
  <r>
    <x v="3"/>
    <x v="7"/>
    <n v="9"/>
    <x v="2"/>
    <d v="2023-03-01T00:00:00"/>
    <n v="0"/>
    <x v="39"/>
  </r>
  <r>
    <x v="3"/>
    <x v="7"/>
    <n v="9"/>
    <x v="2"/>
    <d v="2023-03-01T00:00:00"/>
    <n v="0"/>
    <x v="40"/>
  </r>
  <r>
    <x v="3"/>
    <x v="7"/>
    <n v="9"/>
    <x v="2"/>
    <d v="2023-03-01T00:00:00"/>
    <n v="0"/>
    <x v="41"/>
  </r>
  <r>
    <x v="3"/>
    <x v="7"/>
    <n v="9"/>
    <x v="2"/>
    <d v="2023-03-01T00:00:00"/>
    <n v="0"/>
    <x v="42"/>
  </r>
  <r>
    <x v="3"/>
    <x v="7"/>
    <n v="9"/>
    <x v="2"/>
    <d v="2023-03-01T00:00:00"/>
    <n v="0"/>
    <x v="43"/>
  </r>
  <r>
    <x v="3"/>
    <x v="7"/>
    <n v="9"/>
    <x v="2"/>
    <d v="2023-03-01T00:00:00"/>
    <n v="0"/>
    <x v="44"/>
  </r>
  <r>
    <x v="3"/>
    <x v="7"/>
    <n v="9"/>
    <x v="2"/>
    <d v="2023-03-01T00:00:00"/>
    <n v="0"/>
    <x v="45"/>
  </r>
  <r>
    <x v="3"/>
    <x v="7"/>
    <n v="9"/>
    <x v="2"/>
    <d v="2023-03-01T00:00:00"/>
    <n v="0"/>
    <x v="46"/>
  </r>
  <r>
    <x v="3"/>
    <x v="7"/>
    <n v="9"/>
    <x v="2"/>
    <d v="2023-03-01T00:00:00"/>
    <n v="0"/>
    <x v="47"/>
  </r>
  <r>
    <x v="3"/>
    <x v="7"/>
    <n v="9"/>
    <x v="2"/>
    <d v="2023-03-01T00:00:00"/>
    <n v="0"/>
    <x v="48"/>
  </r>
  <r>
    <x v="3"/>
    <x v="7"/>
    <n v="9"/>
    <x v="2"/>
    <d v="2023-03-01T00:00:00"/>
    <n v="0"/>
    <x v="12"/>
  </r>
  <r>
    <x v="3"/>
    <x v="7"/>
    <n v="10"/>
    <x v="3"/>
    <d v="2023-03-01T00:00:00"/>
    <n v="22503.984840000001"/>
    <x v="37"/>
  </r>
  <r>
    <x v="3"/>
    <x v="7"/>
    <n v="10"/>
    <x v="3"/>
    <d v="2023-03-01T00:00:00"/>
    <n v="23128.663240000002"/>
    <x v="38"/>
  </r>
  <r>
    <x v="3"/>
    <x v="7"/>
    <n v="10"/>
    <x v="3"/>
    <d v="2023-03-01T00:00:00"/>
    <n v="23261.765810000001"/>
    <x v="39"/>
  </r>
  <r>
    <x v="3"/>
    <x v="7"/>
    <n v="10"/>
    <x v="3"/>
    <d v="2023-03-01T00:00:00"/>
    <n v="23290.870800000001"/>
    <x v="40"/>
  </r>
  <r>
    <x v="3"/>
    <x v="7"/>
    <n v="10"/>
    <x v="3"/>
    <d v="2023-03-01T00:00:00"/>
    <n v="25205.69325"/>
    <x v="41"/>
  </r>
  <r>
    <x v="3"/>
    <x v="7"/>
    <n v="10"/>
    <x v="3"/>
    <d v="2023-03-01T00:00:00"/>
    <n v="32060"/>
    <x v="42"/>
  </r>
  <r>
    <x v="3"/>
    <x v="7"/>
    <n v="10"/>
    <x v="3"/>
    <d v="2023-03-01T00:00:00"/>
    <n v="26430.53397"/>
    <x v="43"/>
  </r>
  <r>
    <x v="3"/>
    <x v="7"/>
    <n v="10"/>
    <x v="3"/>
    <d v="2023-03-01T00:00:00"/>
    <n v="25684.29578"/>
    <x v="44"/>
  </r>
  <r>
    <x v="3"/>
    <x v="7"/>
    <n v="10"/>
    <x v="3"/>
    <d v="2023-03-01T00:00:00"/>
    <n v="25585.445029999999"/>
    <x v="45"/>
  </r>
  <r>
    <x v="3"/>
    <x v="7"/>
    <n v="10"/>
    <x v="3"/>
    <d v="2023-03-01T00:00:00"/>
    <n v="25199.729039999998"/>
    <x v="46"/>
  </r>
  <r>
    <x v="3"/>
    <x v="7"/>
    <n v="10"/>
    <x v="3"/>
    <d v="2023-03-01T00:00:00"/>
    <n v="25630.09807"/>
    <x v="47"/>
  </r>
  <r>
    <x v="3"/>
    <x v="7"/>
    <n v="10"/>
    <x v="3"/>
    <d v="2023-03-01T00:00:00"/>
    <n v="44878.5"/>
    <x v="48"/>
  </r>
  <r>
    <x v="3"/>
    <x v="7"/>
    <n v="10"/>
    <x v="3"/>
    <d v="2023-03-01T00:00:00"/>
    <n v="322859.57983"/>
    <x v="12"/>
  </r>
  <r>
    <x v="3"/>
    <x v="7"/>
    <n v="12"/>
    <x v="5"/>
    <d v="2023-03-01T00:00:00"/>
    <n v="0"/>
    <x v="37"/>
  </r>
  <r>
    <x v="3"/>
    <x v="7"/>
    <n v="12"/>
    <x v="5"/>
    <d v="2023-03-01T00:00:00"/>
    <n v="0"/>
    <x v="38"/>
  </r>
  <r>
    <x v="3"/>
    <x v="7"/>
    <n v="12"/>
    <x v="5"/>
    <d v="2023-03-01T00:00:00"/>
    <n v="0"/>
    <x v="39"/>
  </r>
  <r>
    <x v="3"/>
    <x v="7"/>
    <n v="12"/>
    <x v="5"/>
    <d v="2023-03-01T00:00:00"/>
    <n v="0"/>
    <x v="40"/>
  </r>
  <r>
    <x v="3"/>
    <x v="7"/>
    <n v="12"/>
    <x v="5"/>
    <d v="2023-03-01T00:00:00"/>
    <n v="0"/>
    <x v="41"/>
  </r>
  <r>
    <x v="3"/>
    <x v="7"/>
    <n v="12"/>
    <x v="5"/>
    <d v="2023-03-01T00:00:00"/>
    <n v="0"/>
    <x v="42"/>
  </r>
  <r>
    <x v="3"/>
    <x v="7"/>
    <n v="12"/>
    <x v="5"/>
    <d v="2023-03-01T00:00:00"/>
    <n v="0"/>
    <x v="43"/>
  </r>
  <r>
    <x v="3"/>
    <x v="7"/>
    <n v="12"/>
    <x v="5"/>
    <d v="2023-03-01T00:00:00"/>
    <n v="0"/>
    <x v="44"/>
  </r>
  <r>
    <x v="3"/>
    <x v="7"/>
    <n v="12"/>
    <x v="5"/>
    <d v="2023-03-01T00:00:00"/>
    <n v="0"/>
    <x v="45"/>
  </r>
  <r>
    <x v="3"/>
    <x v="7"/>
    <n v="12"/>
    <x v="5"/>
    <d v="2023-03-01T00:00:00"/>
    <n v="0"/>
    <x v="46"/>
  </r>
  <r>
    <x v="3"/>
    <x v="7"/>
    <n v="12"/>
    <x v="5"/>
    <d v="2023-03-01T00:00:00"/>
    <n v="0"/>
    <x v="47"/>
  </r>
  <r>
    <x v="3"/>
    <x v="7"/>
    <n v="12"/>
    <x v="5"/>
    <d v="2023-03-01T00:00:00"/>
    <n v="0"/>
    <x v="48"/>
  </r>
  <r>
    <x v="3"/>
    <x v="7"/>
    <n v="12"/>
    <x v="5"/>
    <d v="2023-03-01T00:00:00"/>
    <n v="0"/>
    <x v="12"/>
  </r>
  <r>
    <x v="3"/>
    <x v="14"/>
    <n v="7"/>
    <x v="0"/>
    <d v="2023-03-01T00:00:00"/>
    <n v="10389"/>
    <x v="37"/>
  </r>
  <r>
    <x v="3"/>
    <x v="14"/>
    <n v="7"/>
    <x v="0"/>
    <d v="2023-03-01T00:00:00"/>
    <n v="10269"/>
    <x v="38"/>
  </r>
  <r>
    <x v="3"/>
    <x v="14"/>
    <n v="7"/>
    <x v="0"/>
    <d v="2023-03-01T00:00:00"/>
    <n v="10619"/>
    <x v="39"/>
  </r>
  <r>
    <x v="3"/>
    <x v="14"/>
    <n v="7"/>
    <x v="0"/>
    <d v="2023-03-01T00:00:00"/>
    <n v="10562"/>
    <x v="40"/>
  </r>
  <r>
    <x v="3"/>
    <x v="14"/>
    <n v="7"/>
    <x v="0"/>
    <d v="2023-03-01T00:00:00"/>
    <n v="11885"/>
    <x v="41"/>
  </r>
  <r>
    <x v="3"/>
    <x v="14"/>
    <n v="7"/>
    <x v="0"/>
    <d v="2023-03-01T00:00:00"/>
    <n v="12028"/>
    <x v="42"/>
  </r>
  <r>
    <x v="3"/>
    <x v="14"/>
    <n v="7"/>
    <x v="0"/>
    <d v="2023-03-01T00:00:00"/>
    <n v="13306"/>
    <x v="43"/>
  </r>
  <r>
    <x v="3"/>
    <x v="14"/>
    <n v="7"/>
    <x v="0"/>
    <d v="2023-03-01T00:00:00"/>
    <n v="12643"/>
    <x v="44"/>
  </r>
  <r>
    <x v="3"/>
    <x v="14"/>
    <n v="7"/>
    <x v="0"/>
    <d v="2023-03-01T00:00:00"/>
    <n v="12622"/>
    <x v="45"/>
  </r>
  <r>
    <x v="3"/>
    <x v="14"/>
    <n v="7"/>
    <x v="0"/>
    <d v="2023-03-01T00:00:00"/>
    <n v="12285"/>
    <x v="46"/>
  </r>
  <r>
    <x v="3"/>
    <x v="14"/>
    <n v="7"/>
    <x v="0"/>
    <d v="2023-03-01T00:00:00"/>
    <n v="15351"/>
    <x v="47"/>
  </r>
  <r>
    <x v="3"/>
    <x v="14"/>
    <n v="7"/>
    <x v="0"/>
    <d v="2023-03-01T00:00:00"/>
    <n v="19185"/>
    <x v="48"/>
  </r>
  <r>
    <x v="3"/>
    <x v="14"/>
    <n v="7"/>
    <x v="0"/>
    <d v="2023-03-01T00:00:00"/>
    <n v="151144"/>
    <x v="12"/>
  </r>
  <r>
    <x v="3"/>
    <x v="14"/>
    <n v="8"/>
    <x v="1"/>
    <d v="2023-03-01T00:00:00"/>
    <n v="0"/>
    <x v="37"/>
  </r>
  <r>
    <x v="3"/>
    <x v="14"/>
    <n v="8"/>
    <x v="1"/>
    <d v="2023-03-01T00:00:00"/>
    <n v="0"/>
    <x v="38"/>
  </r>
  <r>
    <x v="3"/>
    <x v="14"/>
    <n v="8"/>
    <x v="1"/>
    <d v="2023-03-01T00:00:00"/>
    <n v="0"/>
    <x v="39"/>
  </r>
  <r>
    <x v="3"/>
    <x v="14"/>
    <n v="8"/>
    <x v="1"/>
    <d v="2023-03-01T00:00:00"/>
    <n v="0"/>
    <x v="40"/>
  </r>
  <r>
    <x v="3"/>
    <x v="14"/>
    <n v="8"/>
    <x v="1"/>
    <d v="2023-03-01T00:00:00"/>
    <n v="0"/>
    <x v="41"/>
  </r>
  <r>
    <x v="3"/>
    <x v="14"/>
    <n v="8"/>
    <x v="1"/>
    <d v="2023-03-01T00:00:00"/>
    <n v="0"/>
    <x v="42"/>
  </r>
  <r>
    <x v="3"/>
    <x v="14"/>
    <n v="8"/>
    <x v="1"/>
    <d v="2023-03-01T00:00:00"/>
    <n v="0"/>
    <x v="43"/>
  </r>
  <r>
    <x v="3"/>
    <x v="14"/>
    <n v="8"/>
    <x v="1"/>
    <d v="2023-03-01T00:00:00"/>
    <n v="0"/>
    <x v="44"/>
  </r>
  <r>
    <x v="3"/>
    <x v="14"/>
    <n v="8"/>
    <x v="1"/>
    <d v="2023-03-01T00:00:00"/>
    <n v="0"/>
    <x v="45"/>
  </r>
  <r>
    <x v="3"/>
    <x v="14"/>
    <n v="8"/>
    <x v="1"/>
    <d v="2023-03-01T00:00:00"/>
    <n v="0"/>
    <x v="46"/>
  </r>
  <r>
    <x v="3"/>
    <x v="14"/>
    <n v="8"/>
    <x v="1"/>
    <d v="2023-03-01T00:00:00"/>
    <n v="0"/>
    <x v="47"/>
  </r>
  <r>
    <x v="3"/>
    <x v="14"/>
    <n v="8"/>
    <x v="1"/>
    <d v="2023-03-01T00:00:00"/>
    <n v="0"/>
    <x v="48"/>
  </r>
  <r>
    <x v="3"/>
    <x v="14"/>
    <n v="8"/>
    <x v="1"/>
    <d v="2023-03-01T00:00:00"/>
    <n v="0"/>
    <x v="12"/>
  </r>
  <r>
    <x v="3"/>
    <x v="14"/>
    <n v="9"/>
    <x v="2"/>
    <d v="2023-03-01T00:00:00"/>
    <n v="0"/>
    <x v="37"/>
  </r>
  <r>
    <x v="3"/>
    <x v="14"/>
    <n v="9"/>
    <x v="2"/>
    <d v="2023-03-01T00:00:00"/>
    <n v="0"/>
    <x v="38"/>
  </r>
  <r>
    <x v="3"/>
    <x v="14"/>
    <n v="9"/>
    <x v="2"/>
    <d v="2023-03-01T00:00:00"/>
    <n v="0"/>
    <x v="39"/>
  </r>
  <r>
    <x v="3"/>
    <x v="14"/>
    <n v="9"/>
    <x v="2"/>
    <d v="2023-03-01T00:00:00"/>
    <n v="0"/>
    <x v="40"/>
  </r>
  <r>
    <x v="3"/>
    <x v="14"/>
    <n v="9"/>
    <x v="2"/>
    <d v="2023-03-01T00:00:00"/>
    <n v="0"/>
    <x v="41"/>
  </r>
  <r>
    <x v="3"/>
    <x v="14"/>
    <n v="9"/>
    <x v="2"/>
    <d v="2023-03-01T00:00:00"/>
    <n v="0"/>
    <x v="42"/>
  </r>
  <r>
    <x v="3"/>
    <x v="14"/>
    <n v="9"/>
    <x v="2"/>
    <d v="2023-03-01T00:00:00"/>
    <n v="0"/>
    <x v="43"/>
  </r>
  <r>
    <x v="3"/>
    <x v="14"/>
    <n v="9"/>
    <x v="2"/>
    <d v="2023-03-01T00:00:00"/>
    <n v="0"/>
    <x v="44"/>
  </r>
  <r>
    <x v="3"/>
    <x v="14"/>
    <n v="9"/>
    <x v="2"/>
    <d v="2023-03-01T00:00:00"/>
    <n v="0"/>
    <x v="45"/>
  </r>
  <r>
    <x v="3"/>
    <x v="14"/>
    <n v="9"/>
    <x v="2"/>
    <d v="2023-03-01T00:00:00"/>
    <n v="0"/>
    <x v="46"/>
  </r>
  <r>
    <x v="3"/>
    <x v="14"/>
    <n v="9"/>
    <x v="2"/>
    <d v="2023-03-01T00:00:00"/>
    <n v="0"/>
    <x v="47"/>
  </r>
  <r>
    <x v="3"/>
    <x v="14"/>
    <n v="9"/>
    <x v="2"/>
    <d v="2023-03-01T00:00:00"/>
    <n v="0"/>
    <x v="48"/>
  </r>
  <r>
    <x v="3"/>
    <x v="14"/>
    <n v="9"/>
    <x v="2"/>
    <d v="2023-03-01T00:00:00"/>
    <n v="0"/>
    <x v="12"/>
  </r>
  <r>
    <x v="3"/>
    <x v="14"/>
    <n v="10"/>
    <x v="3"/>
    <d v="2023-03-01T00:00:00"/>
    <n v="3897"/>
    <x v="37"/>
  </r>
  <r>
    <x v="3"/>
    <x v="14"/>
    <n v="10"/>
    <x v="3"/>
    <d v="2023-03-01T00:00:00"/>
    <n v="4176"/>
    <x v="38"/>
  </r>
  <r>
    <x v="3"/>
    <x v="14"/>
    <n v="10"/>
    <x v="3"/>
    <d v="2023-03-01T00:00:00"/>
    <n v="3583"/>
    <x v="39"/>
  </r>
  <r>
    <x v="3"/>
    <x v="14"/>
    <n v="10"/>
    <x v="3"/>
    <d v="2023-03-01T00:00:00"/>
    <n v="3921"/>
    <x v="40"/>
  </r>
  <r>
    <x v="3"/>
    <x v="14"/>
    <n v="10"/>
    <x v="3"/>
    <d v="2023-03-01T00:00:00"/>
    <n v="3939"/>
    <x v="41"/>
  </r>
  <r>
    <x v="3"/>
    <x v="14"/>
    <n v="10"/>
    <x v="3"/>
    <d v="2023-03-01T00:00:00"/>
    <n v="4960"/>
    <x v="42"/>
  </r>
  <r>
    <x v="3"/>
    <x v="14"/>
    <n v="10"/>
    <x v="3"/>
    <d v="2023-03-01T00:00:00"/>
    <n v="4208"/>
    <x v="43"/>
  </r>
  <r>
    <x v="3"/>
    <x v="14"/>
    <n v="10"/>
    <x v="3"/>
    <d v="2023-03-01T00:00:00"/>
    <n v="4354"/>
    <x v="44"/>
  </r>
  <r>
    <x v="3"/>
    <x v="14"/>
    <n v="10"/>
    <x v="3"/>
    <d v="2023-03-01T00:00:00"/>
    <n v="4508"/>
    <x v="45"/>
  </r>
  <r>
    <x v="3"/>
    <x v="14"/>
    <n v="10"/>
    <x v="3"/>
    <d v="2023-03-01T00:00:00"/>
    <n v="4516"/>
    <x v="46"/>
  </r>
  <r>
    <x v="3"/>
    <x v="14"/>
    <n v="10"/>
    <x v="3"/>
    <d v="2023-03-01T00:00:00"/>
    <n v="4567"/>
    <x v="47"/>
  </r>
  <r>
    <x v="3"/>
    <x v="14"/>
    <n v="10"/>
    <x v="3"/>
    <d v="2023-03-01T00:00:00"/>
    <n v="8219"/>
    <x v="48"/>
  </r>
  <r>
    <x v="3"/>
    <x v="14"/>
    <n v="10"/>
    <x v="3"/>
    <d v="2023-03-01T00:00:00"/>
    <n v="54848"/>
    <x v="12"/>
  </r>
  <r>
    <x v="3"/>
    <x v="14"/>
    <n v="11"/>
    <x v="4"/>
    <d v="2023-03-01T00:00:00"/>
    <n v="5687"/>
    <x v="37"/>
  </r>
  <r>
    <x v="3"/>
    <x v="14"/>
    <n v="11"/>
    <x v="4"/>
    <d v="2023-03-01T00:00:00"/>
    <n v="5253"/>
    <x v="38"/>
  </r>
  <r>
    <x v="3"/>
    <x v="14"/>
    <n v="11"/>
    <x v="4"/>
    <d v="2023-03-01T00:00:00"/>
    <n v="6326"/>
    <x v="39"/>
  </r>
  <r>
    <x v="3"/>
    <x v="14"/>
    <n v="11"/>
    <x v="4"/>
    <d v="2023-03-01T00:00:00"/>
    <n v="5369"/>
    <x v="40"/>
  </r>
  <r>
    <x v="3"/>
    <x v="14"/>
    <n v="11"/>
    <x v="4"/>
    <d v="2023-03-01T00:00:00"/>
    <n v="7004"/>
    <x v="41"/>
  </r>
  <r>
    <x v="3"/>
    <x v="14"/>
    <n v="11"/>
    <x v="4"/>
    <d v="2023-03-01T00:00:00"/>
    <n v="5975"/>
    <x v="42"/>
  </r>
  <r>
    <x v="3"/>
    <x v="14"/>
    <n v="11"/>
    <x v="4"/>
    <d v="2023-03-01T00:00:00"/>
    <n v="8256"/>
    <x v="43"/>
  </r>
  <r>
    <x v="3"/>
    <x v="14"/>
    <n v="11"/>
    <x v="4"/>
    <d v="2023-03-01T00:00:00"/>
    <n v="7437"/>
    <x v="44"/>
  </r>
  <r>
    <x v="3"/>
    <x v="14"/>
    <n v="11"/>
    <x v="4"/>
    <d v="2023-03-01T00:00:00"/>
    <n v="7414"/>
    <x v="45"/>
  </r>
  <r>
    <x v="3"/>
    <x v="14"/>
    <n v="11"/>
    <x v="4"/>
    <d v="2023-03-01T00:00:00"/>
    <n v="7030"/>
    <x v="46"/>
  </r>
  <r>
    <x v="3"/>
    <x v="14"/>
    <n v="11"/>
    <x v="4"/>
    <d v="2023-03-01T00:00:00"/>
    <n v="10139"/>
    <x v="47"/>
  </r>
  <r>
    <x v="3"/>
    <x v="14"/>
    <n v="11"/>
    <x v="4"/>
    <d v="2023-03-01T00:00:00"/>
    <n v="9871"/>
    <x v="48"/>
  </r>
  <r>
    <x v="3"/>
    <x v="14"/>
    <n v="11"/>
    <x v="4"/>
    <d v="2023-03-01T00:00:00"/>
    <n v="85761"/>
    <x v="12"/>
  </r>
  <r>
    <x v="3"/>
    <x v="14"/>
    <n v="12"/>
    <x v="5"/>
    <d v="2023-03-01T00:00:00"/>
    <n v="0"/>
    <x v="37"/>
  </r>
  <r>
    <x v="3"/>
    <x v="14"/>
    <n v="12"/>
    <x v="5"/>
    <d v="2023-03-01T00:00:00"/>
    <n v="0"/>
    <x v="38"/>
  </r>
  <r>
    <x v="3"/>
    <x v="14"/>
    <n v="12"/>
    <x v="5"/>
    <d v="2023-03-01T00:00:00"/>
    <n v="0"/>
    <x v="39"/>
  </r>
  <r>
    <x v="3"/>
    <x v="14"/>
    <n v="12"/>
    <x v="5"/>
    <d v="2023-03-01T00:00:00"/>
    <n v="0"/>
    <x v="40"/>
  </r>
  <r>
    <x v="3"/>
    <x v="14"/>
    <n v="12"/>
    <x v="5"/>
    <d v="2023-03-01T00:00:00"/>
    <n v="0"/>
    <x v="41"/>
  </r>
  <r>
    <x v="3"/>
    <x v="14"/>
    <n v="12"/>
    <x v="5"/>
    <d v="2023-03-01T00:00:00"/>
    <n v="0"/>
    <x v="42"/>
  </r>
  <r>
    <x v="3"/>
    <x v="14"/>
    <n v="12"/>
    <x v="5"/>
    <d v="2023-03-01T00:00:00"/>
    <n v="0"/>
    <x v="43"/>
  </r>
  <r>
    <x v="3"/>
    <x v="14"/>
    <n v="12"/>
    <x v="5"/>
    <d v="2023-03-01T00:00:00"/>
    <n v="0"/>
    <x v="44"/>
  </r>
  <r>
    <x v="3"/>
    <x v="14"/>
    <n v="12"/>
    <x v="5"/>
    <d v="2023-03-01T00:00:00"/>
    <n v="0"/>
    <x v="45"/>
  </r>
  <r>
    <x v="3"/>
    <x v="14"/>
    <n v="12"/>
    <x v="5"/>
    <d v="2023-03-01T00:00:00"/>
    <n v="0"/>
    <x v="46"/>
  </r>
  <r>
    <x v="3"/>
    <x v="14"/>
    <n v="12"/>
    <x v="5"/>
    <d v="2023-03-01T00:00:00"/>
    <n v="0"/>
    <x v="47"/>
  </r>
  <r>
    <x v="3"/>
    <x v="14"/>
    <n v="12"/>
    <x v="5"/>
    <d v="2023-03-01T00:00:00"/>
    <n v="0"/>
    <x v="48"/>
  </r>
  <r>
    <x v="3"/>
    <x v="14"/>
    <n v="12"/>
    <x v="5"/>
    <d v="2023-03-01T00:00:00"/>
    <n v="0"/>
    <x v="12"/>
  </r>
  <r>
    <x v="3"/>
    <x v="14"/>
    <n v="13"/>
    <x v="6"/>
    <d v="2023-03-01T00:00:00"/>
    <n v="0"/>
    <x v="37"/>
  </r>
  <r>
    <x v="3"/>
    <x v="14"/>
    <n v="13"/>
    <x v="6"/>
    <d v="2023-03-01T00:00:00"/>
    <n v="0"/>
    <x v="38"/>
  </r>
  <r>
    <x v="3"/>
    <x v="14"/>
    <n v="13"/>
    <x v="6"/>
    <d v="2023-03-01T00:00:00"/>
    <n v="0"/>
    <x v="39"/>
  </r>
  <r>
    <x v="3"/>
    <x v="14"/>
    <n v="13"/>
    <x v="6"/>
    <d v="2023-03-01T00:00:00"/>
    <n v="0"/>
    <x v="40"/>
  </r>
  <r>
    <x v="3"/>
    <x v="14"/>
    <n v="13"/>
    <x v="6"/>
    <d v="2023-03-01T00:00:00"/>
    <n v="0"/>
    <x v="41"/>
  </r>
  <r>
    <x v="3"/>
    <x v="14"/>
    <n v="13"/>
    <x v="6"/>
    <d v="2023-03-01T00:00:00"/>
    <n v="0"/>
    <x v="42"/>
  </r>
  <r>
    <x v="3"/>
    <x v="14"/>
    <n v="13"/>
    <x v="6"/>
    <d v="2023-03-01T00:00:00"/>
    <n v="0"/>
    <x v="43"/>
  </r>
  <r>
    <x v="3"/>
    <x v="14"/>
    <n v="13"/>
    <x v="6"/>
    <d v="2023-03-01T00:00:00"/>
    <n v="0"/>
    <x v="44"/>
  </r>
  <r>
    <x v="3"/>
    <x v="14"/>
    <n v="13"/>
    <x v="6"/>
    <d v="2023-03-01T00:00:00"/>
    <n v="0"/>
    <x v="45"/>
  </r>
  <r>
    <x v="3"/>
    <x v="14"/>
    <n v="13"/>
    <x v="6"/>
    <d v="2023-03-01T00:00:00"/>
    <n v="0"/>
    <x v="46"/>
  </r>
  <r>
    <x v="3"/>
    <x v="14"/>
    <n v="13"/>
    <x v="6"/>
    <d v="2023-03-01T00:00:00"/>
    <n v="0"/>
    <x v="47"/>
  </r>
  <r>
    <x v="3"/>
    <x v="14"/>
    <n v="13"/>
    <x v="6"/>
    <d v="2023-03-01T00:00:00"/>
    <n v="0"/>
    <x v="48"/>
  </r>
  <r>
    <x v="3"/>
    <x v="14"/>
    <n v="13"/>
    <x v="6"/>
    <d v="2023-03-01T00:00:00"/>
    <n v="0"/>
    <x v="12"/>
  </r>
  <r>
    <x v="3"/>
    <x v="14"/>
    <n v="14"/>
    <x v="7"/>
    <d v="2023-03-01T00:00:00"/>
    <n v="0"/>
    <x v="37"/>
  </r>
  <r>
    <x v="3"/>
    <x v="14"/>
    <n v="14"/>
    <x v="7"/>
    <d v="2023-03-01T00:00:00"/>
    <n v="0"/>
    <x v="38"/>
  </r>
  <r>
    <x v="3"/>
    <x v="14"/>
    <n v="14"/>
    <x v="7"/>
    <d v="2023-03-01T00:00:00"/>
    <n v="0"/>
    <x v="39"/>
  </r>
  <r>
    <x v="3"/>
    <x v="14"/>
    <n v="14"/>
    <x v="7"/>
    <d v="2023-03-01T00:00:00"/>
    <n v="0"/>
    <x v="40"/>
  </r>
  <r>
    <x v="3"/>
    <x v="14"/>
    <n v="14"/>
    <x v="7"/>
    <d v="2023-03-01T00:00:00"/>
    <n v="0"/>
    <x v="41"/>
  </r>
  <r>
    <x v="3"/>
    <x v="14"/>
    <n v="14"/>
    <x v="7"/>
    <d v="2023-03-01T00:00:00"/>
    <n v="0"/>
    <x v="42"/>
  </r>
  <r>
    <x v="3"/>
    <x v="14"/>
    <n v="14"/>
    <x v="7"/>
    <d v="2023-03-01T00:00:00"/>
    <n v="0"/>
    <x v="43"/>
  </r>
  <r>
    <x v="3"/>
    <x v="14"/>
    <n v="14"/>
    <x v="7"/>
    <d v="2023-03-01T00:00:00"/>
    <n v="0"/>
    <x v="44"/>
  </r>
  <r>
    <x v="3"/>
    <x v="14"/>
    <n v="14"/>
    <x v="7"/>
    <d v="2023-03-01T00:00:00"/>
    <n v="0"/>
    <x v="45"/>
  </r>
  <r>
    <x v="3"/>
    <x v="14"/>
    <n v="14"/>
    <x v="7"/>
    <d v="2023-03-01T00:00:00"/>
    <n v="0"/>
    <x v="46"/>
  </r>
  <r>
    <x v="3"/>
    <x v="14"/>
    <n v="14"/>
    <x v="7"/>
    <d v="2023-03-01T00:00:00"/>
    <n v="0"/>
    <x v="47"/>
  </r>
  <r>
    <x v="3"/>
    <x v="14"/>
    <n v="14"/>
    <x v="7"/>
    <d v="2023-03-01T00:00:00"/>
    <n v="0"/>
    <x v="48"/>
  </r>
  <r>
    <x v="3"/>
    <x v="14"/>
    <n v="14"/>
    <x v="7"/>
    <d v="2023-03-01T00:00:00"/>
    <n v="0"/>
    <x v="12"/>
  </r>
  <r>
    <x v="3"/>
    <x v="14"/>
    <n v="15"/>
    <x v="8"/>
    <d v="2023-03-01T00:00:00"/>
    <n v="0"/>
    <x v="37"/>
  </r>
  <r>
    <x v="3"/>
    <x v="14"/>
    <n v="15"/>
    <x v="8"/>
    <d v="2023-03-01T00:00:00"/>
    <n v="0"/>
    <x v="38"/>
  </r>
  <r>
    <x v="3"/>
    <x v="14"/>
    <n v="15"/>
    <x v="8"/>
    <d v="2023-03-01T00:00:00"/>
    <n v="0"/>
    <x v="39"/>
  </r>
  <r>
    <x v="3"/>
    <x v="14"/>
    <n v="15"/>
    <x v="8"/>
    <d v="2023-03-01T00:00:00"/>
    <n v="0"/>
    <x v="40"/>
  </r>
  <r>
    <x v="3"/>
    <x v="14"/>
    <n v="15"/>
    <x v="8"/>
    <d v="2023-03-01T00:00:00"/>
    <n v="0"/>
    <x v="41"/>
  </r>
  <r>
    <x v="3"/>
    <x v="14"/>
    <n v="15"/>
    <x v="8"/>
    <d v="2023-03-01T00:00:00"/>
    <n v="0"/>
    <x v="42"/>
  </r>
  <r>
    <x v="3"/>
    <x v="14"/>
    <n v="15"/>
    <x v="8"/>
    <d v="2023-03-01T00:00:00"/>
    <n v="0"/>
    <x v="43"/>
  </r>
  <r>
    <x v="3"/>
    <x v="14"/>
    <n v="15"/>
    <x v="8"/>
    <d v="2023-03-01T00:00:00"/>
    <n v="0"/>
    <x v="44"/>
  </r>
  <r>
    <x v="3"/>
    <x v="14"/>
    <n v="15"/>
    <x v="8"/>
    <d v="2023-03-01T00:00:00"/>
    <n v="0"/>
    <x v="45"/>
  </r>
  <r>
    <x v="3"/>
    <x v="14"/>
    <n v="15"/>
    <x v="8"/>
    <d v="2023-03-01T00:00:00"/>
    <n v="0"/>
    <x v="46"/>
  </r>
  <r>
    <x v="3"/>
    <x v="14"/>
    <n v="15"/>
    <x v="8"/>
    <d v="2023-03-01T00:00:00"/>
    <n v="0"/>
    <x v="47"/>
  </r>
  <r>
    <x v="3"/>
    <x v="14"/>
    <n v="15"/>
    <x v="8"/>
    <d v="2023-03-01T00:00:00"/>
    <n v="0"/>
    <x v="48"/>
  </r>
  <r>
    <x v="3"/>
    <x v="14"/>
    <n v="15"/>
    <x v="8"/>
    <d v="2023-03-01T00:00:00"/>
    <n v="0"/>
    <x v="12"/>
  </r>
  <r>
    <x v="3"/>
    <x v="4"/>
    <n v="7"/>
    <x v="0"/>
    <d v="2023-03-01T00:00:00"/>
    <n v="89041"/>
    <x v="37"/>
  </r>
  <r>
    <x v="3"/>
    <x v="4"/>
    <n v="7"/>
    <x v="0"/>
    <d v="2023-03-01T00:00:00"/>
    <n v="89467"/>
    <x v="38"/>
  </r>
  <r>
    <x v="3"/>
    <x v="4"/>
    <n v="7"/>
    <x v="0"/>
    <d v="2023-03-01T00:00:00"/>
    <n v="89976"/>
    <x v="39"/>
  </r>
  <r>
    <x v="3"/>
    <x v="4"/>
    <n v="7"/>
    <x v="0"/>
    <d v="2023-03-01T00:00:00"/>
    <n v="89042"/>
    <x v="40"/>
  </r>
  <r>
    <x v="3"/>
    <x v="4"/>
    <n v="7"/>
    <x v="0"/>
    <d v="2023-03-01T00:00:00"/>
    <n v="89698"/>
    <x v="41"/>
  </r>
  <r>
    <x v="3"/>
    <x v="4"/>
    <n v="7"/>
    <x v="0"/>
    <d v="2023-03-01T00:00:00"/>
    <n v="102375"/>
    <x v="42"/>
  </r>
  <r>
    <x v="3"/>
    <x v="4"/>
    <n v="7"/>
    <x v="0"/>
    <d v="2023-03-01T00:00:00"/>
    <n v="97874"/>
    <x v="43"/>
  </r>
  <r>
    <x v="3"/>
    <x v="4"/>
    <n v="7"/>
    <x v="0"/>
    <d v="2023-03-01T00:00:00"/>
    <n v="87940"/>
    <x v="44"/>
  </r>
  <r>
    <x v="3"/>
    <x v="4"/>
    <n v="7"/>
    <x v="0"/>
    <d v="2023-03-01T00:00:00"/>
    <n v="97175"/>
    <x v="45"/>
  </r>
  <r>
    <x v="3"/>
    <x v="4"/>
    <n v="7"/>
    <x v="0"/>
    <d v="2023-03-01T00:00:00"/>
    <n v="93951"/>
    <x v="46"/>
  </r>
  <r>
    <x v="3"/>
    <x v="4"/>
    <n v="7"/>
    <x v="0"/>
    <d v="2023-03-01T00:00:00"/>
    <n v="95006"/>
    <x v="47"/>
  </r>
  <r>
    <x v="3"/>
    <x v="4"/>
    <n v="7"/>
    <x v="0"/>
    <d v="2023-03-01T00:00:00"/>
    <n v="148048"/>
    <x v="48"/>
  </r>
  <r>
    <x v="3"/>
    <x v="4"/>
    <n v="7"/>
    <x v="0"/>
    <d v="2023-03-01T00:00:00"/>
    <n v="1169593"/>
    <x v="12"/>
  </r>
  <r>
    <x v="3"/>
    <x v="4"/>
    <n v="8"/>
    <x v="1"/>
    <d v="2023-03-01T00:00:00"/>
    <n v="10710"/>
    <x v="37"/>
  </r>
  <r>
    <x v="3"/>
    <x v="4"/>
    <n v="8"/>
    <x v="1"/>
    <d v="2023-03-01T00:00:00"/>
    <n v="10285"/>
    <x v="38"/>
  </r>
  <r>
    <x v="3"/>
    <x v="4"/>
    <n v="8"/>
    <x v="1"/>
    <d v="2023-03-01T00:00:00"/>
    <n v="10294"/>
    <x v="39"/>
  </r>
  <r>
    <x v="3"/>
    <x v="4"/>
    <n v="8"/>
    <x v="1"/>
    <d v="2023-03-01T00:00:00"/>
    <n v="10225"/>
    <x v="40"/>
  </r>
  <r>
    <x v="3"/>
    <x v="4"/>
    <n v="8"/>
    <x v="1"/>
    <d v="2023-03-01T00:00:00"/>
    <n v="10156"/>
    <x v="41"/>
  </r>
  <r>
    <x v="3"/>
    <x v="4"/>
    <n v="8"/>
    <x v="1"/>
    <d v="2023-03-01T00:00:00"/>
    <n v="11058"/>
    <x v="42"/>
  </r>
  <r>
    <x v="3"/>
    <x v="4"/>
    <n v="8"/>
    <x v="1"/>
    <d v="2023-03-01T00:00:00"/>
    <n v="10916"/>
    <x v="43"/>
  </r>
  <r>
    <x v="3"/>
    <x v="4"/>
    <n v="8"/>
    <x v="1"/>
    <d v="2023-03-01T00:00:00"/>
    <n v="10404"/>
    <x v="44"/>
  </r>
  <r>
    <x v="3"/>
    <x v="4"/>
    <n v="8"/>
    <x v="1"/>
    <d v="2023-03-01T00:00:00"/>
    <n v="17078"/>
    <x v="45"/>
  </r>
  <r>
    <x v="3"/>
    <x v="4"/>
    <n v="8"/>
    <x v="1"/>
    <d v="2023-03-01T00:00:00"/>
    <n v="11553"/>
    <x v="46"/>
  </r>
  <r>
    <x v="3"/>
    <x v="4"/>
    <n v="8"/>
    <x v="1"/>
    <d v="2023-03-01T00:00:00"/>
    <n v="11083"/>
    <x v="47"/>
  </r>
  <r>
    <x v="3"/>
    <x v="4"/>
    <n v="8"/>
    <x v="1"/>
    <d v="2023-03-01T00:00:00"/>
    <n v="13213"/>
    <x v="48"/>
  </r>
  <r>
    <x v="3"/>
    <x v="4"/>
    <n v="8"/>
    <x v="1"/>
    <d v="2023-03-01T00:00:00"/>
    <n v="136975"/>
    <x v="12"/>
  </r>
  <r>
    <x v="3"/>
    <x v="4"/>
    <n v="9"/>
    <x v="2"/>
    <d v="2023-03-01T00:00:00"/>
    <n v="6936"/>
    <x v="37"/>
  </r>
  <r>
    <x v="3"/>
    <x v="4"/>
    <n v="9"/>
    <x v="2"/>
    <d v="2023-03-01T00:00:00"/>
    <n v="6744"/>
    <x v="38"/>
  </r>
  <r>
    <x v="3"/>
    <x v="4"/>
    <n v="9"/>
    <x v="2"/>
    <d v="2023-03-01T00:00:00"/>
    <n v="6589"/>
    <x v="39"/>
  </r>
  <r>
    <x v="3"/>
    <x v="4"/>
    <n v="9"/>
    <x v="2"/>
    <d v="2023-03-01T00:00:00"/>
    <n v="6792"/>
    <x v="40"/>
  </r>
  <r>
    <x v="3"/>
    <x v="4"/>
    <n v="9"/>
    <x v="2"/>
    <d v="2023-03-01T00:00:00"/>
    <n v="7376"/>
    <x v="41"/>
  </r>
  <r>
    <x v="3"/>
    <x v="4"/>
    <n v="9"/>
    <x v="2"/>
    <d v="2023-03-01T00:00:00"/>
    <n v="7728"/>
    <x v="42"/>
  </r>
  <r>
    <x v="3"/>
    <x v="4"/>
    <n v="9"/>
    <x v="2"/>
    <d v="2023-03-01T00:00:00"/>
    <n v="7176"/>
    <x v="43"/>
  </r>
  <r>
    <x v="3"/>
    <x v="4"/>
    <n v="9"/>
    <x v="2"/>
    <d v="2023-03-01T00:00:00"/>
    <n v="7530"/>
    <x v="44"/>
  </r>
  <r>
    <x v="3"/>
    <x v="4"/>
    <n v="9"/>
    <x v="2"/>
    <d v="2023-03-01T00:00:00"/>
    <n v="8445"/>
    <x v="45"/>
  </r>
  <r>
    <x v="3"/>
    <x v="4"/>
    <n v="9"/>
    <x v="2"/>
    <d v="2023-03-01T00:00:00"/>
    <n v="7461"/>
    <x v="46"/>
  </r>
  <r>
    <x v="3"/>
    <x v="4"/>
    <n v="9"/>
    <x v="2"/>
    <d v="2023-03-01T00:00:00"/>
    <n v="6790"/>
    <x v="47"/>
  </r>
  <r>
    <x v="3"/>
    <x v="4"/>
    <n v="9"/>
    <x v="2"/>
    <d v="2023-03-01T00:00:00"/>
    <n v="8032"/>
    <x v="48"/>
  </r>
  <r>
    <x v="3"/>
    <x v="4"/>
    <n v="9"/>
    <x v="2"/>
    <d v="2023-03-01T00:00:00"/>
    <n v="87599"/>
    <x v="12"/>
  </r>
  <r>
    <x v="3"/>
    <x v="4"/>
    <n v="10"/>
    <x v="3"/>
    <d v="2023-03-01T00:00:00"/>
    <n v="42671"/>
    <x v="37"/>
  </r>
  <r>
    <x v="3"/>
    <x v="4"/>
    <n v="10"/>
    <x v="3"/>
    <d v="2023-03-01T00:00:00"/>
    <n v="42155"/>
    <x v="38"/>
  </r>
  <r>
    <x v="3"/>
    <x v="4"/>
    <n v="10"/>
    <x v="3"/>
    <d v="2023-03-01T00:00:00"/>
    <n v="42827"/>
    <x v="39"/>
  </r>
  <r>
    <x v="3"/>
    <x v="4"/>
    <n v="10"/>
    <x v="3"/>
    <d v="2023-03-01T00:00:00"/>
    <n v="42851"/>
    <x v="40"/>
  </r>
  <r>
    <x v="3"/>
    <x v="4"/>
    <n v="10"/>
    <x v="3"/>
    <d v="2023-03-01T00:00:00"/>
    <n v="42439"/>
    <x v="41"/>
  </r>
  <r>
    <x v="3"/>
    <x v="4"/>
    <n v="10"/>
    <x v="3"/>
    <d v="2023-03-01T00:00:00"/>
    <n v="53901"/>
    <x v="42"/>
  </r>
  <r>
    <x v="3"/>
    <x v="4"/>
    <n v="10"/>
    <x v="3"/>
    <d v="2023-03-01T00:00:00"/>
    <n v="45345"/>
    <x v="43"/>
  </r>
  <r>
    <x v="3"/>
    <x v="4"/>
    <n v="10"/>
    <x v="3"/>
    <d v="2023-03-01T00:00:00"/>
    <n v="37592"/>
    <x v="44"/>
  </r>
  <r>
    <x v="3"/>
    <x v="4"/>
    <n v="10"/>
    <x v="3"/>
    <d v="2023-03-01T00:00:00"/>
    <n v="45347"/>
    <x v="45"/>
  </r>
  <r>
    <x v="3"/>
    <x v="4"/>
    <n v="10"/>
    <x v="3"/>
    <d v="2023-03-01T00:00:00"/>
    <n v="45838"/>
    <x v="46"/>
  </r>
  <r>
    <x v="3"/>
    <x v="4"/>
    <n v="10"/>
    <x v="3"/>
    <d v="2023-03-01T00:00:00"/>
    <n v="46081"/>
    <x v="47"/>
  </r>
  <r>
    <x v="3"/>
    <x v="4"/>
    <n v="10"/>
    <x v="3"/>
    <d v="2023-03-01T00:00:00"/>
    <n v="80561"/>
    <x v="48"/>
  </r>
  <r>
    <x v="3"/>
    <x v="4"/>
    <n v="10"/>
    <x v="3"/>
    <d v="2023-03-01T00:00:00"/>
    <n v="567608"/>
    <x v="12"/>
  </r>
  <r>
    <x v="3"/>
    <x v="4"/>
    <n v="11"/>
    <x v="4"/>
    <d v="2023-03-01T00:00:00"/>
    <n v="8474"/>
    <x v="37"/>
  </r>
  <r>
    <x v="3"/>
    <x v="4"/>
    <n v="11"/>
    <x v="4"/>
    <d v="2023-03-01T00:00:00"/>
    <n v="8532"/>
    <x v="38"/>
  </r>
  <r>
    <x v="3"/>
    <x v="4"/>
    <n v="11"/>
    <x v="4"/>
    <d v="2023-03-01T00:00:00"/>
    <n v="7264"/>
    <x v="39"/>
  </r>
  <r>
    <x v="3"/>
    <x v="4"/>
    <n v="11"/>
    <x v="4"/>
    <d v="2023-03-01T00:00:00"/>
    <n v="7806"/>
    <x v="40"/>
  </r>
  <r>
    <x v="3"/>
    <x v="4"/>
    <n v="11"/>
    <x v="4"/>
    <d v="2023-03-01T00:00:00"/>
    <n v="8797"/>
    <x v="41"/>
  </r>
  <r>
    <x v="3"/>
    <x v="4"/>
    <n v="11"/>
    <x v="4"/>
    <d v="2023-03-01T00:00:00"/>
    <n v="8974"/>
    <x v="42"/>
  </r>
  <r>
    <x v="3"/>
    <x v="4"/>
    <n v="11"/>
    <x v="4"/>
    <d v="2023-03-01T00:00:00"/>
    <n v="7476.5"/>
    <x v="43"/>
  </r>
  <r>
    <x v="3"/>
    <x v="4"/>
    <n v="11"/>
    <x v="4"/>
    <d v="2023-03-01T00:00:00"/>
    <n v="7124"/>
    <x v="44"/>
  </r>
  <r>
    <x v="3"/>
    <x v="4"/>
    <n v="11"/>
    <x v="4"/>
    <d v="2023-03-01T00:00:00"/>
    <n v="9048"/>
    <x v="45"/>
  </r>
  <r>
    <x v="3"/>
    <x v="4"/>
    <n v="11"/>
    <x v="4"/>
    <d v="2023-03-01T00:00:00"/>
    <n v="6977"/>
    <x v="46"/>
  </r>
  <r>
    <x v="3"/>
    <x v="4"/>
    <n v="11"/>
    <x v="4"/>
    <d v="2023-03-01T00:00:00"/>
    <n v="8375"/>
    <x v="47"/>
  </r>
  <r>
    <x v="3"/>
    <x v="4"/>
    <n v="11"/>
    <x v="4"/>
    <d v="2023-03-01T00:00:00"/>
    <n v="16499"/>
    <x v="48"/>
  </r>
  <r>
    <x v="3"/>
    <x v="4"/>
    <n v="11"/>
    <x v="4"/>
    <d v="2023-03-01T00:00:00"/>
    <n v="105346.5"/>
    <x v="12"/>
  </r>
  <r>
    <x v="3"/>
    <x v="4"/>
    <n v="12"/>
    <x v="5"/>
    <d v="2023-03-01T00:00:00"/>
    <n v="3976"/>
    <x v="37"/>
  </r>
  <r>
    <x v="3"/>
    <x v="4"/>
    <n v="12"/>
    <x v="5"/>
    <d v="2023-03-01T00:00:00"/>
    <n v="4604"/>
    <x v="38"/>
  </r>
  <r>
    <x v="3"/>
    <x v="4"/>
    <n v="12"/>
    <x v="5"/>
    <d v="2023-03-01T00:00:00"/>
    <n v="4229"/>
    <x v="39"/>
  </r>
  <r>
    <x v="3"/>
    <x v="4"/>
    <n v="12"/>
    <x v="5"/>
    <d v="2023-03-01T00:00:00"/>
    <n v="4024"/>
    <x v="40"/>
  </r>
  <r>
    <x v="3"/>
    <x v="4"/>
    <n v="12"/>
    <x v="5"/>
    <d v="2023-03-01T00:00:00"/>
    <n v="4674"/>
    <x v="41"/>
  </r>
  <r>
    <x v="3"/>
    <x v="4"/>
    <n v="12"/>
    <x v="5"/>
    <d v="2023-03-01T00:00:00"/>
    <n v="4961"/>
    <x v="42"/>
  </r>
  <r>
    <x v="3"/>
    <x v="4"/>
    <n v="12"/>
    <x v="5"/>
    <d v="2023-03-01T00:00:00"/>
    <n v="5231.5"/>
    <x v="43"/>
  </r>
  <r>
    <x v="3"/>
    <x v="4"/>
    <n v="12"/>
    <x v="5"/>
    <d v="2023-03-01T00:00:00"/>
    <n v="5313"/>
    <x v="44"/>
  </r>
  <r>
    <x v="3"/>
    <x v="4"/>
    <n v="12"/>
    <x v="5"/>
    <d v="2023-03-01T00:00:00"/>
    <n v="3375"/>
    <x v="45"/>
  </r>
  <r>
    <x v="3"/>
    <x v="4"/>
    <n v="12"/>
    <x v="5"/>
    <d v="2023-03-01T00:00:00"/>
    <n v="5137"/>
    <x v="46"/>
  </r>
  <r>
    <x v="3"/>
    <x v="4"/>
    <n v="12"/>
    <x v="5"/>
    <d v="2023-03-01T00:00:00"/>
    <n v="4560"/>
    <x v="47"/>
  </r>
  <r>
    <x v="3"/>
    <x v="4"/>
    <n v="12"/>
    <x v="5"/>
    <d v="2023-03-01T00:00:00"/>
    <n v="4861"/>
    <x v="48"/>
  </r>
  <r>
    <x v="3"/>
    <x v="4"/>
    <n v="12"/>
    <x v="5"/>
    <d v="2023-03-01T00:00:00"/>
    <n v="54945.5"/>
    <x v="12"/>
  </r>
  <r>
    <x v="3"/>
    <x v="4"/>
    <n v="13"/>
    <x v="6"/>
    <d v="2023-03-01T00:00:00"/>
    <n v="14138"/>
    <x v="37"/>
  </r>
  <r>
    <x v="3"/>
    <x v="4"/>
    <n v="13"/>
    <x v="6"/>
    <d v="2023-03-01T00:00:00"/>
    <n v="14233"/>
    <x v="38"/>
  </r>
  <r>
    <x v="3"/>
    <x v="4"/>
    <n v="13"/>
    <x v="6"/>
    <d v="2023-03-01T00:00:00"/>
    <n v="15035"/>
    <x v="39"/>
  </r>
  <r>
    <x v="3"/>
    <x v="4"/>
    <n v="13"/>
    <x v="6"/>
    <d v="2023-03-01T00:00:00"/>
    <n v="14964"/>
    <x v="40"/>
  </r>
  <r>
    <x v="3"/>
    <x v="4"/>
    <n v="13"/>
    <x v="6"/>
    <d v="2023-03-01T00:00:00"/>
    <n v="14414"/>
    <x v="41"/>
  </r>
  <r>
    <x v="3"/>
    <x v="4"/>
    <n v="13"/>
    <x v="6"/>
    <d v="2023-03-01T00:00:00"/>
    <n v="14617"/>
    <x v="42"/>
  </r>
  <r>
    <x v="3"/>
    <x v="4"/>
    <n v="13"/>
    <x v="6"/>
    <d v="2023-03-01T00:00:00"/>
    <n v="14357"/>
    <x v="43"/>
  </r>
  <r>
    <x v="3"/>
    <x v="4"/>
    <n v="13"/>
    <x v="6"/>
    <d v="2023-03-01T00:00:00"/>
    <n v="14474"/>
    <x v="44"/>
  </r>
  <r>
    <x v="3"/>
    <x v="4"/>
    <n v="13"/>
    <x v="6"/>
    <d v="2023-03-01T00:00:00"/>
    <n v="14699"/>
    <x v="45"/>
  </r>
  <r>
    <x v="3"/>
    <x v="4"/>
    <n v="13"/>
    <x v="6"/>
    <d v="2023-03-01T00:00:00"/>
    <n v="16079"/>
    <x v="46"/>
  </r>
  <r>
    <x v="3"/>
    <x v="4"/>
    <n v="13"/>
    <x v="6"/>
    <d v="2023-03-01T00:00:00"/>
    <n v="17690"/>
    <x v="47"/>
  </r>
  <r>
    <x v="3"/>
    <x v="4"/>
    <n v="13"/>
    <x v="6"/>
    <d v="2023-03-01T00:00:00"/>
    <n v="15042"/>
    <x v="48"/>
  </r>
  <r>
    <x v="3"/>
    <x v="4"/>
    <n v="13"/>
    <x v="6"/>
    <d v="2023-03-01T00:00:00"/>
    <n v="179742"/>
    <x v="12"/>
  </r>
  <r>
    <x v="3"/>
    <x v="4"/>
    <n v="14"/>
    <x v="7"/>
    <d v="2023-03-01T00:00:00"/>
    <n v="0"/>
    <x v="37"/>
  </r>
  <r>
    <x v="3"/>
    <x v="4"/>
    <n v="14"/>
    <x v="7"/>
    <d v="2023-03-01T00:00:00"/>
    <n v="0"/>
    <x v="38"/>
  </r>
  <r>
    <x v="3"/>
    <x v="4"/>
    <n v="14"/>
    <x v="7"/>
    <d v="2023-03-01T00:00:00"/>
    <n v="0"/>
    <x v="39"/>
  </r>
  <r>
    <x v="3"/>
    <x v="4"/>
    <n v="14"/>
    <x v="7"/>
    <d v="2023-03-01T00:00:00"/>
    <n v="0"/>
    <x v="40"/>
  </r>
  <r>
    <x v="3"/>
    <x v="4"/>
    <n v="14"/>
    <x v="7"/>
    <d v="2023-03-01T00:00:00"/>
    <n v="0"/>
    <x v="41"/>
  </r>
  <r>
    <x v="3"/>
    <x v="4"/>
    <n v="14"/>
    <x v="7"/>
    <d v="2023-03-01T00:00:00"/>
    <n v="0"/>
    <x v="42"/>
  </r>
  <r>
    <x v="3"/>
    <x v="4"/>
    <n v="14"/>
    <x v="7"/>
    <d v="2023-03-01T00:00:00"/>
    <n v="0"/>
    <x v="43"/>
  </r>
  <r>
    <x v="3"/>
    <x v="4"/>
    <n v="14"/>
    <x v="7"/>
    <d v="2023-03-01T00:00:00"/>
    <n v="0"/>
    <x v="44"/>
  </r>
  <r>
    <x v="3"/>
    <x v="4"/>
    <n v="14"/>
    <x v="7"/>
    <d v="2023-03-01T00:00:00"/>
    <n v="0"/>
    <x v="45"/>
  </r>
  <r>
    <x v="3"/>
    <x v="4"/>
    <n v="14"/>
    <x v="7"/>
    <d v="2023-03-01T00:00:00"/>
    <n v="0"/>
    <x v="46"/>
  </r>
  <r>
    <x v="3"/>
    <x v="4"/>
    <n v="14"/>
    <x v="7"/>
    <d v="2023-03-01T00:00:00"/>
    <n v="0"/>
    <x v="47"/>
  </r>
  <r>
    <x v="3"/>
    <x v="4"/>
    <n v="14"/>
    <x v="7"/>
    <d v="2023-03-01T00:00:00"/>
    <n v="0"/>
    <x v="48"/>
  </r>
  <r>
    <x v="3"/>
    <x v="4"/>
    <n v="14"/>
    <x v="7"/>
    <d v="2023-03-01T00:00:00"/>
    <n v="0"/>
    <x v="12"/>
  </r>
  <r>
    <x v="3"/>
    <x v="4"/>
    <n v="15"/>
    <x v="8"/>
    <d v="2023-03-01T00:00:00"/>
    <n v="4182"/>
    <x v="37"/>
  </r>
  <r>
    <x v="3"/>
    <x v="4"/>
    <n v="15"/>
    <x v="8"/>
    <d v="2023-03-01T00:00:00"/>
    <n v="4327"/>
    <x v="38"/>
  </r>
  <r>
    <x v="3"/>
    <x v="4"/>
    <n v="15"/>
    <x v="8"/>
    <d v="2023-03-01T00:00:00"/>
    <n v="4186"/>
    <x v="39"/>
  </r>
  <r>
    <x v="3"/>
    <x v="4"/>
    <n v="15"/>
    <x v="8"/>
    <d v="2023-03-01T00:00:00"/>
    <n v="4227"/>
    <x v="40"/>
  </r>
  <r>
    <x v="3"/>
    <x v="4"/>
    <n v="15"/>
    <x v="8"/>
    <d v="2023-03-01T00:00:00"/>
    <n v="5493"/>
    <x v="41"/>
  </r>
  <r>
    <x v="3"/>
    <x v="4"/>
    <n v="15"/>
    <x v="8"/>
    <d v="2023-03-01T00:00:00"/>
    <n v="4518"/>
    <x v="42"/>
  </r>
  <r>
    <x v="3"/>
    <x v="4"/>
    <n v="15"/>
    <x v="8"/>
    <d v="2023-03-01T00:00:00"/>
    <n v="4566"/>
    <x v="43"/>
  </r>
  <r>
    <x v="3"/>
    <x v="4"/>
    <n v="15"/>
    <x v="8"/>
    <d v="2023-03-01T00:00:00"/>
    <n v="4292"/>
    <x v="44"/>
  </r>
  <r>
    <x v="3"/>
    <x v="4"/>
    <n v="15"/>
    <x v="8"/>
    <d v="2023-03-01T00:00:00"/>
    <n v="4130"/>
    <x v="45"/>
  </r>
  <r>
    <x v="3"/>
    <x v="4"/>
    <n v="15"/>
    <x v="8"/>
    <d v="2023-03-01T00:00:00"/>
    <n v="4430"/>
    <x v="46"/>
  </r>
  <r>
    <x v="3"/>
    <x v="4"/>
    <n v="15"/>
    <x v="8"/>
    <d v="2023-03-01T00:00:00"/>
    <n v="4288"/>
    <x v="47"/>
  </r>
  <r>
    <x v="3"/>
    <x v="4"/>
    <n v="15"/>
    <x v="8"/>
    <d v="2023-03-01T00:00:00"/>
    <n v="4558"/>
    <x v="48"/>
  </r>
  <r>
    <x v="3"/>
    <x v="4"/>
    <n v="15"/>
    <x v="8"/>
    <d v="2023-03-01T00:00:00"/>
    <n v="53197"/>
    <x v="12"/>
  </r>
  <r>
    <x v="3"/>
    <x v="5"/>
    <n v="7"/>
    <x v="0"/>
    <d v="2023-03-01T00:00:00"/>
    <n v="21574"/>
    <x v="37"/>
  </r>
  <r>
    <x v="3"/>
    <x v="5"/>
    <n v="7"/>
    <x v="0"/>
    <d v="2023-03-01T00:00:00"/>
    <n v="22651"/>
    <x v="38"/>
  </r>
  <r>
    <x v="3"/>
    <x v="5"/>
    <n v="7"/>
    <x v="0"/>
    <d v="2023-03-01T00:00:00"/>
    <n v="21891"/>
    <x v="39"/>
  </r>
  <r>
    <x v="3"/>
    <x v="5"/>
    <n v="7"/>
    <x v="0"/>
    <d v="2023-03-01T00:00:00"/>
    <n v="20012"/>
    <x v="40"/>
  </r>
  <r>
    <x v="3"/>
    <x v="5"/>
    <n v="7"/>
    <x v="0"/>
    <d v="2023-03-01T00:00:00"/>
    <n v="23372"/>
    <x v="41"/>
  </r>
  <r>
    <x v="3"/>
    <x v="5"/>
    <n v="7"/>
    <x v="0"/>
    <d v="2023-03-01T00:00:00"/>
    <n v="25257"/>
    <x v="42"/>
  </r>
  <r>
    <x v="3"/>
    <x v="5"/>
    <n v="7"/>
    <x v="0"/>
    <d v="2023-03-01T00:00:00"/>
    <n v="24865"/>
    <x v="43"/>
  </r>
  <r>
    <x v="3"/>
    <x v="5"/>
    <n v="7"/>
    <x v="0"/>
    <d v="2023-03-01T00:00:00"/>
    <n v="22695"/>
    <x v="44"/>
  </r>
  <r>
    <x v="3"/>
    <x v="5"/>
    <n v="7"/>
    <x v="0"/>
    <d v="2023-03-01T00:00:00"/>
    <n v="24462"/>
    <x v="45"/>
  </r>
  <r>
    <x v="3"/>
    <x v="5"/>
    <n v="7"/>
    <x v="0"/>
    <d v="2023-03-01T00:00:00"/>
    <n v="25410"/>
    <x v="46"/>
  </r>
  <r>
    <x v="3"/>
    <x v="5"/>
    <n v="7"/>
    <x v="0"/>
    <d v="2023-03-01T00:00:00"/>
    <n v="24342"/>
    <x v="47"/>
  </r>
  <r>
    <x v="3"/>
    <x v="5"/>
    <n v="7"/>
    <x v="0"/>
    <d v="2023-03-01T00:00:00"/>
    <n v="33521"/>
    <x v="48"/>
  </r>
  <r>
    <x v="3"/>
    <x v="5"/>
    <n v="7"/>
    <x v="0"/>
    <d v="2023-03-01T00:00:00"/>
    <n v="290052"/>
    <x v="12"/>
  </r>
  <r>
    <x v="3"/>
    <x v="5"/>
    <n v="8"/>
    <x v="1"/>
    <d v="2023-03-01T00:00:00"/>
    <n v="0"/>
    <x v="37"/>
  </r>
  <r>
    <x v="3"/>
    <x v="5"/>
    <n v="8"/>
    <x v="1"/>
    <d v="2023-03-01T00:00:00"/>
    <n v="0"/>
    <x v="38"/>
  </r>
  <r>
    <x v="3"/>
    <x v="5"/>
    <n v="8"/>
    <x v="1"/>
    <d v="2023-03-01T00:00:00"/>
    <n v="0"/>
    <x v="39"/>
  </r>
  <r>
    <x v="3"/>
    <x v="5"/>
    <n v="8"/>
    <x v="1"/>
    <d v="2023-03-01T00:00:00"/>
    <n v="0"/>
    <x v="40"/>
  </r>
  <r>
    <x v="3"/>
    <x v="5"/>
    <n v="8"/>
    <x v="1"/>
    <d v="2023-03-01T00:00:00"/>
    <n v="0"/>
    <x v="41"/>
  </r>
  <r>
    <x v="3"/>
    <x v="5"/>
    <n v="8"/>
    <x v="1"/>
    <d v="2023-03-01T00:00:00"/>
    <n v="0"/>
    <x v="42"/>
  </r>
  <r>
    <x v="3"/>
    <x v="5"/>
    <n v="8"/>
    <x v="1"/>
    <d v="2023-03-01T00:00:00"/>
    <n v="0"/>
    <x v="43"/>
  </r>
  <r>
    <x v="3"/>
    <x v="5"/>
    <n v="8"/>
    <x v="1"/>
    <d v="2023-03-01T00:00:00"/>
    <n v="0"/>
    <x v="44"/>
  </r>
  <r>
    <x v="3"/>
    <x v="5"/>
    <n v="8"/>
    <x v="1"/>
    <d v="2023-03-01T00:00:00"/>
    <n v="0"/>
    <x v="45"/>
  </r>
  <r>
    <x v="3"/>
    <x v="5"/>
    <n v="8"/>
    <x v="1"/>
    <d v="2023-03-01T00:00:00"/>
    <n v="0"/>
    <x v="46"/>
  </r>
  <r>
    <x v="3"/>
    <x v="5"/>
    <n v="8"/>
    <x v="1"/>
    <d v="2023-03-01T00:00:00"/>
    <n v="0"/>
    <x v="47"/>
  </r>
  <r>
    <x v="3"/>
    <x v="5"/>
    <n v="8"/>
    <x v="1"/>
    <d v="2023-03-01T00:00:00"/>
    <n v="0"/>
    <x v="48"/>
  </r>
  <r>
    <x v="3"/>
    <x v="5"/>
    <n v="8"/>
    <x v="1"/>
    <d v="2023-03-01T00:00:00"/>
    <n v="0"/>
    <x v="12"/>
  </r>
  <r>
    <x v="3"/>
    <x v="5"/>
    <n v="9"/>
    <x v="2"/>
    <d v="2023-03-01T00:00:00"/>
    <n v="0"/>
    <x v="37"/>
  </r>
  <r>
    <x v="3"/>
    <x v="5"/>
    <n v="9"/>
    <x v="2"/>
    <d v="2023-03-01T00:00:00"/>
    <n v="0"/>
    <x v="38"/>
  </r>
  <r>
    <x v="3"/>
    <x v="5"/>
    <n v="9"/>
    <x v="2"/>
    <d v="2023-03-01T00:00:00"/>
    <n v="0"/>
    <x v="39"/>
  </r>
  <r>
    <x v="3"/>
    <x v="5"/>
    <n v="9"/>
    <x v="2"/>
    <d v="2023-03-01T00:00:00"/>
    <n v="0"/>
    <x v="40"/>
  </r>
  <r>
    <x v="3"/>
    <x v="5"/>
    <n v="9"/>
    <x v="2"/>
    <d v="2023-03-01T00:00:00"/>
    <n v="0"/>
    <x v="41"/>
  </r>
  <r>
    <x v="3"/>
    <x v="5"/>
    <n v="9"/>
    <x v="2"/>
    <d v="2023-03-01T00:00:00"/>
    <n v="0"/>
    <x v="42"/>
  </r>
  <r>
    <x v="3"/>
    <x v="5"/>
    <n v="9"/>
    <x v="2"/>
    <d v="2023-03-01T00:00:00"/>
    <n v="0"/>
    <x v="43"/>
  </r>
  <r>
    <x v="3"/>
    <x v="5"/>
    <n v="9"/>
    <x v="2"/>
    <d v="2023-03-01T00:00:00"/>
    <n v="0"/>
    <x v="44"/>
  </r>
  <r>
    <x v="3"/>
    <x v="5"/>
    <n v="9"/>
    <x v="2"/>
    <d v="2023-03-01T00:00:00"/>
    <n v="0"/>
    <x v="45"/>
  </r>
  <r>
    <x v="3"/>
    <x v="5"/>
    <n v="9"/>
    <x v="2"/>
    <d v="2023-03-01T00:00:00"/>
    <n v="0"/>
    <x v="46"/>
  </r>
  <r>
    <x v="3"/>
    <x v="5"/>
    <n v="9"/>
    <x v="2"/>
    <d v="2023-03-01T00:00:00"/>
    <n v="0"/>
    <x v="47"/>
  </r>
  <r>
    <x v="3"/>
    <x v="5"/>
    <n v="9"/>
    <x v="2"/>
    <d v="2023-03-01T00:00:00"/>
    <n v="0"/>
    <x v="48"/>
  </r>
  <r>
    <x v="3"/>
    <x v="5"/>
    <n v="9"/>
    <x v="2"/>
    <d v="2023-03-01T00:00:00"/>
    <n v="0"/>
    <x v="12"/>
  </r>
  <r>
    <x v="3"/>
    <x v="5"/>
    <n v="10"/>
    <x v="3"/>
    <d v="2023-03-01T00:00:00"/>
    <n v="1841"/>
    <x v="37"/>
  </r>
  <r>
    <x v="3"/>
    <x v="5"/>
    <n v="10"/>
    <x v="3"/>
    <d v="2023-03-01T00:00:00"/>
    <n v="1902"/>
    <x v="38"/>
  </r>
  <r>
    <x v="3"/>
    <x v="5"/>
    <n v="10"/>
    <x v="3"/>
    <d v="2023-03-01T00:00:00"/>
    <n v="1844"/>
    <x v="39"/>
  </r>
  <r>
    <x v="3"/>
    <x v="5"/>
    <n v="10"/>
    <x v="3"/>
    <d v="2023-03-01T00:00:00"/>
    <n v="1897"/>
    <x v="40"/>
  </r>
  <r>
    <x v="3"/>
    <x v="5"/>
    <n v="10"/>
    <x v="3"/>
    <d v="2023-03-01T00:00:00"/>
    <n v="1922"/>
    <x v="41"/>
  </r>
  <r>
    <x v="3"/>
    <x v="5"/>
    <n v="10"/>
    <x v="3"/>
    <d v="2023-03-01T00:00:00"/>
    <n v="2264"/>
    <x v="42"/>
  </r>
  <r>
    <x v="3"/>
    <x v="5"/>
    <n v="10"/>
    <x v="3"/>
    <d v="2023-03-01T00:00:00"/>
    <n v="2053"/>
    <x v="43"/>
  </r>
  <r>
    <x v="3"/>
    <x v="5"/>
    <n v="10"/>
    <x v="3"/>
    <d v="2023-03-01T00:00:00"/>
    <n v="2015"/>
    <x v="44"/>
  </r>
  <r>
    <x v="3"/>
    <x v="5"/>
    <n v="10"/>
    <x v="3"/>
    <d v="2023-03-01T00:00:00"/>
    <n v="2110"/>
    <x v="45"/>
  </r>
  <r>
    <x v="3"/>
    <x v="5"/>
    <n v="10"/>
    <x v="3"/>
    <d v="2023-03-01T00:00:00"/>
    <n v="2103"/>
    <x v="46"/>
  </r>
  <r>
    <x v="3"/>
    <x v="5"/>
    <n v="10"/>
    <x v="3"/>
    <d v="2023-03-01T00:00:00"/>
    <n v="2173"/>
    <x v="47"/>
  </r>
  <r>
    <x v="3"/>
    <x v="5"/>
    <n v="10"/>
    <x v="3"/>
    <d v="2023-03-01T00:00:00"/>
    <n v="3439"/>
    <x v="48"/>
  </r>
  <r>
    <x v="3"/>
    <x v="5"/>
    <n v="10"/>
    <x v="3"/>
    <d v="2023-03-01T00:00:00"/>
    <n v="25563"/>
    <x v="12"/>
  </r>
  <r>
    <x v="3"/>
    <x v="5"/>
    <n v="11"/>
    <x v="4"/>
    <d v="2023-03-01T00:00:00"/>
    <n v="584"/>
    <x v="37"/>
  </r>
  <r>
    <x v="3"/>
    <x v="5"/>
    <n v="11"/>
    <x v="4"/>
    <d v="2023-03-01T00:00:00"/>
    <n v="767"/>
    <x v="38"/>
  </r>
  <r>
    <x v="3"/>
    <x v="5"/>
    <n v="11"/>
    <x v="4"/>
    <d v="2023-03-01T00:00:00"/>
    <n v="832"/>
    <x v="39"/>
  </r>
  <r>
    <x v="3"/>
    <x v="5"/>
    <n v="11"/>
    <x v="4"/>
    <d v="2023-03-01T00:00:00"/>
    <n v="850"/>
    <x v="40"/>
  </r>
  <r>
    <x v="3"/>
    <x v="5"/>
    <n v="11"/>
    <x v="4"/>
    <d v="2023-03-01T00:00:00"/>
    <n v="842"/>
    <x v="41"/>
  </r>
  <r>
    <x v="3"/>
    <x v="5"/>
    <n v="11"/>
    <x v="4"/>
    <d v="2023-03-01T00:00:00"/>
    <n v="868"/>
    <x v="42"/>
  </r>
  <r>
    <x v="3"/>
    <x v="5"/>
    <n v="11"/>
    <x v="4"/>
    <d v="2023-03-01T00:00:00"/>
    <n v="850"/>
    <x v="43"/>
  </r>
  <r>
    <x v="3"/>
    <x v="5"/>
    <n v="11"/>
    <x v="4"/>
    <d v="2023-03-01T00:00:00"/>
    <n v="869"/>
    <x v="44"/>
  </r>
  <r>
    <x v="3"/>
    <x v="5"/>
    <n v="11"/>
    <x v="4"/>
    <d v="2023-03-01T00:00:00"/>
    <n v="1042"/>
    <x v="45"/>
  </r>
  <r>
    <x v="3"/>
    <x v="5"/>
    <n v="11"/>
    <x v="4"/>
    <d v="2023-03-01T00:00:00"/>
    <n v="1930"/>
    <x v="46"/>
  </r>
  <r>
    <x v="3"/>
    <x v="5"/>
    <n v="11"/>
    <x v="4"/>
    <d v="2023-03-01T00:00:00"/>
    <n v="1067"/>
    <x v="47"/>
  </r>
  <r>
    <x v="3"/>
    <x v="5"/>
    <n v="11"/>
    <x v="4"/>
    <d v="2023-03-01T00:00:00"/>
    <n v="2488"/>
    <x v="48"/>
  </r>
  <r>
    <x v="3"/>
    <x v="5"/>
    <n v="11"/>
    <x v="4"/>
    <d v="2023-03-01T00:00:00"/>
    <n v="12989"/>
    <x v="12"/>
  </r>
  <r>
    <x v="3"/>
    <x v="5"/>
    <n v="12"/>
    <x v="5"/>
    <d v="2023-03-01T00:00:00"/>
    <n v="0"/>
    <x v="37"/>
  </r>
  <r>
    <x v="3"/>
    <x v="5"/>
    <n v="12"/>
    <x v="5"/>
    <d v="2023-03-01T00:00:00"/>
    <n v="0"/>
    <x v="38"/>
  </r>
  <r>
    <x v="3"/>
    <x v="5"/>
    <n v="12"/>
    <x v="5"/>
    <d v="2023-03-01T00:00:00"/>
    <n v="0"/>
    <x v="39"/>
  </r>
  <r>
    <x v="3"/>
    <x v="5"/>
    <n v="12"/>
    <x v="5"/>
    <d v="2023-03-01T00:00:00"/>
    <n v="0"/>
    <x v="40"/>
  </r>
  <r>
    <x v="3"/>
    <x v="5"/>
    <n v="12"/>
    <x v="5"/>
    <d v="2023-03-01T00:00:00"/>
    <n v="0"/>
    <x v="41"/>
  </r>
  <r>
    <x v="3"/>
    <x v="5"/>
    <n v="12"/>
    <x v="5"/>
    <d v="2023-03-01T00:00:00"/>
    <n v="0"/>
    <x v="42"/>
  </r>
  <r>
    <x v="3"/>
    <x v="5"/>
    <n v="12"/>
    <x v="5"/>
    <d v="2023-03-01T00:00:00"/>
    <n v="0"/>
    <x v="43"/>
  </r>
  <r>
    <x v="3"/>
    <x v="5"/>
    <n v="12"/>
    <x v="5"/>
    <d v="2023-03-01T00:00:00"/>
    <n v="0"/>
    <x v="44"/>
  </r>
  <r>
    <x v="3"/>
    <x v="5"/>
    <n v="12"/>
    <x v="5"/>
    <d v="2023-03-01T00:00:00"/>
    <n v="0"/>
    <x v="45"/>
  </r>
  <r>
    <x v="3"/>
    <x v="5"/>
    <n v="12"/>
    <x v="5"/>
    <d v="2023-03-01T00:00:00"/>
    <n v="0"/>
    <x v="46"/>
  </r>
  <r>
    <x v="3"/>
    <x v="5"/>
    <n v="12"/>
    <x v="5"/>
    <d v="2023-03-01T00:00:00"/>
    <n v="0"/>
    <x v="47"/>
  </r>
  <r>
    <x v="3"/>
    <x v="5"/>
    <n v="12"/>
    <x v="5"/>
    <d v="2023-03-01T00:00:00"/>
    <n v="0"/>
    <x v="48"/>
  </r>
  <r>
    <x v="3"/>
    <x v="5"/>
    <n v="12"/>
    <x v="5"/>
    <d v="2023-03-01T00:00:00"/>
    <n v="0"/>
    <x v="12"/>
  </r>
  <r>
    <x v="3"/>
    <x v="5"/>
    <n v="13"/>
    <x v="6"/>
    <d v="2023-03-01T00:00:00"/>
    <n v="0"/>
    <x v="37"/>
  </r>
  <r>
    <x v="3"/>
    <x v="5"/>
    <n v="13"/>
    <x v="6"/>
    <d v="2023-03-01T00:00:00"/>
    <n v="0"/>
    <x v="38"/>
  </r>
  <r>
    <x v="3"/>
    <x v="5"/>
    <n v="13"/>
    <x v="6"/>
    <d v="2023-03-01T00:00:00"/>
    <n v="0"/>
    <x v="39"/>
  </r>
  <r>
    <x v="3"/>
    <x v="5"/>
    <n v="13"/>
    <x v="6"/>
    <d v="2023-03-01T00:00:00"/>
    <n v="0"/>
    <x v="40"/>
  </r>
  <r>
    <x v="3"/>
    <x v="5"/>
    <n v="13"/>
    <x v="6"/>
    <d v="2023-03-01T00:00:00"/>
    <n v="0"/>
    <x v="41"/>
  </r>
  <r>
    <x v="3"/>
    <x v="5"/>
    <n v="13"/>
    <x v="6"/>
    <d v="2023-03-01T00:00:00"/>
    <n v="0"/>
    <x v="42"/>
  </r>
  <r>
    <x v="3"/>
    <x v="5"/>
    <n v="13"/>
    <x v="6"/>
    <d v="2023-03-01T00:00:00"/>
    <n v="0"/>
    <x v="43"/>
  </r>
  <r>
    <x v="3"/>
    <x v="5"/>
    <n v="13"/>
    <x v="6"/>
    <d v="2023-03-01T00:00:00"/>
    <n v="0"/>
    <x v="44"/>
  </r>
  <r>
    <x v="3"/>
    <x v="5"/>
    <n v="13"/>
    <x v="6"/>
    <d v="2023-03-01T00:00:00"/>
    <n v="0"/>
    <x v="45"/>
  </r>
  <r>
    <x v="3"/>
    <x v="5"/>
    <n v="13"/>
    <x v="6"/>
    <d v="2023-03-01T00:00:00"/>
    <n v="0"/>
    <x v="46"/>
  </r>
  <r>
    <x v="3"/>
    <x v="5"/>
    <n v="13"/>
    <x v="6"/>
    <d v="2023-03-01T00:00:00"/>
    <n v="0"/>
    <x v="47"/>
  </r>
  <r>
    <x v="3"/>
    <x v="5"/>
    <n v="13"/>
    <x v="6"/>
    <d v="2023-03-01T00:00:00"/>
    <n v="0"/>
    <x v="48"/>
  </r>
  <r>
    <x v="3"/>
    <x v="5"/>
    <n v="13"/>
    <x v="6"/>
    <d v="2023-03-01T00:00:00"/>
    <n v="0"/>
    <x v="12"/>
  </r>
  <r>
    <x v="3"/>
    <x v="5"/>
    <n v="14"/>
    <x v="7"/>
    <d v="2023-03-01T00:00:00"/>
    <n v="0"/>
    <x v="37"/>
  </r>
  <r>
    <x v="3"/>
    <x v="5"/>
    <n v="14"/>
    <x v="7"/>
    <d v="2023-03-01T00:00:00"/>
    <n v="0"/>
    <x v="38"/>
  </r>
  <r>
    <x v="3"/>
    <x v="5"/>
    <n v="14"/>
    <x v="7"/>
    <d v="2023-03-01T00:00:00"/>
    <n v="0"/>
    <x v="39"/>
  </r>
  <r>
    <x v="3"/>
    <x v="5"/>
    <n v="14"/>
    <x v="7"/>
    <d v="2023-03-01T00:00:00"/>
    <n v="0"/>
    <x v="40"/>
  </r>
  <r>
    <x v="3"/>
    <x v="5"/>
    <n v="14"/>
    <x v="7"/>
    <d v="2023-03-01T00:00:00"/>
    <n v="0"/>
    <x v="41"/>
  </r>
  <r>
    <x v="3"/>
    <x v="5"/>
    <n v="14"/>
    <x v="7"/>
    <d v="2023-03-01T00:00:00"/>
    <n v="0"/>
    <x v="42"/>
  </r>
  <r>
    <x v="3"/>
    <x v="5"/>
    <n v="14"/>
    <x v="7"/>
    <d v="2023-03-01T00:00:00"/>
    <n v="0"/>
    <x v="43"/>
  </r>
  <r>
    <x v="3"/>
    <x v="5"/>
    <n v="14"/>
    <x v="7"/>
    <d v="2023-03-01T00:00:00"/>
    <n v="0"/>
    <x v="44"/>
  </r>
  <r>
    <x v="3"/>
    <x v="5"/>
    <n v="14"/>
    <x v="7"/>
    <d v="2023-03-01T00:00:00"/>
    <n v="0"/>
    <x v="45"/>
  </r>
  <r>
    <x v="3"/>
    <x v="5"/>
    <n v="14"/>
    <x v="7"/>
    <d v="2023-03-01T00:00:00"/>
    <n v="0"/>
    <x v="46"/>
  </r>
  <r>
    <x v="3"/>
    <x v="5"/>
    <n v="14"/>
    <x v="7"/>
    <d v="2023-03-01T00:00:00"/>
    <n v="0"/>
    <x v="47"/>
  </r>
  <r>
    <x v="3"/>
    <x v="5"/>
    <n v="14"/>
    <x v="7"/>
    <d v="2023-03-01T00:00:00"/>
    <n v="0"/>
    <x v="48"/>
  </r>
  <r>
    <x v="3"/>
    <x v="5"/>
    <n v="14"/>
    <x v="7"/>
    <d v="2023-03-01T00:00:00"/>
    <n v="0"/>
    <x v="12"/>
  </r>
  <r>
    <x v="3"/>
    <x v="5"/>
    <n v="15"/>
    <x v="8"/>
    <d v="2023-03-01T00:00:00"/>
    <n v="0"/>
    <x v="37"/>
  </r>
  <r>
    <x v="3"/>
    <x v="5"/>
    <n v="15"/>
    <x v="8"/>
    <d v="2023-03-01T00:00:00"/>
    <n v="0"/>
    <x v="38"/>
  </r>
  <r>
    <x v="3"/>
    <x v="5"/>
    <n v="15"/>
    <x v="8"/>
    <d v="2023-03-01T00:00:00"/>
    <n v="0"/>
    <x v="39"/>
  </r>
  <r>
    <x v="3"/>
    <x v="5"/>
    <n v="15"/>
    <x v="8"/>
    <d v="2023-03-01T00:00:00"/>
    <n v="0"/>
    <x v="40"/>
  </r>
  <r>
    <x v="3"/>
    <x v="5"/>
    <n v="15"/>
    <x v="8"/>
    <d v="2023-03-01T00:00:00"/>
    <n v="0"/>
    <x v="41"/>
  </r>
  <r>
    <x v="3"/>
    <x v="5"/>
    <n v="15"/>
    <x v="8"/>
    <d v="2023-03-01T00:00:00"/>
    <n v="0"/>
    <x v="42"/>
  </r>
  <r>
    <x v="3"/>
    <x v="5"/>
    <n v="15"/>
    <x v="8"/>
    <d v="2023-03-01T00:00:00"/>
    <n v="0"/>
    <x v="43"/>
  </r>
  <r>
    <x v="3"/>
    <x v="5"/>
    <n v="15"/>
    <x v="8"/>
    <d v="2023-03-01T00:00:00"/>
    <n v="0"/>
    <x v="44"/>
  </r>
  <r>
    <x v="3"/>
    <x v="5"/>
    <n v="15"/>
    <x v="8"/>
    <d v="2023-03-01T00:00:00"/>
    <n v="0"/>
    <x v="45"/>
  </r>
  <r>
    <x v="3"/>
    <x v="5"/>
    <n v="15"/>
    <x v="8"/>
    <d v="2023-03-01T00:00:00"/>
    <n v="0"/>
    <x v="46"/>
  </r>
  <r>
    <x v="3"/>
    <x v="5"/>
    <n v="15"/>
    <x v="8"/>
    <d v="2023-03-01T00:00:00"/>
    <n v="0"/>
    <x v="47"/>
  </r>
  <r>
    <x v="3"/>
    <x v="5"/>
    <n v="15"/>
    <x v="8"/>
    <d v="2023-03-01T00:00:00"/>
    <n v="0"/>
    <x v="48"/>
  </r>
  <r>
    <x v="3"/>
    <x v="5"/>
    <n v="15"/>
    <x v="8"/>
    <d v="2023-03-01T00:00:00"/>
    <n v="0"/>
    <x v="12"/>
  </r>
  <r>
    <x v="3"/>
    <x v="7"/>
    <n v="8"/>
    <x v="1"/>
    <d v="2023-03-01T00:00:00"/>
    <n v="0"/>
    <x v="37"/>
  </r>
  <r>
    <x v="3"/>
    <x v="7"/>
    <n v="8"/>
    <x v="1"/>
    <d v="2023-03-01T00:00:00"/>
    <n v="0"/>
    <x v="38"/>
  </r>
  <r>
    <x v="3"/>
    <x v="7"/>
    <n v="8"/>
    <x v="1"/>
    <d v="2023-03-01T00:00:00"/>
    <n v="0"/>
    <x v="39"/>
  </r>
  <r>
    <x v="3"/>
    <x v="7"/>
    <n v="8"/>
    <x v="1"/>
    <d v="2023-03-01T00:00:00"/>
    <n v="0"/>
    <x v="40"/>
  </r>
  <r>
    <x v="3"/>
    <x v="7"/>
    <n v="8"/>
    <x v="1"/>
    <d v="2023-03-01T00:00:00"/>
    <n v="0"/>
    <x v="41"/>
  </r>
  <r>
    <x v="3"/>
    <x v="7"/>
    <n v="8"/>
    <x v="1"/>
    <d v="2023-03-01T00:00:00"/>
    <n v="0"/>
    <x v="42"/>
  </r>
  <r>
    <x v="3"/>
    <x v="7"/>
    <n v="8"/>
    <x v="1"/>
    <d v="2023-03-01T00:00:00"/>
    <n v="0"/>
    <x v="43"/>
  </r>
  <r>
    <x v="3"/>
    <x v="7"/>
    <n v="8"/>
    <x v="1"/>
    <d v="2023-03-01T00:00:00"/>
    <n v="0"/>
    <x v="44"/>
  </r>
  <r>
    <x v="3"/>
    <x v="7"/>
    <n v="8"/>
    <x v="1"/>
    <d v="2023-03-01T00:00:00"/>
    <n v="0"/>
    <x v="45"/>
  </r>
  <r>
    <x v="3"/>
    <x v="7"/>
    <n v="8"/>
    <x v="1"/>
    <d v="2023-03-01T00:00:00"/>
    <n v="0"/>
    <x v="46"/>
  </r>
  <r>
    <x v="3"/>
    <x v="7"/>
    <n v="8"/>
    <x v="1"/>
    <d v="2023-03-01T00:00:00"/>
    <n v="0"/>
    <x v="47"/>
  </r>
  <r>
    <x v="3"/>
    <x v="7"/>
    <n v="8"/>
    <x v="1"/>
    <d v="2023-03-01T00:00:00"/>
    <n v="0"/>
    <x v="48"/>
  </r>
  <r>
    <x v="3"/>
    <x v="7"/>
    <n v="8"/>
    <x v="1"/>
    <d v="2023-03-01T00:00:00"/>
    <n v="0"/>
    <x v="12"/>
  </r>
  <r>
    <x v="3"/>
    <x v="7"/>
    <n v="11"/>
    <x v="4"/>
    <d v="2023-03-01T00:00:00"/>
    <n v="13455.06"/>
    <x v="37"/>
  </r>
  <r>
    <x v="3"/>
    <x v="7"/>
    <n v="11"/>
    <x v="4"/>
    <d v="2023-03-01T00:00:00"/>
    <n v="14206.8"/>
    <x v="38"/>
  </r>
  <r>
    <x v="3"/>
    <x v="7"/>
    <n v="11"/>
    <x v="4"/>
    <d v="2023-03-01T00:00:00"/>
    <n v="14801.5"/>
    <x v="39"/>
  </r>
  <r>
    <x v="3"/>
    <x v="7"/>
    <n v="11"/>
    <x v="4"/>
    <d v="2023-03-01T00:00:00"/>
    <n v="16846.5"/>
    <x v="40"/>
  </r>
  <r>
    <x v="3"/>
    <x v="7"/>
    <n v="11"/>
    <x v="4"/>
    <d v="2023-03-01T00:00:00"/>
    <n v="13894.5"/>
    <x v="41"/>
  </r>
  <r>
    <x v="3"/>
    <x v="7"/>
    <n v="11"/>
    <x v="4"/>
    <d v="2023-03-01T00:00:00"/>
    <n v="17068"/>
    <x v="42"/>
  </r>
  <r>
    <x v="3"/>
    <x v="7"/>
    <n v="11"/>
    <x v="4"/>
    <d v="2023-03-01T00:00:00"/>
    <n v="37863"/>
    <x v="43"/>
  </r>
  <r>
    <x v="3"/>
    <x v="7"/>
    <n v="11"/>
    <x v="4"/>
    <d v="2023-03-01T00:00:00"/>
    <n v="22994"/>
    <x v="44"/>
  </r>
  <r>
    <x v="3"/>
    <x v="7"/>
    <n v="11"/>
    <x v="4"/>
    <d v="2023-03-01T00:00:00"/>
    <n v="19313"/>
    <x v="45"/>
  </r>
  <r>
    <x v="3"/>
    <x v="7"/>
    <n v="11"/>
    <x v="4"/>
    <d v="2023-03-01T00:00:00"/>
    <n v="15489"/>
    <x v="46"/>
  </r>
  <r>
    <x v="3"/>
    <x v="7"/>
    <n v="11"/>
    <x v="4"/>
    <d v="2023-03-01T00:00:00"/>
    <n v="15011"/>
    <x v="47"/>
  </r>
  <r>
    <x v="3"/>
    <x v="7"/>
    <n v="11"/>
    <x v="4"/>
    <d v="2023-03-01T00:00:00"/>
    <n v="39463.5"/>
    <x v="48"/>
  </r>
  <r>
    <x v="3"/>
    <x v="7"/>
    <n v="11"/>
    <x v="4"/>
    <d v="2023-03-01T00:00:00"/>
    <n v="240405.86"/>
    <x v="12"/>
  </r>
  <r>
    <x v="3"/>
    <x v="8"/>
    <n v="7"/>
    <x v="0"/>
    <d v="2023-03-01T00:00:00"/>
    <n v="17660"/>
    <x v="37"/>
  </r>
  <r>
    <x v="3"/>
    <x v="8"/>
    <n v="7"/>
    <x v="0"/>
    <d v="2023-03-01T00:00:00"/>
    <n v="17489"/>
    <x v="38"/>
  </r>
  <r>
    <x v="3"/>
    <x v="8"/>
    <n v="7"/>
    <x v="0"/>
    <d v="2023-03-01T00:00:00"/>
    <n v="17586"/>
    <x v="39"/>
  </r>
  <r>
    <x v="3"/>
    <x v="8"/>
    <n v="7"/>
    <x v="0"/>
    <d v="2023-03-01T00:00:00"/>
    <n v="20556"/>
    <x v="40"/>
  </r>
  <r>
    <x v="3"/>
    <x v="8"/>
    <n v="7"/>
    <x v="0"/>
    <d v="2023-03-01T00:00:00"/>
    <n v="18905"/>
    <x v="41"/>
  </r>
  <r>
    <x v="3"/>
    <x v="8"/>
    <n v="7"/>
    <x v="0"/>
    <d v="2023-03-01T00:00:00"/>
    <n v="19402"/>
    <x v="42"/>
  </r>
  <r>
    <x v="3"/>
    <x v="8"/>
    <n v="7"/>
    <x v="0"/>
    <d v="2023-03-01T00:00:00"/>
    <n v="18681"/>
    <x v="43"/>
  </r>
  <r>
    <x v="3"/>
    <x v="8"/>
    <n v="7"/>
    <x v="0"/>
    <d v="2023-03-01T00:00:00"/>
    <n v="17382"/>
    <x v="44"/>
  </r>
  <r>
    <x v="3"/>
    <x v="8"/>
    <n v="7"/>
    <x v="0"/>
    <d v="2023-03-01T00:00:00"/>
    <n v="18898"/>
    <x v="45"/>
  </r>
  <r>
    <x v="3"/>
    <x v="8"/>
    <n v="7"/>
    <x v="0"/>
    <d v="2023-03-01T00:00:00"/>
    <n v="17364"/>
    <x v="46"/>
  </r>
  <r>
    <x v="3"/>
    <x v="8"/>
    <n v="7"/>
    <x v="0"/>
    <d v="2023-03-01T00:00:00"/>
    <n v="18372"/>
    <x v="47"/>
  </r>
  <r>
    <x v="3"/>
    <x v="8"/>
    <n v="7"/>
    <x v="0"/>
    <d v="2023-03-01T00:00:00"/>
    <n v="31063"/>
    <x v="48"/>
  </r>
  <r>
    <x v="3"/>
    <x v="8"/>
    <n v="7"/>
    <x v="0"/>
    <d v="2023-03-01T00:00:00"/>
    <n v="233358"/>
    <x v="12"/>
  </r>
  <r>
    <x v="3"/>
    <x v="8"/>
    <n v="8"/>
    <x v="1"/>
    <d v="2023-03-01T00:00:00"/>
    <n v="0"/>
    <x v="37"/>
  </r>
  <r>
    <x v="3"/>
    <x v="8"/>
    <n v="8"/>
    <x v="1"/>
    <d v="2023-03-01T00:00:00"/>
    <n v="0"/>
    <x v="38"/>
  </r>
  <r>
    <x v="3"/>
    <x v="8"/>
    <n v="8"/>
    <x v="1"/>
    <d v="2023-03-01T00:00:00"/>
    <n v="0"/>
    <x v="39"/>
  </r>
  <r>
    <x v="3"/>
    <x v="8"/>
    <n v="8"/>
    <x v="1"/>
    <d v="2023-03-01T00:00:00"/>
    <n v="0"/>
    <x v="40"/>
  </r>
  <r>
    <x v="3"/>
    <x v="8"/>
    <n v="8"/>
    <x v="1"/>
    <d v="2023-03-01T00:00:00"/>
    <n v="0"/>
    <x v="41"/>
  </r>
  <r>
    <x v="3"/>
    <x v="8"/>
    <n v="8"/>
    <x v="1"/>
    <d v="2023-03-01T00:00:00"/>
    <n v="0"/>
    <x v="42"/>
  </r>
  <r>
    <x v="3"/>
    <x v="8"/>
    <n v="8"/>
    <x v="1"/>
    <d v="2023-03-01T00:00:00"/>
    <n v="0"/>
    <x v="43"/>
  </r>
  <r>
    <x v="3"/>
    <x v="8"/>
    <n v="8"/>
    <x v="1"/>
    <d v="2023-03-01T00:00:00"/>
    <n v="0"/>
    <x v="44"/>
  </r>
  <r>
    <x v="3"/>
    <x v="8"/>
    <n v="8"/>
    <x v="1"/>
    <d v="2023-03-01T00:00:00"/>
    <n v="0"/>
    <x v="45"/>
  </r>
  <r>
    <x v="3"/>
    <x v="8"/>
    <n v="8"/>
    <x v="1"/>
    <d v="2023-03-01T00:00:00"/>
    <n v="0"/>
    <x v="46"/>
  </r>
  <r>
    <x v="3"/>
    <x v="8"/>
    <n v="8"/>
    <x v="1"/>
    <d v="2023-03-01T00:00:00"/>
    <n v="0"/>
    <x v="47"/>
  </r>
  <r>
    <x v="3"/>
    <x v="8"/>
    <n v="8"/>
    <x v="1"/>
    <d v="2023-03-01T00:00:00"/>
    <n v="0"/>
    <x v="48"/>
  </r>
  <r>
    <x v="3"/>
    <x v="8"/>
    <n v="8"/>
    <x v="1"/>
    <d v="2023-03-01T00:00:00"/>
    <n v="0"/>
    <x v="12"/>
  </r>
  <r>
    <x v="3"/>
    <x v="8"/>
    <n v="9"/>
    <x v="2"/>
    <d v="2023-03-01T00:00:00"/>
    <n v="0"/>
    <x v="37"/>
  </r>
  <r>
    <x v="3"/>
    <x v="8"/>
    <n v="9"/>
    <x v="2"/>
    <d v="2023-03-01T00:00:00"/>
    <n v="0"/>
    <x v="38"/>
  </r>
  <r>
    <x v="3"/>
    <x v="8"/>
    <n v="9"/>
    <x v="2"/>
    <d v="2023-03-01T00:00:00"/>
    <n v="0"/>
    <x v="39"/>
  </r>
  <r>
    <x v="3"/>
    <x v="8"/>
    <n v="9"/>
    <x v="2"/>
    <d v="2023-03-01T00:00:00"/>
    <n v="0"/>
    <x v="40"/>
  </r>
  <r>
    <x v="3"/>
    <x v="8"/>
    <n v="9"/>
    <x v="2"/>
    <d v="2023-03-01T00:00:00"/>
    <n v="0"/>
    <x v="41"/>
  </r>
  <r>
    <x v="3"/>
    <x v="8"/>
    <n v="9"/>
    <x v="2"/>
    <d v="2023-03-01T00:00:00"/>
    <n v="0"/>
    <x v="42"/>
  </r>
  <r>
    <x v="3"/>
    <x v="8"/>
    <n v="9"/>
    <x v="2"/>
    <d v="2023-03-01T00:00:00"/>
    <n v="0"/>
    <x v="43"/>
  </r>
  <r>
    <x v="3"/>
    <x v="8"/>
    <n v="9"/>
    <x v="2"/>
    <d v="2023-03-01T00:00:00"/>
    <n v="0"/>
    <x v="44"/>
  </r>
  <r>
    <x v="3"/>
    <x v="8"/>
    <n v="9"/>
    <x v="2"/>
    <d v="2023-03-01T00:00:00"/>
    <n v="0"/>
    <x v="45"/>
  </r>
  <r>
    <x v="3"/>
    <x v="8"/>
    <n v="9"/>
    <x v="2"/>
    <d v="2023-03-01T00:00:00"/>
    <n v="0"/>
    <x v="46"/>
  </r>
  <r>
    <x v="3"/>
    <x v="8"/>
    <n v="9"/>
    <x v="2"/>
    <d v="2023-03-01T00:00:00"/>
    <n v="0"/>
    <x v="47"/>
  </r>
  <r>
    <x v="3"/>
    <x v="8"/>
    <n v="9"/>
    <x v="2"/>
    <d v="2023-03-01T00:00:00"/>
    <n v="0"/>
    <x v="48"/>
  </r>
  <r>
    <x v="3"/>
    <x v="8"/>
    <n v="9"/>
    <x v="2"/>
    <d v="2023-03-01T00:00:00"/>
    <n v="0"/>
    <x v="12"/>
  </r>
  <r>
    <x v="3"/>
    <x v="8"/>
    <n v="10"/>
    <x v="3"/>
    <d v="2023-03-01T00:00:00"/>
    <n v="10578"/>
    <x v="37"/>
  </r>
  <r>
    <x v="3"/>
    <x v="8"/>
    <n v="10"/>
    <x v="3"/>
    <d v="2023-03-01T00:00:00"/>
    <n v="10789"/>
    <x v="38"/>
  </r>
  <r>
    <x v="3"/>
    <x v="8"/>
    <n v="10"/>
    <x v="3"/>
    <d v="2023-03-01T00:00:00"/>
    <n v="10488"/>
    <x v="39"/>
  </r>
  <r>
    <x v="3"/>
    <x v="8"/>
    <n v="10"/>
    <x v="3"/>
    <d v="2023-03-01T00:00:00"/>
    <n v="10346"/>
    <x v="40"/>
  </r>
  <r>
    <x v="3"/>
    <x v="8"/>
    <n v="10"/>
    <x v="3"/>
    <d v="2023-03-01T00:00:00"/>
    <n v="10059"/>
    <x v="41"/>
  </r>
  <r>
    <x v="3"/>
    <x v="8"/>
    <n v="10"/>
    <x v="3"/>
    <d v="2023-03-01T00:00:00"/>
    <n v="12135"/>
    <x v="42"/>
  </r>
  <r>
    <x v="3"/>
    <x v="8"/>
    <n v="10"/>
    <x v="3"/>
    <d v="2023-03-01T00:00:00"/>
    <n v="9858"/>
    <x v="43"/>
  </r>
  <r>
    <x v="3"/>
    <x v="8"/>
    <n v="10"/>
    <x v="3"/>
    <d v="2023-03-01T00:00:00"/>
    <n v="9957"/>
    <x v="44"/>
  </r>
  <r>
    <x v="3"/>
    <x v="8"/>
    <n v="10"/>
    <x v="3"/>
    <d v="2023-03-01T00:00:00"/>
    <n v="9361"/>
    <x v="45"/>
  </r>
  <r>
    <x v="3"/>
    <x v="8"/>
    <n v="10"/>
    <x v="3"/>
    <d v="2023-03-01T00:00:00"/>
    <n v="9479"/>
    <x v="46"/>
  </r>
  <r>
    <x v="3"/>
    <x v="8"/>
    <n v="10"/>
    <x v="3"/>
    <d v="2023-03-01T00:00:00"/>
    <n v="9839"/>
    <x v="47"/>
  </r>
  <r>
    <x v="3"/>
    <x v="8"/>
    <n v="10"/>
    <x v="3"/>
    <d v="2023-03-01T00:00:00"/>
    <n v="15999"/>
    <x v="48"/>
  </r>
  <r>
    <x v="3"/>
    <x v="8"/>
    <n v="10"/>
    <x v="3"/>
    <d v="2023-03-01T00:00:00"/>
    <n v="128888"/>
    <x v="12"/>
  </r>
  <r>
    <x v="3"/>
    <x v="8"/>
    <n v="11"/>
    <x v="4"/>
    <d v="2023-03-01T00:00:00"/>
    <n v="6759"/>
    <x v="37"/>
  </r>
  <r>
    <x v="3"/>
    <x v="8"/>
    <n v="11"/>
    <x v="4"/>
    <d v="2023-03-01T00:00:00"/>
    <n v="6416"/>
    <x v="38"/>
  </r>
  <r>
    <x v="3"/>
    <x v="8"/>
    <n v="11"/>
    <x v="4"/>
    <d v="2023-03-01T00:00:00"/>
    <n v="6232.05"/>
    <x v="39"/>
  </r>
  <r>
    <x v="3"/>
    <x v="8"/>
    <n v="11"/>
    <x v="4"/>
    <d v="2023-03-01T00:00:00"/>
    <n v="9718.9"/>
    <x v="40"/>
  </r>
  <r>
    <x v="3"/>
    <x v="8"/>
    <n v="11"/>
    <x v="4"/>
    <d v="2023-03-01T00:00:00"/>
    <n v="7799.9"/>
    <x v="41"/>
  </r>
  <r>
    <x v="3"/>
    <x v="8"/>
    <n v="11"/>
    <x v="4"/>
    <d v="2023-03-01T00:00:00"/>
    <n v="7396.9"/>
    <x v="42"/>
  </r>
  <r>
    <x v="3"/>
    <x v="8"/>
    <n v="11"/>
    <x v="4"/>
    <d v="2023-03-01T00:00:00"/>
    <n v="7157.1750000000002"/>
    <x v="43"/>
  </r>
  <r>
    <x v="3"/>
    <x v="8"/>
    <n v="11"/>
    <x v="4"/>
    <d v="2023-03-01T00:00:00"/>
    <n v="7531"/>
    <x v="44"/>
  </r>
  <r>
    <x v="3"/>
    <x v="8"/>
    <n v="11"/>
    <x v="4"/>
    <d v="2023-03-01T00:00:00"/>
    <n v="9111"/>
    <x v="45"/>
  </r>
  <r>
    <x v="3"/>
    <x v="8"/>
    <n v="11"/>
    <x v="4"/>
    <d v="2023-03-01T00:00:00"/>
    <n v="7441"/>
    <x v="46"/>
  </r>
  <r>
    <x v="3"/>
    <x v="8"/>
    <n v="11"/>
    <x v="4"/>
    <d v="2023-03-01T00:00:00"/>
    <n v="8242"/>
    <x v="47"/>
  </r>
  <r>
    <x v="3"/>
    <x v="8"/>
    <n v="11"/>
    <x v="4"/>
    <d v="2023-03-01T00:00:00"/>
    <n v="12941"/>
    <x v="48"/>
  </r>
  <r>
    <x v="3"/>
    <x v="8"/>
    <n v="11"/>
    <x v="4"/>
    <d v="2023-03-01T00:00:00"/>
    <n v="96745.925000000003"/>
    <x v="12"/>
  </r>
  <r>
    <x v="3"/>
    <x v="8"/>
    <n v="12"/>
    <x v="5"/>
    <d v="2023-03-01T00:00:00"/>
    <n v="0"/>
    <x v="37"/>
  </r>
  <r>
    <x v="3"/>
    <x v="8"/>
    <n v="12"/>
    <x v="5"/>
    <d v="2023-03-01T00:00:00"/>
    <n v="0"/>
    <x v="38"/>
  </r>
  <r>
    <x v="3"/>
    <x v="8"/>
    <n v="12"/>
    <x v="5"/>
    <d v="2023-03-01T00:00:00"/>
    <n v="0"/>
    <x v="39"/>
  </r>
  <r>
    <x v="3"/>
    <x v="8"/>
    <n v="12"/>
    <x v="5"/>
    <d v="2023-03-01T00:00:00"/>
    <n v="0"/>
    <x v="40"/>
  </r>
  <r>
    <x v="3"/>
    <x v="8"/>
    <n v="12"/>
    <x v="5"/>
    <d v="2023-03-01T00:00:00"/>
    <n v="0"/>
    <x v="41"/>
  </r>
  <r>
    <x v="3"/>
    <x v="8"/>
    <n v="12"/>
    <x v="5"/>
    <d v="2023-03-01T00:00:00"/>
    <n v="0"/>
    <x v="42"/>
  </r>
  <r>
    <x v="3"/>
    <x v="8"/>
    <n v="12"/>
    <x v="5"/>
    <d v="2023-03-01T00:00:00"/>
    <n v="0"/>
    <x v="43"/>
  </r>
  <r>
    <x v="3"/>
    <x v="8"/>
    <n v="12"/>
    <x v="5"/>
    <d v="2023-03-01T00:00:00"/>
    <n v="0"/>
    <x v="44"/>
  </r>
  <r>
    <x v="3"/>
    <x v="8"/>
    <n v="12"/>
    <x v="5"/>
    <d v="2023-03-01T00:00:00"/>
    <n v="0"/>
    <x v="45"/>
  </r>
  <r>
    <x v="3"/>
    <x v="8"/>
    <n v="12"/>
    <x v="5"/>
    <d v="2023-03-01T00:00:00"/>
    <n v="0"/>
    <x v="46"/>
  </r>
  <r>
    <x v="3"/>
    <x v="8"/>
    <n v="12"/>
    <x v="5"/>
    <d v="2023-03-01T00:00:00"/>
    <n v="0"/>
    <x v="47"/>
  </r>
  <r>
    <x v="3"/>
    <x v="8"/>
    <n v="12"/>
    <x v="5"/>
    <d v="2023-03-01T00:00:00"/>
    <n v="0"/>
    <x v="48"/>
  </r>
  <r>
    <x v="3"/>
    <x v="8"/>
    <n v="12"/>
    <x v="5"/>
    <d v="2023-03-01T00:00:00"/>
    <n v="0"/>
    <x v="12"/>
  </r>
  <r>
    <x v="3"/>
    <x v="8"/>
    <n v="13"/>
    <x v="6"/>
    <d v="2023-03-01T00:00:00"/>
    <n v="0"/>
    <x v="37"/>
  </r>
  <r>
    <x v="3"/>
    <x v="8"/>
    <n v="13"/>
    <x v="6"/>
    <d v="2023-03-01T00:00:00"/>
    <n v="0"/>
    <x v="38"/>
  </r>
  <r>
    <x v="3"/>
    <x v="8"/>
    <n v="13"/>
    <x v="6"/>
    <d v="2023-03-01T00:00:00"/>
    <n v="0"/>
    <x v="39"/>
  </r>
  <r>
    <x v="3"/>
    <x v="8"/>
    <n v="13"/>
    <x v="6"/>
    <d v="2023-03-01T00:00:00"/>
    <n v="0"/>
    <x v="40"/>
  </r>
  <r>
    <x v="3"/>
    <x v="8"/>
    <n v="13"/>
    <x v="6"/>
    <d v="2023-03-01T00:00:00"/>
    <n v="0"/>
    <x v="41"/>
  </r>
  <r>
    <x v="3"/>
    <x v="8"/>
    <n v="13"/>
    <x v="6"/>
    <d v="2023-03-01T00:00:00"/>
    <n v="0"/>
    <x v="42"/>
  </r>
  <r>
    <x v="3"/>
    <x v="8"/>
    <n v="13"/>
    <x v="6"/>
    <d v="2023-03-01T00:00:00"/>
    <n v="0"/>
    <x v="43"/>
  </r>
  <r>
    <x v="3"/>
    <x v="8"/>
    <n v="13"/>
    <x v="6"/>
    <d v="2023-03-01T00:00:00"/>
    <n v="0"/>
    <x v="44"/>
  </r>
  <r>
    <x v="3"/>
    <x v="8"/>
    <n v="13"/>
    <x v="6"/>
    <d v="2023-03-01T00:00:00"/>
    <n v="0"/>
    <x v="45"/>
  </r>
  <r>
    <x v="3"/>
    <x v="8"/>
    <n v="13"/>
    <x v="6"/>
    <d v="2023-03-01T00:00:00"/>
    <n v="0"/>
    <x v="46"/>
  </r>
  <r>
    <x v="3"/>
    <x v="8"/>
    <n v="13"/>
    <x v="6"/>
    <d v="2023-03-01T00:00:00"/>
    <n v="0"/>
    <x v="47"/>
  </r>
  <r>
    <x v="3"/>
    <x v="8"/>
    <n v="13"/>
    <x v="6"/>
    <d v="2023-03-01T00:00:00"/>
    <n v="0"/>
    <x v="48"/>
  </r>
  <r>
    <x v="3"/>
    <x v="8"/>
    <n v="13"/>
    <x v="6"/>
    <d v="2023-03-01T00:00:00"/>
    <n v="0"/>
    <x v="12"/>
  </r>
  <r>
    <x v="3"/>
    <x v="8"/>
    <n v="14"/>
    <x v="7"/>
    <d v="2023-03-01T00:00:00"/>
    <n v="0"/>
    <x v="37"/>
  </r>
  <r>
    <x v="3"/>
    <x v="8"/>
    <n v="14"/>
    <x v="7"/>
    <d v="2023-03-01T00:00:00"/>
    <n v="0"/>
    <x v="38"/>
  </r>
  <r>
    <x v="3"/>
    <x v="8"/>
    <n v="14"/>
    <x v="7"/>
    <d v="2023-03-01T00:00:00"/>
    <n v="0"/>
    <x v="39"/>
  </r>
  <r>
    <x v="3"/>
    <x v="8"/>
    <n v="14"/>
    <x v="7"/>
    <d v="2023-03-01T00:00:00"/>
    <n v="0"/>
    <x v="40"/>
  </r>
  <r>
    <x v="3"/>
    <x v="8"/>
    <n v="14"/>
    <x v="7"/>
    <d v="2023-03-01T00:00:00"/>
    <n v="0"/>
    <x v="41"/>
  </r>
  <r>
    <x v="3"/>
    <x v="8"/>
    <n v="14"/>
    <x v="7"/>
    <d v="2023-03-01T00:00:00"/>
    <n v="0"/>
    <x v="42"/>
  </r>
  <r>
    <x v="3"/>
    <x v="8"/>
    <n v="14"/>
    <x v="7"/>
    <d v="2023-03-01T00:00:00"/>
    <n v="0"/>
    <x v="43"/>
  </r>
  <r>
    <x v="3"/>
    <x v="8"/>
    <n v="14"/>
    <x v="7"/>
    <d v="2023-03-01T00:00:00"/>
    <n v="0"/>
    <x v="44"/>
  </r>
  <r>
    <x v="3"/>
    <x v="8"/>
    <n v="14"/>
    <x v="7"/>
    <d v="2023-03-01T00:00:00"/>
    <n v="0"/>
    <x v="45"/>
  </r>
  <r>
    <x v="3"/>
    <x v="8"/>
    <n v="14"/>
    <x v="7"/>
    <d v="2023-03-01T00:00:00"/>
    <n v="0"/>
    <x v="46"/>
  </r>
  <r>
    <x v="3"/>
    <x v="8"/>
    <n v="14"/>
    <x v="7"/>
    <d v="2023-03-01T00:00:00"/>
    <n v="0"/>
    <x v="47"/>
  </r>
  <r>
    <x v="3"/>
    <x v="8"/>
    <n v="14"/>
    <x v="7"/>
    <d v="2023-03-01T00:00:00"/>
    <n v="0"/>
    <x v="48"/>
  </r>
  <r>
    <x v="3"/>
    <x v="8"/>
    <n v="14"/>
    <x v="7"/>
    <d v="2023-03-01T00:00:00"/>
    <n v="0"/>
    <x v="12"/>
  </r>
  <r>
    <x v="3"/>
    <x v="8"/>
    <n v="15"/>
    <x v="8"/>
    <d v="2023-03-01T00:00:00"/>
    <n v="0"/>
    <x v="37"/>
  </r>
  <r>
    <x v="3"/>
    <x v="8"/>
    <n v="15"/>
    <x v="8"/>
    <d v="2023-03-01T00:00:00"/>
    <n v="0"/>
    <x v="38"/>
  </r>
  <r>
    <x v="3"/>
    <x v="8"/>
    <n v="15"/>
    <x v="8"/>
    <d v="2023-03-01T00:00:00"/>
    <n v="0"/>
    <x v="39"/>
  </r>
  <r>
    <x v="3"/>
    <x v="8"/>
    <n v="15"/>
    <x v="8"/>
    <d v="2023-03-01T00:00:00"/>
    <n v="0"/>
    <x v="40"/>
  </r>
  <r>
    <x v="3"/>
    <x v="8"/>
    <n v="15"/>
    <x v="8"/>
    <d v="2023-03-01T00:00:00"/>
    <n v="0"/>
    <x v="41"/>
  </r>
  <r>
    <x v="3"/>
    <x v="8"/>
    <n v="15"/>
    <x v="8"/>
    <d v="2023-03-01T00:00:00"/>
    <n v="0"/>
    <x v="42"/>
  </r>
  <r>
    <x v="3"/>
    <x v="8"/>
    <n v="15"/>
    <x v="8"/>
    <d v="2023-03-01T00:00:00"/>
    <n v="0"/>
    <x v="43"/>
  </r>
  <r>
    <x v="3"/>
    <x v="8"/>
    <n v="15"/>
    <x v="8"/>
    <d v="2023-03-01T00:00:00"/>
    <n v="0"/>
    <x v="44"/>
  </r>
  <r>
    <x v="3"/>
    <x v="8"/>
    <n v="15"/>
    <x v="8"/>
    <d v="2023-03-01T00:00:00"/>
    <n v="0"/>
    <x v="45"/>
  </r>
  <r>
    <x v="3"/>
    <x v="8"/>
    <n v="15"/>
    <x v="8"/>
    <d v="2023-03-01T00:00:00"/>
    <n v="0"/>
    <x v="46"/>
  </r>
  <r>
    <x v="3"/>
    <x v="8"/>
    <n v="15"/>
    <x v="8"/>
    <d v="2023-03-01T00:00:00"/>
    <n v="0"/>
    <x v="47"/>
  </r>
  <r>
    <x v="3"/>
    <x v="8"/>
    <n v="15"/>
    <x v="8"/>
    <d v="2023-03-01T00:00:00"/>
    <n v="0"/>
    <x v="48"/>
  </r>
  <r>
    <x v="3"/>
    <x v="8"/>
    <n v="15"/>
    <x v="8"/>
    <d v="2023-03-01T00:00:00"/>
    <n v="0"/>
    <x v="12"/>
  </r>
  <r>
    <x v="3"/>
    <x v="9"/>
    <n v="7"/>
    <x v="0"/>
    <d v="2023-03-01T00:00:00"/>
    <n v="32505.57"/>
    <x v="37"/>
  </r>
  <r>
    <x v="3"/>
    <x v="9"/>
    <n v="7"/>
    <x v="0"/>
    <d v="2023-03-01T00:00:00"/>
    <n v="32055.32"/>
    <x v="38"/>
  </r>
  <r>
    <x v="3"/>
    <x v="9"/>
    <n v="7"/>
    <x v="0"/>
    <d v="2023-03-01T00:00:00"/>
    <n v="34033.75"/>
    <x v="39"/>
  </r>
  <r>
    <x v="3"/>
    <x v="9"/>
    <n v="7"/>
    <x v="0"/>
    <d v="2023-03-01T00:00:00"/>
    <n v="31713.66"/>
    <x v="40"/>
  </r>
  <r>
    <x v="3"/>
    <x v="9"/>
    <n v="7"/>
    <x v="0"/>
    <d v="2023-03-01T00:00:00"/>
    <n v="32518.93"/>
    <x v="41"/>
  </r>
  <r>
    <x v="3"/>
    <x v="9"/>
    <n v="7"/>
    <x v="0"/>
    <d v="2023-03-01T00:00:00"/>
    <n v="33987.47"/>
    <x v="42"/>
  </r>
  <r>
    <x v="3"/>
    <x v="9"/>
    <n v="7"/>
    <x v="0"/>
    <d v="2023-03-01T00:00:00"/>
    <n v="30298.25"/>
    <x v="43"/>
  </r>
  <r>
    <x v="3"/>
    <x v="9"/>
    <n v="7"/>
    <x v="0"/>
    <d v="2023-03-01T00:00:00"/>
    <n v="32560.400000000001"/>
    <x v="44"/>
  </r>
  <r>
    <x v="3"/>
    <x v="9"/>
    <n v="7"/>
    <x v="0"/>
    <d v="2023-03-01T00:00:00"/>
    <n v="33007.370000000003"/>
    <x v="45"/>
  </r>
  <r>
    <x v="3"/>
    <x v="9"/>
    <n v="7"/>
    <x v="0"/>
    <d v="2023-03-01T00:00:00"/>
    <n v="33152.629999999997"/>
    <x v="46"/>
  </r>
  <r>
    <x v="3"/>
    <x v="9"/>
    <n v="7"/>
    <x v="0"/>
    <d v="2023-03-01T00:00:00"/>
    <n v="34125.15"/>
    <x v="47"/>
  </r>
  <r>
    <x v="3"/>
    <x v="9"/>
    <n v="7"/>
    <x v="0"/>
    <d v="2023-03-01T00:00:00"/>
    <n v="38386.79"/>
    <x v="48"/>
  </r>
  <r>
    <x v="3"/>
    <x v="9"/>
    <n v="7"/>
    <x v="0"/>
    <d v="2023-03-01T00:00:00"/>
    <n v="398345.29"/>
    <x v="12"/>
  </r>
  <r>
    <x v="3"/>
    <x v="9"/>
    <n v="8"/>
    <x v="1"/>
    <d v="2023-03-01T00:00:00"/>
    <n v="3449.35"/>
    <x v="37"/>
  </r>
  <r>
    <x v="3"/>
    <x v="9"/>
    <n v="8"/>
    <x v="1"/>
    <d v="2023-03-01T00:00:00"/>
    <n v="3454.87"/>
    <x v="38"/>
  </r>
  <r>
    <x v="3"/>
    <x v="9"/>
    <n v="8"/>
    <x v="1"/>
    <d v="2023-03-01T00:00:00"/>
    <n v="3459.4"/>
    <x v="39"/>
  </r>
  <r>
    <x v="3"/>
    <x v="9"/>
    <n v="8"/>
    <x v="1"/>
    <d v="2023-03-01T00:00:00"/>
    <n v="3519.69"/>
    <x v="40"/>
  </r>
  <r>
    <x v="3"/>
    <x v="9"/>
    <n v="8"/>
    <x v="1"/>
    <d v="2023-03-01T00:00:00"/>
    <n v="3455.56"/>
    <x v="41"/>
  </r>
  <r>
    <x v="3"/>
    <x v="9"/>
    <n v="8"/>
    <x v="1"/>
    <d v="2023-03-01T00:00:00"/>
    <n v="3468.42"/>
    <x v="42"/>
  </r>
  <r>
    <x v="3"/>
    <x v="9"/>
    <n v="8"/>
    <x v="1"/>
    <d v="2023-03-01T00:00:00"/>
    <n v="3562.14"/>
    <x v="43"/>
  </r>
  <r>
    <x v="3"/>
    <x v="9"/>
    <n v="8"/>
    <x v="1"/>
    <d v="2023-03-01T00:00:00"/>
    <n v="4311.7"/>
    <x v="44"/>
  </r>
  <r>
    <x v="3"/>
    <x v="9"/>
    <n v="8"/>
    <x v="1"/>
    <d v="2023-03-01T00:00:00"/>
    <n v="3850.28"/>
    <x v="45"/>
  </r>
  <r>
    <x v="3"/>
    <x v="9"/>
    <n v="8"/>
    <x v="1"/>
    <d v="2023-03-01T00:00:00"/>
    <n v="3728.87"/>
    <x v="46"/>
  </r>
  <r>
    <x v="3"/>
    <x v="9"/>
    <n v="8"/>
    <x v="1"/>
    <d v="2023-03-01T00:00:00"/>
    <n v="3357.27"/>
    <x v="47"/>
  </r>
  <r>
    <x v="3"/>
    <x v="9"/>
    <n v="8"/>
    <x v="1"/>
    <d v="2023-03-01T00:00:00"/>
    <n v="3555.04"/>
    <x v="48"/>
  </r>
  <r>
    <x v="3"/>
    <x v="9"/>
    <n v="8"/>
    <x v="1"/>
    <d v="2023-03-01T00:00:00"/>
    <n v="43172.59"/>
    <x v="12"/>
  </r>
  <r>
    <x v="3"/>
    <x v="9"/>
    <n v="9"/>
    <x v="2"/>
    <d v="2023-03-01T00:00:00"/>
    <n v="2563.94"/>
    <x v="37"/>
  </r>
  <r>
    <x v="3"/>
    <x v="9"/>
    <n v="9"/>
    <x v="2"/>
    <d v="2023-03-01T00:00:00"/>
    <n v="2563.94"/>
    <x v="38"/>
  </r>
  <r>
    <x v="3"/>
    <x v="9"/>
    <n v="9"/>
    <x v="2"/>
    <d v="2023-03-01T00:00:00"/>
    <n v="2602.79"/>
    <x v="39"/>
  </r>
  <r>
    <x v="3"/>
    <x v="9"/>
    <n v="9"/>
    <x v="2"/>
    <d v="2023-03-01T00:00:00"/>
    <n v="2568.87"/>
    <x v="40"/>
  </r>
  <r>
    <x v="3"/>
    <x v="9"/>
    <n v="9"/>
    <x v="2"/>
    <d v="2023-03-01T00:00:00"/>
    <n v="2644.91"/>
    <x v="41"/>
  </r>
  <r>
    <x v="3"/>
    <x v="9"/>
    <n v="9"/>
    <x v="2"/>
    <d v="2023-03-01T00:00:00"/>
    <n v="2507.41"/>
    <x v="42"/>
  </r>
  <r>
    <x v="3"/>
    <x v="9"/>
    <n v="9"/>
    <x v="2"/>
    <d v="2023-03-01T00:00:00"/>
    <n v="2840.59"/>
    <x v="43"/>
  </r>
  <r>
    <x v="3"/>
    <x v="9"/>
    <n v="9"/>
    <x v="2"/>
    <d v="2023-03-01T00:00:00"/>
    <n v="2763.69"/>
    <x v="44"/>
  </r>
  <r>
    <x v="3"/>
    <x v="9"/>
    <n v="9"/>
    <x v="2"/>
    <d v="2023-03-01T00:00:00"/>
    <n v="3393.75"/>
    <x v="45"/>
  </r>
  <r>
    <x v="3"/>
    <x v="9"/>
    <n v="9"/>
    <x v="2"/>
    <d v="2023-03-01T00:00:00"/>
    <n v="2742.5"/>
    <x v="46"/>
  </r>
  <r>
    <x v="3"/>
    <x v="9"/>
    <n v="9"/>
    <x v="2"/>
    <d v="2023-03-01T00:00:00"/>
    <n v="3488.19"/>
    <x v="47"/>
  </r>
  <r>
    <x v="3"/>
    <x v="9"/>
    <n v="9"/>
    <x v="2"/>
    <d v="2023-03-01T00:00:00"/>
    <n v="2774.08"/>
    <x v="48"/>
  </r>
  <r>
    <x v="3"/>
    <x v="9"/>
    <n v="9"/>
    <x v="2"/>
    <d v="2023-03-01T00:00:00"/>
    <n v="33454.660000000003"/>
    <x v="12"/>
  </r>
  <r>
    <x v="3"/>
    <x v="9"/>
    <n v="10"/>
    <x v="3"/>
    <d v="2023-03-01T00:00:00"/>
    <n v="7584.47"/>
    <x v="37"/>
  </r>
  <r>
    <x v="3"/>
    <x v="9"/>
    <n v="10"/>
    <x v="3"/>
    <d v="2023-03-01T00:00:00"/>
    <n v="7723.23"/>
    <x v="38"/>
  </r>
  <r>
    <x v="3"/>
    <x v="9"/>
    <n v="10"/>
    <x v="3"/>
    <d v="2023-03-01T00:00:00"/>
    <n v="7680.26"/>
    <x v="39"/>
  </r>
  <r>
    <x v="3"/>
    <x v="9"/>
    <n v="10"/>
    <x v="3"/>
    <d v="2023-03-01T00:00:00"/>
    <n v="7720.13"/>
    <x v="40"/>
  </r>
  <r>
    <x v="3"/>
    <x v="9"/>
    <n v="10"/>
    <x v="3"/>
    <d v="2023-03-01T00:00:00"/>
    <n v="7636.8"/>
    <x v="41"/>
  </r>
  <r>
    <x v="3"/>
    <x v="9"/>
    <n v="10"/>
    <x v="3"/>
    <d v="2023-03-01T00:00:00"/>
    <n v="9433.98"/>
    <x v="42"/>
  </r>
  <r>
    <x v="3"/>
    <x v="9"/>
    <n v="10"/>
    <x v="3"/>
    <d v="2023-03-01T00:00:00"/>
    <n v="8008.1"/>
    <x v="43"/>
  </r>
  <r>
    <x v="3"/>
    <x v="9"/>
    <n v="10"/>
    <x v="3"/>
    <d v="2023-03-01T00:00:00"/>
    <n v="8082.04"/>
    <x v="44"/>
  </r>
  <r>
    <x v="3"/>
    <x v="9"/>
    <n v="10"/>
    <x v="3"/>
    <d v="2023-03-01T00:00:00"/>
    <n v="7532.53"/>
    <x v="45"/>
  </r>
  <r>
    <x v="3"/>
    <x v="9"/>
    <n v="10"/>
    <x v="3"/>
    <d v="2023-03-01T00:00:00"/>
    <n v="8077.7"/>
    <x v="46"/>
  </r>
  <r>
    <x v="3"/>
    <x v="9"/>
    <n v="10"/>
    <x v="3"/>
    <d v="2023-03-01T00:00:00"/>
    <n v="8742.59"/>
    <x v="47"/>
  </r>
  <r>
    <x v="3"/>
    <x v="9"/>
    <n v="10"/>
    <x v="3"/>
    <d v="2023-03-01T00:00:00"/>
    <n v="14760.49"/>
    <x v="48"/>
  </r>
  <r>
    <x v="3"/>
    <x v="9"/>
    <n v="10"/>
    <x v="3"/>
    <d v="2023-03-01T00:00:00"/>
    <n v="102982.32"/>
    <x v="12"/>
  </r>
  <r>
    <x v="3"/>
    <x v="9"/>
    <n v="11"/>
    <x v="4"/>
    <d v="2023-03-01T00:00:00"/>
    <n v="2470.09"/>
    <x v="37"/>
  </r>
  <r>
    <x v="3"/>
    <x v="9"/>
    <n v="11"/>
    <x v="4"/>
    <d v="2023-03-01T00:00:00"/>
    <n v="1853.23"/>
    <x v="38"/>
  </r>
  <r>
    <x v="3"/>
    <x v="9"/>
    <n v="11"/>
    <x v="4"/>
    <d v="2023-03-01T00:00:00"/>
    <n v="2565.0300000000002"/>
    <x v="39"/>
  </r>
  <r>
    <x v="3"/>
    <x v="9"/>
    <n v="11"/>
    <x v="4"/>
    <d v="2023-03-01T00:00:00"/>
    <n v="2129.77"/>
    <x v="40"/>
  </r>
  <r>
    <x v="3"/>
    <x v="9"/>
    <n v="11"/>
    <x v="4"/>
    <d v="2023-03-01T00:00:00"/>
    <n v="2285.0300000000002"/>
    <x v="41"/>
  </r>
  <r>
    <x v="3"/>
    <x v="9"/>
    <n v="11"/>
    <x v="4"/>
    <d v="2023-03-01T00:00:00"/>
    <n v="2048.65"/>
    <x v="42"/>
  </r>
  <r>
    <x v="3"/>
    <x v="9"/>
    <n v="11"/>
    <x v="4"/>
    <d v="2023-03-01T00:00:00"/>
    <n v="323.39999999999998"/>
    <x v="43"/>
  </r>
  <r>
    <x v="3"/>
    <x v="9"/>
    <n v="11"/>
    <x v="4"/>
    <d v="2023-03-01T00:00:00"/>
    <n v="1865.52"/>
    <x v="44"/>
  </r>
  <r>
    <x v="3"/>
    <x v="9"/>
    <n v="11"/>
    <x v="4"/>
    <d v="2023-03-01T00:00:00"/>
    <n v="-1010.3"/>
    <x v="45"/>
  </r>
  <r>
    <x v="3"/>
    <x v="9"/>
    <n v="11"/>
    <x v="4"/>
    <d v="2023-03-01T00:00:00"/>
    <n v="2206.86"/>
    <x v="46"/>
  </r>
  <r>
    <x v="3"/>
    <x v="9"/>
    <n v="11"/>
    <x v="4"/>
    <d v="2023-03-01T00:00:00"/>
    <n v="290.75"/>
    <x v="47"/>
  </r>
  <r>
    <x v="3"/>
    <x v="9"/>
    <n v="11"/>
    <x v="4"/>
    <d v="2023-03-01T00:00:00"/>
    <n v="-534.6"/>
    <x v="48"/>
  </r>
  <r>
    <x v="3"/>
    <x v="9"/>
    <n v="11"/>
    <x v="4"/>
    <d v="2023-03-01T00:00:00"/>
    <n v="16493.43"/>
    <x v="12"/>
  </r>
  <r>
    <x v="3"/>
    <x v="9"/>
    <n v="12"/>
    <x v="5"/>
    <d v="2023-03-01T00:00:00"/>
    <n v="118.07"/>
    <x v="37"/>
  </r>
  <r>
    <x v="3"/>
    <x v="9"/>
    <n v="12"/>
    <x v="5"/>
    <d v="2023-03-01T00:00:00"/>
    <n v="126.98"/>
    <x v="38"/>
  </r>
  <r>
    <x v="3"/>
    <x v="9"/>
    <n v="12"/>
    <x v="5"/>
    <d v="2023-03-01T00:00:00"/>
    <n v="88.86"/>
    <x v="39"/>
  </r>
  <r>
    <x v="3"/>
    <x v="9"/>
    <n v="12"/>
    <x v="5"/>
    <d v="2023-03-01T00:00:00"/>
    <n v="116.33"/>
    <x v="40"/>
  </r>
  <r>
    <x v="3"/>
    <x v="9"/>
    <n v="12"/>
    <x v="5"/>
    <d v="2023-03-01T00:00:00"/>
    <n v="116.63"/>
    <x v="41"/>
  </r>
  <r>
    <x v="3"/>
    <x v="9"/>
    <n v="12"/>
    <x v="5"/>
    <d v="2023-03-01T00:00:00"/>
    <n v="147.91"/>
    <x v="42"/>
  </r>
  <r>
    <x v="3"/>
    <x v="9"/>
    <n v="12"/>
    <x v="5"/>
    <d v="2023-03-01T00:00:00"/>
    <n v="89.9"/>
    <x v="43"/>
  </r>
  <r>
    <x v="3"/>
    <x v="9"/>
    <n v="12"/>
    <x v="5"/>
    <d v="2023-03-01T00:00:00"/>
    <n v="117.24"/>
    <x v="44"/>
  </r>
  <r>
    <x v="3"/>
    <x v="9"/>
    <n v="12"/>
    <x v="5"/>
    <d v="2023-03-01T00:00:00"/>
    <n v="155.1"/>
    <x v="45"/>
  </r>
  <r>
    <x v="3"/>
    <x v="9"/>
    <n v="12"/>
    <x v="5"/>
    <d v="2023-03-01T00:00:00"/>
    <n v="107.17"/>
    <x v="46"/>
  </r>
  <r>
    <x v="3"/>
    <x v="9"/>
    <n v="12"/>
    <x v="5"/>
    <d v="2023-03-01T00:00:00"/>
    <n v="134.07"/>
    <x v="47"/>
  </r>
  <r>
    <x v="3"/>
    <x v="9"/>
    <n v="12"/>
    <x v="5"/>
    <d v="2023-03-01T00:00:00"/>
    <n v="91.74"/>
    <x v="48"/>
  </r>
  <r>
    <x v="3"/>
    <x v="9"/>
    <n v="12"/>
    <x v="5"/>
    <d v="2023-03-01T00:00:00"/>
    <n v="1410"/>
    <x v="12"/>
  </r>
  <r>
    <x v="3"/>
    <x v="9"/>
    <n v="13"/>
    <x v="6"/>
    <d v="2023-03-01T00:00:00"/>
    <n v="12531.23"/>
    <x v="37"/>
  </r>
  <r>
    <x v="3"/>
    <x v="9"/>
    <n v="13"/>
    <x v="6"/>
    <d v="2023-03-01T00:00:00"/>
    <n v="12440.71"/>
    <x v="38"/>
  </r>
  <r>
    <x v="3"/>
    <x v="9"/>
    <n v="13"/>
    <x v="6"/>
    <d v="2023-03-01T00:00:00"/>
    <n v="12603.38"/>
    <x v="39"/>
  </r>
  <r>
    <x v="3"/>
    <x v="9"/>
    <n v="13"/>
    <x v="6"/>
    <d v="2023-03-01T00:00:00"/>
    <n v="12393.87"/>
    <x v="40"/>
  </r>
  <r>
    <x v="3"/>
    <x v="9"/>
    <n v="13"/>
    <x v="6"/>
    <d v="2023-03-01T00:00:00"/>
    <n v="12599"/>
    <x v="41"/>
  </r>
  <r>
    <x v="3"/>
    <x v="9"/>
    <n v="13"/>
    <x v="6"/>
    <d v="2023-03-01T00:00:00"/>
    <n v="12733.93"/>
    <x v="42"/>
  </r>
  <r>
    <x v="3"/>
    <x v="9"/>
    <n v="13"/>
    <x v="6"/>
    <d v="2023-03-01T00:00:00"/>
    <n v="12262"/>
    <x v="43"/>
  </r>
  <r>
    <x v="3"/>
    <x v="9"/>
    <n v="13"/>
    <x v="6"/>
    <d v="2023-03-01T00:00:00"/>
    <n v="12411.92"/>
    <x v="44"/>
  </r>
  <r>
    <x v="3"/>
    <x v="9"/>
    <n v="13"/>
    <x v="6"/>
    <d v="2023-03-01T00:00:00"/>
    <n v="15207.04"/>
    <x v="45"/>
  </r>
  <r>
    <x v="3"/>
    <x v="9"/>
    <n v="13"/>
    <x v="6"/>
    <d v="2023-03-01T00:00:00"/>
    <n v="13146.01"/>
    <x v="46"/>
  </r>
  <r>
    <x v="3"/>
    <x v="9"/>
    <n v="13"/>
    <x v="6"/>
    <d v="2023-03-01T00:00:00"/>
    <n v="13831.74"/>
    <x v="47"/>
  </r>
  <r>
    <x v="3"/>
    <x v="9"/>
    <n v="13"/>
    <x v="6"/>
    <d v="2023-03-01T00:00:00"/>
    <n v="14670.9"/>
    <x v="48"/>
  </r>
  <r>
    <x v="3"/>
    <x v="9"/>
    <n v="13"/>
    <x v="6"/>
    <d v="2023-03-01T00:00:00"/>
    <n v="156831.73000000001"/>
    <x v="12"/>
  </r>
  <r>
    <x v="3"/>
    <x v="9"/>
    <n v="14"/>
    <x v="7"/>
    <d v="2023-03-01T00:00:00"/>
    <n v="0"/>
    <x v="37"/>
  </r>
  <r>
    <x v="3"/>
    <x v="9"/>
    <n v="14"/>
    <x v="7"/>
    <d v="2023-03-01T00:00:00"/>
    <n v="0"/>
    <x v="38"/>
  </r>
  <r>
    <x v="3"/>
    <x v="9"/>
    <n v="14"/>
    <x v="7"/>
    <d v="2023-03-01T00:00:00"/>
    <n v="0"/>
    <x v="39"/>
  </r>
  <r>
    <x v="3"/>
    <x v="9"/>
    <n v="14"/>
    <x v="7"/>
    <d v="2023-03-01T00:00:00"/>
    <n v="0"/>
    <x v="40"/>
  </r>
  <r>
    <x v="3"/>
    <x v="9"/>
    <n v="14"/>
    <x v="7"/>
    <d v="2023-03-01T00:00:00"/>
    <n v="0"/>
    <x v="41"/>
  </r>
  <r>
    <x v="3"/>
    <x v="9"/>
    <n v="14"/>
    <x v="7"/>
    <d v="2023-03-01T00:00:00"/>
    <n v="0"/>
    <x v="42"/>
  </r>
  <r>
    <x v="3"/>
    <x v="9"/>
    <n v="14"/>
    <x v="7"/>
    <d v="2023-03-01T00:00:00"/>
    <n v="0"/>
    <x v="43"/>
  </r>
  <r>
    <x v="3"/>
    <x v="9"/>
    <n v="14"/>
    <x v="7"/>
    <d v="2023-03-01T00:00:00"/>
    <n v="0"/>
    <x v="44"/>
  </r>
  <r>
    <x v="3"/>
    <x v="9"/>
    <n v="14"/>
    <x v="7"/>
    <d v="2023-03-01T00:00:00"/>
    <n v="0"/>
    <x v="45"/>
  </r>
  <r>
    <x v="3"/>
    <x v="9"/>
    <n v="14"/>
    <x v="7"/>
    <d v="2023-03-01T00:00:00"/>
    <n v="0"/>
    <x v="46"/>
  </r>
  <r>
    <x v="3"/>
    <x v="9"/>
    <n v="14"/>
    <x v="7"/>
    <d v="2023-03-01T00:00:00"/>
    <n v="0"/>
    <x v="47"/>
  </r>
  <r>
    <x v="3"/>
    <x v="9"/>
    <n v="14"/>
    <x v="7"/>
    <d v="2023-03-01T00:00:00"/>
    <n v="0"/>
    <x v="48"/>
  </r>
  <r>
    <x v="3"/>
    <x v="9"/>
    <n v="14"/>
    <x v="7"/>
    <d v="2023-03-01T00:00:00"/>
    <n v="0"/>
    <x v="12"/>
  </r>
  <r>
    <x v="3"/>
    <x v="9"/>
    <n v="15"/>
    <x v="8"/>
    <d v="2023-03-01T00:00:00"/>
    <n v="1851.6"/>
    <x v="37"/>
  </r>
  <r>
    <x v="3"/>
    <x v="9"/>
    <n v="15"/>
    <x v="8"/>
    <d v="2023-03-01T00:00:00"/>
    <n v="2078.5100000000002"/>
    <x v="38"/>
  </r>
  <r>
    <x v="3"/>
    <x v="9"/>
    <n v="15"/>
    <x v="8"/>
    <d v="2023-03-01T00:00:00"/>
    <n v="2107.58"/>
    <x v="39"/>
  </r>
  <r>
    <x v="3"/>
    <x v="9"/>
    <n v="15"/>
    <x v="8"/>
    <d v="2023-03-01T00:00:00"/>
    <n v="2412.58"/>
    <x v="40"/>
  </r>
  <r>
    <x v="3"/>
    <x v="9"/>
    <n v="15"/>
    <x v="8"/>
    <d v="2023-03-01T00:00:00"/>
    <n v="2416.27"/>
    <x v="41"/>
  </r>
  <r>
    <x v="3"/>
    <x v="9"/>
    <n v="15"/>
    <x v="8"/>
    <d v="2023-03-01T00:00:00"/>
    <n v="2180.35"/>
    <x v="42"/>
  </r>
  <r>
    <x v="3"/>
    <x v="9"/>
    <n v="15"/>
    <x v="8"/>
    <d v="2023-03-01T00:00:00"/>
    <n v="2293.8000000000002"/>
    <x v="43"/>
  </r>
  <r>
    <x v="3"/>
    <x v="9"/>
    <n v="15"/>
    <x v="8"/>
    <d v="2023-03-01T00:00:00"/>
    <n v="2232.69"/>
    <x v="44"/>
  </r>
  <r>
    <x v="3"/>
    <x v="9"/>
    <n v="15"/>
    <x v="8"/>
    <d v="2023-03-01T00:00:00"/>
    <n v="2034.14"/>
    <x v="45"/>
  </r>
  <r>
    <x v="3"/>
    <x v="9"/>
    <n v="15"/>
    <x v="8"/>
    <d v="2023-03-01T00:00:00"/>
    <n v="1928.43"/>
    <x v="46"/>
  </r>
  <r>
    <x v="3"/>
    <x v="9"/>
    <n v="15"/>
    <x v="8"/>
    <d v="2023-03-01T00:00:00"/>
    <n v="1864.91"/>
    <x v="47"/>
  </r>
  <r>
    <x v="3"/>
    <x v="9"/>
    <n v="15"/>
    <x v="8"/>
    <d v="2023-03-01T00:00:00"/>
    <n v="3343.53"/>
    <x v="48"/>
  </r>
  <r>
    <x v="3"/>
    <x v="9"/>
    <n v="15"/>
    <x v="8"/>
    <d v="2023-03-01T00:00:00"/>
    <n v="26744.39"/>
    <x v="12"/>
  </r>
  <r>
    <x v="3"/>
    <x v="10"/>
    <n v="7"/>
    <x v="0"/>
    <d v="2023-03-01T00:00:00"/>
    <n v="100674.02099999999"/>
    <x v="37"/>
  </r>
  <r>
    <x v="3"/>
    <x v="10"/>
    <n v="7"/>
    <x v="0"/>
    <d v="2023-03-01T00:00:00"/>
    <n v="113088.36199999999"/>
    <x v="38"/>
  </r>
  <r>
    <x v="3"/>
    <x v="10"/>
    <n v="7"/>
    <x v="0"/>
    <d v="2023-03-01T00:00:00"/>
    <n v="111954.19100000001"/>
    <x v="39"/>
  </r>
  <r>
    <x v="3"/>
    <x v="10"/>
    <n v="7"/>
    <x v="0"/>
    <d v="2023-03-01T00:00:00"/>
    <n v="119781.27"/>
    <x v="40"/>
  </r>
  <r>
    <x v="3"/>
    <x v="10"/>
    <n v="7"/>
    <x v="0"/>
    <d v="2023-03-01T00:00:00"/>
    <n v="115410.946"/>
    <x v="41"/>
  </r>
  <r>
    <x v="3"/>
    <x v="10"/>
    <n v="7"/>
    <x v="0"/>
    <d v="2023-03-01T00:00:00"/>
    <n v="130184.072"/>
    <x v="42"/>
  </r>
  <r>
    <x v="3"/>
    <x v="10"/>
    <n v="7"/>
    <x v="0"/>
    <d v="2023-03-01T00:00:00"/>
    <n v="119703.929"/>
    <x v="43"/>
  </r>
  <r>
    <x v="3"/>
    <x v="10"/>
    <n v="7"/>
    <x v="0"/>
    <d v="2023-03-01T00:00:00"/>
    <n v="119662.30899999999"/>
    <x v="44"/>
  </r>
  <r>
    <x v="3"/>
    <x v="10"/>
    <n v="7"/>
    <x v="0"/>
    <d v="2023-03-01T00:00:00"/>
    <n v="111028.818"/>
    <x v="45"/>
  </r>
  <r>
    <x v="3"/>
    <x v="10"/>
    <n v="7"/>
    <x v="0"/>
    <d v="2023-03-01T00:00:00"/>
    <n v="119133.118"/>
    <x v="46"/>
  </r>
  <r>
    <x v="3"/>
    <x v="10"/>
    <n v="7"/>
    <x v="0"/>
    <d v="2023-03-01T00:00:00"/>
    <n v="122193.465"/>
    <x v="47"/>
  </r>
  <r>
    <x v="3"/>
    <x v="10"/>
    <n v="7"/>
    <x v="0"/>
    <d v="2023-03-01T00:00:00"/>
    <n v="174367.85699999999"/>
    <x v="48"/>
  </r>
  <r>
    <x v="3"/>
    <x v="10"/>
    <n v="7"/>
    <x v="0"/>
    <d v="2023-03-01T00:00:00"/>
    <n v="1457182.358"/>
    <x v="12"/>
  </r>
  <r>
    <x v="3"/>
    <x v="10"/>
    <n v="8"/>
    <x v="1"/>
    <d v="2023-03-01T00:00:00"/>
    <n v="10042.727999999999"/>
    <x v="37"/>
  </r>
  <r>
    <x v="3"/>
    <x v="10"/>
    <n v="8"/>
    <x v="1"/>
    <d v="2023-03-01T00:00:00"/>
    <n v="10033.941999999999"/>
    <x v="38"/>
  </r>
  <r>
    <x v="3"/>
    <x v="10"/>
    <n v="8"/>
    <x v="1"/>
    <d v="2023-03-01T00:00:00"/>
    <n v="10014.053"/>
    <x v="39"/>
  </r>
  <r>
    <x v="3"/>
    <x v="10"/>
    <n v="8"/>
    <x v="1"/>
    <d v="2023-03-01T00:00:00"/>
    <n v="9365.1080000000002"/>
    <x v="40"/>
  </r>
  <r>
    <x v="3"/>
    <x v="10"/>
    <n v="8"/>
    <x v="1"/>
    <d v="2023-03-01T00:00:00"/>
    <n v="10048.280000000001"/>
    <x v="41"/>
  </r>
  <r>
    <x v="3"/>
    <x v="10"/>
    <n v="8"/>
    <x v="1"/>
    <d v="2023-03-01T00:00:00"/>
    <n v="10550.938"/>
    <x v="42"/>
  </r>
  <r>
    <x v="3"/>
    <x v="10"/>
    <n v="8"/>
    <x v="1"/>
    <d v="2023-03-01T00:00:00"/>
    <n v="9420.0130000000099"/>
    <x v="43"/>
  </r>
  <r>
    <x v="3"/>
    <x v="10"/>
    <n v="8"/>
    <x v="1"/>
    <d v="2023-03-01T00:00:00"/>
    <n v="9818.3769999999895"/>
    <x v="44"/>
  </r>
  <r>
    <x v="3"/>
    <x v="10"/>
    <n v="8"/>
    <x v="1"/>
    <d v="2023-03-01T00:00:00"/>
    <n v="11071.933999999999"/>
    <x v="45"/>
  </r>
  <r>
    <x v="3"/>
    <x v="10"/>
    <n v="8"/>
    <x v="1"/>
    <d v="2023-03-01T00:00:00"/>
    <n v="8959.0609999999906"/>
    <x v="46"/>
  </r>
  <r>
    <x v="3"/>
    <x v="10"/>
    <n v="8"/>
    <x v="1"/>
    <d v="2023-03-01T00:00:00"/>
    <n v="8891.3940000000002"/>
    <x v="47"/>
  </r>
  <r>
    <x v="3"/>
    <x v="10"/>
    <n v="8"/>
    <x v="1"/>
    <d v="2023-03-01T00:00:00"/>
    <n v="8210.6990000000096"/>
    <x v="48"/>
  </r>
  <r>
    <x v="3"/>
    <x v="10"/>
    <n v="8"/>
    <x v="1"/>
    <d v="2023-03-01T00:00:00"/>
    <n v="116426.527"/>
    <x v="12"/>
  </r>
  <r>
    <x v="3"/>
    <x v="10"/>
    <n v="9"/>
    <x v="2"/>
    <d v="2023-03-01T00:00:00"/>
    <n v="6117.5379999999996"/>
    <x v="37"/>
  </r>
  <r>
    <x v="3"/>
    <x v="10"/>
    <n v="9"/>
    <x v="2"/>
    <d v="2023-03-01T00:00:00"/>
    <n v="6491.4780000000001"/>
    <x v="38"/>
  </r>
  <r>
    <x v="3"/>
    <x v="10"/>
    <n v="9"/>
    <x v="2"/>
    <d v="2023-03-01T00:00:00"/>
    <n v="6364.5950000000003"/>
    <x v="39"/>
  </r>
  <r>
    <x v="3"/>
    <x v="10"/>
    <n v="9"/>
    <x v="2"/>
    <d v="2023-03-01T00:00:00"/>
    <n v="6797.7979999999998"/>
    <x v="40"/>
  </r>
  <r>
    <x v="3"/>
    <x v="10"/>
    <n v="9"/>
    <x v="2"/>
    <d v="2023-03-01T00:00:00"/>
    <n v="6797.0249999999996"/>
    <x v="41"/>
  </r>
  <r>
    <x v="3"/>
    <x v="10"/>
    <n v="9"/>
    <x v="2"/>
    <d v="2023-03-01T00:00:00"/>
    <n v="6903.11"/>
    <x v="42"/>
  </r>
  <r>
    <x v="3"/>
    <x v="10"/>
    <n v="9"/>
    <x v="2"/>
    <d v="2023-03-01T00:00:00"/>
    <n v="7482.2969999999996"/>
    <x v="43"/>
  </r>
  <r>
    <x v="3"/>
    <x v="10"/>
    <n v="9"/>
    <x v="2"/>
    <d v="2023-03-01T00:00:00"/>
    <n v="7094.8329999999996"/>
    <x v="44"/>
  </r>
  <r>
    <x v="3"/>
    <x v="10"/>
    <n v="9"/>
    <x v="2"/>
    <d v="2023-03-01T00:00:00"/>
    <n v="7194.1819999999998"/>
    <x v="45"/>
  </r>
  <r>
    <x v="3"/>
    <x v="10"/>
    <n v="9"/>
    <x v="2"/>
    <d v="2023-03-01T00:00:00"/>
    <n v="7183.6950000000097"/>
    <x v="46"/>
  </r>
  <r>
    <x v="3"/>
    <x v="10"/>
    <n v="9"/>
    <x v="2"/>
    <d v="2023-03-01T00:00:00"/>
    <n v="7174.0919999999896"/>
    <x v="47"/>
  </r>
  <r>
    <x v="3"/>
    <x v="10"/>
    <n v="9"/>
    <x v="2"/>
    <d v="2023-03-01T00:00:00"/>
    <n v="8064.7839999999997"/>
    <x v="48"/>
  </r>
  <r>
    <x v="3"/>
    <x v="10"/>
    <n v="9"/>
    <x v="2"/>
    <d v="2023-03-01T00:00:00"/>
    <n v="83665.426999999996"/>
    <x v="12"/>
  </r>
  <r>
    <x v="3"/>
    <x v="10"/>
    <n v="10"/>
    <x v="3"/>
    <d v="2023-03-01T00:00:00"/>
    <n v="48209.665000000001"/>
    <x v="37"/>
  </r>
  <r>
    <x v="3"/>
    <x v="10"/>
    <n v="10"/>
    <x v="3"/>
    <d v="2023-03-01T00:00:00"/>
    <n v="53948.307999999997"/>
    <x v="38"/>
  </r>
  <r>
    <x v="3"/>
    <x v="10"/>
    <n v="10"/>
    <x v="3"/>
    <d v="2023-03-01T00:00:00"/>
    <n v="52408.711000000003"/>
    <x v="39"/>
  </r>
  <r>
    <x v="3"/>
    <x v="10"/>
    <n v="10"/>
    <x v="3"/>
    <d v="2023-03-01T00:00:00"/>
    <n v="54695.156999999999"/>
    <x v="40"/>
  </r>
  <r>
    <x v="3"/>
    <x v="10"/>
    <n v="10"/>
    <x v="3"/>
    <d v="2023-03-01T00:00:00"/>
    <n v="54327.529000000002"/>
    <x v="41"/>
  </r>
  <r>
    <x v="3"/>
    <x v="10"/>
    <n v="10"/>
    <x v="3"/>
    <d v="2023-03-01T00:00:00"/>
    <n v="67324.932000000001"/>
    <x v="42"/>
  </r>
  <r>
    <x v="3"/>
    <x v="10"/>
    <n v="10"/>
    <x v="3"/>
    <d v="2023-03-01T00:00:00"/>
    <n v="56578.864999999998"/>
    <x v="43"/>
  </r>
  <r>
    <x v="3"/>
    <x v="10"/>
    <n v="10"/>
    <x v="3"/>
    <d v="2023-03-01T00:00:00"/>
    <n v="58703.39"/>
    <x v="44"/>
  </r>
  <r>
    <x v="3"/>
    <x v="10"/>
    <n v="10"/>
    <x v="3"/>
    <d v="2023-03-01T00:00:00"/>
    <n v="46512.389000000003"/>
    <x v="45"/>
  </r>
  <r>
    <x v="3"/>
    <x v="10"/>
    <n v="10"/>
    <x v="3"/>
    <d v="2023-03-01T00:00:00"/>
    <n v="56068.531000000003"/>
    <x v="46"/>
  </r>
  <r>
    <x v="3"/>
    <x v="10"/>
    <n v="10"/>
    <x v="3"/>
    <d v="2023-03-01T00:00:00"/>
    <n v="57246.319000000003"/>
    <x v="47"/>
  </r>
  <r>
    <x v="3"/>
    <x v="10"/>
    <n v="10"/>
    <x v="3"/>
    <d v="2023-03-01T00:00:00"/>
    <n v="112236.7"/>
    <x v="48"/>
  </r>
  <r>
    <x v="3"/>
    <x v="10"/>
    <n v="10"/>
    <x v="3"/>
    <d v="2023-03-01T00:00:00"/>
    <n v="718260.49600000004"/>
    <x v="12"/>
  </r>
  <r>
    <x v="3"/>
    <x v="10"/>
    <n v="11"/>
    <x v="4"/>
    <d v="2023-03-01T00:00:00"/>
    <n v="11423.199000000001"/>
    <x v="37"/>
  </r>
  <r>
    <x v="3"/>
    <x v="10"/>
    <n v="11"/>
    <x v="4"/>
    <d v="2023-03-01T00:00:00"/>
    <n v="12473.735000000001"/>
    <x v="38"/>
  </r>
  <r>
    <x v="3"/>
    <x v="10"/>
    <n v="11"/>
    <x v="4"/>
    <d v="2023-03-01T00:00:00"/>
    <n v="11315.875"/>
    <x v="39"/>
  </r>
  <r>
    <x v="3"/>
    <x v="10"/>
    <n v="11"/>
    <x v="4"/>
    <d v="2023-03-01T00:00:00"/>
    <n v="11101.58"/>
    <x v="40"/>
  </r>
  <r>
    <x v="3"/>
    <x v="10"/>
    <n v="11"/>
    <x v="4"/>
    <d v="2023-03-01T00:00:00"/>
    <n v="12317.021000000001"/>
    <x v="41"/>
  </r>
  <r>
    <x v="3"/>
    <x v="10"/>
    <n v="11"/>
    <x v="4"/>
    <d v="2023-03-01T00:00:00"/>
    <n v="13018.234"/>
    <x v="42"/>
  </r>
  <r>
    <x v="3"/>
    <x v="10"/>
    <n v="11"/>
    <x v="4"/>
    <d v="2023-03-01T00:00:00"/>
    <n v="14511.834999999999"/>
    <x v="43"/>
  </r>
  <r>
    <x v="3"/>
    <x v="10"/>
    <n v="11"/>
    <x v="4"/>
    <d v="2023-03-01T00:00:00"/>
    <n v="11986.706"/>
    <x v="44"/>
  </r>
  <r>
    <x v="3"/>
    <x v="10"/>
    <n v="11"/>
    <x v="4"/>
    <d v="2023-03-01T00:00:00"/>
    <n v="12033.463"/>
    <x v="45"/>
  </r>
  <r>
    <x v="3"/>
    <x v="10"/>
    <n v="11"/>
    <x v="4"/>
    <d v="2023-03-01T00:00:00"/>
    <n v="11465.636"/>
    <x v="46"/>
  </r>
  <r>
    <x v="3"/>
    <x v="10"/>
    <n v="11"/>
    <x v="4"/>
    <d v="2023-03-01T00:00:00"/>
    <n v="11982.66"/>
    <x v="47"/>
  </r>
  <r>
    <x v="3"/>
    <x v="10"/>
    <n v="11"/>
    <x v="4"/>
    <d v="2023-03-01T00:00:00"/>
    <n v="7973.6109999999999"/>
    <x v="48"/>
  </r>
  <r>
    <x v="3"/>
    <x v="10"/>
    <n v="11"/>
    <x v="4"/>
    <d v="2023-03-01T00:00:00"/>
    <n v="141603.55499999999"/>
    <x v="12"/>
  </r>
  <r>
    <x v="3"/>
    <x v="10"/>
    <n v="12"/>
    <x v="5"/>
    <d v="2023-03-01T00:00:00"/>
    <n v="5047.9690000000001"/>
    <x v="37"/>
  </r>
  <r>
    <x v="3"/>
    <x v="10"/>
    <n v="12"/>
    <x v="5"/>
    <d v="2023-03-01T00:00:00"/>
    <n v="6924.3410000000003"/>
    <x v="38"/>
  </r>
  <r>
    <x v="3"/>
    <x v="10"/>
    <n v="12"/>
    <x v="5"/>
    <d v="2023-03-01T00:00:00"/>
    <n v="6901.5219999999999"/>
    <x v="39"/>
  </r>
  <r>
    <x v="3"/>
    <x v="10"/>
    <n v="12"/>
    <x v="5"/>
    <d v="2023-03-01T00:00:00"/>
    <n v="6462.9880000000003"/>
    <x v="40"/>
  </r>
  <r>
    <x v="3"/>
    <x v="10"/>
    <n v="12"/>
    <x v="5"/>
    <d v="2023-03-01T00:00:00"/>
    <n v="7372.2150000000001"/>
    <x v="41"/>
  </r>
  <r>
    <x v="3"/>
    <x v="10"/>
    <n v="12"/>
    <x v="5"/>
    <d v="2023-03-01T00:00:00"/>
    <n v="6968.0720000000001"/>
    <x v="42"/>
  </r>
  <r>
    <x v="3"/>
    <x v="10"/>
    <n v="12"/>
    <x v="5"/>
    <d v="2023-03-01T00:00:00"/>
    <n v="5927.2759999999998"/>
    <x v="43"/>
  </r>
  <r>
    <x v="3"/>
    <x v="10"/>
    <n v="12"/>
    <x v="5"/>
    <d v="2023-03-01T00:00:00"/>
    <n v="7154.4030000000002"/>
    <x v="44"/>
  </r>
  <r>
    <x v="3"/>
    <x v="10"/>
    <n v="12"/>
    <x v="5"/>
    <d v="2023-03-01T00:00:00"/>
    <n v="6636.8519999999999"/>
    <x v="45"/>
  </r>
  <r>
    <x v="3"/>
    <x v="10"/>
    <n v="12"/>
    <x v="5"/>
    <d v="2023-03-01T00:00:00"/>
    <n v="6549.4160000000002"/>
    <x v="46"/>
  </r>
  <r>
    <x v="3"/>
    <x v="10"/>
    <n v="12"/>
    <x v="5"/>
    <d v="2023-03-01T00:00:00"/>
    <n v="6374.0950000000003"/>
    <x v="47"/>
  </r>
  <r>
    <x v="3"/>
    <x v="10"/>
    <n v="12"/>
    <x v="5"/>
    <d v="2023-03-01T00:00:00"/>
    <n v="6467.5079999999998"/>
    <x v="48"/>
  </r>
  <r>
    <x v="3"/>
    <x v="10"/>
    <n v="12"/>
    <x v="5"/>
    <d v="2023-03-01T00:00:00"/>
    <n v="78786.657000000007"/>
    <x v="12"/>
  </r>
  <r>
    <x v="3"/>
    <x v="10"/>
    <n v="13"/>
    <x v="6"/>
    <d v="2023-03-01T00:00:00"/>
    <n v="14045.763000000001"/>
    <x v="37"/>
  </r>
  <r>
    <x v="3"/>
    <x v="10"/>
    <n v="13"/>
    <x v="6"/>
    <d v="2023-03-01T00:00:00"/>
    <n v="14180.563"/>
    <x v="38"/>
  </r>
  <r>
    <x v="3"/>
    <x v="10"/>
    <n v="13"/>
    <x v="6"/>
    <d v="2023-03-01T00:00:00"/>
    <n v="15453.987999999999"/>
    <x v="39"/>
  </r>
  <r>
    <x v="3"/>
    <x v="10"/>
    <n v="13"/>
    <x v="6"/>
    <d v="2023-03-01T00:00:00"/>
    <n v="14686.644"/>
    <x v="40"/>
  </r>
  <r>
    <x v="3"/>
    <x v="10"/>
    <n v="13"/>
    <x v="6"/>
    <d v="2023-03-01T00:00:00"/>
    <n v="14239.078"/>
    <x v="41"/>
  </r>
  <r>
    <x v="3"/>
    <x v="10"/>
    <n v="13"/>
    <x v="6"/>
    <d v="2023-03-01T00:00:00"/>
    <n v="15172.777"/>
    <x v="42"/>
  </r>
  <r>
    <x v="3"/>
    <x v="10"/>
    <n v="13"/>
    <x v="6"/>
    <d v="2023-03-01T00:00:00"/>
    <n v="14755.236000000001"/>
    <x v="43"/>
  </r>
  <r>
    <x v="3"/>
    <x v="10"/>
    <n v="13"/>
    <x v="6"/>
    <d v="2023-03-01T00:00:00"/>
    <n v="14869.981"/>
    <x v="44"/>
  </r>
  <r>
    <x v="3"/>
    <x v="10"/>
    <n v="13"/>
    <x v="6"/>
    <d v="2023-03-01T00:00:00"/>
    <n v="16164.199000000001"/>
    <x v="45"/>
  </r>
  <r>
    <x v="3"/>
    <x v="10"/>
    <n v="13"/>
    <x v="6"/>
    <d v="2023-03-01T00:00:00"/>
    <n v="14430.161"/>
    <x v="46"/>
  </r>
  <r>
    <x v="3"/>
    <x v="10"/>
    <n v="13"/>
    <x v="6"/>
    <d v="2023-03-01T00:00:00"/>
    <n v="17233.815999999999"/>
    <x v="47"/>
  </r>
  <r>
    <x v="3"/>
    <x v="10"/>
    <n v="13"/>
    <x v="6"/>
    <d v="2023-03-01T00:00:00"/>
    <n v="14918.01"/>
    <x v="48"/>
  </r>
  <r>
    <x v="3"/>
    <x v="10"/>
    <n v="13"/>
    <x v="6"/>
    <d v="2023-03-01T00:00:00"/>
    <n v="180150.21599999999"/>
    <x v="12"/>
  </r>
  <r>
    <x v="3"/>
    <x v="10"/>
    <n v="14"/>
    <x v="7"/>
    <d v="2023-03-01T00:00:00"/>
    <n v="0"/>
    <x v="37"/>
  </r>
  <r>
    <x v="3"/>
    <x v="10"/>
    <n v="14"/>
    <x v="7"/>
    <d v="2023-03-01T00:00:00"/>
    <n v="0"/>
    <x v="38"/>
  </r>
  <r>
    <x v="3"/>
    <x v="10"/>
    <n v="14"/>
    <x v="7"/>
    <d v="2023-03-01T00:00:00"/>
    <n v="0"/>
    <x v="39"/>
  </r>
  <r>
    <x v="3"/>
    <x v="10"/>
    <n v="14"/>
    <x v="7"/>
    <d v="2023-03-01T00:00:00"/>
    <n v="0"/>
    <x v="40"/>
  </r>
  <r>
    <x v="3"/>
    <x v="10"/>
    <n v="14"/>
    <x v="7"/>
    <d v="2023-03-01T00:00:00"/>
    <n v="0"/>
    <x v="41"/>
  </r>
  <r>
    <x v="3"/>
    <x v="10"/>
    <n v="14"/>
    <x v="7"/>
    <d v="2023-03-01T00:00:00"/>
    <n v="0"/>
    <x v="42"/>
  </r>
  <r>
    <x v="3"/>
    <x v="10"/>
    <n v="14"/>
    <x v="7"/>
    <d v="2023-03-01T00:00:00"/>
    <n v="0"/>
    <x v="43"/>
  </r>
  <r>
    <x v="3"/>
    <x v="10"/>
    <n v="14"/>
    <x v="7"/>
    <d v="2023-03-01T00:00:00"/>
    <n v="0"/>
    <x v="44"/>
  </r>
  <r>
    <x v="3"/>
    <x v="10"/>
    <n v="14"/>
    <x v="7"/>
    <d v="2023-03-01T00:00:00"/>
    <n v="0"/>
    <x v="45"/>
  </r>
  <r>
    <x v="3"/>
    <x v="10"/>
    <n v="14"/>
    <x v="7"/>
    <d v="2023-03-01T00:00:00"/>
    <n v="0"/>
    <x v="46"/>
  </r>
  <r>
    <x v="3"/>
    <x v="10"/>
    <n v="14"/>
    <x v="7"/>
    <d v="2023-03-01T00:00:00"/>
    <n v="0"/>
    <x v="47"/>
  </r>
  <r>
    <x v="3"/>
    <x v="10"/>
    <n v="14"/>
    <x v="7"/>
    <d v="2023-03-01T00:00:00"/>
    <n v="0"/>
    <x v="48"/>
  </r>
  <r>
    <x v="3"/>
    <x v="10"/>
    <n v="14"/>
    <x v="7"/>
    <d v="2023-03-01T00:00:00"/>
    <n v="0"/>
    <x v="12"/>
  </r>
  <r>
    <x v="3"/>
    <x v="10"/>
    <n v="15"/>
    <x v="8"/>
    <d v="2023-03-01T00:00:00"/>
    <n v="5541.5119999999997"/>
    <x v="37"/>
  </r>
  <r>
    <x v="3"/>
    <x v="10"/>
    <n v="15"/>
    <x v="8"/>
    <d v="2023-03-01T00:00:00"/>
    <n v="5886.0119999999997"/>
    <x v="38"/>
  </r>
  <r>
    <x v="3"/>
    <x v="10"/>
    <n v="15"/>
    <x v="8"/>
    <d v="2023-03-01T00:00:00"/>
    <n v="5639.8739999999998"/>
    <x v="39"/>
  </r>
  <r>
    <x v="3"/>
    <x v="10"/>
    <n v="15"/>
    <x v="8"/>
    <d v="2023-03-01T00:00:00"/>
    <n v="5347.4189999999999"/>
    <x v="40"/>
  </r>
  <r>
    <x v="3"/>
    <x v="10"/>
    <n v="15"/>
    <x v="8"/>
    <d v="2023-03-01T00:00:00"/>
    <n v="6043.6580000000004"/>
    <x v="41"/>
  </r>
  <r>
    <x v="3"/>
    <x v="10"/>
    <n v="15"/>
    <x v="8"/>
    <d v="2023-03-01T00:00:00"/>
    <n v="6155.4350000000004"/>
    <x v="42"/>
  </r>
  <r>
    <x v="3"/>
    <x v="10"/>
    <n v="15"/>
    <x v="8"/>
    <d v="2023-03-01T00:00:00"/>
    <n v="6014.9269999999997"/>
    <x v="43"/>
  </r>
  <r>
    <x v="3"/>
    <x v="10"/>
    <n v="15"/>
    <x v="8"/>
    <d v="2023-03-01T00:00:00"/>
    <n v="6114.1509999999998"/>
    <x v="44"/>
  </r>
  <r>
    <x v="3"/>
    <x v="10"/>
    <n v="15"/>
    <x v="8"/>
    <d v="2023-03-01T00:00:00"/>
    <n v="6934.0680000000002"/>
    <x v="45"/>
  </r>
  <r>
    <x v="3"/>
    <x v="10"/>
    <n v="15"/>
    <x v="8"/>
    <d v="2023-03-01T00:00:00"/>
    <n v="6487.81"/>
    <x v="46"/>
  </r>
  <r>
    <x v="3"/>
    <x v="10"/>
    <n v="15"/>
    <x v="8"/>
    <d v="2023-03-01T00:00:00"/>
    <n v="5725.6090000000004"/>
    <x v="47"/>
  </r>
  <r>
    <x v="3"/>
    <x v="10"/>
    <n v="15"/>
    <x v="8"/>
    <d v="2023-03-01T00:00:00"/>
    <n v="3905.9319999999998"/>
    <x v="48"/>
  </r>
  <r>
    <x v="3"/>
    <x v="10"/>
    <n v="15"/>
    <x v="8"/>
    <d v="2023-03-01T00:00:00"/>
    <n v="69796.407000000007"/>
    <x v="12"/>
  </r>
  <r>
    <x v="3"/>
    <x v="11"/>
    <n v="7"/>
    <x v="0"/>
    <d v="2023-03-01T00:00:00"/>
    <n v="13914.464"/>
    <x v="37"/>
  </r>
  <r>
    <x v="3"/>
    <x v="11"/>
    <n v="7"/>
    <x v="0"/>
    <d v="2023-03-01T00:00:00"/>
    <n v="14700.472"/>
    <x v="38"/>
  </r>
  <r>
    <x v="3"/>
    <x v="11"/>
    <n v="7"/>
    <x v="0"/>
    <d v="2023-03-01T00:00:00"/>
    <n v="14094.300999999999"/>
    <x v="39"/>
  </r>
  <r>
    <x v="3"/>
    <x v="11"/>
    <n v="7"/>
    <x v="0"/>
    <d v="2023-03-01T00:00:00"/>
    <n v="13491.663399999999"/>
    <x v="40"/>
  </r>
  <r>
    <x v="3"/>
    <x v="11"/>
    <n v="7"/>
    <x v="0"/>
    <d v="2023-03-01T00:00:00"/>
    <n v="13844.70112"/>
    <x v="41"/>
  </r>
  <r>
    <x v="3"/>
    <x v="11"/>
    <n v="7"/>
    <x v="0"/>
    <d v="2023-03-01T00:00:00"/>
    <n v="16196.49215"/>
    <x v="42"/>
  </r>
  <r>
    <x v="3"/>
    <x v="11"/>
    <n v="7"/>
    <x v="0"/>
    <d v="2023-03-01T00:00:00"/>
    <n v="15494.787920000001"/>
    <x v="43"/>
  </r>
  <r>
    <x v="3"/>
    <x v="11"/>
    <n v="7"/>
    <x v="0"/>
    <d v="2023-03-01T00:00:00"/>
    <n v="15992.8658"/>
    <x v="44"/>
  </r>
  <r>
    <x v="3"/>
    <x v="11"/>
    <n v="7"/>
    <x v="0"/>
    <d v="2023-03-01T00:00:00"/>
    <n v="15974.382589999999"/>
    <x v="45"/>
  </r>
  <r>
    <x v="3"/>
    <x v="11"/>
    <n v="7"/>
    <x v="0"/>
    <d v="2023-03-01T00:00:00"/>
    <n v="12440.13474"/>
    <x v="46"/>
  </r>
  <r>
    <x v="3"/>
    <x v="11"/>
    <n v="7"/>
    <x v="0"/>
    <d v="2023-03-01T00:00:00"/>
    <n v="13687.632900000001"/>
    <x v="47"/>
  </r>
  <r>
    <x v="3"/>
    <x v="11"/>
    <n v="7"/>
    <x v="0"/>
    <d v="2023-03-01T00:00:00"/>
    <n v="23696.692080000001"/>
    <x v="48"/>
  </r>
  <r>
    <x v="3"/>
    <x v="11"/>
    <n v="7"/>
    <x v="0"/>
    <d v="2023-03-01T00:00:00"/>
    <n v="183528.58970000001"/>
    <x v="12"/>
  </r>
  <r>
    <x v="3"/>
    <x v="11"/>
    <n v="8"/>
    <x v="1"/>
    <d v="2023-03-01T00:00:00"/>
    <n v="0"/>
    <x v="37"/>
  </r>
  <r>
    <x v="3"/>
    <x v="11"/>
    <n v="8"/>
    <x v="1"/>
    <d v="2023-03-01T00:00:00"/>
    <n v="0"/>
    <x v="38"/>
  </r>
  <r>
    <x v="3"/>
    <x v="11"/>
    <n v="8"/>
    <x v="1"/>
    <d v="2023-03-01T00:00:00"/>
    <n v="0"/>
    <x v="39"/>
  </r>
  <r>
    <x v="3"/>
    <x v="11"/>
    <n v="8"/>
    <x v="1"/>
    <d v="2023-03-01T00:00:00"/>
    <n v="0"/>
    <x v="40"/>
  </r>
  <r>
    <x v="3"/>
    <x v="11"/>
    <n v="8"/>
    <x v="1"/>
    <d v="2023-03-01T00:00:00"/>
    <n v="0"/>
    <x v="41"/>
  </r>
  <r>
    <x v="3"/>
    <x v="11"/>
    <n v="8"/>
    <x v="1"/>
    <d v="2023-03-01T00:00:00"/>
    <n v="0"/>
    <x v="42"/>
  </r>
  <r>
    <x v="3"/>
    <x v="11"/>
    <n v="8"/>
    <x v="1"/>
    <d v="2023-03-01T00:00:00"/>
    <n v="0"/>
    <x v="43"/>
  </r>
  <r>
    <x v="3"/>
    <x v="11"/>
    <n v="8"/>
    <x v="1"/>
    <d v="2023-03-01T00:00:00"/>
    <n v="0"/>
    <x v="44"/>
  </r>
  <r>
    <x v="3"/>
    <x v="11"/>
    <n v="8"/>
    <x v="1"/>
    <d v="2023-03-01T00:00:00"/>
    <n v="0"/>
    <x v="45"/>
  </r>
  <r>
    <x v="3"/>
    <x v="11"/>
    <n v="8"/>
    <x v="1"/>
    <d v="2023-03-01T00:00:00"/>
    <n v="0"/>
    <x v="46"/>
  </r>
  <r>
    <x v="3"/>
    <x v="11"/>
    <n v="8"/>
    <x v="1"/>
    <d v="2023-03-01T00:00:00"/>
    <n v="0"/>
    <x v="47"/>
  </r>
  <r>
    <x v="3"/>
    <x v="11"/>
    <n v="8"/>
    <x v="1"/>
    <d v="2023-03-01T00:00:00"/>
    <n v="0"/>
    <x v="48"/>
  </r>
  <r>
    <x v="3"/>
    <x v="11"/>
    <n v="8"/>
    <x v="1"/>
    <d v="2023-03-01T00:00:00"/>
    <n v="0"/>
    <x v="12"/>
  </r>
  <r>
    <x v="3"/>
    <x v="11"/>
    <n v="9"/>
    <x v="2"/>
    <d v="2023-03-01T00:00:00"/>
    <n v="0"/>
    <x v="37"/>
  </r>
  <r>
    <x v="3"/>
    <x v="11"/>
    <n v="9"/>
    <x v="2"/>
    <d v="2023-03-01T00:00:00"/>
    <n v="0"/>
    <x v="38"/>
  </r>
  <r>
    <x v="3"/>
    <x v="11"/>
    <n v="9"/>
    <x v="2"/>
    <d v="2023-03-01T00:00:00"/>
    <n v="0"/>
    <x v="39"/>
  </r>
  <r>
    <x v="3"/>
    <x v="11"/>
    <n v="9"/>
    <x v="2"/>
    <d v="2023-03-01T00:00:00"/>
    <n v="0"/>
    <x v="40"/>
  </r>
  <r>
    <x v="3"/>
    <x v="11"/>
    <n v="9"/>
    <x v="2"/>
    <d v="2023-03-01T00:00:00"/>
    <n v="0"/>
    <x v="41"/>
  </r>
  <r>
    <x v="3"/>
    <x v="11"/>
    <n v="9"/>
    <x v="2"/>
    <d v="2023-03-01T00:00:00"/>
    <n v="0"/>
    <x v="42"/>
  </r>
  <r>
    <x v="3"/>
    <x v="11"/>
    <n v="9"/>
    <x v="2"/>
    <d v="2023-03-01T00:00:00"/>
    <n v="0"/>
    <x v="43"/>
  </r>
  <r>
    <x v="3"/>
    <x v="11"/>
    <n v="9"/>
    <x v="2"/>
    <d v="2023-03-01T00:00:00"/>
    <n v="0"/>
    <x v="44"/>
  </r>
  <r>
    <x v="3"/>
    <x v="11"/>
    <n v="9"/>
    <x v="2"/>
    <d v="2023-03-01T00:00:00"/>
    <n v="0"/>
    <x v="45"/>
  </r>
  <r>
    <x v="3"/>
    <x v="11"/>
    <n v="9"/>
    <x v="2"/>
    <d v="2023-03-01T00:00:00"/>
    <n v="0"/>
    <x v="46"/>
  </r>
  <r>
    <x v="3"/>
    <x v="11"/>
    <n v="9"/>
    <x v="2"/>
    <d v="2023-03-01T00:00:00"/>
    <n v="0"/>
    <x v="47"/>
  </r>
  <r>
    <x v="3"/>
    <x v="11"/>
    <n v="9"/>
    <x v="2"/>
    <d v="2023-03-01T00:00:00"/>
    <n v="0"/>
    <x v="48"/>
  </r>
  <r>
    <x v="3"/>
    <x v="11"/>
    <n v="9"/>
    <x v="2"/>
    <d v="2023-03-01T00:00:00"/>
    <n v="0"/>
    <x v="12"/>
  </r>
  <r>
    <x v="3"/>
    <x v="11"/>
    <n v="10"/>
    <x v="3"/>
    <d v="2023-03-01T00:00:00"/>
    <n v="6099.1103899999998"/>
    <x v="37"/>
  </r>
  <r>
    <x v="3"/>
    <x v="11"/>
    <n v="10"/>
    <x v="3"/>
    <d v="2023-03-01T00:00:00"/>
    <n v="5896.4560000000001"/>
    <x v="38"/>
  </r>
  <r>
    <x v="3"/>
    <x v="11"/>
    <n v="10"/>
    <x v="3"/>
    <d v="2023-03-01T00:00:00"/>
    <n v="5865.2089999999998"/>
    <x v="39"/>
  </r>
  <r>
    <x v="3"/>
    <x v="11"/>
    <n v="10"/>
    <x v="3"/>
    <d v="2023-03-01T00:00:00"/>
    <n v="6186.36582"/>
    <x v="40"/>
  </r>
  <r>
    <x v="3"/>
    <x v="11"/>
    <n v="10"/>
    <x v="3"/>
    <d v="2023-03-01T00:00:00"/>
    <n v="6075.6585999999998"/>
    <x v="41"/>
  </r>
  <r>
    <x v="3"/>
    <x v="11"/>
    <n v="10"/>
    <x v="3"/>
    <d v="2023-03-01T00:00:00"/>
    <n v="7485.2815199999995"/>
    <x v="42"/>
  </r>
  <r>
    <x v="3"/>
    <x v="11"/>
    <n v="10"/>
    <x v="3"/>
    <d v="2023-03-01T00:00:00"/>
    <n v="6438.0710200000003"/>
    <x v="43"/>
  </r>
  <r>
    <x v="3"/>
    <x v="11"/>
    <n v="10"/>
    <x v="3"/>
    <d v="2023-03-01T00:00:00"/>
    <n v="6606.0749999999998"/>
    <x v="44"/>
  </r>
  <r>
    <x v="3"/>
    <x v="11"/>
    <n v="10"/>
    <x v="3"/>
    <d v="2023-03-01T00:00:00"/>
    <n v="6388.64"/>
    <x v="45"/>
  </r>
  <r>
    <x v="3"/>
    <x v="11"/>
    <n v="10"/>
    <x v="3"/>
    <d v="2023-03-01T00:00:00"/>
    <n v="6622.7259999999997"/>
    <x v="46"/>
  </r>
  <r>
    <x v="3"/>
    <x v="11"/>
    <n v="10"/>
    <x v="3"/>
    <d v="2023-03-01T00:00:00"/>
    <n v="6338"/>
    <x v="47"/>
  </r>
  <r>
    <x v="3"/>
    <x v="11"/>
    <n v="10"/>
    <x v="3"/>
    <d v="2023-03-01T00:00:00"/>
    <n v="12116"/>
    <x v="48"/>
  </r>
  <r>
    <x v="3"/>
    <x v="11"/>
    <n v="10"/>
    <x v="3"/>
    <d v="2023-03-01T00:00:00"/>
    <n v="82117.593349999996"/>
    <x v="12"/>
  </r>
  <r>
    <x v="3"/>
    <x v="11"/>
    <n v="11"/>
    <x v="4"/>
    <d v="2023-03-01T00:00:00"/>
    <n v="2657.3536100000001"/>
    <x v="37"/>
  </r>
  <r>
    <x v="3"/>
    <x v="11"/>
    <n v="11"/>
    <x v="4"/>
    <d v="2023-03-01T00:00:00"/>
    <n v="3524.9393939393899"/>
    <x v="38"/>
  </r>
  <r>
    <x v="3"/>
    <x v="11"/>
    <n v="11"/>
    <x v="4"/>
    <d v="2023-03-01T00:00:00"/>
    <n v="4351"/>
    <x v="39"/>
  </r>
  <r>
    <x v="3"/>
    <x v="11"/>
    <n v="11"/>
    <x v="4"/>
    <d v="2023-03-01T00:00:00"/>
    <n v="3232.5622895622901"/>
    <x v="40"/>
  </r>
  <r>
    <x v="3"/>
    <x v="11"/>
    <n v="11"/>
    <x v="4"/>
    <d v="2023-03-01T00:00:00"/>
    <n v="3585.5622895622901"/>
    <x v="41"/>
  </r>
  <r>
    <x v="3"/>
    <x v="11"/>
    <n v="11"/>
    <x v="4"/>
    <d v="2023-03-01T00:00:00"/>
    <n v="3751.5622895622901"/>
    <x v="42"/>
  </r>
  <r>
    <x v="3"/>
    <x v="11"/>
    <n v="11"/>
    <x v="4"/>
    <d v="2023-03-01T00:00:00"/>
    <n v="4012.27918956229"/>
    <x v="43"/>
  </r>
  <r>
    <x v="3"/>
    <x v="11"/>
    <n v="11"/>
    <x v="4"/>
    <d v="2023-03-01T00:00:00"/>
    <n v="3984.5864228956202"/>
    <x v="44"/>
  </r>
  <r>
    <x v="3"/>
    <x v="11"/>
    <n v="11"/>
    <x v="4"/>
    <d v="2023-03-01T00:00:00"/>
    <n v="4241.79562289562"/>
    <x v="45"/>
  </r>
  <r>
    <x v="3"/>
    <x v="11"/>
    <n v="11"/>
    <x v="4"/>
    <d v="2023-03-01T00:00:00"/>
    <n v="4073.9"/>
    <x v="46"/>
  </r>
  <r>
    <x v="3"/>
    <x v="11"/>
    <n v="11"/>
    <x v="4"/>
    <d v="2023-03-01T00:00:00"/>
    <n v="3307.6"/>
    <x v="47"/>
  </r>
  <r>
    <x v="3"/>
    <x v="11"/>
    <n v="11"/>
    <x v="4"/>
    <d v="2023-03-01T00:00:00"/>
    <n v="7814.8"/>
    <x v="48"/>
  </r>
  <r>
    <x v="3"/>
    <x v="11"/>
    <n v="11"/>
    <x v="4"/>
    <d v="2023-03-01T00:00:00"/>
    <n v="48537.941107979801"/>
    <x v="12"/>
  </r>
  <r>
    <x v="3"/>
    <x v="11"/>
    <n v="12"/>
    <x v="5"/>
    <d v="2023-03-01T00:00:00"/>
    <n v="4265"/>
    <x v="37"/>
  </r>
  <r>
    <x v="3"/>
    <x v="11"/>
    <n v="12"/>
    <x v="5"/>
    <d v="2023-03-01T00:00:00"/>
    <n v="4570"/>
    <x v="38"/>
  </r>
  <r>
    <x v="3"/>
    <x v="11"/>
    <n v="12"/>
    <x v="5"/>
    <d v="2023-03-01T00:00:00"/>
    <n v="3381"/>
    <x v="39"/>
  </r>
  <r>
    <x v="3"/>
    <x v="11"/>
    <n v="12"/>
    <x v="5"/>
    <d v="2023-03-01T00:00:00"/>
    <n v="4036"/>
    <x v="40"/>
  </r>
  <r>
    <x v="3"/>
    <x v="11"/>
    <n v="12"/>
    <x v="5"/>
    <d v="2023-03-01T00:00:00"/>
    <n v="3659"/>
    <x v="41"/>
  </r>
  <r>
    <x v="3"/>
    <x v="11"/>
    <n v="12"/>
    <x v="5"/>
    <d v="2023-03-01T00:00:00"/>
    <n v="4461"/>
    <x v="42"/>
  </r>
  <r>
    <x v="3"/>
    <x v="11"/>
    <n v="12"/>
    <x v="5"/>
    <d v="2023-03-01T00:00:00"/>
    <n v="4553"/>
    <x v="43"/>
  </r>
  <r>
    <x v="3"/>
    <x v="11"/>
    <n v="12"/>
    <x v="5"/>
    <d v="2023-03-01T00:00:00"/>
    <n v="5028"/>
    <x v="44"/>
  </r>
  <r>
    <x v="3"/>
    <x v="11"/>
    <n v="12"/>
    <x v="5"/>
    <d v="2023-03-01T00:00:00"/>
    <n v="4963"/>
    <x v="45"/>
  </r>
  <r>
    <x v="3"/>
    <x v="11"/>
    <n v="12"/>
    <x v="5"/>
    <d v="2023-03-01T00:00:00"/>
    <n v="1449"/>
    <x v="46"/>
  </r>
  <r>
    <x v="3"/>
    <x v="11"/>
    <n v="12"/>
    <x v="5"/>
    <d v="2023-03-01T00:00:00"/>
    <n v="3725"/>
    <x v="47"/>
  </r>
  <r>
    <x v="3"/>
    <x v="11"/>
    <n v="12"/>
    <x v="5"/>
    <d v="2023-03-01T00:00:00"/>
    <n v="3329"/>
    <x v="48"/>
  </r>
  <r>
    <x v="3"/>
    <x v="11"/>
    <n v="12"/>
    <x v="5"/>
    <d v="2023-03-01T00:00:00"/>
    <n v="47419"/>
    <x v="12"/>
  </r>
  <r>
    <x v="3"/>
    <x v="11"/>
    <n v="13"/>
    <x v="6"/>
    <d v="2023-03-01T00:00:00"/>
    <n v="0"/>
    <x v="37"/>
  </r>
  <r>
    <x v="3"/>
    <x v="11"/>
    <n v="13"/>
    <x v="6"/>
    <d v="2023-03-01T00:00:00"/>
    <n v="0"/>
    <x v="38"/>
  </r>
  <r>
    <x v="3"/>
    <x v="11"/>
    <n v="13"/>
    <x v="6"/>
    <d v="2023-03-01T00:00:00"/>
    <n v="0"/>
    <x v="39"/>
  </r>
  <r>
    <x v="3"/>
    <x v="11"/>
    <n v="13"/>
    <x v="6"/>
    <d v="2023-03-01T00:00:00"/>
    <n v="0"/>
    <x v="40"/>
  </r>
  <r>
    <x v="3"/>
    <x v="11"/>
    <n v="13"/>
    <x v="6"/>
    <d v="2023-03-01T00:00:00"/>
    <n v="0"/>
    <x v="41"/>
  </r>
  <r>
    <x v="3"/>
    <x v="11"/>
    <n v="13"/>
    <x v="6"/>
    <d v="2023-03-01T00:00:00"/>
    <n v="0"/>
    <x v="42"/>
  </r>
  <r>
    <x v="3"/>
    <x v="11"/>
    <n v="13"/>
    <x v="6"/>
    <d v="2023-03-01T00:00:00"/>
    <n v="0"/>
    <x v="43"/>
  </r>
  <r>
    <x v="3"/>
    <x v="11"/>
    <n v="13"/>
    <x v="6"/>
    <d v="2023-03-01T00:00:00"/>
    <n v="0"/>
    <x v="44"/>
  </r>
  <r>
    <x v="3"/>
    <x v="11"/>
    <n v="13"/>
    <x v="6"/>
    <d v="2023-03-01T00:00:00"/>
    <n v="0"/>
    <x v="45"/>
  </r>
  <r>
    <x v="3"/>
    <x v="11"/>
    <n v="13"/>
    <x v="6"/>
    <d v="2023-03-01T00:00:00"/>
    <n v="0"/>
    <x v="46"/>
  </r>
  <r>
    <x v="3"/>
    <x v="11"/>
    <n v="13"/>
    <x v="6"/>
    <d v="2023-03-01T00:00:00"/>
    <n v="0"/>
    <x v="47"/>
  </r>
  <r>
    <x v="3"/>
    <x v="11"/>
    <n v="13"/>
    <x v="6"/>
    <d v="2023-03-01T00:00:00"/>
    <n v="0"/>
    <x v="48"/>
  </r>
  <r>
    <x v="3"/>
    <x v="11"/>
    <n v="13"/>
    <x v="6"/>
    <d v="2023-03-01T00:00:00"/>
    <n v="0"/>
    <x v="12"/>
  </r>
  <r>
    <x v="3"/>
    <x v="11"/>
    <n v="14"/>
    <x v="7"/>
    <d v="2023-03-01T00:00:00"/>
    <n v="0"/>
    <x v="37"/>
  </r>
  <r>
    <x v="3"/>
    <x v="11"/>
    <n v="14"/>
    <x v="7"/>
    <d v="2023-03-01T00:00:00"/>
    <n v="0"/>
    <x v="38"/>
  </r>
  <r>
    <x v="3"/>
    <x v="11"/>
    <n v="14"/>
    <x v="7"/>
    <d v="2023-03-01T00:00:00"/>
    <n v="0"/>
    <x v="39"/>
  </r>
  <r>
    <x v="3"/>
    <x v="11"/>
    <n v="14"/>
    <x v="7"/>
    <d v="2023-03-01T00:00:00"/>
    <n v="0"/>
    <x v="40"/>
  </r>
  <r>
    <x v="3"/>
    <x v="11"/>
    <n v="14"/>
    <x v="7"/>
    <d v="2023-03-01T00:00:00"/>
    <n v="0"/>
    <x v="41"/>
  </r>
  <r>
    <x v="3"/>
    <x v="11"/>
    <n v="14"/>
    <x v="7"/>
    <d v="2023-03-01T00:00:00"/>
    <n v="0"/>
    <x v="42"/>
  </r>
  <r>
    <x v="3"/>
    <x v="11"/>
    <n v="14"/>
    <x v="7"/>
    <d v="2023-03-01T00:00:00"/>
    <n v="0"/>
    <x v="43"/>
  </r>
  <r>
    <x v="3"/>
    <x v="11"/>
    <n v="14"/>
    <x v="7"/>
    <d v="2023-03-01T00:00:00"/>
    <n v="0"/>
    <x v="44"/>
  </r>
  <r>
    <x v="3"/>
    <x v="11"/>
    <n v="14"/>
    <x v="7"/>
    <d v="2023-03-01T00:00:00"/>
    <n v="0"/>
    <x v="45"/>
  </r>
  <r>
    <x v="3"/>
    <x v="11"/>
    <n v="14"/>
    <x v="7"/>
    <d v="2023-03-01T00:00:00"/>
    <n v="0"/>
    <x v="46"/>
  </r>
  <r>
    <x v="3"/>
    <x v="11"/>
    <n v="14"/>
    <x v="7"/>
    <d v="2023-03-01T00:00:00"/>
    <n v="0"/>
    <x v="47"/>
  </r>
  <r>
    <x v="3"/>
    <x v="11"/>
    <n v="14"/>
    <x v="7"/>
    <d v="2023-03-01T00:00:00"/>
    <n v="0"/>
    <x v="48"/>
  </r>
  <r>
    <x v="3"/>
    <x v="11"/>
    <n v="14"/>
    <x v="7"/>
    <d v="2023-03-01T00:00:00"/>
    <n v="0"/>
    <x v="12"/>
  </r>
  <r>
    <x v="3"/>
    <x v="11"/>
    <n v="15"/>
    <x v="8"/>
    <d v="2023-03-01T00:00:00"/>
    <n v="0"/>
    <x v="37"/>
  </r>
  <r>
    <x v="3"/>
    <x v="11"/>
    <n v="15"/>
    <x v="8"/>
    <d v="2023-03-01T00:00:00"/>
    <n v="0"/>
    <x v="38"/>
  </r>
  <r>
    <x v="3"/>
    <x v="11"/>
    <n v="15"/>
    <x v="8"/>
    <d v="2023-03-01T00:00:00"/>
    <n v="0"/>
    <x v="39"/>
  </r>
  <r>
    <x v="3"/>
    <x v="11"/>
    <n v="15"/>
    <x v="8"/>
    <d v="2023-03-01T00:00:00"/>
    <n v="0"/>
    <x v="40"/>
  </r>
  <r>
    <x v="3"/>
    <x v="11"/>
    <n v="15"/>
    <x v="8"/>
    <d v="2023-03-01T00:00:00"/>
    <n v="0"/>
    <x v="41"/>
  </r>
  <r>
    <x v="3"/>
    <x v="11"/>
    <n v="15"/>
    <x v="8"/>
    <d v="2023-03-01T00:00:00"/>
    <n v="0"/>
    <x v="42"/>
  </r>
  <r>
    <x v="3"/>
    <x v="11"/>
    <n v="15"/>
    <x v="8"/>
    <d v="2023-03-01T00:00:00"/>
    <n v="0"/>
    <x v="43"/>
  </r>
  <r>
    <x v="3"/>
    <x v="11"/>
    <n v="15"/>
    <x v="8"/>
    <d v="2023-03-01T00:00:00"/>
    <n v="0"/>
    <x v="44"/>
  </r>
  <r>
    <x v="3"/>
    <x v="11"/>
    <n v="15"/>
    <x v="8"/>
    <d v="2023-03-01T00:00:00"/>
    <n v="0"/>
    <x v="45"/>
  </r>
  <r>
    <x v="3"/>
    <x v="11"/>
    <n v="15"/>
    <x v="8"/>
    <d v="2023-03-01T00:00:00"/>
    <n v="0"/>
    <x v="46"/>
  </r>
  <r>
    <x v="3"/>
    <x v="11"/>
    <n v="15"/>
    <x v="8"/>
    <d v="2023-03-01T00:00:00"/>
    <n v="0"/>
    <x v="47"/>
  </r>
  <r>
    <x v="3"/>
    <x v="11"/>
    <n v="15"/>
    <x v="8"/>
    <d v="2023-03-01T00:00:00"/>
    <n v="0"/>
    <x v="48"/>
  </r>
  <r>
    <x v="3"/>
    <x v="11"/>
    <n v="15"/>
    <x v="8"/>
    <d v="2023-03-01T00:00:00"/>
    <n v="0"/>
    <x v="12"/>
  </r>
  <r>
    <x v="3"/>
    <x v="12"/>
    <n v="7"/>
    <x v="0"/>
    <d v="2023-03-01T00:00:00"/>
    <n v="22035"/>
    <x v="37"/>
  </r>
  <r>
    <x v="3"/>
    <x v="12"/>
    <n v="7"/>
    <x v="0"/>
    <d v="2023-03-01T00:00:00"/>
    <n v="22324"/>
    <x v="38"/>
  </r>
  <r>
    <x v="3"/>
    <x v="12"/>
    <n v="7"/>
    <x v="0"/>
    <d v="2023-03-01T00:00:00"/>
    <n v="22165"/>
    <x v="39"/>
  </r>
  <r>
    <x v="3"/>
    <x v="12"/>
    <n v="7"/>
    <x v="0"/>
    <d v="2023-03-01T00:00:00"/>
    <n v="22742"/>
    <x v="40"/>
  </r>
  <r>
    <x v="3"/>
    <x v="12"/>
    <n v="7"/>
    <x v="0"/>
    <d v="2023-03-01T00:00:00"/>
    <n v="22760"/>
    <x v="41"/>
  </r>
  <r>
    <x v="3"/>
    <x v="12"/>
    <n v="7"/>
    <x v="0"/>
    <d v="2023-03-01T00:00:00"/>
    <n v="26661"/>
    <x v="42"/>
  </r>
  <r>
    <x v="3"/>
    <x v="12"/>
    <n v="7"/>
    <x v="0"/>
    <d v="2023-03-01T00:00:00"/>
    <n v="23518"/>
    <x v="43"/>
  </r>
  <r>
    <x v="3"/>
    <x v="12"/>
    <n v="7"/>
    <x v="0"/>
    <d v="2023-03-01T00:00:00"/>
    <n v="23471"/>
    <x v="44"/>
  </r>
  <r>
    <x v="3"/>
    <x v="12"/>
    <n v="7"/>
    <x v="0"/>
    <d v="2023-03-01T00:00:00"/>
    <n v="23639"/>
    <x v="45"/>
  </r>
  <r>
    <x v="3"/>
    <x v="12"/>
    <n v="7"/>
    <x v="0"/>
    <d v="2023-03-01T00:00:00"/>
    <n v="22819"/>
    <x v="46"/>
  </r>
  <r>
    <x v="3"/>
    <x v="12"/>
    <n v="7"/>
    <x v="0"/>
    <d v="2023-03-01T00:00:00"/>
    <n v="23450"/>
    <x v="47"/>
  </r>
  <r>
    <x v="3"/>
    <x v="12"/>
    <n v="7"/>
    <x v="0"/>
    <d v="2023-03-01T00:00:00"/>
    <n v="31696"/>
    <x v="48"/>
  </r>
  <r>
    <x v="3"/>
    <x v="12"/>
    <n v="7"/>
    <x v="0"/>
    <d v="2023-03-01T00:00:00"/>
    <n v="287280"/>
    <x v="12"/>
  </r>
  <r>
    <x v="3"/>
    <x v="12"/>
    <n v="8"/>
    <x v="1"/>
    <d v="2023-03-01T00:00:00"/>
    <n v="0"/>
    <x v="37"/>
  </r>
  <r>
    <x v="3"/>
    <x v="12"/>
    <n v="8"/>
    <x v="1"/>
    <d v="2023-03-01T00:00:00"/>
    <n v="0"/>
    <x v="38"/>
  </r>
  <r>
    <x v="3"/>
    <x v="12"/>
    <n v="8"/>
    <x v="1"/>
    <d v="2023-03-01T00:00:00"/>
    <n v="0"/>
    <x v="39"/>
  </r>
  <r>
    <x v="3"/>
    <x v="12"/>
    <n v="8"/>
    <x v="1"/>
    <d v="2023-03-01T00:00:00"/>
    <n v="0"/>
    <x v="40"/>
  </r>
  <r>
    <x v="3"/>
    <x v="12"/>
    <n v="8"/>
    <x v="1"/>
    <d v="2023-03-01T00:00:00"/>
    <n v="0"/>
    <x v="41"/>
  </r>
  <r>
    <x v="3"/>
    <x v="12"/>
    <n v="8"/>
    <x v="1"/>
    <d v="2023-03-01T00:00:00"/>
    <n v="0"/>
    <x v="42"/>
  </r>
  <r>
    <x v="3"/>
    <x v="12"/>
    <n v="8"/>
    <x v="1"/>
    <d v="2023-03-01T00:00:00"/>
    <n v="0"/>
    <x v="43"/>
  </r>
  <r>
    <x v="3"/>
    <x v="12"/>
    <n v="8"/>
    <x v="1"/>
    <d v="2023-03-01T00:00:00"/>
    <n v="0"/>
    <x v="44"/>
  </r>
  <r>
    <x v="3"/>
    <x v="12"/>
    <n v="8"/>
    <x v="1"/>
    <d v="2023-03-01T00:00:00"/>
    <n v="0"/>
    <x v="45"/>
  </r>
  <r>
    <x v="3"/>
    <x v="12"/>
    <n v="8"/>
    <x v="1"/>
    <d v="2023-03-01T00:00:00"/>
    <n v="0"/>
    <x v="46"/>
  </r>
  <r>
    <x v="3"/>
    <x v="12"/>
    <n v="8"/>
    <x v="1"/>
    <d v="2023-03-01T00:00:00"/>
    <n v="0"/>
    <x v="47"/>
  </r>
  <r>
    <x v="3"/>
    <x v="12"/>
    <n v="8"/>
    <x v="1"/>
    <d v="2023-03-01T00:00:00"/>
    <n v="0"/>
    <x v="48"/>
  </r>
  <r>
    <x v="3"/>
    <x v="12"/>
    <n v="8"/>
    <x v="1"/>
    <d v="2023-03-01T00:00:00"/>
    <n v="0"/>
    <x v="12"/>
  </r>
  <r>
    <x v="3"/>
    <x v="12"/>
    <n v="9"/>
    <x v="2"/>
    <d v="2023-03-01T00:00:00"/>
    <n v="0"/>
    <x v="37"/>
  </r>
  <r>
    <x v="3"/>
    <x v="12"/>
    <n v="9"/>
    <x v="2"/>
    <d v="2023-03-01T00:00:00"/>
    <n v="0"/>
    <x v="38"/>
  </r>
  <r>
    <x v="3"/>
    <x v="12"/>
    <n v="9"/>
    <x v="2"/>
    <d v="2023-03-01T00:00:00"/>
    <n v="0"/>
    <x v="39"/>
  </r>
  <r>
    <x v="3"/>
    <x v="12"/>
    <n v="9"/>
    <x v="2"/>
    <d v="2023-03-01T00:00:00"/>
    <n v="0"/>
    <x v="40"/>
  </r>
  <r>
    <x v="3"/>
    <x v="12"/>
    <n v="9"/>
    <x v="2"/>
    <d v="2023-03-01T00:00:00"/>
    <n v="0"/>
    <x v="41"/>
  </r>
  <r>
    <x v="3"/>
    <x v="12"/>
    <n v="9"/>
    <x v="2"/>
    <d v="2023-03-01T00:00:00"/>
    <n v="0"/>
    <x v="42"/>
  </r>
  <r>
    <x v="3"/>
    <x v="12"/>
    <n v="9"/>
    <x v="2"/>
    <d v="2023-03-01T00:00:00"/>
    <n v="0"/>
    <x v="43"/>
  </r>
  <r>
    <x v="3"/>
    <x v="12"/>
    <n v="9"/>
    <x v="2"/>
    <d v="2023-03-01T00:00:00"/>
    <n v="0"/>
    <x v="44"/>
  </r>
  <r>
    <x v="3"/>
    <x v="12"/>
    <n v="9"/>
    <x v="2"/>
    <d v="2023-03-01T00:00:00"/>
    <n v="0"/>
    <x v="45"/>
  </r>
  <r>
    <x v="3"/>
    <x v="12"/>
    <n v="9"/>
    <x v="2"/>
    <d v="2023-03-01T00:00:00"/>
    <n v="0"/>
    <x v="46"/>
  </r>
  <r>
    <x v="3"/>
    <x v="12"/>
    <n v="9"/>
    <x v="2"/>
    <d v="2023-03-01T00:00:00"/>
    <n v="0"/>
    <x v="47"/>
  </r>
  <r>
    <x v="3"/>
    <x v="12"/>
    <n v="9"/>
    <x v="2"/>
    <d v="2023-03-01T00:00:00"/>
    <n v="0"/>
    <x v="48"/>
  </r>
  <r>
    <x v="3"/>
    <x v="12"/>
    <n v="9"/>
    <x v="2"/>
    <d v="2023-03-01T00:00:00"/>
    <n v="0"/>
    <x v="12"/>
  </r>
  <r>
    <x v="3"/>
    <x v="12"/>
    <n v="10"/>
    <x v="3"/>
    <d v="2023-03-01T00:00:00"/>
    <n v="15215"/>
    <x v="37"/>
  </r>
  <r>
    <x v="3"/>
    <x v="12"/>
    <n v="10"/>
    <x v="3"/>
    <d v="2023-03-01T00:00:00"/>
    <n v="15544"/>
    <x v="38"/>
  </r>
  <r>
    <x v="3"/>
    <x v="12"/>
    <n v="10"/>
    <x v="3"/>
    <d v="2023-03-01T00:00:00"/>
    <n v="15287"/>
    <x v="39"/>
  </r>
  <r>
    <x v="3"/>
    <x v="12"/>
    <n v="10"/>
    <x v="3"/>
    <d v="2023-03-01T00:00:00"/>
    <n v="15621"/>
    <x v="40"/>
  </r>
  <r>
    <x v="3"/>
    <x v="12"/>
    <n v="10"/>
    <x v="3"/>
    <d v="2023-03-01T00:00:00"/>
    <n v="15106"/>
    <x v="41"/>
  </r>
  <r>
    <x v="3"/>
    <x v="12"/>
    <n v="10"/>
    <x v="3"/>
    <d v="2023-03-01T00:00:00"/>
    <n v="19886"/>
    <x v="42"/>
  </r>
  <r>
    <x v="3"/>
    <x v="12"/>
    <n v="10"/>
    <x v="3"/>
    <d v="2023-03-01T00:00:00"/>
    <n v="15832"/>
    <x v="43"/>
  </r>
  <r>
    <x v="3"/>
    <x v="12"/>
    <n v="10"/>
    <x v="3"/>
    <d v="2023-03-01T00:00:00"/>
    <n v="15913"/>
    <x v="44"/>
  </r>
  <r>
    <x v="3"/>
    <x v="12"/>
    <n v="10"/>
    <x v="3"/>
    <d v="2023-03-01T00:00:00"/>
    <n v="16695"/>
    <x v="45"/>
  </r>
  <r>
    <x v="3"/>
    <x v="12"/>
    <n v="10"/>
    <x v="3"/>
    <d v="2023-03-01T00:00:00"/>
    <n v="16250"/>
    <x v="46"/>
  </r>
  <r>
    <x v="3"/>
    <x v="12"/>
    <n v="10"/>
    <x v="3"/>
    <d v="2023-03-01T00:00:00"/>
    <n v="16171"/>
    <x v="47"/>
  </r>
  <r>
    <x v="3"/>
    <x v="12"/>
    <n v="10"/>
    <x v="3"/>
    <d v="2023-03-01T00:00:00"/>
    <n v="20337"/>
    <x v="48"/>
  </r>
  <r>
    <x v="3"/>
    <x v="12"/>
    <n v="10"/>
    <x v="3"/>
    <d v="2023-03-01T00:00:00"/>
    <n v="197857"/>
    <x v="12"/>
  </r>
  <r>
    <x v="3"/>
    <x v="12"/>
    <n v="11"/>
    <x v="4"/>
    <d v="2023-03-01T00:00:00"/>
    <n v="3728"/>
    <x v="37"/>
  </r>
  <r>
    <x v="3"/>
    <x v="12"/>
    <n v="11"/>
    <x v="4"/>
    <d v="2023-03-01T00:00:00"/>
    <n v="3726"/>
    <x v="38"/>
  </r>
  <r>
    <x v="3"/>
    <x v="12"/>
    <n v="11"/>
    <x v="4"/>
    <d v="2023-03-01T00:00:00"/>
    <n v="3682"/>
    <x v="39"/>
  </r>
  <r>
    <x v="3"/>
    <x v="12"/>
    <n v="11"/>
    <x v="4"/>
    <d v="2023-03-01T00:00:00"/>
    <n v="4019"/>
    <x v="40"/>
  </r>
  <r>
    <x v="3"/>
    <x v="12"/>
    <n v="11"/>
    <x v="4"/>
    <d v="2023-03-01T00:00:00"/>
    <n v="4022"/>
    <x v="41"/>
  </r>
  <r>
    <x v="3"/>
    <x v="12"/>
    <n v="11"/>
    <x v="4"/>
    <d v="2023-03-01T00:00:00"/>
    <n v="3753"/>
    <x v="42"/>
  </r>
  <r>
    <x v="3"/>
    <x v="12"/>
    <n v="11"/>
    <x v="4"/>
    <d v="2023-03-01T00:00:00"/>
    <n v="4146"/>
    <x v="43"/>
  </r>
  <r>
    <x v="3"/>
    <x v="12"/>
    <n v="11"/>
    <x v="4"/>
    <d v="2023-03-01T00:00:00"/>
    <n v="4417"/>
    <x v="44"/>
  </r>
  <r>
    <x v="3"/>
    <x v="12"/>
    <n v="11"/>
    <x v="4"/>
    <d v="2023-03-01T00:00:00"/>
    <n v="4050"/>
    <x v="45"/>
  </r>
  <r>
    <x v="3"/>
    <x v="12"/>
    <n v="11"/>
    <x v="4"/>
    <d v="2023-03-01T00:00:00"/>
    <n v="3408"/>
    <x v="46"/>
  </r>
  <r>
    <x v="3"/>
    <x v="12"/>
    <n v="11"/>
    <x v="4"/>
    <d v="2023-03-01T00:00:00"/>
    <n v="4256"/>
    <x v="47"/>
  </r>
  <r>
    <x v="3"/>
    <x v="12"/>
    <n v="11"/>
    <x v="4"/>
    <d v="2023-03-01T00:00:00"/>
    <n v="4142"/>
    <x v="48"/>
  </r>
  <r>
    <x v="3"/>
    <x v="12"/>
    <n v="11"/>
    <x v="4"/>
    <d v="2023-03-01T00:00:00"/>
    <n v="47349"/>
    <x v="12"/>
  </r>
  <r>
    <x v="3"/>
    <x v="12"/>
    <n v="12"/>
    <x v="5"/>
    <d v="2023-03-01T00:00:00"/>
    <n v="33"/>
    <x v="37"/>
  </r>
  <r>
    <x v="3"/>
    <x v="12"/>
    <n v="12"/>
    <x v="5"/>
    <d v="2023-03-01T00:00:00"/>
    <n v="33"/>
    <x v="38"/>
  </r>
  <r>
    <x v="3"/>
    <x v="12"/>
    <n v="12"/>
    <x v="5"/>
    <d v="2023-03-01T00:00:00"/>
    <n v="44"/>
    <x v="39"/>
  </r>
  <r>
    <x v="3"/>
    <x v="12"/>
    <n v="12"/>
    <x v="5"/>
    <d v="2023-03-01T00:00:00"/>
    <n v="33"/>
    <x v="40"/>
  </r>
  <r>
    <x v="3"/>
    <x v="12"/>
    <n v="12"/>
    <x v="5"/>
    <d v="2023-03-01T00:00:00"/>
    <n v="45"/>
    <x v="41"/>
  </r>
  <r>
    <x v="3"/>
    <x v="12"/>
    <n v="12"/>
    <x v="5"/>
    <d v="2023-03-01T00:00:00"/>
    <n v="49"/>
    <x v="42"/>
  </r>
  <r>
    <x v="3"/>
    <x v="12"/>
    <n v="12"/>
    <x v="5"/>
    <d v="2023-03-01T00:00:00"/>
    <n v="40"/>
    <x v="43"/>
  </r>
  <r>
    <x v="3"/>
    <x v="12"/>
    <n v="12"/>
    <x v="5"/>
    <d v="2023-03-01T00:00:00"/>
    <n v="35"/>
    <x v="44"/>
  </r>
  <r>
    <x v="3"/>
    <x v="12"/>
    <n v="12"/>
    <x v="5"/>
    <d v="2023-03-01T00:00:00"/>
    <n v="35"/>
    <x v="45"/>
  </r>
  <r>
    <x v="3"/>
    <x v="12"/>
    <n v="12"/>
    <x v="5"/>
    <d v="2023-03-01T00:00:00"/>
    <n v="42"/>
    <x v="46"/>
  </r>
  <r>
    <x v="3"/>
    <x v="12"/>
    <n v="12"/>
    <x v="5"/>
    <d v="2023-03-01T00:00:00"/>
    <n v="50"/>
    <x v="47"/>
  </r>
  <r>
    <x v="3"/>
    <x v="12"/>
    <n v="12"/>
    <x v="5"/>
    <d v="2023-03-01T00:00:00"/>
    <n v="256"/>
    <x v="48"/>
  </r>
  <r>
    <x v="3"/>
    <x v="12"/>
    <n v="12"/>
    <x v="5"/>
    <d v="2023-03-01T00:00:00"/>
    <n v="695"/>
    <x v="12"/>
  </r>
  <r>
    <x v="3"/>
    <x v="12"/>
    <n v="13"/>
    <x v="6"/>
    <d v="2023-03-01T00:00:00"/>
    <n v="0"/>
    <x v="37"/>
  </r>
  <r>
    <x v="3"/>
    <x v="12"/>
    <n v="13"/>
    <x v="6"/>
    <d v="2023-03-01T00:00:00"/>
    <n v="0"/>
    <x v="38"/>
  </r>
  <r>
    <x v="3"/>
    <x v="12"/>
    <n v="13"/>
    <x v="6"/>
    <d v="2023-03-01T00:00:00"/>
    <n v="0"/>
    <x v="39"/>
  </r>
  <r>
    <x v="3"/>
    <x v="12"/>
    <n v="13"/>
    <x v="6"/>
    <d v="2023-03-01T00:00:00"/>
    <n v="0"/>
    <x v="40"/>
  </r>
  <r>
    <x v="3"/>
    <x v="12"/>
    <n v="13"/>
    <x v="6"/>
    <d v="2023-03-01T00:00:00"/>
    <n v="0"/>
    <x v="41"/>
  </r>
  <r>
    <x v="3"/>
    <x v="12"/>
    <n v="13"/>
    <x v="6"/>
    <d v="2023-03-01T00:00:00"/>
    <n v="0"/>
    <x v="42"/>
  </r>
  <r>
    <x v="3"/>
    <x v="12"/>
    <n v="13"/>
    <x v="6"/>
    <d v="2023-03-01T00:00:00"/>
    <n v="0"/>
    <x v="43"/>
  </r>
  <r>
    <x v="3"/>
    <x v="12"/>
    <n v="13"/>
    <x v="6"/>
    <d v="2023-03-01T00:00:00"/>
    <n v="0"/>
    <x v="44"/>
  </r>
  <r>
    <x v="3"/>
    <x v="12"/>
    <n v="13"/>
    <x v="6"/>
    <d v="2023-03-01T00:00:00"/>
    <n v="0"/>
    <x v="45"/>
  </r>
  <r>
    <x v="3"/>
    <x v="12"/>
    <n v="13"/>
    <x v="6"/>
    <d v="2023-03-01T00:00:00"/>
    <n v="0"/>
    <x v="46"/>
  </r>
  <r>
    <x v="3"/>
    <x v="12"/>
    <n v="13"/>
    <x v="6"/>
    <d v="2023-03-01T00:00:00"/>
    <n v="0"/>
    <x v="47"/>
  </r>
  <r>
    <x v="3"/>
    <x v="12"/>
    <n v="13"/>
    <x v="6"/>
    <d v="2023-03-01T00:00:00"/>
    <n v="0"/>
    <x v="48"/>
  </r>
  <r>
    <x v="3"/>
    <x v="12"/>
    <n v="13"/>
    <x v="6"/>
    <d v="2023-03-01T00:00:00"/>
    <n v="0"/>
    <x v="12"/>
  </r>
  <r>
    <x v="3"/>
    <x v="12"/>
    <n v="14"/>
    <x v="7"/>
    <d v="2023-03-01T00:00:00"/>
    <n v="0"/>
    <x v="37"/>
  </r>
  <r>
    <x v="3"/>
    <x v="12"/>
    <n v="14"/>
    <x v="7"/>
    <d v="2023-03-01T00:00:00"/>
    <n v="0"/>
    <x v="38"/>
  </r>
  <r>
    <x v="3"/>
    <x v="12"/>
    <n v="14"/>
    <x v="7"/>
    <d v="2023-03-01T00:00:00"/>
    <n v="0"/>
    <x v="39"/>
  </r>
  <r>
    <x v="3"/>
    <x v="12"/>
    <n v="14"/>
    <x v="7"/>
    <d v="2023-03-01T00:00:00"/>
    <n v="0"/>
    <x v="40"/>
  </r>
  <r>
    <x v="3"/>
    <x v="12"/>
    <n v="14"/>
    <x v="7"/>
    <d v="2023-03-01T00:00:00"/>
    <n v="0"/>
    <x v="41"/>
  </r>
  <r>
    <x v="3"/>
    <x v="12"/>
    <n v="14"/>
    <x v="7"/>
    <d v="2023-03-01T00:00:00"/>
    <n v="0"/>
    <x v="42"/>
  </r>
  <r>
    <x v="3"/>
    <x v="12"/>
    <n v="14"/>
    <x v="7"/>
    <d v="2023-03-01T00:00:00"/>
    <n v="0"/>
    <x v="43"/>
  </r>
  <r>
    <x v="3"/>
    <x v="12"/>
    <n v="14"/>
    <x v="7"/>
    <d v="2023-03-01T00:00:00"/>
    <n v="0"/>
    <x v="44"/>
  </r>
  <r>
    <x v="3"/>
    <x v="12"/>
    <n v="14"/>
    <x v="7"/>
    <d v="2023-03-01T00:00:00"/>
    <n v="0"/>
    <x v="45"/>
  </r>
  <r>
    <x v="3"/>
    <x v="12"/>
    <n v="14"/>
    <x v="7"/>
    <d v="2023-03-01T00:00:00"/>
    <n v="0"/>
    <x v="46"/>
  </r>
  <r>
    <x v="3"/>
    <x v="12"/>
    <n v="14"/>
    <x v="7"/>
    <d v="2023-03-01T00:00:00"/>
    <n v="0"/>
    <x v="47"/>
  </r>
  <r>
    <x v="3"/>
    <x v="12"/>
    <n v="14"/>
    <x v="7"/>
    <d v="2023-03-01T00:00:00"/>
    <n v="0"/>
    <x v="48"/>
  </r>
  <r>
    <x v="3"/>
    <x v="12"/>
    <n v="14"/>
    <x v="7"/>
    <d v="2023-03-01T00:00:00"/>
    <n v="0"/>
    <x v="12"/>
  </r>
  <r>
    <x v="3"/>
    <x v="12"/>
    <n v="15"/>
    <x v="8"/>
    <d v="2023-03-01T00:00:00"/>
    <n v="0"/>
    <x v="37"/>
  </r>
  <r>
    <x v="3"/>
    <x v="12"/>
    <n v="15"/>
    <x v="8"/>
    <d v="2023-03-01T00:00:00"/>
    <n v="0"/>
    <x v="38"/>
  </r>
  <r>
    <x v="3"/>
    <x v="12"/>
    <n v="15"/>
    <x v="8"/>
    <d v="2023-03-01T00:00:00"/>
    <n v="0"/>
    <x v="39"/>
  </r>
  <r>
    <x v="3"/>
    <x v="12"/>
    <n v="15"/>
    <x v="8"/>
    <d v="2023-03-01T00:00:00"/>
    <n v="0"/>
    <x v="40"/>
  </r>
  <r>
    <x v="3"/>
    <x v="12"/>
    <n v="15"/>
    <x v="8"/>
    <d v="2023-03-01T00:00:00"/>
    <n v="0"/>
    <x v="41"/>
  </r>
  <r>
    <x v="3"/>
    <x v="12"/>
    <n v="15"/>
    <x v="8"/>
    <d v="2023-03-01T00:00:00"/>
    <n v="0"/>
    <x v="42"/>
  </r>
  <r>
    <x v="3"/>
    <x v="12"/>
    <n v="15"/>
    <x v="8"/>
    <d v="2023-03-01T00:00:00"/>
    <n v="0"/>
    <x v="43"/>
  </r>
  <r>
    <x v="3"/>
    <x v="12"/>
    <n v="15"/>
    <x v="8"/>
    <d v="2023-03-01T00:00:00"/>
    <n v="0"/>
    <x v="44"/>
  </r>
  <r>
    <x v="3"/>
    <x v="12"/>
    <n v="15"/>
    <x v="8"/>
    <d v="2023-03-01T00:00:00"/>
    <n v="0"/>
    <x v="45"/>
  </r>
  <r>
    <x v="3"/>
    <x v="12"/>
    <n v="15"/>
    <x v="8"/>
    <d v="2023-03-01T00:00:00"/>
    <n v="0"/>
    <x v="46"/>
  </r>
  <r>
    <x v="3"/>
    <x v="12"/>
    <n v="15"/>
    <x v="8"/>
    <d v="2023-03-01T00:00:00"/>
    <n v="0"/>
    <x v="47"/>
  </r>
  <r>
    <x v="3"/>
    <x v="12"/>
    <n v="15"/>
    <x v="8"/>
    <d v="2023-03-01T00:00:00"/>
    <n v="0"/>
    <x v="48"/>
  </r>
  <r>
    <x v="3"/>
    <x v="12"/>
    <n v="15"/>
    <x v="8"/>
    <d v="2023-03-01T00:00:00"/>
    <n v="0"/>
    <x v="12"/>
  </r>
  <r>
    <x v="3"/>
    <x v="13"/>
    <n v="7"/>
    <x v="0"/>
    <d v="2023-03-01T00:00:00"/>
    <n v="81978"/>
    <x v="37"/>
  </r>
  <r>
    <x v="3"/>
    <x v="13"/>
    <n v="7"/>
    <x v="0"/>
    <d v="2023-03-01T00:00:00"/>
    <n v="80805"/>
    <x v="38"/>
  </r>
  <r>
    <x v="3"/>
    <x v="13"/>
    <n v="7"/>
    <x v="0"/>
    <d v="2023-03-01T00:00:00"/>
    <n v="83133"/>
    <x v="39"/>
  </r>
  <r>
    <x v="3"/>
    <x v="13"/>
    <n v="7"/>
    <x v="0"/>
    <d v="2023-03-01T00:00:00"/>
    <n v="79602"/>
    <x v="40"/>
  </r>
  <r>
    <x v="3"/>
    <x v="13"/>
    <n v="7"/>
    <x v="0"/>
    <d v="2023-03-01T00:00:00"/>
    <n v="82914"/>
    <x v="41"/>
  </r>
  <r>
    <x v="3"/>
    <x v="13"/>
    <n v="7"/>
    <x v="0"/>
    <d v="2023-03-01T00:00:00"/>
    <n v="82400"/>
    <x v="42"/>
  </r>
  <r>
    <x v="3"/>
    <x v="13"/>
    <n v="7"/>
    <x v="0"/>
    <d v="2023-03-01T00:00:00"/>
    <n v="82313.483999999997"/>
    <x v="43"/>
  </r>
  <r>
    <x v="3"/>
    <x v="13"/>
    <n v="7"/>
    <x v="0"/>
    <d v="2023-03-01T00:00:00"/>
    <n v="83158.2"/>
    <x v="44"/>
  </r>
  <r>
    <x v="3"/>
    <x v="13"/>
    <n v="7"/>
    <x v="0"/>
    <d v="2023-03-01T00:00:00"/>
    <n v="105104.2"/>
    <x v="45"/>
  </r>
  <r>
    <x v="3"/>
    <x v="13"/>
    <n v="7"/>
    <x v="0"/>
    <d v="2023-03-01T00:00:00"/>
    <n v="73760.7"/>
    <x v="46"/>
  </r>
  <r>
    <x v="3"/>
    <x v="13"/>
    <n v="7"/>
    <x v="0"/>
    <d v="2023-03-01T00:00:00"/>
    <n v="110959.7"/>
    <x v="47"/>
  </r>
  <r>
    <x v="3"/>
    <x v="13"/>
    <n v="7"/>
    <x v="0"/>
    <d v="2023-03-01T00:00:00"/>
    <n v="100515.7"/>
    <x v="48"/>
  </r>
  <r>
    <x v="3"/>
    <x v="13"/>
    <n v="7"/>
    <x v="0"/>
    <d v="2023-03-01T00:00:00"/>
    <n v="1046643.9840000001"/>
    <x v="12"/>
  </r>
  <r>
    <x v="3"/>
    <x v="13"/>
    <n v="8"/>
    <x v="1"/>
    <d v="2023-03-01T00:00:00"/>
    <n v="0"/>
    <x v="37"/>
  </r>
  <r>
    <x v="3"/>
    <x v="13"/>
    <n v="8"/>
    <x v="1"/>
    <d v="2023-03-01T00:00:00"/>
    <n v="0"/>
    <x v="38"/>
  </r>
  <r>
    <x v="3"/>
    <x v="13"/>
    <n v="8"/>
    <x v="1"/>
    <d v="2023-03-01T00:00:00"/>
    <n v="0"/>
    <x v="39"/>
  </r>
  <r>
    <x v="3"/>
    <x v="13"/>
    <n v="8"/>
    <x v="1"/>
    <d v="2023-03-01T00:00:00"/>
    <n v="0"/>
    <x v="40"/>
  </r>
  <r>
    <x v="3"/>
    <x v="13"/>
    <n v="8"/>
    <x v="1"/>
    <d v="2023-03-01T00:00:00"/>
    <n v="0"/>
    <x v="41"/>
  </r>
  <r>
    <x v="3"/>
    <x v="13"/>
    <n v="8"/>
    <x v="1"/>
    <d v="2023-03-01T00:00:00"/>
    <n v="0"/>
    <x v="42"/>
  </r>
  <r>
    <x v="3"/>
    <x v="13"/>
    <n v="8"/>
    <x v="1"/>
    <d v="2023-03-01T00:00:00"/>
    <n v="0"/>
    <x v="43"/>
  </r>
  <r>
    <x v="3"/>
    <x v="13"/>
    <n v="8"/>
    <x v="1"/>
    <d v="2023-03-01T00:00:00"/>
    <n v="0"/>
    <x v="44"/>
  </r>
  <r>
    <x v="3"/>
    <x v="13"/>
    <n v="8"/>
    <x v="1"/>
    <d v="2023-03-01T00:00:00"/>
    <n v="0"/>
    <x v="45"/>
  </r>
  <r>
    <x v="3"/>
    <x v="13"/>
    <n v="8"/>
    <x v="1"/>
    <d v="2023-03-01T00:00:00"/>
    <n v="0"/>
    <x v="46"/>
  </r>
  <r>
    <x v="3"/>
    <x v="13"/>
    <n v="8"/>
    <x v="1"/>
    <d v="2023-03-01T00:00:00"/>
    <n v="0"/>
    <x v="47"/>
  </r>
  <r>
    <x v="3"/>
    <x v="13"/>
    <n v="8"/>
    <x v="1"/>
    <d v="2023-03-01T00:00:00"/>
    <n v="0"/>
    <x v="48"/>
  </r>
  <r>
    <x v="3"/>
    <x v="13"/>
    <n v="8"/>
    <x v="1"/>
    <d v="2023-03-01T00:00:00"/>
    <n v="0"/>
    <x v="12"/>
  </r>
  <r>
    <x v="3"/>
    <x v="13"/>
    <n v="9"/>
    <x v="2"/>
    <d v="2023-03-01T00:00:00"/>
    <n v="0"/>
    <x v="37"/>
  </r>
  <r>
    <x v="3"/>
    <x v="13"/>
    <n v="9"/>
    <x v="2"/>
    <d v="2023-03-01T00:00:00"/>
    <n v="0"/>
    <x v="38"/>
  </r>
  <r>
    <x v="3"/>
    <x v="13"/>
    <n v="9"/>
    <x v="2"/>
    <d v="2023-03-01T00:00:00"/>
    <n v="0"/>
    <x v="39"/>
  </r>
  <r>
    <x v="3"/>
    <x v="13"/>
    <n v="9"/>
    <x v="2"/>
    <d v="2023-03-01T00:00:00"/>
    <n v="0"/>
    <x v="40"/>
  </r>
  <r>
    <x v="3"/>
    <x v="13"/>
    <n v="9"/>
    <x v="2"/>
    <d v="2023-03-01T00:00:00"/>
    <n v="0"/>
    <x v="41"/>
  </r>
  <r>
    <x v="3"/>
    <x v="13"/>
    <n v="9"/>
    <x v="2"/>
    <d v="2023-03-01T00:00:00"/>
    <n v="0"/>
    <x v="42"/>
  </r>
  <r>
    <x v="3"/>
    <x v="13"/>
    <n v="9"/>
    <x v="2"/>
    <d v="2023-03-01T00:00:00"/>
    <n v="0"/>
    <x v="43"/>
  </r>
  <r>
    <x v="3"/>
    <x v="13"/>
    <n v="9"/>
    <x v="2"/>
    <d v="2023-03-01T00:00:00"/>
    <n v="0"/>
    <x v="44"/>
  </r>
  <r>
    <x v="3"/>
    <x v="13"/>
    <n v="9"/>
    <x v="2"/>
    <d v="2023-03-01T00:00:00"/>
    <n v="0"/>
    <x v="45"/>
  </r>
  <r>
    <x v="3"/>
    <x v="13"/>
    <n v="9"/>
    <x v="2"/>
    <d v="2023-03-01T00:00:00"/>
    <n v="0"/>
    <x v="46"/>
  </r>
  <r>
    <x v="3"/>
    <x v="13"/>
    <n v="9"/>
    <x v="2"/>
    <d v="2023-03-01T00:00:00"/>
    <n v="0"/>
    <x v="47"/>
  </r>
  <r>
    <x v="3"/>
    <x v="13"/>
    <n v="9"/>
    <x v="2"/>
    <d v="2023-03-01T00:00:00"/>
    <n v="0"/>
    <x v="48"/>
  </r>
  <r>
    <x v="3"/>
    <x v="13"/>
    <n v="9"/>
    <x v="2"/>
    <d v="2023-03-01T00:00:00"/>
    <n v="0"/>
    <x v="12"/>
  </r>
  <r>
    <x v="3"/>
    <x v="13"/>
    <n v="10"/>
    <x v="3"/>
    <d v="2023-03-01T00:00:00"/>
    <n v="592.08007999999995"/>
    <x v="37"/>
  </r>
  <r>
    <x v="3"/>
    <x v="13"/>
    <n v="10"/>
    <x v="3"/>
    <d v="2023-03-01T00:00:00"/>
    <n v="588.31052999999997"/>
    <x v="38"/>
  </r>
  <r>
    <x v="3"/>
    <x v="13"/>
    <n v="10"/>
    <x v="3"/>
    <d v="2023-03-01T00:00:00"/>
    <n v="602.50473999999997"/>
    <x v="39"/>
  </r>
  <r>
    <x v="3"/>
    <x v="13"/>
    <n v="10"/>
    <x v="3"/>
    <d v="2023-03-01T00:00:00"/>
    <n v="587"/>
    <x v="40"/>
  </r>
  <r>
    <x v="3"/>
    <x v="13"/>
    <n v="10"/>
    <x v="3"/>
    <d v="2023-03-01T00:00:00"/>
    <n v="588.12949000000003"/>
    <x v="41"/>
  </r>
  <r>
    <x v="3"/>
    <x v="13"/>
    <n v="10"/>
    <x v="3"/>
    <d v="2023-03-01T00:00:00"/>
    <n v="678.58829000000003"/>
    <x v="42"/>
  </r>
  <r>
    <x v="3"/>
    <x v="13"/>
    <n v="10"/>
    <x v="3"/>
    <d v="2023-03-01T00:00:00"/>
    <n v="601.48599999999999"/>
    <x v="43"/>
  </r>
  <r>
    <x v="3"/>
    <x v="13"/>
    <n v="10"/>
    <x v="3"/>
    <d v="2023-03-01T00:00:00"/>
    <n v="578.55399999999997"/>
    <x v="44"/>
  </r>
  <r>
    <x v="3"/>
    <x v="13"/>
    <n v="10"/>
    <x v="3"/>
    <d v="2023-03-01T00:00:00"/>
    <n v="576.54600000000005"/>
    <x v="45"/>
  </r>
  <r>
    <x v="3"/>
    <x v="13"/>
    <n v="10"/>
    <x v="3"/>
    <d v="2023-03-01T00:00:00"/>
    <n v="580.15899999999999"/>
    <x v="46"/>
  </r>
  <r>
    <x v="3"/>
    <x v="13"/>
    <n v="10"/>
    <x v="3"/>
    <d v="2023-03-01T00:00:00"/>
    <n v="567.11099999999999"/>
    <x v="47"/>
  </r>
  <r>
    <x v="3"/>
    <x v="13"/>
    <n v="10"/>
    <x v="3"/>
    <d v="2023-03-01T00:00:00"/>
    <n v="1100.6849999999999"/>
    <x v="48"/>
  </r>
  <r>
    <x v="3"/>
    <x v="13"/>
    <n v="10"/>
    <x v="3"/>
    <d v="2023-03-01T00:00:00"/>
    <n v="7641.1541299999999"/>
    <x v="12"/>
  </r>
  <r>
    <x v="3"/>
    <x v="13"/>
    <n v="11"/>
    <x v="4"/>
    <d v="2023-03-01T00:00:00"/>
    <n v="119"/>
    <x v="37"/>
  </r>
  <r>
    <x v="3"/>
    <x v="13"/>
    <n v="11"/>
    <x v="4"/>
    <d v="2023-03-01T00:00:00"/>
    <n v="119"/>
    <x v="38"/>
  </r>
  <r>
    <x v="3"/>
    <x v="13"/>
    <n v="11"/>
    <x v="4"/>
    <d v="2023-03-01T00:00:00"/>
    <n v="119"/>
    <x v="39"/>
  </r>
  <r>
    <x v="3"/>
    <x v="13"/>
    <n v="11"/>
    <x v="4"/>
    <d v="2023-03-01T00:00:00"/>
    <n v="119"/>
    <x v="40"/>
  </r>
  <r>
    <x v="3"/>
    <x v="13"/>
    <n v="11"/>
    <x v="4"/>
    <d v="2023-03-01T00:00:00"/>
    <n v="119"/>
    <x v="41"/>
  </r>
  <r>
    <x v="3"/>
    <x v="13"/>
    <n v="11"/>
    <x v="4"/>
    <d v="2023-03-01T00:00:00"/>
    <n v="119"/>
    <x v="42"/>
  </r>
  <r>
    <x v="3"/>
    <x v="13"/>
    <n v="11"/>
    <x v="4"/>
    <d v="2023-03-01T00:00:00"/>
    <n v="119"/>
    <x v="43"/>
  </r>
  <r>
    <x v="3"/>
    <x v="13"/>
    <n v="11"/>
    <x v="4"/>
    <d v="2023-03-01T00:00:00"/>
    <n v="119"/>
    <x v="44"/>
  </r>
  <r>
    <x v="3"/>
    <x v="13"/>
    <n v="11"/>
    <x v="4"/>
    <d v="2023-03-01T00:00:00"/>
    <n v="119"/>
    <x v="45"/>
  </r>
  <r>
    <x v="3"/>
    <x v="13"/>
    <n v="11"/>
    <x v="4"/>
    <d v="2023-03-01T00:00:00"/>
    <n v="119"/>
    <x v="46"/>
  </r>
  <r>
    <x v="3"/>
    <x v="13"/>
    <n v="11"/>
    <x v="4"/>
    <d v="2023-03-01T00:00:00"/>
    <n v="119"/>
    <x v="47"/>
  </r>
  <r>
    <x v="3"/>
    <x v="13"/>
    <n v="11"/>
    <x v="4"/>
    <d v="2023-03-01T00:00:00"/>
    <n v="573"/>
    <x v="48"/>
  </r>
  <r>
    <x v="3"/>
    <x v="13"/>
    <n v="11"/>
    <x v="4"/>
    <d v="2023-03-01T00:00:00"/>
    <n v="1882"/>
    <x v="12"/>
  </r>
  <r>
    <x v="3"/>
    <x v="13"/>
    <n v="12"/>
    <x v="5"/>
    <d v="2023-03-01T00:00:00"/>
    <n v="0"/>
    <x v="37"/>
  </r>
  <r>
    <x v="3"/>
    <x v="13"/>
    <n v="12"/>
    <x v="5"/>
    <d v="2023-03-01T00:00:00"/>
    <n v="0"/>
    <x v="38"/>
  </r>
  <r>
    <x v="3"/>
    <x v="13"/>
    <n v="12"/>
    <x v="5"/>
    <d v="2023-03-01T00:00:00"/>
    <n v="0"/>
    <x v="39"/>
  </r>
  <r>
    <x v="3"/>
    <x v="13"/>
    <n v="12"/>
    <x v="5"/>
    <d v="2023-03-01T00:00:00"/>
    <n v="0"/>
    <x v="40"/>
  </r>
  <r>
    <x v="3"/>
    <x v="13"/>
    <n v="12"/>
    <x v="5"/>
    <d v="2023-03-01T00:00:00"/>
    <n v="0"/>
    <x v="41"/>
  </r>
  <r>
    <x v="3"/>
    <x v="13"/>
    <n v="12"/>
    <x v="5"/>
    <d v="2023-03-01T00:00:00"/>
    <n v="0"/>
    <x v="42"/>
  </r>
  <r>
    <x v="3"/>
    <x v="13"/>
    <n v="12"/>
    <x v="5"/>
    <d v="2023-03-01T00:00:00"/>
    <n v="0"/>
    <x v="43"/>
  </r>
  <r>
    <x v="3"/>
    <x v="13"/>
    <n v="12"/>
    <x v="5"/>
    <d v="2023-03-01T00:00:00"/>
    <n v="0"/>
    <x v="44"/>
  </r>
  <r>
    <x v="3"/>
    <x v="13"/>
    <n v="12"/>
    <x v="5"/>
    <d v="2023-03-01T00:00:00"/>
    <n v="0"/>
    <x v="45"/>
  </r>
  <r>
    <x v="3"/>
    <x v="13"/>
    <n v="12"/>
    <x v="5"/>
    <d v="2023-03-01T00:00:00"/>
    <n v="0"/>
    <x v="46"/>
  </r>
  <r>
    <x v="3"/>
    <x v="13"/>
    <n v="12"/>
    <x v="5"/>
    <d v="2023-03-01T00:00:00"/>
    <n v="0"/>
    <x v="47"/>
  </r>
  <r>
    <x v="3"/>
    <x v="13"/>
    <n v="12"/>
    <x v="5"/>
    <d v="2023-03-01T00:00:00"/>
    <n v="0"/>
    <x v="48"/>
  </r>
  <r>
    <x v="3"/>
    <x v="13"/>
    <n v="12"/>
    <x v="5"/>
    <d v="2023-03-01T00:00:00"/>
    <n v="0"/>
    <x v="12"/>
  </r>
  <r>
    <x v="3"/>
    <x v="13"/>
    <n v="13"/>
    <x v="6"/>
    <d v="2023-03-01T00:00:00"/>
    <n v="79121.91992"/>
    <x v="37"/>
  </r>
  <r>
    <x v="3"/>
    <x v="13"/>
    <n v="13"/>
    <x v="6"/>
    <d v="2023-03-01T00:00:00"/>
    <n v="77953.039839999998"/>
    <x v="38"/>
  </r>
  <r>
    <x v="3"/>
    <x v="13"/>
    <n v="13"/>
    <x v="6"/>
    <d v="2023-03-01T00:00:00"/>
    <n v="80266.145000000004"/>
    <x v="39"/>
  </r>
  <r>
    <x v="3"/>
    <x v="13"/>
    <n v="13"/>
    <x v="6"/>
    <d v="2023-03-01T00:00:00"/>
    <n v="76750.675199999998"/>
    <x v="40"/>
  </r>
  <r>
    <x v="3"/>
    <x v="13"/>
    <n v="13"/>
    <x v="6"/>
    <d v="2023-03-01T00:00:00"/>
    <n v="80062.050950000004"/>
    <x v="41"/>
  </r>
  <r>
    <x v="3"/>
    <x v="13"/>
    <n v="13"/>
    <x v="6"/>
    <d v="2023-03-01T00:00:00"/>
    <n v="79457.544999999998"/>
    <x v="42"/>
  </r>
  <r>
    <x v="3"/>
    <x v="13"/>
    <n v="13"/>
    <x v="6"/>
    <d v="2023-03-01T00:00:00"/>
    <n v="79448.390920000005"/>
    <x v="43"/>
  </r>
  <r>
    <x v="3"/>
    <x v="13"/>
    <n v="13"/>
    <x v="6"/>
    <d v="2023-03-01T00:00:00"/>
    <n v="80315.368610000005"/>
    <x v="44"/>
  </r>
  <r>
    <x v="3"/>
    <x v="13"/>
    <n v="13"/>
    <x v="6"/>
    <d v="2023-03-01T00:00:00"/>
    <n v="102263.60367"/>
    <x v="45"/>
  </r>
  <r>
    <x v="3"/>
    <x v="13"/>
    <n v="13"/>
    <x v="6"/>
    <d v="2023-03-01T00:00:00"/>
    <n v="70916.284480000002"/>
    <x v="46"/>
  </r>
  <r>
    <x v="3"/>
    <x v="13"/>
    <n v="13"/>
    <x v="6"/>
    <d v="2023-03-01T00:00:00"/>
    <n v="108128.75311000001"/>
    <x v="47"/>
  </r>
  <r>
    <x v="3"/>
    <x v="13"/>
    <n v="13"/>
    <x v="6"/>
    <d v="2023-03-01T00:00:00"/>
    <n v="86453.890010000003"/>
    <x v="48"/>
  </r>
  <r>
    <x v="3"/>
    <x v="13"/>
    <n v="13"/>
    <x v="6"/>
    <d v="2023-03-01T00:00:00"/>
    <n v="1001137.66671"/>
    <x v="12"/>
  </r>
  <r>
    <x v="3"/>
    <x v="13"/>
    <n v="14"/>
    <x v="7"/>
    <d v="2023-03-01T00:00:00"/>
    <n v="0"/>
    <x v="37"/>
  </r>
  <r>
    <x v="3"/>
    <x v="13"/>
    <n v="14"/>
    <x v="7"/>
    <d v="2023-03-01T00:00:00"/>
    <n v="0"/>
    <x v="38"/>
  </r>
  <r>
    <x v="3"/>
    <x v="13"/>
    <n v="14"/>
    <x v="7"/>
    <d v="2023-03-01T00:00:00"/>
    <n v="0"/>
    <x v="39"/>
  </r>
  <r>
    <x v="3"/>
    <x v="13"/>
    <n v="14"/>
    <x v="7"/>
    <d v="2023-03-01T00:00:00"/>
    <n v="0"/>
    <x v="40"/>
  </r>
  <r>
    <x v="3"/>
    <x v="13"/>
    <n v="14"/>
    <x v="7"/>
    <d v="2023-03-01T00:00:00"/>
    <n v="0"/>
    <x v="41"/>
  </r>
  <r>
    <x v="3"/>
    <x v="13"/>
    <n v="14"/>
    <x v="7"/>
    <d v="2023-03-01T00:00:00"/>
    <n v="0"/>
    <x v="42"/>
  </r>
  <r>
    <x v="3"/>
    <x v="13"/>
    <n v="14"/>
    <x v="7"/>
    <d v="2023-03-01T00:00:00"/>
    <n v="0"/>
    <x v="43"/>
  </r>
  <r>
    <x v="3"/>
    <x v="13"/>
    <n v="14"/>
    <x v="7"/>
    <d v="2023-03-01T00:00:00"/>
    <n v="0"/>
    <x v="44"/>
  </r>
  <r>
    <x v="3"/>
    <x v="13"/>
    <n v="14"/>
    <x v="7"/>
    <d v="2023-03-01T00:00:00"/>
    <n v="0"/>
    <x v="45"/>
  </r>
  <r>
    <x v="3"/>
    <x v="13"/>
    <n v="14"/>
    <x v="7"/>
    <d v="2023-03-01T00:00:00"/>
    <n v="0"/>
    <x v="46"/>
  </r>
  <r>
    <x v="3"/>
    <x v="13"/>
    <n v="14"/>
    <x v="7"/>
    <d v="2023-03-01T00:00:00"/>
    <n v="0"/>
    <x v="47"/>
  </r>
  <r>
    <x v="3"/>
    <x v="13"/>
    <n v="14"/>
    <x v="7"/>
    <d v="2023-03-01T00:00:00"/>
    <n v="0"/>
    <x v="48"/>
  </r>
  <r>
    <x v="3"/>
    <x v="13"/>
    <n v="14"/>
    <x v="7"/>
    <d v="2023-03-01T00:00:00"/>
    <n v="0"/>
    <x v="12"/>
  </r>
  <r>
    <x v="3"/>
    <x v="13"/>
    <n v="15"/>
    <x v="8"/>
    <d v="2023-03-01T00:00:00"/>
    <n v="0"/>
    <x v="37"/>
  </r>
  <r>
    <x v="3"/>
    <x v="13"/>
    <n v="15"/>
    <x v="8"/>
    <d v="2023-03-01T00:00:00"/>
    <n v="0"/>
    <x v="38"/>
  </r>
  <r>
    <x v="3"/>
    <x v="13"/>
    <n v="15"/>
    <x v="8"/>
    <d v="2023-03-01T00:00:00"/>
    <n v="0"/>
    <x v="39"/>
  </r>
  <r>
    <x v="3"/>
    <x v="13"/>
    <n v="15"/>
    <x v="8"/>
    <d v="2023-03-01T00:00:00"/>
    <n v="0"/>
    <x v="40"/>
  </r>
  <r>
    <x v="3"/>
    <x v="13"/>
    <n v="15"/>
    <x v="8"/>
    <d v="2023-03-01T00:00:00"/>
    <n v="0"/>
    <x v="41"/>
  </r>
  <r>
    <x v="3"/>
    <x v="13"/>
    <n v="15"/>
    <x v="8"/>
    <d v="2023-03-01T00:00:00"/>
    <n v="0"/>
    <x v="42"/>
  </r>
  <r>
    <x v="3"/>
    <x v="13"/>
    <n v="15"/>
    <x v="8"/>
    <d v="2023-03-01T00:00:00"/>
    <n v="0"/>
    <x v="43"/>
  </r>
  <r>
    <x v="3"/>
    <x v="13"/>
    <n v="15"/>
    <x v="8"/>
    <d v="2023-03-01T00:00:00"/>
    <n v="0"/>
    <x v="44"/>
  </r>
  <r>
    <x v="3"/>
    <x v="13"/>
    <n v="15"/>
    <x v="8"/>
    <d v="2023-03-01T00:00:00"/>
    <n v="0"/>
    <x v="45"/>
  </r>
  <r>
    <x v="3"/>
    <x v="13"/>
    <n v="15"/>
    <x v="8"/>
    <d v="2023-03-01T00:00:00"/>
    <n v="0"/>
    <x v="46"/>
  </r>
  <r>
    <x v="3"/>
    <x v="13"/>
    <n v="15"/>
    <x v="8"/>
    <d v="2023-03-01T00:00:00"/>
    <n v="0"/>
    <x v="47"/>
  </r>
  <r>
    <x v="3"/>
    <x v="13"/>
    <n v="15"/>
    <x v="8"/>
    <d v="2023-03-01T00:00:00"/>
    <n v="0"/>
    <x v="48"/>
  </r>
  <r>
    <x v="3"/>
    <x v="13"/>
    <n v="15"/>
    <x v="8"/>
    <d v="2023-03-01T00:00:00"/>
    <n v="0"/>
    <x v="1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
  <r>
    <x v="0"/>
    <x v="0"/>
    <n v="1804"/>
    <n v="2238"/>
    <n v="1770"/>
    <n v="1752"/>
    <n v="1243"/>
    <n v="215"/>
    <n v="1611"/>
    <n v="40"/>
    <n v="10673"/>
  </r>
  <r>
    <x v="1"/>
    <x v="0"/>
    <n v="1803"/>
    <n v="2221"/>
    <n v="1742"/>
    <n v="1740"/>
    <n v="1244"/>
    <n v="214"/>
    <n v="1602"/>
    <n v="40"/>
    <n v="10606"/>
  </r>
  <r>
    <x v="2"/>
    <x v="0"/>
    <n v="1761"/>
    <n v="2207"/>
    <n v="1742"/>
    <n v="1703"/>
    <n v="1257"/>
    <n v="214"/>
    <n v="1597"/>
    <n v="40"/>
    <n v="10521"/>
  </r>
  <r>
    <x v="3"/>
    <x v="0"/>
    <n v="1749"/>
    <n v="2200"/>
    <n v="1740"/>
    <n v="1702"/>
    <n v="1203"/>
    <n v="220"/>
    <n v="1587"/>
    <n v="40"/>
    <n v="10441"/>
  </r>
  <r>
    <x v="4"/>
    <x v="0"/>
    <n v="1754"/>
    <n v="2222"/>
    <n v="1741"/>
    <n v="1690"/>
    <n v="1187"/>
    <n v="214"/>
    <n v="1594"/>
    <n v="40"/>
    <n v="10442"/>
  </r>
  <r>
    <x v="5"/>
    <x v="0"/>
    <n v="1758"/>
    <n v="2227"/>
    <n v="1770"/>
    <n v="1686"/>
    <n v="1195"/>
    <n v="217"/>
    <n v="1572"/>
    <n v="40"/>
    <n v="10465"/>
  </r>
  <r>
    <x v="6"/>
    <x v="0"/>
    <n v="1808"/>
    <n v="2189"/>
    <n v="1764"/>
    <n v="1694"/>
    <n v="1188"/>
    <n v="212"/>
    <n v="1607"/>
    <n v="40"/>
    <n v="10502"/>
  </r>
  <r>
    <x v="7"/>
    <x v="0"/>
    <n v="1799"/>
    <n v="2329"/>
    <n v="1758"/>
    <n v="1715"/>
    <n v="1202"/>
    <n v="218"/>
    <n v="1605"/>
    <n v="40"/>
    <n v="10666"/>
  </r>
  <r>
    <x v="8"/>
    <x v="0"/>
    <n v="1810"/>
    <n v="2230"/>
    <n v="1767"/>
    <n v="1714"/>
    <n v="1203"/>
    <n v="215"/>
    <n v="1605"/>
    <n v="40"/>
    <n v="10584"/>
  </r>
  <r>
    <x v="9"/>
    <x v="0"/>
    <n v="1892"/>
    <n v="2314"/>
    <n v="1769"/>
    <n v="1703"/>
    <n v="1198"/>
    <n v="221"/>
    <n v="1625"/>
    <n v="40"/>
    <n v="10762"/>
  </r>
  <r>
    <x v="10"/>
    <x v="0"/>
    <n v="1851"/>
    <n v="2207"/>
    <n v="1762"/>
    <n v="1709"/>
    <n v="1209"/>
    <n v="222"/>
    <n v="1598"/>
    <n v="40"/>
    <n v="10598"/>
  </r>
  <r>
    <x v="11"/>
    <x v="0"/>
    <n v="1834"/>
    <n v="2194"/>
    <n v="1721"/>
    <n v="1738"/>
    <n v="1210"/>
    <n v="220"/>
    <n v="1543"/>
    <n v="49"/>
    <n v="10509"/>
  </r>
  <r>
    <x v="12"/>
    <x v="0"/>
    <n v="1995"/>
    <n v="2094"/>
    <n v="1787"/>
    <n v="1672"/>
    <n v="1208"/>
    <n v="222"/>
    <n v="1462"/>
    <n v="49"/>
    <n v="10489"/>
  </r>
  <r>
    <x v="13"/>
    <x v="0"/>
    <n v="2042"/>
    <n v="2112"/>
    <n v="1804"/>
    <n v="1783"/>
    <n v="1202"/>
    <n v="222"/>
    <n v="1257"/>
    <n v="49"/>
    <n v="10471"/>
  </r>
  <r>
    <x v="14"/>
    <x v="0"/>
    <n v="1962"/>
    <n v="2102"/>
    <n v="1828"/>
    <n v="1687"/>
    <n v="1220"/>
    <n v="198"/>
    <n v="1320"/>
    <n v="49"/>
    <n v="10366"/>
  </r>
  <r>
    <x v="15"/>
    <x v="0"/>
    <n v="1911"/>
    <n v="2118"/>
    <n v="1837"/>
    <n v="1682"/>
    <n v="1189"/>
    <n v="188"/>
    <n v="1359"/>
    <n v="49"/>
    <n v="10333"/>
  </r>
  <r>
    <x v="16"/>
    <x v="0"/>
    <n v="1846"/>
    <n v="2001"/>
    <n v="1858"/>
    <n v="1697"/>
    <n v="1145"/>
    <n v="198"/>
    <n v="1437"/>
    <n v="49"/>
    <n v="10231"/>
  </r>
  <r>
    <x v="17"/>
    <x v="0"/>
    <n v="1873"/>
    <n v="1961"/>
    <n v="1872"/>
    <n v="1715"/>
    <n v="1169"/>
    <n v="206"/>
    <n v="1454"/>
    <n v="49"/>
    <n v="10299"/>
  </r>
  <r>
    <x v="18"/>
    <x v="0"/>
    <n v="1922"/>
    <n v="1881"/>
    <n v="1840"/>
    <n v="1757"/>
    <n v="1154"/>
    <n v="211"/>
    <n v="1473"/>
    <n v="49"/>
    <n v="10287"/>
  </r>
  <r>
    <x v="19"/>
    <x v="0"/>
    <n v="2035"/>
    <n v="1860"/>
    <n v="1879"/>
    <n v="1788"/>
    <n v="1147"/>
    <n v="180"/>
    <n v="1447"/>
    <n v="49"/>
    <n v="10385"/>
  </r>
  <r>
    <x v="20"/>
    <x v="0"/>
    <n v="1913"/>
    <n v="1853"/>
    <n v="1900"/>
    <n v="1718"/>
    <n v="1147"/>
    <n v="189"/>
    <n v="1475"/>
    <n v="49"/>
    <n v="10244"/>
  </r>
  <r>
    <x v="21"/>
    <x v="0"/>
    <n v="1836"/>
    <n v="1981"/>
    <n v="1937"/>
    <n v="1725"/>
    <n v="1136"/>
    <n v="190"/>
    <n v="1504"/>
    <n v="49"/>
    <n v="10358"/>
  </r>
  <r>
    <x v="22"/>
    <x v="0"/>
    <n v="1674"/>
    <n v="2031"/>
    <n v="1993"/>
    <n v="1687"/>
    <n v="1132"/>
    <n v="193"/>
    <n v="1493"/>
    <n v="49"/>
    <n v="10252"/>
  </r>
  <r>
    <x v="23"/>
    <x v="0"/>
    <n v="1856"/>
    <n v="1954"/>
    <n v="1962"/>
    <n v="1699"/>
    <n v="1137"/>
    <n v="208"/>
    <n v="1501"/>
    <n v="49"/>
    <n v="10366"/>
  </r>
  <r>
    <x v="24"/>
    <x v="0"/>
    <n v="1816"/>
    <n v="1988"/>
    <n v="1908"/>
    <n v="1715"/>
    <n v="1137"/>
    <n v="210"/>
    <n v="1513"/>
    <n v="49"/>
    <n v="10336"/>
  </r>
  <r>
    <x v="25"/>
    <x v="0"/>
    <n v="1836"/>
    <n v="1965"/>
    <n v="1703"/>
    <n v="1706"/>
    <n v="1113"/>
    <n v="208"/>
    <n v="1540"/>
    <n v="49"/>
    <n v="10120"/>
  </r>
  <r>
    <x v="26"/>
    <x v="0"/>
    <n v="1872"/>
    <n v="1966"/>
    <n v="1703"/>
    <n v="1696"/>
    <n v="1147"/>
    <n v="205"/>
    <n v="1517"/>
    <n v="49"/>
    <n v="10155"/>
  </r>
  <r>
    <x v="27"/>
    <x v="0"/>
    <n v="1940"/>
    <n v="2015"/>
    <n v="1708"/>
    <n v="1702"/>
    <n v="1125"/>
    <n v="202"/>
    <n v="1515"/>
    <n v="49"/>
    <n v="10256"/>
  </r>
  <r>
    <x v="28"/>
    <x v="0"/>
    <n v="1800"/>
    <n v="2013"/>
    <n v="1731"/>
    <n v="1708"/>
    <n v="1134"/>
    <n v="202"/>
    <n v="1505"/>
    <n v="49"/>
    <n v="10142"/>
  </r>
  <r>
    <x v="29"/>
    <x v="0"/>
    <n v="1923"/>
    <n v="2015"/>
    <n v="1727"/>
    <n v="1741"/>
    <n v="1129"/>
    <n v="202"/>
    <n v="1541"/>
    <n v="49"/>
    <n v="10327"/>
  </r>
  <r>
    <x v="30"/>
    <x v="0"/>
    <n v="1842"/>
    <n v="2026"/>
    <n v="1743"/>
    <n v="1719"/>
    <n v="1129"/>
    <n v="205"/>
    <n v="1577"/>
    <n v="49"/>
    <n v="10290"/>
  </r>
  <r>
    <x v="31"/>
    <x v="0"/>
    <n v="1841"/>
    <n v="2017"/>
    <n v="1782"/>
    <n v="1733"/>
    <n v="1133"/>
    <n v="203"/>
    <n v="1562"/>
    <n v="49"/>
    <n v="10320"/>
  </r>
  <r>
    <x v="32"/>
    <x v="0"/>
    <n v="1819"/>
    <n v="2084"/>
    <n v="1774"/>
    <n v="1731"/>
    <n v="1125"/>
    <n v="208"/>
    <n v="1539"/>
    <n v="49"/>
    <n v="10329"/>
  </r>
  <r>
    <x v="33"/>
    <x v="0"/>
    <n v="1827"/>
    <n v="2084"/>
    <n v="1836"/>
    <n v="1735"/>
    <n v="1106"/>
    <n v="206"/>
    <n v="1552"/>
    <n v="49"/>
    <n v="10395"/>
  </r>
  <r>
    <x v="34"/>
    <x v="0"/>
    <n v="1813"/>
    <n v="2101"/>
    <n v="1829"/>
    <n v="1741"/>
    <n v="1086"/>
    <n v="205"/>
    <n v="1535"/>
    <n v="49"/>
    <n v="10359"/>
  </r>
  <r>
    <x v="35"/>
    <x v="0"/>
    <n v="1788"/>
    <n v="2112"/>
    <n v="1820"/>
    <n v="1673"/>
    <n v="1095"/>
    <n v="211"/>
    <n v="1542"/>
    <n v="49"/>
    <n v="10290"/>
  </r>
  <r>
    <x v="36"/>
    <x v="0"/>
    <n v="1802"/>
    <n v="2103"/>
    <n v="1789"/>
    <n v="1722"/>
    <n v="1108"/>
    <n v="211"/>
    <n v="1548"/>
    <n v="49"/>
    <n v="10332"/>
  </r>
  <r>
    <x v="37"/>
    <x v="0"/>
    <n v="1790"/>
    <n v="2069"/>
    <n v="1783"/>
    <n v="1707"/>
    <n v="1114"/>
    <n v="211"/>
    <n v="1545"/>
    <n v="49"/>
    <n v="10268"/>
  </r>
  <r>
    <x v="38"/>
    <x v="0"/>
    <n v="1839"/>
    <n v="2075"/>
    <n v="1769"/>
    <n v="1722"/>
    <n v="1110"/>
    <n v="202"/>
    <n v="1534"/>
    <n v="49"/>
    <n v="10300"/>
  </r>
  <r>
    <x v="39"/>
    <x v="0"/>
    <n v="1812"/>
    <n v="2116"/>
    <n v="1784"/>
    <n v="1727"/>
    <n v="1128"/>
    <n v="209"/>
    <n v="1514"/>
    <n v="49"/>
    <n v="10339"/>
  </r>
  <r>
    <x v="40"/>
    <x v="0"/>
    <n v="1773"/>
    <n v="2115"/>
    <n v="1801"/>
    <n v="1744"/>
    <n v="1149"/>
    <n v="211"/>
    <n v="1509"/>
    <n v="49"/>
    <n v="10351"/>
  </r>
  <r>
    <x v="41"/>
    <x v="0"/>
    <n v="1725"/>
    <n v="2126"/>
    <n v="1841"/>
    <n v="1713"/>
    <n v="1100"/>
    <n v="213"/>
    <n v="1547"/>
    <n v="49"/>
    <n v="10314"/>
  </r>
  <r>
    <x v="42"/>
    <x v="0"/>
    <n v="1761"/>
    <n v="2160"/>
    <n v="1857"/>
    <n v="1750"/>
    <n v="1171"/>
    <n v="213"/>
    <n v="1554"/>
    <n v="49"/>
    <n v="10515"/>
  </r>
  <r>
    <x v="43"/>
    <x v="0"/>
    <n v="1768"/>
    <n v="2143"/>
    <n v="1795"/>
    <n v="1738"/>
    <n v="1223"/>
    <n v="213"/>
    <n v="1589"/>
    <n v="49"/>
    <n v="10518"/>
  </r>
  <r>
    <x v="44"/>
    <x v="0"/>
    <n v="1755"/>
    <n v="2187"/>
    <n v="1769"/>
    <n v="1728"/>
    <n v="1198"/>
    <n v="216"/>
    <n v="1609"/>
    <n v="32"/>
    <n v="10494"/>
  </r>
  <r>
    <x v="45"/>
    <x v="0"/>
    <n v="1808"/>
    <n v="2187"/>
    <n v="1778"/>
    <n v="1743"/>
    <n v="1209"/>
    <n v="220"/>
    <n v="1586"/>
    <n v="32"/>
    <n v="10563"/>
  </r>
  <r>
    <x v="46"/>
    <x v="0"/>
    <n v="1795"/>
    <n v="2091"/>
    <n v="1781"/>
    <n v="1757"/>
    <n v="1219"/>
    <n v="220"/>
    <n v="1548"/>
    <n v="32"/>
    <n v="10443"/>
  </r>
  <r>
    <x v="47"/>
    <x v="0"/>
    <n v="1887"/>
    <n v="2149"/>
    <n v="1605"/>
    <n v="1770"/>
    <n v="1197"/>
    <n v="211"/>
    <n v="1560"/>
    <n v="32"/>
    <n v="10411"/>
  </r>
  <r>
    <x v="48"/>
    <x v="0"/>
    <n v="1877"/>
    <n v="2158"/>
    <n v="1813"/>
    <n v="1780"/>
    <n v="1183"/>
    <n v="208"/>
    <n v="1539"/>
    <n v="32"/>
    <n v="10590"/>
  </r>
  <r>
    <x v="49"/>
    <x v="0"/>
    <n v="1810"/>
    <n v="2071"/>
    <n v="1810"/>
    <n v="1790"/>
    <n v="1197"/>
    <n v="208"/>
    <n v="1520"/>
    <n v="32"/>
    <n v="10438"/>
  </r>
  <r>
    <x v="50"/>
    <x v="0"/>
    <n v="1895"/>
    <n v="2169"/>
    <n v="1756"/>
    <n v="1778"/>
    <n v="1173"/>
    <n v="192"/>
    <n v="1512"/>
    <n v="32"/>
    <n v="10507"/>
  </r>
  <r>
    <x v="51"/>
    <x v="0"/>
    <n v="2019"/>
    <n v="2104"/>
    <n v="1794"/>
    <n v="1781"/>
    <n v="1167"/>
    <n v="194"/>
    <n v="1488"/>
    <n v="32"/>
    <n v="10579"/>
  </r>
  <r>
    <x v="0"/>
    <x v="1"/>
    <n v="1554"/>
    <n v="1968"/>
    <n v="1490"/>
    <n v="1492"/>
    <n v="1087"/>
    <n v="166"/>
    <n v="1410"/>
    <n v="29"/>
    <n v="9196"/>
  </r>
  <r>
    <x v="1"/>
    <x v="1"/>
    <n v="1573"/>
    <n v="1967"/>
    <n v="1471"/>
    <n v="1488"/>
    <n v="1056"/>
    <n v="168"/>
    <n v="1398"/>
    <n v="29"/>
    <n v="9150"/>
  </r>
  <r>
    <x v="2"/>
    <x v="1"/>
    <n v="1538"/>
    <n v="1942"/>
    <n v="1466"/>
    <n v="1469"/>
    <n v="1045"/>
    <n v="174"/>
    <n v="1395"/>
    <n v="29"/>
    <n v="9058"/>
  </r>
  <r>
    <x v="3"/>
    <x v="1"/>
    <n v="1525"/>
    <n v="1935"/>
    <n v="1449"/>
    <n v="1454"/>
    <n v="1003"/>
    <n v="178"/>
    <n v="1379"/>
    <n v="25"/>
    <n v="8948"/>
  </r>
  <r>
    <x v="4"/>
    <x v="1"/>
    <n v="1527"/>
    <n v="1924"/>
    <n v="1417"/>
    <n v="1424"/>
    <n v="996"/>
    <n v="174"/>
    <n v="1368"/>
    <n v="28"/>
    <n v="8858"/>
  </r>
  <r>
    <x v="5"/>
    <x v="1"/>
    <n v="1533"/>
    <n v="1971"/>
    <n v="1460"/>
    <n v="1461"/>
    <n v="1036"/>
    <n v="176"/>
    <n v="1400"/>
    <n v="28"/>
    <n v="9065"/>
  </r>
  <r>
    <x v="6"/>
    <x v="1"/>
    <n v="1578"/>
    <n v="1948"/>
    <n v="1478"/>
    <n v="1495"/>
    <n v="1046"/>
    <n v="183"/>
    <n v="1409"/>
    <n v="31"/>
    <n v="9168"/>
  </r>
  <r>
    <x v="7"/>
    <x v="1"/>
    <n v="1618"/>
    <n v="1964"/>
    <n v="1497"/>
    <n v="1522"/>
    <n v="1075"/>
    <n v="190"/>
    <n v="1426"/>
    <n v="29"/>
    <n v="9321"/>
  </r>
  <r>
    <x v="8"/>
    <x v="1"/>
    <n v="1579"/>
    <n v="1827"/>
    <n v="1420"/>
    <n v="1496"/>
    <n v="1062"/>
    <n v="185"/>
    <n v="1416"/>
    <n v="29"/>
    <n v="9014"/>
  </r>
  <r>
    <x v="9"/>
    <x v="1"/>
    <n v="1707"/>
    <n v="1929"/>
    <n v="1491"/>
    <n v="1547"/>
    <n v="1102"/>
    <n v="184"/>
    <n v="1442"/>
    <n v="29"/>
    <n v="9431"/>
  </r>
  <r>
    <x v="10"/>
    <x v="1"/>
    <n v="1714"/>
    <n v="1859"/>
    <n v="1512"/>
    <n v="1525"/>
    <n v="1074"/>
    <n v="172"/>
    <n v="1401"/>
    <n v="28"/>
    <n v="9285"/>
  </r>
  <r>
    <x v="11"/>
    <x v="1"/>
    <n v="1348"/>
    <n v="1635"/>
    <n v="1303"/>
    <n v="1358"/>
    <n v="861"/>
    <n v="159"/>
    <n v="1219"/>
    <n v="19"/>
    <n v="7902"/>
  </r>
  <r>
    <x v="12"/>
    <x v="1"/>
    <n v="863"/>
    <n v="1120"/>
    <n v="941"/>
    <n v="1019"/>
    <n v="522"/>
    <n v="92"/>
    <n v="799"/>
    <n v="13"/>
    <n v="5369"/>
  </r>
  <r>
    <x v="13"/>
    <x v="1"/>
    <n v="920"/>
    <n v="1277"/>
    <n v="972"/>
    <n v="1088"/>
    <n v="625"/>
    <n v="104"/>
    <n v="845"/>
    <n v="17"/>
    <n v="5848"/>
  </r>
  <r>
    <x v="14"/>
    <x v="1"/>
    <n v="1079"/>
    <n v="1417"/>
    <n v="1136"/>
    <n v="1169"/>
    <n v="724"/>
    <n v="109"/>
    <n v="959"/>
    <n v="19"/>
    <n v="6612"/>
  </r>
  <r>
    <x v="15"/>
    <x v="1"/>
    <n v="1222"/>
    <n v="1525"/>
    <n v="1197"/>
    <n v="1264"/>
    <n v="787"/>
    <n v="129"/>
    <n v="1051"/>
    <n v="17"/>
    <n v="7192"/>
  </r>
  <r>
    <x v="16"/>
    <x v="1"/>
    <n v="1283"/>
    <n v="1478"/>
    <n v="1242"/>
    <n v="1313"/>
    <n v="840"/>
    <n v="139"/>
    <n v="1125"/>
    <n v="20"/>
    <n v="7440"/>
  </r>
  <r>
    <x v="17"/>
    <x v="1"/>
    <n v="1360"/>
    <n v="1509"/>
    <n v="1279"/>
    <n v="1335"/>
    <n v="885"/>
    <n v="147"/>
    <n v="1167"/>
    <n v="18"/>
    <n v="7700"/>
  </r>
  <r>
    <x v="18"/>
    <x v="1"/>
    <n v="1340"/>
    <n v="1518"/>
    <n v="1301"/>
    <n v="1249"/>
    <n v="875"/>
    <n v="149"/>
    <n v="1161"/>
    <n v="16"/>
    <n v="7609"/>
  </r>
  <r>
    <x v="19"/>
    <x v="1"/>
    <n v="1285"/>
    <n v="1469"/>
    <n v="1292"/>
    <n v="1293"/>
    <n v="891"/>
    <n v="80"/>
    <n v="1150"/>
    <n v="16"/>
    <n v="7476"/>
  </r>
  <r>
    <x v="20"/>
    <x v="1"/>
    <n v="1271"/>
    <n v="1554"/>
    <n v="1264"/>
    <n v="1285"/>
    <n v="844"/>
    <n v="132"/>
    <n v="1160"/>
    <n v="14"/>
    <n v="7524"/>
  </r>
  <r>
    <x v="21"/>
    <x v="1"/>
    <n v="1366"/>
    <n v="1641"/>
    <n v="1291"/>
    <n v="1320"/>
    <n v="840"/>
    <n v="145"/>
    <n v="1196"/>
    <n v="9"/>
    <n v="7808"/>
  </r>
  <r>
    <x v="22"/>
    <x v="1"/>
    <n v="1243"/>
    <n v="1650"/>
    <n v="1304"/>
    <n v="1276"/>
    <n v="830"/>
    <n v="141"/>
    <n v="1180"/>
    <n v="7"/>
    <n v="7631"/>
  </r>
  <r>
    <x v="23"/>
    <x v="1"/>
    <n v="1319"/>
    <n v="1669"/>
    <n v="1311"/>
    <n v="1251"/>
    <n v="898"/>
    <n v="160"/>
    <n v="1212"/>
    <n v="10"/>
    <n v="7830"/>
  </r>
  <r>
    <x v="24"/>
    <x v="1"/>
    <n v="1307"/>
    <n v="1670"/>
    <n v="1332"/>
    <n v="1286"/>
    <n v="893"/>
    <n v="172"/>
    <n v="1224"/>
    <n v="12"/>
    <n v="7896"/>
  </r>
  <r>
    <x v="25"/>
    <x v="1"/>
    <n v="1354"/>
    <n v="1721"/>
    <n v="1343"/>
    <n v="1304"/>
    <n v="866"/>
    <n v="174"/>
    <n v="1263"/>
    <n v="14"/>
    <n v="8039"/>
  </r>
  <r>
    <x v="26"/>
    <x v="1"/>
    <n v="1331"/>
    <n v="1724"/>
    <n v="1375"/>
    <n v="1292"/>
    <n v="980"/>
    <n v="176"/>
    <n v="1277"/>
    <n v="15"/>
    <n v="8170"/>
  </r>
  <r>
    <x v="27"/>
    <x v="1"/>
    <n v="1394"/>
    <n v="1718"/>
    <n v="1400"/>
    <n v="1331"/>
    <n v="932"/>
    <n v="166"/>
    <n v="1261"/>
    <n v="14"/>
    <n v="8216"/>
  </r>
  <r>
    <x v="28"/>
    <x v="1"/>
    <n v="1311"/>
    <n v="1769"/>
    <n v="1384"/>
    <n v="1356"/>
    <n v="956"/>
    <n v="161"/>
    <n v="1264"/>
    <n v="14"/>
    <n v="8215"/>
  </r>
  <r>
    <x v="29"/>
    <x v="1"/>
    <n v="1346"/>
    <n v="1745"/>
    <n v="1418"/>
    <n v="1399"/>
    <n v="961"/>
    <n v="162"/>
    <n v="1310"/>
    <n v="15"/>
    <n v="8356"/>
  </r>
  <r>
    <x v="30"/>
    <x v="1"/>
    <n v="1405"/>
    <n v="1764"/>
    <n v="1438"/>
    <n v="1436"/>
    <n v="946"/>
    <n v="167"/>
    <n v="1317"/>
    <n v="16"/>
    <n v="8489"/>
  </r>
  <r>
    <x v="31"/>
    <x v="1"/>
    <n v="1437"/>
    <n v="1781"/>
    <n v="1484"/>
    <n v="1433"/>
    <n v="949"/>
    <n v="167"/>
    <n v="1321"/>
    <n v="15"/>
    <n v="8587"/>
  </r>
  <r>
    <x v="32"/>
    <x v="1"/>
    <n v="1393"/>
    <n v="1759"/>
    <n v="1465"/>
    <n v="1375"/>
    <n v="956"/>
    <n v="166"/>
    <n v="1261"/>
    <n v="13"/>
    <n v="8388"/>
  </r>
  <r>
    <x v="33"/>
    <x v="1"/>
    <n v="1442"/>
    <n v="1789"/>
    <n v="1512"/>
    <n v="1429"/>
    <n v="953"/>
    <n v="167"/>
    <n v="1297"/>
    <n v="12"/>
    <n v="8601"/>
  </r>
  <r>
    <x v="34"/>
    <x v="1"/>
    <n v="1407"/>
    <n v="1699"/>
    <n v="1542"/>
    <n v="1449"/>
    <n v="961"/>
    <n v="165"/>
    <n v="1300"/>
    <n v="13"/>
    <n v="8536"/>
  </r>
  <r>
    <x v="35"/>
    <x v="1"/>
    <n v="1407"/>
    <n v="1833"/>
    <n v="1510"/>
    <n v="1410"/>
    <n v="980"/>
    <n v="167"/>
    <n v="1294"/>
    <n v="12"/>
    <n v="8613"/>
  </r>
  <r>
    <x v="36"/>
    <x v="1"/>
    <n v="1434"/>
    <n v="1765"/>
    <n v="1492"/>
    <n v="1458"/>
    <n v="964"/>
    <n v="161"/>
    <n v="1302"/>
    <n v="11"/>
    <n v="8587"/>
  </r>
  <r>
    <x v="37"/>
    <x v="1"/>
    <n v="1436"/>
    <n v="1835"/>
    <n v="1503"/>
    <n v="1435"/>
    <n v="976"/>
    <n v="161"/>
    <n v="1305"/>
    <n v="16"/>
    <n v="8667"/>
  </r>
  <r>
    <x v="38"/>
    <x v="1"/>
    <n v="1480"/>
    <n v="1810"/>
    <n v="1522"/>
    <n v="1495"/>
    <n v="985"/>
    <n v="161"/>
    <n v="1322"/>
    <n v="18"/>
    <n v="8793"/>
  </r>
  <r>
    <x v="39"/>
    <x v="1"/>
    <n v="1502"/>
    <n v="1865"/>
    <n v="1543"/>
    <n v="1479"/>
    <n v="960"/>
    <n v="168"/>
    <n v="1318"/>
    <n v="15"/>
    <n v="8850"/>
  </r>
  <r>
    <x v="40"/>
    <x v="1"/>
    <n v="1501"/>
    <n v="1896"/>
    <n v="1580"/>
    <n v="1503"/>
    <n v="999"/>
    <n v="170"/>
    <n v="1301"/>
    <n v="15"/>
    <n v="8965"/>
  </r>
  <r>
    <x v="41"/>
    <x v="1"/>
    <n v="1280"/>
    <n v="1795"/>
    <n v="1593"/>
    <n v="1486"/>
    <n v="974"/>
    <n v="168"/>
    <n v="1347"/>
    <n v="21"/>
    <n v="8664"/>
  </r>
  <r>
    <x v="42"/>
    <x v="1"/>
    <n v="1514"/>
    <n v="1903"/>
    <n v="1626"/>
    <n v="1507"/>
    <n v="1021"/>
    <n v="173"/>
    <n v="1357"/>
    <n v="21"/>
    <n v="9122"/>
  </r>
  <r>
    <x v="43"/>
    <x v="1"/>
    <n v="1504"/>
    <n v="1828"/>
    <n v="1561"/>
    <n v="1516"/>
    <n v="1022"/>
    <n v="178"/>
    <n v="1357"/>
    <n v="21"/>
    <n v="8987"/>
  </r>
  <r>
    <x v="44"/>
    <x v="1"/>
    <n v="1500"/>
    <n v="1870"/>
    <n v="1527"/>
    <n v="1487"/>
    <n v="1045"/>
    <n v="174"/>
    <n v="1374"/>
    <n v="19"/>
    <n v="8996"/>
  </r>
  <r>
    <x v="45"/>
    <x v="1"/>
    <n v="1580"/>
    <n v="1924"/>
    <n v="1564"/>
    <n v="1550"/>
    <n v="1025"/>
    <n v="180"/>
    <n v="1348"/>
    <n v="18"/>
    <n v="9189"/>
  </r>
  <r>
    <x v="46"/>
    <x v="1"/>
    <n v="1558"/>
    <n v="1692"/>
    <n v="1561"/>
    <n v="1521"/>
    <n v="1021"/>
    <n v="177"/>
    <n v="1320"/>
    <n v="21"/>
    <n v="8871"/>
  </r>
  <r>
    <x v="47"/>
    <x v="1"/>
    <n v="1653"/>
    <n v="1851"/>
    <n v="1408"/>
    <n v="1551"/>
    <n v="1009"/>
    <n v="162"/>
    <n v="1312"/>
    <n v="18"/>
    <n v="8964"/>
  </r>
  <r>
    <x v="48"/>
    <x v="1"/>
    <n v="1605"/>
    <n v="1848"/>
    <n v="1599"/>
    <n v="1555"/>
    <n v="995"/>
    <n v="165"/>
    <n v="1325"/>
    <n v="17"/>
    <n v="9109"/>
  </r>
  <r>
    <x v="49"/>
    <x v="1"/>
    <n v="1503"/>
    <n v="1866"/>
    <n v="1608"/>
    <n v="1517"/>
    <n v="984"/>
    <n v="171"/>
    <n v="1317"/>
    <n v="15"/>
    <n v="8981"/>
  </r>
  <r>
    <x v="50"/>
    <x v="1"/>
    <n v="1606"/>
    <n v="1866"/>
    <n v="1529"/>
    <n v="1524"/>
    <n v="1035"/>
    <n v="163"/>
    <n v="1322"/>
    <n v="16"/>
    <n v="9061"/>
  </r>
  <r>
    <x v="51"/>
    <x v="1"/>
    <n v="1730"/>
    <n v="1866"/>
    <n v="1559"/>
    <n v="1535"/>
    <n v="993"/>
    <n v="164"/>
    <n v="1279"/>
    <n v="18"/>
    <n v="9144"/>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7">
  <r>
    <x v="0"/>
    <x v="0"/>
    <x v="0"/>
    <n v="5679.2403999999988"/>
    <n v="725.90885000000003"/>
    <n v="891.86951999999997"/>
    <n v="851.36012000000005"/>
    <n v="596.69065000000001"/>
    <n v="543.92512999999997"/>
    <n v="752.1223"/>
    <n v="124.45762000000001"/>
    <n v="60.834139999999998"/>
    <n v="113.74184"/>
    <n v="1018.33023"/>
    <m/>
    <m/>
    <m/>
  </r>
  <r>
    <x v="0"/>
    <x v="1"/>
    <x v="1"/>
    <n v="5674.6545099999985"/>
    <n v="727.76217999999994"/>
    <n v="891.19938999999999"/>
    <n v="850.31344999999999"/>
    <n v="594.34397999999999"/>
    <n v="534.13314000000003"/>
    <n v="749.92841999999996"/>
    <n v="123.65761999999999"/>
    <n v="60.834139999999998"/>
    <n v="111.01197000000001"/>
    <n v="1031.4702199999999"/>
    <m/>
    <m/>
    <m/>
  </r>
  <r>
    <x v="0"/>
    <x v="2"/>
    <x v="2"/>
    <n v="5651.1568600000001"/>
    <n v="722.39121999999998"/>
    <n v="878.11270999999999"/>
    <n v="856.98677999999995"/>
    <n v="599.67597999999998"/>
    <n v="528.89368000000002"/>
    <n v="743.00388999999996"/>
    <n v="122.05762"/>
    <n v="60.934139999999999"/>
    <n v="110.76184000000001"/>
    <n v="1028.3389999999999"/>
    <m/>
    <m/>
    <m/>
  </r>
  <r>
    <x v="0"/>
    <x v="3"/>
    <x v="3"/>
    <n v="5680.8843299999999"/>
    <n v="726.26056000000005"/>
    <n v="889.40791000000002"/>
    <n v="855.40011000000004"/>
    <n v="598.09"/>
    <n v="538.53368"/>
    <n v="745.84388999999999"/>
    <n v="122.24"/>
    <n v="65.540809999999993"/>
    <n v="109.61503999999999"/>
    <n v="1029.9523300000001"/>
    <m/>
    <m/>
    <m/>
  </r>
  <r>
    <x v="0"/>
    <x v="4"/>
    <x v="4"/>
    <n v="5731.3607299999985"/>
    <n v="732.72109999999998"/>
    <n v="906.06844000000001"/>
    <n v="862.60010999999997"/>
    <n v="598.33384999999998"/>
    <n v="543.68700999999999"/>
    <n v="753.29055000000005"/>
    <n v="122.61762"/>
    <n v="63.834139999999998"/>
    <n v="112.61503999999999"/>
    <n v="1035.5928699999999"/>
    <m/>
    <m/>
    <m/>
  </r>
  <r>
    <x v="0"/>
    <x v="5"/>
    <x v="5"/>
    <n v="5833.0825999999997"/>
    <n v="751.82510000000002"/>
    <n v="913.70551"/>
    <n v="870.10676999999998"/>
    <n v="607.84717999999998"/>
    <n v="555.29795000000001"/>
    <n v="758.68840999999998"/>
    <n v="125.29761999999999"/>
    <n v="63.634140000000002"/>
    <n v="114.89503999999999"/>
    <n v="1071.7848799999999"/>
    <m/>
    <m/>
    <m/>
  </r>
  <r>
    <x v="0"/>
    <x v="6"/>
    <x v="6"/>
    <n v="5841.8472299999994"/>
    <n v="746.13229000000001"/>
    <n v="910.76683000000003"/>
    <n v="874.47343000000001"/>
    <n v="608.92718000000002"/>
    <n v="564.34460999999999"/>
    <n v="766.82654000000002"/>
    <n v="122.60429000000001"/>
    <n v="62.434139999999999"/>
    <n v="113.85171"/>
    <n v="1071.48621"/>
    <m/>
    <m/>
    <m/>
  </r>
  <r>
    <x v="0"/>
    <x v="7"/>
    <x v="7"/>
    <n v="5854.7325000000001"/>
    <n v="743.03895"/>
    <n v="915.64016000000004"/>
    <n v="874.04677000000004"/>
    <n v="597.58717999999999"/>
    <n v="563.90989000000002"/>
    <n v="776.85987"/>
    <n v="124.87094999999999"/>
    <n v="63.034140000000001"/>
    <n v="114.98504"/>
    <n v="1080.75955"/>
    <m/>
    <m/>
    <m/>
  </r>
  <r>
    <x v="0"/>
    <x v="8"/>
    <x v="8"/>
    <n v="5846.2020899999998"/>
    <n v="745.22906999999998"/>
    <n v="911.85350000000005"/>
    <n v="877.14543000000003"/>
    <n v="597.58717999999999"/>
    <n v="562.10321999999996"/>
    <n v="775.77934000000005"/>
    <n v="122.67895"/>
    <n v="61.287469999999999"/>
    <n v="115.98504"/>
    <n v="1076.5528899999999"/>
    <m/>
    <m/>
    <m/>
  </r>
  <r>
    <x v="0"/>
    <x v="9"/>
    <x v="9"/>
    <n v="5856.3522499999999"/>
    <n v="754.85681999999997"/>
    <n v="905.46015999999997"/>
    <n v="883.25210000000004"/>
    <n v="603.24051999999995"/>
    <n v="560.78989000000001"/>
    <n v="774.77773999999999"/>
    <n v="128.19228000000001"/>
    <n v="61.287469999999999"/>
    <n v="116.05171"/>
    <n v="1068.4435599999997"/>
    <m/>
    <m/>
    <m/>
  </r>
  <r>
    <x v="0"/>
    <x v="10"/>
    <x v="10"/>
    <n v="5857.0914499999999"/>
    <n v="759.21681000000001"/>
    <n v="905.18016"/>
    <n v="886.57449999999994"/>
    <n v="602.28052000000002"/>
    <n v="560.92322000000001"/>
    <n v="765.11107000000004"/>
    <n v="128.19228000000001"/>
    <n v="60.88747"/>
    <n v="116.12238000000001"/>
    <n v="1072.60304"/>
    <m/>
    <m/>
    <m/>
  </r>
  <r>
    <x v="0"/>
    <x v="11"/>
    <x v="11"/>
    <n v="5834.4001100000005"/>
    <n v="759.55681000000004"/>
    <n v="901.06016"/>
    <n v="888.73450000000003"/>
    <n v="601.68479000000002"/>
    <n v="552.08549000000005"/>
    <n v="761.57320000000004"/>
    <n v="125.59228"/>
    <n v="60.587470000000003"/>
    <n v="116.30904"/>
    <n v="1067.2163700000001"/>
    <m/>
    <m/>
    <m/>
  </r>
  <r>
    <x v="0"/>
    <x v="12"/>
    <x v="12"/>
    <n v="5823.9152899999999"/>
    <n v="753.66932999999995"/>
    <n v="898.21028999999999"/>
    <n v="890.38783999999998"/>
    <n v="604.74558999999999"/>
    <n v="548.57722000000001"/>
    <n v="756.08013000000005"/>
    <n v="127.67228"/>
    <n v="61.174140000000001"/>
    <n v="113.2989"/>
    <n v="1070.0995700000001"/>
    <m/>
    <m/>
    <m/>
  </r>
  <r>
    <x v="1"/>
    <x v="0"/>
    <x v="0"/>
    <n v="16044.446630000002"/>
    <n v="2281.5405900000001"/>
    <n v="3074.11859"/>
    <n v="2539.6782400000002"/>
    <n v="1899.8460500000001"/>
    <n v="1720.97937"/>
    <n v="2278.3491800000002"/>
    <n v="321.10332"/>
    <n v="259.06742000000003"/>
    <n v="195.79333"/>
    <n v="1473.97054"/>
    <m/>
    <m/>
    <m/>
  </r>
  <r>
    <x v="1"/>
    <x v="1"/>
    <x v="1"/>
    <n v="16075.83808"/>
    <n v="2285.5872399999998"/>
    <n v="3081.8551299999999"/>
    <n v="2547.2393000000002"/>
    <n v="1900.9159199999999"/>
    <n v="1733.6313700000001"/>
    <n v="2287.59584"/>
    <n v="321.89533"/>
    <n v="258.18741999999997"/>
    <n v="197.79333"/>
    <n v="1461.1371999999999"/>
    <m/>
    <m/>
    <m/>
  </r>
  <r>
    <x v="1"/>
    <x v="2"/>
    <x v="2"/>
    <n v="16117.369020000002"/>
    <n v="2310.76215"/>
    <n v="3071.50848"/>
    <n v="2555.03368"/>
    <n v="1908.6092599999999"/>
    <n v="1740.6374900000001"/>
    <n v="2292.2291799999998"/>
    <n v="322.42201"/>
    <n v="257.18741999999997"/>
    <n v="194.24665999999999"/>
    <n v="1464.73269"/>
    <m/>
    <m/>
    <m/>
  </r>
  <r>
    <x v="1"/>
    <x v="3"/>
    <x v="3"/>
    <n v="16173.467299999998"/>
    <n v="2312.2192300000002"/>
    <n v="3112.1207300000001"/>
    <n v="2553.8496799999998"/>
    <n v="1909.06"/>
    <n v="1745.8517199999999"/>
    <n v="2301.3558499999999"/>
    <n v="324.13"/>
    <n v="254.52074999999999"/>
    <n v="199.23331999999999"/>
    <n v="1461.1260199999999"/>
    <m/>
    <m/>
    <m/>
  </r>
  <r>
    <x v="1"/>
    <x v="4"/>
    <x v="4"/>
    <n v="16089.231229999999"/>
    <n v="2253.25045"/>
    <n v="3116.8140600000002"/>
    <n v="2540.5232599999999"/>
    <n v="1916.5959"/>
    <n v="1721.0434600000001"/>
    <n v="2300.2846599999998"/>
    <n v="329.01666999999998"/>
    <n v="259.7901"/>
    <n v="200.47998999999999"/>
    <n v="1451.4326799999999"/>
    <m/>
    <m/>
    <m/>
  </r>
  <r>
    <x v="1"/>
    <x v="5"/>
    <x v="5"/>
    <n v="16252.089759999999"/>
    <n v="2300.8205400000002"/>
    <n v="3169.8244500000001"/>
    <n v="2547.7838200000001"/>
    <n v="1922.36258"/>
    <n v="1778.9434699999999"/>
    <n v="2287.5326599999999"/>
    <n v="333.59280000000001"/>
    <n v="259.67410000000001"/>
    <n v="196.03998999999999"/>
    <n v="1455.5153499999999"/>
    <m/>
    <m/>
    <m/>
  </r>
  <r>
    <x v="1"/>
    <x v="6"/>
    <x v="6"/>
    <n v="16282.377850000001"/>
    <n v="2300.9274399999999"/>
    <n v="3141.74413"/>
    <n v="2545.5320200000001"/>
    <n v="1939.6700599999999"/>
    <n v="1792.9501299999999"/>
    <n v="2321.0393199999999"/>
    <n v="335.04613000000001"/>
    <n v="259.42343"/>
    <n v="195.35999000000001"/>
    <n v="1450.6851999999999"/>
    <m/>
    <m/>
    <m/>
  </r>
  <r>
    <x v="1"/>
    <x v="7"/>
    <x v="7"/>
    <n v="16317.052879999997"/>
    <n v="2320.4061099999999"/>
    <n v="3154.62"/>
    <n v="2567.4622100000001"/>
    <n v="1908.2825800000001"/>
    <n v="1802.6398999999999"/>
    <n v="2313.5873499999998"/>
    <n v="332.51276999999999"/>
    <n v="265.69009999999997"/>
    <n v="200.00666000000001"/>
    <n v="1451.8452"/>
    <m/>
    <m/>
    <m/>
  </r>
  <r>
    <x v="1"/>
    <x v="8"/>
    <x v="8"/>
    <n v="16298.03794"/>
    <n v="2319.6327700000002"/>
    <n v="3147.1162399999998"/>
    <n v="2576.0635699999998"/>
    <n v="1908.08258"/>
    <n v="1793.97855"/>
    <n v="2306.0793699999999"/>
    <n v="328.97116999999997"/>
    <n v="269.30344000000002"/>
    <n v="199.25998999999999"/>
    <n v="1449.55026"/>
    <m/>
    <m/>
    <m/>
  </r>
  <r>
    <x v="1"/>
    <x v="9"/>
    <x v="9"/>
    <n v="16334.567389999998"/>
    <n v="2352.6661199999999"/>
    <n v="3155.3872000000001"/>
    <n v="2597.3224700000001"/>
    <n v="1937.36339"/>
    <n v="1764.3167900000001"/>
    <n v="2280.65272"/>
    <n v="333.10021"/>
    <n v="267.46343999999999"/>
    <n v="198.99332000000001"/>
    <n v="1447.3017299999965"/>
    <m/>
    <m/>
    <m/>
  </r>
  <r>
    <x v="1"/>
    <x v="10"/>
    <x v="10"/>
    <n v="16549.252569999997"/>
    <n v="2394.8143700000001"/>
    <n v="3177.4580999999998"/>
    <n v="2607.6821799999998"/>
    <n v="1948.27594"/>
    <n v="1815.7968000000001"/>
    <n v="2289.3312799999999"/>
    <n v="332.54021"/>
    <n v="266.90343999999999"/>
    <n v="204.29998000000001"/>
    <n v="1512.1502700000001"/>
    <m/>
    <m/>
    <m/>
  </r>
  <r>
    <x v="1"/>
    <x v="11"/>
    <x v="11"/>
    <n v="16641.029740000002"/>
    <n v="2421.42767"/>
    <n v="3205.8655699999999"/>
    <n v="2605.16192"/>
    <n v="1953.4092599999999"/>
    <n v="1853.8169399999999"/>
    <n v="2288.5712800000001"/>
    <n v="328.27355"/>
    <n v="264.14344"/>
    <n v="203.21997999999999"/>
    <n v="1517.14013"/>
    <m/>
    <m/>
    <m/>
  </r>
  <r>
    <x v="1"/>
    <x v="12"/>
    <x v="12"/>
    <n v="17162.906209999997"/>
    <n v="2677.2943399999999"/>
    <n v="3282.1989400000002"/>
    <n v="2586.4971599999999"/>
    <n v="1918.83753"/>
    <n v="2027.14555"/>
    <n v="2312.2215900000001"/>
    <n v="335.70278999999999"/>
    <n v="263.43677000000002"/>
    <n v="204.00665000000001"/>
    <n v="1555.5648900000001"/>
    <m/>
    <m/>
    <m/>
  </r>
  <r>
    <x v="2"/>
    <x v="0"/>
    <x v="0"/>
    <n v="1976.0221699999997"/>
    <n v="219.18887000000001"/>
    <n v="280.4803"/>
    <n v="456.86613999999997"/>
    <n v="185.25094000000001"/>
    <n v="176.1662"/>
    <n v="294.49079999999998"/>
    <n v="3.1295999999999999"/>
    <n v="220.84932000000001"/>
    <n v="139.6"/>
    <n v="0"/>
    <m/>
    <m/>
    <m/>
  </r>
  <r>
    <x v="2"/>
    <x v="1"/>
    <x v="1"/>
    <n v="1970.3488299999999"/>
    <n v="221.18887000000001"/>
    <n v="281.44029999999998"/>
    <n v="454.65280000000001"/>
    <n v="185.99761000000001"/>
    <n v="174.7662"/>
    <n v="295.09079000000003"/>
    <n v="3.1295999999999999"/>
    <n v="216.82266000000001"/>
    <n v="137.26"/>
    <n v="0"/>
    <m/>
    <m/>
    <m/>
  </r>
  <r>
    <x v="2"/>
    <x v="2"/>
    <x v="2"/>
    <n v="1971.6488299999999"/>
    <n v="220.40219999999999"/>
    <n v="278.22696999999999"/>
    <n v="457.60613000000001"/>
    <n v="186.64428000000001"/>
    <n v="175.6662"/>
    <n v="297.29079000000002"/>
    <n v="2.7296"/>
    <n v="215.82266000000001"/>
    <n v="137.26"/>
    <n v="0"/>
    <m/>
    <m/>
    <m/>
  </r>
  <r>
    <x v="2"/>
    <x v="3"/>
    <x v="3"/>
    <n v="1957.1393599999999"/>
    <n v="224.78887"/>
    <n v="245.82804999999999"/>
    <n v="462.93946"/>
    <n v="189.28"/>
    <n v="176.11953"/>
    <n v="295.27746000000002"/>
    <n v="2.73"/>
    <n v="222.22265999999999"/>
    <n v="137.95332999999999"/>
    <n v="0"/>
    <m/>
    <m/>
    <m/>
  </r>
  <r>
    <x v="2"/>
    <x v="4"/>
    <x v="4"/>
    <n v="1967.6365699999999"/>
    <n v="223.42886999999999"/>
    <n v="247.50138000000001"/>
    <n v="466.12612999999999"/>
    <n v="191.88427999999999"/>
    <n v="175.79953"/>
    <n v="294.81079"/>
    <n v="2.7296"/>
    <n v="229.10265999999999"/>
    <n v="136.25333000000001"/>
    <n v="0"/>
    <m/>
    <m/>
    <m/>
  </r>
  <r>
    <x v="2"/>
    <x v="5"/>
    <x v="5"/>
    <n v="1974.5464499999998"/>
    <n v="222.52221"/>
    <n v="248.68805"/>
    <n v="469.93599999999998"/>
    <n v="196.64428000000001"/>
    <n v="176.79953"/>
    <n v="295.77078999999998"/>
    <n v="2.7296"/>
    <n v="226.10265999999999"/>
    <n v="135.35333"/>
    <n v="0"/>
    <m/>
    <m/>
    <m/>
  </r>
  <r>
    <x v="2"/>
    <x v="6"/>
    <x v="6"/>
    <n v="1988.78107"/>
    <n v="225.92221000000001"/>
    <n v="247.78801999999999"/>
    <n v="472.53359"/>
    <n v="196.25761"/>
    <n v="178.14619999999999"/>
    <n v="298.87745000000001"/>
    <n v="2"/>
    <n v="233.10265999999999"/>
    <n v="134.15333000000001"/>
    <n v="0"/>
    <m/>
    <m/>
    <m/>
  </r>
  <r>
    <x v="2"/>
    <x v="7"/>
    <x v="7"/>
    <n v="1992.7210699999998"/>
    <n v="225.52887999999999"/>
    <n v="247.58802"/>
    <n v="479.37358"/>
    <n v="189.28428"/>
    <n v="181.14619999999999"/>
    <n v="301.87745000000001"/>
    <n v="2"/>
    <n v="233.70266000000001"/>
    <n v="132.22"/>
    <n v="0"/>
    <m/>
    <m/>
    <m/>
  </r>
  <r>
    <x v="2"/>
    <x v="8"/>
    <x v="8"/>
    <n v="1989.4477200000001"/>
    <n v="226.16888"/>
    <n v="246.97468000000001"/>
    <n v="479.54025000000001"/>
    <n v="189.28428"/>
    <n v="177.5462"/>
    <n v="300.95744000000002"/>
    <n v="2"/>
    <n v="233.75599"/>
    <n v="133.22"/>
    <n v="0"/>
    <m/>
    <m/>
    <m/>
  </r>
  <r>
    <x v="2"/>
    <x v="9"/>
    <x v="9"/>
    <n v="1998.2877100000003"/>
    <n v="227.04888"/>
    <n v="247.14134000000001"/>
    <n v="486.06025"/>
    <n v="194.15761000000001"/>
    <n v="176.34620000000001"/>
    <n v="299.85744"/>
    <n v="2"/>
    <n v="233.55599000000001"/>
    <n v="132.12"/>
    <n v="0"/>
    <m/>
    <m/>
    <m/>
  </r>
  <r>
    <x v="2"/>
    <x v="10"/>
    <x v="10"/>
    <n v="2010.5525200000002"/>
    <n v="228.67554999999999"/>
    <n v="252.69414"/>
    <n v="481.84559000000002"/>
    <n v="195.85760999999999"/>
    <n v="178.34620000000001"/>
    <n v="299.65744000000001"/>
    <n v="2"/>
    <n v="238.35598999999999"/>
    <n v="133.12"/>
    <n v="0"/>
    <m/>
    <m/>
    <m/>
  </r>
  <r>
    <x v="2"/>
    <x v="11"/>
    <x v="11"/>
    <n v="2017.1658599999998"/>
    <n v="225.94220999999999"/>
    <n v="255.30748"/>
    <n v="486.80559"/>
    <n v="197.00427999999999"/>
    <n v="178.77287000000001"/>
    <n v="299.85744"/>
    <n v="2"/>
    <n v="237.87599"/>
    <n v="133.6"/>
    <n v="0"/>
    <m/>
    <m/>
    <m/>
  </r>
  <r>
    <x v="2"/>
    <x v="12"/>
    <x v="12"/>
    <n v="2006.8258600000001"/>
    <n v="223.34888000000001"/>
    <n v="251.40747999999999"/>
    <n v="483.68558999999999"/>
    <n v="198.19094999999999"/>
    <n v="177.03287"/>
    <n v="297.03077000000002"/>
    <n v="2"/>
    <n v="239.47599"/>
    <n v="134.65333000000001"/>
    <n v="0"/>
    <m/>
    <m/>
    <m/>
  </r>
  <r>
    <x v="3"/>
    <x v="0"/>
    <x v="0"/>
    <n v="2939.13058"/>
    <n v="407.01737000000003"/>
    <n v="738.23014000000001"/>
    <n v="665.17831999999999"/>
    <n v="354.52704"/>
    <n v="315.13986"/>
    <n v="342.44292000000002"/>
    <n v="54.568269999999998"/>
    <n v="5.5"/>
    <n v="56.52666"/>
    <n v="0"/>
    <m/>
    <m/>
    <m/>
  </r>
  <r>
    <x v="3"/>
    <x v="1"/>
    <x v="1"/>
    <n v="2942.6905699999998"/>
    <n v="410.15069999999997"/>
    <n v="733.45681000000002"/>
    <n v="667.37165000000005"/>
    <n v="348.72037"/>
    <n v="315.13986"/>
    <n v="351.91624999999999"/>
    <n v="53.908270000000002"/>
    <n v="6.5"/>
    <n v="55.52666"/>
    <n v="0"/>
    <m/>
    <m/>
    <m/>
  </r>
  <r>
    <x v="3"/>
    <x v="2"/>
    <x v="2"/>
    <n v="2944.5334300000004"/>
    <n v="408.96275000000003"/>
    <n v="737.76347999999996"/>
    <n v="672.01577999999995"/>
    <n v="347.14037000000002"/>
    <n v="311.77985999999999"/>
    <n v="351.71625999999998"/>
    <n v="55.208269999999999"/>
    <n v="6.5"/>
    <n v="53.446660000000001"/>
    <n v="0"/>
    <m/>
    <m/>
    <m/>
  </r>
  <r>
    <x v="3"/>
    <x v="3"/>
    <x v="3"/>
    <n v="2946.2217300000002"/>
    <n v="410.76729"/>
    <n v="729.49014999999997"/>
    <n v="672.02377999999999"/>
    <n v="348.66"/>
    <n v="318.67426"/>
    <n v="350.00959"/>
    <n v="57.65"/>
    <n v="6.5"/>
    <n v="52.446660000000001"/>
    <n v="0"/>
    <m/>
    <m/>
    <m/>
  </r>
  <r>
    <x v="3"/>
    <x v="4"/>
    <x v="4"/>
    <n v="2970.2551400000002"/>
    <n v="393.65469000000002"/>
    <n v="737.99014999999997"/>
    <n v="675.48126000000002"/>
    <n v="356.42038000000002"/>
    <n v="336.13159999999999"/>
    <n v="352.47626000000002"/>
    <n v="60.154139999999998"/>
    <n v="5.5"/>
    <n v="52.446660000000001"/>
    <n v="0"/>
    <m/>
    <m/>
    <m/>
  </r>
  <r>
    <x v="3"/>
    <x v="5"/>
    <x v="5"/>
    <n v="2991.8453300000001"/>
    <n v="416.39156000000003"/>
    <n v="724.33681000000001"/>
    <n v="684.66791999999998"/>
    <n v="356.01371"/>
    <n v="332.96494000000001"/>
    <n v="356.80959000000001"/>
    <n v="61.75414"/>
    <n v="5.5"/>
    <n v="53.406660000000002"/>
    <n v="0"/>
    <m/>
    <m/>
    <m/>
  </r>
  <r>
    <x v="3"/>
    <x v="6"/>
    <x v="6"/>
    <n v="2990.6840100000009"/>
    <n v="421.31823000000003"/>
    <n v="714.91015000000004"/>
    <n v="688.89458000000002"/>
    <n v="352.42705000000001"/>
    <n v="330.56493999999998"/>
    <n v="360.17493000000002"/>
    <n v="62.354140000000001"/>
    <n v="6.5"/>
    <n v="53.539990000000003"/>
    <n v="0"/>
    <m/>
    <m/>
    <m/>
  </r>
  <r>
    <x v="3"/>
    <x v="7"/>
    <x v="7"/>
    <n v="3023.8168399999995"/>
    <n v="438.39823000000001"/>
    <n v="714.69681000000003"/>
    <n v="698.47457999999995"/>
    <n v="348.67371000000003"/>
    <n v="336.52445"/>
    <n v="362.21492999999998"/>
    <n v="62.354140000000001"/>
    <n v="7.5"/>
    <n v="54.979990000000001"/>
    <n v="0"/>
    <m/>
    <m/>
    <m/>
  </r>
  <r>
    <x v="3"/>
    <x v="8"/>
    <x v="8"/>
    <n v="3030.91471"/>
    <n v="444.48489999999998"/>
    <n v="715.41013999999996"/>
    <n v="698.46124999999995"/>
    <n v="348.47370999999998"/>
    <n v="328.68445000000003"/>
    <n v="369.95492999999999"/>
    <n v="61.965339999999998"/>
    <n v="7.5"/>
    <n v="55.979990000000001"/>
    <n v="0"/>
    <m/>
    <m/>
    <m/>
  </r>
  <r>
    <x v="3"/>
    <x v="9"/>
    <x v="9"/>
    <n v="3062.8467100000003"/>
    <n v="452.80489"/>
    <n v="717.26347999999996"/>
    <n v="710.41084000000001"/>
    <n v="355.77611999999999"/>
    <n v="329.41777999999999"/>
    <n v="368.52159999999998"/>
    <n v="61.972009999999997"/>
    <n v="7.5"/>
    <n v="58.979990000000001"/>
    <n v="0.2"/>
    <m/>
    <m/>
    <m/>
  </r>
  <r>
    <x v="3"/>
    <x v="10"/>
    <x v="10"/>
    <n v="3080.0805599999999"/>
    <n v="450.11822999999998"/>
    <n v="725.27012999999999"/>
    <n v="709.64471000000003"/>
    <n v="360.24277999999998"/>
    <n v="329.24444999999997"/>
    <n v="374.50826000000001"/>
    <n v="62.972009999999997"/>
    <n v="7.5"/>
    <n v="59.979990000000001"/>
    <n v="0.6"/>
    <m/>
    <m/>
    <m/>
  </r>
  <r>
    <x v="3"/>
    <x v="11"/>
    <x v="11"/>
    <n v="3087.5485699999999"/>
    <n v="452.99157000000002"/>
    <n v="719.89679999999998"/>
    <n v="711.09938"/>
    <n v="361.14278000000002"/>
    <n v="333.45778000000001"/>
    <n v="374.70826"/>
    <n v="65.772009999999995"/>
    <n v="7.5"/>
    <n v="59.979990000000001"/>
    <n v="1"/>
    <m/>
    <m/>
    <m/>
  </r>
  <r>
    <x v="3"/>
    <x v="12"/>
    <x v="12"/>
    <n v="3096.1392299999998"/>
    <n v="452.54489999999998"/>
    <n v="728.50346000000002"/>
    <n v="711.39883999999995"/>
    <n v="362.78278"/>
    <n v="333.08258999999998"/>
    <n v="373.35491999999999"/>
    <n v="66.445080000000004"/>
    <n v="7.5"/>
    <n v="59.52666"/>
    <n v="1"/>
    <m/>
    <m/>
    <m/>
  </r>
  <r>
    <x v="4"/>
    <x v="0"/>
    <x v="0"/>
    <n v="17163.01355"/>
    <n v="2196.7496700000002"/>
    <n v="2938.0265599999998"/>
    <n v="2075.8648899999998"/>
    <n v="1922.8670400000001"/>
    <n v="1590.36231"/>
    <n v="2072.14212"/>
    <n v="529.58452999999997"/>
    <n v="928.96946000000003"/>
    <n v="2415.91165"/>
    <n v="492.53532000000001"/>
    <m/>
    <m/>
    <m/>
  </r>
  <r>
    <x v="4"/>
    <x v="1"/>
    <x v="1"/>
    <n v="17221.957739999998"/>
    <n v="2211.14005"/>
    <n v="2950.41374"/>
    <n v="2076.5502200000001"/>
    <n v="1922.8173300000001"/>
    <n v="1591.95804"/>
    <n v="2078.1918099999998"/>
    <n v="535.23784999999998"/>
    <n v="944.14919999999995"/>
    <n v="2415.6041799999998"/>
    <n v="495.89532000000003"/>
    <m/>
    <m/>
    <m/>
  </r>
  <r>
    <x v="4"/>
    <x v="2"/>
    <x v="2"/>
    <n v="17284.175449999999"/>
    <n v="2214.25792"/>
    <n v="2941.56149"/>
    <n v="2087.1729099999998"/>
    <n v="1930.6268299999999"/>
    <n v="1598.8559299999999"/>
    <n v="2095.1597900000002"/>
    <n v="537.35784000000001"/>
    <n v="941.73586"/>
    <n v="2432.1841800000002"/>
    <n v="505.2627"/>
    <m/>
    <m/>
    <m/>
  </r>
  <r>
    <x v="4"/>
    <x v="3"/>
    <x v="3"/>
    <n v="17375.45925"/>
    <n v="2221.4957899999999"/>
    <n v="2954.49271"/>
    <n v="2103.52198"/>
    <n v="1938.24"/>
    <n v="1603.07503"/>
    <n v="2090.0198"/>
    <n v="539.65"/>
    <n v="972.21906999999999"/>
    <n v="2444.3362200000001"/>
    <n v="508.40865000000002"/>
    <m/>
    <m/>
    <m/>
  </r>
  <r>
    <x v="4"/>
    <x v="4"/>
    <x v="4"/>
    <n v="17315.570490000002"/>
    <n v="2188.90272"/>
    <n v="2936.4754499999999"/>
    <n v="2112.3819699999999"/>
    <n v="1945.37743"/>
    <n v="1602.49929"/>
    <n v="2087.5466099999999"/>
    <n v="539.73436000000004"/>
    <n v="944.54706999999996"/>
    <n v="2453.0562300000001"/>
    <n v="505.04935999999998"/>
    <m/>
    <m/>
    <m/>
  </r>
  <r>
    <x v="4"/>
    <x v="5"/>
    <x v="5"/>
    <n v="17479.785970000001"/>
    <n v="2233.5481100000002"/>
    <n v="2938.9642399999998"/>
    <n v="2121.6886300000001"/>
    <n v="1968.4192700000001"/>
    <n v="1617.70595"/>
    <n v="2101.07197"/>
    <n v="545.26769000000002"/>
    <n v="974.20331999999996"/>
    <n v="2467.7341000000001"/>
    <n v="511.18268999999998"/>
    <m/>
    <m/>
    <m/>
  </r>
  <r>
    <x v="4"/>
    <x v="6"/>
    <x v="6"/>
    <n v="17593.484940000002"/>
    <n v="2270.0831600000001"/>
    <n v="2952.3240099999998"/>
    <n v="2131.8187699999999"/>
    <n v="1979.05152"/>
    <n v="1628.00261"/>
    <n v="2120.8253100000002"/>
    <n v="544.80101999999999"/>
    <n v="956.70387000000005"/>
    <n v="2487.8253100000002"/>
    <n v="522.04935999999998"/>
    <m/>
    <m/>
    <m/>
  </r>
  <r>
    <x v="4"/>
    <x v="7"/>
    <x v="7"/>
    <n v="17637.129730000001"/>
    <n v="2286.12581"/>
    <n v="2958.8049900000001"/>
    <n v="2141.6792999999998"/>
    <n v="1936.4404400000001"/>
    <n v="1635.4559300000001"/>
    <n v="2130.49197"/>
    <n v="549.94581000000005"/>
    <n v="967.90413999999998"/>
    <n v="2501.1253099999999"/>
    <n v="529.15602999999999"/>
    <m/>
    <m/>
    <m/>
  </r>
  <r>
    <x v="4"/>
    <x v="8"/>
    <x v="8"/>
    <n v="17691.783609999999"/>
    <n v="2309.9108000000001"/>
    <n v="2956.5716600000001"/>
    <n v="2148.4011599999999"/>
    <n v="1937.46711"/>
    <n v="1629.77108"/>
    <n v="2130.7619599999998"/>
    <n v="551.72581000000002"/>
    <n v="977.70603000000006"/>
    <n v="2520.6519699999999"/>
    <n v="528.81602999999996"/>
    <m/>
    <m/>
    <m/>
  </r>
  <r>
    <x v="4"/>
    <x v="9"/>
    <x v="9"/>
    <n v="17807.279920000001"/>
    <n v="2322.8001100000001"/>
    <n v="2964.3809700000002"/>
    <n v="2152.1928899999998"/>
    <n v="2002.3048899999999"/>
    <n v="1628.19976"/>
    <n v="2111.9555399999999"/>
    <n v="565.43065999999999"/>
    <n v="978.65935999999999"/>
    <n v="2545.6618400000002"/>
    <n v="535.69390000000055"/>
    <m/>
    <m/>
    <m/>
  </r>
  <r>
    <x v="4"/>
    <x v="10"/>
    <x v="10"/>
    <n v="17903.444599999999"/>
    <n v="2322.1558300000002"/>
    <n v="2966.50254"/>
    <n v="2160.1963300000002"/>
    <n v="2033.7882300000001"/>
    <n v="1655.3537200000001"/>
    <n v="2126.79522"/>
    <n v="565.00426000000004"/>
    <n v="970.68604000000005"/>
    <n v="2555.4018599999999"/>
    <n v="547.56056999999998"/>
    <m/>
    <m/>
    <m/>
  </r>
  <r>
    <x v="4"/>
    <x v="11"/>
    <x v="11"/>
    <n v="17986.417819999999"/>
    <n v="2330.4957800000002"/>
    <n v="2972.9846600000001"/>
    <n v="2161.5608699999998"/>
    <n v="2056.7815399999999"/>
    <n v="1675.2437"/>
    <n v="2115.68093"/>
    <n v="565.24427000000003"/>
    <n v="988.40363000000002"/>
    <n v="2565.06187"/>
    <n v="554.96056999999996"/>
    <m/>
    <m/>
    <m/>
  </r>
  <r>
    <x v="4"/>
    <x v="12"/>
    <x v="12"/>
    <n v="17981.588800000001"/>
    <n v="2334.6110899999999"/>
    <n v="2965.2462799999998"/>
    <n v="2154.6931800000002"/>
    <n v="2057.7006000000001"/>
    <n v="1670.60978"/>
    <n v="2115.4731900000002"/>
    <n v="561.44090000000006"/>
    <n v="990.73933"/>
    <n v="2567.6338700000001"/>
    <n v="563.44057999999995"/>
    <m/>
    <m/>
    <m/>
  </r>
  <r>
    <x v="5"/>
    <x v="0"/>
    <x v="0"/>
    <n v="6836.2171700000008"/>
    <n v="1072.72504"/>
    <n v="1261.02199"/>
    <n v="1061.0827099999999"/>
    <n v="1098.61645"/>
    <n v="759.78800999999999"/>
    <n v="1044.64249"/>
    <n v="154.94668999999999"/>
    <n v="0.66666999999999998"/>
    <n v="326.56713000000002"/>
    <n v="56.159990000000001"/>
    <m/>
    <m/>
    <m/>
  </r>
  <r>
    <x v="5"/>
    <x v="1"/>
    <x v="1"/>
    <n v="6811.6633599999996"/>
    <n v="1067.4183800000001"/>
    <n v="1253.6153300000001"/>
    <n v="1053.6094000000001"/>
    <n v="1095.8964699999999"/>
    <n v="757.30799999999999"/>
    <n v="1039.80916"/>
    <n v="156.10668999999999"/>
    <n v="0.66666999999999998"/>
    <n v="330.07326999999998"/>
    <n v="57.159990000000001"/>
    <m/>
    <m/>
    <m/>
  </r>
  <r>
    <x v="5"/>
    <x v="2"/>
    <x v="2"/>
    <n v="6804.9389800000008"/>
    <n v="1062.3783900000001"/>
    <n v="1257.4012"/>
    <n v="1052.04276"/>
    <n v="1095.9497799999999"/>
    <n v="758.27772000000004"/>
    <n v="1038.6624999999999"/>
    <n v="156.54669000000001"/>
    <n v="0.66666999999999998"/>
    <n v="325.38661000000002"/>
    <n v="57.626660000000001"/>
    <m/>
    <m/>
    <m/>
  </r>
  <r>
    <x v="5"/>
    <x v="3"/>
    <x v="3"/>
    <n v="6804.8925399999998"/>
    <n v="1062.3450600000001"/>
    <n v="1250.7478699999999"/>
    <n v="1046.3361199999999"/>
    <n v="1099.3399999999999"/>
    <n v="757.31772000000001"/>
    <n v="1045.7091600000001"/>
    <n v="159.27000000000001"/>
    <n v="1.33334"/>
    <n v="324.86660999999998"/>
    <n v="57.626660000000001"/>
    <m/>
    <m/>
    <m/>
  </r>
  <r>
    <x v="5"/>
    <x v="4"/>
    <x v="4"/>
    <n v="6813.3322799999996"/>
    <n v="1070.2050099999999"/>
    <n v="1254.3411900000001"/>
    <n v="1041.0428199999999"/>
    <n v="1104.5630799999999"/>
    <n v="756.59772999999996"/>
    <n v="1041.84248"/>
    <n v="159.41336000000001"/>
    <n v="0.66666999999999998"/>
    <n v="326.03327999999999"/>
    <n v="58.626660000000001"/>
    <m/>
    <m/>
    <m/>
  </r>
  <r>
    <x v="5"/>
    <x v="5"/>
    <x v="5"/>
    <n v="6784.0117199999995"/>
    <n v="1049.41039"/>
    <n v="1252.1995099999999"/>
    <n v="1038.3798899999999"/>
    <n v="1101.44975"/>
    <n v="753.68439000000001"/>
    <n v="1034.56915"/>
    <n v="161.49336"/>
    <n v="0.66666999999999998"/>
    <n v="333.53194999999999"/>
    <n v="58.626660000000001"/>
    <m/>
    <m/>
    <m/>
  </r>
  <r>
    <x v="5"/>
    <x v="6"/>
    <x v="6"/>
    <n v="6784.4487099999988"/>
    <n v="1037.9340199999999"/>
    <n v="1265.1195299999999"/>
    <n v="1038.9598800000001"/>
    <n v="1097.43643"/>
    <n v="751.86437999999998"/>
    <n v="1037.34916"/>
    <n v="162.70669000000001"/>
    <n v="0.66666999999999998"/>
    <n v="333.78528999999997"/>
    <n v="58.626660000000001"/>
    <m/>
    <m/>
    <m/>
  </r>
  <r>
    <x v="5"/>
    <x v="7"/>
    <x v="7"/>
    <n v="6791.7593699999998"/>
    <n v="1034.3446799999999"/>
    <n v="1268.7862"/>
    <n v="1042.4598599999999"/>
    <n v="1099.65644"/>
    <n v="751.70439999999996"/>
    <n v="1029.2891500000001"/>
    <n v="166.44002"/>
    <n v="0.66666999999999998"/>
    <n v="339.78528999999997"/>
    <n v="58.626660000000001"/>
    <m/>
    <m/>
    <m/>
  </r>
  <r>
    <x v="5"/>
    <x v="8"/>
    <x v="8"/>
    <n v="6779.8406999999997"/>
    <n v="1024.8446799999999"/>
    <n v="1265.54621"/>
    <n v="1041.55449"/>
    <n v="1099.65644"/>
    <n v="747.57773999999995"/>
    <n v="1029.3025"/>
    <n v="165.68002000000001"/>
    <n v="0.66666999999999998"/>
    <n v="346.38529"/>
    <n v="58.626660000000001"/>
    <m/>
    <m/>
    <m/>
  </r>
  <r>
    <x v="5"/>
    <x v="9"/>
    <x v="9"/>
    <n v="6794.03737"/>
    <n v="1023.89804"/>
    <n v="1269.7128600000001"/>
    <n v="1049.02783"/>
    <n v="1106.5530699999999"/>
    <n v="745.32440999999994"/>
    <n v="1026.28252"/>
    <n v="166.06668999999999"/>
    <n v="0.66666999999999998"/>
    <n v="347.87862000000001"/>
    <n v="58.626660000000001"/>
    <m/>
    <m/>
    <m/>
  </r>
  <r>
    <x v="5"/>
    <x v="10"/>
    <x v="10"/>
    <n v="6805.8870200000001"/>
    <n v="1022.92683"/>
    <n v="1266.7337"/>
    <n v="1053.50783"/>
    <n v="1104.5663999999999"/>
    <n v="748.55107999999996"/>
    <n v="1033.92254"/>
    <n v="166.72002000000001"/>
    <n v="0.66666999999999998"/>
    <n v="351.97194999999999"/>
    <n v="56.32"/>
    <m/>
    <m/>
    <m/>
  </r>
  <r>
    <x v="5"/>
    <x v="11"/>
    <x v="11"/>
    <n v="6848.1602499999999"/>
    <n v="1012.30673"/>
    <n v="1263.02702"/>
    <n v="1053.56114"/>
    <n v="1109.73975"/>
    <n v="806.01774999999998"/>
    <n v="1029.1492000000001"/>
    <n v="166.36002999999999"/>
    <n v="0.66666999999999998"/>
    <n v="351.01195999999999"/>
    <n v="56.32"/>
    <m/>
    <m/>
    <m/>
  </r>
  <r>
    <x v="5"/>
    <x v="12"/>
    <x v="12"/>
    <n v="7055.8455699999995"/>
    <n v="1008.63335"/>
    <n v="1261.11637"/>
    <n v="1054.61448"/>
    <n v="1121.4082800000001"/>
    <n v="1000.45591"/>
    <n v="1033.05186"/>
    <n v="166.86669000000001"/>
    <n v="0.66666999999999998"/>
    <n v="350.71195999999998"/>
    <n v="58.32"/>
    <m/>
    <m/>
    <m/>
  </r>
  <r>
    <x v="6"/>
    <x v="0"/>
    <x v="0"/>
    <n v="22684.14085"/>
    <n v="3478.8559399999999"/>
    <n v="4956.0634300000002"/>
    <n v="3862.1151500000001"/>
    <n v="3301.3555999999999"/>
    <n v="2655.8343799999998"/>
    <n v="3493.5979299999999"/>
    <n v="537.85841000000005"/>
    <n v="59.766649999999998"/>
    <n v="181.86"/>
    <n v="156.83336"/>
    <m/>
    <m/>
    <m/>
  </r>
  <r>
    <x v="6"/>
    <x v="1"/>
    <x v="1"/>
    <n v="22634.75488"/>
    <n v="3467.3659299999999"/>
    <n v="4958.8287499999997"/>
    <n v="3858.01755"/>
    <n v="3297.6294499999999"/>
    <n v="2644.4069100000002"/>
    <n v="3450.42121"/>
    <n v="543.65174000000002"/>
    <n v="59.939979999999998"/>
    <n v="185.86"/>
    <n v="168.63336000000001"/>
    <m/>
    <m/>
    <m/>
  </r>
  <r>
    <x v="6"/>
    <x v="2"/>
    <x v="2"/>
    <n v="22552.622859999999"/>
    <n v="3475.3907100000001"/>
    <n v="4929.5780699999996"/>
    <n v="3849.6964899999998"/>
    <n v="3287.4625099999998"/>
    <n v="2631.4335799999999"/>
    <n v="3428.7478700000001"/>
    <n v="540.46695"/>
    <n v="59.939979999999998"/>
    <n v="183.72667000000001"/>
    <n v="166.18002999999999"/>
    <m/>
    <m/>
    <m/>
  </r>
  <r>
    <x v="6"/>
    <x v="3"/>
    <x v="3"/>
    <n v="22496.422000000002"/>
    <n v="3463.1576300000002"/>
    <n v="4924.7700400000003"/>
    <n v="3854.2277100000001"/>
    <n v="3260.95"/>
    <n v="2629.3387200000002"/>
    <n v="3417.37455"/>
    <n v="532.69000000000005"/>
    <n v="60.939979999999998"/>
    <n v="187.79334"/>
    <n v="165.18002999999999"/>
    <m/>
    <m/>
    <m/>
  </r>
  <r>
    <x v="6"/>
    <x v="4"/>
    <x v="4"/>
    <n v="22452.394929999995"/>
    <n v="3470.2616899999998"/>
    <n v="4888.6166800000001"/>
    <n v="3863.9943699999999"/>
    <n v="3255.0726599999998"/>
    <n v="2621.4666999999999"/>
    <n v="3401.4246600000001"/>
    <n v="537.25815999999998"/>
    <n v="62.139980000000001"/>
    <n v="188.62"/>
    <n v="163.54003"/>
    <m/>
    <m/>
    <m/>
  </r>
  <r>
    <x v="6"/>
    <x v="5"/>
    <x v="5"/>
    <n v="22680.040119999994"/>
    <n v="3509.3824599999998"/>
    <n v="4915.5366999999997"/>
    <n v="3952.5378599999999"/>
    <n v="3273.34186"/>
    <n v="2681.6296200000002"/>
    <n v="3394.14464"/>
    <n v="536.96696999999995"/>
    <n v="63.03998"/>
    <n v="185.62"/>
    <n v="167.84003000000001"/>
    <m/>
    <m/>
    <m/>
  </r>
  <r>
    <x v="6"/>
    <x v="6"/>
    <x v="6"/>
    <n v="22887.205439999998"/>
    <n v="3518.7325999999998"/>
    <n v="4986.49269"/>
    <n v="3972.8944000000001"/>
    <n v="3301.7368000000001"/>
    <n v="2690.3773500000002"/>
    <n v="3466.20462"/>
    <n v="536.28697"/>
    <n v="63.03998"/>
    <n v="187.32"/>
    <n v="164.12003000000001"/>
    <m/>
    <m/>
    <m/>
  </r>
  <r>
    <x v="6"/>
    <x v="7"/>
    <x v="7"/>
    <n v="22846.124669999997"/>
    <n v="3519.7706600000001"/>
    <n v="4990.2753599999996"/>
    <n v="3962.53386"/>
    <n v="3257.4438500000001"/>
    <n v="2679.5506700000001"/>
    <n v="3477.6099599999998"/>
    <n v="539.52030999999999"/>
    <n v="60.939979999999998"/>
    <n v="191.96"/>
    <n v="166.52001999999999"/>
    <m/>
    <m/>
    <m/>
  </r>
  <r>
    <x v="6"/>
    <x v="8"/>
    <x v="8"/>
    <n v="22770.301060000002"/>
    <n v="3500.7566099999999"/>
    <n v="4978.9840599999998"/>
    <n v="3941.59024"/>
    <n v="3256.4438500000001"/>
    <n v="2673.6360300000001"/>
    <n v="3463.7833000000001"/>
    <n v="542.83365000000003"/>
    <n v="60.593310000000002"/>
    <n v="192.02665999999999"/>
    <n v="159.65334999999999"/>
    <m/>
    <m/>
    <m/>
  </r>
  <r>
    <x v="6"/>
    <x v="9"/>
    <x v="9"/>
    <n v="22825.079160000001"/>
    <n v="3505.0792799999999"/>
    <n v="4964.25209"/>
    <n v="3956.30611"/>
    <n v="3308.8270900000002"/>
    <n v="2669.6909900000001"/>
    <n v="3453.7899699999998"/>
    <n v="548.48031000000003"/>
    <n v="60.89331"/>
    <n v="190.61332999999999"/>
    <n v="167.14667999999998"/>
    <m/>
    <m/>
    <m/>
  </r>
  <r>
    <x v="6"/>
    <x v="10"/>
    <x v="10"/>
    <n v="22812.136189999997"/>
    <n v="3502.6924899999999"/>
    <n v="4917.4654099999998"/>
    <n v="3963.0210299999999"/>
    <n v="3313.8070899999998"/>
    <n v="2686.6163099999999"/>
    <n v="3467.60023"/>
    <n v="547.68030999999996"/>
    <n v="59.153309999999998"/>
    <n v="191.00666000000001"/>
    <n v="163.09334999999999"/>
    <m/>
    <m/>
    <m/>
  </r>
  <r>
    <x v="6"/>
    <x v="11"/>
    <x v="11"/>
    <n v="22926.302589999999"/>
    <n v="3520.6636699999999"/>
    <n v="4944.0512900000003"/>
    <n v="3980.1140999999998"/>
    <n v="3340.59429"/>
    <n v="2706.8075100000001"/>
    <n v="3464.7669000000001"/>
    <n v="555.59817999999996"/>
    <n v="57.233310000000003"/>
    <n v="193.37998999999999"/>
    <n v="163.09334999999999"/>
    <m/>
    <m/>
    <m/>
  </r>
  <r>
    <x v="6"/>
    <x v="12"/>
    <x v="12"/>
    <n v="23118.718839999998"/>
    <n v="3539.0889999999999"/>
    <n v="4948.5134799999996"/>
    <n v="4138.7972799999998"/>
    <n v="3340.5361499999999"/>
    <n v="2705.9216099999999"/>
    <n v="3480.8106400000001"/>
    <n v="554.77736000000004"/>
    <n v="58.479979999999998"/>
    <n v="190.37998999999999"/>
    <n v="161.41335000000001"/>
    <m/>
    <m/>
    <m/>
  </r>
  <r>
    <x v="7"/>
    <x v="0"/>
    <x v="0"/>
    <n v="6873.1678099999999"/>
    <n v="989.73257000000001"/>
    <n v="1316.6594299999999"/>
    <n v="1329.8985"/>
    <n v="951.73770000000002"/>
    <n v="684.06934999999999"/>
    <n v="1005.68223"/>
    <n v="37.431480000000001"/>
    <n v="83.083330000000004"/>
    <n v="473.87322"/>
    <n v="1"/>
    <m/>
    <m/>
    <m/>
  </r>
  <r>
    <x v="7"/>
    <x v="1"/>
    <x v="1"/>
    <n v="6871.2255599999999"/>
    <n v="991.24006999999995"/>
    <n v="1338.69371"/>
    <n v="1327.7985000000001"/>
    <n v="952.95198000000005"/>
    <n v="686.52468999999996"/>
    <n v="979.57402999999999"/>
    <n v="37.48603"/>
    <n v="84.183329999999998"/>
    <n v="471.77321999999998"/>
    <n v="1"/>
    <m/>
    <m/>
    <m/>
  </r>
  <r>
    <x v="7"/>
    <x v="2"/>
    <x v="2"/>
    <n v="6850.6377300000004"/>
    <n v="981.29007000000001"/>
    <n v="1340.9684199999999"/>
    <n v="1320.8484900000001"/>
    <n v="951.57961"/>
    <n v="690.76027999999997"/>
    <n v="973.18160999999998"/>
    <n v="37.786029999999997"/>
    <n v="83.45"/>
    <n v="469.77321999999998"/>
    <n v="1"/>
    <m/>
    <m/>
    <m/>
  </r>
  <r>
    <x v="7"/>
    <x v="3"/>
    <x v="3"/>
    <n v="6790.2371000000003"/>
    <n v="971.44006999999999"/>
    <n v="1319.3953799999999"/>
    <n v="1316.4207100000001"/>
    <n v="947.31"/>
    <n v="680.63869"/>
    <n v="962.39570000000003"/>
    <n v="37.380000000000003"/>
    <n v="87.583330000000004"/>
    <n v="466.67322000000001"/>
    <n v="1"/>
    <m/>
    <m/>
    <m/>
  </r>
  <r>
    <x v="7"/>
    <x v="4"/>
    <x v="4"/>
    <n v="6955.0783099999999"/>
    <n v="984.17007000000001"/>
    <n v="1333.1434200000001"/>
    <n v="1336.5818200000001"/>
    <n v="959.95444999999995"/>
    <n v="678.46785999999997"/>
    <n v="995.02882999999997"/>
    <n v="37.14481"/>
    <n v="92.220830000000007"/>
    <n v="537.36622"/>
    <n v="1"/>
    <m/>
    <m/>
    <m/>
  </r>
  <r>
    <x v="7"/>
    <x v="5"/>
    <x v="5"/>
    <n v="7023.0860599999996"/>
    <n v="998.41589999999997"/>
    <n v="1349.7815000000001"/>
    <n v="1351.4329299999999"/>
    <n v="957.57825000000003"/>
    <n v="681.81786"/>
    <n v="1014.7101"/>
    <n v="37.29148"/>
    <n v="91.01"/>
    <n v="540.04804000000001"/>
    <n v="1"/>
    <m/>
    <m/>
    <m/>
  </r>
  <r>
    <x v="7"/>
    <x v="6"/>
    <x v="6"/>
    <n v="7046.4214599999996"/>
    <n v="1005.22923"/>
    <n v="1344.5854899999999"/>
    <n v="1357.20793"/>
    <n v="960.19114000000002"/>
    <n v="688.56786"/>
    <n v="1024.3403699999999"/>
    <n v="37.23057"/>
    <n v="92.420829999999995"/>
    <n v="535.64804000000004"/>
    <n v="1"/>
    <m/>
    <m/>
    <m/>
  </r>
  <r>
    <x v="7"/>
    <x v="7"/>
    <x v="7"/>
    <n v="7069.2783400000008"/>
    <n v="1012.60823"/>
    <n v="1363.30321"/>
    <n v="1359.3079299999999"/>
    <n v="948.30628000000002"/>
    <n v="690.91252999999995"/>
    <n v="1033.0907199999999"/>
    <n v="36.23057"/>
    <n v="91.020830000000004"/>
    <n v="533.49803999999995"/>
    <n v="1"/>
    <m/>
    <m/>
    <m/>
  </r>
  <r>
    <x v="7"/>
    <x v="8"/>
    <x v="8"/>
    <n v="7064.6471399999991"/>
    <n v="1010.40823"/>
    <n v="1362.0492099999999"/>
    <n v="1357.8079299999999"/>
    <n v="948.30628000000002"/>
    <n v="689.79163000000005"/>
    <n v="1038.71624"/>
    <n v="35.830570000000002"/>
    <n v="90.520830000000004"/>
    <n v="530.21622000000002"/>
    <n v="1"/>
    <m/>
    <m/>
    <m/>
  </r>
  <r>
    <x v="7"/>
    <x v="9"/>
    <x v="9"/>
    <n v="7088.7025900000008"/>
    <n v="1011.52823"/>
    <n v="1344.5458599999999"/>
    <n v="1365.32321"/>
    <n v="974.29642999999999"/>
    <n v="698.78575999999998"/>
    <n v="1043.23335"/>
    <n v="34.852699999999999"/>
    <n v="91.220830000000007"/>
    <n v="523.91621999999995"/>
    <n v="1"/>
    <m/>
    <m/>
    <m/>
  </r>
  <r>
    <x v="7"/>
    <x v="10"/>
    <x v="10"/>
    <n v="7114.5977800000001"/>
    <n v="1001.28656"/>
    <n v="1365.80555"/>
    <n v="1374.8357100000001"/>
    <n v="972.20060000000001"/>
    <n v="692.28576999999996"/>
    <n v="1039.6938399999999"/>
    <n v="34.852699999999999"/>
    <n v="91.420829999999995"/>
    <n v="541.21622000000002"/>
    <n v="1"/>
    <m/>
    <m/>
    <m/>
  </r>
  <r>
    <x v="7"/>
    <x v="11"/>
    <x v="11"/>
    <n v="7155.8974500000004"/>
    <n v="1011.88656"/>
    <n v="1378.0510099999999"/>
    <n v="1379.7357099999999"/>
    <n v="978.71789999999999"/>
    <n v="701.09244000000001"/>
    <n v="1040.28908"/>
    <n v="35.352699999999999"/>
    <n v="90.420829999999995"/>
    <n v="539.35122000000001"/>
    <n v="1"/>
    <m/>
    <m/>
    <m/>
  </r>
  <r>
    <x v="7"/>
    <x v="12"/>
    <x v="12"/>
    <n v="7410.5436900000004"/>
    <n v="1097.3615600000001"/>
    <n v="1385.44435"/>
    <n v="1398.4534900000001"/>
    <n v="1041.20957"/>
    <n v="725.20807000000002"/>
    <n v="1098.9419"/>
    <n v="34.352699999999999"/>
    <n v="90.220830000000007"/>
    <n v="538.35122000000001"/>
    <n v="1"/>
    <m/>
    <m/>
    <m/>
  </r>
  <r>
    <x v="8"/>
    <x v="0"/>
    <x v="0"/>
    <n v="58.926639999999999"/>
    <n v="6.5"/>
    <n v="15.86"/>
    <n v="24.153310000000001"/>
    <n v="5.0133299999999998"/>
    <n v="5"/>
    <n v="2.4"/>
    <n v="0"/>
    <n v="0"/>
    <n v="0"/>
    <n v="0"/>
    <m/>
    <m/>
    <m/>
  </r>
  <r>
    <x v="8"/>
    <x v="1"/>
    <x v="1"/>
    <n v="57.52664"/>
    <n v="6.5"/>
    <n v="15.36"/>
    <n v="23.653310000000001"/>
    <n v="5.0133299999999998"/>
    <n v="5"/>
    <n v="2"/>
    <n v="0"/>
    <n v="0"/>
    <n v="0"/>
    <n v="0"/>
    <m/>
    <m/>
    <m/>
  </r>
  <r>
    <x v="8"/>
    <x v="2"/>
    <x v="2"/>
    <n v="66.753299999999996"/>
    <n v="6.5"/>
    <n v="15.36"/>
    <n v="33.266640000000002"/>
    <n v="4.6266600000000002"/>
    <n v="5"/>
    <n v="2"/>
    <n v="0"/>
    <n v="0"/>
    <n v="0"/>
    <n v="0"/>
    <m/>
    <m/>
    <m/>
  </r>
  <r>
    <x v="8"/>
    <x v="3"/>
    <x v="3"/>
    <n v="69.116640000000004"/>
    <n v="6.5"/>
    <n v="15.36"/>
    <n v="35.626640000000002"/>
    <n v="4.63"/>
    <n v="5"/>
    <n v="2"/>
    <n v="0"/>
    <n v="0"/>
    <n v="0"/>
    <n v="0"/>
    <m/>
    <m/>
    <m/>
  </r>
  <r>
    <x v="8"/>
    <x v="4"/>
    <x v="4"/>
    <n v="66.713300000000004"/>
    <n v="6.5"/>
    <n v="15.36"/>
    <n v="36.626640000000002"/>
    <n v="3.6266600000000002"/>
    <n v="2.6"/>
    <n v="2"/>
    <n v="0"/>
    <n v="0"/>
    <n v="0"/>
    <n v="0"/>
    <m/>
    <m/>
    <m/>
  </r>
  <r>
    <x v="8"/>
    <x v="5"/>
    <x v="5"/>
    <n v="89.7333"/>
    <n v="6.5"/>
    <n v="18.36"/>
    <n v="45.646639999999998"/>
    <n v="9.2266600000000007"/>
    <n v="7"/>
    <n v="3"/>
    <n v="0"/>
    <n v="0"/>
    <n v="0"/>
    <n v="0"/>
    <m/>
    <m/>
    <m/>
  </r>
  <r>
    <x v="8"/>
    <x v="6"/>
    <x v="6"/>
    <n v="83.746629999999996"/>
    <n v="6.5"/>
    <n v="18.36"/>
    <n v="44.259970000000003"/>
    <n v="5.6266600000000002"/>
    <n v="7"/>
    <n v="2"/>
    <n v="0"/>
    <n v="0"/>
    <n v="0"/>
    <n v="0"/>
    <m/>
    <m/>
    <m/>
  </r>
  <r>
    <x v="8"/>
    <x v="7"/>
    <x v="7"/>
    <n v="79.746629999999996"/>
    <n v="5.5"/>
    <n v="18.36"/>
    <n v="43.259970000000003"/>
    <n v="4.6266600000000002"/>
    <n v="7"/>
    <n v="1"/>
    <n v="0"/>
    <n v="0"/>
    <n v="0"/>
    <n v="0"/>
    <m/>
    <m/>
    <m/>
  </r>
  <r>
    <x v="8"/>
    <x v="8"/>
    <x v="8"/>
    <n v="66.546629999999993"/>
    <n v="3.5"/>
    <n v="17.86"/>
    <n v="38.959969999999998"/>
    <n v="4.6266600000000002"/>
    <n v="0.6"/>
    <n v="1"/>
    <n v="0"/>
    <n v="0"/>
    <n v="0"/>
    <n v="0"/>
    <m/>
    <m/>
    <m/>
  </r>
  <r>
    <x v="8"/>
    <x v="9"/>
    <x v="9"/>
    <n v="68.546629999999993"/>
    <n v="3.5"/>
    <n v="17.86"/>
    <n v="30.959969999999998"/>
    <n v="14.626659999999999"/>
    <n v="0.6"/>
    <n v="1"/>
    <n v="0"/>
    <n v="0"/>
    <n v="0"/>
    <n v="0"/>
    <m/>
    <m/>
    <m/>
  </r>
  <r>
    <x v="8"/>
    <x v="10"/>
    <x v="10"/>
    <n v="68.546629999999993"/>
    <n v="3.5"/>
    <n v="18.86"/>
    <n v="30.959969999999998"/>
    <n v="13.626659999999999"/>
    <n v="0.6"/>
    <n v="1"/>
    <n v="0"/>
    <n v="0"/>
    <n v="0"/>
    <n v="0"/>
    <m/>
    <m/>
    <m/>
  </r>
  <r>
    <x v="8"/>
    <x v="11"/>
    <x v="11"/>
    <n v="66.546629999999993"/>
    <n v="2"/>
    <n v="18.86"/>
    <n v="25.459969999999998"/>
    <n v="18.626660000000001"/>
    <n v="0.6"/>
    <n v="1"/>
    <n v="0"/>
    <n v="0"/>
    <n v="0"/>
    <n v="0"/>
    <m/>
    <m/>
    <m/>
  </r>
  <r>
    <x v="8"/>
    <x v="12"/>
    <x v="12"/>
    <n v="777.83992000000001"/>
    <n v="2"/>
    <n v="250.26"/>
    <n v="239.28659999999999"/>
    <n v="91.066659999999999"/>
    <n v="168.22666000000001"/>
    <n v="1"/>
    <n v="21.4"/>
    <n v="0"/>
    <n v="4.5999999999999996"/>
    <n v="0"/>
    <m/>
    <m/>
    <m/>
  </r>
  <r>
    <x v="0"/>
    <x v="13"/>
    <x v="13"/>
    <n v="5827.830390000001"/>
    <n v="740.59146999999996"/>
    <n v="900.92430000000002"/>
    <n v="896.18116999999995"/>
    <n v="602.05226000000005"/>
    <n v="546.03855999999996"/>
    <n v="757.88759000000005"/>
    <n v="129.23575"/>
    <n v="61.174140000000001"/>
    <n v="118.51224000000001"/>
    <n v="1075.2329099999999"/>
    <m/>
    <m/>
    <m/>
  </r>
  <r>
    <x v="0"/>
    <x v="14"/>
    <x v="14"/>
    <n v="5908.8338400000002"/>
    <n v="754.27814000000001"/>
    <n v="924.08029999999997"/>
    <n v="908.04115999999999"/>
    <n v="608.78558999999996"/>
    <n v="550.94228999999996"/>
    <n v="765.53799000000004"/>
    <n v="128.56908000000001"/>
    <n v="62.974139999999998"/>
    <n v="123.51224000000001"/>
    <n v="1082.1129100000001"/>
    <m/>
    <m/>
    <m/>
  </r>
  <r>
    <x v="0"/>
    <x v="15"/>
    <x v="15"/>
    <n v="5971.7496999999985"/>
    <n v="757.79147999999998"/>
    <n v="938.91363000000001"/>
    <n v="924.08916999999997"/>
    <n v="619.36558000000002"/>
    <n v="554.59348"/>
    <n v="778.35798999999997"/>
    <n v="130.26908"/>
    <n v="62.974139999999998"/>
    <n v="123.36891"/>
    <n v="1082.0262399999999"/>
    <m/>
    <m/>
    <m/>
  </r>
  <r>
    <x v="0"/>
    <x v="16"/>
    <x v="16"/>
    <n v="6004.5344800000003"/>
    <n v="766.79814999999996"/>
    <n v="950.36694999999997"/>
    <n v="919.22249999999997"/>
    <n v="620.43544999999995"/>
    <n v="559.94174999999996"/>
    <n v="791.08465999999999"/>
    <n v="131.39573999999999"/>
    <n v="62.57414"/>
    <n v="122.85557"/>
    <n v="1079.8595699999998"/>
    <m/>
    <m/>
    <m/>
  </r>
  <r>
    <x v="0"/>
    <x v="17"/>
    <x v="17"/>
    <n v="6128.2818399999996"/>
    <n v="781.39815999999996"/>
    <n v="962.86000999999999"/>
    <n v="934.96"/>
    <n v="644.20878000000005"/>
    <n v="577.40841"/>
    <n v="793.18277999999998"/>
    <n v="133.56587999999999"/>
    <n v="62.57414"/>
    <n v="122.00224"/>
    <n v="1116.1214399999999"/>
    <m/>
    <m/>
    <m/>
  </r>
  <r>
    <x v="0"/>
    <x v="18"/>
    <x v="18"/>
    <n v="6077.3318399999998"/>
    <n v="782.85469999999998"/>
    <n v="964.30668000000003"/>
    <n v="856.70919000000004"/>
    <n v="647.01544999999999"/>
    <n v="580.23081000000002"/>
    <n v="799.46464000000003"/>
    <n v="134.36588"/>
    <n v="62.57414"/>
    <n v="121.50224"/>
    <n v="1128.3081099999999"/>
    <m/>
    <m/>
    <m/>
  </r>
  <r>
    <x v="0"/>
    <x v="19"/>
    <x v="19"/>
    <n v="6168.8022199999996"/>
    <n v="783.09869000000003"/>
    <n v="964.78666999999996"/>
    <n v="939.17585999999994"/>
    <n v="642.19545000000005"/>
    <n v="588.65587000000005"/>
    <n v="805.63130999999998"/>
    <n v="132.60055"/>
    <n v="62.474139999999998"/>
    <n v="125.46223999999999"/>
    <n v="1124.72144"/>
    <m/>
    <m/>
    <m/>
  </r>
  <r>
    <x v="0"/>
    <x v="20"/>
    <x v="20"/>
    <n v="6174.86337"/>
    <n v="783.69203000000005"/>
    <n v="968.47333000000003"/>
    <n v="947.14634999999998"/>
    <n v="641.63278000000003"/>
    <n v="591.92920000000004"/>
    <n v="804.53130999999996"/>
    <n v="133.06721999999999"/>
    <n v="62.274140000000003"/>
    <n v="124.46223999999999"/>
    <n v="1117.6547700000001"/>
    <m/>
    <m/>
    <m/>
  </r>
  <r>
    <x v="0"/>
    <x v="21"/>
    <x v="21"/>
    <n v="6198.1438400000006"/>
    <n v="785.13202000000001"/>
    <n v="964.41385000000002"/>
    <n v="951.39031999999997"/>
    <n v="646.99945000000002"/>
    <n v="595.93584999999996"/>
    <n v="808.37131999999997"/>
    <n v="137.60321999999999"/>
    <n v="62.07414"/>
    <n v="124.06224"/>
    <n v="1122.1614300000001"/>
    <m/>
    <m/>
    <m/>
  </r>
  <r>
    <x v="0"/>
    <x v="22"/>
    <x v="22"/>
    <n v="6156.3294600000008"/>
    <n v="783.79282000000001"/>
    <n v="960.86717999999996"/>
    <n v="949.38396"/>
    <n v="708.40611000000001"/>
    <n v="594.09478000000001"/>
    <n v="804.83879000000002"/>
    <n v="135.59655000000001"/>
    <n v="63.087470000000003"/>
    <n v="125.06224"/>
    <n v="1031.19956"/>
    <m/>
    <m/>
    <m/>
  </r>
  <r>
    <x v="0"/>
    <x v="23"/>
    <x v="23"/>
    <n v="6155.5996100000002"/>
    <n v="780.15949000000001"/>
    <n v="960.42318999999998"/>
    <n v="947.81142999999997"/>
    <n v="714.63278000000003"/>
    <n v="591.38144"/>
    <n v="807.85212999999999"/>
    <n v="137.49655000000001"/>
    <n v="64.087469999999996"/>
    <n v="125.06224"/>
    <n v="1026.69289"/>
    <m/>
    <m/>
    <m/>
  </r>
  <r>
    <x v="0"/>
    <x v="24"/>
    <x v="24"/>
    <n v="6262.9397300000001"/>
    <n v="778.69604000000004"/>
    <n v="1057.1498899999999"/>
    <n v="936.04"/>
    <n v="713.29145000000005"/>
    <n v="627.98758999999995"/>
    <n v="798.47320000000002"/>
    <n v="134.86562000000001"/>
    <n v="64.054140000000004"/>
    <n v="123.84224"/>
    <n v="1028.5395599999999"/>
    <m/>
    <m/>
    <m/>
  </r>
  <r>
    <x v="1"/>
    <x v="13"/>
    <x v="13"/>
    <n v="17163.139520000001"/>
    <n v="2700.0710100000001"/>
    <n v="3258.7856000000002"/>
    <n v="2572.1819799999998"/>
    <n v="1906.7175199999999"/>
    <n v="2033.2063499999999"/>
    <n v="2350.9747699999998"/>
    <n v="333.28278999999998"/>
    <n v="264.87677000000002"/>
    <n v="201.32665"/>
    <n v="1541.7160799999999"/>
    <m/>
    <m/>
    <m/>
  </r>
  <r>
    <x v="1"/>
    <x v="14"/>
    <x v="14"/>
    <n v="17312.092809999998"/>
    <n v="2711.30195"/>
    <n v="3300.09843"/>
    <n v="2596.4129800000001"/>
    <n v="1924.1668500000001"/>
    <n v="2035.4863499999999"/>
    <n v="2370.3040999999998"/>
    <n v="333.05279000000002"/>
    <n v="272.32342999999997"/>
    <n v="202.43332000000001"/>
    <n v="1566.51261"/>
    <m/>
    <m/>
    <m/>
  </r>
  <r>
    <x v="1"/>
    <x v="15"/>
    <x v="15"/>
    <n v="17193.405420000003"/>
    <n v="2531.6243300000001"/>
    <n v="3317.7920300000001"/>
    <n v="2610.02682"/>
    <n v="1944.6147100000001"/>
    <n v="2010.86635"/>
    <n v="2361.9331299999999"/>
    <n v="333.95945"/>
    <n v="269.75009999999997"/>
    <n v="203.30026000000001"/>
    <n v="1609.5382400000001"/>
    <m/>
    <m/>
    <m/>
  </r>
  <r>
    <x v="1"/>
    <x v="16"/>
    <x v="16"/>
    <n v="17300.087319999999"/>
    <n v="2512.4614099999999"/>
    <n v="3333.94695"/>
    <n v="2604.8303000000001"/>
    <n v="1948.0616299999999"/>
    <n v="1989.48369"/>
    <n v="2364.5264900000002"/>
    <n v="331.68612999999999"/>
    <n v="269.88342999999998"/>
    <n v="340.71999"/>
    <n v="1604.4872999999957"/>
    <m/>
    <m/>
    <m/>
  </r>
  <r>
    <x v="1"/>
    <x v="17"/>
    <x v="17"/>
    <n v="17384.75144"/>
    <n v="2475.10419"/>
    <n v="3295.9290900000001"/>
    <n v="2614.2199999999998"/>
    <n v="1971.0896299999999"/>
    <n v="1957.8681099999999"/>
    <n v="2363.6475700000001"/>
    <n v="331.29946999999999"/>
    <n v="279.95675999999997"/>
    <n v="355.03998999999999"/>
    <n v="1740.59663"/>
    <m/>
    <m/>
    <m/>
  </r>
  <r>
    <x v="1"/>
    <x v="18"/>
    <x v="18"/>
    <n v="17197.245280000003"/>
    <n v="2224.1300999999999"/>
    <n v="3304.7491100000002"/>
    <n v="2577.2043399999998"/>
    <n v="2002.62429"/>
    <n v="1925.48342"/>
    <n v="2369.92355"/>
    <n v="338.25281000000001"/>
    <n v="298.45010000000002"/>
    <n v="357.04"/>
    <n v="1799.3875599999999"/>
    <m/>
    <m/>
    <m/>
  </r>
  <r>
    <x v="1"/>
    <x v="19"/>
    <x v="19"/>
    <n v="17750.852589999999"/>
    <n v="2490.0461100000002"/>
    <n v="3338.0877500000001"/>
    <n v="2624.4834300000002"/>
    <n v="2056.2989600000001"/>
    <n v="1943.6756499999999"/>
    <n v="2382.1190099999999"/>
    <n v="354.11282"/>
    <n v="326.9101"/>
    <n v="357.88"/>
    <n v="1877.23876"/>
    <m/>
    <m/>
    <m/>
  </r>
  <r>
    <x v="1"/>
    <x v="20"/>
    <x v="20"/>
    <n v="17840.437109999999"/>
    <n v="2511.59782"/>
    <n v="3347.1610700000001"/>
    <n v="2648.87093"/>
    <n v="2075.2869599999999"/>
    <n v="1959.78232"/>
    <n v="2392.4059200000002"/>
    <n v="353.86615999999998"/>
    <n v="337.65676999999999"/>
    <n v="356.08"/>
    <n v="1857.7291600000001"/>
    <m/>
    <m/>
    <m/>
  </r>
  <r>
    <x v="1"/>
    <x v="21"/>
    <x v="21"/>
    <n v="18255.59215"/>
    <n v="2618.4167400000001"/>
    <n v="3423.9805200000001"/>
    <n v="2743.7723000000001"/>
    <n v="2112.4539100000002"/>
    <n v="2004.22855"/>
    <n v="2412.0125800000001"/>
    <n v="361.05416000000002"/>
    <n v="342.47543000000002"/>
    <n v="360.25333000000001"/>
    <n v="1876.94463"/>
    <m/>
    <m/>
    <m/>
  </r>
  <r>
    <x v="1"/>
    <x v="22"/>
    <x v="22"/>
    <n v="18563.491440000002"/>
    <n v="2644.1659199999999"/>
    <n v="3467.2031999999999"/>
    <n v="2807.7339000000002"/>
    <n v="2143.7947100000001"/>
    <n v="2040.96722"/>
    <n v="2431.4458800000002"/>
    <n v="360.72082999999998"/>
    <n v="344.70209"/>
    <n v="368.78001"/>
    <n v="1953.97768"/>
    <m/>
    <m/>
    <m/>
  </r>
  <r>
    <x v="1"/>
    <x v="23"/>
    <x v="23"/>
    <n v="18750.06639"/>
    <n v="2674.6160399999999"/>
    <n v="3482.9085399999999"/>
    <n v="2848.65895"/>
    <n v="2152.8546999999999"/>
    <n v="2077.00693"/>
    <n v="2434.0094399999998"/>
    <n v="375.33416"/>
    <n v="344.70209"/>
    <n v="369.85307"/>
    <n v="1990.12247"/>
    <m/>
    <m/>
    <m/>
  </r>
  <r>
    <x v="1"/>
    <x v="24"/>
    <x v="24"/>
    <n v="18712.810880000001"/>
    <n v="2677.5408600000001"/>
    <n v="3474.2434400000002"/>
    <n v="2838.4"/>
    <n v="2130.7957799999999"/>
    <n v="2061.51494"/>
    <n v="2426.1624999999999"/>
    <n v="382.77202"/>
    <n v="339.56394"/>
    <n v="372.34613000000002"/>
    <n v="2009.47127"/>
    <m/>
    <m/>
    <m/>
  </r>
  <r>
    <x v="2"/>
    <x v="13"/>
    <x v="13"/>
    <n v="2024.4079900000002"/>
    <n v="227.26888"/>
    <n v="252.24081000000001"/>
    <n v="486.55225999999999"/>
    <n v="201.61761000000001"/>
    <n v="178.03287"/>
    <n v="299.03077000000002"/>
    <n v="3"/>
    <n v="239.51146"/>
    <n v="137.15333000000001"/>
    <n v="0"/>
    <m/>
    <m/>
    <m/>
  </r>
  <r>
    <x v="2"/>
    <x v="14"/>
    <x v="14"/>
    <n v="2040.6879900000004"/>
    <n v="227.72220999999999"/>
    <n v="250.38748000000001"/>
    <n v="491.84559000000002"/>
    <n v="202.61761000000001"/>
    <n v="178.05287000000001"/>
    <n v="300.23077000000001"/>
    <n v="3"/>
    <n v="249.17813000000001"/>
    <n v="137.65333000000001"/>
    <n v="0"/>
    <m/>
    <m/>
    <m/>
  </r>
  <r>
    <x v="2"/>
    <x v="15"/>
    <x v="15"/>
    <n v="2046.7679900000001"/>
    <n v="227.34888000000001"/>
    <n v="252.78747999999999"/>
    <n v="491.27226000000002"/>
    <n v="202.97761"/>
    <n v="180.05287000000001"/>
    <n v="302.16410000000002"/>
    <n v="4"/>
    <n v="248.51146"/>
    <n v="137.65333000000001"/>
    <n v="0"/>
    <m/>
    <m/>
    <m/>
  </r>
  <r>
    <x v="2"/>
    <x v="16"/>
    <x v="16"/>
    <n v="2049.31466"/>
    <n v="226.54888"/>
    <n v="252.66748000000001"/>
    <n v="486.98559"/>
    <n v="206.97761"/>
    <n v="179.95286999999999"/>
    <n v="304.52409999999998"/>
    <n v="4"/>
    <n v="252.00479999999999"/>
    <n v="135.65333000000001"/>
    <n v="0"/>
    <m/>
    <m/>
    <m/>
  </r>
  <r>
    <x v="2"/>
    <x v="17"/>
    <x v="17"/>
    <n v="2064.74109"/>
    <n v="227.65555000000001"/>
    <n v="254.94748999999999"/>
    <n v="492.26"/>
    <n v="208.77761000000001"/>
    <n v="177.87953999999999"/>
    <n v="303.68277"/>
    <n v="4"/>
    <n v="255.0848"/>
    <n v="140.45332999999999"/>
    <n v="0"/>
    <m/>
    <m/>
    <m/>
  </r>
  <r>
    <x v="2"/>
    <x v="18"/>
    <x v="18"/>
    <n v="2044.5512400000002"/>
    <n v="231.05555000000001"/>
    <n v="259.54750000000001"/>
    <n v="462.88348000000002"/>
    <n v="209.77761000000001"/>
    <n v="177.5462"/>
    <n v="303.18943999999999"/>
    <n v="4"/>
    <n v="256.89812999999998"/>
    <n v="139.65333000000001"/>
    <n v="0"/>
    <m/>
    <m/>
    <m/>
  </r>
  <r>
    <x v="2"/>
    <x v="19"/>
    <x v="19"/>
    <n v="2104.3000099999999"/>
    <n v="227.10888"/>
    <n v="259.45416"/>
    <n v="492.63225999999997"/>
    <n v="206.66426999999999"/>
    <n v="174.83287000000001"/>
    <n v="304.77611000000002"/>
    <n v="4"/>
    <n v="294.37813"/>
    <n v="140.45332999999999"/>
    <n v="0"/>
    <m/>
    <m/>
    <m/>
  </r>
  <r>
    <x v="2"/>
    <x v="20"/>
    <x v="20"/>
    <n v="2124.14401"/>
    <n v="227.50888"/>
    <n v="259.98748999999998"/>
    <n v="491.28293000000002"/>
    <n v="204.52427"/>
    <n v="178.83287000000001"/>
    <n v="302.97611000000001"/>
    <n v="4"/>
    <n v="312.57812999999999"/>
    <n v="142.45332999999999"/>
    <n v="0"/>
    <m/>
    <m/>
    <m/>
  </r>
  <r>
    <x v="2"/>
    <x v="21"/>
    <x v="21"/>
    <n v="2139.7821300000001"/>
    <n v="226.71555000000001"/>
    <n v="261.40082000000001"/>
    <n v="491.32292999999999"/>
    <n v="207.2576"/>
    <n v="180.96619999999999"/>
    <n v="303.57611000000003"/>
    <n v="4"/>
    <n v="320.48959000000002"/>
    <n v="144.05332999999999"/>
    <n v="0"/>
    <m/>
    <m/>
    <m/>
  </r>
  <r>
    <x v="2"/>
    <x v="22"/>
    <x v="22"/>
    <n v="2145.7621100000001"/>
    <n v="228.20887999999999"/>
    <n v="261.33415000000002"/>
    <n v="491.12959000000001"/>
    <n v="208.61760000000001"/>
    <n v="179.86619999999999"/>
    <n v="303.78944000000001"/>
    <n v="4"/>
    <n v="328.06292000000002"/>
    <n v="140.75333000000001"/>
    <n v="0"/>
    <m/>
    <m/>
    <m/>
  </r>
  <r>
    <x v="2"/>
    <x v="23"/>
    <x v="23"/>
    <n v="2157.5154499999999"/>
    <n v="228.12888000000001"/>
    <n v="263.23415"/>
    <n v="488.52958999999998"/>
    <n v="210.61760000000001"/>
    <n v="180.06620000000001"/>
    <n v="306.92277999999999"/>
    <n v="5"/>
    <n v="334.26292000000001"/>
    <n v="140.75333000000001"/>
    <n v="0"/>
    <m/>
    <m/>
    <m/>
  </r>
  <r>
    <x v="2"/>
    <x v="24"/>
    <x v="24"/>
    <n v="2168.3725199999999"/>
    <n v="222.70221000000001"/>
    <n v="260.50081"/>
    <n v="488.04"/>
    <n v="208.29759999999999"/>
    <n v="181.6662"/>
    <n v="306.78944999999999"/>
    <n v="5"/>
    <n v="352.82292000000001"/>
    <n v="142.55332999999999"/>
    <n v="0"/>
    <m/>
    <m/>
    <m/>
  </r>
  <r>
    <x v="3"/>
    <x v="13"/>
    <x v="13"/>
    <n v="3106.88591"/>
    <n v="448.24489999999997"/>
    <n v="733.70345999999995"/>
    <n v="711.29884000000004"/>
    <n v="366.24946"/>
    <n v="335.68259"/>
    <n v="374.23491999999999"/>
    <n v="68.445080000000004"/>
    <n v="7.5"/>
    <n v="60.52666"/>
    <n v="1"/>
    <m/>
    <m/>
    <m/>
  </r>
  <r>
    <x v="3"/>
    <x v="14"/>
    <x v="14"/>
    <n v="3122.2179100000003"/>
    <n v="451.12490000000003"/>
    <n v="735.41678999999999"/>
    <n v="717.13350000000003"/>
    <n v="370.96947"/>
    <n v="336.88258999999999"/>
    <n v="370.41892000000001"/>
    <n v="70.245080000000002"/>
    <n v="7.5"/>
    <n v="61.52666"/>
    <n v="1"/>
    <m/>
    <m/>
    <m/>
  </r>
  <r>
    <x v="3"/>
    <x v="15"/>
    <x v="15"/>
    <n v="3123.9216200000005"/>
    <n v="449.58303000000001"/>
    <n v="738.51012000000003"/>
    <n v="717.79348000000005"/>
    <n v="368.95614"/>
    <n v="335.28926000000001"/>
    <n v="374.35199"/>
    <n v="68.410939999999997"/>
    <n v="7.5"/>
    <n v="62.52666"/>
    <n v="1"/>
    <m/>
    <m/>
    <m/>
  </r>
  <r>
    <x v="3"/>
    <x v="16"/>
    <x v="16"/>
    <n v="3142.4714599999998"/>
    <n v="448.98302999999999"/>
    <n v="743.21677999999997"/>
    <n v="716.28680999999995"/>
    <n v="376.34280000000001"/>
    <n v="337.70258999999999"/>
    <n v="382.16798999999997"/>
    <n v="68.644800000000004"/>
    <n v="7.5"/>
    <n v="60.626660000000001"/>
    <n v="1"/>
    <m/>
    <m/>
    <m/>
  </r>
  <r>
    <x v="3"/>
    <x v="17"/>
    <x v="17"/>
    <n v="3172.7885099999994"/>
    <n v="459.3897"/>
    <n v="752.88316999999995"/>
    <n v="717.77"/>
    <n v="378.44279999999998"/>
    <n v="335.40924999999999"/>
    <n v="383.81466"/>
    <n v="69.552269999999993"/>
    <n v="7.5"/>
    <n v="67.026660000000007"/>
    <n v="1"/>
    <m/>
    <m/>
    <m/>
  </r>
  <r>
    <x v="3"/>
    <x v="18"/>
    <x v="18"/>
    <n v="3119.28694"/>
    <n v="462.54969999999997"/>
    <n v="747.91650000000004"/>
    <n v="658.12336000000005"/>
    <n v="381.12947000000003"/>
    <n v="336.72924999999998"/>
    <n v="384.64933000000002"/>
    <n v="71.662670000000006"/>
    <n v="8.5"/>
    <n v="67.026660000000007"/>
    <n v="1"/>
    <m/>
    <m/>
    <m/>
  </r>
  <r>
    <x v="3"/>
    <x v="19"/>
    <x v="19"/>
    <n v="3198.3962500000002"/>
    <n v="460.85637000000003"/>
    <n v="754.29648999999995"/>
    <n v="724.92467999999997"/>
    <n v="382.73746999999997"/>
    <n v="333.67590999999999"/>
    <n v="388.416"/>
    <n v="73.962670000000003"/>
    <n v="9.5"/>
    <n v="69.026660000000007"/>
    <n v="1"/>
    <m/>
    <m/>
    <m/>
  </r>
  <r>
    <x v="3"/>
    <x v="20"/>
    <x v="20"/>
    <n v="3200.7263699999999"/>
    <n v="457.8897"/>
    <n v="750.62181999999996"/>
    <n v="731.77080999999998"/>
    <n v="383.68414000000001"/>
    <n v="332.17590999999999"/>
    <n v="389.92133000000001"/>
    <n v="73.962670000000003"/>
    <n v="9.5"/>
    <n v="70.19999"/>
    <n v="1"/>
    <m/>
    <m/>
    <m/>
  </r>
  <r>
    <x v="3"/>
    <x v="21"/>
    <x v="21"/>
    <n v="3203.8164900000002"/>
    <n v="457.80302999999998"/>
    <n v="751.76180999999997"/>
    <n v="731.04413999999997"/>
    <n v="387.50414000000001"/>
    <n v="334.63938000000002"/>
    <n v="387.32132999999999"/>
    <n v="75.042670000000001"/>
    <n v="9.5"/>
    <n v="68.19999"/>
    <n v="1"/>
    <m/>
    <m/>
    <m/>
  </r>
  <r>
    <x v="3"/>
    <x v="22"/>
    <x v="22"/>
    <n v="3151.4015599999998"/>
    <n v="454.92968999999999"/>
    <n v="748.46208000000001"/>
    <n v="737.71214999999995"/>
    <n v="330.97746999999998"/>
    <n v="340.03937999999999"/>
    <n v="387.72133000000002"/>
    <n v="72.859470000000002"/>
    <n v="9.5"/>
    <n v="68.19999"/>
    <n v="1"/>
    <m/>
    <m/>
    <m/>
  </r>
  <r>
    <x v="3"/>
    <x v="23"/>
    <x v="23"/>
    <n v="3136.7495699999999"/>
    <n v="444.44968999999998"/>
    <n v="746.58208999999999"/>
    <n v="731.56547999999998"/>
    <n v="330.76414"/>
    <n v="339.83938000000001"/>
    <n v="393.18932999999998"/>
    <n v="73.659469999999999"/>
    <n v="9.5"/>
    <n v="65.19999"/>
    <n v="2"/>
    <m/>
    <m/>
    <m/>
  </r>
  <r>
    <x v="3"/>
    <x v="24"/>
    <x v="24"/>
    <n v="2981.9979400000002"/>
    <n v="427.92302000000001"/>
    <n v="632.32209"/>
    <n v="734.12"/>
    <n v="336.44414"/>
    <n v="306.48604"/>
    <n v="391.94400000000002"/>
    <n v="74.058660000000003"/>
    <n v="9.5"/>
    <n v="67.19999"/>
    <n v="2"/>
    <m/>
    <m/>
    <m/>
  </r>
  <r>
    <x v="4"/>
    <x v="13"/>
    <x v="13"/>
    <n v="17997.661970000001"/>
    <n v="2327.0977499999999"/>
    <n v="2965.8662800000002"/>
    <n v="2154.5014500000002"/>
    <n v="2066.70298"/>
    <n v="1673.3698899999999"/>
    <n v="2124.7955900000002"/>
    <n v="561.85423000000003"/>
    <n v="989.66600000000005"/>
    <n v="2570.2072199999998"/>
    <n v="563.60058000000004"/>
    <m/>
    <m/>
    <m/>
  </r>
  <r>
    <x v="4"/>
    <x v="14"/>
    <x v="14"/>
    <n v="18049.50014"/>
    <n v="2335.21893"/>
    <n v="2985.1244200000001"/>
    <n v="2153.7281200000002"/>
    <n v="2076.1528499999999"/>
    <n v="1693.8965599999999"/>
    <n v="2126.2995700000001"/>
    <n v="557.36090000000002"/>
    <n v="995.99640999999997"/>
    <n v="2574.5617999999999"/>
    <n v="551.16057999999998"/>
    <m/>
    <m/>
    <m/>
  </r>
  <r>
    <x v="4"/>
    <x v="15"/>
    <x v="15"/>
    <n v="18094.708480000001"/>
    <n v="2353.46785"/>
    <n v="2991.5377600000002"/>
    <n v="2155.5009599999998"/>
    <n v="2076.32618"/>
    <n v="1711.5198800000001"/>
    <n v="2125.7478900000001"/>
    <n v="559.95050000000003"/>
    <n v="996.97640999999999"/>
    <n v="2579.41381"/>
    <n v="544.26724000000002"/>
    <m/>
    <m/>
    <m/>
  </r>
  <r>
    <x v="4"/>
    <x v="16"/>
    <x v="16"/>
    <n v="18133.662950000002"/>
    <n v="2336.4111800000001"/>
    <n v="3013.1041399999999"/>
    <n v="2162.29"/>
    <n v="2088.5828499999998"/>
    <n v="1708.10401"/>
    <n v="2127.9436900000001"/>
    <n v="559.19467999999995"/>
    <n v="1000.3830799999999"/>
    <n v="2590.78208"/>
    <n v="546.86724000000061"/>
    <m/>
    <m/>
    <m/>
  </r>
  <r>
    <x v="4"/>
    <x v="17"/>
    <x v="17"/>
    <n v="18179.877099999998"/>
    <n v="2351.1186299999999"/>
    <n v="3006.1358799999998"/>
    <n v="2153.69"/>
    <n v="2100.20084"/>
    <n v="1699.18497"/>
    <n v="2149.5071600000001"/>
    <n v="561.24135000000001"/>
    <n v="1006.55161"/>
    <n v="2607.7660799999999"/>
    <n v="544.48058000000003"/>
    <m/>
    <m/>
    <m/>
  </r>
  <r>
    <x v="4"/>
    <x v="18"/>
    <x v="18"/>
    <n v="18144.860200000003"/>
    <n v="2354.8573000000001"/>
    <n v="3013.0812000000001"/>
    <n v="2075.1499800000001"/>
    <n v="2120.8481200000001"/>
    <n v="1695.40924"/>
    <n v="2155.4272799999999"/>
    <n v="561.36216000000002"/>
    <n v="1003.67827"/>
    <n v="2623.39275"/>
    <n v="541.65390000000002"/>
    <m/>
    <m/>
    <m/>
  </r>
  <r>
    <x v="4"/>
    <x v="19"/>
    <x v="19"/>
    <n v="18379.962910000002"/>
    <n v="2378.6840999999999"/>
    <n v="3041.19454"/>
    <n v="2187.5166800000002"/>
    <n v="2133.37745"/>
    <n v="1717.0413599999999"/>
    <n v="2160.1769100000001"/>
    <n v="576.45547999999997"/>
    <n v="1004.17241"/>
    <n v="2635.2028700000001"/>
    <n v="546.14111000000003"/>
    <m/>
    <m/>
    <m/>
  </r>
  <r>
    <x v="4"/>
    <x v="20"/>
    <x v="20"/>
    <n v="18489.844810000002"/>
    <n v="2393.7807699999998"/>
    <n v="3049.9049100000002"/>
    <n v="2226.67"/>
    <n v="2131.9587799999999"/>
    <n v="1718.4013600000001"/>
    <n v="2170.79027"/>
    <n v="584.37787000000003"/>
    <n v="1009.74574"/>
    <n v="2650.0562100000002"/>
    <n v="554.15890000000002"/>
    <m/>
    <m/>
    <m/>
  </r>
  <r>
    <x v="4"/>
    <x v="21"/>
    <x v="21"/>
    <n v="18759.316400000003"/>
    <n v="2421.0783799999999"/>
    <n v="3090.5076600000002"/>
    <n v="2302.1724100000001"/>
    <n v="2166.4715700000002"/>
    <n v="1745.72468"/>
    <n v="2179.9490900000001"/>
    <n v="606.94561999999996"/>
    <n v="1020.44576"/>
    <n v="2669.6356599999999"/>
    <n v="556.38557000000003"/>
    <m/>
    <m/>
    <m/>
  </r>
  <r>
    <x v="4"/>
    <x v="22"/>
    <x v="22"/>
    <n v="18981.383590000001"/>
    <n v="2444.3236200000001"/>
    <n v="3107.55215"/>
    <n v="2314.3671899999999"/>
    <n v="2183.09211"/>
    <n v="1802.95136"/>
    <n v="2236.8096300000002"/>
    <n v="613.52723000000003"/>
    <n v="1028.27242"/>
    <n v="2688.4356499999999"/>
    <n v="562.05223000000001"/>
    <m/>
    <m/>
    <m/>
  </r>
  <r>
    <x v="4"/>
    <x v="23"/>
    <x v="23"/>
    <n v="19185.864030000001"/>
    <n v="2440.64401"/>
    <n v="3138.1476499999999"/>
    <n v="2334.2071900000001"/>
    <n v="2201.2721200000001"/>
    <n v="1873.54711"/>
    <n v="2261.1264299999998"/>
    <n v="625.39390000000003"/>
    <n v="1030.57908"/>
    <n v="2716.30764"/>
    <n v="564.63890000000004"/>
    <m/>
    <m/>
    <m/>
  </r>
  <r>
    <x v="4"/>
    <x v="24"/>
    <x v="24"/>
    <n v="18432.809660000003"/>
    <n v="2459.6824499999998"/>
    <n v="3132.2922699999999"/>
    <n v="2333.87"/>
    <n v="2205.9785299999999"/>
    <n v="1865.7649799999999"/>
    <n v="2264.24728"/>
    <n v="643.18589999999995"/>
    <n v="1061.9667999999999"/>
    <n v="1910.1857500000001"/>
    <n v="555.63570000000004"/>
    <m/>
    <m/>
    <m/>
  </r>
  <r>
    <x v="5"/>
    <x v="13"/>
    <x v="13"/>
    <n v="7073.5994499999997"/>
    <n v="997.46001999999999"/>
    <n v="1267.91021"/>
    <n v="1052.6944900000001"/>
    <n v="1116.1482900000001"/>
    <n v="1019.86924"/>
    <n v="1044.9652100000001"/>
    <n v="165.85336000000001"/>
    <n v="0.66666999999999998"/>
    <n v="349.71195999999998"/>
    <n v="58.32"/>
    <m/>
    <m/>
    <m/>
  </r>
  <r>
    <x v="5"/>
    <x v="14"/>
    <x v="14"/>
    <n v="7113.2970300000015"/>
    <n v="993.40669000000003"/>
    <n v="1271.40354"/>
    <n v="1054.8945100000001"/>
    <n v="1114.02134"/>
    <n v="1054.0692100000001"/>
    <n v="1054.3364200000001"/>
    <n v="166.61336"/>
    <n v="0.66666999999999998"/>
    <n v="344.25862999999998"/>
    <n v="59.626660000000001"/>
    <m/>
    <m/>
    <m/>
  </r>
  <r>
    <x v="5"/>
    <x v="15"/>
    <x v="15"/>
    <n v="7117.9959600000002"/>
    <n v="993.12669000000005"/>
    <n v="1274.30861"/>
    <n v="1059.1883399999999"/>
    <n v="1112.84799"/>
    <n v="1008.1492"/>
    <n v="1100.8631399999999"/>
    <n v="165.76003"/>
    <n v="0.66666999999999998"/>
    <n v="344.45863000000003"/>
    <n v="58.626660000000001"/>
    <m/>
    <m/>
    <m/>
  </r>
  <r>
    <x v="5"/>
    <x v="16"/>
    <x v="16"/>
    <n v="7092.6292399999993"/>
    <n v="983.57336999999995"/>
    <n v="1281.52863"/>
    <n v="1063.3016500000001"/>
    <n v="1104.4778699999999"/>
    <n v="988.28587000000005"/>
    <n v="1101.8365200000001"/>
    <n v="165.68002999999999"/>
    <n v="0.66666999999999998"/>
    <n v="344.65197000000001"/>
    <n v="58.626659999999994"/>
    <m/>
    <m/>
    <m/>
  </r>
  <r>
    <x v="5"/>
    <x v="17"/>
    <x v="17"/>
    <n v="7039.3199800000002"/>
    <n v="988.80204000000003"/>
    <n v="1284.72569"/>
    <n v="1060.6600000000001"/>
    <n v="1106.7778599999999"/>
    <n v="935.97922000000005"/>
    <n v="1088.8631700000001"/>
    <n v="165.4667"/>
    <n v="0.66666999999999998"/>
    <n v="348.75196999999997"/>
    <n v="58.626660000000001"/>
    <m/>
    <m/>
    <m/>
  </r>
  <r>
    <x v="5"/>
    <x v="18"/>
    <x v="18"/>
    <n v="7026.9640899999995"/>
    <n v="984.97536000000002"/>
    <n v="1289.78647"/>
    <n v="1068.0233499999999"/>
    <n v="1101.69787"/>
    <n v="924.86587999999995"/>
    <n v="1085.6365000000001"/>
    <n v="159.33336"/>
    <n v="0.66666999999999998"/>
    <n v="353.35196999999999"/>
    <n v="58.626660000000001"/>
    <m/>
    <m/>
    <m/>
  </r>
  <r>
    <x v="5"/>
    <x v="19"/>
    <x v="19"/>
    <n v="7074.669100000001"/>
    <n v="1003.66659"/>
    <n v="1294.7717700000001"/>
    <n v="1100.2317700000001"/>
    <n v="1100.13123"/>
    <n v="922.26588000000004"/>
    <n v="1079.16984"/>
    <n v="160.20003"/>
    <n v="0.66666999999999998"/>
    <n v="352.55196999999998"/>
    <n v="61.013350000000003"/>
    <m/>
    <m/>
    <m/>
  </r>
  <r>
    <x v="5"/>
    <x v="20"/>
    <x v="20"/>
    <n v="7077.0059100000008"/>
    <n v="1001.6503300000001"/>
    <n v="1300.27845"/>
    <n v="1101.97147"/>
    <n v="1094.4112299999999"/>
    <n v="917.01255000000003"/>
    <n v="1073.12986"/>
    <n v="162.32003"/>
    <n v="0.66666999999999998"/>
    <n v="359.55196999999998"/>
    <n v="66.013350000000003"/>
    <m/>
    <m/>
    <m/>
  </r>
  <r>
    <x v="5"/>
    <x v="21"/>
    <x v="21"/>
    <n v="7149.5097999999998"/>
    <n v="1013.76363"/>
    <n v="1303.7691299999999"/>
    <n v="1137.2314200000001"/>
    <n v="1105.54457"/>
    <n v="926.07921999999996"/>
    <n v="1066.52981"/>
    <n v="164.86002999999999"/>
    <n v="0.66666999999999998"/>
    <n v="365.05196999999998"/>
    <n v="66.013350000000003"/>
    <m/>
    <m/>
    <m/>
  </r>
  <r>
    <x v="5"/>
    <x v="22"/>
    <x v="22"/>
    <n v="7213.0055999999995"/>
    <n v="1029.9794899999999"/>
    <n v="1304.45579"/>
    <n v="1158.8113699999999"/>
    <n v="1114.1578999999999"/>
    <n v="934.75256000000002"/>
    <n v="1065.3564699999999"/>
    <n v="165.86002999999999"/>
    <n v="0.66666999999999998"/>
    <n v="372.95197000000002"/>
    <n v="66.013350000000003"/>
    <m/>
    <m/>
    <m/>
  </r>
  <r>
    <x v="5"/>
    <x v="23"/>
    <x v="23"/>
    <n v="7237.9756000000007"/>
    <n v="1037.48281"/>
    <n v="1303.42912"/>
    <n v="1166.91805"/>
    <n v="1115.06457"/>
    <n v="943.49256000000003"/>
    <n v="1066.22981"/>
    <n v="165.72668999999999"/>
    <n v="0.66666999999999998"/>
    <n v="372.95197000000002"/>
    <n v="66.013350000000003"/>
    <m/>
    <m/>
    <m/>
  </r>
  <r>
    <x v="5"/>
    <x v="24"/>
    <x v="24"/>
    <n v="7081.5740099999994"/>
    <n v="986.51922999999999"/>
    <n v="1249.3198500000001"/>
    <n v="1152.51"/>
    <n v="1114.8645799999999"/>
    <n v="948.20974999999999"/>
    <n v="1028.61193"/>
    <n v="168.56668999999999"/>
    <n v="0.66666999999999998"/>
    <n v="369.05196999999998"/>
    <n v="63.253340000000001"/>
    <m/>
    <m/>
    <m/>
  </r>
  <r>
    <x v="6"/>
    <x v="13"/>
    <x v="13"/>
    <n v="23105.163009999997"/>
    <n v="3530.02981"/>
    <n v="4952.9429799999998"/>
    <n v="4139.1303500000004"/>
    <n v="3332.8915999999999"/>
    <n v="2700.7616200000002"/>
    <n v="3484.64264"/>
    <n v="554.23734999999999"/>
    <n v="59.17998"/>
    <n v="188.13333"/>
    <n v="163.21334999999999"/>
    <m/>
    <m/>
    <m/>
  </r>
  <r>
    <x v="6"/>
    <x v="14"/>
    <x v="14"/>
    <n v="23057.151499999996"/>
    <n v="3525.7132499999998"/>
    <n v="4935.1349799999998"/>
    <n v="4108.6476899999998"/>
    <n v="3336.9361199999998"/>
    <n v="2703.5466799999999"/>
    <n v="3478.5965099999999"/>
    <n v="556.25629000000004"/>
    <n v="59.433309999999999"/>
    <n v="189.57999000000001"/>
    <n v="163.30668"/>
    <m/>
    <m/>
    <m/>
  </r>
  <r>
    <x v="6"/>
    <x v="15"/>
    <x v="15"/>
    <n v="23008.546999999999"/>
    <n v="3542.8535000000002"/>
    <n v="4908.8603199999998"/>
    <n v="4096.5405000000001"/>
    <n v="3329.4427599999999"/>
    <n v="2697.26134"/>
    <n v="3463.2656299999999"/>
    <n v="558.20295999999996"/>
    <n v="61.03331"/>
    <n v="187.97998999999999"/>
    <n v="163.10668999999999"/>
    <m/>
    <m/>
    <m/>
  </r>
  <r>
    <x v="6"/>
    <x v="16"/>
    <x v="16"/>
    <n v="23032.696640000002"/>
    <n v="3549.04072"/>
    <n v="4939.5002999999997"/>
    <n v="4089.4026600000002"/>
    <n v="3321.03343"/>
    <n v="2704.5869400000001"/>
    <n v="3458.3962900000001"/>
    <n v="556.14296999999999"/>
    <n v="59.433309999999999"/>
    <n v="188.78666000000001"/>
    <n v="166.37335999999999"/>
    <m/>
    <m/>
    <m/>
  </r>
  <r>
    <x v="6"/>
    <x v="17"/>
    <x v="17"/>
    <n v="23257.829320000001"/>
    <n v="3620.8497900000002"/>
    <n v="4929.9299199999996"/>
    <n v="4092.29"/>
    <n v="3369.2891500000001"/>
    <n v="2767.3602700000001"/>
    <n v="3491.88724"/>
    <n v="561.03629000000001"/>
    <n v="62.166640000000001"/>
    <n v="193.46665999999999"/>
    <n v="169.55336"/>
    <m/>
    <m/>
    <m/>
  </r>
  <r>
    <x v="6"/>
    <x v="18"/>
    <x v="18"/>
    <n v="22874.98069"/>
    <n v="3285.7497899999998"/>
    <n v="5014.0005700000002"/>
    <n v="3864.4663300000002"/>
    <n v="3398.50342"/>
    <n v="2778.04054"/>
    <n v="3548.1170900000002"/>
    <n v="557.51629000000003"/>
    <n v="64.166640000000001"/>
    <n v="195.85333"/>
    <n v="168.56668999999999"/>
    <m/>
    <m/>
    <m/>
  </r>
  <r>
    <x v="6"/>
    <x v="19"/>
    <x v="19"/>
    <n v="23563.553239999997"/>
    <n v="3668.3503099999998"/>
    <n v="5047.4379499999995"/>
    <n v="4095.7268399999998"/>
    <n v="3415.7666199999999"/>
    <n v="2773.9693499999998"/>
    <n v="3570.5771"/>
    <n v="558.72508000000005"/>
    <n v="63.153309999999998"/>
    <n v="196.47333"/>
    <n v="173.37334999999999"/>
    <m/>
    <m/>
    <m/>
  </r>
  <r>
    <x v="6"/>
    <x v="20"/>
    <x v="20"/>
    <n v="23573.604490000005"/>
    <n v="3687.7828300000001"/>
    <n v="5065.8806100000002"/>
    <n v="4074.9879500000002"/>
    <n v="3434.6524800000002"/>
    <n v="2759.1493700000001"/>
    <n v="3566.07285"/>
    <n v="554.80507999999998"/>
    <n v="64.953310000000002"/>
    <n v="196.51333"/>
    <n v="168.80668"/>
    <m/>
    <m/>
    <m/>
  </r>
  <r>
    <x v="6"/>
    <x v="21"/>
    <x v="21"/>
    <n v="23683.006719999998"/>
    <n v="3724.3865300000002"/>
    <n v="5076.5726800000002"/>
    <n v="4077.7736399999999"/>
    <n v="3456.6290199999999"/>
    <n v="2767.6736299999998"/>
    <n v="3573.19949"/>
    <n v="560.95840999999996"/>
    <n v="65.013310000000004"/>
    <n v="199.94"/>
    <n v="180.86000999999999"/>
    <m/>
    <m/>
    <m/>
  </r>
  <r>
    <x v="6"/>
    <x v="22"/>
    <x v="22"/>
    <n v="23785.57156"/>
    <n v="3755.5948600000002"/>
    <n v="5100.6145500000002"/>
    <n v="4077.8592400000002"/>
    <n v="3476.1090100000001"/>
    <n v="2777.94643"/>
    <n v="3588.4824100000001"/>
    <n v="565.77175"/>
    <n v="64.673310000000001"/>
    <n v="198.71333000000001"/>
    <n v="179.80667"/>
    <m/>
    <m/>
    <m/>
  </r>
  <r>
    <x v="6"/>
    <x v="23"/>
    <x v="23"/>
    <n v="23912.994880000002"/>
    <n v="3793.42632"/>
    <n v="5130.45082"/>
    <n v="4069.7467299999998"/>
    <n v="3499.3986100000002"/>
    <n v="2793.5408200000002"/>
    <n v="3600.5198599999999"/>
    <n v="570.49174000000005"/>
    <n v="66.139979999999994"/>
    <n v="200.44666000000001"/>
    <n v="188.83333999999999"/>
    <m/>
    <m/>
    <m/>
  </r>
  <r>
    <x v="6"/>
    <x v="24"/>
    <x v="24"/>
    <n v="23979.795579999998"/>
    <n v="3815.9649599999998"/>
    <n v="5126.5667000000003"/>
    <n v="4063.69"/>
    <n v="3539.6231699999998"/>
    <n v="2785.91687"/>
    <n v="3604.6624099999999"/>
    <n v="571.18481999999995"/>
    <n v="73.399979999999999"/>
    <n v="200.48666"/>
    <n v="198.30000999999999"/>
    <m/>
    <m/>
    <m/>
  </r>
  <r>
    <x v="7"/>
    <x v="13"/>
    <x v="13"/>
    <n v="7373.5629200000003"/>
    <n v="1027.42823"/>
    <n v="1415.82601"/>
    <n v="1408.9201800000001"/>
    <n v="1053.6817699999999"/>
    <n v="697.47474999999997"/>
    <n v="1107.3405600000001"/>
    <n v="34.652700000000003"/>
    <n v="90.787499999999994"/>
    <n v="536.45122000000003"/>
    <n v="1"/>
    <m/>
    <m/>
    <m/>
  </r>
  <r>
    <x v="7"/>
    <x v="14"/>
    <x v="14"/>
    <n v="7282.0633199999993"/>
    <n v="1027.1549"/>
    <n v="1421.8378700000001"/>
    <n v="1398.8029100000001"/>
    <n v="1000.59366"/>
    <n v="697.70807000000002"/>
    <n v="1069.64949"/>
    <n v="34.402700000000003"/>
    <n v="95.262500000000003"/>
    <n v="535.65121999999997"/>
    <n v="1"/>
    <m/>
    <m/>
    <m/>
  </r>
  <r>
    <x v="7"/>
    <x v="15"/>
    <x v="15"/>
    <n v="7189.8093599999993"/>
    <n v="1011.1982400000001"/>
    <n v="1401.1261999999999"/>
    <n v="1389.72874"/>
    <n v="999.02691000000004"/>
    <n v="686.91537000000005"/>
    <n v="1044.5429300000001"/>
    <n v="33.357250000000001"/>
    <n v="89.762500000000003"/>
    <n v="533.15121999999997"/>
    <n v="1"/>
    <m/>
    <m/>
    <m/>
  </r>
  <r>
    <x v="7"/>
    <x v="16"/>
    <x v="16"/>
    <n v="7130.2557999999999"/>
    <n v="1001.47407"/>
    <n v="1396.4003600000001"/>
    <n v="1349.1642999999999"/>
    <n v="945.82100000000003"/>
    <n v="640.32989999999995"/>
    <n v="1012.1052"/>
    <n v="33.157249999999998"/>
    <n v="96.262500000000003"/>
    <n v="654.54121999999995"/>
    <n v="1"/>
    <m/>
    <m/>
    <m/>
  </r>
  <r>
    <x v="7"/>
    <x v="17"/>
    <x v="17"/>
    <n v="7036.6141799999996"/>
    <n v="1015.84407"/>
    <n v="1316.9349500000001"/>
    <n v="1320.33"/>
    <n v="946.56475"/>
    <n v="645.86841000000004"/>
    <n v="1015.06095"/>
    <n v="34.044829999999997"/>
    <n v="94.224999999999994"/>
    <n v="646.74122"/>
    <n v="1"/>
    <m/>
    <m/>
    <m/>
  </r>
  <r>
    <x v="7"/>
    <x v="18"/>
    <x v="18"/>
    <n v="7063.0185099999999"/>
    <n v="1020.29991"/>
    <n v="1317.90877"/>
    <n v="1343.2094199999999"/>
    <n v="951.06475"/>
    <n v="646.28940999999998"/>
    <n v="1015.3852000000001"/>
    <n v="35.044829999999997"/>
    <n v="93.65"/>
    <n v="639.16621999999995"/>
    <n v="1"/>
    <m/>
    <m/>
    <m/>
  </r>
  <r>
    <x v="7"/>
    <x v="19"/>
    <x v="19"/>
    <n v="6986.2377299999989"/>
    <n v="1009.56251"/>
    <n v="1313.3937699999999"/>
    <n v="1308.5804499999999"/>
    <n v="940.75324999999998"/>
    <n v="650.86983999999995"/>
    <n v="1000.76686"/>
    <n v="35.044829999999997"/>
    <n v="94.65"/>
    <n v="631.61622"/>
    <n v="1"/>
    <m/>
    <m/>
    <m/>
  </r>
  <r>
    <x v="7"/>
    <x v="20"/>
    <x v="20"/>
    <n v="6981.4892099999997"/>
    <n v="1008.11584"/>
    <n v="1311.3690999999999"/>
    <n v="1303.7526700000001"/>
    <n v="943.15324999999996"/>
    <n v="650.19484"/>
    <n v="1005.84446"/>
    <n v="34.892829999999996"/>
    <n v="93.65"/>
    <n v="629.51621999999998"/>
    <n v="1"/>
    <m/>
    <m/>
    <m/>
  </r>
  <r>
    <x v="7"/>
    <x v="21"/>
    <x v="21"/>
    <n v="6835.1850300000006"/>
    <n v="969.92083000000002"/>
    <n v="1292.1357599999999"/>
    <n v="1267.60267"/>
    <n v="921.37390000000005"/>
    <n v="645.03751"/>
    <n v="980.84753000000001"/>
    <n v="35.672829999999998"/>
    <n v="93.75"/>
    <n v="627.84400000000005"/>
    <n v="1"/>
    <m/>
    <m/>
    <m/>
  </r>
  <r>
    <x v="7"/>
    <x v="22"/>
    <x v="22"/>
    <n v="6790.224439999999"/>
    <n v="960.51417000000004"/>
    <n v="1279.71569"/>
    <n v="1255.5676699999999"/>
    <n v="909.37390000000005"/>
    <n v="642.23262"/>
    <n v="966.53405999999995"/>
    <n v="34.442329999999998"/>
    <n v="95.75"/>
    <n v="645.09400000000005"/>
    <n v="1"/>
    <m/>
    <m/>
    <m/>
  </r>
  <r>
    <x v="7"/>
    <x v="23"/>
    <x v="23"/>
    <n v="6760.9023500000003"/>
    <n v="964.66499999999996"/>
    <n v="1282.7977800000001"/>
    <n v="1230.0876699999999"/>
    <n v="912.33056999999997"/>
    <n v="645.98612000000003"/>
    <n v="957.53088000000002"/>
    <n v="33.442329999999998"/>
    <n v="94.65"/>
    <n v="638.41200000000003"/>
    <n v="1"/>
    <m/>
    <m/>
    <m/>
  </r>
  <r>
    <x v="7"/>
    <x v="24"/>
    <x v="24"/>
    <n v="6658.7917900000002"/>
    <n v="950.22184000000004"/>
    <n v="1245.8447900000001"/>
    <n v="1208.58"/>
    <n v="903.53183000000001"/>
    <n v="642.05611999999996"/>
    <n v="941.40287999999998"/>
    <n v="32.642330000000001"/>
    <n v="98.85"/>
    <n v="634.66200000000003"/>
    <n v="1"/>
    <m/>
    <m/>
    <m/>
  </r>
  <r>
    <x v="8"/>
    <x v="13"/>
    <x v="13"/>
    <n v="1359.75992"/>
    <n v="2"/>
    <n v="340.66"/>
    <n v="227.48660000000001"/>
    <n v="266.06666000000001"/>
    <n v="193.54666"/>
    <n v="302.60000000000002"/>
    <n v="22.8"/>
    <n v="0"/>
    <n v="4.5999999999999996"/>
    <n v="0"/>
    <m/>
    <m/>
    <m/>
  </r>
  <r>
    <x v="8"/>
    <x v="14"/>
    <x v="14"/>
    <n v="1590.9599199999998"/>
    <n v="2"/>
    <n v="368.26"/>
    <n v="242.0866"/>
    <n v="391.46665999999999"/>
    <n v="210.74665999999999"/>
    <n v="349"/>
    <n v="22.8"/>
    <n v="0"/>
    <n v="4.5999999999999996"/>
    <n v="0"/>
    <m/>
    <m/>
    <m/>
  </r>
  <r>
    <x v="8"/>
    <x v="15"/>
    <x v="15"/>
    <n v="825.80662999999993"/>
    <n v="2"/>
    <n v="237.06"/>
    <n v="52.773299999999999"/>
    <n v="205.64"/>
    <n v="127.93333"/>
    <n v="185.4"/>
    <n v="12.2"/>
    <n v="0"/>
    <n v="2.8"/>
    <n v="0"/>
    <m/>
    <m/>
    <m/>
  </r>
  <r>
    <x v="8"/>
    <x v="16"/>
    <x v="16"/>
    <n v="809.9999499999999"/>
    <n v="2"/>
    <n v="359.26"/>
    <n v="46.353299999999997"/>
    <n v="185.64"/>
    <n v="67.533330000000007"/>
    <n v="137.01331999999999"/>
    <n v="10.4"/>
    <n v="0"/>
    <n v="1.8"/>
    <n v="0"/>
    <m/>
    <m/>
    <m/>
  </r>
  <r>
    <x v="8"/>
    <x v="17"/>
    <x v="17"/>
    <n v="505.58997999999997"/>
    <n v="1"/>
    <n v="216.06"/>
    <n v="34.090000000000003"/>
    <n v="142.63999999999999"/>
    <n v="15.533329999999999"/>
    <n v="87.453320000000005"/>
    <n v="7.4"/>
    <n v="0"/>
    <n v="1.41333"/>
    <n v="0"/>
    <m/>
    <m/>
    <m/>
  </r>
  <r>
    <x v="8"/>
    <x v="18"/>
    <x v="18"/>
    <n v="290.89330000000001"/>
    <n v="1"/>
    <n v="97.76"/>
    <n v="23.53331"/>
    <n v="113.84"/>
    <n v="6.1333299999999999"/>
    <n v="42.813330000000001"/>
    <n v="4.4000000000000004"/>
    <n v="0"/>
    <n v="1.41333"/>
    <n v="0"/>
    <m/>
    <m/>
    <m/>
  </r>
  <r>
    <x v="8"/>
    <x v="19"/>
    <x v="19"/>
    <n v="247.35330999999999"/>
    <n v="1"/>
    <n v="76.306669999999997"/>
    <n v="29.793310000000002"/>
    <n v="126.44"/>
    <n v="2"/>
    <n v="8"/>
    <n v="2.4"/>
    <n v="0"/>
    <n v="1.41333"/>
    <n v="0"/>
    <m/>
    <m/>
    <m/>
  </r>
  <r>
    <x v="8"/>
    <x v="20"/>
    <x v="20"/>
    <n v="213.33998"/>
    <n v="1"/>
    <n v="71.306669999999997"/>
    <n v="26.17998"/>
    <n v="104.04"/>
    <n v="1"/>
    <n v="7"/>
    <n v="1.4"/>
    <n v="0"/>
    <n v="1.41333"/>
    <n v="0"/>
    <m/>
    <m/>
    <m/>
  </r>
  <r>
    <x v="8"/>
    <x v="21"/>
    <x v="21"/>
    <n v="190.33998"/>
    <n v="1"/>
    <n v="65.306669999999997"/>
    <n v="28.17998"/>
    <n v="87.04"/>
    <n v="1"/>
    <n v="5"/>
    <n v="1.4"/>
    <n v="0"/>
    <n v="1.41333"/>
    <n v="0"/>
    <m/>
    <m/>
    <m/>
  </r>
  <r>
    <x v="8"/>
    <x v="22"/>
    <x v="22"/>
    <n v="206.01330000000002"/>
    <n v="1"/>
    <n v="62.806669999999997"/>
    <n v="28.17998"/>
    <n v="106.04"/>
    <n v="1"/>
    <n v="3.92"/>
    <n v="0"/>
    <n v="0"/>
    <n v="3.0666500000000001"/>
    <n v="0"/>
    <m/>
    <m/>
    <m/>
  </r>
  <r>
    <x v="8"/>
    <x v="23"/>
    <x v="23"/>
    <n v="181.4933"/>
    <n v="1"/>
    <n v="61.806669999999997"/>
    <n v="28.17998"/>
    <n v="82.04"/>
    <n v="1"/>
    <n v="3"/>
    <n v="1.4"/>
    <n v="0"/>
    <n v="3.0666500000000001"/>
    <n v="0"/>
    <m/>
    <m/>
    <m/>
  </r>
  <r>
    <x v="8"/>
    <x v="24"/>
    <x v="24"/>
    <n v="94.546649999999985"/>
    <n v="1"/>
    <n v="17.5"/>
    <n v="28.18"/>
    <n v="42.8"/>
    <n v="1"/>
    <n v="1"/>
    <n v="0"/>
    <n v="0"/>
    <n v="3.0666500000000001"/>
    <n v="0"/>
    <m/>
    <m/>
    <m/>
  </r>
  <r>
    <x v="0"/>
    <x v="25"/>
    <x v="25"/>
    <n v="6240.86078"/>
    <n v="772.62190999999996"/>
    <n v="1055.20642"/>
    <n v="934.8501"/>
    <n v="714.25144999999998"/>
    <n v="624.98758999999995"/>
    <n v="793.33135000000004"/>
    <n v="132.02562"/>
    <n v="65.294139999999999"/>
    <n v="123.59264"/>
    <n v="1024.69956"/>
    <m/>
    <m/>
    <m/>
  </r>
  <r>
    <x v="0"/>
    <x v="26"/>
    <x v="26"/>
    <n v="6576.2531999999992"/>
    <n v="771.35523999999998"/>
    <n v="1059.6966"/>
    <n v="1225.67795"/>
    <n v="717.42930999999999"/>
    <n v="625.22758999999996"/>
    <n v="845.93800999999996"/>
    <n v="131.93227999999999"/>
    <n v="66.254140000000007"/>
    <n v="121.99263999999999"/>
    <n v="1010.74944"/>
    <m/>
    <m/>
    <m/>
  </r>
  <r>
    <x v="0"/>
    <x v="27"/>
    <x v="27"/>
    <n v="6563.4438699999992"/>
    <n v="768.12858000000006"/>
    <n v="1052.0419199999999"/>
    <n v="1236.69181"/>
    <n v="713.89598000000001"/>
    <n v="622.78305999999998"/>
    <n v="843.07695000000001"/>
    <n v="131.48561000000001"/>
    <n v="64.854140000000001"/>
    <n v="121.76971"/>
    <n v="1008.71611"/>
    <m/>
    <m/>
    <m/>
  </r>
  <r>
    <x v="0"/>
    <x v="28"/>
    <x v="28"/>
    <n v="6627.4445100000003"/>
    <n v="773.76190999999994"/>
    <n v="1052.2859100000001"/>
    <n v="1257.4084800000001"/>
    <n v="711.59596999999997"/>
    <n v="624.94971999999996"/>
    <n v="850.55028000000004"/>
    <n v="133.24561"/>
    <n v="64.054140000000004"/>
    <n v="123.82304999999999"/>
    <n v="1035.76944"/>
    <m/>
    <m/>
    <m/>
  </r>
  <r>
    <x v="0"/>
    <x v="29"/>
    <x v="29"/>
    <n v="6736.7839300000005"/>
    <n v="787.60190999999998"/>
    <n v="1078.8704399999999"/>
    <n v="1280.1372799999999"/>
    <n v="714.75595999999996"/>
    <n v="633.48251000000005"/>
    <n v="857.25693999999999"/>
    <n v="136.57893999999999"/>
    <n v="67.320800000000006"/>
    <n v="123.84971"/>
    <n v="1056.9294400000001"/>
    <m/>
    <m/>
    <m/>
  </r>
  <r>
    <x v="0"/>
    <x v="30"/>
    <x v="30"/>
    <n v="6829.36967"/>
    <n v="809.54192"/>
    <n v="1084.2771"/>
    <n v="1296.2727600000001"/>
    <n v="724.62929999999994"/>
    <n v="645.40250000000003"/>
    <n v="859.30574000000001"/>
    <n v="135.36561"/>
    <n v="68.834130000000002"/>
    <n v="131.78304"/>
    <n v="1073.95757"/>
    <m/>
    <m/>
    <m/>
  </r>
  <r>
    <x v="0"/>
    <x v="31"/>
    <x v="31"/>
    <n v="6905.9635600000001"/>
    <n v="816.93790999999999"/>
    <n v="1097.1651099999999"/>
    <n v="1317.4661000000001"/>
    <n v="744.41597000000002"/>
    <n v="649.71583999999996"/>
    <n v="867.56173999999999"/>
    <n v="137.93227999999999"/>
    <n v="68.634129999999999"/>
    <n v="137.72357"/>
    <n v="1068.4109100000001"/>
    <m/>
    <m/>
    <m/>
  </r>
  <r>
    <x v="0"/>
    <x v="32"/>
    <x v="32"/>
    <n v="6846.827769999999"/>
    <n v="814.36458000000005"/>
    <n v="1099.09843"/>
    <n v="1235.3593100000001"/>
    <n v="737.38"/>
    <n v="649.30650000000003"/>
    <n v="881.33055000000002"/>
    <n v="135.52215000000001"/>
    <n v="67.534130000000005"/>
    <n v="136.26121000000001"/>
    <n v="1090.67091"/>
    <m/>
    <m/>
    <m/>
  </r>
  <r>
    <x v="0"/>
    <x v="33"/>
    <x v="33"/>
    <n v="6958.3205399999997"/>
    <n v="810.98458000000016"/>
    <n v="1107.7384400000001"/>
    <n v="1333.8794499999999"/>
    <n v="736.44263000000001"/>
    <n v="658.07983000000002"/>
    <n v="884.85055"/>
    <n v="132.04214999999999"/>
    <n v="68.934129999999996"/>
    <n v="136.1"/>
    <n v="1089.2687800000001"/>
    <m/>
    <m/>
    <m/>
  </r>
  <r>
    <x v="0"/>
    <x v="34"/>
    <x v="34"/>
    <n v="6948.8731899999984"/>
    <n v="811.64"/>
    <n v="1107.8491200000001"/>
    <n v="1337.8261199999999"/>
    <n v="732.76130000000001"/>
    <n v="659.73316"/>
    <n v="881.51721999999995"/>
    <n v="130.98882"/>
    <n v="68.134129999999999"/>
    <n v="136.26121000000001"/>
    <n v="1082.16211"/>
    <m/>
    <m/>
    <m/>
  </r>
  <r>
    <x v="0"/>
    <x v="35"/>
    <x v="35"/>
    <n v="6941.1501400000006"/>
    <n v="814.28458000000001"/>
    <n v="1109.74245"/>
    <n v="1330.99279"/>
    <n v="726.63944000000004"/>
    <n v="661.63049999999998"/>
    <n v="880.73055999999997"/>
    <n v="131.07575"/>
    <n v="66.94426"/>
    <n v="138.8477"/>
    <n v="1080.2621099999999"/>
    <m/>
    <m/>
    <m/>
  </r>
  <r>
    <x v="0"/>
    <x v="36"/>
    <x v="36"/>
    <n v="6877.3347900000008"/>
    <n v="795.38484000000005"/>
    <n v="1100.9227100000001"/>
    <n v="1334.1693299999999"/>
    <n v="714.28611000000001"/>
    <n v="656.44289000000003"/>
    <n v="869.28335000000004"/>
    <n v="129.09575000000001"/>
    <n v="66.644260000000003"/>
    <n v="139.3981"/>
    <n v="1071.7074500000001"/>
    <m/>
    <m/>
    <m/>
  </r>
  <r>
    <x v="1"/>
    <x v="25"/>
    <x v="25"/>
    <n v="18721.13695"/>
    <n v="2668.241"/>
    <n v="3497.78665"/>
    <n v="2821.2781799999998"/>
    <n v="2119.8499200000001"/>
    <n v="2063.27493"/>
    <n v="2414.1624999999999"/>
    <n v="384.57202000000001"/>
    <n v="340.70875999999998"/>
    <n v="368.82612999999998"/>
    <n v="2042.43686"/>
    <m/>
    <m/>
    <m/>
  </r>
  <r>
    <x v="1"/>
    <x v="26"/>
    <x v="26"/>
    <n v="18714.409160000003"/>
    <n v="2653.66527"/>
    <n v="3508.1293300000002"/>
    <n v="2812.8336399999998"/>
    <n v="2096.88996"/>
    <n v="2096.4385400000001"/>
    <n v="2407.0033100000001"/>
    <n v="386.40535999999997"/>
    <n v="346.40875999999997"/>
    <n v="365.01279"/>
    <n v="2041.6222"/>
    <m/>
    <m/>
    <m/>
  </r>
  <r>
    <x v="1"/>
    <x v="27"/>
    <x v="27"/>
    <n v="18651.635140000002"/>
    <n v="2651.7436699999998"/>
    <n v="3474.2829499999998"/>
    <n v="2826.5602899999999"/>
    <n v="2078.66329"/>
    <n v="2102.74161"/>
    <n v="2399.8033"/>
    <n v="385.15548999999999"/>
    <n v="343.03541000000001"/>
    <n v="359.95945999999998"/>
    <n v="2029.68967"/>
    <m/>
    <m/>
    <m/>
  </r>
  <r>
    <x v="1"/>
    <x v="28"/>
    <x v="28"/>
    <n v="18391.026329999997"/>
    <n v="2639.63699"/>
    <n v="3449.0645300000001"/>
    <n v="2782.2112099999999"/>
    <n v="2066.0374400000001"/>
    <n v="2083.8847900000001"/>
    <n v="2383.7166400000001"/>
    <n v="382.04136"/>
    <n v="337.91061000000002"/>
    <n v="250.93946"/>
    <n v="2015.5833"/>
    <m/>
    <m/>
    <m/>
  </r>
  <r>
    <x v="1"/>
    <x v="29"/>
    <x v="29"/>
    <n v="18349.398680000002"/>
    <n v="2641.9849899999999"/>
    <n v="3434.71279"/>
    <n v="2788.7437300000001"/>
    <n v="2055.0878400000001"/>
    <n v="2092.1229600000001"/>
    <n v="2369.4102499999999"/>
    <n v="385.37203"/>
    <n v="329.21194000000003"/>
    <n v="243.78668999999999"/>
    <n v="2008.9654599999999"/>
    <m/>
    <m/>
    <m/>
  </r>
  <r>
    <x v="1"/>
    <x v="30"/>
    <x v="30"/>
    <n v="18240.25433"/>
    <n v="2633.3858399999999"/>
    <n v="3432.5015800000001"/>
    <n v="2742.8968300000001"/>
    <n v="2054.7552900000001"/>
    <n v="2068.1721499999999"/>
    <n v="2360.1062700000002"/>
    <n v="374.9787"/>
    <n v="328.25193999999999"/>
    <n v="234.90669"/>
    <n v="2010.2990400000001"/>
    <m/>
    <m/>
    <m/>
  </r>
  <r>
    <x v="1"/>
    <x v="31"/>
    <x v="31"/>
    <n v="18359.255160000001"/>
    <n v="2636.2104199999999"/>
    <n v="3444.4290299999998"/>
    <n v="2744.0552400000001"/>
    <n v="2056.1046299999998"/>
    <n v="2071.9572199999998"/>
    <n v="2373.24253"/>
    <n v="377.09069"/>
    <n v="330.29194999999999"/>
    <n v="229.54669000000001"/>
    <n v="2096.3267599999999"/>
    <m/>
    <m/>
    <m/>
  </r>
  <r>
    <x v="1"/>
    <x v="32"/>
    <x v="32"/>
    <n v="18422.564629999997"/>
    <n v="2602.13706"/>
    <n v="3454.9576900000002"/>
    <n v="2832.8210800000002"/>
    <n v="2047.55"/>
    <n v="2068.3038900000001"/>
    <n v="2377.9246600000001"/>
    <n v="373.77069"/>
    <n v="339.89274999999998"/>
    <n v="227.84641999999999"/>
    <n v="2097.3603899999998"/>
    <m/>
    <m/>
    <m/>
  </r>
  <r>
    <x v="1"/>
    <x v="33"/>
    <x v="33"/>
    <n v="18540.448440000015"/>
    <n v="2629.552440000014"/>
    <n v="3514.2150099999999"/>
    <n v="2807.8136599999998"/>
    <n v="2047.1934000000001"/>
    <n v="2087.5228099999999"/>
    <n v="2412.3779800000002"/>
    <n v="379.54908"/>
    <n v="333.68608999999998"/>
    <n v="228.86"/>
    <n v="2099.6779700000002"/>
    <m/>
    <m/>
    <m/>
  </r>
  <r>
    <x v="1"/>
    <x v="34"/>
    <x v="34"/>
    <n v="18708.924910000002"/>
    <n v="2622.4"/>
    <n v="3533.30836"/>
    <n v="2831.0851200000002"/>
    <n v="2084.1475399999999"/>
    <n v="2108.1945599999999"/>
    <n v="2423.8011999999999"/>
    <n v="385.73975000000002"/>
    <n v="339.78609"/>
    <n v="228.22641999999999"/>
    <n v="2152.23587"/>
    <m/>
    <m/>
    <m/>
  </r>
  <r>
    <x v="1"/>
    <x v="35"/>
    <x v="35"/>
    <n v="18821.288780000017"/>
    <n v="2638.6039000000146"/>
    <n v="3543.9283500000001"/>
    <n v="2852.9267399999999"/>
    <n v="2087.94139"/>
    <n v="2127.78973"/>
    <n v="2467.5278600000001"/>
    <n v="397.16055"/>
    <n v="338.49941999999999"/>
    <n v="232.60642999999999"/>
    <n v="2134.3044100000002"/>
    <m/>
    <m/>
    <m/>
  </r>
  <r>
    <x v="1"/>
    <x v="36"/>
    <x v="36"/>
    <n v="18762.16647"/>
    <n v="2631.7542800000001"/>
    <n v="3562.0550499999999"/>
    <n v="2837.9277999999999"/>
    <n v="2072.2885999999999"/>
    <n v="2126.8298300000001"/>
    <n v="2469.69425"/>
    <n v="391.69628"/>
    <n v="335.73408000000001"/>
    <n v="229.27977000000001"/>
    <n v="2104.9065300000002"/>
    <m/>
    <m/>
    <m/>
  </r>
  <r>
    <x v="2"/>
    <x v="25"/>
    <x v="25"/>
    <n v="2156.7045199999993"/>
    <n v="221.94220999999999"/>
    <n v="259.35413999999997"/>
    <n v="495.02292999999997"/>
    <n v="204.99760000000001"/>
    <n v="180.40194"/>
    <n v="304.28944999999999"/>
    <n v="5"/>
    <n v="340.34291999999999"/>
    <n v="145.35333"/>
    <n v="0"/>
    <m/>
    <m/>
    <m/>
  </r>
  <r>
    <x v="2"/>
    <x v="26"/>
    <x v="26"/>
    <n v="2156.1778599999998"/>
    <n v="222.72219999999999"/>
    <n v="259.04748000000001"/>
    <n v="494.84960000000001"/>
    <n v="202.99760000000001"/>
    <n v="177.92860999999999"/>
    <n v="307.01612"/>
    <n v="5"/>
    <n v="340.26292000000001"/>
    <n v="146.35333"/>
    <n v="0"/>
    <m/>
    <m/>
    <m/>
  </r>
  <r>
    <x v="2"/>
    <x v="27"/>
    <x v="27"/>
    <n v="2160.2178599999997"/>
    <n v="222.06219999999999"/>
    <n v="257.88747999999998"/>
    <n v="499.0496"/>
    <n v="192.99760000000001"/>
    <n v="180.92860999999999"/>
    <n v="306.97611999999998"/>
    <n v="5"/>
    <n v="347.96292"/>
    <n v="147.35333"/>
    <n v="0"/>
    <m/>
    <m/>
    <m/>
  </r>
  <r>
    <x v="2"/>
    <x v="28"/>
    <x v="28"/>
    <n v="2166.8911900000003"/>
    <n v="221.82220000000001"/>
    <n v="257.89413999999999"/>
    <n v="502.77627000000001"/>
    <n v="190.99760000000001"/>
    <n v="180.72861"/>
    <n v="309.49612000000002"/>
    <n v="5"/>
    <n v="351.22291999999999"/>
    <n v="146.95332999999999"/>
    <n v="0"/>
    <m/>
    <m/>
    <m/>
  </r>
  <r>
    <x v="2"/>
    <x v="29"/>
    <x v="29"/>
    <n v="2201.8231900000001"/>
    <n v="220.44887"/>
    <n v="264.28746999999998"/>
    <n v="511.18293"/>
    <n v="196.50426999999999"/>
    <n v="184.82861"/>
    <n v="310.33611999999999"/>
    <n v="5"/>
    <n v="359.28158999999999"/>
    <n v="149.95332999999999"/>
    <n v="0"/>
    <m/>
    <m/>
    <m/>
  </r>
  <r>
    <x v="2"/>
    <x v="30"/>
    <x v="30"/>
    <n v="2218.1026400000001"/>
    <n v="225.09553"/>
    <n v="267.32080000000002"/>
    <n v="510.86905999999999"/>
    <n v="192.91093000000001"/>
    <n v="191.49528000000001"/>
    <n v="315.57612"/>
    <n v="4"/>
    <n v="360.08159000000001"/>
    <n v="150.75333000000001"/>
    <n v="0"/>
    <m/>
    <m/>
    <m/>
  </r>
  <r>
    <x v="2"/>
    <x v="31"/>
    <x v="31"/>
    <n v="2221.6133"/>
    <n v="224.70219"/>
    <n v="250.1208"/>
    <n v="520.62639999999999"/>
    <n v="193.40425999999999"/>
    <n v="194.49528000000001"/>
    <n v="320.08278999999999"/>
    <n v="4"/>
    <n v="362.82825000000003"/>
    <n v="151.35333"/>
    <n v="0"/>
    <m/>
    <m/>
    <m/>
  </r>
  <r>
    <x v="2"/>
    <x v="32"/>
    <x v="32"/>
    <n v="2207.1555599999997"/>
    <n v="226.80219"/>
    <n v="250.1208"/>
    <n v="488.09625999999997"/>
    <n v="192.31"/>
    <n v="193.81528"/>
    <n v="326.08278999999999"/>
    <n v="4"/>
    <n v="369.28158000000002"/>
    <n v="156.64666"/>
    <n v="0"/>
    <m/>
    <m/>
    <m/>
  </r>
  <r>
    <x v="2"/>
    <x v="33"/>
    <x v="33"/>
    <n v="2257.17292"/>
    <n v="226.6355299999999"/>
    <n v="252.9504"/>
    <n v="531.89306999999997"/>
    <n v="192.31093000000001"/>
    <n v="195.32194999999999"/>
    <n v="324.98279000000002"/>
    <n v="4"/>
    <n v="372.46825000000001"/>
    <n v="156.61000000000001"/>
    <n v="0"/>
    <m/>
    <m/>
    <m/>
  </r>
  <r>
    <x v="2"/>
    <x v="34"/>
    <x v="34"/>
    <n v="2267.3140600000002"/>
    <n v="229.98"/>
    <n v="254.61707000000001"/>
    <n v="533.07974000000002"/>
    <n v="196.31093000000001"/>
    <n v="195.32194999999999"/>
    <n v="324.08945999999997"/>
    <n v="4"/>
    <n v="373.26825000000002"/>
    <n v="156.64666"/>
    <n v="0"/>
    <m/>
    <m/>
    <m/>
  </r>
  <r>
    <x v="2"/>
    <x v="35"/>
    <x v="35"/>
    <n v="2278.2881099999995"/>
    <n v="228.78219999999996"/>
    <n v="260.52373"/>
    <n v="538.23973999999998"/>
    <n v="194.91093000000001"/>
    <n v="196.05528000000001"/>
    <n v="325.66946000000002"/>
    <n v="4.6133300000000004"/>
    <n v="372.71345000000002"/>
    <n v="156.77999"/>
    <n v="0"/>
    <m/>
    <m/>
    <m/>
  </r>
  <r>
    <x v="2"/>
    <x v="36"/>
    <x v="36"/>
    <n v="2268.66545"/>
    <n v="230.23553000000001"/>
    <n v="262.06373000000002"/>
    <n v="537.55974000000003"/>
    <n v="191.57492999999999"/>
    <n v="194.65528"/>
    <n v="318.16278999999997"/>
    <n v="4.6133300000000004"/>
    <n v="373.17345999999998"/>
    <n v="156.62665999999999"/>
    <n v="0"/>
    <m/>
    <m/>
    <m/>
  </r>
  <r>
    <x v="3"/>
    <x v="25"/>
    <x v="25"/>
    <n v="2980.8132599999999"/>
    <n v="423.78302000000002"/>
    <n v="630.68875000000003"/>
    <n v="738.32865000000004"/>
    <n v="339.04414000000003"/>
    <n v="304.74605000000003"/>
    <n v="392.06400000000002"/>
    <n v="74.558660000000003"/>
    <n v="9.5"/>
    <n v="66.099990000000005"/>
    <n v="2"/>
    <m/>
    <m/>
    <m/>
  </r>
  <r>
    <x v="3"/>
    <x v="26"/>
    <x v="26"/>
    <n v="2614.2116799999999"/>
    <n v="428.23635000000002"/>
    <n v="626.28875000000005"/>
    <n v="451.58201000000003"/>
    <n v="336.31747000000001"/>
    <n v="300.60444000000001"/>
    <n v="338.55734000000001"/>
    <n v="72.918660000000003"/>
    <n v="10.5"/>
    <n v="47.206659999999999"/>
    <n v="2"/>
    <m/>
    <m/>
    <m/>
  </r>
  <r>
    <x v="3"/>
    <x v="27"/>
    <x v="27"/>
    <n v="2608.5088799999994"/>
    <n v="428.21967999999998"/>
    <n v="623.00207999999998"/>
    <n v="451.48867999999999"/>
    <n v="332.43747000000002"/>
    <n v="299.30763999999999"/>
    <n v="342.35734000000002"/>
    <n v="70.989329999999995"/>
    <n v="10.5"/>
    <n v="48.206659999999999"/>
    <n v="2"/>
    <m/>
    <m/>
    <m/>
  </r>
  <r>
    <x v="3"/>
    <x v="28"/>
    <x v="28"/>
    <n v="2662.0955300000001"/>
    <n v="437.04635000000002"/>
    <n v="639.25540999999998"/>
    <n v="454.82200999999998"/>
    <n v="338.87745999999999"/>
    <n v="312.84097000000003"/>
    <n v="345.75734"/>
    <n v="71.789330000000007"/>
    <n v="10.5"/>
    <n v="49.206659999999999"/>
    <n v="2"/>
    <m/>
    <m/>
    <m/>
  </r>
  <r>
    <x v="3"/>
    <x v="29"/>
    <x v="29"/>
    <n v="2704.4142699999998"/>
    <n v="435.35300999999998"/>
    <n v="662.33541000000002"/>
    <n v="459.60201000000001"/>
    <n v="348.13745999999998"/>
    <n v="311.03305"/>
    <n v="348.95733999999999"/>
    <n v="73.289330000000007"/>
    <n v="11.5"/>
    <n v="52.206659999999999"/>
    <n v="2"/>
    <m/>
    <m/>
    <m/>
  </r>
  <r>
    <x v="3"/>
    <x v="30"/>
    <x v="30"/>
    <n v="2729.1244200000001"/>
    <n v="444.95301000000001"/>
    <n v="663.64874999999995"/>
    <n v="467.48201999999998"/>
    <n v="350.21746000000002"/>
    <n v="314.74984999999998"/>
    <n v="349.87734"/>
    <n v="72.289330000000007"/>
    <n v="11.5"/>
    <n v="51.406660000000002"/>
    <n v="3"/>
    <m/>
    <m/>
    <m/>
  </r>
  <r>
    <x v="3"/>
    <x v="31"/>
    <x v="31"/>
    <n v="2758.8844300000001"/>
    <n v="450.92633999999998"/>
    <n v="665.74875999999995"/>
    <n v="472.62202000000002"/>
    <n v="341.77078999999998"/>
    <n v="327.38985000000002"/>
    <n v="358.64400999999998"/>
    <n v="74.876000000000005"/>
    <n v="12.5"/>
    <n v="51.406660000000002"/>
    <n v="3"/>
    <m/>
    <m/>
    <m/>
  </r>
  <r>
    <x v="3"/>
    <x v="32"/>
    <x v="32"/>
    <n v="2729.4466900000002"/>
    <n v="451.23234000000002"/>
    <n v="669.80876000000001"/>
    <n v="447.13880999999998"/>
    <n v="341.09"/>
    <n v="327.37358"/>
    <n v="354.92854"/>
    <n v="74.268000000000001"/>
    <n v="11.2"/>
    <n v="50.406660000000002"/>
    <n v="2"/>
    <m/>
    <m/>
    <m/>
  </r>
  <r>
    <x v="3"/>
    <x v="33"/>
    <x v="33"/>
    <n v="2775.80521"/>
    <n v="448.40962000000025"/>
    <n v="674.60343"/>
    <n v="478.79457000000002"/>
    <n v="340.99745999999999"/>
    <n v="334.54025000000001"/>
    <n v="356.47521"/>
    <n v="74.374669999999995"/>
    <n v="13.2"/>
    <n v="52.41"/>
    <n v="2"/>
    <m/>
    <m/>
    <m/>
  </r>
  <r>
    <x v="3"/>
    <x v="34"/>
    <x v="34"/>
    <n v="2793.7674599999996"/>
    <n v="462.12"/>
    <n v="678.97542999999996"/>
    <n v="480.27776999999998"/>
    <n v="347.93747000000002"/>
    <n v="331.56691999999998"/>
    <n v="355.90854000000002"/>
    <n v="72.374669999999995"/>
    <n v="11.2"/>
    <n v="51.406660000000002"/>
    <n v="2"/>
    <m/>
    <m/>
    <m/>
  </r>
  <r>
    <x v="3"/>
    <x v="35"/>
    <x v="35"/>
    <n v="2802.2637300000001"/>
    <n v="464.68962000000028"/>
    <n v="681.98208999999997"/>
    <n v="479.99376000000001"/>
    <n v="347.74414000000002"/>
    <n v="333.57891999999998"/>
    <n v="359.08053999999998"/>
    <n v="71.587999999999994"/>
    <n v="10.199999999999999"/>
    <n v="50.406660000000002"/>
    <n v="3"/>
    <m/>
    <m/>
    <m/>
  </r>
  <r>
    <x v="3"/>
    <x v="36"/>
    <x v="36"/>
    <n v="2777.4241100000004"/>
    <n v="456.56975"/>
    <n v="672.88234"/>
    <n v="479.07377000000002"/>
    <n v="341.80412999999999"/>
    <n v="334.47892999999999"/>
    <n v="358.83386000000002"/>
    <n v="71.574669999999998"/>
    <n v="10"/>
    <n v="49.206659999999999"/>
    <n v="3"/>
    <m/>
    <m/>
    <m/>
  </r>
  <r>
    <x v="4"/>
    <x v="25"/>
    <x v="25"/>
    <n v="18421.930230000002"/>
    <n v="2478.2642900000001"/>
    <n v="3127.4781699999999"/>
    <n v="2340.3759100000002"/>
    <n v="2198.8185199999998"/>
    <n v="1868.5349799999999"/>
    <n v="2290.5580500000001"/>
    <n v="634.96270000000004"/>
    <n v="1024.59908"/>
    <n v="1903.1695"/>
    <n v="555.16903000000002"/>
    <m/>
    <m/>
    <m/>
  </r>
  <r>
    <x v="4"/>
    <x v="26"/>
    <x v="26"/>
    <n v="17128.84965"/>
    <n v="2472.1709500000002"/>
    <n v="3162.4500600000001"/>
    <n v="2378.9778799999999"/>
    <n v="2202.8516800000002"/>
    <n v="1862.2517800000001"/>
    <n v="2317.90472"/>
    <n v="636.67584999999997"/>
    <n v="1036.59907"/>
    <n v="507.57862999999998"/>
    <n v="551.38903000000005"/>
    <m/>
    <m/>
    <m/>
  </r>
  <r>
    <x v="4"/>
    <x v="27"/>
    <x v="27"/>
    <n v="17164.6273"/>
    <n v="2484.9709600000001"/>
    <n v="3161.0831499999999"/>
    <n v="2404.7612300000001"/>
    <n v="2186.9916800000001"/>
    <n v="1857.9631199999999"/>
    <n v="2317.9945699999998"/>
    <n v="631.26251999999999"/>
    <n v="1055.35241"/>
    <n v="506.45863000000003"/>
    <n v="557.78903000000003"/>
    <m/>
    <m/>
    <m/>
  </r>
  <r>
    <x v="4"/>
    <x v="28"/>
    <x v="28"/>
    <n v="17238.016820000001"/>
    <n v="2496.7365300000001"/>
    <n v="3164.3018200000001"/>
    <n v="2421.8865900000001"/>
    <n v="2188.4616799999999"/>
    <n v="1877.4640099999999"/>
    <n v="2313.5012200000001"/>
    <n v="633.94251999999994"/>
    <n v="1078.5281299999999"/>
    <n v="507.51195999999999"/>
    <n v="555.68236000000002"/>
    <m/>
    <m/>
    <m/>
  </r>
  <r>
    <x v="4"/>
    <x v="29"/>
    <x v="29"/>
    <n v="17365.678339999999"/>
    <n v="2523.53971"/>
    <n v="3198.9295099999999"/>
    <n v="2442.1204499999999"/>
    <n v="2199.4045999999998"/>
    <n v="1899.3933400000001"/>
    <n v="2309.37068"/>
    <n v="640.62919999999997"/>
    <n v="1082.9965299999999"/>
    <n v="508.56529"/>
    <n v="560.72902999999997"/>
    <m/>
    <m/>
    <m/>
  </r>
  <r>
    <x v="4"/>
    <x v="30"/>
    <x v="30"/>
    <n v="17443.384050000004"/>
    <n v="2533.29945"/>
    <n v="3220.7850400000002"/>
    <n v="2440.0937800000002"/>
    <n v="2209.90463"/>
    <n v="1923.2109499999999"/>
    <n v="2313.6513399999999"/>
    <n v="637.44136000000003"/>
    <n v="1094.46318"/>
    <n v="509.48529000000002"/>
    <n v="561.04903000000002"/>
    <m/>
    <m/>
    <m/>
  </r>
  <r>
    <x v="4"/>
    <x v="31"/>
    <x v="31"/>
    <n v="17620.031470000002"/>
    <n v="2565.7477199999998"/>
    <n v="3259.8879200000001"/>
    <n v="2454.9272299999998"/>
    <n v="2213.11463"/>
    <n v="1971.4427000000001"/>
    <n v="2330.4189700000002"/>
    <n v="642.87148000000002"/>
    <n v="1107.8265100000001"/>
    <n v="511.14528999999999"/>
    <n v="562.64901999999995"/>
    <m/>
    <m/>
    <m/>
  </r>
  <r>
    <x v="4"/>
    <x v="32"/>
    <x v="32"/>
    <n v="17605.385249999999"/>
    <n v="2559.2306600000002"/>
    <n v="3288.2551699999999"/>
    <n v="2338.4671899999998"/>
    <n v="2221.41"/>
    <n v="1974.70911"/>
    <n v="2341.1139199999998"/>
    <n v="648.81814999999995"/>
    <n v="1142.08656"/>
    <n v="514.58529999999996"/>
    <n v="576.70919000000004"/>
    <m/>
    <m/>
    <m/>
  </r>
  <r>
    <x v="4"/>
    <x v="33"/>
    <x v="33"/>
    <n v="17851.439419999995"/>
    <n v="2578.5364499999964"/>
    <n v="3334.0093000000002"/>
    <n v="2502.9342900000001"/>
    <n v="2222.4802399999999"/>
    <n v="1969.3691100000001"/>
    <n v="2365.38616"/>
    <n v="655.77148"/>
    <n v="1125.6865299999999"/>
    <n v="520.37"/>
    <n v="576.89585999999997"/>
    <m/>
    <m/>
    <m/>
  </r>
  <r>
    <x v="4"/>
    <x v="34"/>
    <x v="34"/>
    <n v="18017.158979999997"/>
    <n v="2604.6"/>
    <n v="3350.4129699999999"/>
    <n v="2533.9542999999999"/>
    <n v="2263.3981800000001"/>
    <n v="1987.4157700000001"/>
    <n v="2379.54286"/>
    <n v="659.50053000000003"/>
    <n v="1137.5065500000001"/>
    <n v="519.95862999999997"/>
    <n v="580.86919"/>
    <m/>
    <m/>
    <m/>
  </r>
  <r>
    <x v="4"/>
    <x v="35"/>
    <x v="35"/>
    <n v="18111.879809999999"/>
    <n v="2628.0496799999987"/>
    <n v="3364.0993199999998"/>
    <n v="2537.2543300000002"/>
    <n v="2270.7703299999998"/>
    <n v="2011.87736"/>
    <n v="2394.1361900000002"/>
    <n v="664.29837999999995"/>
    <n v="1137.9532400000001"/>
    <n v="515.85197000000005"/>
    <n v="587.58901000000003"/>
    <m/>
    <m/>
    <m/>
  </r>
  <r>
    <x v="4"/>
    <x v="36"/>
    <x v="36"/>
    <n v="18052.855589999999"/>
    <n v="2627.4830299999999"/>
    <n v="3364.6540100000002"/>
    <n v="2539.9924000000001"/>
    <n v="2251.6711500000001"/>
    <n v="2002.3679299999999"/>
    <n v="2365.3723300000001"/>
    <n v="663.75171"/>
    <n v="1144.2353700000001"/>
    <n v="508.18531999999999"/>
    <n v="585.14233999999999"/>
    <m/>
    <m/>
    <m/>
  </r>
  <r>
    <x v="5"/>
    <x v="25"/>
    <x v="25"/>
    <n v="7084.6639300000015"/>
    <n v="995.71443999999997"/>
    <n v="1252.93986"/>
    <n v="1141.0780600000001"/>
    <n v="1110.4645599999999"/>
    <n v="946.82308"/>
    <n v="1026.63194"/>
    <n v="169.64669000000001"/>
    <n v="0.66666999999999998"/>
    <n v="376.55196999999998"/>
    <n v="64.146659999999997"/>
    <m/>
    <m/>
    <m/>
  </r>
  <r>
    <x v="5"/>
    <x v="26"/>
    <x v="26"/>
    <n v="6738.0267400000002"/>
    <n v="997.61443999999995"/>
    <n v="1238.53253"/>
    <n v="1117.1847700000001"/>
    <n v="1115.6613400000001"/>
    <n v="946.50976000000003"/>
    <n v="1023.65859"/>
    <n v="171.96669"/>
    <n v="0.66666999999999998"/>
    <n v="62.258629999999997"/>
    <n v="63.973320000000001"/>
    <m/>
    <m/>
    <m/>
  </r>
  <r>
    <x v="5"/>
    <x v="27"/>
    <x v="27"/>
    <n v="6700.9030900000007"/>
    <n v="991.61416999999994"/>
    <n v="1230.43921"/>
    <n v="1125.2380900000001"/>
    <n v="1109.27126"/>
    <n v="922.24311"/>
    <n v="1025.1186"/>
    <n v="171.44668999999999"/>
    <n v="0.66666999999999998"/>
    <n v="61.891970000000001"/>
    <n v="62.973320000000001"/>
    <m/>
    <m/>
    <m/>
  </r>
  <r>
    <x v="5"/>
    <x v="28"/>
    <x v="28"/>
    <n v="6660.3147499999995"/>
    <n v="987.80586000000005"/>
    <n v="1223.3458700000001"/>
    <n v="1113.99809"/>
    <n v="1099.1045999999999"/>
    <n v="917.52309000000002"/>
    <n v="1025.2185899999999"/>
    <n v="170.44668999999999"/>
    <n v="0.66666999999999998"/>
    <n v="60.231969999999997"/>
    <n v="61.973320000000001"/>
    <m/>
    <m/>
    <m/>
  </r>
  <r>
    <x v="5"/>
    <x v="29"/>
    <x v="29"/>
    <n v="6639.3683700000001"/>
    <n v="990.46933000000001"/>
    <n v="1221.3191899999999"/>
    <n v="1102.6114600000001"/>
    <n v="1094.1814099999999"/>
    <n v="913.72308999999996"/>
    <n v="1025.3385699999999"/>
    <n v="171.18002999999999"/>
    <n v="0.66666999999999998"/>
    <n v="57.905299999999997"/>
    <n v="61.973320000000001"/>
    <m/>
    <m/>
    <m/>
  </r>
  <r>
    <x v="5"/>
    <x v="30"/>
    <x v="30"/>
    <n v="6600.8670400000001"/>
    <n v="984.88265999999999"/>
    <n v="1221.0151699999999"/>
    <n v="1091.80747"/>
    <n v="1093.2080599999999"/>
    <n v="896.10974999999996"/>
    <n v="1019.50526"/>
    <n v="174.04670999999999"/>
    <n v="0.66666999999999998"/>
    <n v="57.651969999999999"/>
    <n v="61.973320000000001"/>
    <m/>
    <m/>
    <m/>
  </r>
  <r>
    <x v="5"/>
    <x v="31"/>
    <x v="31"/>
    <n v="6609.1483699999999"/>
    <n v="986.75599999999997"/>
    <n v="1224.81755"/>
    <n v="1091.34638"/>
    <n v="1099.0214100000001"/>
    <n v="891.32975999999996"/>
    <n v="1017.4986"/>
    <n v="176.68671000000001"/>
    <n v="0.66666999999999998"/>
    <n v="58.651969999999999"/>
    <n v="62.37332"/>
    <m/>
    <m/>
    <m/>
  </r>
  <r>
    <x v="5"/>
    <x v="32"/>
    <x v="32"/>
    <n v="6694.9184800000012"/>
    <n v="984.70586000000003"/>
    <n v="1237.6908699999999"/>
    <n v="1166.6647"/>
    <n v="1103.27"/>
    <n v="892.60979999999995"/>
    <n v="1013.57192"/>
    <n v="177.88670999999999"/>
    <n v="0.66666999999999998"/>
    <n v="57.798630000000003"/>
    <n v="60.053319999999999"/>
    <m/>
    <m/>
    <m/>
  </r>
  <r>
    <x v="5"/>
    <x v="33"/>
    <x v="33"/>
    <n v="6664.4673399999938"/>
    <n v="989.10584999999446"/>
    <n v="1260.80618"/>
    <n v="1102.5464099999999"/>
    <n v="1103.35474"/>
    <n v="894.59649000000002"/>
    <n v="1012.05862"/>
    <n v="181.62906000000001"/>
    <n v="0.66666999999999998"/>
    <n v="57.65"/>
    <n v="62.053319999999999"/>
    <m/>
    <m/>
    <m/>
  </r>
  <r>
    <x v="5"/>
    <x v="34"/>
    <x v="34"/>
    <n v="6664.0686299999998"/>
    <n v="987.79"/>
    <n v="1269.79817"/>
    <n v="1111.2362800000001"/>
    <n v="1098.4147399999999"/>
    <n v="892.07646999999997"/>
    <n v="1006.82529"/>
    <n v="181.46239"/>
    <n v="0.66666999999999998"/>
    <n v="55.7453"/>
    <n v="60.053319999999999"/>
    <m/>
    <m/>
    <m/>
  </r>
  <r>
    <x v="5"/>
    <x v="35"/>
    <x v="35"/>
    <n v="6686.7461099999937"/>
    <n v="984.20637999999417"/>
    <n v="1297.7248300000001"/>
    <n v="1124.6096199999999"/>
    <n v="1096.5848800000001"/>
    <n v="887.20979"/>
    <n v="999.03860999999995"/>
    <n v="179.58672000000001"/>
    <n v="0.66666999999999998"/>
    <n v="56.131959999999999"/>
    <n v="60.986649999999997"/>
    <m/>
    <m/>
    <m/>
  </r>
  <r>
    <x v="5"/>
    <x v="36"/>
    <x v="36"/>
    <n v="6676.7458899999992"/>
    <n v="984.29971999999998"/>
    <n v="1298.62003"/>
    <n v="1144.5688399999999"/>
    <n v="1090.0883799999999"/>
    <n v="867.79376000000002"/>
    <n v="994.58475999999996"/>
    <n v="180.98671999999999"/>
    <n v="0.66666999999999998"/>
    <n v="55.923690000000001"/>
    <n v="59.213320000000003"/>
    <m/>
    <m/>
    <m/>
  </r>
  <r>
    <x v="6"/>
    <x v="25"/>
    <x v="25"/>
    <n v="23963.775380000003"/>
    <n v="3825.1871099999998"/>
    <n v="5121.8922599999996"/>
    <n v="4045.81068"/>
    <n v="3553.2812899999999"/>
    <n v="2788.5704599999999"/>
    <n v="3584.90879"/>
    <n v="568.69147999999996"/>
    <n v="67.833309999999997"/>
    <n v="199.39999"/>
    <n v="208.20000999999999"/>
    <m/>
    <m/>
    <m/>
  </r>
  <r>
    <x v="6"/>
    <x v="26"/>
    <x v="26"/>
    <n v="23977.043280000005"/>
    <n v="3821.5705800000001"/>
    <n v="5131.4899299999997"/>
    <n v="4047.1097300000001"/>
    <n v="3551.3527600000002"/>
    <n v="2790.5331200000001"/>
    <n v="3587.0221200000001"/>
    <n v="570.42507999999998"/>
    <n v="71.833309999999997"/>
    <n v="197.10666000000001"/>
    <n v="208.59998999999999"/>
    <m/>
    <m/>
    <m/>
  </r>
  <r>
    <x v="6"/>
    <x v="27"/>
    <x v="27"/>
    <n v="23896.418819999999"/>
    <n v="3795.9516600000002"/>
    <n v="5149.4486100000004"/>
    <n v="4031.0121399999998"/>
    <n v="3541.2085000000002"/>
    <n v="2785.7547300000001"/>
    <n v="3556.11814"/>
    <n v="564.48506999999995"/>
    <n v="73.293310000000005"/>
    <n v="192.42666"/>
    <n v="206.72"/>
    <m/>
    <m/>
    <m/>
  </r>
  <r>
    <x v="6"/>
    <x v="28"/>
    <x v="28"/>
    <n v="23804.238169999997"/>
    <n v="3771.6055200000001"/>
    <n v="5145.9286700000002"/>
    <n v="4021.2382899999998"/>
    <n v="3520.0127499999999"/>
    <n v="2788.8414299999999"/>
    <n v="3530.9781600000001"/>
    <n v="554.83601999999996"/>
    <n v="73.786649999999995"/>
    <n v="192.21333000000001"/>
    <n v="204.79734999999999"/>
    <m/>
    <m/>
    <m/>
  </r>
  <r>
    <x v="6"/>
    <x v="29"/>
    <x v="29"/>
    <n v="23924.497950000001"/>
    <n v="3770.3121900000001"/>
    <n v="5174.6798799999997"/>
    <n v="4040.0774900000001"/>
    <n v="3545.7199300000002"/>
    <n v="2832.1169399999999"/>
    <n v="3521.87815"/>
    <n v="558.36270000000002"/>
    <n v="73.786649999999995"/>
    <n v="198.18"/>
    <n v="209.38401999999999"/>
    <m/>
    <m/>
    <m/>
  </r>
  <r>
    <x v="6"/>
    <x v="30"/>
    <x v="30"/>
    <n v="24276.802170000003"/>
    <n v="3819.8183600000002"/>
    <n v="5259.5622899999998"/>
    <n v="4126.9390800000001"/>
    <n v="3604.4079499999998"/>
    <n v="2832.6203399999999"/>
    <n v="3580.24746"/>
    <n v="564.36269000000004"/>
    <n v="76.18665"/>
    <n v="203.54"/>
    <n v="209.11734999999999"/>
    <m/>
    <m/>
    <m/>
  </r>
  <r>
    <x v="6"/>
    <x v="31"/>
    <x v="31"/>
    <n v="24352.816420000003"/>
    <n v="3830.5050299999998"/>
    <n v="5258.45424"/>
    <n v="4166.2633299999998"/>
    <n v="3617.9994299999998"/>
    <n v="2833.6333100000002"/>
    <n v="3586.1205300000001"/>
    <n v="565.80989"/>
    <n v="83.239980000000003"/>
    <n v="202.82"/>
    <n v="207.97067999999999"/>
    <m/>
    <m/>
    <m/>
  </r>
  <r>
    <x v="6"/>
    <x v="32"/>
    <x v="32"/>
    <n v="24176.396509999999"/>
    <n v="3804.2450199999998"/>
    <n v="5241.25558"/>
    <n v="4077.91617"/>
    <n v="3593.82"/>
    <n v="2813.8719900000001"/>
    <n v="3570.9138699999999"/>
    <n v="563.12989000000005"/>
    <n v="86.866650000000007"/>
    <n v="208.44"/>
    <n v="215.93734000000001"/>
    <m/>
    <m/>
    <m/>
  </r>
  <r>
    <x v="6"/>
    <x v="33"/>
    <x v="33"/>
    <n v="24273.366950000025"/>
    <n v="3807.2050000000254"/>
    <n v="5282.8795700000001"/>
    <n v="4142.6505399999996"/>
    <n v="3594.6330600000001"/>
    <n v="2816.8541100000002"/>
    <n v="3553.84213"/>
    <n v="563.98855000000003"/>
    <n v="84.853319999999997"/>
    <n v="207.51"/>
    <n v="218.95067"/>
    <m/>
    <m/>
    <m/>
  </r>
  <r>
    <x v="6"/>
    <x v="34"/>
    <x v="34"/>
    <n v="24258.846739999997"/>
    <n v="3788.42"/>
    <n v="5260.9662399999997"/>
    <n v="4157.4853400000002"/>
    <n v="3589.57305"/>
    <n v="2824.80746"/>
    <n v="3547.5287899999998"/>
    <n v="570.24854000000005"/>
    <n v="85.333320000000001"/>
    <n v="208.68"/>
    <n v="225.804"/>
    <m/>
    <m/>
    <m/>
  </r>
  <r>
    <x v="6"/>
    <x v="35"/>
    <x v="35"/>
    <n v="24222.651480000026"/>
    <n v="3747.3900600000229"/>
    <n v="5249.4928900000004"/>
    <n v="4155.4370500000005"/>
    <n v="3598.7146600000001"/>
    <n v="2835.5525400000001"/>
    <n v="3562.3754899999999"/>
    <n v="556.76480000000004"/>
    <n v="87.366650000000007"/>
    <n v="209.68"/>
    <n v="219.87734"/>
    <m/>
    <m/>
    <m/>
  </r>
  <r>
    <x v="6"/>
    <x v="36"/>
    <x v="36"/>
    <n v="24098.558929999999"/>
    <n v="3715.9892199999999"/>
    <n v="5260.36895"/>
    <n v="4136.8591900000001"/>
    <n v="3571.9133400000001"/>
    <n v="2814.9823500000002"/>
    <n v="3542.4237499999999"/>
    <n v="557.63813000000005"/>
    <n v="85.233320000000006"/>
    <n v="210.98667"/>
    <n v="202.16400999999999"/>
    <m/>
    <m/>
    <m/>
  </r>
  <r>
    <x v="7"/>
    <x v="25"/>
    <x v="25"/>
    <n v="6595.5045800000007"/>
    <n v="935.48059000000001"/>
    <n v="1238.3314600000001"/>
    <n v="1183.72963"/>
    <n v="897.00683000000004"/>
    <n v="642.78866000000005"/>
    <n v="940.57187999999996"/>
    <n v="33.233530000000002"/>
    <n v="95.45"/>
    <n v="627.91200000000003"/>
    <n v="1"/>
    <m/>
    <m/>
    <m/>
  </r>
  <r>
    <x v="7"/>
    <x v="26"/>
    <x v="26"/>
    <n v="6148.4663700000001"/>
    <n v="930.95559000000003"/>
    <n v="1241.7698499999999"/>
    <n v="1182.0351900000001"/>
    <n v="896.10682999999995"/>
    <n v="646.76365999999996"/>
    <n v="945.17672000000005"/>
    <n v="34.263530000000003"/>
    <n v="96.85"/>
    <n v="173.54499999999999"/>
    <n v="1"/>
    <m/>
    <m/>
    <m/>
  </r>
  <r>
    <x v="7"/>
    <x v="27"/>
    <x v="27"/>
    <n v="6090.2669800000003"/>
    <n v="920.95095000000003"/>
    <n v="1227.46543"/>
    <n v="1172.58519"/>
    <n v="889.25683000000004"/>
    <n v="644.32165999999995"/>
    <n v="937.52838999999994"/>
    <n v="34.263530000000003"/>
    <n v="95.85"/>
    <n v="167.04499999999999"/>
    <n v="1"/>
    <m/>
    <m/>
    <m/>
  </r>
  <r>
    <x v="7"/>
    <x v="28"/>
    <x v="28"/>
    <n v="5815.0389800000003"/>
    <n v="895.44844999999998"/>
    <n v="1182.17293"/>
    <n v="1148.4851900000001"/>
    <n v="849.27350000000001"/>
    <n v="587.59672999999998"/>
    <n v="898.07365000000004"/>
    <n v="33.943530000000003"/>
    <n v="99.25"/>
    <n v="119.795"/>
    <n v="1"/>
    <m/>
    <m/>
    <m/>
  </r>
  <r>
    <x v="7"/>
    <x v="29"/>
    <x v="29"/>
    <n v="5814.2737299999999"/>
    <n v="893.84844999999996"/>
    <n v="1205.7999500000001"/>
    <n v="1124.17986"/>
    <n v="843.30475000000001"/>
    <n v="598.25968999999998"/>
    <n v="896.69583"/>
    <n v="33.490200000000002"/>
    <n v="98.35"/>
    <n v="119.345"/>
    <n v="1"/>
    <m/>
    <m/>
    <m/>
  </r>
  <r>
    <x v="7"/>
    <x v="30"/>
    <x v="30"/>
    <n v="5767.3527299999996"/>
    <n v="878.60379"/>
    <n v="1213.87571"/>
    <n v="1104.4392"/>
    <n v="836.13765000000001"/>
    <n v="604.22047999999995"/>
    <n v="900.07069999999999"/>
    <n v="34.310200000000002"/>
    <n v="95.65"/>
    <n v="99.045000000000002"/>
    <n v="1"/>
    <m/>
    <m/>
    <m/>
  </r>
  <r>
    <x v="7"/>
    <x v="31"/>
    <x v="31"/>
    <n v="5635.4017999999996"/>
    <n v="866.35775000000001"/>
    <n v="1173.91805"/>
    <n v="1065.2792099999999"/>
    <n v="833.63765000000001"/>
    <n v="613.68634999999995"/>
    <n v="870.81759"/>
    <n v="34.910200000000003"/>
    <n v="96.55"/>
    <n v="79.245000000000005"/>
    <n v="1"/>
    <m/>
    <m/>
    <m/>
  </r>
  <r>
    <x v="7"/>
    <x v="32"/>
    <x v="32"/>
    <n v="5804.9694300000001"/>
    <n v="864.50593000000003"/>
    <n v="1178.5780500000001"/>
    <n v="1228.99767"/>
    <n v="837.39"/>
    <n v="614.38634000000002"/>
    <n v="874.10092999999995"/>
    <n v="33.910200000000003"/>
    <n v="98.931820000000002"/>
    <n v="73.661820000000006"/>
    <n v="0.50666999999999995"/>
    <m/>
    <m/>
    <m/>
  </r>
  <r>
    <x v="7"/>
    <x v="33"/>
    <x v="33"/>
    <n v="5694.45057"/>
    <n v="865.39259999999922"/>
    <n v="1211.6302700000001"/>
    <n v="1076.8653300000001"/>
    <n v="837.89478999999994"/>
    <n v="621.43525999999997"/>
    <n v="869.80363"/>
    <n v="33.7502"/>
    <n v="97.831819999999993"/>
    <n v="79.34"/>
    <n v="0.50666999999999995"/>
    <m/>
    <m/>
    <m/>
  </r>
  <r>
    <x v="7"/>
    <x v="34"/>
    <x v="34"/>
    <n v="5688.2480000000005"/>
    <n v="839.61"/>
    <n v="1223.1985999999999"/>
    <n v="1081.0171"/>
    <n v="835.07812000000001"/>
    <n v="624.00153"/>
    <n v="875.40222000000006"/>
    <n v="32.200119999999998"/>
    <n v="97.831819999999993"/>
    <n v="79.401820000000001"/>
    <n v="0.50666999999999995"/>
    <m/>
    <m/>
    <m/>
  </r>
  <r>
    <x v="7"/>
    <x v="35"/>
    <x v="35"/>
    <n v="5529.5290099999993"/>
    <n v="812.0592699999994"/>
    <n v="1190.12094"/>
    <n v="1048.9302299999999"/>
    <n v="809.29477999999995"/>
    <n v="615.75962000000004"/>
    <n v="852.52040999999997"/>
    <n v="29.653449999999999"/>
    <n v="98.931820000000002"/>
    <n v="71.751819999999995"/>
    <n v="0.50666999999999995"/>
    <m/>
    <m/>
    <m/>
  </r>
  <r>
    <x v="7"/>
    <x v="36"/>
    <x v="36"/>
    <n v="5177.4143400000003"/>
    <n v="746.64859999999999"/>
    <n v="1134.0891300000001"/>
    <n v="948.39710000000002"/>
    <n v="757.78318000000002"/>
    <n v="603.00201000000004"/>
    <n v="786.87055999999995"/>
    <n v="28.533449999999998"/>
    <n v="99.531819999999996"/>
    <n v="72.051820000000006"/>
    <n v="0.50666999999999995"/>
    <m/>
    <m/>
    <m/>
  </r>
  <r>
    <x v="8"/>
    <x v="25"/>
    <x v="25"/>
    <n v="84.546629999999993"/>
    <n v="1"/>
    <n v="17.5"/>
    <n v="31.17998"/>
    <n v="29.8"/>
    <n v="1"/>
    <n v="1"/>
    <n v="0"/>
    <n v="0"/>
    <n v="3.0666500000000001"/>
    <n v="0"/>
    <m/>
    <m/>
    <m/>
  </r>
  <r>
    <x v="8"/>
    <x v="26"/>
    <x v="26"/>
    <n v="110.91329999999999"/>
    <n v="1"/>
    <n v="51.3"/>
    <n v="29.67998"/>
    <n v="23.8"/>
    <n v="1"/>
    <n v="1"/>
    <n v="0"/>
    <n v="0"/>
    <n v="3.1333199999999999"/>
    <n v="0"/>
    <m/>
    <m/>
    <m/>
  </r>
  <r>
    <x v="8"/>
    <x v="27"/>
    <x v="27"/>
    <n v="103.1133"/>
    <n v="1"/>
    <n v="50.3"/>
    <n v="25.67998"/>
    <n v="22"/>
    <n v="1"/>
    <n v="0"/>
    <n v="0"/>
    <n v="0"/>
    <n v="3.1333199999999999"/>
    <n v="0"/>
    <m/>
    <m/>
    <m/>
  </r>
  <r>
    <x v="8"/>
    <x v="28"/>
    <x v="28"/>
    <n v="102.7133"/>
    <n v="1"/>
    <n v="49.9"/>
    <n v="24.67998"/>
    <n v="22"/>
    <n v="1"/>
    <n v="0"/>
    <n v="1"/>
    <n v="0"/>
    <n v="3.1333199999999999"/>
    <n v="0"/>
    <m/>
    <m/>
    <m/>
  </r>
  <r>
    <x v="8"/>
    <x v="29"/>
    <x v="29"/>
    <n v="117.72663"/>
    <n v="6.5"/>
    <n v="59.5"/>
    <n v="24.979980000000001"/>
    <n v="22"/>
    <n v="1"/>
    <n v="0"/>
    <n v="0"/>
    <n v="0"/>
    <n v="3.7466499999999998"/>
    <n v="0"/>
    <m/>
    <m/>
    <m/>
  </r>
  <r>
    <x v="8"/>
    <x v="30"/>
    <x v="30"/>
    <n v="123.14663"/>
    <n v="6.5"/>
    <n v="55.9"/>
    <n v="35.67998"/>
    <n v="21"/>
    <n v="1"/>
    <n v="0"/>
    <n v="0"/>
    <n v="0"/>
    <n v="3.0666500000000001"/>
    <n v="0"/>
    <m/>
    <m/>
    <m/>
  </r>
  <r>
    <x v="8"/>
    <x v="31"/>
    <x v="31"/>
    <n v="94.34662999999999"/>
    <n v="7.5"/>
    <n v="24.5"/>
    <n v="40.67998"/>
    <n v="17.600000000000001"/>
    <n v="1"/>
    <n v="0"/>
    <n v="0"/>
    <n v="0"/>
    <n v="3.0666500000000001"/>
    <n v="0"/>
    <m/>
    <m/>
    <m/>
  </r>
  <r>
    <x v="8"/>
    <x v="32"/>
    <x v="32"/>
    <n v="80.699970000000008"/>
    <n v="7.5"/>
    <n v="24.5"/>
    <n v="28.17998"/>
    <n v="17"/>
    <n v="1"/>
    <n v="0"/>
    <n v="0"/>
    <n v="0"/>
    <n v="2.51999"/>
    <n v="0"/>
    <m/>
    <m/>
    <m/>
  </r>
  <r>
    <x v="8"/>
    <x v="33"/>
    <x v="33"/>
    <n v="117.60997999999999"/>
    <n v="7.5"/>
    <n v="49.3"/>
    <n v="39.67998"/>
    <n v="17"/>
    <n v="1"/>
    <n v="0"/>
    <n v="0"/>
    <n v="0"/>
    <n v="3.13"/>
    <n v="0"/>
    <m/>
    <m/>
    <m/>
  </r>
  <r>
    <x v="8"/>
    <x v="34"/>
    <x v="34"/>
    <n v="111.39997"/>
    <n v="7.5"/>
    <n v="46.7"/>
    <n v="37.066650000000003"/>
    <n v="16"/>
    <n v="1"/>
    <n v="0"/>
    <n v="0"/>
    <n v="0"/>
    <n v="3.1333199999999999"/>
    <n v="0"/>
    <m/>
    <m/>
    <m/>
  </r>
  <r>
    <x v="8"/>
    <x v="35"/>
    <x v="35"/>
    <n v="108.06663999999999"/>
    <n v="7.5"/>
    <n v="46.9"/>
    <n v="34.066650000000003"/>
    <n v="16.533339999999999"/>
    <n v="0"/>
    <n v="0"/>
    <n v="0"/>
    <n v="0"/>
    <n v="3.0666500000000001"/>
    <n v="0"/>
    <m/>
    <m/>
    <m/>
  </r>
  <r>
    <x v="8"/>
    <x v="36"/>
    <x v="36"/>
    <n v="115.56663999999999"/>
    <n v="11.5"/>
    <n v="44.9"/>
    <n v="39.566650000000003"/>
    <n v="15.533340000000001"/>
    <n v="1"/>
    <n v="0"/>
    <n v="0"/>
    <n v="0"/>
    <n v="3.0666500000000001"/>
    <n v="0"/>
    <m/>
    <m/>
    <m/>
  </r>
  <r>
    <x v="0"/>
    <x v="37"/>
    <x v="37"/>
    <n v="6917.48801"/>
    <n v="792.12615000000005"/>
    <n v="1124.8664200000001"/>
    <n v="1354.2258400000001"/>
    <n v="707.62103999999999"/>
    <n v="651.35951"/>
    <n v="853.04150000000004"/>
    <n v="134.88242"/>
    <n v="67.844260000000006"/>
    <n v="137.76265000000001"/>
    <n v="1088.95822"/>
    <n v="4.8"/>
    <n v="0"/>
    <n v="0"/>
  </r>
  <r>
    <x v="0"/>
    <x v="38"/>
    <x v="38"/>
    <n v="7081.4063100000003"/>
    <n v="810.24616000000003"/>
    <n v="1156.83509"/>
    <n v="1397.0925099999999"/>
    <n v="732.92103999999995"/>
    <n v="665.10617999999999"/>
    <n v="881.60150999999996"/>
    <n v="132.98241999999999"/>
    <n v="68.733860000000007"/>
    <n v="140.45598000000001"/>
    <n v="1090.5248899999999"/>
    <n v="4.9066700000000001"/>
    <n v="0"/>
    <n v="0"/>
  </r>
  <r>
    <x v="0"/>
    <x v="39"/>
    <x v="39"/>
    <n v="7153.9019200000002"/>
    <n v="815.84616000000005"/>
    <n v="1157.7217499999999"/>
    <n v="1405.53918"/>
    <n v="748.60770000000002"/>
    <n v="678.11951999999997"/>
    <n v="899.71618000000001"/>
    <n v="134.38242"/>
    <n v="67.760530000000003"/>
    <n v="142.61304999999999"/>
    <n v="1099.39543"/>
    <n v="4.2"/>
    <n v="0"/>
    <n v="0"/>
  </r>
  <r>
    <x v="0"/>
    <x v="40"/>
    <x v="40"/>
    <n v="7198.061380000001"/>
    <n v="821.33282999999994"/>
    <n v="1166.22174"/>
    <n v="1398.4325200000001"/>
    <n v="747.37917000000004"/>
    <n v="687.57285000000002"/>
    <n v="915.67723999999998"/>
    <n v="140.98909"/>
    <n v="67.800529999999995"/>
    <n v="142.11331999999999"/>
    <n v="1105.3420900000001"/>
    <n v="5.2"/>
    <n v="0"/>
    <n v="0"/>
  </r>
  <r>
    <x v="0"/>
    <x v="41"/>
    <x v="41"/>
    <n v="7173.9216500000002"/>
    <n v="817.83950000000004"/>
    <n v="1163.18868"/>
    <n v="1399.1258499999999"/>
    <n v="746.84583999999995"/>
    <n v="682.97951"/>
    <n v="916.87057000000004"/>
    <n v="138.48909"/>
    <n v="67.200530000000001"/>
    <n v="139.91999000000001"/>
    <n v="1096.2620899999999"/>
    <n v="5.2"/>
    <n v="0"/>
    <n v="0"/>
  </r>
  <r>
    <x v="0"/>
    <x v="42"/>
    <x v="42"/>
    <n v="7199.8374299999987"/>
    <n v="822.06615999999997"/>
    <n v="1170.97516"/>
    <n v="1418.53916"/>
    <n v="744.53917000000001"/>
    <n v="685.38192000000004"/>
    <n v="914.64629000000002"/>
    <n v="140.68908999999999"/>
    <n v="65.778400000000005"/>
    <n v="139.11999"/>
    <n v="1092.90209"/>
    <n v="5.2"/>
    <n v="0"/>
    <n v="0"/>
  </r>
  <r>
    <x v="0"/>
    <x v="43"/>
    <x v="43"/>
    <n v="7211.7930600000009"/>
    <n v="823.71283000000005"/>
    <n v="1174.61517"/>
    <n v="1417.0058300000001"/>
    <n v="739.57916999999998"/>
    <n v="686.52193"/>
    <n v="916.50629000000004"/>
    <n v="139.28002000000001"/>
    <n v="66.951729999999998"/>
    <n v="138.64919"/>
    <n v="1102.9709"/>
    <n v="6"/>
    <n v="0"/>
    <n v="0"/>
  </r>
  <r>
    <x v="0"/>
    <x v="44"/>
    <x v="44"/>
    <n v="7196.3772500000005"/>
    <n v="823.27282000000002"/>
    <n v="1180.7415699999999"/>
    <n v="1411.4391700000001"/>
    <n v="734.40584000000001"/>
    <n v="685.27571999999998"/>
    <n v="912.92628999999999"/>
    <n v="137.45335"/>
    <n v="68.051730000000006"/>
    <n v="137.64919"/>
    <n v="1099.16157"/>
    <n v="6"/>
    <n v="0"/>
    <n v="0"/>
  </r>
  <r>
    <x v="0"/>
    <x v="45"/>
    <x v="45"/>
    <n v="7140.7399100000002"/>
    <n v="806.58615999999995"/>
    <n v="1172.7517"/>
    <n v="1402.4258299999999"/>
    <n v="732.22131000000002"/>
    <n v="682.11680000000001"/>
    <n v="899.24602000000004"/>
    <n v="137.74960999999999"/>
    <n v="67.851730000000003"/>
    <n v="138.84252000000001"/>
    <n v="1094.3482300000001"/>
    <n v="6"/>
    <n v="0"/>
    <n v="0.6"/>
  </r>
  <r>
    <x v="0"/>
    <x v="46"/>
    <x v="46"/>
    <n v="7113.152180000001"/>
    <n v="808.55948999999998"/>
    <n v="1167.34529"/>
    <n v="1391.1445100000001"/>
    <n v="726.51463999999999"/>
    <n v="683.78346999999997"/>
    <n v="893.57935999999995"/>
    <n v="138.15628000000001"/>
    <n v="67.251729999999995"/>
    <n v="141.70251999999999"/>
    <n v="1088.5148899999999"/>
    <n v="6"/>
    <n v="0"/>
    <n v="0.6"/>
  </r>
  <r>
    <x v="0"/>
    <x v="47"/>
    <x v="47"/>
    <n v="7015.2251300000016"/>
    <n v="806.49229000000003"/>
    <n v="1171.31879"/>
    <n v="1306.25116"/>
    <n v="724.12130999999999"/>
    <n v="681.54345000000001"/>
    <n v="890.87936999999999"/>
    <n v="135.30960999999999"/>
    <n v="67.251729999999995"/>
    <n v="141.82919000000001"/>
    <n v="1084.62823"/>
    <n v="5"/>
    <n v="0"/>
    <n v="0.6"/>
  </r>
  <r>
    <x v="0"/>
    <x v="48"/>
    <x v="48"/>
    <n v="7013.9314000000004"/>
    <n v="806.92642000000001"/>
    <n v="1185.93995"/>
    <n v="1295.6164900000001"/>
    <n v="720.52450999999996"/>
    <n v="687.58258000000001"/>
    <n v="886.17602999999997"/>
    <n v="134.91627"/>
    <n v="66.51173"/>
    <n v="140.18919"/>
    <n v="1083.94823"/>
    <n v="5"/>
    <n v="0"/>
    <n v="0.6"/>
  </r>
  <r>
    <x v="0"/>
    <x v="49"/>
    <x v="49"/>
    <n v="7061.9279200000001"/>
    <n v="806.26642000000004"/>
    <n v="1193.6898200000001"/>
    <n v="1298.3964800000001"/>
    <n v="714.02450999999996"/>
    <n v="687.14257999999995"/>
    <n v="910.00936000000002"/>
    <n v="139.91627"/>
    <n v="67.045060000000007"/>
    <n v="144.03586000000001"/>
    <n v="1095.8015600000001"/>
    <n v="5"/>
    <n v="0"/>
    <n v="0.6"/>
  </r>
  <r>
    <x v="1"/>
    <x v="37"/>
    <x v="37"/>
    <n v="18758.687239999999"/>
    <n v="2650.3301299999998"/>
    <n v="3658.8949400000001"/>
    <n v="2785.61796"/>
    <n v="2058.1435999999999"/>
    <n v="2182.81538"/>
    <n v="2453.5410499999998"/>
    <n v="390.59922999999998"/>
    <n v="324.30077"/>
    <n v="226.83312000000001"/>
    <n v="2025.11106"/>
    <n v="2.5"/>
    <n v="0"/>
    <n v="0"/>
  </r>
  <r>
    <x v="1"/>
    <x v="38"/>
    <x v="38"/>
    <n v="18688.97248"/>
    <n v="2645.09969"/>
    <n v="3642.9834500000002"/>
    <n v="2757.9131499999999"/>
    <n v="2050.3006399999999"/>
    <n v="2187.83698"/>
    <n v="2449.5354600000001"/>
    <n v="397.65922999999998"/>
    <n v="318.98743000000002"/>
    <n v="223.82646"/>
    <n v="2012.32999"/>
    <n v="2.5"/>
    <n v="0"/>
    <n v="0"/>
  </r>
  <r>
    <x v="1"/>
    <x v="39"/>
    <x v="39"/>
    <n v="18839.163889999996"/>
    <n v="2660.69803"/>
    <n v="3708.3869199999999"/>
    <n v="2761.0240899999999"/>
    <n v="2061.7134500000002"/>
    <n v="2221.0716499999999"/>
    <n v="2462.0111700000002"/>
    <n v="399.01922999999999"/>
    <n v="315.18076000000002"/>
    <n v="225.29311999999999"/>
    <n v="2022.6654699999999"/>
    <n v="2.1"/>
    <n v="0"/>
    <n v="0"/>
  </r>
  <r>
    <x v="1"/>
    <x v="40"/>
    <x v="40"/>
    <n v="18963.27709"/>
    <n v="2666.6681800000001"/>
    <n v="3739.74323"/>
    <n v="2782.2387399999998"/>
    <n v="2066.3814400000001"/>
    <n v="2214.7397299999998"/>
    <n v="2463.0671499999999"/>
    <n v="402.43923000000001"/>
    <n v="309.92743000000002"/>
    <n v="224.89312000000001"/>
    <n v="2091.2788399999999"/>
    <n v="1.9000000000000001"/>
    <n v="0"/>
    <n v="0"/>
  </r>
  <r>
    <x v="1"/>
    <x v="41"/>
    <x v="41"/>
    <n v="18982.435369999996"/>
    <n v="2657.2740699999999"/>
    <n v="3755.0040399999998"/>
    <n v="2768.7110200000002"/>
    <n v="2072.6811899999998"/>
    <n v="2199.51791"/>
    <n v="2488.60718"/>
    <n v="402.49923000000001"/>
    <n v="309.65410000000003"/>
    <n v="224.79311999999999"/>
    <n v="2102.3935099999999"/>
    <n v="1.3"/>
    <n v="0"/>
    <n v="0"/>
  </r>
  <r>
    <x v="1"/>
    <x v="42"/>
    <x v="42"/>
    <n v="19222.304459999996"/>
    <n v="2691.10581"/>
    <n v="3805.5960399999999"/>
    <n v="2826.49046"/>
    <n v="2091.0139600000002"/>
    <n v="2233.8597300000001"/>
    <n v="2519.4338200000002"/>
    <n v="398.95789000000002"/>
    <n v="311.56743999999998"/>
    <n v="230.73979"/>
    <n v="2112.2395200000001"/>
    <n v="1.3"/>
    <n v="0"/>
    <n v="0"/>
  </r>
  <r>
    <x v="1"/>
    <x v="43"/>
    <x v="43"/>
    <n v="19387.727050000001"/>
    <n v="2721.8690200000001"/>
    <n v="3861.5136299999999"/>
    <n v="2860.12057"/>
    <n v="2099.6078200000002"/>
    <n v="2254.67463"/>
    <n v="2526.36717"/>
    <n v="397.69574999999998"/>
    <n v="312.5213"/>
    <n v="233.11311000000001"/>
    <n v="2119.2440499999998"/>
    <n v="1"/>
    <n v="0"/>
    <n v="0"/>
  </r>
  <r>
    <x v="1"/>
    <x v="44"/>
    <x v="44"/>
    <n v="19521.452150000005"/>
    <n v="2786.5892699999999"/>
    <n v="3899.2579000000001"/>
    <n v="2876.5231600000002"/>
    <n v="2101.8556899999999"/>
    <n v="2269.40931"/>
    <n v="2534.31142"/>
    <n v="402.68907999999999"/>
    <n v="310.86210999999997"/>
    <n v="232.94644"/>
    <n v="2106.0077700000002"/>
    <n v="1"/>
    <n v="0"/>
    <n v="0"/>
  </r>
  <r>
    <x v="1"/>
    <x v="45"/>
    <x v="45"/>
    <n v="19673.858250000001"/>
    <n v="2820.21783"/>
    <n v="3928.0421700000002"/>
    <n v="2882.3360600000001"/>
    <n v="2083.1090600000002"/>
    <n v="2243.9219400000002"/>
    <n v="2558.0833699999998"/>
    <n v="394.84535"/>
    <n v="308.26211000000001"/>
    <n v="235.73311000000001"/>
    <n v="2095.60725"/>
    <n v="1"/>
    <n v="0"/>
    <n v="122.7"/>
  </r>
  <r>
    <x v="1"/>
    <x v="46"/>
    <x v="46"/>
    <n v="19769.966720000004"/>
    <n v="2824.21783"/>
    <n v="3944.4168300000001"/>
    <n v="2884.1427100000001"/>
    <n v="2086.64957"/>
    <n v="2286.1472800000001"/>
    <n v="2586.83536"/>
    <n v="387.78536000000003"/>
    <n v="304.52024"/>
    <n v="233.64644000000001"/>
    <n v="2107.9050999999999"/>
    <n v="1"/>
    <n v="0"/>
    <n v="122.7"/>
  </r>
  <r>
    <x v="1"/>
    <x v="47"/>
    <x v="47"/>
    <n v="19849.946619999999"/>
    <n v="2847.2802099999999"/>
    <n v="3944.0936299999998"/>
    <n v="2889.33628"/>
    <n v="2108.7946299999999"/>
    <n v="2281.11418"/>
    <n v="2611.7118799999998"/>
    <n v="392.97203000000002"/>
    <n v="302.47358000000003"/>
    <n v="232.17310000000001"/>
    <n v="2119.2970999999998"/>
    <n v="1"/>
    <n v="0"/>
    <n v="119.7"/>
  </r>
  <r>
    <x v="1"/>
    <x v="48"/>
    <x v="48"/>
    <n v="19986.912419999997"/>
    <n v="2868.7490200000002"/>
    <n v="3960.96695"/>
    <n v="2887.7122800000002"/>
    <n v="2106.3541"/>
    <n v="2301.5440199999998"/>
    <n v="2627.1606499999998"/>
    <n v="389.66534999999999"/>
    <n v="302.22505000000001"/>
    <n v="229.37338"/>
    <n v="2093.46162"/>
    <n v="1"/>
    <n v="0"/>
    <n v="218.7"/>
  </r>
  <r>
    <x v="1"/>
    <x v="49"/>
    <x v="49"/>
    <n v="19842.985049999996"/>
    <n v="2869.9156800000001"/>
    <n v="3979.44695"/>
    <n v="2893.7040099999999"/>
    <n v="2103.0643599999999"/>
    <n v="2281.9173300000002"/>
    <n v="2608.8318599999998"/>
    <n v="387.95868000000002"/>
    <n v="298.65172000000001"/>
    <n v="225.59338"/>
    <n v="2076.9010800000001"/>
    <n v="1"/>
    <n v="0"/>
    <n v="116"/>
  </r>
  <r>
    <x v="2"/>
    <x v="37"/>
    <x v="37"/>
    <n v="2289.1745100000003"/>
    <n v="229.38220000000001"/>
    <n v="259.42720000000003"/>
    <n v="536.74721"/>
    <n v="196.69493"/>
    <n v="188.05528000000001"/>
    <n v="323.58945999999997"/>
    <n v="4.6133300000000004"/>
    <n v="389.43558000000002"/>
    <n v="161.22932"/>
    <n v="0"/>
    <n v="0"/>
    <n v="0"/>
    <n v="0"/>
  </r>
  <r>
    <x v="2"/>
    <x v="38"/>
    <x v="38"/>
    <n v="2309.71902"/>
    <n v="229.70885999999999"/>
    <n v="264.93385999999998"/>
    <n v="538.54507000000001"/>
    <n v="196.73492999999999"/>
    <n v="188.72194999999999"/>
    <n v="327.38279"/>
    <n v="6.6133300000000004"/>
    <n v="389.04890999999998"/>
    <n v="168.02932000000001"/>
    <n v="0"/>
    <n v="0"/>
    <n v="0"/>
    <n v="0"/>
  </r>
  <r>
    <x v="2"/>
    <x v="39"/>
    <x v="39"/>
    <n v="2320.5961600000001"/>
    <n v="226.95553000000001"/>
    <n v="266.63386000000003"/>
    <n v="541.22221000000002"/>
    <n v="199.83493000000001"/>
    <n v="190.97528"/>
    <n v="326.73612000000003"/>
    <n v="6.6133300000000004"/>
    <n v="391.24891000000002"/>
    <n v="170.37599"/>
    <n v="0"/>
    <n v="0"/>
    <n v="0"/>
    <n v="0"/>
  </r>
  <r>
    <x v="2"/>
    <x v="40"/>
    <x v="40"/>
    <n v="2355.0753599999998"/>
    <n v="229.80886000000001"/>
    <n v="270.29386"/>
    <n v="555.58941000000004"/>
    <n v="201.54693"/>
    <n v="195.69528"/>
    <n v="333.73612000000003"/>
    <n v="6.6133300000000004"/>
    <n v="390.41557999999998"/>
    <n v="170.37599"/>
    <n v="0"/>
    <n v="1"/>
    <n v="0"/>
    <n v="0"/>
  </r>
  <r>
    <x v="2"/>
    <x v="41"/>
    <x v="41"/>
    <n v="2349.8436299999998"/>
    <n v="230.80886000000001"/>
    <n v="271.73066"/>
    <n v="551.67421000000002"/>
    <n v="200.54693"/>
    <n v="193.19528"/>
    <n v="334.80279000000002"/>
    <n v="6.6133300000000004"/>
    <n v="390.09557999999998"/>
    <n v="169.37599"/>
    <n v="0"/>
    <n v="1"/>
    <n v="0"/>
    <n v="0"/>
  </r>
  <r>
    <x v="2"/>
    <x v="42"/>
    <x v="42"/>
    <n v="2352.7812300000001"/>
    <n v="235.12886"/>
    <n v="273.084"/>
    <n v="555.19181000000003"/>
    <n v="198.40026"/>
    <n v="193.69528"/>
    <n v="330.84278999999998"/>
    <n v="6.6133300000000004"/>
    <n v="389.44891000000001"/>
    <n v="169.37599"/>
    <n v="0"/>
    <n v="1"/>
    <n v="0"/>
    <n v="0"/>
  </r>
  <r>
    <x v="2"/>
    <x v="43"/>
    <x v="43"/>
    <n v="2362.61456"/>
    <n v="233.84886"/>
    <n v="276.75733000000002"/>
    <n v="559.47181"/>
    <n v="198.21359000000001"/>
    <n v="195.09528"/>
    <n v="333.98946000000001"/>
    <n v="6.6133300000000004"/>
    <n v="388.24891000000002"/>
    <n v="169.37599"/>
    <n v="0"/>
    <n v="1"/>
    <n v="0"/>
    <n v="0"/>
  </r>
  <r>
    <x v="2"/>
    <x v="44"/>
    <x v="44"/>
    <n v="2371.25722"/>
    <n v="233.71552"/>
    <n v="277.75733000000002"/>
    <n v="559.05847000000006"/>
    <n v="199.21359000000001"/>
    <n v="194.09528"/>
    <n v="335.89613000000003"/>
    <n v="7.6133300000000004"/>
    <n v="394.53158000000002"/>
    <n v="169.37599"/>
    <n v="0"/>
    <n v="0"/>
    <n v="0"/>
    <n v="0"/>
  </r>
  <r>
    <x v="2"/>
    <x v="45"/>
    <x v="45"/>
    <n v="2371.2971999999995"/>
    <n v="236.52217999999999"/>
    <n v="273.25065999999998"/>
    <n v="556.64512999999999"/>
    <n v="195.90692000000001"/>
    <n v="192.89528000000001"/>
    <n v="340.9228"/>
    <n v="7.6133300000000004"/>
    <n v="397.03158000000002"/>
    <n v="169.50932"/>
    <n v="0"/>
    <n v="1"/>
    <n v="0"/>
    <n v="0"/>
  </r>
  <r>
    <x v="2"/>
    <x v="46"/>
    <x v="46"/>
    <n v="2372.7923900000001"/>
    <n v="239.72218000000001"/>
    <n v="273.05385999999999"/>
    <n v="557.43713000000002"/>
    <n v="194.32024999999999"/>
    <n v="191.02860999999999"/>
    <n v="341.02280000000002"/>
    <n v="7.6133300000000004"/>
    <n v="398.03158000000002"/>
    <n v="169.56264999999999"/>
    <n v="0"/>
    <n v="1"/>
    <n v="0"/>
    <n v="0"/>
  </r>
  <r>
    <x v="2"/>
    <x v="47"/>
    <x v="47"/>
    <n v="2380.1857300000001"/>
    <n v="240.86885000000001"/>
    <n v="277.45386000000002"/>
    <n v="560.05713000000003"/>
    <n v="192.12025"/>
    <n v="192.02860999999999"/>
    <n v="339.55613"/>
    <n v="7.6133300000000004"/>
    <n v="398.52492000000001"/>
    <n v="170.16265000000001"/>
    <n v="0"/>
    <n v="1.8"/>
    <n v="0"/>
    <n v="0"/>
  </r>
  <r>
    <x v="2"/>
    <x v="48"/>
    <x v="48"/>
    <n v="2386.4244200000003"/>
    <n v="241.91551999999999"/>
    <n v="278.56053000000003"/>
    <n v="566.40381000000002"/>
    <n v="194.33358000000001"/>
    <n v="193.77394000000001"/>
    <n v="336.34947"/>
    <n v="7.6133300000000004"/>
    <n v="396.71159"/>
    <n v="168.96265"/>
    <n v="0"/>
    <n v="1.7999999999999998"/>
    <n v="0"/>
    <n v="0"/>
  </r>
  <r>
    <x v="2"/>
    <x v="49"/>
    <x v="49"/>
    <n v="2390.3644300000005"/>
    <n v="242.91551999999999"/>
    <n v="280.96053000000001"/>
    <n v="568.31047999999998"/>
    <n v="194.69358"/>
    <n v="195.56728000000001"/>
    <n v="336.34947"/>
    <n v="7.6133300000000004"/>
    <n v="395.39159000000001"/>
    <n v="166.76265000000001"/>
    <n v="0"/>
    <n v="1.7999999999999998"/>
    <n v="0"/>
    <n v="0"/>
  </r>
  <r>
    <x v="3"/>
    <x v="37"/>
    <x v="37"/>
    <n v="2868.4504400000001"/>
    <n v="468.24376999999998"/>
    <n v="692.96100999999999"/>
    <n v="487.05122999999998"/>
    <n v="346.41746000000001"/>
    <n v="349.67892999999998"/>
    <n v="353.18718000000001"/>
    <n v="74.961340000000007"/>
    <n v="9"/>
    <n v="54.606659999999998"/>
    <n v="3"/>
    <n v="29.342859999999995"/>
    <n v="0"/>
    <n v="0"/>
  </r>
  <r>
    <x v="3"/>
    <x v="38"/>
    <x v="38"/>
    <n v="2900.1357899999998"/>
    <n v="467.00218000000001"/>
    <n v="708.31142"/>
    <n v="501.84111000000001"/>
    <n v="346.55745999999999"/>
    <n v="349.49225999999999"/>
    <n v="353.32051000000001"/>
    <n v="75.328000000000003"/>
    <n v="9"/>
    <n v="55.406660000000002"/>
    <n v="3.4"/>
    <n v="30.476189999999995"/>
    <n v="0"/>
    <n v="0"/>
  </r>
  <r>
    <x v="3"/>
    <x v="39"/>
    <x v="39"/>
    <n v="2940.6391299999996"/>
    <n v="473.10885000000002"/>
    <n v="726.40809000000002"/>
    <n v="502.34111000000001"/>
    <n v="350.79746"/>
    <n v="354.69225999999998"/>
    <n v="355.68051000000003"/>
    <n v="79.828000000000003"/>
    <n v="8.5"/>
    <n v="55.406660000000002"/>
    <n v="3.4"/>
    <n v="30.476189999999995"/>
    <n v="0"/>
    <n v="0"/>
  </r>
  <r>
    <x v="3"/>
    <x v="40"/>
    <x v="40"/>
    <n v="2972.0612000000001"/>
    <n v="476.52551999999997"/>
    <n v="739.38809000000003"/>
    <n v="506.37317999999999"/>
    <n v="354.29746"/>
    <n v="354.80558000000002"/>
    <n v="364.39384999999999"/>
    <n v="78.094669999999994"/>
    <n v="8.5"/>
    <n v="56.606659999999998"/>
    <n v="3.4"/>
    <n v="29.676189999999995"/>
    <n v="0"/>
    <n v="0"/>
  </r>
  <r>
    <x v="3"/>
    <x v="41"/>
    <x v="41"/>
    <n v="2991.2678599999999"/>
    <n v="472.87218999999999"/>
    <n v="734.22808999999995"/>
    <n v="515.21983999999998"/>
    <n v="365.39746000000002"/>
    <n v="353.11225000000002"/>
    <n v="374.70717999999999"/>
    <n v="78.347999999999999"/>
    <n v="8.6999999999999993"/>
    <n v="55.606659999999998"/>
    <n v="3.4"/>
    <n v="29.676189999999995"/>
    <n v="0"/>
    <n v="0"/>
  </r>
  <r>
    <x v="3"/>
    <x v="42"/>
    <x v="42"/>
    <n v="3018.1120199999996"/>
    <n v="479.36552"/>
    <n v="737.71475999999996"/>
    <n v="526.87947999999994"/>
    <n v="364.98412999999999"/>
    <n v="352.64877000000001"/>
    <n v="376.68851000000001"/>
    <n v="81.548000000000002"/>
    <n v="8.8000000000000007"/>
    <n v="55.006659999999997"/>
    <n v="3.8"/>
    <n v="30.676189999999995"/>
    <n v="0"/>
    <n v="0"/>
  </r>
  <r>
    <x v="3"/>
    <x v="43"/>
    <x v="43"/>
    <n v="3024.7299000000003"/>
    <n v="475.94551999999999"/>
    <n v="738.42435999999998"/>
    <n v="530.76615000000004"/>
    <n v="365.02839999999998"/>
    <n v="353.34877"/>
    <n v="379.08584999999999"/>
    <n v="81.748000000000005"/>
    <n v="8.8000000000000007"/>
    <n v="55.806660000000001"/>
    <n v="4.8"/>
    <n v="30.976189999999995"/>
    <n v="0"/>
    <n v="0"/>
  </r>
  <r>
    <x v="3"/>
    <x v="44"/>
    <x v="44"/>
    <n v="3028.61051"/>
    <n v="472.92552000000001"/>
    <n v="739.54782"/>
    <n v="537.71948999999995"/>
    <n v="364.60172999999998"/>
    <n v="356.74876999999998"/>
    <n v="375.43918000000002"/>
    <n v="80.241339999999994"/>
    <n v="8.6999999999999993"/>
    <n v="55.806660000000001"/>
    <n v="3.8"/>
    <n v="33.08"/>
    <n v="0"/>
    <n v="0"/>
  </r>
  <r>
    <x v="3"/>
    <x v="45"/>
    <x v="45"/>
    <n v="3041.6015899999998"/>
    <n v="465.85219999999998"/>
    <n v="738.83447000000001"/>
    <n v="539.28511000000003"/>
    <n v="354.84838999999999"/>
    <n v="354.71758"/>
    <n v="384.21917999999999"/>
    <n v="77.594669999999994"/>
    <n v="8.6999999999999993"/>
    <n v="54.206659999999999"/>
    <n v="3.8"/>
    <n v="35.450000000000003"/>
    <n v="0"/>
    <n v="24.093330000000002"/>
  </r>
  <r>
    <x v="3"/>
    <x v="46"/>
    <x v="46"/>
    <n v="3044.2215899999997"/>
    <n v="467.39886000000001"/>
    <n v="746.45447000000001"/>
    <n v="537.61177999999995"/>
    <n v="353.56173000000001"/>
    <n v="354.87090999999998"/>
    <n v="381.87918000000002"/>
    <n v="78.594669999999994"/>
    <n v="7.7"/>
    <n v="52.606659999999998"/>
    <n v="3"/>
    <n v="35.450000000000003"/>
    <n v="0"/>
    <n v="25.093330000000002"/>
  </r>
  <r>
    <x v="3"/>
    <x v="47"/>
    <x v="47"/>
    <n v="3050.7121400000001"/>
    <n v="466.79219000000001"/>
    <n v="747.68739000000005"/>
    <n v="536.03845000000001"/>
    <n v="355.50839999999999"/>
    <n v="354.93090999999998"/>
    <n v="380.94585000000001"/>
    <n v="78.294669999999996"/>
    <n v="9.6999999999999993"/>
    <n v="52.573329999999999"/>
    <n v="3"/>
    <n v="34.447620000000001"/>
    <n v="0"/>
    <n v="30.793330000000001"/>
  </r>
  <r>
    <x v="3"/>
    <x v="48"/>
    <x v="48"/>
    <n v="3054.0286799999999"/>
    <n v="470.09885000000003"/>
    <n v="744.52392999999995"/>
    <n v="536.55178000000001"/>
    <n v="353.94839999999999"/>
    <n v="358.92424999999997"/>
    <n v="379.98585000000003"/>
    <n v="78.094669999999994"/>
    <n v="9.6999999999999993"/>
    <n v="52.17333"/>
    <n v="3"/>
    <n v="36.047619999999995"/>
    <n v="0"/>
    <n v="30.98"/>
  </r>
  <r>
    <x v="3"/>
    <x v="49"/>
    <x v="49"/>
    <n v="3081.3052400000001"/>
    <n v="479.79219000000001"/>
    <n v="738.90392999999995"/>
    <n v="537.30777999999998"/>
    <n v="366.46174000000002"/>
    <n v="358.79545999999999"/>
    <n v="389.84852000000001"/>
    <n v="77.294669999999996"/>
    <n v="9.6999999999999993"/>
    <n v="52.17333"/>
    <n v="3"/>
    <n v="36.047619999999995"/>
    <n v="0"/>
    <n v="31.98"/>
  </r>
  <r>
    <x v="4"/>
    <x v="37"/>
    <x v="37"/>
    <n v="19447.898859999998"/>
    <n v="2671.2932000000001"/>
    <n v="3430.6457099999998"/>
    <n v="2508.8928900000001"/>
    <n v="2187.2494799999999"/>
    <n v="2047.5211999999999"/>
    <n v="2390.0975100000001"/>
    <n v="663.28558999999996"/>
    <n v="1189.8230799999999"/>
    <n v="504.68266"/>
    <n v="593.07565999999997"/>
    <n v="277.35187999999999"/>
    <n v="983.98"/>
    <n v="0"/>
  </r>
  <r>
    <x v="4"/>
    <x v="38"/>
    <x v="38"/>
    <n v="19518.933270000001"/>
    <n v="2677.5903400000002"/>
    <n v="3445.6336900000001"/>
    <n v="2492.0569799999998"/>
    <n v="2184.1161400000001"/>
    <n v="2067.3886699999998"/>
    <n v="2387.9306000000001"/>
    <n v="673.63466000000005"/>
    <n v="1199.7486699999999"/>
    <n v="502.76265000000001"/>
    <n v="602.26232000000005"/>
    <n v="279.13855000000007"/>
    <n v="1006.67"/>
    <n v="0"/>
  </r>
  <r>
    <x v="4"/>
    <x v="39"/>
    <x v="39"/>
    <n v="19600.731019999999"/>
    <n v="2711.2471599999999"/>
    <n v="3489.9218099999998"/>
    <n v="2510.3703"/>
    <n v="2212.2827600000001"/>
    <n v="2104.9187099999999"/>
    <n v="2405.7588999999998"/>
    <n v="679.84411999999998"/>
    <n v="1063.3513499999999"/>
    <n v="507.93597999999997"/>
    <n v="604.84898999999996"/>
    <n v="286.33094"/>
    <n v="1023.92"/>
    <n v="0"/>
  </r>
  <r>
    <x v="4"/>
    <x v="40"/>
    <x v="40"/>
    <n v="19761.582870000002"/>
    <n v="2735.2338300000001"/>
    <n v="3528.9084899999998"/>
    <n v="2539.2503000000002"/>
    <n v="2229.4760799999999"/>
    <n v="2120.6208000000001"/>
    <n v="2408.86319"/>
    <n v="679.08624999999995"/>
    <n v="1078.6380200000001"/>
    <n v="509.52265"/>
    <n v="609.06232"/>
    <n v="283.73094000000003"/>
    <n v="1039.19"/>
    <n v="0"/>
  </r>
  <r>
    <x v="4"/>
    <x v="41"/>
    <x v="41"/>
    <n v="19822.11823"/>
    <n v="2731.7838400000001"/>
    <n v="3544.6097500000001"/>
    <n v="2542.2969699999999"/>
    <n v="2241.9059600000001"/>
    <n v="2133.2260000000001"/>
    <n v="2411.06315"/>
    <n v="681.43958999999995"/>
    <n v="1082.03802"/>
    <n v="515.06930999999997"/>
    <n v="613.77565000000004"/>
    <n v="285.46999"/>
    <n v="1039.44"/>
    <n v="0"/>
  </r>
  <r>
    <x v="4"/>
    <x v="42"/>
    <x v="42"/>
    <n v="20056.967449999996"/>
    <n v="2760.2749100000001"/>
    <n v="3597.8460399999999"/>
    <n v="2564.9860800000001"/>
    <n v="2253.2993000000001"/>
    <n v="2154.7264500000001"/>
    <n v="2419.47516"/>
    <n v="699.17958999999996"/>
    <n v="1075.3913700000001"/>
    <n v="526.84290999999996"/>
    <n v="626.49564999999996"/>
    <n v="297.86998999999997"/>
    <n v="1080.58"/>
    <n v="0"/>
  </r>
  <r>
    <x v="4"/>
    <x v="43"/>
    <x v="43"/>
    <n v="20149.938749999998"/>
    <n v="2773.9933799999999"/>
    <n v="3624.6347999999998"/>
    <n v="2566.2971299999999"/>
    <n v="2266.9410800000001"/>
    <n v="2168.8931299999999"/>
    <n v="2428.3761100000002"/>
    <n v="697.13986"/>
    <n v="1088.89804"/>
    <n v="526.84290999999996"/>
    <n v="622.40232000000003"/>
    <n v="299.66998999999993"/>
    <n v="1085.8499999999999"/>
    <n v="0"/>
  </r>
  <r>
    <x v="4"/>
    <x v="44"/>
    <x v="44"/>
    <n v="20290.344850000001"/>
    <n v="2784.8600499999998"/>
    <n v="3633.22363"/>
    <n v="2575.5810999999999"/>
    <n v="2272.0544300000001"/>
    <n v="2174.9541300000001"/>
    <n v="2437.1673799999999"/>
    <n v="700.71559000000002"/>
    <n v="1168.7067"/>
    <n v="520.98290999999995"/>
    <n v="626.55893000000003"/>
    <n v="305.2"/>
    <n v="1090.3399999999999"/>
    <n v="0"/>
  </r>
  <r>
    <x v="4"/>
    <x v="45"/>
    <x v="45"/>
    <n v="21659.531369999997"/>
    <n v="2770.1130499999999"/>
    <n v="3633.0513700000001"/>
    <n v="2568.5378999999998"/>
    <n v="2248.16815"/>
    <n v="2182.26352"/>
    <n v="2353.9452999999999"/>
    <n v="620.51504999999997"/>
    <n v="1165.8567"/>
    <n v="519.85623999999996"/>
    <n v="630.34559000000002"/>
    <n v="301.20999999999998"/>
    <n v="1104.78368"/>
    <n v="1560.88482"/>
  </r>
  <r>
    <x v="4"/>
    <x v="46"/>
    <x v="46"/>
    <n v="21754.736850000001"/>
    <n v="2783.79304"/>
    <n v="3667.4476500000001"/>
    <n v="2565.4426699999999"/>
    <n v="2251.0149500000002"/>
    <n v="2196.5035200000002"/>
    <n v="2346.57116"/>
    <n v="625.40412000000003"/>
    <n v="1170.0030899999999"/>
    <n v="521.18957"/>
    <n v="632.24558999999999"/>
    <n v="309.64"/>
    <n v="1113.95"/>
    <n v="1571.5314900000001"/>
  </r>
  <r>
    <x v="4"/>
    <x v="47"/>
    <x v="47"/>
    <n v="21782.202820000002"/>
    <n v="2781.0823799999998"/>
    <n v="3664.8763199999999"/>
    <n v="2574.2218699999999"/>
    <n v="2255.4216200000001"/>
    <n v="2204.9101799999999"/>
    <n v="2344.6326399999998"/>
    <n v="621.42430999999999"/>
    <n v="1175.5219099999999"/>
    <n v="527.78957000000003"/>
    <n v="623.88558999999998"/>
    <n v="312.96094000000011"/>
    <n v="1120.2"/>
    <n v="1575.27549"/>
  </r>
  <r>
    <x v="4"/>
    <x v="48"/>
    <x v="48"/>
    <n v="21850.47105"/>
    <n v="2799.1117100000001"/>
    <n v="3673.0046200000002"/>
    <n v="2583.9418700000001"/>
    <n v="2256.5049300000001"/>
    <n v="2218.0735100000002"/>
    <n v="2340.2424700000001"/>
    <n v="619.9117"/>
    <n v="1186.17977"/>
    <n v="531.47996999999998"/>
    <n v="627.59226000000001"/>
    <n v="323.0247500000001"/>
    <n v="1110.5999999999999"/>
    <n v="1580.80349"/>
  </r>
  <r>
    <x v="4"/>
    <x v="49"/>
    <x v="49"/>
    <n v="21882.282210000001"/>
    <n v="2802.6477199999999"/>
    <n v="3677.44301"/>
    <n v="2588.9539599999998"/>
    <n v="2259.1847699999998"/>
    <n v="2209.8334799999998"/>
    <n v="2347.4408100000001"/>
    <n v="618.24504999999999"/>
    <n v="1191.79294"/>
    <n v="528.66664000000003"/>
    <n v="625.96559000000002"/>
    <n v="323.0247500000001"/>
    <n v="1121.4000000000001"/>
    <n v="1587.6834899999999"/>
  </r>
  <r>
    <x v="5"/>
    <x v="37"/>
    <x v="37"/>
    <n v="6627.6872800000001"/>
    <n v="973.38948000000005"/>
    <n v="1308.21173"/>
    <n v="1157.3288399999999"/>
    <n v="1066.1950400000001"/>
    <n v="836.45375999999999"/>
    <n v="990.13802999999996"/>
    <n v="178.12671"/>
    <n v="0.66666999999999998"/>
    <n v="55.363700000000001"/>
    <n v="61.813319999999997"/>
    <n v="0"/>
    <n v="0"/>
    <n v="0"/>
  </r>
  <r>
    <x v="5"/>
    <x v="38"/>
    <x v="38"/>
    <n v="6620.0852599999998"/>
    <n v="970.37279000000001"/>
    <n v="1313.9396999999999"/>
    <n v="1158.5688399999999"/>
    <n v="1065.3417300000001"/>
    <n v="831.54710999999998"/>
    <n v="987.67136000000005"/>
    <n v="172.80004"/>
    <n v="0.66666999999999998"/>
    <n v="57.363700000000001"/>
    <n v="61.813319999999997"/>
    <n v="0"/>
    <n v="0"/>
    <n v="0"/>
  </r>
  <r>
    <x v="5"/>
    <x v="39"/>
    <x v="39"/>
    <n v="6617.8194899999999"/>
    <n v="967.79612999999995"/>
    <n v="1320.0263500000001"/>
    <n v="1151.8088499999999"/>
    <n v="1073.8617300000001"/>
    <n v="822.96708000000001"/>
    <n v="990.75562000000002"/>
    <n v="171.44004000000001"/>
    <n v="0.66666999999999998"/>
    <n v="55.683700000000002"/>
    <n v="62.813319999999997"/>
    <n v="0"/>
    <n v="0"/>
    <n v="0"/>
  </r>
  <r>
    <x v="5"/>
    <x v="40"/>
    <x v="40"/>
    <n v="6661.6894799999991"/>
    <n v="975.65611000000001"/>
    <n v="1340.62634"/>
    <n v="1153.7888600000001"/>
    <n v="1079.2817399999999"/>
    <n v="824.45042999999998"/>
    <n v="997.42894999999999"/>
    <n v="169.64003"/>
    <n v="0.66666999999999998"/>
    <n v="56.683700000000002"/>
    <n v="63.466650000000001"/>
    <n v="0"/>
    <n v="0"/>
    <n v="0"/>
  </r>
  <r>
    <x v="5"/>
    <x v="41"/>
    <x v="41"/>
    <n v="6644.5813699999999"/>
    <n v="969.31133"/>
    <n v="1339.893"/>
    <n v="1158.38885"/>
    <n v="1075.1284000000001"/>
    <n v="822.44045000000006"/>
    <n v="991.08228999999994"/>
    <n v="168.38669999999999"/>
    <n v="0.66666999999999998"/>
    <n v="55.817030000000003"/>
    <n v="63.466650000000001"/>
    <n v="0"/>
    <n v="0"/>
    <n v="0"/>
  </r>
  <r>
    <x v="5"/>
    <x v="42"/>
    <x v="42"/>
    <n v="6677.1140200000009"/>
    <n v="969.76800000000003"/>
    <n v="1353.74234"/>
    <n v="1167.0888299999999"/>
    <n v="1079.38175"/>
    <n v="829.26711"/>
    <n v="990.09562000000005"/>
    <n v="170.14669000000001"/>
    <n v="0.66666999999999998"/>
    <n v="53.990360000000003"/>
    <n v="62.966650000000001"/>
    <n v="0"/>
    <n v="0"/>
    <n v="0"/>
  </r>
  <r>
    <x v="5"/>
    <x v="43"/>
    <x v="43"/>
    <n v="6717.22397"/>
    <n v="971.83133999999995"/>
    <n v="1366.02235"/>
    <n v="1180.06213"/>
    <n v="1083.0284099999999"/>
    <n v="837.18709000000001"/>
    <n v="989.24228000000005"/>
    <n v="172.22668999999999"/>
    <n v="0.66666999999999998"/>
    <n v="53.990360000000003"/>
    <n v="62.966650000000001"/>
    <n v="0"/>
    <n v="0"/>
    <n v="0"/>
  </r>
  <r>
    <x v="5"/>
    <x v="44"/>
    <x v="44"/>
    <n v="6715.0872200000003"/>
    <n v="975.45456000000001"/>
    <n v="1368.72236"/>
    <n v="1179.26215"/>
    <n v="1083.8150900000001"/>
    <n v="836.66709000000003"/>
    <n v="981.94893999999999"/>
    <n v="168.89335"/>
    <n v="0.66666999999999998"/>
    <n v="54.190359999999998"/>
    <n v="64.466650000000001"/>
    <n v="1"/>
    <n v="0"/>
    <n v="0"/>
  </r>
  <r>
    <x v="5"/>
    <x v="45"/>
    <x v="45"/>
    <n v="7191.6083799999997"/>
    <n v="983.44840999999997"/>
    <n v="1368.6157000000001"/>
    <n v="1176.5568499999999"/>
    <n v="1083.6982700000001"/>
    <n v="851.99248"/>
    <n v="973.53962999999999"/>
    <n v="169.94668999999999"/>
    <n v="0.66666999999999998"/>
    <n v="54.990360000000003"/>
    <n v="63.466650000000001"/>
    <n v="0"/>
    <n v="0"/>
    <n v="464.68666999999999"/>
  </r>
  <r>
    <x v="5"/>
    <x v="46"/>
    <x v="46"/>
    <n v="7206.3551700000007"/>
    <n v="982.78162999999995"/>
    <n v="1377.72234"/>
    <n v="1186.3437799999999"/>
    <n v="1080.4449300000001"/>
    <n v="849.13914999999997"/>
    <n v="973.52630999999997"/>
    <n v="164.10002"/>
    <n v="0.66666999999999998"/>
    <n v="59.123690000000003"/>
    <n v="62.466650000000001"/>
    <n v="0"/>
    <n v="0"/>
    <n v="470.04"/>
  </r>
  <r>
    <x v="5"/>
    <x v="47"/>
    <x v="47"/>
    <n v="7213.2418800000005"/>
    <n v="990.62158999999997"/>
    <n v="1375.60238"/>
    <n v="1199.0371500000001"/>
    <n v="1070.2449300000001"/>
    <n v="850.77914999999996"/>
    <n v="972.16632000000004"/>
    <n v="163.68669"/>
    <n v="0.66666999999999998"/>
    <n v="59.857019999999999"/>
    <n v="61.739980000000003"/>
    <n v="0"/>
    <n v="0"/>
    <n v="468.84"/>
  </r>
  <r>
    <x v="5"/>
    <x v="48"/>
    <x v="48"/>
    <n v="7200.9977500000005"/>
    <n v="987.35825"/>
    <n v="1367.92238"/>
    <n v="1204.08968"/>
    <n v="1067.9449199999999"/>
    <n v="848.59249999999997"/>
    <n v="972.47964999999999"/>
    <n v="162.92669000000001"/>
    <n v="0.66666999999999998"/>
    <n v="59.370359999999998"/>
    <n v="59.806649999999998"/>
    <n v="0"/>
    <n v="0"/>
    <n v="469.84"/>
  </r>
  <r>
    <x v="5"/>
    <x v="49"/>
    <x v="49"/>
    <n v="7179.8211099999999"/>
    <n v="982.93493000000001"/>
    <n v="1364.66905"/>
    <n v="1204.61635"/>
    <n v="1059.35826"/>
    <n v="852.47248999999999"/>
    <n v="967.59965"/>
    <n v="162.12669"/>
    <n v="0.66666999999999998"/>
    <n v="59.370370000000001"/>
    <n v="57.806649999999998"/>
    <n v="0"/>
    <n v="0"/>
    <n v="468.2"/>
  </r>
  <r>
    <x v="6"/>
    <x v="37"/>
    <x v="37"/>
    <n v="24056.810320000001"/>
    <n v="3675.6395900000002"/>
    <n v="5237.1000800000002"/>
    <n v="4234.5295599999999"/>
    <n v="3518.78755"/>
    <n v="2792.42796"/>
    <n v="3549.6634300000001"/>
    <n v="545.93814999999995"/>
    <n v="82.33999"/>
    <n v="214.32667000000001"/>
    <n v="197.65734"/>
    <n v="8.4"/>
    <n v="0"/>
    <n v="0"/>
  </r>
  <r>
    <x v="6"/>
    <x v="38"/>
    <x v="38"/>
    <n v="24284.246909999998"/>
    <n v="3702.4627700000001"/>
    <n v="5254.6157999999996"/>
    <n v="4346.0315099999998"/>
    <n v="3518.8371200000001"/>
    <n v="2835.5140900000001"/>
    <n v="3564.9138600000001"/>
    <n v="554.38775999999996"/>
    <n v="83.33999"/>
    <n v="212.00667000000001"/>
    <n v="203.73733999999999"/>
    <n v="8.4"/>
    <n v="0"/>
    <n v="0"/>
  </r>
  <r>
    <x v="6"/>
    <x v="39"/>
    <x v="39"/>
    <n v="24581.205570000006"/>
    <n v="3775.3049000000001"/>
    <n v="5263.3325800000002"/>
    <n v="4380.6931100000002"/>
    <n v="3578.7280599999999"/>
    <n v="2877.3373099999999"/>
    <n v="3648.3725199999999"/>
    <n v="559.26642000000004"/>
    <n v="84.239990000000006"/>
    <n v="210.61333999999999"/>
    <n v="194.91734"/>
    <n v="8.4"/>
    <n v="0"/>
    <n v="0"/>
  </r>
  <r>
    <x v="6"/>
    <x v="40"/>
    <x v="40"/>
    <n v="24701.893500000002"/>
    <n v="3781.0219699999998"/>
    <n v="5259.9792699999998"/>
    <n v="4409.2120400000003"/>
    <n v="3592.4824699999999"/>
    <n v="2894.5061799999999"/>
    <n v="3697.5744599999998"/>
    <n v="557.53309000000002"/>
    <n v="89.213329999999999"/>
    <n v="211.98668000000001"/>
    <n v="199.98401000000001"/>
    <n v="8.4"/>
    <n v="0"/>
    <n v="0"/>
  </r>
  <r>
    <x v="6"/>
    <x v="41"/>
    <x v="41"/>
    <n v="24679.264810000004"/>
    <n v="3775.4688999999998"/>
    <n v="5252.9059200000002"/>
    <n v="4389.1475099999998"/>
    <n v="3614.3668699999998"/>
    <n v="2898.7320399999999"/>
    <n v="3686.7707300000002"/>
    <n v="555.67548999999997"/>
    <n v="91.213329999999999"/>
    <n v="211.86668"/>
    <n v="194.71734000000001"/>
    <n v="8.4"/>
    <n v="0"/>
    <n v="0"/>
  </r>
  <r>
    <x v="6"/>
    <x v="42"/>
    <x v="42"/>
    <n v="24782.686610000001"/>
    <n v="3801.2790399999999"/>
    <n v="5279.1658900000002"/>
    <n v="4388.4022000000004"/>
    <n v="3633.9404300000001"/>
    <n v="2921.1616100000001"/>
    <n v="3690.89129"/>
    <n v="554.10215000000005"/>
    <n v="91.506659999999997"/>
    <n v="216.58667"/>
    <n v="196.65066999999999"/>
    <n v="9"/>
    <n v="0"/>
    <n v="0"/>
  </r>
  <r>
    <x v="6"/>
    <x v="43"/>
    <x v="43"/>
    <n v="24862.36277"/>
    <n v="3805.0366399999998"/>
    <n v="5318.5239700000002"/>
    <n v="4392.8485799999999"/>
    <n v="3638.57215"/>
    <n v="2930.4085300000002"/>
    <n v="3701.02675"/>
    <n v="557.10882000000004"/>
    <n v="91.506659999999997"/>
    <n v="216.14667"/>
    <n v="202.184"/>
    <n v="9"/>
    <n v="0"/>
    <n v="0"/>
  </r>
  <r>
    <x v="6"/>
    <x v="44"/>
    <x v="44"/>
    <n v="24941.022440000001"/>
    <n v="3808.9859700000002"/>
    <n v="5325.4314400000003"/>
    <n v="4391.41633"/>
    <n v="3651.93415"/>
    <n v="2961.9149699999998"/>
    <n v="3725.29342"/>
    <n v="561.87549000000001"/>
    <n v="87.906660000000002"/>
    <n v="218.01334"/>
    <n v="199.25067000000001"/>
    <n v="9"/>
    <n v="0"/>
    <n v="0"/>
  </r>
  <r>
    <x v="6"/>
    <x v="45"/>
    <x v="45"/>
    <n v="24901.319450000003"/>
    <n v="3772.1641199999999"/>
    <n v="5355.1402600000001"/>
    <n v="4378.2493999999997"/>
    <n v="3604.0714600000001"/>
    <n v="2976.6967800000002"/>
    <n v="3751.9544599999999"/>
    <n v="555.44564000000003"/>
    <n v="86.906660000000002"/>
    <n v="214.58667"/>
    <n v="193.404"/>
    <n v="10.199999999999999"/>
    <n v="0"/>
    <n v="2.5"/>
  </r>
  <r>
    <x v="6"/>
    <x v="46"/>
    <x v="46"/>
    <n v="24968.022219999999"/>
    <n v="3779.1491700000001"/>
    <n v="5383.0844800000004"/>
    <n v="4382.1678099999999"/>
    <n v="3610.6885400000001"/>
    <n v="2974.5259999999998"/>
    <n v="3772.5989800000002"/>
    <n v="557.00990999999999"/>
    <n v="85.906660000000002"/>
    <n v="212.26667"/>
    <n v="197.32400000000001"/>
    <n v="10.199999999999999"/>
    <n v="0"/>
    <n v="3.1"/>
  </r>
  <r>
    <x v="6"/>
    <x v="47"/>
    <x v="47"/>
    <n v="25045.0615"/>
    <n v="3778.04916"/>
    <n v="5401.6507199999996"/>
    <n v="4451.93048"/>
    <n v="3592.04133"/>
    <n v="2969.826"/>
    <n v="3792.7925799999998"/>
    <n v="553.57790999999997"/>
    <n v="84.806659999999994"/>
    <n v="211.66667000000001"/>
    <n v="195.41999000000001"/>
    <n v="10.199999999999999"/>
    <n v="0"/>
    <n v="3.1"/>
  </r>
  <r>
    <x v="6"/>
    <x v="48"/>
    <x v="48"/>
    <n v="25050.627780000003"/>
    <n v="3765.80728"/>
    <n v="5412.6083200000003"/>
    <n v="4467.88645"/>
    <n v="3581.3874599999999"/>
    <n v="2961.0102299999999"/>
    <n v="3817.4234799999999"/>
    <n v="546.87125000000003"/>
    <n v="83.939989999999995"/>
    <n v="207.41334000000001"/>
    <n v="192.97998000000001"/>
    <n v="10.199999999999999"/>
    <n v="0"/>
    <n v="3.1"/>
  </r>
  <r>
    <x v="6"/>
    <x v="49"/>
    <x v="49"/>
    <n v="25098.388049999998"/>
    <n v="3767.6006200000002"/>
    <n v="5424.2373900000002"/>
    <n v="4477.1110099999996"/>
    <n v="3577.5607799999998"/>
    <n v="2983.3835600000002"/>
    <n v="3824.66347"/>
    <n v="543.56457999999998"/>
    <n v="85.746660000000006"/>
    <n v="206.97333"/>
    <n v="194.24664999999999"/>
    <n v="10.199999999999999"/>
    <n v="0"/>
    <n v="3.1"/>
  </r>
  <r>
    <x v="7"/>
    <x v="37"/>
    <x v="37"/>
    <n v="5079.7101300000013"/>
    <n v="742.27926000000002"/>
    <n v="1085.42857"/>
    <n v="923.04155000000003"/>
    <n v="729.61650999999995"/>
    <n v="590.77626999999995"/>
    <n v="756.45294000000001"/>
    <n v="27.96022"/>
    <n v="102.26931999999999"/>
    <n v="74.781819999999996"/>
    <n v="0.50666999999999995"/>
    <n v="45.997"/>
    <n v="0.6"/>
    <n v="0"/>
  </r>
  <r>
    <x v="7"/>
    <x v="38"/>
    <x v="38"/>
    <n v="5136.6929700000001"/>
    <n v="755.75260000000003"/>
    <n v="1084.06106"/>
    <n v="948.90596000000005"/>
    <n v="731.41651000000002"/>
    <n v="602.06294000000003"/>
    <n v="760.99136999999996"/>
    <n v="29.160219999999999"/>
    <n v="101.73182"/>
    <n v="74.831819999999993"/>
    <n v="0.50666999999999995"/>
    <n v="46.67199999999999"/>
    <n v="0.6"/>
    <n v="0"/>
  </r>
  <r>
    <x v="7"/>
    <x v="39"/>
    <x v="39"/>
    <n v="5186.5978000000005"/>
    <n v="773.11793"/>
    <n v="1094.48406"/>
    <n v="955.03071"/>
    <n v="734.96650999999997"/>
    <n v="610.59893999999997"/>
    <n v="775.83280999999999"/>
    <n v="31.90635"/>
    <n v="90.35"/>
    <n v="73.731819999999999"/>
    <n v="0.50666999999999995"/>
    <n v="46.07200000000001"/>
    <n v="0"/>
    <n v="0"/>
  </r>
  <r>
    <x v="7"/>
    <x v="40"/>
    <x v="40"/>
    <n v="5249.2521699999998"/>
    <n v="789.11793"/>
    <n v="1107.5307299999999"/>
    <n v="965.75626"/>
    <n v="735.16651000000002"/>
    <n v="619.14439000000004"/>
    <n v="787.06951000000004"/>
    <n v="32.106349999999999"/>
    <n v="87.45"/>
    <n v="76.131820000000005"/>
    <n v="0.50666999999999995"/>
    <n v="49.272000000000034"/>
    <n v="0"/>
    <n v="0"/>
  </r>
  <r>
    <x v="7"/>
    <x v="41"/>
    <x v="41"/>
    <n v="5249.3092999999999"/>
    <n v="792.54292999999996"/>
    <n v="1104.9750300000001"/>
    <n v="964.18151"/>
    <n v="733.93079999999998"/>
    <n v="615.29439000000002"/>
    <n v="793.09280000000001"/>
    <n v="32.106349999999999"/>
    <n v="87.45"/>
    <n v="75.931820000000002"/>
    <n v="0.50666999999999995"/>
    <n v="49.097000000000037"/>
    <n v="0.2"/>
    <n v="0"/>
  </r>
  <r>
    <x v="7"/>
    <x v="42"/>
    <x v="42"/>
    <n v="5280.2119300000004"/>
    <n v="789.86292000000003"/>
    <n v="1110.5190600000001"/>
    <n v="973.26095999999995"/>
    <n v="744.84508000000005"/>
    <n v="618.78453999999999"/>
    <n v="795.92039999999997"/>
    <n v="30.728480000000001"/>
    <n v="88.65"/>
    <n v="76.661820000000006"/>
    <n v="0.50666999999999995"/>
    <n v="50.472000000000023"/>
    <n v="0"/>
    <n v="0"/>
  </r>
  <r>
    <x v="7"/>
    <x v="43"/>
    <x v="43"/>
    <n v="5322.0400200000004"/>
    <n v="784.87625000000003"/>
    <n v="1130.7382299999999"/>
    <n v="969.88775999999996"/>
    <n v="749.08078999999998"/>
    <n v="626.08533"/>
    <n v="810.16776000000004"/>
    <n v="30.60341"/>
    <n v="91.45"/>
    <n v="77.061819999999997"/>
    <n v="0.50666999999999995"/>
    <n v="50.322000000000031"/>
    <n v="1.26"/>
    <n v="0"/>
  </r>
  <r>
    <x v="7"/>
    <x v="44"/>
    <x v="44"/>
    <n v="5374.9774399999997"/>
    <n v="791.93624999999997"/>
    <n v="1143.56828"/>
    <n v="976.87867000000006"/>
    <n v="753.75221999999997"/>
    <n v="637.69569000000001"/>
    <n v="818.33443"/>
    <n v="31.60341"/>
    <n v="91.25"/>
    <n v="78.061819999999997"/>
    <n v="0.50666999999999995"/>
    <n v="50.15"/>
    <n v="1.2400000000000091"/>
    <n v="0"/>
  </r>
  <r>
    <x v="7"/>
    <x v="45"/>
    <x v="45"/>
    <n v="8350.3873499999991"/>
    <n v="798.52625"/>
    <n v="1150.23404"/>
    <n v="975.43812000000003"/>
    <n v="747.80433000000005"/>
    <n v="634.80178999999998"/>
    <n v="824.85091999999997"/>
    <n v="33.723410000000001"/>
    <n v="90.33"/>
    <n v="78.061819999999997"/>
    <n v="0.50666999999999995"/>
    <n v="50.52"/>
    <n v="1.24"/>
    <n v="2964.35"/>
  </r>
  <r>
    <x v="7"/>
    <x v="46"/>
    <x v="46"/>
    <n v="8359.0104599999995"/>
    <n v="803.82624999999996"/>
    <n v="1156.79403"/>
    <n v="982.55881999999997"/>
    <n v="751.75432999999998"/>
    <n v="642.29345000000001"/>
    <n v="822.66917999999998"/>
    <n v="33.223410000000001"/>
    <n v="90.33"/>
    <n v="77.26182"/>
    <n v="0.50666999999999995"/>
    <n v="49.54"/>
    <n v="1.24"/>
    <n v="2947.0124999999998"/>
  </r>
  <r>
    <x v="7"/>
    <x v="47"/>
    <x v="47"/>
    <n v="8346.9742699999988"/>
    <n v="795.82624999999996"/>
    <n v="1154.2637199999999"/>
    <n v="986.54493000000002"/>
    <n v="750.67575999999997"/>
    <n v="649.06921"/>
    <n v="824.09726999999998"/>
    <n v="33.679139999999997"/>
    <n v="89.83"/>
    <n v="77.38682"/>
    <n v="0.50666999999999995"/>
    <n v="49.742000000000004"/>
    <n v="1.24"/>
    <n v="2934.1125000000002"/>
  </r>
  <r>
    <x v="7"/>
    <x v="48"/>
    <x v="48"/>
    <n v="8666.5487200000007"/>
    <n v="788.07425000000001"/>
    <n v="1141.2615900000001"/>
    <n v="980.81714999999997"/>
    <n v="743.77575999999999"/>
    <n v="640.89345000000003"/>
    <n v="816.28633000000002"/>
    <n v="33.034700000000001"/>
    <n v="89.767499999999998"/>
    <n v="77.786820000000006"/>
    <n v="0.50666999999999995"/>
    <n v="49.491999999999997"/>
    <n v="1.54"/>
    <n v="3303.3125"/>
  </r>
  <r>
    <x v="7"/>
    <x v="49"/>
    <x v="49"/>
    <n v="8568.057710000001"/>
    <n v="797.89175"/>
    <n v="1127.89742"/>
    <n v="992.23533999999995"/>
    <n v="745.93205"/>
    <n v="629.33803999999998"/>
    <n v="805.99792000000002"/>
    <n v="32.434699999999999"/>
    <n v="88.567499999999995"/>
    <n v="75.724320000000006"/>
    <n v="0.50666999999999995"/>
    <n v="49.491999999999997"/>
    <n v="1.54"/>
    <n v="3220.5"/>
  </r>
  <r>
    <x v="8"/>
    <x v="37"/>
    <x v="37"/>
    <n v="129.36663999999999"/>
    <n v="10.5"/>
    <n v="23.5"/>
    <n v="27.566649999999999"/>
    <n v="63.733339999999998"/>
    <n v="1"/>
    <n v="0"/>
    <n v="0"/>
    <n v="0"/>
    <n v="3.0666500000000001"/>
    <n v="0"/>
    <n v="0"/>
    <n v="0"/>
    <n v="0"/>
  </r>
  <r>
    <x v="8"/>
    <x v="38"/>
    <x v="38"/>
    <n v="127.51997"/>
    <n v="9.5"/>
    <n v="15.34"/>
    <n v="25.86665"/>
    <n v="72.133340000000004"/>
    <n v="1"/>
    <n v="0"/>
    <n v="0"/>
    <n v="0"/>
    <n v="3.67998"/>
    <n v="0"/>
    <n v="0"/>
    <n v="0"/>
    <n v="0"/>
  </r>
  <r>
    <x v="8"/>
    <x v="39"/>
    <x v="39"/>
    <n v="135.86664000000002"/>
    <n v="9.5"/>
    <n v="15.5"/>
    <n v="25.666650000000001"/>
    <n v="81.133340000000004"/>
    <n v="1"/>
    <n v="0"/>
    <n v="0"/>
    <n v="0"/>
    <n v="3.0666500000000001"/>
    <n v="0"/>
    <n v="0"/>
    <n v="0"/>
    <n v="0"/>
  </r>
  <r>
    <x v="8"/>
    <x v="40"/>
    <x v="40"/>
    <n v="127.06664000000001"/>
    <n v="8.5"/>
    <n v="15.5"/>
    <n v="24.666650000000001"/>
    <n v="75.333340000000007"/>
    <n v="0"/>
    <n v="0"/>
    <n v="0"/>
    <n v="0"/>
    <n v="3.0666500000000001"/>
    <n v="0"/>
    <n v="0"/>
    <n v="0"/>
    <n v="0"/>
  </r>
  <r>
    <x v="8"/>
    <x v="41"/>
    <x v="41"/>
    <n v="116.06664000000001"/>
    <n v="8.5"/>
    <n v="14.5"/>
    <n v="24.666650000000001"/>
    <n v="65.333340000000007"/>
    <n v="0"/>
    <n v="0"/>
    <n v="0"/>
    <n v="0"/>
    <n v="3.0666500000000001"/>
    <n v="0"/>
    <n v="0"/>
    <n v="0"/>
    <n v="0"/>
  </r>
  <r>
    <x v="8"/>
    <x v="42"/>
    <x v="42"/>
    <n v="98.466639999999998"/>
    <n v="8.5"/>
    <n v="21.5"/>
    <n v="23.066649999999999"/>
    <n v="42.33334"/>
    <n v="0"/>
    <n v="0"/>
    <n v="0"/>
    <n v="0"/>
    <n v="3.0666500000000001"/>
    <n v="0"/>
    <n v="0"/>
    <n v="0"/>
    <n v="0"/>
  </r>
  <r>
    <x v="8"/>
    <x v="43"/>
    <x v="43"/>
    <n v="87.466639999999998"/>
    <n v="7.5"/>
    <n v="20.5"/>
    <n v="22.066649999999999"/>
    <n v="34.33334"/>
    <n v="0"/>
    <n v="0"/>
    <n v="0"/>
    <n v="0"/>
    <n v="3.0666500000000001"/>
    <n v="0"/>
    <n v="0"/>
    <n v="0"/>
    <n v="0"/>
  </r>
  <r>
    <x v="8"/>
    <x v="44"/>
    <x v="44"/>
    <n v="75.466639999999998"/>
    <n v="7.5"/>
    <n v="20.5"/>
    <n v="22.066649999999999"/>
    <n v="22.33334"/>
    <n v="0"/>
    <n v="0"/>
    <n v="0"/>
    <n v="0"/>
    <n v="3.0666500000000001"/>
    <n v="0"/>
    <n v="0"/>
    <n v="0"/>
    <n v="0"/>
  </r>
  <r>
    <x v="8"/>
    <x v="45"/>
    <x v="45"/>
    <n v="79.726649999999992"/>
    <n v="12"/>
    <n v="21.5"/>
    <n v="25.226659999999999"/>
    <n v="17.933340000000001"/>
    <n v="0"/>
    <n v="0"/>
    <n v="0"/>
    <n v="0"/>
    <n v="3.0666500000000001"/>
    <n v="0"/>
    <n v="0"/>
    <n v="0"/>
    <n v="0"/>
  </r>
  <r>
    <x v="8"/>
    <x v="46"/>
    <x v="46"/>
    <n v="76.113320000000002"/>
    <n v="11"/>
    <n v="21.5"/>
    <n v="24.613330000000001"/>
    <n v="15.933339999999999"/>
    <n v="0"/>
    <n v="0"/>
    <n v="0"/>
    <n v="0"/>
    <n v="3.0666500000000001"/>
    <n v="0"/>
    <n v="0"/>
    <n v="0"/>
    <n v="0"/>
  </r>
  <r>
    <x v="8"/>
    <x v="47"/>
    <x v="47"/>
    <n v="77.479990000000001"/>
    <n v="11"/>
    <n v="20.5"/>
    <n v="25.98"/>
    <n v="16.933340000000001"/>
    <n v="0"/>
    <n v="0"/>
    <n v="0"/>
    <n v="0"/>
    <n v="3.0666500000000001"/>
    <n v="0"/>
    <n v="0"/>
    <n v="0"/>
    <n v="0"/>
  </r>
  <r>
    <x v="8"/>
    <x v="48"/>
    <x v="48"/>
    <n v="73.413319999999999"/>
    <n v="11"/>
    <n v="20.5"/>
    <n v="22.913329999999998"/>
    <n v="15.933339999999999"/>
    <n v="0"/>
    <n v="0"/>
    <n v="0"/>
    <n v="0"/>
    <n v="3.0666500000000001"/>
    <n v="0"/>
    <n v="0"/>
    <n v="0"/>
    <n v="0"/>
  </r>
  <r>
    <x v="8"/>
    <x v="49"/>
    <x v="49"/>
    <n v="73.413319999999999"/>
    <n v="11"/>
    <n v="20.5"/>
    <n v="23.913329999999998"/>
    <n v="14.933339999999999"/>
    <n v="0"/>
    <n v="0"/>
    <n v="0"/>
    <n v="0"/>
    <n v="3.0666500000000001"/>
    <n v="0"/>
    <n v="0"/>
    <n v="0"/>
    <n v="0"/>
  </r>
  <r>
    <x v="0"/>
    <x v="50"/>
    <x v="50"/>
    <n v="6890.8946500000002"/>
    <n v="793.76482999999996"/>
    <n v="1103.7264500000001"/>
    <n v="1338.71387"/>
    <n v="713.65944000000002"/>
    <n v="657.26076"/>
    <n v="858.49001999999996"/>
    <n v="131.99574999999999"/>
    <n v="65.844260000000006"/>
    <n v="139.24850000000001"/>
    <n v="1084.39077"/>
    <n v="3.8"/>
    <n v="0"/>
    <n v="0"/>
  </r>
  <r>
    <x v="0"/>
    <x v="51"/>
    <x v="51"/>
    <n v="6865.98506"/>
    <n v="790.09816999999998"/>
    <n v="1099.4131299999999"/>
    <n v="1331.83385"/>
    <n v="708.48504000000003"/>
    <n v="659.15410999999995"/>
    <n v="851.83001999999999"/>
    <n v="131.70241999999999"/>
    <n v="65.844260000000006"/>
    <n v="138.24930000000001"/>
    <n v="1084.57476"/>
    <n v="4.8"/>
    <n v="0"/>
    <n v="0"/>
  </r>
  <r>
    <x v="0"/>
    <x v="52"/>
    <x v="52"/>
    <n v="6873.7250400000003"/>
    <n v="811.94615999999996"/>
    <n v="1107.71444"/>
    <n v="1326.8871799999999"/>
    <n v="704.36504000000002"/>
    <n v="652.62743999999998"/>
    <n v="847.79669999999999"/>
    <n v="128.98241999999999"/>
    <n v="66.44426"/>
    <n v="136.58931000000001"/>
    <n v="1085.5720899999999"/>
    <n v="4.8"/>
    <n v="0"/>
    <n v="0"/>
  </r>
  <r>
    <x v="1"/>
    <x v="50"/>
    <x v="50"/>
    <n v="18808.959009999999"/>
    <n v="2639.1209600000002"/>
    <n v="3582.97903"/>
    <n v="2833.3304800000001"/>
    <n v="2071.7897200000002"/>
    <n v="2165.9769900000001"/>
    <n v="2470.6075500000002"/>
    <n v="396.26722000000001"/>
    <n v="337.40742"/>
    <n v="228.81978000000001"/>
    <n v="2080.1598600000002"/>
    <n v="2.5"/>
    <n v="0"/>
    <n v="0"/>
  </r>
  <r>
    <x v="1"/>
    <x v="51"/>
    <x v="51"/>
    <n v="18849.162469999999"/>
    <n v="2656.2068199999999"/>
    <n v="3621.2222400000001"/>
    <n v="2815.6435499999998"/>
    <n v="2073.7179799999999"/>
    <n v="2189.6777900000002"/>
    <n v="2492.2622000000001"/>
    <n v="394.30056000000002"/>
    <n v="333.03408999999999"/>
    <n v="225.31310999999999"/>
    <n v="2045.28413"/>
    <n v="2.5"/>
    <n v="0"/>
    <n v="0"/>
  </r>
  <r>
    <x v="1"/>
    <x v="52"/>
    <x v="52"/>
    <n v="18790.993719999999"/>
    <n v="2665.6332699999998"/>
    <n v="3633.4489199999998"/>
    <n v="2810.96461"/>
    <n v="2063.7513199999999"/>
    <n v="2200.2020600000001"/>
    <n v="2461.3477800000001"/>
    <n v="391.21256"/>
    <n v="327.68076000000002"/>
    <n v="228.88643999999999"/>
    <n v="2005.366"/>
    <n v="2.5"/>
    <n v="0"/>
    <n v="0"/>
  </r>
  <r>
    <x v="2"/>
    <x v="50"/>
    <x v="50"/>
    <n v="2257.5150399999998"/>
    <n v="229.43553"/>
    <n v="257.66372999999999"/>
    <n v="535.45654000000002"/>
    <n v="190.60826"/>
    <n v="192.95527999999999"/>
    <n v="316.46946000000003"/>
    <n v="4.6133300000000004"/>
    <n v="374.78492"/>
    <n v="155.52798999999999"/>
    <n v="0"/>
    <n v="0"/>
    <n v="0"/>
    <n v="0"/>
  </r>
  <r>
    <x v="2"/>
    <x v="51"/>
    <x v="51"/>
    <n v="2255.8584999999998"/>
    <n v="228.19552999999999"/>
    <n v="255.59386000000001"/>
    <n v="533.44054000000006"/>
    <n v="192.82693"/>
    <n v="191.55528000000001"/>
    <n v="317.46946000000003"/>
    <n v="4.6133300000000004"/>
    <n v="375.53557999999998"/>
    <n v="156.62799000000001"/>
    <n v="0"/>
    <n v="0"/>
    <n v="0"/>
    <n v="0"/>
  </r>
  <r>
    <x v="2"/>
    <x v="52"/>
    <x v="52"/>
    <n v="2269.3011700000002"/>
    <n v="226.95553000000001"/>
    <n v="255.26052999999999"/>
    <n v="533.58721000000003"/>
    <n v="194.49493000000001"/>
    <n v="189.55528000000001"/>
    <n v="320.66946000000002"/>
    <n v="4.6133300000000004"/>
    <n v="387.13558"/>
    <n v="157.02932000000001"/>
    <n v="0"/>
    <n v="0"/>
    <n v="0"/>
    <n v="0"/>
  </r>
  <r>
    <x v="3"/>
    <x v="50"/>
    <x v="50"/>
    <n v="2833.77198"/>
    <n v="457.26974000000001"/>
    <n v="689.66101000000003"/>
    <n v="480.29442999999998"/>
    <n v="346.45746000000003"/>
    <n v="340.86559"/>
    <n v="354.60052000000002"/>
    <n v="74.587999999999994"/>
    <n v="9"/>
    <n v="49.206659999999999"/>
    <n v="3"/>
    <n v="28.828569999999996"/>
    <n v="0"/>
    <n v="0"/>
  </r>
  <r>
    <x v="3"/>
    <x v="51"/>
    <x v="51"/>
    <n v="2831.7344099999996"/>
    <n v="455.11041"/>
    <n v="689.25435000000004"/>
    <n v="484.74856"/>
    <n v="340.75745999999998"/>
    <n v="342.78559000000001"/>
    <n v="354.84052000000003"/>
    <n v="72.888000000000005"/>
    <n v="8"/>
    <n v="51.606659999999998"/>
    <n v="3"/>
    <n v="28.742859999999993"/>
    <n v="0"/>
    <n v="0"/>
  </r>
  <r>
    <x v="3"/>
    <x v="52"/>
    <x v="52"/>
    <n v="2835.6261899999995"/>
    <n v="471.20884999999998"/>
    <n v="681.01435000000004"/>
    <n v="483.92189000000002"/>
    <n v="340.46413000000001"/>
    <n v="338.78559999999999"/>
    <n v="352.89384999999999"/>
    <n v="72.988"/>
    <n v="9"/>
    <n v="53.606659999999998"/>
    <n v="3"/>
    <n v="28.742859999999993"/>
    <n v="0"/>
    <n v="0"/>
  </r>
  <r>
    <x v="4"/>
    <x v="50"/>
    <x v="50"/>
    <n v="19366.292119999998"/>
    <n v="2639.7970500000001"/>
    <n v="3384.1148899999998"/>
    <n v="2536.10572"/>
    <n v="2242.1647600000001"/>
    <n v="2019.4278999999999"/>
    <n v="2383.3898300000001"/>
    <n v="662.93170999999995"/>
    <n v="1167.3921499999999"/>
    <n v="504.26531999999997"/>
    <n v="587.94233999999994"/>
    <n v="266.28045000000003"/>
    <n v="972.48"/>
    <n v="0"/>
  </r>
  <r>
    <x v="4"/>
    <x v="51"/>
    <x v="51"/>
    <n v="19401.700389999995"/>
    <n v="2657.9105800000002"/>
    <n v="3404.22001"/>
    <n v="2512.9177100000002"/>
    <n v="2228.74476"/>
    <n v="2038.09456"/>
    <n v="2397.5498299999999"/>
    <n v="662.24504999999999"/>
    <n v="1167.2897700000001"/>
    <n v="503.75200000000001"/>
    <n v="589.03566999999998"/>
    <n v="270.28044999999997"/>
    <n v="969.66"/>
    <n v="0"/>
  </r>
  <r>
    <x v="4"/>
    <x v="52"/>
    <x v="52"/>
    <n v="19454.288639999995"/>
    <n v="2711.19058"/>
    <n v="3403.22001"/>
    <n v="2512.3795700000001"/>
    <n v="2211.55141"/>
    <n v="2044.10121"/>
    <n v="2387.0175199999999"/>
    <n v="658.87171000000001"/>
    <n v="1180.1097600000001"/>
    <n v="506.36266000000001"/>
    <n v="585.46232999999995"/>
    <n v="283.85188000000005"/>
    <n v="970.17"/>
    <n v="0"/>
  </r>
  <r>
    <x v="5"/>
    <x v="50"/>
    <x v="50"/>
    <n v="6663.80584"/>
    <n v="976.17305999999996"/>
    <n v="1298.3933400000001"/>
    <n v="1150.1221700000001"/>
    <n v="1082.75505"/>
    <n v="859.38043000000005"/>
    <n v="999.46472000000006"/>
    <n v="179.97338999999999"/>
    <n v="0.66666999999999998"/>
    <n v="57.090359999999997"/>
    <n v="59.786650000000002"/>
    <n v="0"/>
    <n v="0"/>
    <n v="0"/>
  </r>
  <r>
    <x v="5"/>
    <x v="51"/>
    <x v="51"/>
    <n v="6666.1020699999999"/>
    <n v="972.42960000000005"/>
    <n v="1303.6997100000001"/>
    <n v="1159.76217"/>
    <n v="1078.5550499999999"/>
    <n v="856.72042999999996"/>
    <n v="997.08470999999997"/>
    <n v="181.24005"/>
    <n v="0.66666999999999998"/>
    <n v="56.157029999999999"/>
    <n v="59.786650000000002"/>
    <n v="0"/>
    <n v="0"/>
    <n v="0"/>
  </r>
  <r>
    <x v="5"/>
    <x v="52"/>
    <x v="52"/>
    <n v="6635.19391"/>
    <n v="968.44947000000002"/>
    <n v="1310.3117199999999"/>
    <n v="1152.1554799999999"/>
    <n v="1068.76837"/>
    <n v="842.06709999999998"/>
    <n v="996.19137000000001"/>
    <n v="179.45338000000001"/>
    <n v="0.66666999999999998"/>
    <n v="55.397030000000001"/>
    <n v="61.733319999999999"/>
    <n v="0"/>
    <n v="0"/>
    <n v="0"/>
  </r>
  <r>
    <x v="6"/>
    <x v="50"/>
    <x v="50"/>
    <n v="24129.781010000002"/>
    <n v="3724.7878700000001"/>
    <n v="5260.6822099999999"/>
    <n v="4170.0074500000001"/>
    <n v="3553.98459"/>
    <n v="2815.4956999999999"/>
    <n v="3540.81439"/>
    <n v="558.37147000000004"/>
    <n v="84.233320000000006"/>
    <n v="207.74666999999999"/>
    <n v="204.25734"/>
    <n v="9.4"/>
    <n v="0"/>
    <n v="0"/>
  </r>
  <r>
    <x v="6"/>
    <x v="51"/>
    <x v="51"/>
    <n v="24104.929050000002"/>
    <n v="3727.65427"/>
    <n v="5262.5689000000002"/>
    <n v="4165.5263699999996"/>
    <n v="3546.6046000000001"/>
    <n v="2813.85997"/>
    <n v="3532.8127899999999"/>
    <n v="553.39148"/>
    <n v="85.83999"/>
    <n v="209.08667"/>
    <n v="199.18401"/>
    <n v="8.4"/>
    <n v="0"/>
    <n v="0"/>
  </r>
  <r>
    <x v="6"/>
    <x v="52"/>
    <x v="52"/>
    <n v="24162.794070000004"/>
    <n v="3778.0529000000001"/>
    <n v="5261.8489099999997"/>
    <n v="4199.5762100000002"/>
    <n v="3518.8443400000001"/>
    <n v="2800.63465"/>
    <n v="3540.4482400000002"/>
    <n v="552.75815"/>
    <n v="84.639989999999997"/>
    <n v="213.91334000000001"/>
    <n v="203.67733999999999"/>
    <n v="8.4"/>
    <n v="0"/>
    <n v="0"/>
  </r>
  <r>
    <x v="7"/>
    <x v="50"/>
    <x v="50"/>
    <n v="5161.8473700000004"/>
    <n v="733.52260000000001"/>
    <n v="1128.0102400000001"/>
    <n v="932.48599000000002"/>
    <n v="738.28318000000002"/>
    <n v="606.87536"/>
    <n v="770.70424000000003"/>
    <n v="29.653449999999999"/>
    <n v="99.531819999999996"/>
    <n v="73.601820000000004"/>
    <n v="0.50666999999999995"/>
    <n v="48.071999999999996"/>
    <n v="0.6"/>
    <n v="0"/>
  </r>
  <r>
    <x v="7"/>
    <x v="51"/>
    <x v="51"/>
    <n v="5157.5086300000003"/>
    <n v="732.92926"/>
    <n v="1123.9468999999999"/>
    <n v="925.13598999999999"/>
    <n v="736.48317999999995"/>
    <n v="613.66627000000005"/>
    <n v="774.57376999999997"/>
    <n v="28.915949999999999"/>
    <n v="99.231819999999999"/>
    <n v="73.62182"/>
    <n v="0.50666999999999995"/>
    <n v="47.896999999999998"/>
    <n v="0.6"/>
    <n v="0"/>
  </r>
  <r>
    <x v="7"/>
    <x v="52"/>
    <x v="52"/>
    <n v="5150.5536900000006"/>
    <n v="770.36793"/>
    <n v="1097.5269000000001"/>
    <n v="922.80822000000001"/>
    <n v="736.51651000000004"/>
    <n v="608.52626999999995"/>
    <n v="764.00959999999998"/>
    <n v="28.915949999999999"/>
    <n v="98.931820000000002"/>
    <n v="73.62182"/>
    <n v="0.50666999999999995"/>
    <n v="48.222000000000001"/>
    <n v="0.6"/>
    <n v="0"/>
  </r>
  <r>
    <x v="8"/>
    <x v="50"/>
    <x v="50"/>
    <n v="112.76664000000001"/>
    <n v="11.5"/>
    <n v="26.1"/>
    <n v="38.566650000000003"/>
    <n v="32.533340000000003"/>
    <n v="1"/>
    <n v="0"/>
    <n v="0"/>
    <n v="0"/>
    <n v="3.0666500000000001"/>
    <n v="0"/>
    <n v="0"/>
    <n v="0"/>
    <n v="0"/>
  </r>
  <r>
    <x v="8"/>
    <x v="51"/>
    <x v="51"/>
    <n v="126.56664000000001"/>
    <n v="11.5"/>
    <n v="23.5"/>
    <n v="37.566650000000003"/>
    <n v="49.933340000000001"/>
    <n v="1"/>
    <n v="0"/>
    <n v="0"/>
    <n v="0"/>
    <n v="3.0666500000000001"/>
    <n v="0"/>
    <n v="0"/>
    <n v="0"/>
    <n v="0"/>
  </r>
  <r>
    <x v="8"/>
    <x v="52"/>
    <x v="52"/>
    <n v="139.36664000000002"/>
    <n v="9.5"/>
    <n v="23.5"/>
    <n v="33.566650000000003"/>
    <n v="68.733339999999998"/>
    <n v="1"/>
    <n v="0"/>
    <n v="0"/>
    <n v="0"/>
    <n v="3.0666500000000001"/>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4" applyNumberFormats="0" applyBorderFormats="0" applyFontFormats="0" applyPatternFormats="0" applyAlignmentFormats="0" applyWidthHeightFormats="1" dataCaption="Values" updatedVersion="8" minRefreshableVersion="3" itemPrintTitles="1" createdVersion="8" indent="0" outline="1" outlineData="1" multipleFieldFilters="0">
  <location ref="U1:AH532" firstHeaderRow="0" firstDataRow="1" firstDataCol="1"/>
  <pivotFields count="20">
    <pivotField axis="axisRow" showAll="0">
      <items count="19">
        <item sd="0" m="1" x="13"/>
        <item sd="0" x="1"/>
        <item sd="0" m="1" x="14"/>
        <item sd="0" x="0"/>
        <item sd="0" m="1" x="15"/>
        <item sd="0" x="2"/>
        <item sd="0" m="1" x="17"/>
        <item sd="0" m="1" x="16"/>
        <item sd="0" x="8"/>
        <item x="3"/>
        <item m="1" x="9"/>
        <item m="1" x="10"/>
        <item m="1" x="11"/>
        <item m="1" x="12"/>
        <item x="4"/>
        <item x="5"/>
        <item x="6"/>
        <item x="7"/>
        <item t="default"/>
      </items>
    </pivotField>
    <pivotField axis="axisRow" showAll="0">
      <items count="54">
        <item x="0"/>
        <item x="12"/>
        <item x="24"/>
        <item x="36"/>
        <item x="45"/>
        <item x="4"/>
        <item x="16"/>
        <item x="28"/>
        <item x="37"/>
        <item x="49"/>
        <item x="8"/>
        <item x="20"/>
        <item x="32"/>
        <item x="41"/>
        <item x="10"/>
        <item x="22"/>
        <item x="34"/>
        <item x="43"/>
        <item x="9"/>
        <item x="21"/>
        <item x="33"/>
        <item x="42"/>
        <item x="3"/>
        <item x="15"/>
        <item x="27"/>
        <item x="52"/>
        <item x="48"/>
        <item x="2"/>
        <item x="14"/>
        <item x="26"/>
        <item x="51"/>
        <item x="47"/>
        <item x="11"/>
        <item x="23"/>
        <item x="35"/>
        <item x="44"/>
        <item x="1"/>
        <item x="13"/>
        <item x="25"/>
        <item x="50"/>
        <item x="46"/>
        <item x="7"/>
        <item x="19"/>
        <item x="31"/>
        <item x="40"/>
        <item x="6"/>
        <item x="18"/>
        <item x="30"/>
        <item x="39"/>
        <item x="5"/>
        <item x="17"/>
        <item x="29"/>
        <item x="38"/>
        <item t="default"/>
      </items>
    </pivotField>
    <pivotField numFmtId="14" showAll="0">
      <items count="5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50"/>
        <item x="51"/>
        <item x="52"/>
        <item x="37"/>
        <item x="38"/>
        <item x="39"/>
        <item x="40"/>
        <item x="41"/>
        <item x="42"/>
        <item x="43"/>
        <item x="44"/>
        <item x="45"/>
        <item x="46"/>
        <item x="47"/>
        <item x="48"/>
        <item x="49"/>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0"/>
        <item sd="0" x="1"/>
        <item sd="0" x="2"/>
        <item sd="0" x="3"/>
        <item sd="0" x="4"/>
        <item sd="0" x="5"/>
        <item t="default"/>
      </items>
    </pivotField>
    <pivotField showAll="0">
      <items count="8">
        <item sd="0" x="0"/>
        <item sd="0" x="1"/>
        <item sd="0" x="2"/>
        <item sd="0" x="3"/>
        <item x="4"/>
        <item sd="0" x="5"/>
        <item sd="0" x="6"/>
        <item t="default"/>
      </items>
    </pivotField>
  </pivotFields>
  <rowFields count="2">
    <field x="1"/>
    <field x="0"/>
  </rowFields>
  <rowItems count="531">
    <i>
      <x/>
    </i>
    <i r="1">
      <x v="1"/>
    </i>
    <i r="1">
      <x v="3"/>
    </i>
    <i r="1">
      <x v="5"/>
    </i>
    <i r="1">
      <x v="8"/>
    </i>
    <i r="1">
      <x v="9"/>
    </i>
    <i r="1">
      <x v="14"/>
    </i>
    <i r="1">
      <x v="15"/>
    </i>
    <i r="1">
      <x v="16"/>
    </i>
    <i r="1">
      <x v="17"/>
    </i>
    <i>
      <x v="1"/>
    </i>
    <i r="1">
      <x v="1"/>
    </i>
    <i r="1">
      <x v="3"/>
    </i>
    <i r="1">
      <x v="5"/>
    </i>
    <i r="1">
      <x v="8"/>
    </i>
    <i r="1">
      <x v="9"/>
    </i>
    <i r="1">
      <x v="14"/>
    </i>
    <i r="1">
      <x v="15"/>
    </i>
    <i r="1">
      <x v="16"/>
    </i>
    <i r="1">
      <x v="17"/>
    </i>
    <i>
      <x v="2"/>
    </i>
    <i r="1">
      <x v="1"/>
    </i>
    <i r="1">
      <x v="3"/>
    </i>
    <i r="1">
      <x v="5"/>
    </i>
    <i r="1">
      <x v="8"/>
    </i>
    <i r="1">
      <x v="9"/>
    </i>
    <i r="1">
      <x v="14"/>
    </i>
    <i r="1">
      <x v="15"/>
    </i>
    <i r="1">
      <x v="16"/>
    </i>
    <i r="1">
      <x v="17"/>
    </i>
    <i>
      <x v="3"/>
    </i>
    <i r="1">
      <x v="1"/>
    </i>
    <i r="1">
      <x v="3"/>
    </i>
    <i r="1">
      <x v="5"/>
    </i>
    <i r="1">
      <x v="8"/>
    </i>
    <i r="1">
      <x v="9"/>
    </i>
    <i r="1">
      <x v="14"/>
    </i>
    <i r="1">
      <x v="15"/>
    </i>
    <i r="1">
      <x v="16"/>
    </i>
    <i r="1">
      <x v="17"/>
    </i>
    <i>
      <x v="4"/>
    </i>
    <i r="1">
      <x v="1"/>
    </i>
    <i r="1">
      <x v="3"/>
    </i>
    <i r="1">
      <x v="5"/>
    </i>
    <i r="1">
      <x v="8"/>
    </i>
    <i r="1">
      <x v="9"/>
    </i>
    <i r="1">
      <x v="14"/>
    </i>
    <i r="1">
      <x v="15"/>
    </i>
    <i r="1">
      <x v="16"/>
    </i>
    <i r="1">
      <x v="17"/>
    </i>
    <i>
      <x v="5"/>
    </i>
    <i r="1">
      <x v="1"/>
    </i>
    <i r="1">
      <x v="3"/>
    </i>
    <i r="1">
      <x v="5"/>
    </i>
    <i r="1">
      <x v="8"/>
    </i>
    <i r="1">
      <x v="9"/>
    </i>
    <i r="1">
      <x v="14"/>
    </i>
    <i r="1">
      <x v="15"/>
    </i>
    <i r="1">
      <x v="16"/>
    </i>
    <i r="1">
      <x v="17"/>
    </i>
    <i>
      <x v="6"/>
    </i>
    <i r="1">
      <x v="1"/>
    </i>
    <i r="1">
      <x v="3"/>
    </i>
    <i r="1">
      <x v="5"/>
    </i>
    <i r="1">
      <x v="8"/>
    </i>
    <i r="1">
      <x v="9"/>
    </i>
    <i r="1">
      <x v="14"/>
    </i>
    <i r="1">
      <x v="15"/>
    </i>
    <i r="1">
      <x v="16"/>
    </i>
    <i r="1">
      <x v="17"/>
    </i>
    <i>
      <x v="7"/>
    </i>
    <i r="1">
      <x v="1"/>
    </i>
    <i r="1">
      <x v="3"/>
    </i>
    <i r="1">
      <x v="5"/>
    </i>
    <i r="1">
      <x v="8"/>
    </i>
    <i r="1">
      <x v="9"/>
    </i>
    <i r="1">
      <x v="14"/>
    </i>
    <i r="1">
      <x v="15"/>
    </i>
    <i r="1">
      <x v="16"/>
    </i>
    <i r="1">
      <x v="17"/>
    </i>
    <i>
      <x v="8"/>
    </i>
    <i r="1">
      <x v="1"/>
    </i>
    <i r="1">
      <x v="3"/>
    </i>
    <i r="1">
      <x v="5"/>
    </i>
    <i r="1">
      <x v="8"/>
    </i>
    <i r="1">
      <x v="9"/>
    </i>
    <i r="1">
      <x v="14"/>
    </i>
    <i r="1">
      <x v="15"/>
    </i>
    <i r="1">
      <x v="16"/>
    </i>
    <i r="1">
      <x v="17"/>
    </i>
    <i>
      <x v="9"/>
    </i>
    <i r="1">
      <x v="1"/>
    </i>
    <i r="1">
      <x v="3"/>
    </i>
    <i r="1">
      <x v="5"/>
    </i>
    <i r="1">
      <x v="8"/>
    </i>
    <i r="1">
      <x v="9"/>
    </i>
    <i r="1">
      <x v="14"/>
    </i>
    <i r="1">
      <x v="15"/>
    </i>
    <i r="1">
      <x v="16"/>
    </i>
    <i r="1">
      <x v="17"/>
    </i>
    <i>
      <x v="10"/>
    </i>
    <i r="1">
      <x v="1"/>
    </i>
    <i r="1">
      <x v="3"/>
    </i>
    <i r="1">
      <x v="5"/>
    </i>
    <i r="1">
      <x v="8"/>
    </i>
    <i r="1">
      <x v="9"/>
    </i>
    <i r="1">
      <x v="14"/>
    </i>
    <i r="1">
      <x v="15"/>
    </i>
    <i r="1">
      <x v="16"/>
    </i>
    <i r="1">
      <x v="17"/>
    </i>
    <i>
      <x v="11"/>
    </i>
    <i r="1">
      <x v="1"/>
    </i>
    <i r="1">
      <x v="3"/>
    </i>
    <i r="1">
      <x v="5"/>
    </i>
    <i r="1">
      <x v="8"/>
    </i>
    <i r="1">
      <x v="9"/>
    </i>
    <i r="1">
      <x v="14"/>
    </i>
    <i r="1">
      <x v="15"/>
    </i>
    <i r="1">
      <x v="16"/>
    </i>
    <i r="1">
      <x v="17"/>
    </i>
    <i>
      <x v="12"/>
    </i>
    <i r="1">
      <x v="1"/>
    </i>
    <i r="1">
      <x v="3"/>
    </i>
    <i r="1">
      <x v="5"/>
    </i>
    <i r="1">
      <x v="8"/>
    </i>
    <i r="1">
      <x v="9"/>
    </i>
    <i r="1">
      <x v="14"/>
    </i>
    <i r="1">
      <x v="15"/>
    </i>
    <i r="1">
      <x v="16"/>
    </i>
    <i r="1">
      <x v="17"/>
    </i>
    <i>
      <x v="13"/>
    </i>
    <i r="1">
      <x v="1"/>
    </i>
    <i r="1">
      <x v="3"/>
    </i>
    <i r="1">
      <x v="5"/>
    </i>
    <i r="1">
      <x v="8"/>
    </i>
    <i r="1">
      <x v="9"/>
    </i>
    <i r="1">
      <x v="14"/>
    </i>
    <i r="1">
      <x v="15"/>
    </i>
    <i r="1">
      <x v="16"/>
    </i>
    <i r="1">
      <x v="17"/>
    </i>
    <i>
      <x v="14"/>
    </i>
    <i r="1">
      <x v="1"/>
    </i>
    <i r="1">
      <x v="3"/>
    </i>
    <i r="1">
      <x v="5"/>
    </i>
    <i r="1">
      <x v="8"/>
    </i>
    <i r="1">
      <x v="9"/>
    </i>
    <i r="1">
      <x v="14"/>
    </i>
    <i r="1">
      <x v="15"/>
    </i>
    <i r="1">
      <x v="16"/>
    </i>
    <i r="1">
      <x v="17"/>
    </i>
    <i>
      <x v="15"/>
    </i>
    <i r="1">
      <x v="1"/>
    </i>
    <i r="1">
      <x v="3"/>
    </i>
    <i r="1">
      <x v="5"/>
    </i>
    <i r="1">
      <x v="8"/>
    </i>
    <i r="1">
      <x v="9"/>
    </i>
    <i r="1">
      <x v="14"/>
    </i>
    <i r="1">
      <x v="15"/>
    </i>
    <i r="1">
      <x v="16"/>
    </i>
    <i r="1">
      <x v="17"/>
    </i>
    <i>
      <x v="16"/>
    </i>
    <i r="1">
      <x v="1"/>
    </i>
    <i r="1">
      <x v="3"/>
    </i>
    <i r="1">
      <x v="5"/>
    </i>
    <i r="1">
      <x v="8"/>
    </i>
    <i r="1">
      <x v="9"/>
    </i>
    <i r="1">
      <x v="14"/>
    </i>
    <i r="1">
      <x v="15"/>
    </i>
    <i r="1">
      <x v="16"/>
    </i>
    <i r="1">
      <x v="17"/>
    </i>
    <i>
      <x v="17"/>
    </i>
    <i r="1">
      <x v="1"/>
    </i>
    <i r="1">
      <x v="3"/>
    </i>
    <i r="1">
      <x v="5"/>
    </i>
    <i r="1">
      <x v="8"/>
    </i>
    <i r="1">
      <x v="9"/>
    </i>
    <i r="1">
      <x v="14"/>
    </i>
    <i r="1">
      <x v="15"/>
    </i>
    <i r="1">
      <x v="16"/>
    </i>
    <i r="1">
      <x v="17"/>
    </i>
    <i>
      <x v="18"/>
    </i>
    <i r="1">
      <x v="1"/>
    </i>
    <i r="1">
      <x v="3"/>
    </i>
    <i r="1">
      <x v="5"/>
    </i>
    <i r="1">
      <x v="8"/>
    </i>
    <i r="1">
      <x v="9"/>
    </i>
    <i r="1">
      <x v="14"/>
    </i>
    <i r="1">
      <x v="15"/>
    </i>
    <i r="1">
      <x v="16"/>
    </i>
    <i r="1">
      <x v="17"/>
    </i>
    <i>
      <x v="19"/>
    </i>
    <i r="1">
      <x v="1"/>
    </i>
    <i r="1">
      <x v="3"/>
    </i>
    <i r="1">
      <x v="5"/>
    </i>
    <i r="1">
      <x v="8"/>
    </i>
    <i r="1">
      <x v="9"/>
    </i>
    <i r="1">
      <x v="14"/>
    </i>
    <i r="1">
      <x v="15"/>
    </i>
    <i r="1">
      <x v="16"/>
    </i>
    <i r="1">
      <x v="17"/>
    </i>
    <i>
      <x v="20"/>
    </i>
    <i r="1">
      <x v="1"/>
    </i>
    <i r="1">
      <x v="3"/>
    </i>
    <i r="1">
      <x v="5"/>
    </i>
    <i r="1">
      <x v="8"/>
    </i>
    <i r="1">
      <x v="9"/>
    </i>
    <i r="1">
      <x v="14"/>
    </i>
    <i r="1">
      <x v="15"/>
    </i>
    <i r="1">
      <x v="16"/>
    </i>
    <i r="1">
      <x v="17"/>
    </i>
    <i>
      <x v="21"/>
    </i>
    <i r="1">
      <x v="1"/>
    </i>
    <i r="1">
      <x v="3"/>
    </i>
    <i r="1">
      <x v="5"/>
    </i>
    <i r="1">
      <x v="8"/>
    </i>
    <i r="1">
      <x v="9"/>
    </i>
    <i r="1">
      <x v="14"/>
    </i>
    <i r="1">
      <x v="15"/>
    </i>
    <i r="1">
      <x v="16"/>
    </i>
    <i r="1">
      <x v="17"/>
    </i>
    <i>
      <x v="22"/>
    </i>
    <i r="1">
      <x v="1"/>
    </i>
    <i r="1">
      <x v="3"/>
    </i>
    <i r="1">
      <x v="5"/>
    </i>
    <i r="1">
      <x v="8"/>
    </i>
    <i r="1">
      <x v="9"/>
    </i>
    <i r="1">
      <x v="14"/>
    </i>
    <i r="1">
      <x v="15"/>
    </i>
    <i r="1">
      <x v="16"/>
    </i>
    <i r="1">
      <x v="17"/>
    </i>
    <i>
      <x v="23"/>
    </i>
    <i r="1">
      <x v="1"/>
    </i>
    <i r="1">
      <x v="3"/>
    </i>
    <i r="1">
      <x v="5"/>
    </i>
    <i r="1">
      <x v="8"/>
    </i>
    <i r="1">
      <x v="9"/>
    </i>
    <i r="1">
      <x v="14"/>
    </i>
    <i r="1">
      <x v="15"/>
    </i>
    <i r="1">
      <x v="16"/>
    </i>
    <i r="1">
      <x v="17"/>
    </i>
    <i>
      <x v="24"/>
    </i>
    <i r="1">
      <x v="1"/>
    </i>
    <i r="1">
      <x v="3"/>
    </i>
    <i r="1">
      <x v="5"/>
    </i>
    <i r="1">
      <x v="8"/>
    </i>
    <i r="1">
      <x v="9"/>
    </i>
    <i r="1">
      <x v="14"/>
    </i>
    <i r="1">
      <x v="15"/>
    </i>
    <i r="1">
      <x v="16"/>
    </i>
    <i r="1">
      <x v="17"/>
    </i>
    <i>
      <x v="25"/>
    </i>
    <i r="1">
      <x v="1"/>
    </i>
    <i r="1">
      <x v="3"/>
    </i>
    <i r="1">
      <x v="5"/>
    </i>
    <i r="1">
      <x v="8"/>
    </i>
    <i r="1">
      <x v="9"/>
    </i>
    <i r="1">
      <x v="14"/>
    </i>
    <i r="1">
      <x v="15"/>
    </i>
    <i r="1">
      <x v="16"/>
    </i>
    <i r="1">
      <x v="17"/>
    </i>
    <i>
      <x v="26"/>
    </i>
    <i r="1">
      <x v="1"/>
    </i>
    <i r="1">
      <x v="3"/>
    </i>
    <i r="1">
      <x v="5"/>
    </i>
    <i r="1">
      <x v="8"/>
    </i>
    <i r="1">
      <x v="9"/>
    </i>
    <i r="1">
      <x v="14"/>
    </i>
    <i r="1">
      <x v="15"/>
    </i>
    <i r="1">
      <x v="16"/>
    </i>
    <i r="1">
      <x v="17"/>
    </i>
    <i>
      <x v="27"/>
    </i>
    <i r="1">
      <x v="1"/>
    </i>
    <i r="1">
      <x v="3"/>
    </i>
    <i r="1">
      <x v="5"/>
    </i>
    <i r="1">
      <x v="8"/>
    </i>
    <i r="1">
      <x v="9"/>
    </i>
    <i r="1">
      <x v="14"/>
    </i>
    <i r="1">
      <x v="15"/>
    </i>
    <i r="1">
      <x v="16"/>
    </i>
    <i r="1">
      <x v="17"/>
    </i>
    <i>
      <x v="28"/>
    </i>
    <i r="1">
      <x v="1"/>
    </i>
    <i r="1">
      <x v="3"/>
    </i>
    <i r="1">
      <x v="5"/>
    </i>
    <i r="1">
      <x v="8"/>
    </i>
    <i r="1">
      <x v="9"/>
    </i>
    <i r="1">
      <x v="14"/>
    </i>
    <i r="1">
      <x v="15"/>
    </i>
    <i r="1">
      <x v="16"/>
    </i>
    <i r="1">
      <x v="17"/>
    </i>
    <i>
      <x v="29"/>
    </i>
    <i r="1">
      <x v="1"/>
    </i>
    <i r="1">
      <x v="3"/>
    </i>
    <i r="1">
      <x v="5"/>
    </i>
    <i r="1">
      <x v="8"/>
    </i>
    <i r="1">
      <x v="9"/>
    </i>
    <i r="1">
      <x v="14"/>
    </i>
    <i r="1">
      <x v="15"/>
    </i>
    <i r="1">
      <x v="16"/>
    </i>
    <i r="1">
      <x v="17"/>
    </i>
    <i>
      <x v="30"/>
    </i>
    <i r="1">
      <x v="1"/>
    </i>
    <i r="1">
      <x v="3"/>
    </i>
    <i r="1">
      <x v="5"/>
    </i>
    <i r="1">
      <x v="8"/>
    </i>
    <i r="1">
      <x v="9"/>
    </i>
    <i r="1">
      <x v="14"/>
    </i>
    <i r="1">
      <x v="15"/>
    </i>
    <i r="1">
      <x v="16"/>
    </i>
    <i r="1">
      <x v="17"/>
    </i>
    <i>
      <x v="31"/>
    </i>
    <i r="1">
      <x v="1"/>
    </i>
    <i r="1">
      <x v="3"/>
    </i>
    <i r="1">
      <x v="5"/>
    </i>
    <i r="1">
      <x v="8"/>
    </i>
    <i r="1">
      <x v="9"/>
    </i>
    <i r="1">
      <x v="14"/>
    </i>
    <i r="1">
      <x v="15"/>
    </i>
    <i r="1">
      <x v="16"/>
    </i>
    <i r="1">
      <x v="17"/>
    </i>
    <i>
      <x v="32"/>
    </i>
    <i r="1">
      <x v="1"/>
    </i>
    <i r="1">
      <x v="3"/>
    </i>
    <i r="1">
      <x v="5"/>
    </i>
    <i r="1">
      <x v="8"/>
    </i>
    <i r="1">
      <x v="9"/>
    </i>
    <i r="1">
      <x v="14"/>
    </i>
    <i r="1">
      <x v="15"/>
    </i>
    <i r="1">
      <x v="16"/>
    </i>
    <i r="1">
      <x v="17"/>
    </i>
    <i>
      <x v="33"/>
    </i>
    <i r="1">
      <x v="1"/>
    </i>
    <i r="1">
      <x v="3"/>
    </i>
    <i r="1">
      <x v="5"/>
    </i>
    <i r="1">
      <x v="8"/>
    </i>
    <i r="1">
      <x v="9"/>
    </i>
    <i r="1">
      <x v="14"/>
    </i>
    <i r="1">
      <x v="15"/>
    </i>
    <i r="1">
      <x v="16"/>
    </i>
    <i r="1">
      <x v="17"/>
    </i>
    <i>
      <x v="34"/>
    </i>
    <i r="1">
      <x v="1"/>
    </i>
    <i r="1">
      <x v="3"/>
    </i>
    <i r="1">
      <x v="5"/>
    </i>
    <i r="1">
      <x v="8"/>
    </i>
    <i r="1">
      <x v="9"/>
    </i>
    <i r="1">
      <x v="14"/>
    </i>
    <i r="1">
      <x v="15"/>
    </i>
    <i r="1">
      <x v="16"/>
    </i>
    <i r="1">
      <x v="17"/>
    </i>
    <i>
      <x v="35"/>
    </i>
    <i r="1">
      <x v="1"/>
    </i>
    <i r="1">
      <x v="3"/>
    </i>
    <i r="1">
      <x v="5"/>
    </i>
    <i r="1">
      <x v="8"/>
    </i>
    <i r="1">
      <x v="9"/>
    </i>
    <i r="1">
      <x v="14"/>
    </i>
    <i r="1">
      <x v="15"/>
    </i>
    <i r="1">
      <x v="16"/>
    </i>
    <i r="1">
      <x v="17"/>
    </i>
    <i>
      <x v="36"/>
    </i>
    <i r="1">
      <x v="1"/>
    </i>
    <i r="1">
      <x v="3"/>
    </i>
    <i r="1">
      <x v="5"/>
    </i>
    <i r="1">
      <x v="8"/>
    </i>
    <i r="1">
      <x v="9"/>
    </i>
    <i r="1">
      <x v="14"/>
    </i>
    <i r="1">
      <x v="15"/>
    </i>
    <i r="1">
      <x v="16"/>
    </i>
    <i r="1">
      <x v="17"/>
    </i>
    <i>
      <x v="37"/>
    </i>
    <i r="1">
      <x v="1"/>
    </i>
    <i r="1">
      <x v="3"/>
    </i>
    <i r="1">
      <x v="5"/>
    </i>
    <i r="1">
      <x v="8"/>
    </i>
    <i r="1">
      <x v="9"/>
    </i>
    <i r="1">
      <x v="14"/>
    </i>
    <i r="1">
      <x v="15"/>
    </i>
    <i r="1">
      <x v="16"/>
    </i>
    <i r="1">
      <x v="17"/>
    </i>
    <i>
      <x v="38"/>
    </i>
    <i r="1">
      <x v="1"/>
    </i>
    <i r="1">
      <x v="3"/>
    </i>
    <i r="1">
      <x v="5"/>
    </i>
    <i r="1">
      <x v="8"/>
    </i>
    <i r="1">
      <x v="9"/>
    </i>
    <i r="1">
      <x v="14"/>
    </i>
    <i r="1">
      <x v="15"/>
    </i>
    <i r="1">
      <x v="16"/>
    </i>
    <i r="1">
      <x v="17"/>
    </i>
    <i>
      <x v="39"/>
    </i>
    <i r="1">
      <x v="1"/>
    </i>
    <i r="1">
      <x v="3"/>
    </i>
    <i r="1">
      <x v="5"/>
    </i>
    <i r="1">
      <x v="8"/>
    </i>
    <i r="1">
      <x v="9"/>
    </i>
    <i r="1">
      <x v="14"/>
    </i>
    <i r="1">
      <x v="15"/>
    </i>
    <i r="1">
      <x v="16"/>
    </i>
    <i r="1">
      <x v="17"/>
    </i>
    <i>
      <x v="40"/>
    </i>
    <i r="1">
      <x v="1"/>
    </i>
    <i r="1">
      <x v="3"/>
    </i>
    <i r="1">
      <x v="5"/>
    </i>
    <i r="1">
      <x v="8"/>
    </i>
    <i r="1">
      <x v="9"/>
    </i>
    <i r="1">
      <x v="14"/>
    </i>
    <i r="1">
      <x v="15"/>
    </i>
    <i r="1">
      <x v="16"/>
    </i>
    <i r="1">
      <x v="17"/>
    </i>
    <i>
      <x v="41"/>
    </i>
    <i r="1">
      <x v="1"/>
    </i>
    <i r="1">
      <x v="3"/>
    </i>
    <i r="1">
      <x v="5"/>
    </i>
    <i r="1">
      <x v="8"/>
    </i>
    <i r="1">
      <x v="9"/>
    </i>
    <i r="1">
      <x v="14"/>
    </i>
    <i r="1">
      <x v="15"/>
    </i>
    <i r="1">
      <x v="16"/>
    </i>
    <i r="1">
      <x v="17"/>
    </i>
    <i>
      <x v="42"/>
    </i>
    <i r="1">
      <x v="1"/>
    </i>
    <i r="1">
      <x v="3"/>
    </i>
    <i r="1">
      <x v="5"/>
    </i>
    <i r="1">
      <x v="8"/>
    </i>
    <i r="1">
      <x v="9"/>
    </i>
    <i r="1">
      <x v="14"/>
    </i>
    <i r="1">
      <x v="15"/>
    </i>
    <i r="1">
      <x v="16"/>
    </i>
    <i r="1">
      <x v="17"/>
    </i>
    <i>
      <x v="43"/>
    </i>
    <i r="1">
      <x v="1"/>
    </i>
    <i r="1">
      <x v="3"/>
    </i>
    <i r="1">
      <x v="5"/>
    </i>
    <i r="1">
      <x v="8"/>
    </i>
    <i r="1">
      <x v="9"/>
    </i>
    <i r="1">
      <x v="14"/>
    </i>
    <i r="1">
      <x v="15"/>
    </i>
    <i r="1">
      <x v="16"/>
    </i>
    <i r="1">
      <x v="17"/>
    </i>
    <i>
      <x v="44"/>
    </i>
    <i r="1">
      <x v="1"/>
    </i>
    <i r="1">
      <x v="3"/>
    </i>
    <i r="1">
      <x v="5"/>
    </i>
    <i r="1">
      <x v="8"/>
    </i>
    <i r="1">
      <x v="9"/>
    </i>
    <i r="1">
      <x v="14"/>
    </i>
    <i r="1">
      <x v="15"/>
    </i>
    <i r="1">
      <x v="16"/>
    </i>
    <i r="1">
      <x v="17"/>
    </i>
    <i>
      <x v="45"/>
    </i>
    <i r="1">
      <x v="1"/>
    </i>
    <i r="1">
      <x v="3"/>
    </i>
    <i r="1">
      <x v="5"/>
    </i>
    <i r="1">
      <x v="8"/>
    </i>
    <i r="1">
      <x v="9"/>
    </i>
    <i r="1">
      <x v="14"/>
    </i>
    <i r="1">
      <x v="15"/>
    </i>
    <i r="1">
      <x v="16"/>
    </i>
    <i r="1">
      <x v="17"/>
    </i>
    <i>
      <x v="46"/>
    </i>
    <i r="1">
      <x v="1"/>
    </i>
    <i r="1">
      <x v="3"/>
    </i>
    <i r="1">
      <x v="5"/>
    </i>
    <i r="1">
      <x v="8"/>
    </i>
    <i r="1">
      <x v="9"/>
    </i>
    <i r="1">
      <x v="14"/>
    </i>
    <i r="1">
      <x v="15"/>
    </i>
    <i r="1">
      <x v="16"/>
    </i>
    <i r="1">
      <x v="17"/>
    </i>
    <i>
      <x v="47"/>
    </i>
    <i r="1">
      <x v="1"/>
    </i>
    <i r="1">
      <x v="3"/>
    </i>
    <i r="1">
      <x v="5"/>
    </i>
    <i r="1">
      <x v="8"/>
    </i>
    <i r="1">
      <x v="9"/>
    </i>
    <i r="1">
      <x v="14"/>
    </i>
    <i r="1">
      <x v="15"/>
    </i>
    <i r="1">
      <x v="16"/>
    </i>
    <i r="1">
      <x v="17"/>
    </i>
    <i>
      <x v="48"/>
    </i>
    <i r="1">
      <x v="1"/>
    </i>
    <i r="1">
      <x v="3"/>
    </i>
    <i r="1">
      <x v="5"/>
    </i>
    <i r="1">
      <x v="8"/>
    </i>
    <i r="1">
      <x v="9"/>
    </i>
    <i r="1">
      <x v="14"/>
    </i>
    <i r="1">
      <x v="15"/>
    </i>
    <i r="1">
      <x v="16"/>
    </i>
    <i r="1">
      <x v="17"/>
    </i>
    <i>
      <x v="49"/>
    </i>
    <i r="1">
      <x v="1"/>
    </i>
    <i r="1">
      <x v="3"/>
    </i>
    <i r="1">
      <x v="5"/>
    </i>
    <i r="1">
      <x v="8"/>
    </i>
    <i r="1">
      <x v="9"/>
    </i>
    <i r="1">
      <x v="14"/>
    </i>
    <i r="1">
      <x v="15"/>
    </i>
    <i r="1">
      <x v="16"/>
    </i>
    <i r="1">
      <x v="17"/>
    </i>
    <i>
      <x v="50"/>
    </i>
    <i r="1">
      <x v="1"/>
    </i>
    <i r="1">
      <x v="3"/>
    </i>
    <i r="1">
      <x v="5"/>
    </i>
    <i r="1">
      <x v="8"/>
    </i>
    <i r="1">
      <x v="9"/>
    </i>
    <i r="1">
      <x v="14"/>
    </i>
    <i r="1">
      <x v="15"/>
    </i>
    <i r="1">
      <x v="16"/>
    </i>
    <i r="1">
      <x v="17"/>
    </i>
    <i>
      <x v="51"/>
    </i>
    <i r="1">
      <x v="1"/>
    </i>
    <i r="1">
      <x v="3"/>
    </i>
    <i r="1">
      <x v="5"/>
    </i>
    <i r="1">
      <x v="8"/>
    </i>
    <i r="1">
      <x v="9"/>
    </i>
    <i r="1">
      <x v="14"/>
    </i>
    <i r="1">
      <x v="15"/>
    </i>
    <i r="1">
      <x v="16"/>
    </i>
    <i r="1">
      <x v="17"/>
    </i>
    <i>
      <x v="52"/>
    </i>
    <i r="1">
      <x v="1"/>
    </i>
    <i r="1">
      <x v="3"/>
    </i>
    <i r="1">
      <x v="5"/>
    </i>
    <i r="1">
      <x v="8"/>
    </i>
    <i r="1">
      <x v="9"/>
    </i>
    <i r="1">
      <x v="14"/>
    </i>
    <i r="1">
      <x v="15"/>
    </i>
    <i r="1">
      <x v="16"/>
    </i>
    <i r="1">
      <x v="17"/>
    </i>
    <i t="grand">
      <x/>
    </i>
  </rowItems>
  <colFields count="1">
    <field x="-2"/>
  </colFields>
  <colItems count="13">
    <i>
      <x/>
    </i>
    <i i="1">
      <x v="1"/>
    </i>
    <i i="2">
      <x v="2"/>
    </i>
    <i i="3">
      <x v="3"/>
    </i>
    <i i="4">
      <x v="4"/>
    </i>
    <i i="5">
      <x v="5"/>
    </i>
    <i i="6">
      <x v="6"/>
    </i>
    <i i="7">
      <x v="7"/>
    </i>
    <i i="8">
      <x v="8"/>
    </i>
    <i i="9">
      <x v="9"/>
    </i>
    <i i="10">
      <x v="10"/>
    </i>
    <i i="11">
      <x v="11"/>
    </i>
    <i i="12">
      <x v="12"/>
    </i>
  </colItems>
  <dataFields count="13">
    <dataField name="Sum of Aneurin Bevan UHB" fld="4" baseField="0" baseItem="0"/>
    <dataField name="Sum of Betsi Cadwaladr UHB" fld="5" baseField="0" baseItem="0"/>
    <dataField name="Sum of Cardiff &amp; Vale UHB" fld="6" baseField="0" baseItem="0"/>
    <dataField name="Sum of Cwm Taf Morgannwg UHB" fld="7" baseField="0" baseItem="0"/>
    <dataField name="Sum of Hywel Dda UHB" fld="8" baseField="0" baseItem="0"/>
    <dataField name="Sum of Swansea Bay UHB" fld="9" baseField="0" baseItem="0"/>
    <dataField name="Sum of Powys Teaching LHB" fld="10" baseField="0" baseItem="0"/>
    <dataField name="Sum of Public Health Wales Trust" fld="11" baseField="0" baseItem="0"/>
    <dataField name="Sum of Velindre UT" fld="12" baseField="0" baseItem="0"/>
    <dataField name="Sum of WAST" fld="13" baseField="0" baseItem="0"/>
    <dataField name="Sum of HEIW" fld="14" baseField="0" baseItem="0"/>
    <dataField name="Sum of DHCW" fld="15" baseField="0" baseItem="0"/>
    <dataField name="Sum of NWSSP"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3" cacheId="3"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P1:AH56" firstHeaderRow="1" firstDataRow="3" firstDataCol="1"/>
  <pivotFields count="11">
    <pivotField axis="axisRow" showAll="0">
      <items count="53">
        <item x="0"/>
        <item x="12"/>
        <item x="24"/>
        <item x="36"/>
        <item x="48"/>
        <item x="4"/>
        <item x="16"/>
        <item x="28"/>
        <item x="40"/>
        <item x="8"/>
        <item x="20"/>
        <item x="32"/>
        <item x="44"/>
        <item x="10"/>
        <item x="22"/>
        <item x="34"/>
        <item x="46"/>
        <item x="9"/>
        <item x="21"/>
        <item x="33"/>
        <item x="45"/>
        <item x="3"/>
        <item x="15"/>
        <item x="27"/>
        <item x="39"/>
        <item x="51"/>
        <item x="2"/>
        <item x="14"/>
        <item x="26"/>
        <item x="38"/>
        <item x="50"/>
        <item x="11"/>
        <item x="23"/>
        <item x="35"/>
        <item x="47"/>
        <item x="1"/>
        <item x="13"/>
        <item x="25"/>
        <item x="37"/>
        <item x="49"/>
        <item x="7"/>
        <item x="19"/>
        <item x="31"/>
        <item x="43"/>
        <item x="6"/>
        <item x="18"/>
        <item x="30"/>
        <item x="42"/>
        <item x="5"/>
        <item x="17"/>
        <item x="29"/>
        <item x="41"/>
        <item t="default"/>
      </items>
    </pivotField>
    <pivotField axis="axisCol" showAll="0">
      <items count="3">
        <item x="0"/>
        <item x="1"/>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5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t="grand">
      <x/>
    </i>
  </rowItems>
  <colFields count="2">
    <field x="-2"/>
    <field x="1"/>
  </colFields>
  <colItems count="18">
    <i>
      <x/>
      <x/>
    </i>
    <i r="1">
      <x v="1"/>
    </i>
    <i i="1">
      <x v="1"/>
      <x/>
    </i>
    <i r="1" i="1">
      <x v="1"/>
    </i>
    <i i="2">
      <x v="2"/>
      <x/>
    </i>
    <i r="1" i="2">
      <x v="1"/>
    </i>
    <i i="3">
      <x v="3"/>
      <x/>
    </i>
    <i r="1" i="3">
      <x v="1"/>
    </i>
    <i i="4">
      <x v="4"/>
      <x/>
    </i>
    <i r="1" i="4">
      <x v="1"/>
    </i>
    <i i="5">
      <x v="5"/>
      <x/>
    </i>
    <i r="1" i="5">
      <x v="1"/>
    </i>
    <i i="6">
      <x v="6"/>
      <x/>
    </i>
    <i r="1" i="6">
      <x v="1"/>
    </i>
    <i i="7">
      <x v="7"/>
      <x/>
    </i>
    <i r="1" i="7">
      <x v="1"/>
    </i>
    <i i="8">
      <x v="8"/>
      <x/>
    </i>
    <i r="1" i="8">
      <x v="1"/>
    </i>
  </colItems>
  <dataFields count="9">
    <dataField name="Sum of Aneurin Bevan UHB" fld="2" baseField="0" baseItem="0"/>
    <dataField name="Sum of Betsi Cadwaladr UHB" fld="3" baseField="0" baseItem="0"/>
    <dataField name="Sum of Cardiff &amp; Vale UHB" fld="4" baseField="0" baseItem="0"/>
    <dataField name="Sum of Cwm Taf Morgannwg UHB" fld="5" baseField="0" baseItem="0"/>
    <dataField name="Sum of Hywel Dda UHB" fld="6" baseField="0" baseItem="0"/>
    <dataField name="Sum of Powys THB" fld="7" baseField="0" baseItem="0"/>
    <dataField name="Sum of Swansea Bay UHB" fld="8" baseField="0" baseItem="0"/>
    <dataField name="Sum of Velindre Trust" fld="9" baseField="0" baseItem="0"/>
    <dataField name="Sum of All Wales"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1200-000002000000}" name="PivotTable2" cacheId="0"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L1:Y396" firstHeaderRow="1" firstDataRow="2" firstDataCol="1"/>
  <pivotFields count="7">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showAll="0"/>
    <pivotField axis="axisRow" showAll="0">
      <items count="28">
        <item x="22"/>
        <item x="4"/>
        <item x="14"/>
        <item x="25"/>
        <item x="21"/>
        <item x="18"/>
        <item x="12"/>
        <item x="9"/>
        <item x="16"/>
        <item x="17"/>
        <item x="26"/>
        <item x="13"/>
        <item x="8"/>
        <item x="15"/>
        <item x="10"/>
        <item x="11"/>
        <item x="24"/>
        <item x="0"/>
        <item x="1"/>
        <item x="3"/>
        <item x="2"/>
        <item x="20"/>
        <item x="19"/>
        <item x="23"/>
        <item x="7"/>
        <item x="5"/>
        <item x="6"/>
        <item t="default"/>
      </items>
    </pivotField>
    <pivotField numFmtId="14" showAll="0"/>
    <pivotField dataField="1" showAll="0"/>
    <pivotField axis="axisCol" showAll="0">
      <items count="14">
        <item x="9"/>
        <item x="10"/>
        <item x="11"/>
        <item x="0"/>
        <item x="1"/>
        <item x="2"/>
        <item x="3"/>
        <item x="4"/>
        <item x="5"/>
        <item x="6"/>
        <item x="7"/>
        <item x="8"/>
        <item x="12"/>
        <item t="default"/>
      </items>
    </pivotField>
  </pivotFields>
  <rowFields count="3">
    <field x="0"/>
    <field x="1"/>
    <field x="3"/>
  </rowFields>
  <rowItems count="394">
    <i>
      <x/>
    </i>
    <i r="1">
      <x/>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4"/>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5"/>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6"/>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7"/>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8"/>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9"/>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0"/>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1"/>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2"/>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r="1">
      <x v="13"/>
    </i>
    <i r="2">
      <x/>
    </i>
    <i r="2">
      <x v="1"/>
    </i>
    <i r="2">
      <x v="2"/>
    </i>
    <i r="2">
      <x v="3"/>
    </i>
    <i r="2">
      <x v="4"/>
    </i>
    <i r="2">
      <x v="5"/>
    </i>
    <i r="2">
      <x v="6"/>
    </i>
    <i r="2">
      <x v="7"/>
    </i>
    <i r="2">
      <x v="8"/>
    </i>
    <i r="2">
      <x v="9"/>
    </i>
    <i r="2">
      <x v="10"/>
    </i>
    <i r="2">
      <x v="11"/>
    </i>
    <i r="2">
      <x v="12"/>
    </i>
    <i r="2">
      <x v="13"/>
    </i>
    <i r="2">
      <x v="14"/>
    </i>
    <i r="2">
      <x v="15"/>
    </i>
    <i r="2">
      <x v="16"/>
    </i>
    <i r="2">
      <x v="17"/>
    </i>
    <i r="2">
      <x v="18"/>
    </i>
    <i r="2">
      <x v="19"/>
    </i>
    <i r="2">
      <x v="20"/>
    </i>
    <i r="2">
      <x v="21"/>
    </i>
    <i r="2">
      <x v="22"/>
    </i>
    <i r="2">
      <x v="23"/>
    </i>
    <i r="2">
      <x v="24"/>
    </i>
    <i r="2">
      <x v="25"/>
    </i>
    <i r="2">
      <x v="26"/>
    </i>
    <i t="grand">
      <x/>
    </i>
  </rowItems>
  <colFields count="1">
    <field x="6"/>
  </colFields>
  <colItems count="13">
    <i>
      <x/>
    </i>
    <i>
      <x v="1"/>
    </i>
    <i>
      <x v="2"/>
    </i>
    <i>
      <x v="3"/>
    </i>
    <i>
      <x v="4"/>
    </i>
    <i>
      <x v="5"/>
    </i>
    <i>
      <x v="6"/>
    </i>
    <i>
      <x v="7"/>
    </i>
    <i>
      <x v="8"/>
    </i>
    <i>
      <x v="9"/>
    </i>
    <i>
      <x v="10"/>
    </i>
    <i>
      <x v="11"/>
    </i>
    <i>
      <x v="12"/>
    </i>
  </colItems>
  <dataFields count="1">
    <dataField name="Sum of Value" fld="5" baseField="0" baseItem="0" numFmtId="17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1300-000003000000}" name="PivotTable3" cacheId="1"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M1:Z46" firstHeaderRow="1" firstDataRow="2" firstDataCol="1"/>
  <pivotFields count="5">
    <pivotField axis="axisRow" numFmtId="17" showAll="0" defaultSubtotal="0">
      <items count="1">
        <item x="0"/>
      </items>
    </pivotField>
    <pivotField axis="axisRow" showAll="0">
      <items count="15">
        <item x="0"/>
        <item x="1"/>
        <item x="2"/>
        <item x="3"/>
        <item x="4"/>
        <item x="6"/>
        <item x="5"/>
        <item x="7"/>
        <item x="9"/>
        <item x="8"/>
        <item x="10"/>
        <item x="11"/>
        <item x="12"/>
        <item x="13"/>
        <item t="default"/>
      </items>
    </pivotField>
    <pivotField axis="axisRow" showAll="0">
      <items count="3">
        <item x="1"/>
        <item x="0"/>
        <item t="default"/>
      </items>
    </pivotField>
    <pivotField dataField="1" showAll="0"/>
    <pivotField axis="axisCol" showAll="0">
      <items count="14">
        <item x="9"/>
        <item x="10"/>
        <item x="11"/>
        <item x="0"/>
        <item x="1"/>
        <item x="2"/>
        <item x="3"/>
        <item x="4"/>
        <item x="5"/>
        <item x="6"/>
        <item x="7"/>
        <item x="8"/>
        <item x="12"/>
        <item t="default"/>
      </items>
    </pivotField>
  </pivotFields>
  <rowFields count="3">
    <field x="0"/>
    <field x="1"/>
    <field x="2"/>
  </rowFields>
  <rowItems count="44">
    <i>
      <x/>
    </i>
    <i r="1">
      <x/>
    </i>
    <i r="2">
      <x/>
    </i>
    <i r="2">
      <x v="1"/>
    </i>
    <i r="1">
      <x v="1"/>
    </i>
    <i r="2">
      <x/>
    </i>
    <i r="2">
      <x v="1"/>
    </i>
    <i r="1">
      <x v="2"/>
    </i>
    <i r="2">
      <x/>
    </i>
    <i r="2">
      <x v="1"/>
    </i>
    <i r="1">
      <x v="3"/>
    </i>
    <i r="2">
      <x/>
    </i>
    <i r="2">
      <x v="1"/>
    </i>
    <i r="1">
      <x v="4"/>
    </i>
    <i r="2">
      <x/>
    </i>
    <i r="2">
      <x v="1"/>
    </i>
    <i r="1">
      <x v="5"/>
    </i>
    <i r="2">
      <x/>
    </i>
    <i r="2">
      <x v="1"/>
    </i>
    <i r="1">
      <x v="6"/>
    </i>
    <i r="2">
      <x/>
    </i>
    <i r="2">
      <x v="1"/>
    </i>
    <i r="1">
      <x v="7"/>
    </i>
    <i r="2">
      <x/>
    </i>
    <i r="2">
      <x v="1"/>
    </i>
    <i r="1">
      <x v="8"/>
    </i>
    <i r="2">
      <x/>
    </i>
    <i r="2">
      <x v="1"/>
    </i>
    <i r="1">
      <x v="9"/>
    </i>
    <i r="2">
      <x/>
    </i>
    <i r="2">
      <x v="1"/>
    </i>
    <i r="1">
      <x v="10"/>
    </i>
    <i r="2">
      <x/>
    </i>
    <i r="2">
      <x v="1"/>
    </i>
    <i r="1">
      <x v="11"/>
    </i>
    <i r="2">
      <x/>
    </i>
    <i r="2">
      <x v="1"/>
    </i>
    <i r="1">
      <x v="12"/>
    </i>
    <i r="2">
      <x/>
    </i>
    <i r="2">
      <x v="1"/>
    </i>
    <i r="1">
      <x v="13"/>
    </i>
    <i r="2">
      <x/>
    </i>
    <i r="2">
      <x v="1"/>
    </i>
    <i t="grand">
      <x/>
    </i>
  </rowItems>
  <colFields count="1">
    <field x="4"/>
  </colFields>
  <colItems count="13">
    <i>
      <x/>
    </i>
    <i>
      <x v="1"/>
    </i>
    <i>
      <x v="2"/>
    </i>
    <i>
      <x v="3"/>
    </i>
    <i>
      <x v="4"/>
    </i>
    <i>
      <x v="5"/>
    </i>
    <i>
      <x v="6"/>
    </i>
    <i>
      <x v="7"/>
    </i>
    <i>
      <x v="8"/>
    </i>
    <i>
      <x v="9"/>
    </i>
    <i>
      <x v="10"/>
    </i>
    <i>
      <x v="11"/>
    </i>
    <i>
      <x v="12"/>
    </i>
  </colItems>
  <dataFields count="1">
    <dataField name="Sum of Value" fld="3" baseField="0" baseItem="0" numFmtId="17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2B00-000004000000}" name="PivotTable4" cacheId="2"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O1:BK154" firstHeaderRow="1" firstDataRow="2" firstDataCol="1"/>
  <pivotFields count="10">
    <pivotField numFmtId="17" showAll="0">
      <items count="7">
        <item m="1" x="4"/>
        <item m="1" x="5"/>
        <item x="0"/>
        <item x="1"/>
        <item x="2"/>
        <item x="3"/>
        <item t="default"/>
      </items>
    </pivotField>
    <pivotField axis="axisRow" showAll="0">
      <items count="18">
        <item m="1" x="15"/>
        <item x="0"/>
        <item x="1"/>
        <item x="3"/>
        <item x="2"/>
        <item m="1" x="16"/>
        <item x="14"/>
        <item x="5"/>
        <item x="4"/>
        <item x="6"/>
        <item x="7"/>
        <item x="9"/>
        <item x="8"/>
        <item x="10"/>
        <item x="11"/>
        <item x="12"/>
        <item x="13"/>
        <item t="default"/>
      </items>
    </pivotField>
    <pivotField showAll="0"/>
    <pivotField axis="axisRow" showAll="0">
      <items count="12">
        <item x="0"/>
        <item x="2"/>
        <item x="1"/>
        <item x="5"/>
        <item x="3"/>
        <item x="4"/>
        <item x="8"/>
        <item m="1" x="10"/>
        <item x="6"/>
        <item x="7"/>
        <item x="9"/>
        <item t="default"/>
      </items>
    </pivotField>
    <pivotField numFmtId="14" showAll="0"/>
    <pivotField dataField="1" showAll="0"/>
    <pivotField axis="axisCol" showAll="0">
      <items count="182">
        <item h="1" x="12"/>
        <item m="1" x="109"/>
        <item m="1" x="110"/>
        <item m="1" x="111"/>
        <item m="1" x="112"/>
        <item m="1" x="113"/>
        <item m="1" x="114"/>
        <item m="1" x="115"/>
        <item m="1" x="116"/>
        <item m="1" x="117"/>
        <item m="1" x="118"/>
        <item m="1" x="119"/>
        <item m="1" x="120"/>
        <item m="1" x="121"/>
        <item m="1" x="122"/>
        <item m="1" x="123"/>
        <item m="1" x="124"/>
        <item m="1" x="125"/>
        <item m="1" x="126"/>
        <item m="1" x="127"/>
        <item m="1" x="128"/>
        <item m="1" x="129"/>
        <item m="1" x="130"/>
        <item m="1" x="131"/>
        <item m="1" x="132"/>
        <item m="1" x="133"/>
        <item m="1" x="134"/>
        <item m="1" x="135"/>
        <item m="1" x="136"/>
        <item m="1" x="137"/>
        <item m="1" x="138"/>
        <item m="1" x="139"/>
        <item m="1" x="140"/>
        <item m="1" x="141"/>
        <item m="1" x="142"/>
        <item m="1" x="143"/>
        <item m="1" x="144"/>
        <item m="1" x="145"/>
        <item m="1" x="146"/>
        <item m="1" x="147"/>
        <item m="1" x="148"/>
        <item m="1" x="149"/>
        <item m="1" x="150"/>
        <item m="1" x="151"/>
        <item m="1" x="152"/>
        <item m="1" x="153"/>
        <item m="1" x="154"/>
        <item m="1" x="155"/>
        <item m="1" x="156"/>
        <item m="1" x="157"/>
        <item m="1" x="158"/>
        <item m="1" x="159"/>
        <item m="1" x="160"/>
        <item m="1" x="161"/>
        <item m="1" x="162"/>
        <item m="1" x="163"/>
        <item m="1" x="164"/>
        <item m="1" x="165"/>
        <item m="1" x="166"/>
        <item m="1" x="167"/>
        <item m="1" x="168"/>
        <item m="1" x="169"/>
        <item m="1" x="170"/>
        <item m="1" x="171"/>
        <item m="1" x="172"/>
        <item m="1" x="173"/>
        <item m="1" x="174"/>
        <item m="1" x="175"/>
        <item m="1" x="176"/>
        <item m="1" x="177"/>
        <item m="1" x="178"/>
        <item m="1" x="179"/>
        <item m="1" x="180"/>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x="0"/>
        <item x="1"/>
        <item x="2"/>
        <item x="3"/>
        <item x="4"/>
        <item x="5"/>
        <item x="6"/>
        <item x="7"/>
        <item x="8"/>
        <item x="9"/>
        <item x="10"/>
        <item x="11"/>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h="1" m="1" x="73"/>
        <item h="1" m="1" x="74"/>
        <item h="1" m="1" x="75"/>
        <item h="1" m="1" x="76"/>
        <item h="1" m="1" x="77"/>
        <item h="1" m="1" x="78"/>
        <item h="1" m="1" x="79"/>
        <item h="1" m="1" x="80"/>
        <item h="1" m="1" x="81"/>
        <item h="1" m="1" x="82"/>
        <item h="1" m="1" x="83"/>
        <item h="1" m="1" x="84"/>
        <item h="1" m="1" x="85"/>
        <item h="1" m="1" x="86"/>
        <item h="1" m="1" x="87"/>
        <item h="1" m="1" x="88"/>
        <item h="1" m="1" x="89"/>
        <item h="1" m="1" x="90"/>
        <item h="1" m="1" x="91"/>
        <item h="1" m="1" x="92"/>
        <item h="1" m="1" x="93"/>
        <item h="1" m="1" x="94"/>
        <item h="1" m="1" x="95"/>
        <item h="1" m="1" x="96"/>
        <item h="1" m="1" x="97"/>
        <item h="1" m="1" x="98"/>
        <item h="1" m="1" x="99"/>
        <item h="1" m="1" x="100"/>
        <item h="1" m="1" x="101"/>
        <item h="1" m="1" x="102"/>
        <item h="1" m="1" x="103"/>
        <item h="1" m="1" x="104"/>
        <item h="1" m="1" x="105"/>
        <item h="1" m="1" x="106"/>
        <item h="1" m="1" x="107"/>
        <item h="1" m="1" x="108"/>
        <item t="default"/>
      </items>
    </pivotField>
    <pivotField showAll="0">
      <items count="15">
        <item sd="0" x="0"/>
        <item sd="0" x="1"/>
        <item sd="0" x="2"/>
        <item sd="0" x="3"/>
        <item sd="0" x="4"/>
        <item sd="0" x="5"/>
        <item sd="0" x="6"/>
        <item sd="0" x="7"/>
        <item sd="0" x="8"/>
        <item sd="0" x="9"/>
        <item sd="0" x="10"/>
        <item sd="0" x="11"/>
        <item sd="0" x="12"/>
        <item sd="0" x="13"/>
        <item t="default"/>
      </items>
    </pivotField>
    <pivotField showAll="0">
      <items count="7">
        <item sd="0" x="1"/>
        <item sd="0" x="2"/>
        <item sd="0" x="3"/>
        <item sd="0" x="4"/>
        <item sd="0" x="5"/>
        <item x="0"/>
        <item t="default"/>
      </items>
    </pivotField>
    <pivotField showAll="0">
      <items count="7">
        <item sd="0" x="1"/>
        <item sd="0" x="2"/>
        <item sd="0" x="3"/>
        <item sd="0" x="4"/>
        <item sd="0" x="5"/>
        <item x="0"/>
        <item t="default"/>
      </items>
    </pivotField>
  </pivotFields>
  <rowFields count="2">
    <field x="1"/>
    <field x="3"/>
  </rowFields>
  <rowItems count="152">
    <i>
      <x v="1"/>
    </i>
    <i r="1">
      <x/>
    </i>
    <i r="1">
      <x v="1"/>
    </i>
    <i r="1">
      <x v="2"/>
    </i>
    <i r="1">
      <x v="3"/>
    </i>
    <i r="1">
      <x v="4"/>
    </i>
    <i r="1">
      <x v="5"/>
    </i>
    <i r="1">
      <x v="6"/>
    </i>
    <i r="1">
      <x v="8"/>
    </i>
    <i r="1">
      <x v="9"/>
    </i>
    <i>
      <x v="2"/>
    </i>
    <i r="1">
      <x/>
    </i>
    <i r="1">
      <x v="1"/>
    </i>
    <i r="1">
      <x v="2"/>
    </i>
    <i r="1">
      <x v="3"/>
    </i>
    <i r="1">
      <x v="4"/>
    </i>
    <i r="1">
      <x v="5"/>
    </i>
    <i r="1">
      <x v="6"/>
    </i>
    <i r="1">
      <x v="8"/>
    </i>
    <i r="1">
      <x v="9"/>
    </i>
    <i>
      <x v="3"/>
    </i>
    <i r="1">
      <x/>
    </i>
    <i r="1">
      <x v="1"/>
    </i>
    <i r="1">
      <x v="2"/>
    </i>
    <i r="1">
      <x v="3"/>
    </i>
    <i r="1">
      <x v="4"/>
    </i>
    <i r="1">
      <x v="5"/>
    </i>
    <i r="1">
      <x v="6"/>
    </i>
    <i r="1">
      <x v="8"/>
    </i>
    <i r="1">
      <x v="9"/>
    </i>
    <i>
      <x v="4"/>
    </i>
    <i r="1">
      <x/>
    </i>
    <i r="1">
      <x v="1"/>
    </i>
    <i r="1">
      <x v="2"/>
    </i>
    <i r="1">
      <x v="3"/>
    </i>
    <i r="1">
      <x v="4"/>
    </i>
    <i r="1">
      <x v="5"/>
    </i>
    <i r="1">
      <x v="6"/>
    </i>
    <i r="1">
      <x v="8"/>
    </i>
    <i r="1">
      <x v="9"/>
    </i>
    <i r="1">
      <x v="10"/>
    </i>
    <i>
      <x v="6"/>
    </i>
    <i r="1">
      <x/>
    </i>
    <i r="1">
      <x v="1"/>
    </i>
    <i r="1">
      <x v="2"/>
    </i>
    <i r="1">
      <x v="3"/>
    </i>
    <i r="1">
      <x v="4"/>
    </i>
    <i r="1">
      <x v="5"/>
    </i>
    <i r="1">
      <x v="6"/>
    </i>
    <i r="1">
      <x v="8"/>
    </i>
    <i r="1">
      <x v="9"/>
    </i>
    <i>
      <x v="7"/>
    </i>
    <i r="1">
      <x/>
    </i>
    <i r="1">
      <x v="1"/>
    </i>
    <i r="1">
      <x v="2"/>
    </i>
    <i r="1">
      <x v="3"/>
    </i>
    <i r="1">
      <x v="4"/>
    </i>
    <i r="1">
      <x v="5"/>
    </i>
    <i r="1">
      <x v="6"/>
    </i>
    <i r="1">
      <x v="8"/>
    </i>
    <i r="1">
      <x v="9"/>
    </i>
    <i>
      <x v="8"/>
    </i>
    <i r="1">
      <x/>
    </i>
    <i r="1">
      <x v="1"/>
    </i>
    <i r="1">
      <x v="2"/>
    </i>
    <i r="1">
      <x v="3"/>
    </i>
    <i r="1">
      <x v="4"/>
    </i>
    <i r="1">
      <x v="5"/>
    </i>
    <i r="1">
      <x v="6"/>
    </i>
    <i r="1">
      <x v="8"/>
    </i>
    <i r="1">
      <x v="9"/>
    </i>
    <i>
      <x v="9"/>
    </i>
    <i r="1">
      <x/>
    </i>
    <i r="1">
      <x v="1"/>
    </i>
    <i r="1">
      <x v="2"/>
    </i>
    <i r="1">
      <x v="3"/>
    </i>
    <i r="1">
      <x v="4"/>
    </i>
    <i r="1">
      <x v="5"/>
    </i>
    <i r="1">
      <x v="6"/>
    </i>
    <i r="1">
      <x v="8"/>
    </i>
    <i r="1">
      <x v="9"/>
    </i>
    <i>
      <x v="10"/>
    </i>
    <i r="1">
      <x/>
    </i>
    <i r="1">
      <x v="1"/>
    </i>
    <i r="1">
      <x v="2"/>
    </i>
    <i r="1">
      <x v="3"/>
    </i>
    <i r="1">
      <x v="4"/>
    </i>
    <i r="1">
      <x v="5"/>
    </i>
    <i r="1">
      <x v="6"/>
    </i>
    <i r="1">
      <x v="8"/>
    </i>
    <i r="1">
      <x v="9"/>
    </i>
    <i>
      <x v="11"/>
    </i>
    <i r="1">
      <x/>
    </i>
    <i r="1">
      <x v="1"/>
    </i>
    <i r="1">
      <x v="2"/>
    </i>
    <i r="1">
      <x v="3"/>
    </i>
    <i r="1">
      <x v="4"/>
    </i>
    <i r="1">
      <x v="5"/>
    </i>
    <i r="1">
      <x v="6"/>
    </i>
    <i r="1">
      <x v="8"/>
    </i>
    <i r="1">
      <x v="9"/>
    </i>
    <i>
      <x v="12"/>
    </i>
    <i r="1">
      <x/>
    </i>
    <i r="1">
      <x v="1"/>
    </i>
    <i r="1">
      <x v="2"/>
    </i>
    <i r="1">
      <x v="3"/>
    </i>
    <i r="1">
      <x v="4"/>
    </i>
    <i r="1">
      <x v="5"/>
    </i>
    <i r="1">
      <x v="6"/>
    </i>
    <i r="1">
      <x v="8"/>
    </i>
    <i r="1">
      <x v="9"/>
    </i>
    <i>
      <x v="13"/>
    </i>
    <i r="1">
      <x/>
    </i>
    <i r="1">
      <x v="1"/>
    </i>
    <i r="1">
      <x v="2"/>
    </i>
    <i r="1">
      <x v="3"/>
    </i>
    <i r="1">
      <x v="4"/>
    </i>
    <i r="1">
      <x v="5"/>
    </i>
    <i r="1">
      <x v="6"/>
    </i>
    <i r="1">
      <x v="8"/>
    </i>
    <i r="1">
      <x v="9"/>
    </i>
    <i>
      <x v="14"/>
    </i>
    <i r="1">
      <x/>
    </i>
    <i r="1">
      <x v="1"/>
    </i>
    <i r="1">
      <x v="2"/>
    </i>
    <i r="1">
      <x v="3"/>
    </i>
    <i r="1">
      <x v="4"/>
    </i>
    <i r="1">
      <x v="5"/>
    </i>
    <i r="1">
      <x v="6"/>
    </i>
    <i r="1">
      <x v="8"/>
    </i>
    <i r="1">
      <x v="9"/>
    </i>
    <i>
      <x v="15"/>
    </i>
    <i r="1">
      <x/>
    </i>
    <i r="1">
      <x v="1"/>
    </i>
    <i r="1">
      <x v="2"/>
    </i>
    <i r="1">
      <x v="3"/>
    </i>
    <i r="1">
      <x v="4"/>
    </i>
    <i r="1">
      <x v="5"/>
    </i>
    <i r="1">
      <x v="6"/>
    </i>
    <i r="1">
      <x v="8"/>
    </i>
    <i r="1">
      <x v="9"/>
    </i>
    <i>
      <x v="16"/>
    </i>
    <i r="1">
      <x/>
    </i>
    <i r="1">
      <x v="1"/>
    </i>
    <i r="1">
      <x v="2"/>
    </i>
    <i r="1">
      <x v="3"/>
    </i>
    <i r="1">
      <x v="4"/>
    </i>
    <i r="1">
      <x v="5"/>
    </i>
    <i r="1">
      <x v="6"/>
    </i>
    <i r="1">
      <x v="8"/>
    </i>
    <i r="1">
      <x v="9"/>
    </i>
    <i t="grand">
      <x/>
    </i>
  </rowItems>
  <colFields count="1">
    <field x="6"/>
  </colFields>
  <colItems count="48">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colItems>
  <dataFields count="1">
    <dataField name="Sum of Value"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R478" totalsRowShown="0">
  <autoFilter ref="A1:R478" xr:uid="{00000000-0009-0000-0100-000004000000}"/>
  <tableColumns count="18">
    <tableColumn id="1" xr3:uid="{00000000-0010-0000-0000-000001000000}" name="Category" dataDxfId="17"/>
    <tableColumn id="2" xr3:uid="{00000000-0010-0000-0000-000002000000}" name="mmm-yy" dataDxfId="16">
      <calculatedColumnFormula>TEXT(C2,"mmm-yy")</calculatedColumnFormula>
    </tableColumn>
    <tableColumn id="3" xr3:uid="{00000000-0010-0000-0000-000003000000}" name="Date" dataDxfId="15"/>
    <tableColumn id="4" xr3:uid="{00000000-0010-0000-0000-000004000000}" name="NHS Wales"/>
    <tableColumn id="5" xr3:uid="{00000000-0010-0000-0000-000005000000}" name="Aneurin Bevan UHB"/>
    <tableColumn id="6" xr3:uid="{00000000-0010-0000-0000-000006000000}" name="Betsi Cadwaladr UHB"/>
    <tableColumn id="7" xr3:uid="{00000000-0010-0000-0000-000007000000}" name="Cardiff &amp; Vale UHB"/>
    <tableColumn id="8" xr3:uid="{00000000-0010-0000-0000-000008000000}" name="Cwm Taf Morgannwg UHB"/>
    <tableColumn id="9" xr3:uid="{00000000-0010-0000-0000-000009000000}" name="Hywel Dda UHB"/>
    <tableColumn id="10" xr3:uid="{00000000-0010-0000-0000-00000A000000}" name="Swansea Bay UHB"/>
    <tableColumn id="11" xr3:uid="{00000000-0010-0000-0000-00000B000000}" name="Powys THB"/>
    <tableColumn id="12" xr3:uid="{00000000-0010-0000-0000-00000C000000}" name="Public Health Wales Trust"/>
    <tableColumn id="13" xr3:uid="{00000000-0010-0000-0000-00000D000000}" name="Velindre Trust"/>
    <tableColumn id="14" xr3:uid="{00000000-0010-0000-0000-00000E000000}" name="Welsh Ambulance Trust"/>
    <tableColumn id="15" xr3:uid="{00000000-0010-0000-0000-00000F000000}" name="HEIW"/>
    <tableColumn id="16" xr3:uid="{00000000-0010-0000-0000-000010000000}" name="Digital Health Care Wales"/>
    <tableColumn id="17" xr3:uid="{00000000-0010-0000-0000-000011000000}" name="NHS Wales Shared Services Partnership"/>
    <tableColumn id="18" xr3:uid="{00000000-0010-0000-0000-000012000000}" name="Column1"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5" displayName="Table5" ref="A1:K105" totalsRowShown="0" headerRowDxfId="13">
  <autoFilter ref="A1:K105" xr:uid="{00000000-0009-0000-0100-000005000000}"/>
  <tableColumns count="11">
    <tableColumn id="1" xr3:uid="{00000000-0010-0000-0100-000001000000}" name="Report Month"/>
    <tableColumn id="2" xr3:uid="{00000000-0010-0000-0100-000002000000}" name="Avail/Occupied"/>
    <tableColumn id="3" xr3:uid="{00000000-0010-0000-0100-000003000000}" name="Aneurin Bevan UHB"/>
    <tableColumn id="4" xr3:uid="{00000000-0010-0000-0100-000004000000}" name="Betsi Cadwaladr UHB"/>
    <tableColumn id="5" xr3:uid="{00000000-0010-0000-0100-000005000000}" name="Cardiff &amp; Vale UHB"/>
    <tableColumn id="6" xr3:uid="{00000000-0010-0000-0100-000006000000}" name="Cwm Taf Morgannwg UHB"/>
    <tableColumn id="7" xr3:uid="{00000000-0010-0000-0100-000007000000}" name="Hywel Dda UHB"/>
    <tableColumn id="8" xr3:uid="{00000000-0010-0000-0100-000008000000}" name="Powys THB"/>
    <tableColumn id="9" xr3:uid="{00000000-0010-0000-0100-000009000000}" name="Swansea Bay UHB"/>
    <tableColumn id="10" xr3:uid="{00000000-0010-0000-0100-00000A000000}" name="Velindre Trust"/>
    <tableColumn id="11" xr3:uid="{00000000-0010-0000-0100-00000B000000}" name="All Wal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G4915" totalsRowShown="0">
  <autoFilter ref="A1:G4915" xr:uid="{00000000-0009-0000-0100-000002000000}"/>
  <tableColumns count="7">
    <tableColumn id="1" xr3:uid="{00000000-0010-0000-0200-000001000000}" name="Submission Period" dataDxfId="12"/>
    <tableColumn id="2" xr3:uid="{00000000-0010-0000-0200-000002000000}" name="Org"/>
    <tableColumn id="3" xr3:uid="{00000000-0010-0000-0200-000003000000}" name="Line_item"/>
    <tableColumn id="4" xr3:uid="{00000000-0010-0000-0200-000004000000}" name="Description_1"/>
    <tableColumn id="5" xr3:uid="{00000000-0010-0000-0200-000005000000}" name="SubCalDate" dataDxfId="11"/>
    <tableColumn id="6" xr3:uid="{00000000-0010-0000-0200-000006000000}" name="Value"/>
    <tableColumn id="7" xr3:uid="{00000000-0010-0000-0200-000007000000}" name="Month_Nam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1" displayName="Table1" ref="A1:E365" totalsRowShown="0">
  <autoFilter ref="A1:E365" xr:uid="{00000000-0009-0000-0100-000001000000}"/>
  <tableColumns count="5">
    <tableColumn id="1" xr3:uid="{00000000-0010-0000-0300-000001000000}" name="Submission Period" dataDxfId="10"/>
    <tableColumn id="2" xr3:uid="{00000000-0010-0000-0300-000002000000}" name="Org"/>
    <tableColumn id="3" xr3:uid="{00000000-0010-0000-0300-000003000000}" name="Description_2"/>
    <tableColumn id="4" xr3:uid="{00000000-0010-0000-0300-000004000000}" name="Value"/>
    <tableColumn id="5" xr3:uid="{00000000-0010-0000-0300-000005000000}" name="Month_Nam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 displayName="Table3" ref="A1:G6046" totalsRowShown="0">
  <autoFilter ref="A1:G6046" xr:uid="{00000000-0009-0000-0100-000003000000}"/>
  <tableColumns count="7">
    <tableColumn id="1" xr3:uid="{00000000-0010-0000-0400-000001000000}" name="Submission Period" dataDxfId="9"/>
    <tableColumn id="2" xr3:uid="{00000000-0010-0000-0400-000002000000}" name="Org"/>
    <tableColumn id="3" xr3:uid="{00000000-0010-0000-0400-000003000000}" name="Line_item"/>
    <tableColumn id="4" xr3:uid="{00000000-0010-0000-0400-000004000000}" name="Description_1"/>
    <tableColumn id="5" xr3:uid="{00000000-0010-0000-0400-000005000000}" name="SubCalDate" dataDxfId="8"/>
    <tableColumn id="6" xr3:uid="{00000000-0010-0000-0400-000006000000}" name="Value"/>
    <tableColumn id="7" xr3:uid="{00000000-0010-0000-0400-000007000000}" name="Month_Name" dataDxfId="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ivotTable" Target="../pivotTables/pivotTable4.xm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ivotTable" Target="../pivotTables/pivotTable1.xml"/><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0.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CAAA7A"/>
    <pageSetUpPr fitToPage="1"/>
  </sheetPr>
  <dimension ref="B1:F48"/>
  <sheetViews>
    <sheetView showGridLines="0" showRowColHeaders="0" zoomScale="70" zoomScaleNormal="70" workbookViewId="0">
      <selection activeCell="F19" sqref="F19"/>
    </sheetView>
  </sheetViews>
  <sheetFormatPr defaultColWidth="8.84375" defaultRowHeight="15.5"/>
  <cols>
    <col min="1" max="1" width="4.3046875" style="8" customWidth="1"/>
    <col min="2" max="2" width="31.07421875" style="27" customWidth="1"/>
    <col min="3" max="3" width="23.84375" style="27" customWidth="1"/>
    <col min="4" max="4" width="2" style="8" customWidth="1"/>
    <col min="5" max="5" width="23.84375" style="8" customWidth="1"/>
    <col min="6" max="6" width="16.84375" style="8" customWidth="1"/>
    <col min="7" max="16384" width="8.84375" style="8"/>
  </cols>
  <sheetData>
    <row r="1" spans="2:6" ht="6" customHeight="1"/>
    <row r="2" spans="2:6" ht="21">
      <c r="B2" s="806" t="s">
        <v>0</v>
      </c>
      <c r="C2" s="806"/>
      <c r="D2" s="806"/>
      <c r="E2" s="806"/>
      <c r="F2" s="806"/>
    </row>
    <row r="3" spans="2:6" ht="12.75" customHeight="1">
      <c r="B3" s="807" t="s">
        <v>1</v>
      </c>
      <c r="C3" s="807"/>
      <c r="D3" s="807"/>
      <c r="E3" s="807"/>
      <c r="F3" s="807"/>
    </row>
    <row r="4" spans="2:6" ht="8.25" customHeight="1"/>
    <row r="5" spans="2:6" ht="31.5" customHeight="1">
      <c r="B5" s="58" t="s">
        <v>2</v>
      </c>
      <c r="C5" s="805" t="s">
        <v>3</v>
      </c>
      <c r="D5" s="805"/>
      <c r="E5" s="805"/>
      <c r="F5" s="805"/>
    </row>
    <row r="6" spans="2:6" ht="7.5" customHeight="1"/>
    <row r="7" spans="2:6" ht="21" customHeight="1">
      <c r="E7" s="11" t="s">
        <v>4</v>
      </c>
    </row>
    <row r="8" spans="2:6" ht="36.5">
      <c r="B8" s="84" t="s">
        <v>5</v>
      </c>
      <c r="C8" s="84" t="s">
        <v>6</v>
      </c>
      <c r="E8" s="19" t="s">
        <v>7</v>
      </c>
    </row>
    <row r="9" spans="2:6" ht="19.5" customHeight="1">
      <c r="B9" s="85" t="s">
        <v>8</v>
      </c>
      <c r="C9" s="197" t="s">
        <v>1630</v>
      </c>
    </row>
    <row r="10" spans="2:6" ht="19.5" customHeight="1">
      <c r="B10" s="85" t="s">
        <v>9</v>
      </c>
      <c r="C10" s="197" t="s">
        <v>1630</v>
      </c>
    </row>
    <row r="11" spans="2:6" ht="19.5" customHeight="1">
      <c r="B11" s="85" t="s">
        <v>10</v>
      </c>
      <c r="C11" s="197" t="s">
        <v>1630</v>
      </c>
    </row>
    <row r="12" spans="2:6" ht="19.5" customHeight="1">
      <c r="B12" s="85" t="s">
        <v>11</v>
      </c>
      <c r="C12" s="197" t="s">
        <v>1630</v>
      </c>
    </row>
    <row r="13" spans="2:6" ht="19.5" customHeight="1">
      <c r="B13" s="85" t="s">
        <v>12</v>
      </c>
      <c r="C13" s="197"/>
    </row>
    <row r="14" spans="2:6" ht="19.5" customHeight="1">
      <c r="B14" s="85" t="s">
        <v>13</v>
      </c>
      <c r="C14" s="197" t="s">
        <v>1630</v>
      </c>
    </row>
    <row r="15" spans="2:6" ht="19.5" customHeight="1">
      <c r="B15" s="85" t="s">
        <v>14</v>
      </c>
      <c r="C15" s="197" t="s">
        <v>1630</v>
      </c>
    </row>
    <row r="16" spans="2:6" ht="19.5" customHeight="1">
      <c r="B16" s="85" t="s">
        <v>15</v>
      </c>
      <c r="C16" s="197" t="s">
        <v>1630</v>
      </c>
    </row>
    <row r="17" spans="2:6" ht="19.5" customHeight="1">
      <c r="B17" s="85" t="s">
        <v>16</v>
      </c>
      <c r="C17" s="197" t="s">
        <v>1630</v>
      </c>
    </row>
    <row r="18" spans="2:6" ht="19.5" customHeight="1">
      <c r="B18" s="85" t="s">
        <v>17</v>
      </c>
      <c r="C18" s="197"/>
    </row>
    <row r="19" spans="2:6" ht="19.5" customHeight="1">
      <c r="B19" s="85" t="s">
        <v>18</v>
      </c>
      <c r="C19" s="197"/>
    </row>
    <row r="20" spans="2:6" ht="19.5" customHeight="1">
      <c r="B20" s="85" t="s">
        <v>19</v>
      </c>
      <c r="C20" s="197"/>
    </row>
    <row r="21" spans="2:6" ht="19.5" customHeight="1">
      <c r="B21" s="85" t="s">
        <v>20</v>
      </c>
      <c r="C21" s="197"/>
    </row>
    <row r="22" spans="2:6" ht="19.5" customHeight="1">
      <c r="B22" s="85" t="s">
        <v>21</v>
      </c>
      <c r="C22" s="197"/>
    </row>
    <row r="23" spans="2:6" ht="19.5" customHeight="1">
      <c r="B23" s="85" t="s">
        <v>22</v>
      </c>
      <c r="C23" s="197"/>
    </row>
    <row r="24" spans="2:6" ht="19.5" customHeight="1">
      <c r="B24" s="85" t="s">
        <v>23</v>
      </c>
      <c r="C24" s="197"/>
    </row>
    <row r="25" spans="2:6" ht="19.5" customHeight="1">
      <c r="B25" s="85" t="s">
        <v>24</v>
      </c>
      <c r="C25" s="197"/>
    </row>
    <row r="26" spans="2:6" ht="19.5" customHeight="1">
      <c r="B26" s="85" t="s">
        <v>25</v>
      </c>
      <c r="C26" s="197"/>
    </row>
    <row r="27" spans="2:6" ht="19.5" customHeight="1">
      <c r="B27" s="85" t="s">
        <v>26</v>
      </c>
      <c r="C27" s="197"/>
    </row>
    <row r="28" spans="2:6" ht="19.5" customHeight="1">
      <c r="B28" s="85" t="s">
        <v>27</v>
      </c>
      <c r="C28" s="197"/>
    </row>
    <row r="29" spans="2:6" ht="19.5" customHeight="1">
      <c r="B29" s="85" t="s">
        <v>28</v>
      </c>
      <c r="C29" s="197"/>
    </row>
    <row r="30" spans="2:6">
      <c r="B30" s="8"/>
      <c r="C30" s="8"/>
    </row>
    <row r="31" spans="2:6">
      <c r="B31" s="808" t="s">
        <v>29</v>
      </c>
      <c r="C31" s="809"/>
      <c r="D31" s="809"/>
      <c r="E31" s="809"/>
      <c r="F31" s="810"/>
    </row>
    <row r="32" spans="2:6">
      <c r="B32" s="796" t="s">
        <v>1627</v>
      </c>
      <c r="C32" s="797"/>
      <c r="D32" s="797"/>
      <c r="E32" s="797"/>
      <c r="F32" s="798"/>
    </row>
    <row r="33" spans="2:6">
      <c r="B33" s="799"/>
      <c r="C33" s="800"/>
      <c r="D33" s="800"/>
      <c r="E33" s="800"/>
      <c r="F33" s="801"/>
    </row>
    <row r="34" spans="2:6">
      <c r="B34" s="799"/>
      <c r="C34" s="800"/>
      <c r="D34" s="800"/>
      <c r="E34" s="800"/>
      <c r="F34" s="801"/>
    </row>
    <row r="35" spans="2:6">
      <c r="B35" s="799"/>
      <c r="C35" s="800"/>
      <c r="D35" s="800"/>
      <c r="E35" s="800"/>
      <c r="F35" s="801"/>
    </row>
    <row r="36" spans="2:6">
      <c r="B36" s="799"/>
      <c r="C36" s="800"/>
      <c r="D36" s="800"/>
      <c r="E36" s="800"/>
      <c r="F36" s="801"/>
    </row>
    <row r="37" spans="2:6">
      <c r="B37" s="799"/>
      <c r="C37" s="800"/>
      <c r="D37" s="800"/>
      <c r="E37" s="800"/>
      <c r="F37" s="801"/>
    </row>
    <row r="38" spans="2:6">
      <c r="B38" s="799"/>
      <c r="C38" s="800"/>
      <c r="D38" s="800"/>
      <c r="E38" s="800"/>
      <c r="F38" s="801"/>
    </row>
    <row r="39" spans="2:6">
      <c r="B39" s="799"/>
      <c r="C39" s="800"/>
      <c r="D39" s="800"/>
      <c r="E39" s="800"/>
      <c r="F39" s="801"/>
    </row>
    <row r="40" spans="2:6">
      <c r="B40" s="799"/>
      <c r="C40" s="800"/>
      <c r="D40" s="800"/>
      <c r="E40" s="800"/>
      <c r="F40" s="801"/>
    </row>
    <row r="41" spans="2:6">
      <c r="B41" s="799"/>
      <c r="C41" s="800"/>
      <c r="D41" s="800"/>
      <c r="E41" s="800"/>
      <c r="F41" s="801"/>
    </row>
    <row r="42" spans="2:6">
      <c r="B42" s="799"/>
      <c r="C42" s="800"/>
      <c r="D42" s="800"/>
      <c r="E42" s="800"/>
      <c r="F42" s="801"/>
    </row>
    <row r="43" spans="2:6">
      <c r="B43" s="799"/>
      <c r="C43" s="800"/>
      <c r="D43" s="800"/>
      <c r="E43" s="800"/>
      <c r="F43" s="801"/>
    </row>
    <row r="44" spans="2:6">
      <c r="B44" s="799"/>
      <c r="C44" s="800"/>
      <c r="D44" s="800"/>
      <c r="E44" s="800"/>
      <c r="F44" s="801"/>
    </row>
    <row r="45" spans="2:6">
      <c r="B45" s="799"/>
      <c r="C45" s="800"/>
      <c r="D45" s="800"/>
      <c r="E45" s="800"/>
      <c r="F45" s="801"/>
    </row>
    <row r="46" spans="2:6">
      <c r="B46" s="799"/>
      <c r="C46" s="800"/>
      <c r="D46" s="800"/>
      <c r="E46" s="800"/>
      <c r="F46" s="801"/>
    </row>
    <row r="47" spans="2:6">
      <c r="B47" s="799"/>
      <c r="C47" s="800"/>
      <c r="D47" s="800"/>
      <c r="E47" s="800"/>
      <c r="F47" s="801"/>
    </row>
    <row r="48" spans="2:6">
      <c r="B48" s="802"/>
      <c r="C48" s="803"/>
      <c r="D48" s="803"/>
      <c r="E48" s="803"/>
      <c r="F48" s="804"/>
    </row>
  </sheetData>
  <customSheetViews>
    <customSheetView guid="{95B84344-25FE-4A71-9083-825DAB5E8F01}">
      <selection activeCell="E31" sqref="E31"/>
      <pageMargins left="0" right="0" top="0" bottom="0" header="0" footer="0"/>
      <pageSetup paperSize="9" orientation="portrait" r:id="rId1"/>
    </customSheetView>
  </customSheetViews>
  <mergeCells count="5">
    <mergeCell ref="B32:F48"/>
    <mergeCell ref="C5:F5"/>
    <mergeCell ref="B2:F2"/>
    <mergeCell ref="B3:F3"/>
    <mergeCell ref="B31:F31"/>
  </mergeCells>
  <conditionalFormatting sqref="C9:C29">
    <cfRule type="expression" dxfId="6" priority="1">
      <formula>C9="Yes"</formula>
    </cfRule>
  </conditionalFormatting>
  <dataValidations count="1">
    <dataValidation type="list" allowBlank="1" showInputMessage="1" showErrorMessage="1" sqref="C9:C29" xr:uid="{00000000-0002-0000-0000-000000000000}">
      <formula1>"Yes"</formula1>
    </dataValidation>
  </dataValidations>
  <hyperlinks>
    <hyperlink ref="E8" r:id="rId2" xr:uid="{00000000-0004-0000-0000-000000000000}"/>
    <hyperlink ref="B9" location="Vaccinations!A1" display="VACCINATIONS" xr:uid="{00000000-0004-0000-0000-000001000000}"/>
    <hyperlink ref="B10" location="Bedplan!A1" display="BEDPLAN" xr:uid="{00000000-0004-0000-0000-000002000000}"/>
    <hyperlink ref="B11" location="'Workforce WTE'!A1" display="WORKFORCE WTE" xr:uid="{00000000-0004-0000-0000-000003000000}"/>
    <hyperlink ref="B12" location="'Primary Care Activity'!A1" display="PRIMARY CARE ACTIVITY" xr:uid="{00000000-0004-0000-0000-000004000000}"/>
    <hyperlink ref="B13" location="'CHC &amp; FNC'!A1" display="CHC &amp; FNC" xr:uid="{00000000-0004-0000-0000-000005000000}"/>
    <hyperlink ref="B14" location="'Mental Health Activity'!A1" display="MENTAL HEALTH ACTIVITY" xr:uid="{00000000-0004-0000-0000-000006000000}"/>
    <hyperlink ref="B15" location="'Cancer Care Activity'!A1" display="CANCER CARE ACTIVITY" xr:uid="{00000000-0004-0000-0000-000007000000}"/>
    <hyperlink ref="B16" location="'Unsch.Care &amp; Ambulance Activity'!A1" display="UNSCHEDULED CARE ACTIVITY" xr:uid="{00000000-0004-0000-0000-000008000000}"/>
    <hyperlink ref="B17" location="'Planned Care Activity'!A1" display="PLANNED CARE ACTIVITY" xr:uid="{00000000-0004-0000-0000-000009000000}"/>
    <hyperlink ref="B18" location="'F1 - Revenue Plan'!A1" display="F1 REVENUE PLAN" xr:uid="{00000000-0004-0000-0000-00000A000000}"/>
    <hyperlink ref="B19" location="'F2 - Net Expenditure'!A1" display="F2 NET EXPENDITURE " xr:uid="{00000000-0004-0000-0000-00000B000000}"/>
    <hyperlink ref="B20" location="'F3 - ULD'!A1" display="F3 ULD" xr:uid="{00000000-0004-0000-0000-00000C000000}"/>
    <hyperlink ref="B21" location="'F4 - Funding Assumptions'!A1" display="F4 FUNDING ASSUMPTIONS" xr:uid="{00000000-0004-0000-0000-00000D000000}"/>
    <hyperlink ref="B22" location="'F5 - Cost Pressures'!A1" display="F5 COST PRESSURES" xr:uid="{00000000-0004-0000-0000-00000E000000}"/>
    <hyperlink ref="B23" location="'F6 - Savings Tracker'!A1" display="F6 SAVINGS TRACKER" xr:uid="{00000000-0004-0000-0000-00000F000000}"/>
    <hyperlink ref="B24" location="'F7 - Opportunity Pipeline'!A1" display="F7 OPPORTUNITY PIPELINE" xr:uid="{00000000-0004-0000-0000-000010000000}"/>
    <hyperlink ref="B25" location="'F8 - Pay Split'!A1" display="F8 PAY SPLIT" xr:uid="{00000000-0004-0000-0000-000011000000}"/>
    <hyperlink ref="B26" location="'F9 - Project Profile'!A1" display="F9 PROJECT PROFILE" xr:uid="{00000000-0004-0000-0000-000012000000}"/>
    <hyperlink ref="B27" location="'F10 - Risks &amp; Opportunities'!A1" display="F10 RISKS &amp; OPPORTUNITIES" xr:uid="{00000000-0004-0000-0000-000013000000}"/>
    <hyperlink ref="B28" location="'F11 - Capital Data'!A1" display="F11 CAPITAL DATA" xr:uid="{00000000-0004-0000-0000-000014000000}"/>
    <hyperlink ref="B29" location="'F12 - Other Estates Data'!A1" display="F12 OTHER ESTATES" xr:uid="{00000000-0004-0000-0000-000015000000}"/>
  </hyperlinks>
  <pageMargins left="0.70866141732283472" right="0.70866141732283472" top="0.74803149606299213" bottom="0.74803149606299213" header="0.31496062992125984" footer="0.31496062992125984"/>
  <pageSetup paperSize="9" fitToHeight="0" orientation="landscape"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'Ref Lists'!$B$1:$B$16</xm:f>
          </x14:formula1>
          <xm:sqref>C5:F5</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pageSetUpPr fitToPage="1"/>
  </sheetPr>
  <dimension ref="B1:AH36"/>
  <sheetViews>
    <sheetView zoomScale="90" zoomScaleNormal="90" workbookViewId="0">
      <pane xSplit="3" ySplit="3" topLeftCell="F12" activePane="bottomRight" state="frozenSplit"/>
      <selection activeCell="S193" sqref="S193"/>
      <selection pane="topRight" activeCell="S193" sqref="S193"/>
      <selection pane="bottomLeft" activeCell="S193" sqref="S193"/>
      <selection pane="bottomRight" activeCell="Q21" sqref="Q21"/>
    </sheetView>
  </sheetViews>
  <sheetFormatPr defaultColWidth="8.84375" defaultRowHeight="13"/>
  <cols>
    <col min="1" max="1" width="2.84375" style="1" customWidth="1"/>
    <col min="2" max="2" width="35.765625" style="1" customWidth="1"/>
    <col min="3" max="3" width="48.53515625" style="1" customWidth="1"/>
    <col min="4" max="5" width="11.765625" style="1" customWidth="1"/>
    <col min="6" max="23" width="11.23046875" style="1" customWidth="1"/>
    <col min="24" max="31" width="11.23046875" style="577" customWidth="1"/>
    <col min="32" max="34" width="11.84375" style="577" customWidth="1"/>
    <col min="35" max="16384" width="8.84375" style="1"/>
  </cols>
  <sheetData>
    <row r="1" spans="2:34" ht="23.25" customHeight="1">
      <c r="B1" s="851" t="s">
        <v>1336</v>
      </c>
      <c r="C1" s="576" t="s">
        <v>1337</v>
      </c>
      <c r="D1" s="852" t="s">
        <v>1338</v>
      </c>
      <c r="E1" s="852"/>
      <c r="F1" s="852"/>
      <c r="G1" s="852"/>
      <c r="H1" s="852"/>
      <c r="I1" s="852"/>
      <c r="J1" s="852"/>
      <c r="K1" s="852"/>
    </row>
    <row r="2" spans="2:34" ht="31">
      <c r="B2" s="851"/>
      <c r="C2" s="67"/>
      <c r="D2" s="78" t="s">
        <v>1339</v>
      </c>
      <c r="E2" s="78" t="s">
        <v>1340</v>
      </c>
      <c r="F2" s="78" t="s">
        <v>1341</v>
      </c>
      <c r="G2" s="78" t="s">
        <v>1342</v>
      </c>
      <c r="H2" s="78" t="s">
        <v>1343</v>
      </c>
      <c r="I2" s="78" t="s">
        <v>1344</v>
      </c>
      <c r="J2" s="78" t="s">
        <v>264</v>
      </c>
      <c r="K2" s="78" t="s">
        <v>265</v>
      </c>
      <c r="M2" s="78" t="s">
        <v>1345</v>
      </c>
      <c r="N2" s="78" t="s">
        <v>1346</v>
      </c>
      <c r="O2" s="78" t="s">
        <v>1347</v>
      </c>
      <c r="P2" s="78" t="s">
        <v>1348</v>
      </c>
    </row>
    <row r="3" spans="2:34" ht="15.75" customHeight="1">
      <c r="B3" s="16" t="s">
        <v>266</v>
      </c>
      <c r="C3" s="16"/>
      <c r="D3" s="853" t="s">
        <v>1349</v>
      </c>
      <c r="E3" s="853"/>
      <c r="F3" s="853"/>
      <c r="G3" s="853"/>
      <c r="H3" s="853"/>
      <c r="I3" s="853"/>
      <c r="J3" s="853"/>
      <c r="K3" s="853"/>
    </row>
    <row r="4" spans="2:34" ht="15.75" customHeight="1">
      <c r="D4" s="28"/>
      <c r="E4" s="28"/>
      <c r="F4" s="28"/>
      <c r="G4" s="28"/>
      <c r="H4" s="28"/>
      <c r="M4" s="28"/>
      <c r="N4" s="28"/>
      <c r="O4" s="28"/>
      <c r="X4" s="1"/>
      <c r="Y4" s="1"/>
      <c r="Z4" s="1"/>
      <c r="AA4" s="1"/>
      <c r="AB4" s="1"/>
      <c r="AC4" s="1"/>
      <c r="AD4" s="1"/>
      <c r="AE4" s="1"/>
      <c r="AF4" s="1"/>
      <c r="AG4" s="1"/>
      <c r="AH4" s="1"/>
    </row>
    <row r="5" spans="2:34" s="577" customFormat="1" ht="45" customHeight="1">
      <c r="B5" s="578" t="s">
        <v>1350</v>
      </c>
      <c r="C5" s="578" t="s">
        <v>1351</v>
      </c>
      <c r="D5" s="579">
        <v>602</v>
      </c>
      <c r="E5" s="579">
        <v>594</v>
      </c>
      <c r="F5" s="579">
        <v>594</v>
      </c>
      <c r="G5" s="579">
        <v>594</v>
      </c>
      <c r="H5" s="579">
        <v>594</v>
      </c>
      <c r="I5" s="579">
        <v>231</v>
      </c>
      <c r="J5" s="579">
        <v>231</v>
      </c>
      <c r="K5" s="579">
        <v>231</v>
      </c>
      <c r="M5" s="579">
        <v>689</v>
      </c>
      <c r="N5" s="579">
        <v>998</v>
      </c>
      <c r="O5" s="579">
        <v>161</v>
      </c>
      <c r="P5" s="794">
        <v>708</v>
      </c>
    </row>
    <row r="6" spans="2:34" s="577" customFormat="1" ht="45" customHeight="1">
      <c r="B6" s="578" t="s">
        <v>1352</v>
      </c>
      <c r="C6" s="578" t="s">
        <v>1353</v>
      </c>
      <c r="D6" s="579"/>
      <c r="E6" s="579"/>
      <c r="F6" s="579"/>
      <c r="G6" s="579"/>
      <c r="H6" s="579"/>
      <c r="I6" s="579">
        <v>0</v>
      </c>
      <c r="J6" s="579">
        <v>0</v>
      </c>
      <c r="K6" s="579">
        <v>0</v>
      </c>
      <c r="M6" s="579"/>
      <c r="N6" s="579"/>
      <c r="O6" s="579"/>
      <c r="P6" s="794">
        <v>30</v>
      </c>
    </row>
    <row r="7" spans="2:34" s="577" customFormat="1" ht="58" customHeight="1">
      <c r="B7" s="578" t="s">
        <v>1354</v>
      </c>
      <c r="C7" s="578" t="s">
        <v>1355</v>
      </c>
      <c r="D7" s="579">
        <v>278</v>
      </c>
      <c r="E7" s="579">
        <v>284</v>
      </c>
      <c r="F7" s="579">
        <v>285</v>
      </c>
      <c r="G7" s="579">
        <v>285</v>
      </c>
      <c r="H7" s="579">
        <v>285</v>
      </c>
      <c r="I7" s="579">
        <v>26</v>
      </c>
      <c r="J7" s="579">
        <v>26</v>
      </c>
      <c r="K7" s="579">
        <v>26</v>
      </c>
      <c r="M7" s="579">
        <v>285</v>
      </c>
      <c r="N7" s="579">
        <v>259</v>
      </c>
      <c r="O7" s="579">
        <v>269</v>
      </c>
      <c r="P7" s="794">
        <v>285</v>
      </c>
    </row>
    <row r="8" spans="2:34" s="577" customFormat="1" ht="45" customHeight="1">
      <c r="B8" s="578" t="s">
        <v>1356</v>
      </c>
      <c r="C8" s="578" t="s">
        <v>1357</v>
      </c>
      <c r="D8" s="579"/>
      <c r="E8" s="579">
        <v>22</v>
      </c>
      <c r="F8" s="579">
        <v>22</v>
      </c>
      <c r="G8" s="579">
        <v>22</v>
      </c>
      <c r="H8" s="579">
        <v>22</v>
      </c>
      <c r="I8" s="579">
        <v>6</v>
      </c>
      <c r="J8" s="579">
        <v>6</v>
      </c>
      <c r="K8" s="579">
        <v>6</v>
      </c>
      <c r="M8" s="579">
        <v>22</v>
      </c>
      <c r="N8" s="579">
        <v>33</v>
      </c>
      <c r="O8" s="579"/>
      <c r="P8" s="794">
        <v>4</v>
      </c>
    </row>
    <row r="9" spans="2:34" s="577" customFormat="1" ht="45" customHeight="1">
      <c r="B9" s="578" t="s">
        <v>1358</v>
      </c>
      <c r="C9" s="578" t="s">
        <v>1359</v>
      </c>
      <c r="D9" s="579">
        <v>5</v>
      </c>
      <c r="E9" s="579">
        <v>4</v>
      </c>
      <c r="F9" s="579">
        <v>4</v>
      </c>
      <c r="G9" s="579">
        <v>4</v>
      </c>
      <c r="H9" s="579">
        <v>4</v>
      </c>
      <c r="I9" s="579">
        <v>0</v>
      </c>
      <c r="J9" s="579">
        <v>0</v>
      </c>
      <c r="K9" s="579">
        <v>0</v>
      </c>
      <c r="M9" s="579">
        <v>10</v>
      </c>
      <c r="N9" s="579">
        <v>3</v>
      </c>
      <c r="O9" s="579"/>
      <c r="P9" s="794">
        <v>0</v>
      </c>
    </row>
    <row r="10" spans="2:34" s="577" customFormat="1" ht="60.75" customHeight="1">
      <c r="B10" s="578" t="s">
        <v>1360</v>
      </c>
      <c r="C10" s="578" t="s">
        <v>1361</v>
      </c>
      <c r="D10" s="579">
        <v>33</v>
      </c>
      <c r="E10" s="579">
        <v>25</v>
      </c>
      <c r="F10" s="579">
        <v>25</v>
      </c>
      <c r="G10" s="579">
        <v>25</v>
      </c>
      <c r="H10" s="579">
        <v>25</v>
      </c>
      <c r="I10" s="579">
        <v>0</v>
      </c>
      <c r="J10" s="579">
        <v>0</v>
      </c>
      <c r="K10" s="579">
        <v>0</v>
      </c>
      <c r="M10" s="579">
        <v>25</v>
      </c>
      <c r="N10" s="579">
        <v>25</v>
      </c>
      <c r="O10" s="579"/>
      <c r="P10" s="794">
        <v>5</v>
      </c>
    </row>
    <row r="11" spans="2:34" s="577" customFormat="1" ht="45" customHeight="1">
      <c r="B11" s="578" t="s">
        <v>1362</v>
      </c>
      <c r="C11" s="578" t="s">
        <v>1363</v>
      </c>
      <c r="D11" s="578"/>
      <c r="E11" s="578"/>
      <c r="F11" s="578"/>
      <c r="G11" s="578"/>
      <c r="H11" s="578"/>
      <c r="I11" s="578"/>
      <c r="J11" s="578"/>
      <c r="K11" s="578"/>
      <c r="M11" s="578"/>
      <c r="N11" s="578"/>
      <c r="O11" s="578"/>
      <c r="P11" s="578"/>
    </row>
    <row r="12" spans="2:34" s="577" customFormat="1" ht="45" customHeight="1">
      <c r="B12" s="579" t="s">
        <v>1364</v>
      </c>
      <c r="C12" s="578"/>
      <c r="D12" s="579">
        <v>12</v>
      </c>
      <c r="E12" s="579">
        <v>12</v>
      </c>
      <c r="F12" s="579">
        <v>12</v>
      </c>
      <c r="G12" s="579">
        <v>12</v>
      </c>
      <c r="H12" s="579">
        <v>12</v>
      </c>
      <c r="I12" s="579">
        <v>0</v>
      </c>
      <c r="J12" s="579">
        <v>0</v>
      </c>
      <c r="K12" s="579">
        <v>0</v>
      </c>
      <c r="M12" s="579"/>
      <c r="N12" s="579">
        <v>59</v>
      </c>
      <c r="O12" s="579"/>
      <c r="P12" s="794">
        <v>0</v>
      </c>
    </row>
    <row r="13" spans="2:34" s="577" customFormat="1" ht="45" customHeight="1">
      <c r="B13" s="579" t="s">
        <v>1365</v>
      </c>
      <c r="C13" s="578"/>
      <c r="D13" s="579">
        <v>22</v>
      </c>
      <c r="E13" s="579">
        <v>22</v>
      </c>
      <c r="F13" s="579">
        <v>22</v>
      </c>
      <c r="G13" s="579">
        <v>22</v>
      </c>
      <c r="H13" s="579">
        <v>22</v>
      </c>
      <c r="I13" s="579">
        <v>24</v>
      </c>
      <c r="J13" s="579">
        <v>24</v>
      </c>
      <c r="K13" s="579">
        <v>24</v>
      </c>
      <c r="M13" s="579">
        <v>24</v>
      </c>
      <c r="N13" s="579">
        <v>24</v>
      </c>
      <c r="O13" s="579"/>
      <c r="P13" s="794">
        <v>24</v>
      </c>
    </row>
    <row r="14" spans="2:34" s="577" customFormat="1" ht="45" customHeight="1">
      <c r="B14" s="579" t="s">
        <v>1366</v>
      </c>
      <c r="C14" s="578"/>
      <c r="D14" s="579">
        <v>7</v>
      </c>
      <c r="E14" s="579">
        <v>7</v>
      </c>
      <c r="F14" s="579">
        <v>7</v>
      </c>
      <c r="G14" s="579">
        <v>7</v>
      </c>
      <c r="H14" s="579">
        <v>7</v>
      </c>
      <c r="I14" s="579">
        <v>68</v>
      </c>
      <c r="J14" s="579">
        <v>68</v>
      </c>
      <c r="K14" s="579">
        <v>68</v>
      </c>
      <c r="M14" s="579">
        <v>61</v>
      </c>
      <c r="N14" s="579">
        <v>68</v>
      </c>
      <c r="O14" s="579">
        <v>7</v>
      </c>
      <c r="P14" s="794">
        <v>67</v>
      </c>
    </row>
    <row r="15" spans="2:34" s="577" customFormat="1" ht="45" customHeight="1">
      <c r="B15" s="579" t="s">
        <v>1367</v>
      </c>
      <c r="C15" s="578"/>
      <c r="D15" s="579">
        <v>18</v>
      </c>
      <c r="E15" s="579">
        <v>18</v>
      </c>
      <c r="F15" s="579">
        <v>33</v>
      </c>
      <c r="G15" s="579">
        <v>33</v>
      </c>
      <c r="H15" s="579">
        <v>33</v>
      </c>
      <c r="I15" s="579">
        <v>0</v>
      </c>
      <c r="J15" s="579">
        <v>0</v>
      </c>
      <c r="K15" s="579">
        <v>0</v>
      </c>
      <c r="M15" s="579">
        <v>33</v>
      </c>
      <c r="N15" s="579">
        <v>63</v>
      </c>
      <c r="O15" s="579"/>
      <c r="P15" s="794">
        <v>83</v>
      </c>
    </row>
    <row r="16" spans="2:34" s="577" customFormat="1" ht="45" customHeight="1">
      <c r="B16" s="579" t="s">
        <v>1368</v>
      </c>
      <c r="C16" s="578"/>
      <c r="D16" s="579">
        <v>5</v>
      </c>
      <c r="E16" s="579">
        <v>5</v>
      </c>
      <c r="F16" s="579">
        <v>5</v>
      </c>
      <c r="G16" s="579">
        <v>5</v>
      </c>
      <c r="H16" s="579">
        <v>5</v>
      </c>
      <c r="I16" s="579">
        <v>0</v>
      </c>
      <c r="J16" s="579">
        <v>0</v>
      </c>
      <c r="K16" s="579">
        <v>0</v>
      </c>
      <c r="M16" s="579">
        <v>5</v>
      </c>
      <c r="N16" s="579">
        <v>5</v>
      </c>
      <c r="O16" s="579"/>
      <c r="P16" s="794">
        <v>33</v>
      </c>
    </row>
    <row r="17" spans="2:16" s="577" customFormat="1" ht="45" customHeight="1">
      <c r="B17" s="579" t="s">
        <v>267</v>
      </c>
      <c r="C17" s="578"/>
      <c r="D17" s="579">
        <v>84</v>
      </c>
      <c r="E17" s="579">
        <v>92</v>
      </c>
      <c r="F17" s="579">
        <v>92</v>
      </c>
      <c r="G17" s="579">
        <v>92</v>
      </c>
      <c r="H17" s="579">
        <v>92</v>
      </c>
      <c r="I17" s="579" t="s">
        <v>1623</v>
      </c>
      <c r="J17" s="579" t="s">
        <v>1623</v>
      </c>
      <c r="K17" s="579" t="s">
        <v>1623</v>
      </c>
      <c r="M17" s="579">
        <v>92</v>
      </c>
      <c r="N17" s="579">
        <v>60</v>
      </c>
      <c r="O17" s="579">
        <v>51</v>
      </c>
      <c r="P17" s="794">
        <v>60</v>
      </c>
    </row>
    <row r="18" spans="2:16" s="577" customFormat="1" ht="45" customHeight="1">
      <c r="B18" s="578" t="s">
        <v>1369</v>
      </c>
      <c r="C18" s="578"/>
      <c r="D18" s="579">
        <v>0</v>
      </c>
      <c r="E18" s="579">
        <v>0</v>
      </c>
      <c r="F18" s="579">
        <v>0</v>
      </c>
      <c r="G18" s="579">
        <v>0</v>
      </c>
      <c r="H18" s="579">
        <v>0</v>
      </c>
      <c r="I18" s="579">
        <v>0</v>
      </c>
      <c r="J18" s="579">
        <v>0</v>
      </c>
      <c r="K18" s="579">
        <v>0</v>
      </c>
      <c r="M18" s="579"/>
      <c r="N18" s="579"/>
      <c r="O18" s="579"/>
      <c r="P18" s="579" t="s">
        <v>1623</v>
      </c>
    </row>
    <row r="19" spans="2:16">
      <c r="B19" s="580" t="s">
        <v>1370</v>
      </c>
      <c r="C19" s="580"/>
      <c r="D19" s="581">
        <f t="shared" ref="D19:K19" si="0">SUM(D5:D18)</f>
        <v>1066</v>
      </c>
      <c r="E19" s="581">
        <f t="shared" si="0"/>
        <v>1085</v>
      </c>
      <c r="F19" s="581">
        <f t="shared" si="0"/>
        <v>1101</v>
      </c>
      <c r="G19" s="581">
        <f t="shared" si="0"/>
        <v>1101</v>
      </c>
      <c r="H19" s="581">
        <f t="shared" si="0"/>
        <v>1101</v>
      </c>
      <c r="I19" s="581">
        <f t="shared" si="0"/>
        <v>355</v>
      </c>
      <c r="J19" s="581">
        <f t="shared" si="0"/>
        <v>355</v>
      </c>
      <c r="K19" s="581">
        <f t="shared" si="0"/>
        <v>355</v>
      </c>
      <c r="M19" s="581">
        <f t="shared" ref="M19" si="1">SUM(M5:M18)</f>
        <v>1246</v>
      </c>
      <c r="N19" s="581"/>
      <c r="O19" s="581">
        <f t="shared" ref="O19:P19" si="2">SUM(O5:O18)</f>
        <v>488</v>
      </c>
      <c r="P19" s="581">
        <f t="shared" si="2"/>
        <v>1299</v>
      </c>
    </row>
    <row r="20" spans="2:16" s="577" customFormat="1" ht="45" customHeight="1">
      <c r="B20" s="578" t="s">
        <v>1371</v>
      </c>
      <c r="C20" s="578" t="s">
        <v>1372</v>
      </c>
      <c r="D20" s="579">
        <v>0</v>
      </c>
      <c r="E20" s="579">
        <v>0</v>
      </c>
      <c r="F20" s="579">
        <v>0</v>
      </c>
      <c r="G20" s="579">
        <v>0</v>
      </c>
      <c r="H20" s="579">
        <v>0</v>
      </c>
      <c r="I20" s="579">
        <v>0</v>
      </c>
      <c r="J20" s="579">
        <v>0</v>
      </c>
      <c r="K20" s="579">
        <v>0</v>
      </c>
      <c r="M20" s="579"/>
      <c r="N20" s="579"/>
      <c r="O20" s="579"/>
      <c r="P20" s="579" t="s">
        <v>1623</v>
      </c>
    </row>
    <row r="21" spans="2:16" s="577" customFormat="1" ht="45" customHeight="1">
      <c r="B21" s="578" t="s">
        <v>1373</v>
      </c>
      <c r="C21" s="578" t="s">
        <v>1372</v>
      </c>
      <c r="D21" s="579">
        <v>0</v>
      </c>
      <c r="E21" s="579">
        <v>0</v>
      </c>
      <c r="F21" s="579">
        <v>0</v>
      </c>
      <c r="G21" s="579">
        <v>0</v>
      </c>
      <c r="H21" s="579">
        <v>0</v>
      </c>
      <c r="I21" s="579">
        <v>0</v>
      </c>
      <c r="J21" s="579">
        <v>0</v>
      </c>
      <c r="K21" s="579">
        <v>0</v>
      </c>
      <c r="M21" s="579"/>
      <c r="N21" s="579"/>
      <c r="O21" s="579"/>
      <c r="P21" s="579" t="s">
        <v>1623</v>
      </c>
    </row>
    <row r="22" spans="2:16">
      <c r="B22" s="580" t="s">
        <v>1374</v>
      </c>
      <c r="C22" s="580" t="s">
        <v>1375</v>
      </c>
      <c r="D22" s="581">
        <f>SUM(D19:D21)</f>
        <v>1066</v>
      </c>
      <c r="E22" s="581">
        <f t="shared" ref="E22:K22" si="3">SUM(E19:E21)</f>
        <v>1085</v>
      </c>
      <c r="F22" s="581">
        <f t="shared" si="3"/>
        <v>1101</v>
      </c>
      <c r="G22" s="581">
        <f t="shared" si="3"/>
        <v>1101</v>
      </c>
      <c r="H22" s="581">
        <f t="shared" si="3"/>
        <v>1101</v>
      </c>
      <c r="I22" s="581">
        <f t="shared" si="3"/>
        <v>355</v>
      </c>
      <c r="J22" s="581">
        <f t="shared" si="3"/>
        <v>355</v>
      </c>
      <c r="K22" s="581">
        <f t="shared" si="3"/>
        <v>355</v>
      </c>
      <c r="M22" s="581">
        <f t="shared" ref="M22" si="4">SUM(M19:M21)</f>
        <v>1246</v>
      </c>
      <c r="N22" s="581"/>
      <c r="O22" s="581">
        <f t="shared" ref="O22:P22" si="5">SUM(O19:O21)</f>
        <v>488</v>
      </c>
      <c r="P22" s="581">
        <f t="shared" si="5"/>
        <v>1299</v>
      </c>
    </row>
    <row r="23" spans="2:16">
      <c r="B23" s="582"/>
      <c r="C23" s="582"/>
      <c r="D23" s="583"/>
      <c r="E23" s="583"/>
      <c r="F23" s="583"/>
      <c r="G23" s="583"/>
      <c r="H23" s="583"/>
      <c r="I23" s="583"/>
      <c r="J23" s="583"/>
      <c r="K23" s="583"/>
      <c r="L23" s="57"/>
      <c r="M23" s="583"/>
      <c r="N23" s="583"/>
      <c r="O23" s="583"/>
      <c r="P23" s="583"/>
    </row>
    <row r="24" spans="2:16" s="577" customFormat="1" ht="45" customHeight="1">
      <c r="B24" s="578" t="s">
        <v>1376</v>
      </c>
      <c r="C24" s="578" t="s">
        <v>1377</v>
      </c>
      <c r="D24" s="579"/>
      <c r="E24" s="579"/>
      <c r="F24" s="579"/>
      <c r="G24" s="579"/>
      <c r="H24" s="579"/>
      <c r="I24" s="579">
        <v>0</v>
      </c>
      <c r="J24" s="579">
        <v>0</v>
      </c>
      <c r="K24" s="579">
        <v>0</v>
      </c>
      <c r="M24" s="579"/>
      <c r="N24" s="579"/>
      <c r="O24" s="579"/>
      <c r="P24" s="579" t="s">
        <v>1623</v>
      </c>
    </row>
    <row r="25" spans="2:16">
      <c r="B25" s="580" t="s">
        <v>268</v>
      </c>
      <c r="C25" s="580"/>
      <c r="D25" s="581">
        <f t="shared" ref="D25:K25" si="6">SUM(D22:D24)</f>
        <v>1066</v>
      </c>
      <c r="E25" s="581">
        <f t="shared" si="6"/>
        <v>1085</v>
      </c>
      <c r="F25" s="581">
        <f t="shared" si="6"/>
        <v>1101</v>
      </c>
      <c r="G25" s="581">
        <f t="shared" si="6"/>
        <v>1101</v>
      </c>
      <c r="H25" s="581">
        <f t="shared" si="6"/>
        <v>1101</v>
      </c>
      <c r="I25" s="581">
        <f t="shared" si="6"/>
        <v>355</v>
      </c>
      <c r="J25" s="581">
        <f t="shared" si="6"/>
        <v>355</v>
      </c>
      <c r="K25" s="581">
        <f t="shared" si="6"/>
        <v>355</v>
      </c>
      <c r="M25" s="581">
        <f t="shared" ref="M25:P25" si="7">SUM(M22:M24)</f>
        <v>1246</v>
      </c>
      <c r="N25" s="581">
        <f t="shared" si="7"/>
        <v>0</v>
      </c>
      <c r="O25" s="581">
        <f t="shared" si="7"/>
        <v>488</v>
      </c>
      <c r="P25" s="581">
        <f t="shared" si="7"/>
        <v>1299</v>
      </c>
    </row>
    <row r="27" spans="2:16" ht="21">
      <c r="B27" s="584" t="s">
        <v>1378</v>
      </c>
      <c r="C27" s="584"/>
      <c r="D27" s="585" t="s">
        <v>1379</v>
      </c>
      <c r="E27" s="586"/>
      <c r="F27" s="586"/>
      <c r="G27" s="586"/>
      <c r="H27" s="586"/>
      <c r="I27" s="586"/>
      <c r="J27" s="586"/>
      <c r="K27" s="586"/>
      <c r="M27" s="586"/>
      <c r="N27" s="586"/>
      <c r="O27" s="586"/>
      <c r="P27" s="586"/>
    </row>
    <row r="28" spans="2:16" ht="31">
      <c r="B28" s="584" t="s">
        <v>1378</v>
      </c>
      <c r="C28" s="584"/>
      <c r="D28" s="78" t="s">
        <v>1339</v>
      </c>
      <c r="E28" s="78" t="s">
        <v>1340</v>
      </c>
      <c r="F28" s="78" t="s">
        <v>1380</v>
      </c>
      <c r="G28" s="78" t="s">
        <v>1381</v>
      </c>
      <c r="H28" s="78" t="s">
        <v>1382</v>
      </c>
      <c r="I28" s="78" t="s">
        <v>1344</v>
      </c>
      <c r="J28" s="78" t="s">
        <v>264</v>
      </c>
      <c r="K28" s="78" t="s">
        <v>265</v>
      </c>
      <c r="M28" s="78" t="s">
        <v>1345</v>
      </c>
      <c r="N28" s="78" t="s">
        <v>1346</v>
      </c>
      <c r="O28" s="78" t="s">
        <v>1347</v>
      </c>
      <c r="P28" s="78" t="s">
        <v>1348</v>
      </c>
    </row>
    <row r="29" spans="2:16" ht="13" customHeight="1">
      <c r="B29" s="587"/>
      <c r="C29" s="588"/>
      <c r="D29" s="588"/>
      <c r="E29" s="588"/>
      <c r="F29" s="588"/>
      <c r="G29" s="588"/>
      <c r="H29" s="588"/>
      <c r="I29" s="588"/>
      <c r="J29" s="588"/>
      <c r="K29" s="589"/>
    </row>
    <row r="30" spans="2:16">
      <c r="B30" s="590" t="s">
        <v>1383</v>
      </c>
      <c r="C30" s="590"/>
      <c r="D30" s="591"/>
      <c r="E30" s="591"/>
      <c r="F30" s="591"/>
      <c r="G30" s="591"/>
      <c r="H30" s="591"/>
      <c r="I30" s="591"/>
      <c r="J30" s="591"/>
      <c r="K30" s="591"/>
      <c r="L30" s="577"/>
      <c r="M30" s="592"/>
      <c r="N30" s="592"/>
      <c r="O30" s="592"/>
      <c r="P30" s="592"/>
    </row>
    <row r="32" spans="2:16">
      <c r="B32" s="854" t="s">
        <v>1384</v>
      </c>
      <c r="C32" s="855"/>
      <c r="D32" s="855"/>
      <c r="E32" s="855"/>
      <c r="F32" s="855"/>
      <c r="G32" s="855"/>
      <c r="H32" s="855"/>
      <c r="I32" s="855"/>
      <c r="J32" s="855"/>
      <c r="K32" s="856"/>
    </row>
    <row r="33" spans="2:16" s="577" customFormat="1" ht="45" customHeight="1">
      <c r="B33" s="578" t="s">
        <v>1385</v>
      </c>
      <c r="C33" s="578" t="s">
        <v>1386</v>
      </c>
      <c r="D33" s="579"/>
      <c r="E33" s="579" t="s">
        <v>1621</v>
      </c>
      <c r="F33" s="579"/>
      <c r="G33" s="579"/>
      <c r="H33" s="579"/>
      <c r="I33" s="579"/>
      <c r="J33" s="579"/>
      <c r="K33" s="579"/>
      <c r="M33" s="579">
        <v>64</v>
      </c>
      <c r="N33" s="579">
        <v>125</v>
      </c>
      <c r="O33" s="579">
        <v>61</v>
      </c>
      <c r="P33" s="579">
        <v>100</v>
      </c>
    </row>
    <row r="34" spans="2:16" s="577" customFormat="1" ht="45" customHeight="1">
      <c r="B34" s="578" t="s">
        <v>1387</v>
      </c>
      <c r="C34" s="578" t="s">
        <v>1388</v>
      </c>
      <c r="D34" s="579"/>
      <c r="E34" s="579"/>
      <c r="F34" s="579"/>
      <c r="G34" s="579"/>
      <c r="H34" s="579"/>
      <c r="I34" s="579"/>
      <c r="J34" s="579"/>
      <c r="K34" s="579"/>
      <c r="M34" s="579"/>
      <c r="N34" s="579"/>
      <c r="O34" s="579"/>
      <c r="P34" s="579"/>
    </row>
    <row r="36" spans="2:16" ht="24.75" customHeight="1">
      <c r="B36" s="850" t="s">
        <v>1389</v>
      </c>
      <c r="C36" s="850"/>
      <c r="D36" s="850"/>
      <c r="E36" s="850"/>
      <c r="F36" s="850"/>
      <c r="G36" s="850"/>
      <c r="H36" s="850"/>
      <c r="I36" s="850"/>
      <c r="J36" s="850"/>
      <c r="K36" s="850"/>
    </row>
  </sheetData>
  <mergeCells count="6">
    <mergeCell ref="B36:K36"/>
    <mergeCell ref="B1:B2"/>
    <mergeCell ref="D1:E1"/>
    <mergeCell ref="F1:K1"/>
    <mergeCell ref="D3:K3"/>
    <mergeCell ref="B32:K32"/>
  </mergeCells>
  <dataValidations count="3">
    <dataValidation allowBlank="1" showErrorMessage="1" sqref="C1" xr:uid="{00000000-0002-0000-0900-000000000000}"/>
    <dataValidation type="list" allowBlank="1" showInputMessage="1" showErrorMessage="1" sqref="B12:B17" xr:uid="{00000000-0002-0000-0900-000001000000}">
      <formula1>"Paediatric, Neonatal, Maternity Beds, Cardiac, Burns, Other"</formula1>
    </dataValidation>
    <dataValidation type="whole" allowBlank="1" showInputMessage="1" showErrorMessage="1" sqref="P5:P10 P12:P17 P33" xr:uid="{078BD0B7-C791-4C3E-9550-D3F999D1D25A}">
      <formula1>0</formula1>
      <formula2>100000000</formula2>
    </dataValidation>
  </dataValidations>
  <pageMargins left="0.70866141732283472" right="0.70866141732283472" top="0.74803149606299213" bottom="0.74803149606299213" header="0.31496062992125984" footer="0.31496062992125984"/>
  <pageSetup paperSize="9" scale="25"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N117"/>
  <sheetViews>
    <sheetView showGridLines="0" zoomScaleNormal="100" workbookViewId="0">
      <pane xSplit="2" ySplit="2" topLeftCell="C3" activePane="bottomRight" state="frozenSplit"/>
      <selection activeCell="S193" sqref="S193"/>
      <selection pane="topRight" activeCell="S193" sqref="S193"/>
      <selection pane="bottomLeft" activeCell="S193" sqref="S193"/>
      <selection pane="bottomRight" activeCell="L19" sqref="L19"/>
    </sheetView>
  </sheetViews>
  <sheetFormatPr defaultRowHeight="13"/>
  <cols>
    <col min="1" max="1" width="2.84375" style="616" customWidth="1"/>
    <col min="2" max="2" width="51.84375" style="616" customWidth="1"/>
    <col min="3" max="6" width="11.23046875" style="616" customWidth="1"/>
    <col min="7" max="8" width="11.3046875" style="6" customWidth="1"/>
    <col min="9" max="9" width="11.4609375" style="616" customWidth="1"/>
    <col min="10" max="11" width="11.3046875" style="616" customWidth="1"/>
    <col min="12" max="12" width="28.4609375" style="616" bestFit="1" customWidth="1"/>
    <col min="13" max="28" width="11.3046875" style="616" customWidth="1"/>
    <col min="29" max="208" width="9.23046875" style="616"/>
    <col min="209" max="209" width="49.07421875" style="616" bestFit="1" customWidth="1"/>
    <col min="210" max="221" width="9.23046875" style="616"/>
    <col min="222" max="222" width="8.4609375" style="616" customWidth="1"/>
    <col min="223" max="223" width="5.4609375" style="616" customWidth="1"/>
    <col min="224" max="225" width="10.53515625" style="616" customWidth="1"/>
    <col min="226" max="464" width="9.23046875" style="616"/>
    <col min="465" max="465" width="49.07421875" style="616" bestFit="1" customWidth="1"/>
    <col min="466" max="477" width="9.23046875" style="616"/>
    <col min="478" max="478" width="8.4609375" style="616" customWidth="1"/>
    <col min="479" max="479" width="5.4609375" style="616" customWidth="1"/>
    <col min="480" max="481" width="10.53515625" style="616" customWidth="1"/>
    <col min="482" max="720" width="9.23046875" style="616"/>
    <col min="721" max="721" width="49.07421875" style="616" bestFit="1" customWidth="1"/>
    <col min="722" max="733" width="9.23046875" style="616"/>
    <col min="734" max="734" width="8.4609375" style="616" customWidth="1"/>
    <col min="735" max="735" width="5.4609375" style="616" customWidth="1"/>
    <col min="736" max="737" width="10.53515625" style="616" customWidth="1"/>
    <col min="738" max="976" width="9.23046875" style="616"/>
    <col min="977" max="977" width="49.07421875" style="616" bestFit="1" customWidth="1"/>
    <col min="978" max="989" width="9.23046875" style="616"/>
    <col min="990" max="990" width="8.4609375" style="616" customWidth="1"/>
    <col min="991" max="991" width="5.4609375" style="616" customWidth="1"/>
    <col min="992" max="993" width="10.53515625" style="616" customWidth="1"/>
    <col min="994" max="1232" width="9.23046875" style="616"/>
    <col min="1233" max="1233" width="49.07421875" style="616" bestFit="1" customWidth="1"/>
    <col min="1234" max="1245" width="9.23046875" style="616"/>
    <col min="1246" max="1246" width="8.4609375" style="616" customWidth="1"/>
    <col min="1247" max="1247" width="5.4609375" style="616" customWidth="1"/>
    <col min="1248" max="1249" width="10.53515625" style="616" customWidth="1"/>
    <col min="1250" max="1488" width="9.23046875" style="616"/>
    <col min="1489" max="1489" width="49.07421875" style="616" bestFit="1" customWidth="1"/>
    <col min="1490" max="1501" width="9.23046875" style="616"/>
    <col min="1502" max="1502" width="8.4609375" style="616" customWidth="1"/>
    <col min="1503" max="1503" width="5.4609375" style="616" customWidth="1"/>
    <col min="1504" max="1505" width="10.53515625" style="616" customWidth="1"/>
    <col min="1506" max="1744" width="9.23046875" style="616"/>
    <col min="1745" max="1745" width="49.07421875" style="616" bestFit="1" customWidth="1"/>
    <col min="1746" max="1757" width="9.23046875" style="616"/>
    <col min="1758" max="1758" width="8.4609375" style="616" customWidth="1"/>
    <col min="1759" max="1759" width="5.4609375" style="616" customWidth="1"/>
    <col min="1760" max="1761" width="10.53515625" style="616" customWidth="1"/>
    <col min="1762" max="2000" width="9.23046875" style="616"/>
    <col min="2001" max="2001" width="49.07421875" style="616" bestFit="1" customWidth="1"/>
    <col min="2002" max="2013" width="9.23046875" style="616"/>
    <col min="2014" max="2014" width="8.4609375" style="616" customWidth="1"/>
    <col min="2015" max="2015" width="5.4609375" style="616" customWidth="1"/>
    <col min="2016" max="2017" width="10.53515625" style="616" customWidth="1"/>
    <col min="2018" max="2256" width="9.23046875" style="616"/>
    <col min="2257" max="2257" width="49.07421875" style="616" bestFit="1" customWidth="1"/>
    <col min="2258" max="2269" width="9.23046875" style="616"/>
    <col min="2270" max="2270" width="8.4609375" style="616" customWidth="1"/>
    <col min="2271" max="2271" width="5.4609375" style="616" customWidth="1"/>
    <col min="2272" max="2273" width="10.53515625" style="616" customWidth="1"/>
    <col min="2274" max="2512" width="9.23046875" style="616"/>
    <col min="2513" max="2513" width="49.07421875" style="616" bestFit="1" customWidth="1"/>
    <col min="2514" max="2525" width="9.23046875" style="616"/>
    <col min="2526" max="2526" width="8.4609375" style="616" customWidth="1"/>
    <col min="2527" max="2527" width="5.4609375" style="616" customWidth="1"/>
    <col min="2528" max="2529" width="10.53515625" style="616" customWidth="1"/>
    <col min="2530" max="2768" width="9.23046875" style="616"/>
    <col min="2769" max="2769" width="49.07421875" style="616" bestFit="1" customWidth="1"/>
    <col min="2770" max="2781" width="9.23046875" style="616"/>
    <col min="2782" max="2782" width="8.4609375" style="616" customWidth="1"/>
    <col min="2783" max="2783" width="5.4609375" style="616" customWidth="1"/>
    <col min="2784" max="2785" width="10.53515625" style="616" customWidth="1"/>
    <col min="2786" max="3024" width="9.23046875" style="616"/>
    <col min="3025" max="3025" width="49.07421875" style="616" bestFit="1" customWidth="1"/>
    <col min="3026" max="3037" width="9.23046875" style="616"/>
    <col min="3038" max="3038" width="8.4609375" style="616" customWidth="1"/>
    <col min="3039" max="3039" width="5.4609375" style="616" customWidth="1"/>
    <col min="3040" max="3041" width="10.53515625" style="616" customWidth="1"/>
    <col min="3042" max="3280" width="9.23046875" style="616"/>
    <col min="3281" max="3281" width="49.07421875" style="616" bestFit="1" customWidth="1"/>
    <col min="3282" max="3293" width="9.23046875" style="616"/>
    <col min="3294" max="3294" width="8.4609375" style="616" customWidth="1"/>
    <col min="3295" max="3295" width="5.4609375" style="616" customWidth="1"/>
    <col min="3296" max="3297" width="10.53515625" style="616" customWidth="1"/>
    <col min="3298" max="3536" width="9.23046875" style="616"/>
    <col min="3537" max="3537" width="49.07421875" style="616" bestFit="1" customWidth="1"/>
    <col min="3538" max="3549" width="9.23046875" style="616"/>
    <col min="3550" max="3550" width="8.4609375" style="616" customWidth="1"/>
    <col min="3551" max="3551" width="5.4609375" style="616" customWidth="1"/>
    <col min="3552" max="3553" width="10.53515625" style="616" customWidth="1"/>
    <col min="3554" max="3792" width="9.23046875" style="616"/>
    <col min="3793" max="3793" width="49.07421875" style="616" bestFit="1" customWidth="1"/>
    <col min="3794" max="3805" width="9.23046875" style="616"/>
    <col min="3806" max="3806" width="8.4609375" style="616" customWidth="1"/>
    <col min="3807" max="3807" width="5.4609375" style="616" customWidth="1"/>
    <col min="3808" max="3809" width="10.53515625" style="616" customWidth="1"/>
    <col min="3810" max="4048" width="9.23046875" style="616"/>
    <col min="4049" max="4049" width="49.07421875" style="616" bestFit="1" customWidth="1"/>
    <col min="4050" max="4061" width="9.23046875" style="616"/>
    <col min="4062" max="4062" width="8.4609375" style="616" customWidth="1"/>
    <col min="4063" max="4063" width="5.4609375" style="616" customWidth="1"/>
    <col min="4064" max="4065" width="10.53515625" style="616" customWidth="1"/>
    <col min="4066" max="4304" width="9.23046875" style="616"/>
    <col min="4305" max="4305" width="49.07421875" style="616" bestFit="1" customWidth="1"/>
    <col min="4306" max="4317" width="9.23046875" style="616"/>
    <col min="4318" max="4318" width="8.4609375" style="616" customWidth="1"/>
    <col min="4319" max="4319" width="5.4609375" style="616" customWidth="1"/>
    <col min="4320" max="4321" width="10.53515625" style="616" customWidth="1"/>
    <col min="4322" max="4560" width="9.23046875" style="616"/>
    <col min="4561" max="4561" width="49.07421875" style="616" bestFit="1" customWidth="1"/>
    <col min="4562" max="4573" width="9.23046875" style="616"/>
    <col min="4574" max="4574" width="8.4609375" style="616" customWidth="1"/>
    <col min="4575" max="4575" width="5.4609375" style="616" customWidth="1"/>
    <col min="4576" max="4577" width="10.53515625" style="616" customWidth="1"/>
    <col min="4578" max="4816" width="9.23046875" style="616"/>
    <col min="4817" max="4817" width="49.07421875" style="616" bestFit="1" customWidth="1"/>
    <col min="4818" max="4829" width="9.23046875" style="616"/>
    <col min="4830" max="4830" width="8.4609375" style="616" customWidth="1"/>
    <col min="4831" max="4831" width="5.4609375" style="616" customWidth="1"/>
    <col min="4832" max="4833" width="10.53515625" style="616" customWidth="1"/>
    <col min="4834" max="5072" width="9.23046875" style="616"/>
    <col min="5073" max="5073" width="49.07421875" style="616" bestFit="1" customWidth="1"/>
    <col min="5074" max="5085" width="9.23046875" style="616"/>
    <col min="5086" max="5086" width="8.4609375" style="616" customWidth="1"/>
    <col min="5087" max="5087" width="5.4609375" style="616" customWidth="1"/>
    <col min="5088" max="5089" width="10.53515625" style="616" customWidth="1"/>
    <col min="5090" max="5328" width="9.23046875" style="616"/>
    <col min="5329" max="5329" width="49.07421875" style="616" bestFit="1" customWidth="1"/>
    <col min="5330" max="5341" width="9.23046875" style="616"/>
    <col min="5342" max="5342" width="8.4609375" style="616" customWidth="1"/>
    <col min="5343" max="5343" width="5.4609375" style="616" customWidth="1"/>
    <col min="5344" max="5345" width="10.53515625" style="616" customWidth="1"/>
    <col min="5346" max="5584" width="9.23046875" style="616"/>
    <col min="5585" max="5585" width="49.07421875" style="616" bestFit="1" customWidth="1"/>
    <col min="5586" max="5597" width="9.23046875" style="616"/>
    <col min="5598" max="5598" width="8.4609375" style="616" customWidth="1"/>
    <col min="5599" max="5599" width="5.4609375" style="616" customWidth="1"/>
    <col min="5600" max="5601" width="10.53515625" style="616" customWidth="1"/>
    <col min="5602" max="5840" width="9.23046875" style="616"/>
    <col min="5841" max="5841" width="49.07421875" style="616" bestFit="1" customWidth="1"/>
    <col min="5842" max="5853" width="9.23046875" style="616"/>
    <col min="5854" max="5854" width="8.4609375" style="616" customWidth="1"/>
    <col min="5855" max="5855" width="5.4609375" style="616" customWidth="1"/>
    <col min="5856" max="5857" width="10.53515625" style="616" customWidth="1"/>
    <col min="5858" max="6096" width="9.23046875" style="616"/>
    <col min="6097" max="6097" width="49.07421875" style="616" bestFit="1" customWidth="1"/>
    <col min="6098" max="6109" width="9.23046875" style="616"/>
    <col min="6110" max="6110" width="8.4609375" style="616" customWidth="1"/>
    <col min="6111" max="6111" width="5.4609375" style="616" customWidth="1"/>
    <col min="6112" max="6113" width="10.53515625" style="616" customWidth="1"/>
    <col min="6114" max="6352" width="9.23046875" style="616"/>
    <col min="6353" max="6353" width="49.07421875" style="616" bestFit="1" customWidth="1"/>
    <col min="6354" max="6365" width="9.23046875" style="616"/>
    <col min="6366" max="6366" width="8.4609375" style="616" customWidth="1"/>
    <col min="6367" max="6367" width="5.4609375" style="616" customWidth="1"/>
    <col min="6368" max="6369" width="10.53515625" style="616" customWidth="1"/>
    <col min="6370" max="6608" width="9.23046875" style="616"/>
    <col min="6609" max="6609" width="49.07421875" style="616" bestFit="1" customWidth="1"/>
    <col min="6610" max="6621" width="9.23046875" style="616"/>
    <col min="6622" max="6622" width="8.4609375" style="616" customWidth="1"/>
    <col min="6623" max="6623" width="5.4609375" style="616" customWidth="1"/>
    <col min="6624" max="6625" width="10.53515625" style="616" customWidth="1"/>
    <col min="6626" max="6864" width="9.23046875" style="616"/>
    <col min="6865" max="6865" width="49.07421875" style="616" bestFit="1" customWidth="1"/>
    <col min="6866" max="6877" width="9.23046875" style="616"/>
    <col min="6878" max="6878" width="8.4609375" style="616" customWidth="1"/>
    <col min="6879" max="6879" width="5.4609375" style="616" customWidth="1"/>
    <col min="6880" max="6881" width="10.53515625" style="616" customWidth="1"/>
    <col min="6882" max="7120" width="9.23046875" style="616"/>
    <col min="7121" max="7121" width="49.07421875" style="616" bestFit="1" customWidth="1"/>
    <col min="7122" max="7133" width="9.23046875" style="616"/>
    <col min="7134" max="7134" width="8.4609375" style="616" customWidth="1"/>
    <col min="7135" max="7135" width="5.4609375" style="616" customWidth="1"/>
    <col min="7136" max="7137" width="10.53515625" style="616" customWidth="1"/>
    <col min="7138" max="7376" width="9.23046875" style="616"/>
    <col min="7377" max="7377" width="49.07421875" style="616" bestFit="1" customWidth="1"/>
    <col min="7378" max="7389" width="9.23046875" style="616"/>
    <col min="7390" max="7390" width="8.4609375" style="616" customWidth="1"/>
    <col min="7391" max="7391" width="5.4609375" style="616" customWidth="1"/>
    <col min="7392" max="7393" width="10.53515625" style="616" customWidth="1"/>
    <col min="7394" max="7632" width="9.23046875" style="616"/>
    <col min="7633" max="7633" width="49.07421875" style="616" bestFit="1" customWidth="1"/>
    <col min="7634" max="7645" width="9.23046875" style="616"/>
    <col min="7646" max="7646" width="8.4609375" style="616" customWidth="1"/>
    <col min="7647" max="7647" width="5.4609375" style="616" customWidth="1"/>
    <col min="7648" max="7649" width="10.53515625" style="616" customWidth="1"/>
    <col min="7650" max="7888" width="9.23046875" style="616"/>
    <col min="7889" max="7889" width="49.07421875" style="616" bestFit="1" customWidth="1"/>
    <col min="7890" max="7901" width="9.23046875" style="616"/>
    <col min="7902" max="7902" width="8.4609375" style="616" customWidth="1"/>
    <col min="7903" max="7903" width="5.4609375" style="616" customWidth="1"/>
    <col min="7904" max="7905" width="10.53515625" style="616" customWidth="1"/>
    <col min="7906" max="8144" width="9.23046875" style="616"/>
    <col min="8145" max="8145" width="49.07421875" style="616" bestFit="1" customWidth="1"/>
    <col min="8146" max="8157" width="9.23046875" style="616"/>
    <col min="8158" max="8158" width="8.4609375" style="616" customWidth="1"/>
    <col min="8159" max="8159" width="5.4609375" style="616" customWidth="1"/>
    <col min="8160" max="8161" width="10.53515625" style="616" customWidth="1"/>
    <col min="8162" max="8400" width="9.23046875" style="616"/>
    <col min="8401" max="8401" width="49.07421875" style="616" bestFit="1" customWidth="1"/>
    <col min="8402" max="8413" width="9.23046875" style="616"/>
    <col min="8414" max="8414" width="8.4609375" style="616" customWidth="1"/>
    <col min="8415" max="8415" width="5.4609375" style="616" customWidth="1"/>
    <col min="8416" max="8417" width="10.53515625" style="616" customWidth="1"/>
    <col min="8418" max="8656" width="9.23046875" style="616"/>
    <col min="8657" max="8657" width="49.07421875" style="616" bestFit="1" customWidth="1"/>
    <col min="8658" max="8669" width="9.23046875" style="616"/>
    <col min="8670" max="8670" width="8.4609375" style="616" customWidth="1"/>
    <col min="8671" max="8671" width="5.4609375" style="616" customWidth="1"/>
    <col min="8672" max="8673" width="10.53515625" style="616" customWidth="1"/>
    <col min="8674" max="8912" width="9.23046875" style="616"/>
    <col min="8913" max="8913" width="49.07421875" style="616" bestFit="1" customWidth="1"/>
    <col min="8914" max="8925" width="9.23046875" style="616"/>
    <col min="8926" max="8926" width="8.4609375" style="616" customWidth="1"/>
    <col min="8927" max="8927" width="5.4609375" style="616" customWidth="1"/>
    <col min="8928" max="8929" width="10.53515625" style="616" customWidth="1"/>
    <col min="8930" max="9168" width="9.23046875" style="616"/>
    <col min="9169" max="9169" width="49.07421875" style="616" bestFit="1" customWidth="1"/>
    <col min="9170" max="9181" width="9.23046875" style="616"/>
    <col min="9182" max="9182" width="8.4609375" style="616" customWidth="1"/>
    <col min="9183" max="9183" width="5.4609375" style="616" customWidth="1"/>
    <col min="9184" max="9185" width="10.53515625" style="616" customWidth="1"/>
    <col min="9186" max="9424" width="9.23046875" style="616"/>
    <col min="9425" max="9425" width="49.07421875" style="616" bestFit="1" customWidth="1"/>
    <col min="9426" max="9437" width="9.23046875" style="616"/>
    <col min="9438" max="9438" width="8.4609375" style="616" customWidth="1"/>
    <col min="9439" max="9439" width="5.4609375" style="616" customWidth="1"/>
    <col min="9440" max="9441" width="10.53515625" style="616" customWidth="1"/>
    <col min="9442" max="9680" width="9.23046875" style="616"/>
    <col min="9681" max="9681" width="49.07421875" style="616" bestFit="1" customWidth="1"/>
    <col min="9682" max="9693" width="9.23046875" style="616"/>
    <col min="9694" max="9694" width="8.4609375" style="616" customWidth="1"/>
    <col min="9695" max="9695" width="5.4609375" style="616" customWidth="1"/>
    <col min="9696" max="9697" width="10.53515625" style="616" customWidth="1"/>
    <col min="9698" max="9936" width="9.23046875" style="616"/>
    <col min="9937" max="9937" width="49.07421875" style="616" bestFit="1" customWidth="1"/>
    <col min="9938" max="9949" width="9.23046875" style="616"/>
    <col min="9950" max="9950" width="8.4609375" style="616" customWidth="1"/>
    <col min="9951" max="9951" width="5.4609375" style="616" customWidth="1"/>
    <col min="9952" max="9953" width="10.53515625" style="616" customWidth="1"/>
    <col min="9954" max="10192" width="9.23046875" style="616"/>
    <col min="10193" max="10193" width="49.07421875" style="616" bestFit="1" customWidth="1"/>
    <col min="10194" max="10205" width="9.23046875" style="616"/>
    <col min="10206" max="10206" width="8.4609375" style="616" customWidth="1"/>
    <col min="10207" max="10207" width="5.4609375" style="616" customWidth="1"/>
    <col min="10208" max="10209" width="10.53515625" style="616" customWidth="1"/>
    <col min="10210" max="10448" width="9.23046875" style="616"/>
    <col min="10449" max="10449" width="49.07421875" style="616" bestFit="1" customWidth="1"/>
    <col min="10450" max="10461" width="9.23046875" style="616"/>
    <col min="10462" max="10462" width="8.4609375" style="616" customWidth="1"/>
    <col min="10463" max="10463" width="5.4609375" style="616" customWidth="1"/>
    <col min="10464" max="10465" width="10.53515625" style="616" customWidth="1"/>
    <col min="10466" max="10704" width="9.23046875" style="616"/>
    <col min="10705" max="10705" width="49.07421875" style="616" bestFit="1" customWidth="1"/>
    <col min="10706" max="10717" width="9.23046875" style="616"/>
    <col min="10718" max="10718" width="8.4609375" style="616" customWidth="1"/>
    <col min="10719" max="10719" width="5.4609375" style="616" customWidth="1"/>
    <col min="10720" max="10721" width="10.53515625" style="616" customWidth="1"/>
    <col min="10722" max="10960" width="9.23046875" style="616"/>
    <col min="10961" max="10961" width="49.07421875" style="616" bestFit="1" customWidth="1"/>
    <col min="10962" max="10973" width="9.23046875" style="616"/>
    <col min="10974" max="10974" width="8.4609375" style="616" customWidth="1"/>
    <col min="10975" max="10975" width="5.4609375" style="616" customWidth="1"/>
    <col min="10976" max="10977" width="10.53515625" style="616" customWidth="1"/>
    <col min="10978" max="11216" width="9.23046875" style="616"/>
    <col min="11217" max="11217" width="49.07421875" style="616" bestFit="1" customWidth="1"/>
    <col min="11218" max="11229" width="9.23046875" style="616"/>
    <col min="11230" max="11230" width="8.4609375" style="616" customWidth="1"/>
    <col min="11231" max="11231" width="5.4609375" style="616" customWidth="1"/>
    <col min="11232" max="11233" width="10.53515625" style="616" customWidth="1"/>
    <col min="11234" max="11472" width="9.23046875" style="616"/>
    <col min="11473" max="11473" width="49.07421875" style="616" bestFit="1" customWidth="1"/>
    <col min="11474" max="11485" width="9.23046875" style="616"/>
    <col min="11486" max="11486" width="8.4609375" style="616" customWidth="1"/>
    <col min="11487" max="11487" width="5.4609375" style="616" customWidth="1"/>
    <col min="11488" max="11489" width="10.53515625" style="616" customWidth="1"/>
    <col min="11490" max="11728" width="9.23046875" style="616"/>
    <col min="11729" max="11729" width="49.07421875" style="616" bestFit="1" customWidth="1"/>
    <col min="11730" max="11741" width="9.23046875" style="616"/>
    <col min="11742" max="11742" width="8.4609375" style="616" customWidth="1"/>
    <col min="11743" max="11743" width="5.4609375" style="616" customWidth="1"/>
    <col min="11744" max="11745" width="10.53515625" style="616" customWidth="1"/>
    <col min="11746" max="11984" width="9.23046875" style="616"/>
    <col min="11985" max="11985" width="49.07421875" style="616" bestFit="1" customWidth="1"/>
    <col min="11986" max="11997" width="9.23046875" style="616"/>
    <col min="11998" max="11998" width="8.4609375" style="616" customWidth="1"/>
    <col min="11999" max="11999" width="5.4609375" style="616" customWidth="1"/>
    <col min="12000" max="12001" width="10.53515625" style="616" customWidth="1"/>
    <col min="12002" max="12240" width="9.23046875" style="616"/>
    <col min="12241" max="12241" width="49.07421875" style="616" bestFit="1" customWidth="1"/>
    <col min="12242" max="12253" width="9.23046875" style="616"/>
    <col min="12254" max="12254" width="8.4609375" style="616" customWidth="1"/>
    <col min="12255" max="12255" width="5.4609375" style="616" customWidth="1"/>
    <col min="12256" max="12257" width="10.53515625" style="616" customWidth="1"/>
    <col min="12258" max="12496" width="9.23046875" style="616"/>
    <col min="12497" max="12497" width="49.07421875" style="616" bestFit="1" customWidth="1"/>
    <col min="12498" max="12509" width="9.23046875" style="616"/>
    <col min="12510" max="12510" width="8.4609375" style="616" customWidth="1"/>
    <col min="12511" max="12511" width="5.4609375" style="616" customWidth="1"/>
    <col min="12512" max="12513" width="10.53515625" style="616" customWidth="1"/>
    <col min="12514" max="12752" width="9.23046875" style="616"/>
    <col min="12753" max="12753" width="49.07421875" style="616" bestFit="1" customWidth="1"/>
    <col min="12754" max="12765" width="9.23046875" style="616"/>
    <col min="12766" max="12766" width="8.4609375" style="616" customWidth="1"/>
    <col min="12767" max="12767" width="5.4609375" style="616" customWidth="1"/>
    <col min="12768" max="12769" width="10.53515625" style="616" customWidth="1"/>
    <col min="12770" max="13008" width="9.23046875" style="616"/>
    <col min="13009" max="13009" width="49.07421875" style="616" bestFit="1" customWidth="1"/>
    <col min="13010" max="13021" width="9.23046875" style="616"/>
    <col min="13022" max="13022" width="8.4609375" style="616" customWidth="1"/>
    <col min="13023" max="13023" width="5.4609375" style="616" customWidth="1"/>
    <col min="13024" max="13025" width="10.53515625" style="616" customWidth="1"/>
    <col min="13026" max="13264" width="9.23046875" style="616"/>
    <col min="13265" max="13265" width="49.07421875" style="616" bestFit="1" customWidth="1"/>
    <col min="13266" max="13277" width="9.23046875" style="616"/>
    <col min="13278" max="13278" width="8.4609375" style="616" customWidth="1"/>
    <col min="13279" max="13279" width="5.4609375" style="616" customWidth="1"/>
    <col min="13280" max="13281" width="10.53515625" style="616" customWidth="1"/>
    <col min="13282" max="13520" width="9.23046875" style="616"/>
    <col min="13521" max="13521" width="49.07421875" style="616" bestFit="1" customWidth="1"/>
    <col min="13522" max="13533" width="9.23046875" style="616"/>
    <col min="13534" max="13534" width="8.4609375" style="616" customWidth="1"/>
    <col min="13535" max="13535" width="5.4609375" style="616" customWidth="1"/>
    <col min="13536" max="13537" width="10.53515625" style="616" customWidth="1"/>
    <col min="13538" max="13776" width="9.23046875" style="616"/>
    <col min="13777" max="13777" width="49.07421875" style="616" bestFit="1" customWidth="1"/>
    <col min="13778" max="13789" width="9.23046875" style="616"/>
    <col min="13790" max="13790" width="8.4609375" style="616" customWidth="1"/>
    <col min="13791" max="13791" width="5.4609375" style="616" customWidth="1"/>
    <col min="13792" max="13793" width="10.53515625" style="616" customWidth="1"/>
    <col min="13794" max="14032" width="9.23046875" style="616"/>
    <col min="14033" max="14033" width="49.07421875" style="616" bestFit="1" customWidth="1"/>
    <col min="14034" max="14045" width="9.23046875" style="616"/>
    <col min="14046" max="14046" width="8.4609375" style="616" customWidth="1"/>
    <col min="14047" max="14047" width="5.4609375" style="616" customWidth="1"/>
    <col min="14048" max="14049" width="10.53515625" style="616" customWidth="1"/>
    <col min="14050" max="14288" width="9.23046875" style="616"/>
    <col min="14289" max="14289" width="49.07421875" style="616" bestFit="1" customWidth="1"/>
    <col min="14290" max="14301" width="9.23046875" style="616"/>
    <col min="14302" max="14302" width="8.4609375" style="616" customWidth="1"/>
    <col min="14303" max="14303" width="5.4609375" style="616" customWidth="1"/>
    <col min="14304" max="14305" width="10.53515625" style="616" customWidth="1"/>
    <col min="14306" max="14544" width="9.23046875" style="616"/>
    <col min="14545" max="14545" width="49.07421875" style="616" bestFit="1" customWidth="1"/>
    <col min="14546" max="14557" width="9.23046875" style="616"/>
    <col min="14558" max="14558" width="8.4609375" style="616" customWidth="1"/>
    <col min="14559" max="14559" width="5.4609375" style="616" customWidth="1"/>
    <col min="14560" max="14561" width="10.53515625" style="616" customWidth="1"/>
    <col min="14562" max="14800" width="9.23046875" style="616"/>
    <col min="14801" max="14801" width="49.07421875" style="616" bestFit="1" customWidth="1"/>
    <col min="14802" max="14813" width="9.23046875" style="616"/>
    <col min="14814" max="14814" width="8.4609375" style="616" customWidth="1"/>
    <col min="14815" max="14815" width="5.4609375" style="616" customWidth="1"/>
    <col min="14816" max="14817" width="10.53515625" style="616" customWidth="1"/>
    <col min="14818" max="15056" width="9.23046875" style="616"/>
    <col min="15057" max="15057" width="49.07421875" style="616" bestFit="1" customWidth="1"/>
    <col min="15058" max="15069" width="9.23046875" style="616"/>
    <col min="15070" max="15070" width="8.4609375" style="616" customWidth="1"/>
    <col min="15071" max="15071" width="5.4609375" style="616" customWidth="1"/>
    <col min="15072" max="15073" width="10.53515625" style="616" customWidth="1"/>
    <col min="15074" max="15312" width="9.23046875" style="616"/>
    <col min="15313" max="15313" width="49.07421875" style="616" bestFit="1" customWidth="1"/>
    <col min="15314" max="15325" width="9.23046875" style="616"/>
    <col min="15326" max="15326" width="8.4609375" style="616" customWidth="1"/>
    <col min="15327" max="15327" width="5.4609375" style="616" customWidth="1"/>
    <col min="15328" max="15329" width="10.53515625" style="616" customWidth="1"/>
    <col min="15330" max="15568" width="9.23046875" style="616"/>
    <col min="15569" max="15569" width="49.07421875" style="616" bestFit="1" customWidth="1"/>
    <col min="15570" max="15581" width="9.23046875" style="616"/>
    <col min="15582" max="15582" width="8.4609375" style="616" customWidth="1"/>
    <col min="15583" max="15583" width="5.4609375" style="616" customWidth="1"/>
    <col min="15584" max="15585" width="10.53515625" style="616" customWidth="1"/>
    <col min="15586" max="15824" width="9.23046875" style="616"/>
    <col min="15825" max="15825" width="49.07421875" style="616" bestFit="1" customWidth="1"/>
    <col min="15826" max="15837" width="9.23046875" style="616"/>
    <col min="15838" max="15838" width="8.4609375" style="616" customWidth="1"/>
    <col min="15839" max="15839" width="5.4609375" style="616" customWidth="1"/>
    <col min="15840" max="15841" width="10.53515625" style="616" customWidth="1"/>
    <col min="15842" max="16080" width="9.23046875" style="616"/>
    <col min="16081" max="16081" width="49.07421875" style="616" bestFit="1" customWidth="1"/>
    <col min="16082" max="16093" width="9.23046875" style="616"/>
    <col min="16094" max="16094" width="8.4609375" style="616" customWidth="1"/>
    <col min="16095" max="16095" width="5.4609375" style="616" customWidth="1"/>
    <col min="16096" max="16097" width="10.53515625" style="616" customWidth="1"/>
    <col min="16098" max="16384" width="9.23046875" style="616"/>
  </cols>
  <sheetData>
    <row r="1" spans="1:11" s="6" customFormat="1" ht="15" customHeight="1">
      <c r="A1" s="2"/>
      <c r="B1" s="86"/>
      <c r="C1" s="3" t="s">
        <v>1390</v>
      </c>
      <c r="D1" s="3"/>
      <c r="E1" s="593"/>
      <c r="F1" s="593"/>
      <c r="G1" s="783"/>
      <c r="H1" s="783"/>
      <c r="I1" s="593"/>
      <c r="J1" s="593"/>
    </row>
    <row r="2" spans="1:11" s="6" customFormat="1" ht="31">
      <c r="A2" s="2"/>
      <c r="B2" s="594"/>
      <c r="C2" s="78" t="s">
        <v>269</v>
      </c>
      <c r="D2" s="78" t="s">
        <v>1628</v>
      </c>
      <c r="E2" s="595" t="s">
        <v>1624</v>
      </c>
      <c r="F2" s="778" t="s">
        <v>1625</v>
      </c>
      <c r="G2" s="778" t="s">
        <v>1626</v>
      </c>
      <c r="H2" s="778" t="s">
        <v>1629</v>
      </c>
      <c r="I2" s="78" t="s">
        <v>264</v>
      </c>
      <c r="J2" s="78" t="s">
        <v>265</v>
      </c>
    </row>
    <row r="3" spans="1:11" s="6" customFormat="1"/>
    <row r="4" spans="1:11" s="6" customFormat="1" ht="23.5">
      <c r="A4" s="2"/>
      <c r="B4" s="86" t="s">
        <v>1391</v>
      </c>
      <c r="C4" s="78"/>
      <c r="D4" s="78"/>
      <c r="E4" s="78"/>
      <c r="F4" s="78"/>
      <c r="G4" s="784"/>
      <c r="H4" s="784"/>
      <c r="I4" s="78"/>
      <c r="J4" s="78"/>
    </row>
    <row r="5" spans="1:11" s="6" customFormat="1">
      <c r="A5" s="2"/>
      <c r="B5" s="596" t="s">
        <v>1392</v>
      </c>
      <c r="C5" s="597"/>
      <c r="D5" s="597"/>
      <c r="E5" s="597"/>
      <c r="F5" s="597"/>
      <c r="G5" s="597"/>
      <c r="H5" s="597"/>
      <c r="I5" s="597"/>
      <c r="J5" s="598"/>
    </row>
    <row r="6" spans="1:11" s="6" customFormat="1">
      <c r="A6" s="2"/>
      <c r="B6" s="599" t="s">
        <v>75</v>
      </c>
      <c r="C6" s="600">
        <v>2455.11</v>
      </c>
      <c r="D6" s="600">
        <v>2487</v>
      </c>
      <c r="E6" s="779">
        <v>2550.5</v>
      </c>
      <c r="F6" s="779">
        <v>2608.67</v>
      </c>
      <c r="G6" s="779">
        <v>2599.12</v>
      </c>
      <c r="H6" s="779">
        <v>2601.19</v>
      </c>
      <c r="I6" s="600"/>
      <c r="J6" s="600"/>
      <c r="K6" s="6" t="str">
        <f t="shared" ref="K6:K15" si="0">IF(COUNTA(C6:J6)&lt;&gt;COUNT(C6:J6),"Please remove any text entries, enter numeric values only","")</f>
        <v/>
      </c>
    </row>
    <row r="7" spans="1:11" s="6" customFormat="1">
      <c r="A7" s="2"/>
      <c r="B7" s="599" t="s">
        <v>78</v>
      </c>
      <c r="C7" s="600">
        <v>1261.1500000000001</v>
      </c>
      <c r="D7" s="600">
        <v>1317</v>
      </c>
      <c r="E7" s="779">
        <v>1327.45</v>
      </c>
      <c r="F7" s="779">
        <v>1245.8399999999999</v>
      </c>
      <c r="G7" s="779">
        <v>1253.97</v>
      </c>
      <c r="H7" s="779">
        <v>1262.58</v>
      </c>
      <c r="I7" s="600"/>
      <c r="J7" s="600"/>
      <c r="K7" s="6" t="str">
        <f t="shared" si="0"/>
        <v/>
      </c>
    </row>
    <row r="8" spans="1:11" s="6" customFormat="1">
      <c r="A8" s="2"/>
      <c r="B8" s="599" t="s">
        <v>77</v>
      </c>
      <c r="C8" s="600">
        <v>4041.68</v>
      </c>
      <c r="D8" s="600">
        <v>4104</v>
      </c>
      <c r="E8" s="779">
        <v>4177.3</v>
      </c>
      <c r="F8" s="779">
        <v>4202.63</v>
      </c>
      <c r="G8" s="779">
        <v>4190.43</v>
      </c>
      <c r="H8" s="779">
        <v>4197.25</v>
      </c>
      <c r="I8" s="600"/>
      <c r="J8" s="600"/>
      <c r="K8" s="6" t="str">
        <f t="shared" si="0"/>
        <v/>
      </c>
    </row>
    <row r="9" spans="1:11" s="6" customFormat="1">
      <c r="A9" s="2"/>
      <c r="B9" s="599" t="s">
        <v>74</v>
      </c>
      <c r="C9" s="600">
        <v>398.27</v>
      </c>
      <c r="D9" s="600">
        <v>400</v>
      </c>
      <c r="E9" s="779">
        <v>419.47</v>
      </c>
      <c r="F9" s="779">
        <v>445.67</v>
      </c>
      <c r="G9" s="779">
        <v>446.02</v>
      </c>
      <c r="H9" s="779">
        <v>453.04</v>
      </c>
      <c r="I9" s="600"/>
      <c r="J9" s="600"/>
      <c r="K9" s="6" t="str">
        <f t="shared" si="0"/>
        <v/>
      </c>
    </row>
    <row r="10" spans="1:11" s="6" customFormat="1">
      <c r="A10" s="2"/>
      <c r="B10" s="599" t="s">
        <v>71</v>
      </c>
      <c r="C10" s="600">
        <v>2700.12</v>
      </c>
      <c r="D10" s="600">
        <v>2648</v>
      </c>
      <c r="E10" s="779">
        <v>2806.04</v>
      </c>
      <c r="F10" s="779">
        <v>2814.14</v>
      </c>
      <c r="G10" s="779">
        <v>2834.48</v>
      </c>
      <c r="H10" s="779">
        <v>2832.75</v>
      </c>
      <c r="I10" s="600"/>
      <c r="J10" s="600"/>
      <c r="K10" s="6" t="str">
        <f t="shared" si="0"/>
        <v/>
      </c>
    </row>
    <row r="11" spans="1:11" s="6" customFormat="1">
      <c r="A11" s="2"/>
      <c r="B11" s="599" t="s">
        <v>69</v>
      </c>
      <c r="C11" s="600">
        <v>971.43</v>
      </c>
      <c r="D11" s="600">
        <v>974</v>
      </c>
      <c r="E11" s="779">
        <v>1011.62</v>
      </c>
      <c r="F11" s="779">
        <v>1025.1300000000001</v>
      </c>
      <c r="G11" s="779">
        <v>1026.17</v>
      </c>
      <c r="H11" s="779">
        <v>1027.83</v>
      </c>
      <c r="I11" s="600"/>
      <c r="J11" s="600"/>
      <c r="K11" s="6" t="str">
        <f t="shared" si="0"/>
        <v/>
      </c>
    </row>
    <row r="12" spans="1:11" s="6" customFormat="1">
      <c r="A12" s="2"/>
      <c r="B12" s="599" t="s">
        <v>72</v>
      </c>
      <c r="C12" s="600">
        <v>362.22</v>
      </c>
      <c r="D12" s="600">
        <v>357</v>
      </c>
      <c r="E12" s="779">
        <v>375.7</v>
      </c>
      <c r="F12" s="779">
        <v>377.44</v>
      </c>
      <c r="G12" s="779">
        <v>371.97</v>
      </c>
      <c r="H12" s="779">
        <v>371.97</v>
      </c>
      <c r="I12" s="600"/>
      <c r="J12" s="600"/>
      <c r="K12" s="6" t="str">
        <f t="shared" si="0"/>
        <v/>
      </c>
    </row>
    <row r="13" spans="1:11" s="6" customFormat="1">
      <c r="A13" s="2"/>
      <c r="B13" s="599" t="s">
        <v>76</v>
      </c>
      <c r="C13" s="600">
        <v>1122.03</v>
      </c>
      <c r="D13" s="600">
        <v>1083</v>
      </c>
      <c r="E13" s="779">
        <v>1093.8499999999999</v>
      </c>
      <c r="F13" s="779">
        <v>1083.25</v>
      </c>
      <c r="G13" s="779">
        <v>1077.73</v>
      </c>
      <c r="H13" s="779">
        <v>1079.03</v>
      </c>
      <c r="I13" s="600"/>
      <c r="J13" s="600"/>
      <c r="K13" s="6" t="str">
        <f t="shared" si="0"/>
        <v/>
      </c>
    </row>
    <row r="14" spans="1:11" s="6" customFormat="1">
      <c r="A14" s="2"/>
      <c r="B14" s="599" t="s">
        <v>73</v>
      </c>
      <c r="C14" s="600"/>
      <c r="D14" s="600"/>
      <c r="E14" s="600"/>
      <c r="F14" s="600">
        <v>0</v>
      </c>
      <c r="G14" s="600"/>
      <c r="H14" s="600"/>
      <c r="I14" s="600"/>
      <c r="J14" s="600"/>
      <c r="K14" s="6" t="str">
        <f t="shared" si="0"/>
        <v/>
      </c>
    </row>
    <row r="15" spans="1:11" s="6" customFormat="1" hidden="1">
      <c r="A15" s="2"/>
      <c r="B15" s="601" t="s">
        <v>1393</v>
      </c>
      <c r="C15" s="602"/>
      <c r="D15" s="602"/>
      <c r="E15" s="611"/>
      <c r="F15" s="611"/>
      <c r="G15" s="611"/>
      <c r="H15" s="611"/>
      <c r="I15" s="602"/>
      <c r="J15" s="602"/>
      <c r="K15" s="6" t="str">
        <f t="shared" si="0"/>
        <v/>
      </c>
    </row>
    <row r="16" spans="1:11" s="6" customFormat="1" hidden="1">
      <c r="A16" s="2"/>
      <c r="B16" s="601" t="s">
        <v>1394</v>
      </c>
      <c r="C16" s="602"/>
      <c r="D16" s="602"/>
      <c r="E16" s="611"/>
      <c r="F16" s="611"/>
      <c r="G16" s="611"/>
      <c r="H16" s="611"/>
      <c r="I16" s="602"/>
      <c r="J16" s="602"/>
    </row>
    <row r="17" spans="1:12" s="6" customFormat="1">
      <c r="A17" s="2"/>
      <c r="B17" s="593" t="s">
        <v>268</v>
      </c>
      <c r="C17" s="603">
        <f>SUM(C6:C15)</f>
        <v>13312.010000000002</v>
      </c>
      <c r="D17" s="603">
        <f>SUM(D6:D15)</f>
        <v>13370</v>
      </c>
      <c r="E17" s="603">
        <f>SUM(E6:E15)</f>
        <v>13761.93</v>
      </c>
      <c r="F17" s="603">
        <f>SUM(F6:F15)</f>
        <v>13802.769999999999</v>
      </c>
      <c r="G17" s="603">
        <f t="shared" ref="G17:J17" si="1">SUM(G6:G15)</f>
        <v>13799.89</v>
      </c>
      <c r="H17" s="603">
        <f t="shared" si="1"/>
        <v>13825.640000000001</v>
      </c>
      <c r="I17" s="603">
        <f t="shared" si="1"/>
        <v>0</v>
      </c>
      <c r="J17" s="603">
        <f t="shared" si="1"/>
        <v>0</v>
      </c>
    </row>
    <row r="18" spans="1:12" s="6" customFormat="1">
      <c r="A18" s="2"/>
      <c r="B18" s="87"/>
      <c r="C18" s="2"/>
      <c r="D18" s="604"/>
      <c r="E18" s="604"/>
      <c r="F18" s="604"/>
      <c r="G18" s="604"/>
      <c r="H18" s="604"/>
      <c r="I18" s="2"/>
      <c r="J18" s="2"/>
    </row>
    <row r="19" spans="1:12" s="6" customFormat="1" ht="31">
      <c r="A19" s="2"/>
      <c r="B19" s="594" t="s">
        <v>1395</v>
      </c>
      <c r="C19" s="78" t="s">
        <v>269</v>
      </c>
      <c r="D19" s="78" t="s">
        <v>1628</v>
      </c>
      <c r="E19" s="595" t="s">
        <v>1624</v>
      </c>
      <c r="F19" s="778" t="s">
        <v>1625</v>
      </c>
      <c r="G19" s="778" t="s">
        <v>1626</v>
      </c>
      <c r="H19" s="778" t="s">
        <v>1629</v>
      </c>
      <c r="I19" s="78"/>
      <c r="J19" s="78"/>
    </row>
    <row r="20" spans="1:12" s="6" customFormat="1">
      <c r="A20" s="2"/>
      <c r="B20" s="605" t="s">
        <v>1396</v>
      </c>
      <c r="C20" s="605"/>
      <c r="D20" s="605"/>
      <c r="E20" s="605"/>
      <c r="F20" s="605"/>
      <c r="G20" s="605"/>
      <c r="H20" s="605"/>
      <c r="I20" s="605"/>
      <c r="J20" s="605"/>
    </row>
    <row r="21" spans="1:12" s="6" customFormat="1">
      <c r="A21" s="2"/>
      <c r="B21" s="606" t="s">
        <v>75</v>
      </c>
      <c r="C21" s="600">
        <v>2441.7673799999902</v>
      </c>
      <c r="D21" s="607">
        <v>2479.96737999999</v>
      </c>
      <c r="E21" s="779">
        <v>2446.5767300000002</v>
      </c>
      <c r="F21" s="779">
        <v>2421.7815300000002</v>
      </c>
      <c r="G21" s="779">
        <v>2404.9499999999998</v>
      </c>
      <c r="H21" s="779">
        <v>2405.4</v>
      </c>
      <c r="I21" s="607"/>
      <c r="J21" s="607"/>
      <c r="K21" s="6" t="str">
        <f t="shared" ref="K21:K31" si="2">IF(COUNTA(C21:J21)&lt;&gt;COUNT(C21:J21),"Please remove any text entries, enter numeric values only","")</f>
        <v/>
      </c>
      <c r="L21" s="608"/>
    </row>
    <row r="22" spans="1:12" s="6" customFormat="1">
      <c r="A22" s="2"/>
      <c r="B22" s="606" t="s">
        <v>78</v>
      </c>
      <c r="C22" s="600">
        <v>816.33443</v>
      </c>
      <c r="D22" s="607">
        <v>841.83443</v>
      </c>
      <c r="E22" s="779">
        <v>877.09933000000001</v>
      </c>
      <c r="F22" s="779">
        <v>893.13193000000001</v>
      </c>
      <c r="G22" s="779">
        <v>896.94</v>
      </c>
      <c r="H22" s="779">
        <v>911.35</v>
      </c>
      <c r="I22" s="607"/>
      <c r="J22" s="607"/>
      <c r="K22" s="6" t="str">
        <f t="shared" si="2"/>
        <v/>
      </c>
    </row>
    <row r="23" spans="1:12" s="6" customFormat="1">
      <c r="A23" s="2"/>
      <c r="B23" s="606" t="s">
        <v>77</v>
      </c>
      <c r="C23" s="600">
        <v>3723.6934200000383</v>
      </c>
      <c r="D23" s="607">
        <v>3749.7934200000382</v>
      </c>
      <c r="E23" s="779">
        <v>4109.2301399999997</v>
      </c>
      <c r="F23" s="779">
        <v>4145.7683900000002</v>
      </c>
      <c r="G23" s="779">
        <v>4245.2</v>
      </c>
      <c r="H23" s="779">
        <v>4250.6099999999997</v>
      </c>
      <c r="I23" s="607"/>
      <c r="J23" s="607"/>
      <c r="K23" s="6" t="str">
        <f t="shared" si="2"/>
        <v/>
      </c>
    </row>
    <row r="24" spans="1:12" s="6" customFormat="1">
      <c r="A24" s="2"/>
      <c r="B24" s="606" t="s">
        <v>74</v>
      </c>
      <c r="C24" s="600">
        <v>375.43918000000036</v>
      </c>
      <c r="D24" s="607">
        <v>414.43918000000036</v>
      </c>
      <c r="E24" s="779">
        <v>398.75385</v>
      </c>
      <c r="F24" s="779">
        <v>411.04052000000001</v>
      </c>
      <c r="G24" s="779">
        <v>427.87</v>
      </c>
      <c r="H24" s="779">
        <v>431.37</v>
      </c>
      <c r="I24" s="607"/>
      <c r="J24" s="607"/>
      <c r="K24" s="6" t="str">
        <f t="shared" si="2"/>
        <v/>
      </c>
    </row>
    <row r="25" spans="1:12" s="6" customFormat="1">
      <c r="A25" s="2"/>
      <c r="B25" s="606" t="s">
        <v>71</v>
      </c>
      <c r="C25" s="600">
        <v>2534.3114200000005</v>
      </c>
      <c r="D25" s="607">
        <v>2567.8114200000005</v>
      </c>
      <c r="E25" s="779">
        <v>2637.6847600000001</v>
      </c>
      <c r="F25" s="779">
        <v>2599.8826600000002</v>
      </c>
      <c r="G25" s="779">
        <v>2601.19</v>
      </c>
      <c r="H25" s="779">
        <v>2626.03</v>
      </c>
      <c r="I25" s="607"/>
      <c r="J25" s="607"/>
      <c r="K25" s="6" t="str">
        <f t="shared" si="2"/>
        <v/>
      </c>
    </row>
    <row r="26" spans="1:12" s="6" customFormat="1">
      <c r="A26" s="2"/>
      <c r="B26" s="606" t="s">
        <v>69</v>
      </c>
      <c r="C26" s="600">
        <v>912.92628999999886</v>
      </c>
      <c r="D26" s="607">
        <v>941.1262899999989</v>
      </c>
      <c r="E26" s="779">
        <v>954.17953</v>
      </c>
      <c r="F26" s="779">
        <v>1006.82748</v>
      </c>
      <c r="G26" s="779">
        <v>1028.26</v>
      </c>
      <c r="H26" s="779">
        <v>1020.96</v>
      </c>
      <c r="I26" s="607"/>
      <c r="J26" s="607"/>
      <c r="K26" s="6" t="str">
        <f t="shared" si="2"/>
        <v/>
      </c>
    </row>
    <row r="27" spans="1:12" s="6" customFormat="1">
      <c r="A27" s="2"/>
      <c r="B27" s="606" t="s">
        <v>72</v>
      </c>
      <c r="C27" s="600">
        <v>335.89613000000008</v>
      </c>
      <c r="D27" s="607">
        <v>345.89613000000008</v>
      </c>
      <c r="E27" s="779">
        <v>355.57799</v>
      </c>
      <c r="F27" s="779">
        <v>353.53131999999999</v>
      </c>
      <c r="G27" s="779">
        <v>365.39</v>
      </c>
      <c r="H27" s="779">
        <v>371.15</v>
      </c>
      <c r="I27" s="607"/>
      <c r="J27" s="607"/>
      <c r="K27" s="6" t="str">
        <f t="shared" si="2"/>
        <v/>
      </c>
    </row>
    <row r="28" spans="1:12" s="6" customFormat="1">
      <c r="A28" s="2"/>
      <c r="B28" s="606" t="s">
        <v>76</v>
      </c>
      <c r="C28" s="600">
        <v>981.94893999999636</v>
      </c>
      <c r="D28" s="607">
        <v>977.94893999999636</v>
      </c>
      <c r="E28" s="779">
        <v>945.09249999999997</v>
      </c>
      <c r="F28" s="779">
        <v>953.62580000000003</v>
      </c>
      <c r="G28" s="779">
        <v>955.63</v>
      </c>
      <c r="H28" s="779">
        <v>954.71</v>
      </c>
      <c r="I28" s="607"/>
      <c r="J28" s="607"/>
      <c r="K28" s="6" t="str">
        <f t="shared" si="2"/>
        <v/>
      </c>
    </row>
    <row r="29" spans="1:12" s="6" customFormat="1">
      <c r="A29" s="2"/>
      <c r="B29" s="606" t="s">
        <v>73</v>
      </c>
      <c r="C29" s="600"/>
      <c r="D29" s="600"/>
      <c r="E29" s="600"/>
      <c r="F29" s="600"/>
      <c r="G29" s="600"/>
      <c r="H29" s="779"/>
      <c r="I29" s="600"/>
      <c r="J29" s="600"/>
      <c r="K29" s="6" t="str">
        <f t="shared" si="2"/>
        <v/>
      </c>
    </row>
    <row r="30" spans="1:12" s="6" customFormat="1">
      <c r="A30" s="2"/>
      <c r="B30" s="609" t="s">
        <v>1397</v>
      </c>
      <c r="C30" s="610"/>
      <c r="D30" s="610"/>
      <c r="E30" s="610"/>
      <c r="F30" s="779">
        <v>564</v>
      </c>
      <c r="G30" s="779">
        <v>488</v>
      </c>
      <c r="H30" s="607">
        <v>462.05</v>
      </c>
      <c r="I30" s="610"/>
      <c r="J30" s="610"/>
      <c r="K30" s="6" t="str">
        <f t="shared" si="2"/>
        <v/>
      </c>
    </row>
    <row r="31" spans="1:12" s="6" customFormat="1" hidden="1">
      <c r="A31" s="2"/>
      <c r="B31" s="601" t="s">
        <v>1393</v>
      </c>
      <c r="C31" s="611"/>
      <c r="D31" s="611"/>
      <c r="E31" s="611"/>
      <c r="F31" s="776"/>
      <c r="G31" s="611"/>
      <c r="H31" s="611"/>
      <c r="I31" s="611"/>
      <c r="J31" s="611"/>
      <c r="K31" s="6" t="str">
        <f t="shared" si="2"/>
        <v/>
      </c>
    </row>
    <row r="32" spans="1:12" s="6" customFormat="1" hidden="1">
      <c r="A32" s="2"/>
      <c r="B32" s="601" t="s">
        <v>1394</v>
      </c>
      <c r="C32" s="611"/>
      <c r="D32" s="611"/>
      <c r="E32" s="611"/>
      <c r="F32" s="776"/>
      <c r="G32" s="611"/>
      <c r="H32" s="611"/>
      <c r="I32" s="611"/>
      <c r="J32" s="611"/>
    </row>
    <row r="33" spans="1:11" s="6" customFormat="1">
      <c r="A33" s="2"/>
      <c r="B33" s="593" t="s">
        <v>268</v>
      </c>
      <c r="C33" s="612">
        <f>SUM(C21:C30)</f>
        <v>12122.317190000025</v>
      </c>
      <c r="D33" s="612">
        <f t="shared" ref="D33:J33" si="3">SUM(D21:D30)</f>
        <v>12318.817190000025</v>
      </c>
      <c r="E33" s="612">
        <f t="shared" si="3"/>
        <v>12724.194829999999</v>
      </c>
      <c r="F33" s="777">
        <f t="shared" si="3"/>
        <v>13349.589630000002</v>
      </c>
      <c r="G33" s="612">
        <f t="shared" si="3"/>
        <v>13413.429999999998</v>
      </c>
      <c r="H33" s="612">
        <f t="shared" si="3"/>
        <v>13433.630000000001</v>
      </c>
      <c r="I33" s="612">
        <f t="shared" si="3"/>
        <v>0</v>
      </c>
      <c r="J33" s="612">
        <f t="shared" si="3"/>
        <v>0</v>
      </c>
    </row>
    <row r="34" spans="1:11" s="6" customFormat="1">
      <c r="A34" s="2"/>
      <c r="B34" s="87"/>
      <c r="C34" s="604"/>
      <c r="D34" s="604"/>
      <c r="E34" s="604"/>
      <c r="F34" s="604"/>
      <c r="H34" s="604"/>
      <c r="I34" s="2"/>
      <c r="J34" s="613"/>
    </row>
    <row r="35" spans="1:11" s="6" customFormat="1">
      <c r="A35" s="2"/>
      <c r="B35" s="605" t="s">
        <v>1398</v>
      </c>
      <c r="C35" s="605"/>
      <c r="D35" s="605"/>
      <c r="E35" s="605"/>
      <c r="F35" s="605"/>
      <c r="G35" s="782"/>
      <c r="H35" s="605"/>
      <c r="I35" s="605"/>
      <c r="J35" s="605"/>
    </row>
    <row r="36" spans="1:11" s="6" customFormat="1">
      <c r="A36" s="2"/>
      <c r="B36" s="606" t="s">
        <v>75</v>
      </c>
      <c r="C36" s="614">
        <v>14.28</v>
      </c>
      <c r="D36" s="600">
        <v>14.02</v>
      </c>
      <c r="E36" s="600">
        <v>16.55</v>
      </c>
      <c r="F36" s="600">
        <v>12.01</v>
      </c>
      <c r="G36" s="600">
        <v>26.77</v>
      </c>
      <c r="H36" s="600">
        <v>26.72</v>
      </c>
      <c r="I36" s="600"/>
      <c r="J36" s="600"/>
      <c r="K36" s="6" t="str">
        <f t="shared" ref="K36:K45" si="4">IF(COUNTA(C36:J36)&lt;&gt;COUNT(C36:J36),"Please remove any text entries, enter numeric values only","")</f>
        <v/>
      </c>
    </row>
    <row r="37" spans="1:11" s="6" customFormat="1">
      <c r="A37" s="2"/>
      <c r="B37" s="606" t="s">
        <v>78</v>
      </c>
      <c r="C37" s="614">
        <v>31.295000000000002</v>
      </c>
      <c r="D37" s="600">
        <v>33.01</v>
      </c>
      <c r="E37" s="600">
        <v>32.74</v>
      </c>
      <c r="F37" s="600">
        <v>38.51</v>
      </c>
      <c r="G37" s="600">
        <v>80.62</v>
      </c>
      <c r="H37" s="600">
        <v>70.349999999999994</v>
      </c>
      <c r="I37" s="600"/>
      <c r="J37" s="600"/>
      <c r="K37" s="6" t="str">
        <f t="shared" si="4"/>
        <v/>
      </c>
    </row>
    <row r="38" spans="1:11" s="6" customFormat="1">
      <c r="A38" s="2"/>
      <c r="B38" s="606" t="s">
        <v>77</v>
      </c>
      <c r="C38" s="614">
        <v>60.370000000000005</v>
      </c>
      <c r="D38" s="600">
        <v>58.18</v>
      </c>
      <c r="E38" s="600">
        <v>55.23</v>
      </c>
      <c r="F38" s="600">
        <v>42.76</v>
      </c>
      <c r="G38" s="600">
        <v>163.66999999999999</v>
      </c>
      <c r="H38" s="600">
        <v>195.64</v>
      </c>
      <c r="I38" s="600"/>
      <c r="J38" s="600"/>
      <c r="K38" s="6" t="str">
        <f t="shared" si="4"/>
        <v/>
      </c>
    </row>
    <row r="39" spans="1:11" s="6" customFormat="1">
      <c r="A39" s="2"/>
      <c r="B39" s="606" t="s">
        <v>74</v>
      </c>
      <c r="C39" s="614">
        <v>1.0950000000000002</v>
      </c>
      <c r="D39" s="600">
        <v>1.26</v>
      </c>
      <c r="E39" s="600">
        <v>1.1499999999999999</v>
      </c>
      <c r="F39" s="600">
        <v>0.71</v>
      </c>
      <c r="G39" s="600">
        <v>0.97</v>
      </c>
      <c r="H39" s="600">
        <v>0.21</v>
      </c>
      <c r="I39" s="600"/>
      <c r="J39" s="600"/>
      <c r="K39" s="6" t="str">
        <f t="shared" si="4"/>
        <v/>
      </c>
    </row>
    <row r="40" spans="1:11" s="6" customFormat="1">
      <c r="A40" s="2"/>
      <c r="B40" s="606" t="s">
        <v>71</v>
      </c>
      <c r="C40" s="614">
        <v>6.85</v>
      </c>
      <c r="D40" s="600">
        <v>7.8</v>
      </c>
      <c r="E40" s="600">
        <v>8.39</v>
      </c>
      <c r="F40" s="600">
        <v>6.75</v>
      </c>
      <c r="G40" s="600">
        <v>300.29000000000002</v>
      </c>
      <c r="H40" s="600">
        <v>318.69</v>
      </c>
      <c r="I40" s="600"/>
      <c r="J40" s="600"/>
      <c r="K40" s="6" t="str">
        <f t="shared" si="4"/>
        <v/>
      </c>
    </row>
    <row r="41" spans="1:11" s="6" customFormat="1">
      <c r="A41" s="2"/>
      <c r="B41" s="606" t="s">
        <v>69</v>
      </c>
      <c r="C41" s="614">
        <v>10.42</v>
      </c>
      <c r="D41" s="600">
        <v>11.58</v>
      </c>
      <c r="E41" s="600">
        <v>10.91</v>
      </c>
      <c r="F41" s="600">
        <v>8.73</v>
      </c>
      <c r="G41" s="600">
        <v>16.37</v>
      </c>
      <c r="H41" s="600">
        <v>17.52</v>
      </c>
      <c r="I41" s="600"/>
      <c r="J41" s="600"/>
      <c r="K41" s="6" t="str">
        <f t="shared" si="4"/>
        <v/>
      </c>
    </row>
    <row r="42" spans="1:11" s="6" customFormat="1">
      <c r="A42" s="2"/>
      <c r="B42" s="606" t="s">
        <v>72</v>
      </c>
      <c r="C42" s="614">
        <v>6.2050000000000001</v>
      </c>
      <c r="D42" s="600">
        <v>7.03</v>
      </c>
      <c r="E42" s="600">
        <v>7.63</v>
      </c>
      <c r="F42" s="600">
        <v>6.63</v>
      </c>
      <c r="G42" s="600">
        <v>8.83</v>
      </c>
      <c r="H42" s="600">
        <v>8.18</v>
      </c>
      <c r="I42" s="600"/>
      <c r="J42" s="600"/>
      <c r="K42" s="6" t="str">
        <f t="shared" si="4"/>
        <v/>
      </c>
    </row>
    <row r="43" spans="1:11" s="6" customFormat="1">
      <c r="A43" s="2"/>
      <c r="B43" s="606" t="s">
        <v>76</v>
      </c>
      <c r="C43" s="614">
        <v>30.045000000000002</v>
      </c>
      <c r="D43" s="600">
        <v>28.64</v>
      </c>
      <c r="E43" s="600">
        <v>33.99</v>
      </c>
      <c r="F43" s="600">
        <v>31.14</v>
      </c>
      <c r="G43" s="600">
        <v>30.89</v>
      </c>
      <c r="H43" s="600">
        <v>27.12</v>
      </c>
      <c r="I43" s="600"/>
      <c r="J43" s="600"/>
      <c r="K43" s="6" t="str">
        <f t="shared" si="4"/>
        <v/>
      </c>
    </row>
    <row r="44" spans="1:11" s="6" customFormat="1" hidden="1">
      <c r="A44" s="2"/>
      <c r="B44" s="601" t="s">
        <v>73</v>
      </c>
      <c r="C44" s="611"/>
      <c r="D44" s="611"/>
      <c r="E44" s="611"/>
      <c r="F44" s="611"/>
      <c r="G44" s="611"/>
      <c r="H44" s="611"/>
      <c r="I44" s="611"/>
      <c r="J44" s="611"/>
      <c r="K44" s="6" t="str">
        <f t="shared" si="4"/>
        <v/>
      </c>
    </row>
    <row r="45" spans="1:11" s="6" customFormat="1" hidden="1">
      <c r="A45" s="2"/>
      <c r="B45" s="601" t="s">
        <v>1393</v>
      </c>
      <c r="C45" s="611"/>
      <c r="D45" s="611"/>
      <c r="E45" s="611"/>
      <c r="F45" s="611"/>
      <c r="G45" s="611"/>
      <c r="H45" s="611"/>
      <c r="I45" s="611"/>
      <c r="J45" s="611"/>
      <c r="K45" s="6" t="str">
        <f t="shared" si="4"/>
        <v/>
      </c>
    </row>
    <row r="46" spans="1:11" s="6" customFormat="1" hidden="1">
      <c r="A46" s="2"/>
      <c r="B46" s="601" t="s">
        <v>1394</v>
      </c>
      <c r="C46" s="611"/>
      <c r="D46" s="611"/>
      <c r="E46" s="611"/>
      <c r="F46" s="611"/>
      <c r="G46" s="611"/>
      <c r="H46" s="611"/>
      <c r="I46" s="611"/>
      <c r="J46" s="611"/>
    </row>
    <row r="47" spans="1:11" s="6" customFormat="1">
      <c r="A47" s="2"/>
      <c r="B47" s="593" t="s">
        <v>268</v>
      </c>
      <c r="C47" s="603">
        <f>SUM(C36:C44)</f>
        <v>160.56</v>
      </c>
      <c r="D47" s="603">
        <f t="shared" ref="D47:J47" si="5">SUM(D36:D44)</f>
        <v>161.51999999999998</v>
      </c>
      <c r="E47" s="603">
        <f t="shared" si="5"/>
        <v>166.59000000000003</v>
      </c>
      <c r="F47" s="603">
        <f t="shared" si="5"/>
        <v>147.24</v>
      </c>
      <c r="G47" s="603">
        <f t="shared" si="5"/>
        <v>628.41000000000008</v>
      </c>
      <c r="H47" s="603">
        <f t="shared" si="5"/>
        <v>664.42999999999984</v>
      </c>
      <c r="I47" s="603">
        <f t="shared" si="5"/>
        <v>0</v>
      </c>
      <c r="J47" s="603">
        <f t="shared" si="5"/>
        <v>0</v>
      </c>
    </row>
    <row r="48" spans="1:11" s="6" customFormat="1">
      <c r="A48" s="2"/>
      <c r="B48" s="87"/>
      <c r="C48" s="2"/>
      <c r="D48" s="2"/>
      <c r="E48" s="2"/>
      <c r="F48" s="2"/>
      <c r="G48" s="2"/>
      <c r="H48" s="2"/>
      <c r="I48" s="2"/>
      <c r="J48" s="613"/>
    </row>
    <row r="49" spans="1:14" s="6" customFormat="1">
      <c r="A49" s="2"/>
      <c r="B49" s="605" t="s">
        <v>275</v>
      </c>
      <c r="C49" s="605"/>
      <c r="D49" s="605"/>
      <c r="E49" s="605"/>
      <c r="F49" s="605"/>
      <c r="G49" s="605"/>
      <c r="H49" s="605"/>
      <c r="I49" s="605"/>
      <c r="J49" s="605"/>
    </row>
    <row r="50" spans="1:14" s="6" customFormat="1">
      <c r="A50" s="2"/>
      <c r="B50" s="606" t="s">
        <v>75</v>
      </c>
      <c r="C50" s="614">
        <v>30.615000000000002</v>
      </c>
      <c r="D50" s="600">
        <v>47.93</v>
      </c>
      <c r="E50" s="600">
        <v>24.59</v>
      </c>
      <c r="F50" s="600">
        <v>18.690000000000001</v>
      </c>
      <c r="G50" s="600">
        <v>9.89</v>
      </c>
      <c r="H50" s="600">
        <v>6.28</v>
      </c>
      <c r="I50" s="600"/>
      <c r="J50" s="600"/>
      <c r="K50" s="6" t="str">
        <f t="shared" ref="K50:K59" si="6">IF(COUNTA(C50:J50)&lt;&gt;COUNT(C50:J50),"Please remove any text entries, enter numeric values only","")</f>
        <v/>
      </c>
    </row>
    <row r="51" spans="1:14" s="6" customFormat="1">
      <c r="A51" s="2"/>
      <c r="B51" s="606" t="s">
        <v>78</v>
      </c>
      <c r="C51" s="614">
        <v>89.710000000000008</v>
      </c>
      <c r="D51" s="600">
        <v>111.35</v>
      </c>
      <c r="E51" s="600">
        <v>95.84</v>
      </c>
      <c r="F51" s="600">
        <v>87.19</v>
      </c>
      <c r="G51" s="600">
        <v>96.15</v>
      </c>
      <c r="H51" s="600">
        <v>109.9</v>
      </c>
      <c r="I51" s="600"/>
      <c r="J51" s="600"/>
      <c r="K51" s="6" t="str">
        <f t="shared" si="6"/>
        <v/>
      </c>
    </row>
    <row r="52" spans="1:14" s="6" customFormat="1">
      <c r="A52" s="2"/>
      <c r="B52" s="606" t="s">
        <v>77</v>
      </c>
      <c r="C52" s="614">
        <v>359.46000000000004</v>
      </c>
      <c r="D52" s="600">
        <v>231.05</v>
      </c>
      <c r="E52" s="600">
        <v>139.13999999999999</v>
      </c>
      <c r="F52" s="600">
        <v>77.790000000000006</v>
      </c>
      <c r="G52" s="600">
        <v>67.319999999999993</v>
      </c>
      <c r="H52" s="600">
        <v>42.68</v>
      </c>
      <c r="I52" s="600"/>
      <c r="J52" s="600"/>
      <c r="K52" s="6" t="str">
        <f t="shared" si="6"/>
        <v/>
      </c>
    </row>
    <row r="53" spans="1:14" s="6" customFormat="1">
      <c r="A53" s="2"/>
      <c r="B53" s="606" t="s">
        <v>74</v>
      </c>
      <c r="C53" s="614">
        <v>0.2</v>
      </c>
      <c r="D53" s="600">
        <v>0.14000000000000001</v>
      </c>
      <c r="E53" s="600">
        <v>0.06</v>
      </c>
      <c r="F53" s="600">
        <v>0.11</v>
      </c>
      <c r="G53" s="600">
        <v>0.27</v>
      </c>
      <c r="H53" s="600">
        <v>0.41</v>
      </c>
      <c r="I53" s="600"/>
      <c r="J53" s="600"/>
      <c r="K53" s="6" t="str">
        <f t="shared" si="6"/>
        <v/>
      </c>
    </row>
    <row r="54" spans="1:14" s="6" customFormat="1">
      <c r="A54" s="2"/>
      <c r="B54" s="606" t="s">
        <v>71</v>
      </c>
      <c r="C54" s="614">
        <v>2.27</v>
      </c>
      <c r="D54" s="600">
        <v>0.14000000000000001</v>
      </c>
      <c r="E54" s="600">
        <v>-0.04</v>
      </c>
      <c r="F54" s="600">
        <v>-0.35</v>
      </c>
      <c r="G54" s="600">
        <v>71.790000000000006</v>
      </c>
      <c r="H54" s="600">
        <v>40.619999999999997</v>
      </c>
      <c r="I54" s="600"/>
      <c r="J54" s="600"/>
      <c r="K54" s="6" t="str">
        <f t="shared" si="6"/>
        <v/>
      </c>
    </row>
    <row r="55" spans="1:14" s="6" customFormat="1">
      <c r="A55" s="2"/>
      <c r="B55" s="606" t="s">
        <v>69</v>
      </c>
      <c r="C55" s="614">
        <v>2.8149999999999999</v>
      </c>
      <c r="D55" s="600">
        <v>5.92</v>
      </c>
      <c r="E55" s="600">
        <v>6.43</v>
      </c>
      <c r="F55" s="600">
        <v>11.1</v>
      </c>
      <c r="G55" s="600">
        <v>5.48</v>
      </c>
      <c r="H55" s="600">
        <v>3.79</v>
      </c>
      <c r="I55" s="600"/>
      <c r="J55" s="600"/>
      <c r="K55" s="6" t="str">
        <f t="shared" si="6"/>
        <v/>
      </c>
    </row>
    <row r="56" spans="1:14" s="6" customFormat="1">
      <c r="A56" s="2"/>
      <c r="B56" s="606" t="s">
        <v>72</v>
      </c>
      <c r="C56" s="614">
        <v>15.879999999999999</v>
      </c>
      <c r="D56" s="600">
        <v>22.46</v>
      </c>
      <c r="E56" s="600">
        <v>17.940000000000001</v>
      </c>
      <c r="F56" s="600">
        <v>14.21</v>
      </c>
      <c r="G56" s="600">
        <v>14.49</v>
      </c>
      <c r="H56" s="600">
        <v>15.65</v>
      </c>
      <c r="I56" s="600"/>
      <c r="J56" s="600"/>
      <c r="K56" s="6" t="str">
        <f t="shared" si="6"/>
        <v/>
      </c>
    </row>
    <row r="57" spans="1:14" s="6" customFormat="1">
      <c r="A57" s="2"/>
      <c r="B57" s="606" t="s">
        <v>76</v>
      </c>
      <c r="C57" s="614">
        <v>7.9050000000000002</v>
      </c>
      <c r="D57" s="600">
        <v>14.9</v>
      </c>
      <c r="E57" s="600">
        <v>18.28</v>
      </c>
      <c r="F57" s="600">
        <v>14.91</v>
      </c>
      <c r="G57" s="600">
        <v>6.99</v>
      </c>
      <c r="H57" s="600">
        <v>8.6</v>
      </c>
      <c r="I57" s="600"/>
      <c r="J57" s="600"/>
      <c r="K57" s="6" t="str">
        <f t="shared" si="6"/>
        <v/>
      </c>
    </row>
    <row r="58" spans="1:14" s="6" customFormat="1" hidden="1">
      <c r="A58" s="2"/>
      <c r="B58" s="601" t="s">
        <v>73</v>
      </c>
      <c r="C58" s="611"/>
      <c r="D58" s="611"/>
      <c r="E58" s="611"/>
      <c r="F58" s="611"/>
      <c r="G58" s="611"/>
      <c r="H58" s="611"/>
      <c r="I58" s="611"/>
      <c r="J58" s="611"/>
      <c r="K58" s="6" t="str">
        <f t="shared" si="6"/>
        <v/>
      </c>
    </row>
    <row r="59" spans="1:14" s="6" customFormat="1" hidden="1">
      <c r="A59" s="2"/>
      <c r="B59" s="601" t="s">
        <v>1393</v>
      </c>
      <c r="C59" s="611"/>
      <c r="D59" s="611"/>
      <c r="E59" s="611"/>
      <c r="F59" s="611"/>
      <c r="G59" s="611"/>
      <c r="H59" s="611"/>
      <c r="I59" s="611"/>
      <c r="J59" s="611"/>
      <c r="K59" s="6" t="str">
        <f t="shared" si="6"/>
        <v/>
      </c>
    </row>
    <row r="60" spans="1:14" s="6" customFormat="1" hidden="1">
      <c r="A60" s="2"/>
      <c r="B60" s="601" t="s">
        <v>1394</v>
      </c>
      <c r="C60" s="611"/>
      <c r="D60" s="611"/>
      <c r="E60" s="611"/>
      <c r="F60" s="611"/>
      <c r="G60" s="611"/>
      <c r="H60" s="611"/>
      <c r="I60" s="611"/>
      <c r="J60" s="611"/>
    </row>
    <row r="61" spans="1:14" s="6" customFormat="1">
      <c r="A61" s="2"/>
      <c r="B61" s="593" t="s">
        <v>268</v>
      </c>
      <c r="C61" s="603">
        <f t="shared" ref="C61:J61" si="7">SUM(C50:C58)</f>
        <v>508.85500000000002</v>
      </c>
      <c r="D61" s="603">
        <f t="shared" si="7"/>
        <v>433.89</v>
      </c>
      <c r="E61" s="603">
        <f t="shared" si="7"/>
        <v>302.24</v>
      </c>
      <c r="F61" s="603">
        <f t="shared" si="7"/>
        <v>223.65000000000003</v>
      </c>
      <c r="G61" s="603">
        <f t="shared" ref="G61:H61" si="8">SUM(G50:G58)</f>
        <v>272.38</v>
      </c>
      <c r="H61" s="603">
        <f t="shared" si="8"/>
        <v>227.93</v>
      </c>
      <c r="I61" s="603">
        <f t="shared" si="7"/>
        <v>0</v>
      </c>
      <c r="J61" s="603">
        <f t="shared" si="7"/>
        <v>0</v>
      </c>
    </row>
    <row r="62" spans="1:14" s="6" customFormat="1">
      <c r="A62" s="2"/>
      <c r="B62" s="87"/>
      <c r="C62" s="2"/>
      <c r="D62" s="2"/>
      <c r="E62" s="764"/>
      <c r="F62" s="764"/>
      <c r="G62" s="764"/>
      <c r="H62" s="764"/>
      <c r="I62" s="2"/>
      <c r="J62" s="613"/>
    </row>
    <row r="63" spans="1:14">
      <c r="A63" s="1"/>
      <c r="B63" s="89"/>
      <c r="C63" s="1"/>
      <c r="D63" s="1"/>
      <c r="E63" s="1"/>
      <c r="F63" s="1"/>
      <c r="G63" s="2"/>
      <c r="H63" s="2"/>
      <c r="I63" s="1"/>
      <c r="J63" s="615"/>
    </row>
    <row r="64" spans="1:14" ht="46.5">
      <c r="A64" s="1"/>
      <c r="B64" s="617" t="s">
        <v>1399</v>
      </c>
      <c r="C64" s="78" t="s">
        <v>269</v>
      </c>
      <c r="D64" s="78" t="s">
        <v>270</v>
      </c>
      <c r="E64" s="595" t="s">
        <v>271</v>
      </c>
      <c r="F64" s="595" t="s">
        <v>272</v>
      </c>
      <c r="G64" s="778" t="s">
        <v>273</v>
      </c>
      <c r="H64" s="778" t="s">
        <v>274</v>
      </c>
      <c r="I64" s="78" t="s">
        <v>264</v>
      </c>
      <c r="J64" s="78" t="s">
        <v>265</v>
      </c>
      <c r="L64" s="617" t="s">
        <v>1399</v>
      </c>
      <c r="M64" s="618" t="s">
        <v>1400</v>
      </c>
      <c r="N64" s="618" t="s">
        <v>1401</v>
      </c>
    </row>
    <row r="65" spans="1:14">
      <c r="A65" s="1"/>
      <c r="B65" s="606" t="s">
        <v>75</v>
      </c>
      <c r="C65" s="619">
        <f>+C50+C36+C21</f>
        <v>2486.6623799999902</v>
      </c>
      <c r="D65" s="619">
        <f>+D50+D36+D21</f>
        <v>2541.9173799999899</v>
      </c>
      <c r="E65" s="619">
        <f>+E50+E36+E21</f>
        <v>2487.7167300000001</v>
      </c>
      <c r="F65" s="619">
        <f t="shared" ref="F65:F72" si="9">+F50+F36+F21</f>
        <v>2452.48153</v>
      </c>
      <c r="G65" s="619">
        <f>+G50+G36+G21</f>
        <v>2441.6099999999997</v>
      </c>
      <c r="H65" s="619">
        <f t="shared" ref="D65:J72" si="10">+H50+H36+H21</f>
        <v>2438.4</v>
      </c>
      <c r="I65" s="619">
        <f t="shared" si="10"/>
        <v>0</v>
      </c>
      <c r="J65" s="619">
        <f t="shared" si="10"/>
        <v>0</v>
      </c>
      <c r="L65" s="606" t="s">
        <v>276</v>
      </c>
      <c r="M65" s="620">
        <f>SUM(D65)/SUM(D$77)</f>
        <v>0.19683077760690884</v>
      </c>
      <c r="N65" s="620">
        <f>SUM(D65,H65)/SUM(D$77,H$77)</f>
        <v>0.18282957677107953</v>
      </c>
    </row>
    <row r="66" spans="1:14">
      <c r="A66" s="1"/>
      <c r="B66" s="606" t="s">
        <v>78</v>
      </c>
      <c r="C66" s="619">
        <f t="shared" ref="C66:C72" si="11">+C51+C37+C22</f>
        <v>937.33942999999999</v>
      </c>
      <c r="D66" s="619">
        <f t="shared" si="10"/>
        <v>986.19443000000001</v>
      </c>
      <c r="E66" s="619">
        <f t="shared" si="10"/>
        <v>1005.67933</v>
      </c>
      <c r="F66" s="619">
        <f t="shared" si="9"/>
        <v>1018.8319300000001</v>
      </c>
      <c r="G66" s="619">
        <f t="shared" si="10"/>
        <v>1073.71</v>
      </c>
      <c r="H66" s="619">
        <f t="shared" si="10"/>
        <v>1091.5999999999999</v>
      </c>
      <c r="I66" s="619">
        <f t="shared" si="10"/>
        <v>0</v>
      </c>
      <c r="J66" s="619">
        <f t="shared" si="10"/>
        <v>0</v>
      </c>
      <c r="L66" s="606" t="s">
        <v>277</v>
      </c>
      <c r="M66" s="620">
        <f t="shared" ref="M66:M77" si="12">SUM(D66)/SUM(D$77)</f>
        <v>7.636495900921178E-2</v>
      </c>
      <c r="N66" s="620">
        <f t="shared" ref="N66:N77" si="13">SUM(D66,H66)/SUM(D$77,H$77)</f>
        <v>7.6276720391303093E-2</v>
      </c>
    </row>
    <row r="67" spans="1:14">
      <c r="A67" s="1"/>
      <c r="B67" s="606" t="s">
        <v>77</v>
      </c>
      <c r="C67" s="619">
        <f t="shared" si="11"/>
        <v>4143.5234200000386</v>
      </c>
      <c r="D67" s="619">
        <f t="shared" si="10"/>
        <v>4039.0234200000382</v>
      </c>
      <c r="E67" s="619">
        <f t="shared" si="10"/>
        <v>4303.6001399999996</v>
      </c>
      <c r="F67" s="619">
        <f t="shared" si="9"/>
        <v>4266.3183900000004</v>
      </c>
      <c r="G67" s="619">
        <f t="shared" si="10"/>
        <v>4476.1899999999996</v>
      </c>
      <c r="H67" s="619">
        <f t="shared" si="10"/>
        <v>4488.9299999999994</v>
      </c>
      <c r="I67" s="619">
        <f t="shared" si="10"/>
        <v>0</v>
      </c>
      <c r="J67" s="619">
        <f t="shared" si="10"/>
        <v>0</v>
      </c>
      <c r="L67" s="606" t="s">
        <v>278</v>
      </c>
      <c r="M67" s="620">
        <f t="shared" si="12"/>
        <v>0.31275765561315255</v>
      </c>
      <c r="N67" s="620">
        <f t="shared" si="13"/>
        <v>0.3130648100386908</v>
      </c>
    </row>
    <row r="68" spans="1:14">
      <c r="A68" s="1"/>
      <c r="B68" s="606" t="s">
        <v>74</v>
      </c>
      <c r="C68" s="619">
        <f t="shared" si="11"/>
        <v>376.73418000000038</v>
      </c>
      <c r="D68" s="619">
        <f t="shared" si="10"/>
        <v>415.83918000000034</v>
      </c>
      <c r="E68" s="619">
        <f t="shared" si="10"/>
        <v>399.96384999999998</v>
      </c>
      <c r="F68" s="619">
        <f t="shared" si="9"/>
        <v>411.86052000000001</v>
      </c>
      <c r="G68" s="619">
        <f t="shared" si="10"/>
        <v>429.11</v>
      </c>
      <c r="H68" s="619">
        <f t="shared" si="10"/>
        <v>431.99</v>
      </c>
      <c r="I68" s="619">
        <f t="shared" si="10"/>
        <v>0</v>
      </c>
      <c r="J68" s="619">
        <f t="shared" si="10"/>
        <v>0</v>
      </c>
      <c r="L68" s="606" t="s">
        <v>74</v>
      </c>
      <c r="M68" s="620">
        <f t="shared" si="12"/>
        <v>3.2200082427077045E-2</v>
      </c>
      <c r="N68" s="620">
        <f t="shared" si="13"/>
        <v>3.1124171077139624E-2</v>
      </c>
    </row>
    <row r="69" spans="1:14">
      <c r="A69" s="1"/>
      <c r="B69" s="606" t="s">
        <v>71</v>
      </c>
      <c r="C69" s="619">
        <f t="shared" si="11"/>
        <v>2543.4314200000003</v>
      </c>
      <c r="D69" s="619">
        <f t="shared" si="10"/>
        <v>2575.7514200000005</v>
      </c>
      <c r="E69" s="619">
        <f t="shared" si="10"/>
        <v>2646.03476</v>
      </c>
      <c r="F69" s="619">
        <f t="shared" si="9"/>
        <v>2606.2826600000003</v>
      </c>
      <c r="G69" s="619">
        <f t="shared" si="10"/>
        <v>2973.27</v>
      </c>
      <c r="H69" s="619">
        <f t="shared" si="10"/>
        <v>2985.34</v>
      </c>
      <c r="I69" s="619">
        <f t="shared" si="10"/>
        <v>0</v>
      </c>
      <c r="J69" s="619">
        <f t="shared" si="10"/>
        <v>0</v>
      </c>
      <c r="L69" s="606" t="s">
        <v>71</v>
      </c>
      <c r="M69" s="620">
        <f t="shared" si="12"/>
        <v>0.19945068195753152</v>
      </c>
      <c r="N69" s="620">
        <f t="shared" si="13"/>
        <v>0.20415003967154477</v>
      </c>
    </row>
    <row r="70" spans="1:14">
      <c r="A70" s="1"/>
      <c r="B70" s="606" t="s">
        <v>69</v>
      </c>
      <c r="C70" s="619">
        <f t="shared" si="11"/>
        <v>926.16128999999887</v>
      </c>
      <c r="D70" s="619">
        <f t="shared" si="10"/>
        <v>958.6262899999989</v>
      </c>
      <c r="E70" s="619">
        <f t="shared" si="10"/>
        <v>971.51953000000003</v>
      </c>
      <c r="F70" s="619">
        <f t="shared" si="9"/>
        <v>1026.6574800000001</v>
      </c>
      <c r="G70" s="619">
        <f t="shared" si="10"/>
        <v>1050.1099999999999</v>
      </c>
      <c r="H70" s="619">
        <f t="shared" si="10"/>
        <v>1042.27</v>
      </c>
      <c r="I70" s="619">
        <f t="shared" si="10"/>
        <v>0</v>
      </c>
      <c r="J70" s="619">
        <f t="shared" si="10"/>
        <v>0</v>
      </c>
      <c r="L70" s="606" t="s">
        <v>69</v>
      </c>
      <c r="M70" s="620">
        <f t="shared" si="12"/>
        <v>7.4230248229046156E-2</v>
      </c>
      <c r="N70" s="620">
        <f t="shared" si="13"/>
        <v>7.34537568494327E-2</v>
      </c>
    </row>
    <row r="71" spans="1:14">
      <c r="A71" s="1"/>
      <c r="B71" s="606" t="s">
        <v>72</v>
      </c>
      <c r="C71" s="619">
        <f t="shared" si="11"/>
        <v>357.98113000000006</v>
      </c>
      <c r="D71" s="619">
        <f t="shared" si="10"/>
        <v>375.38613000000009</v>
      </c>
      <c r="E71" s="619">
        <f t="shared" si="10"/>
        <v>381.14798999999999</v>
      </c>
      <c r="F71" s="619">
        <f t="shared" si="9"/>
        <v>374.37131999999997</v>
      </c>
      <c r="G71" s="619">
        <f t="shared" si="10"/>
        <v>388.71</v>
      </c>
      <c r="H71" s="619">
        <f t="shared" si="10"/>
        <v>394.97999999999996</v>
      </c>
      <c r="I71" s="619">
        <f t="shared" si="10"/>
        <v>0</v>
      </c>
      <c r="J71" s="619">
        <f t="shared" si="10"/>
        <v>0</v>
      </c>
      <c r="L71" s="606" t="s">
        <v>279</v>
      </c>
      <c r="M71" s="620">
        <f t="shared" si="12"/>
        <v>2.9067641793593026E-2</v>
      </c>
      <c r="N71" s="620">
        <f t="shared" si="13"/>
        <v>2.8280469448048458E-2</v>
      </c>
    </row>
    <row r="72" spans="1:14">
      <c r="A72" s="1"/>
      <c r="B72" s="606" t="s">
        <v>76</v>
      </c>
      <c r="C72" s="619">
        <f t="shared" si="11"/>
        <v>1019.8989399999964</v>
      </c>
      <c r="D72" s="619">
        <f t="shared" si="10"/>
        <v>1021.4889399999963</v>
      </c>
      <c r="E72" s="619">
        <f t="shared" si="10"/>
        <v>997.36249999999995</v>
      </c>
      <c r="F72" s="619">
        <f t="shared" si="9"/>
        <v>999.67579999999998</v>
      </c>
      <c r="G72" s="619">
        <f t="shared" si="10"/>
        <v>993.51</v>
      </c>
      <c r="H72" s="619">
        <f t="shared" si="10"/>
        <v>990.43000000000006</v>
      </c>
      <c r="I72" s="619">
        <f t="shared" si="10"/>
        <v>0</v>
      </c>
      <c r="J72" s="619">
        <f t="shared" si="10"/>
        <v>0</v>
      </c>
      <c r="L72" s="606" t="s">
        <v>280</v>
      </c>
      <c r="M72" s="620">
        <f t="shared" si="12"/>
        <v>7.9097953363479162E-2</v>
      </c>
      <c r="N72" s="620">
        <f t="shared" si="13"/>
        <v>7.3858403035735654E-2</v>
      </c>
    </row>
    <row r="73" spans="1:14">
      <c r="A73" s="1"/>
      <c r="B73" s="606" t="s">
        <v>73</v>
      </c>
      <c r="C73" s="619">
        <f>+C29</f>
        <v>0</v>
      </c>
      <c r="D73" s="619">
        <f t="shared" ref="D73:J74" si="14">+D29</f>
        <v>0</v>
      </c>
      <c r="E73" s="619">
        <f t="shared" si="14"/>
        <v>0</v>
      </c>
      <c r="F73" s="619">
        <f t="shared" si="14"/>
        <v>0</v>
      </c>
      <c r="G73" s="619">
        <f t="shared" si="14"/>
        <v>0</v>
      </c>
      <c r="H73" s="619">
        <f t="shared" si="14"/>
        <v>0</v>
      </c>
      <c r="I73" s="619">
        <f t="shared" si="14"/>
        <v>0</v>
      </c>
      <c r="J73" s="619">
        <f t="shared" si="14"/>
        <v>0</v>
      </c>
      <c r="L73" s="606" t="s">
        <v>281</v>
      </c>
      <c r="M73" s="620">
        <f t="shared" si="12"/>
        <v>0</v>
      </c>
      <c r="N73" s="620">
        <f t="shared" si="13"/>
        <v>0</v>
      </c>
    </row>
    <row r="74" spans="1:14">
      <c r="A74" s="1"/>
      <c r="B74" s="609" t="s">
        <v>1397</v>
      </c>
      <c r="C74" s="619">
        <f>+C30</f>
        <v>0</v>
      </c>
      <c r="D74" s="619">
        <f t="shared" si="14"/>
        <v>0</v>
      </c>
      <c r="E74" s="619">
        <f t="shared" si="14"/>
        <v>0</v>
      </c>
      <c r="F74" s="619">
        <f t="shared" si="14"/>
        <v>564</v>
      </c>
      <c r="G74" s="619">
        <f t="shared" si="14"/>
        <v>488</v>
      </c>
      <c r="H74" s="619">
        <f t="shared" si="14"/>
        <v>462.05</v>
      </c>
      <c r="I74" s="619">
        <f t="shared" si="14"/>
        <v>0</v>
      </c>
      <c r="J74" s="619">
        <f t="shared" si="14"/>
        <v>0</v>
      </c>
      <c r="L74" s="606" t="s">
        <v>1397</v>
      </c>
      <c r="M74" s="620">
        <f t="shared" si="12"/>
        <v>0</v>
      </c>
      <c r="N74" s="620">
        <f t="shared" si="13"/>
        <v>1.696205271702533E-2</v>
      </c>
    </row>
    <row r="75" spans="1:14" hidden="1">
      <c r="A75" s="1"/>
      <c r="B75" s="601" t="s">
        <v>1393</v>
      </c>
      <c r="C75" s="619"/>
      <c r="D75" s="619"/>
      <c r="E75" s="619"/>
      <c r="F75" s="619"/>
      <c r="G75" s="619"/>
      <c r="H75" s="619"/>
      <c r="I75" s="619"/>
      <c r="J75" s="619"/>
      <c r="L75" s="601" t="s">
        <v>1393</v>
      </c>
      <c r="M75" s="620">
        <f t="shared" si="12"/>
        <v>0</v>
      </c>
      <c r="N75" s="620">
        <f t="shared" si="13"/>
        <v>0</v>
      </c>
    </row>
    <row r="76" spans="1:14" hidden="1">
      <c r="A76" s="1"/>
      <c r="B76" s="601" t="s">
        <v>1394</v>
      </c>
      <c r="C76" s="619"/>
      <c r="D76" s="619"/>
      <c r="E76" s="619"/>
      <c r="F76" s="619"/>
      <c r="G76" s="619"/>
      <c r="H76" s="619"/>
      <c r="I76" s="619"/>
      <c r="J76" s="619"/>
      <c r="L76" s="601" t="s">
        <v>1394</v>
      </c>
      <c r="M76" s="620">
        <f t="shared" si="12"/>
        <v>0</v>
      </c>
      <c r="N76" s="620">
        <f t="shared" si="13"/>
        <v>0</v>
      </c>
    </row>
    <row r="77" spans="1:14">
      <c r="A77" s="1"/>
      <c r="B77" s="621" t="s">
        <v>263</v>
      </c>
      <c r="C77" s="622">
        <f t="shared" ref="C77:J77" si="15">SUM(C65:C76)</f>
        <v>12791.732190000024</v>
      </c>
      <c r="D77" s="622">
        <f>SUM(D65:D76)</f>
        <v>12914.227190000023</v>
      </c>
      <c r="E77" s="622">
        <f t="shared" si="15"/>
        <v>13193.024829999998</v>
      </c>
      <c r="F77" s="622">
        <f t="shared" si="15"/>
        <v>13720.479630000002</v>
      </c>
      <c r="G77" s="622">
        <f t="shared" ref="G77:H77" si="16">SUM(G65:G76)</f>
        <v>14314.22</v>
      </c>
      <c r="H77" s="622">
        <f t="shared" si="16"/>
        <v>14325.99</v>
      </c>
      <c r="I77" s="622">
        <f t="shared" si="15"/>
        <v>0</v>
      </c>
      <c r="J77" s="622">
        <f t="shared" si="15"/>
        <v>0</v>
      </c>
      <c r="L77" s="606" t="s">
        <v>263</v>
      </c>
      <c r="M77" s="623">
        <f t="shared" si="12"/>
        <v>1</v>
      </c>
      <c r="N77" s="623">
        <f t="shared" si="13"/>
        <v>1</v>
      </c>
    </row>
    <row r="80" spans="1:14" s="629" customFormat="1" ht="23.5">
      <c r="A80" s="624" t="s">
        <v>1378</v>
      </c>
      <c r="B80" s="625" t="s">
        <v>1402</v>
      </c>
      <c r="C80" s="626"/>
      <c r="D80" s="626"/>
      <c r="E80" s="626"/>
      <c r="F80" s="626"/>
      <c r="G80" s="785"/>
      <c r="H80" s="785"/>
      <c r="I80" s="626"/>
      <c r="J80" s="627"/>
      <c r="K80" s="628"/>
      <c r="L80" s="628"/>
      <c r="M80" s="628"/>
      <c r="N80" s="628"/>
    </row>
    <row r="82" spans="1:13" s="629" customFormat="1" ht="31">
      <c r="A82" s="624" t="s">
        <v>1378</v>
      </c>
      <c r="B82" s="630" t="s">
        <v>1403</v>
      </c>
      <c r="C82" s="232" t="s">
        <v>282</v>
      </c>
      <c r="D82" s="232" t="s">
        <v>248</v>
      </c>
      <c r="E82" s="232" t="s">
        <v>1404</v>
      </c>
      <c r="F82" s="628"/>
      <c r="G82" s="637"/>
      <c r="H82" s="637"/>
    </row>
    <row r="83" spans="1:13" ht="13" customHeight="1">
      <c r="A83" s="631"/>
      <c r="B83" s="632" t="s">
        <v>1405</v>
      </c>
      <c r="C83" s="632"/>
      <c r="D83" s="632"/>
      <c r="E83" s="632"/>
      <c r="F83" s="631"/>
      <c r="G83" s="639"/>
      <c r="H83" s="639"/>
    </row>
    <row r="84" spans="1:13">
      <c r="A84" s="631"/>
      <c r="B84" s="633" t="s">
        <v>1406</v>
      </c>
      <c r="C84" s="634">
        <v>2.4899999999999999E-2</v>
      </c>
      <c r="D84" s="634">
        <v>2.5000000000000001E-2</v>
      </c>
      <c r="E84" s="635">
        <f>D84*D22</f>
        <v>21.045860750000003</v>
      </c>
      <c r="F84" s="631"/>
      <c r="G84" s="639"/>
      <c r="H84" s="639"/>
      <c r="K84" s="6" t="str">
        <f>IF(COUNTA(C84:D84)&lt;&gt;COUNT(C84:D84),"Please remove any text entries, enter numeric values only","")</f>
        <v/>
      </c>
    </row>
    <row r="85" spans="1:13">
      <c r="A85" s="631"/>
      <c r="B85" s="633" t="s">
        <v>1407</v>
      </c>
      <c r="C85" s="634">
        <v>7.0000000000000007E-2</v>
      </c>
      <c r="D85" s="634">
        <v>5.5E-2</v>
      </c>
      <c r="E85" s="635">
        <f>D85*D23</f>
        <v>206.23863810000211</v>
      </c>
      <c r="F85" s="631"/>
      <c r="G85" s="639"/>
      <c r="H85" s="639"/>
      <c r="K85" s="6" t="str">
        <f t="shared" ref="K85:K86" si="17">IF(COUNTA(C85:D85)&lt;&gt;COUNT(C85:D85),"Please remove any text entries, enter numeric values only","")</f>
        <v/>
      </c>
    </row>
    <row r="86" spans="1:13">
      <c r="A86" s="631"/>
      <c r="B86" s="633" t="s">
        <v>1408</v>
      </c>
      <c r="C86" s="634">
        <v>7.1999999999999995E-2</v>
      </c>
      <c r="D86" s="634">
        <v>5.5E-2</v>
      </c>
      <c r="E86" s="635">
        <f>D86*SUM(D21,D24:D30)</f>
        <v>424.99541369999923</v>
      </c>
      <c r="F86" s="631"/>
      <c r="G86" s="639"/>
      <c r="H86" s="639"/>
      <c r="K86" s="6" t="str">
        <f t="shared" si="17"/>
        <v/>
      </c>
    </row>
    <row r="87" spans="1:13">
      <c r="A87" s="631"/>
      <c r="B87" s="631"/>
      <c r="C87" s="631"/>
      <c r="D87" s="631"/>
      <c r="E87" s="631"/>
      <c r="F87" s="631"/>
      <c r="G87" s="639"/>
      <c r="H87" s="639"/>
      <c r="I87" s="631"/>
      <c r="J87" s="631"/>
      <c r="K87" s="631"/>
      <c r="L87" s="631"/>
      <c r="M87" s="631"/>
    </row>
    <row r="88" spans="1:13" s="629" customFormat="1" ht="31">
      <c r="A88" s="636" t="s">
        <v>1378</v>
      </c>
      <c r="B88" s="630" t="s">
        <v>1409</v>
      </c>
      <c r="C88" s="232" t="s">
        <v>282</v>
      </c>
      <c r="D88" s="232" t="s">
        <v>248</v>
      </c>
      <c r="E88" s="232" t="s">
        <v>1410</v>
      </c>
      <c r="F88" s="637"/>
      <c r="G88" s="637"/>
      <c r="H88" s="637"/>
    </row>
    <row r="89" spans="1:13">
      <c r="A89" s="638" t="s">
        <v>1378</v>
      </c>
      <c r="B89" s="632" t="s">
        <v>1411</v>
      </c>
      <c r="C89" s="632" t="s">
        <v>1378</v>
      </c>
      <c r="D89" s="632" t="s">
        <v>1378</v>
      </c>
      <c r="E89" s="632" t="s">
        <v>1378</v>
      </c>
      <c r="F89" s="639"/>
      <c r="G89" s="639"/>
      <c r="H89" s="639"/>
    </row>
    <row r="90" spans="1:13">
      <c r="A90" s="638" t="s">
        <v>1378</v>
      </c>
      <c r="B90" s="606" t="s">
        <v>75</v>
      </c>
      <c r="C90" s="634">
        <v>0.14149999999999999</v>
      </c>
      <c r="D90" s="634">
        <v>0.13700000000000001</v>
      </c>
      <c r="E90" s="635">
        <f>D90*D21</f>
        <v>339.75553105999865</v>
      </c>
      <c r="F90" s="639"/>
      <c r="H90" s="639"/>
      <c r="K90" s="6" t="str">
        <f t="shared" ref="K90:K99" si="18">IF(COUNTA(C90:D90)&lt;&gt;COUNT(C90:D90),"Please remove any text entries, enter numeric values only","")</f>
        <v/>
      </c>
    </row>
    <row r="91" spans="1:13">
      <c r="A91" s="638" t="s">
        <v>1378</v>
      </c>
      <c r="B91" s="606" t="s">
        <v>78</v>
      </c>
      <c r="C91" s="634">
        <v>0.1585</v>
      </c>
      <c r="D91" s="634">
        <v>0.154</v>
      </c>
      <c r="E91" s="635">
        <f t="shared" ref="E91:E96" si="19">D91*D22</f>
        <v>129.64250222000001</v>
      </c>
      <c r="F91" s="639"/>
      <c r="H91" s="639"/>
      <c r="K91" s="6" t="str">
        <f t="shared" si="18"/>
        <v/>
      </c>
    </row>
    <row r="92" spans="1:13">
      <c r="A92" s="638" t="s">
        <v>1378</v>
      </c>
      <c r="B92" s="606" t="s">
        <v>77</v>
      </c>
      <c r="C92" s="634">
        <v>7.7899999999999997E-2</v>
      </c>
      <c r="D92" s="634">
        <v>7.0499999999999993E-2</v>
      </c>
      <c r="E92" s="635">
        <f t="shared" si="19"/>
        <v>264.36043611000264</v>
      </c>
      <c r="F92" s="639"/>
      <c r="H92" s="639"/>
      <c r="K92" s="6" t="str">
        <f t="shared" si="18"/>
        <v/>
      </c>
    </row>
    <row r="93" spans="1:13">
      <c r="A93" s="638" t="s">
        <v>1378</v>
      </c>
      <c r="B93" s="606" t="s">
        <v>74</v>
      </c>
      <c r="C93" s="634">
        <v>7.3400000000000007E-2</v>
      </c>
      <c r="D93" s="634">
        <v>6.8000000000000005E-2</v>
      </c>
      <c r="E93" s="635">
        <f t="shared" si="19"/>
        <v>28.181864240000028</v>
      </c>
      <c r="F93" s="639"/>
      <c r="H93" s="639"/>
      <c r="K93" s="6" t="str">
        <f t="shared" si="18"/>
        <v/>
      </c>
    </row>
    <row r="94" spans="1:13">
      <c r="A94" s="638" t="s">
        <v>1378</v>
      </c>
      <c r="B94" s="606" t="s">
        <v>71</v>
      </c>
      <c r="C94" s="634">
        <v>0.1014</v>
      </c>
      <c r="D94" s="634">
        <v>9.6000000000000002E-2</v>
      </c>
      <c r="E94" s="635">
        <f t="shared" si="19"/>
        <v>246.50989632000005</v>
      </c>
      <c r="F94" s="639"/>
      <c r="H94" s="639"/>
      <c r="K94" s="6" t="str">
        <f t="shared" si="18"/>
        <v/>
      </c>
    </row>
    <row r="95" spans="1:13">
      <c r="A95" s="638" t="s">
        <v>1378</v>
      </c>
      <c r="B95" s="606" t="s">
        <v>69</v>
      </c>
      <c r="C95" s="634">
        <v>9.6600000000000005E-2</v>
      </c>
      <c r="D95" s="634">
        <v>9.1999999999999998E-2</v>
      </c>
      <c r="E95" s="635">
        <f t="shared" si="19"/>
        <v>86.583618679999901</v>
      </c>
      <c r="F95" s="639"/>
      <c r="H95" s="639"/>
      <c r="K95" s="6" t="str">
        <f t="shared" si="18"/>
        <v/>
      </c>
    </row>
    <row r="96" spans="1:13">
      <c r="A96" s="638" t="s">
        <v>1378</v>
      </c>
      <c r="B96" s="606" t="s">
        <v>72</v>
      </c>
      <c r="C96" s="634">
        <v>8.4500000000000006E-2</v>
      </c>
      <c r="D96" s="634">
        <v>0.08</v>
      </c>
      <c r="E96" s="635">
        <f t="shared" si="19"/>
        <v>27.671690400000006</v>
      </c>
      <c r="F96" s="639"/>
      <c r="H96" s="639"/>
      <c r="K96" s="6" t="str">
        <f t="shared" si="18"/>
        <v/>
      </c>
    </row>
    <row r="97" spans="1:11">
      <c r="A97" s="638" t="s">
        <v>1378</v>
      </c>
      <c r="B97" s="606" t="s">
        <v>76</v>
      </c>
      <c r="C97" s="634">
        <v>0.1182</v>
      </c>
      <c r="D97" s="634">
        <v>0.113</v>
      </c>
      <c r="E97" s="635">
        <f>D97*D28</f>
        <v>110.50823021999959</v>
      </c>
      <c r="F97" s="639"/>
      <c r="H97" s="639"/>
      <c r="K97" s="6" t="str">
        <f t="shared" si="18"/>
        <v/>
      </c>
    </row>
    <row r="98" spans="1:11">
      <c r="A98" s="638"/>
      <c r="B98" s="606" t="s">
        <v>73</v>
      </c>
      <c r="C98" s="634"/>
      <c r="D98" s="634"/>
      <c r="E98" s="635">
        <f t="shared" ref="E98:E99" si="20">D98*D29</f>
        <v>0</v>
      </c>
      <c r="F98" s="639"/>
      <c r="H98" s="639"/>
      <c r="K98" s="6" t="str">
        <f t="shared" si="18"/>
        <v/>
      </c>
    </row>
    <row r="99" spans="1:11">
      <c r="A99" s="638" t="s">
        <v>1378</v>
      </c>
      <c r="B99" s="609" t="s">
        <v>1397</v>
      </c>
      <c r="C99" s="634"/>
      <c r="D99" s="634"/>
      <c r="E99" s="635">
        <f t="shared" si="20"/>
        <v>0</v>
      </c>
      <c r="F99" s="639"/>
      <c r="H99" s="639"/>
      <c r="K99" s="6" t="str">
        <f t="shared" si="18"/>
        <v/>
      </c>
    </row>
    <row r="100" spans="1:11">
      <c r="A100" s="640" t="s">
        <v>1378</v>
      </c>
      <c r="B100" s="641" t="s">
        <v>283</v>
      </c>
      <c r="C100" s="642">
        <f>IFERROR(SUMPRODUCT(C90:C99,D21:D30)/D33,0)</f>
        <v>0.10577196900102699</v>
      </c>
      <c r="D100" s="642">
        <f>IFERROR(SUMPRODUCT(D90:D99,H21:H30)/H33,0)</f>
        <v>9.546863319891942E-2</v>
      </c>
      <c r="E100" s="643">
        <f>SUM(E90:E99)</f>
        <v>1233.213769250001</v>
      </c>
      <c r="F100" s="631"/>
      <c r="G100" s="639"/>
      <c r="H100" s="639"/>
    </row>
    <row r="101" spans="1:11" ht="15.5">
      <c r="A101" s="644" t="s">
        <v>1378</v>
      </c>
      <c r="B101" s="638"/>
      <c r="C101" s="638"/>
      <c r="D101" s="644" t="s">
        <v>1378</v>
      </c>
      <c r="E101" s="631"/>
      <c r="F101" s="631"/>
      <c r="G101" s="639"/>
      <c r="H101" s="639"/>
    </row>
    <row r="102" spans="1:11" ht="15.5">
      <c r="A102" s="644"/>
      <c r="B102" s="638"/>
      <c r="C102" s="638"/>
      <c r="D102" s="644"/>
      <c r="E102" s="631"/>
      <c r="F102" s="631"/>
      <c r="G102" s="639"/>
      <c r="H102" s="639"/>
    </row>
    <row r="103" spans="1:11" ht="46.5">
      <c r="A103" s="644" t="s">
        <v>1378</v>
      </c>
      <c r="B103" s="645" t="s">
        <v>1412</v>
      </c>
      <c r="C103" s="646"/>
      <c r="D103" s="647" t="s">
        <v>248</v>
      </c>
      <c r="E103" s="648"/>
      <c r="F103" s="649" t="s">
        <v>1413</v>
      </c>
      <c r="G103" s="786" t="s">
        <v>1414</v>
      </c>
      <c r="H103" s="786" t="s">
        <v>71</v>
      </c>
      <c r="I103" s="650" t="s">
        <v>1415</v>
      </c>
      <c r="J103" s="651" t="s">
        <v>267</v>
      </c>
    </row>
    <row r="104" spans="1:11" ht="15.5">
      <c r="A104" s="644"/>
      <c r="B104" s="632" t="s">
        <v>284</v>
      </c>
      <c r="C104" s="638"/>
      <c r="D104" s="652">
        <f>D33</f>
        <v>12318.817190000025</v>
      </c>
      <c r="E104" s="631"/>
      <c r="F104" s="652">
        <f>D22</f>
        <v>841.83443</v>
      </c>
      <c r="G104" s="652">
        <f>D23</f>
        <v>3749.7934200000382</v>
      </c>
      <c r="H104" s="652">
        <f>D25</f>
        <v>2567.8114200000005</v>
      </c>
      <c r="I104" s="652">
        <f>D21</f>
        <v>2479.96737999999</v>
      </c>
      <c r="J104" s="652">
        <f>SUM(D24,D26:D30)</f>
        <v>2679.4105399999958</v>
      </c>
      <c r="K104" s="6" t="str">
        <f t="shared" ref="K104:K106" si="21">IF(COUNTA(C104:J104)&lt;&gt;COUNT(C104:J104),"Please remove any text entries, enter numeric values only","")</f>
        <v/>
      </c>
    </row>
    <row r="105" spans="1:11" ht="15.5">
      <c r="A105" s="644" t="s">
        <v>1378</v>
      </c>
      <c r="B105" s="653" t="s">
        <v>1416</v>
      </c>
      <c r="C105" s="638"/>
      <c r="D105" s="654"/>
      <c r="E105" s="631"/>
      <c r="F105" s="655"/>
      <c r="J105" s="656"/>
    </row>
    <row r="106" spans="1:11" ht="15.5">
      <c r="A106" s="644" t="s">
        <v>1378</v>
      </c>
      <c r="B106" s="657" t="s">
        <v>285</v>
      </c>
      <c r="C106" s="638"/>
      <c r="D106" s="658">
        <v>1672</v>
      </c>
      <c r="E106" s="631"/>
      <c r="F106" s="658">
        <v>166</v>
      </c>
      <c r="G106" s="658">
        <v>662</v>
      </c>
      <c r="H106" s="658">
        <v>373</v>
      </c>
      <c r="I106" s="658">
        <v>229</v>
      </c>
      <c r="J106" s="658">
        <v>241</v>
      </c>
      <c r="K106" s="6" t="str">
        <f t="shared" si="21"/>
        <v/>
      </c>
    </row>
    <row r="107" spans="1:11" ht="15.5">
      <c r="A107" s="644"/>
      <c r="B107" s="657" t="s">
        <v>286</v>
      </c>
      <c r="C107" s="638"/>
      <c r="D107" s="659">
        <v>0</v>
      </c>
      <c r="E107" s="631"/>
      <c r="F107" s="660">
        <f>ROUND($D107*F104/SUM($F104:$J104),0)</f>
        <v>0</v>
      </c>
      <c r="G107" s="660">
        <f t="shared" ref="G107:J107" si="22">ROUND($D107*G104/SUM($F104:$J104),0)</f>
        <v>0</v>
      </c>
      <c r="H107" s="660">
        <f t="shared" si="22"/>
        <v>0</v>
      </c>
      <c r="I107" s="660">
        <f t="shared" si="22"/>
        <v>0</v>
      </c>
      <c r="J107" s="660">
        <f t="shared" si="22"/>
        <v>0</v>
      </c>
      <c r="K107" s="6" t="str">
        <f>IF(COUNTA(D107)&lt;&gt;COUNT(D107),"Please remove any text entries, enter numeric values only","")</f>
        <v/>
      </c>
    </row>
    <row r="108" spans="1:11" ht="15.5">
      <c r="A108" s="644" t="s">
        <v>1378</v>
      </c>
      <c r="B108" s="657" t="s">
        <v>1378</v>
      </c>
      <c r="C108" s="638"/>
      <c r="D108" s="661" t="s">
        <v>1378</v>
      </c>
      <c r="E108" s="631"/>
      <c r="F108" s="662"/>
      <c r="G108" s="663"/>
      <c r="H108" s="663"/>
      <c r="I108" s="663"/>
      <c r="J108" s="664"/>
    </row>
    <row r="109" spans="1:11" ht="15.5">
      <c r="A109" s="644" t="s">
        <v>1378</v>
      </c>
      <c r="B109" s="665" t="s">
        <v>1417</v>
      </c>
      <c r="C109" s="638"/>
      <c r="D109" s="666" t="s">
        <v>1378</v>
      </c>
      <c r="E109" s="631"/>
      <c r="F109" s="667"/>
      <c r="G109" s="638"/>
      <c r="H109" s="638"/>
      <c r="I109" s="638"/>
      <c r="J109" s="668"/>
    </row>
    <row r="110" spans="1:11" ht="15.5">
      <c r="A110" s="644" t="s">
        <v>1378</v>
      </c>
      <c r="B110" s="657" t="s">
        <v>287</v>
      </c>
      <c r="C110" s="638"/>
      <c r="D110" s="652">
        <f>-E100</f>
        <v>-1233.213769250001</v>
      </c>
      <c r="E110" s="631"/>
      <c r="F110" s="660">
        <f>-E91</f>
        <v>-129.64250222000001</v>
      </c>
      <c r="G110" s="660">
        <f>-E92</f>
        <v>-264.36043611000264</v>
      </c>
      <c r="H110" s="660">
        <f>-E94</f>
        <v>-246.50989632000005</v>
      </c>
      <c r="I110" s="660">
        <f>-E90</f>
        <v>-339.75553105999865</v>
      </c>
      <c r="J110" s="660">
        <f>ROUND(-E100-SUM(F110:I110),0)</f>
        <v>-253</v>
      </c>
      <c r="K110" s="6" t="str">
        <f t="shared" ref="K110" si="23">IF(COUNTA(C110:J110)&lt;&gt;COUNT(C110:J110),"Please remove any text entries, enter numeric values only","")</f>
        <v/>
      </c>
    </row>
    <row r="111" spans="1:11" ht="15.5">
      <c r="A111" s="644" t="s">
        <v>1378</v>
      </c>
      <c r="B111" s="657" t="s">
        <v>288</v>
      </c>
      <c r="C111" s="638"/>
      <c r="D111" s="659">
        <v>0</v>
      </c>
      <c r="E111" s="631"/>
      <c r="F111" s="660">
        <f>ROUND($D111*F104/SUM($F104:$J104),0)</f>
        <v>0</v>
      </c>
      <c r="G111" s="660">
        <f t="shared" ref="G111:J111" si="24">ROUND($D111*G104/SUM($F104:$J104),0)</f>
        <v>0</v>
      </c>
      <c r="H111" s="660">
        <f t="shared" si="24"/>
        <v>0</v>
      </c>
      <c r="I111" s="660">
        <f t="shared" si="24"/>
        <v>0</v>
      </c>
      <c r="J111" s="660">
        <f t="shared" si="24"/>
        <v>0</v>
      </c>
    </row>
    <row r="112" spans="1:11" ht="15.5">
      <c r="A112" s="644" t="s">
        <v>1378</v>
      </c>
      <c r="B112" s="657" t="s">
        <v>1378</v>
      </c>
      <c r="C112" s="638"/>
      <c r="D112" s="669" t="s">
        <v>1378</v>
      </c>
      <c r="E112" s="631"/>
      <c r="F112" s="670"/>
      <c r="G112" s="671"/>
      <c r="H112" s="671"/>
      <c r="I112" s="671"/>
      <c r="J112" s="672"/>
    </row>
    <row r="113" spans="1:11" ht="15.5">
      <c r="A113" s="644" t="s">
        <v>1378</v>
      </c>
      <c r="B113" s="673" t="s">
        <v>289</v>
      </c>
      <c r="C113" s="674"/>
      <c r="D113" s="652">
        <f>SUM(D106:D107,D110:D111,D104)</f>
        <v>12757.603420750023</v>
      </c>
      <c r="E113" s="675"/>
      <c r="F113" s="652">
        <f>SUM(F104:F112)</f>
        <v>878.19192778000001</v>
      </c>
      <c r="G113" s="652">
        <f t="shared" ref="G113:J113" si="25">SUM(G104:G112)</f>
        <v>4147.4329838900358</v>
      </c>
      <c r="H113" s="652">
        <f t="shared" si="25"/>
        <v>2694.3015236800002</v>
      </c>
      <c r="I113" s="652">
        <f t="shared" si="25"/>
        <v>2369.2118489399913</v>
      </c>
      <c r="J113" s="652">
        <f t="shared" si="25"/>
        <v>2667.4105399999958</v>
      </c>
      <c r="K113" s="6"/>
    </row>
    <row r="114" spans="1:11">
      <c r="A114" s="631"/>
      <c r="B114" s="676" t="s">
        <v>1418</v>
      </c>
      <c r="C114" s="638"/>
      <c r="D114" s="677">
        <f>D113-H33</f>
        <v>-676.02657924997766</v>
      </c>
      <c r="E114" s="639"/>
      <c r="F114" s="677">
        <f>F113-H22</f>
        <v>-33.158072220000008</v>
      </c>
      <c r="G114" s="677">
        <f>G113-H23</f>
        <v>-103.17701610996392</v>
      </c>
      <c r="H114" s="677">
        <f>H113-H25</f>
        <v>68.271523679999973</v>
      </c>
      <c r="I114" s="677">
        <f>I113-H21</f>
        <v>-36.188151060008749</v>
      </c>
      <c r="J114" s="677">
        <f>J113-SUM(H24,H26:H28)</f>
        <v>-110.77946000000429</v>
      </c>
    </row>
    <row r="115" spans="1:11" ht="15.5">
      <c r="C115" s="638"/>
      <c r="F115" s="678"/>
    </row>
    <row r="116" spans="1:11" ht="15.5">
      <c r="C116" s="638"/>
      <c r="F116" s="678"/>
      <c r="J116" s="679"/>
      <c r="K116" s="679">
        <f>COUNTIFS(K4:K115,"Please*")</f>
        <v>0</v>
      </c>
    </row>
    <row r="117" spans="1:11" ht="15.5">
      <c r="C117" s="638"/>
      <c r="F117" s="678"/>
    </row>
  </sheetData>
  <pageMargins left="0.23622047244094491" right="0.23622047244094491" top="0.74803149606299213" bottom="0.74803149606299213" header="0.31496062992125984" footer="0.31496062992125984"/>
  <pageSetup paperSize="9" scale="57" fitToHeight="0" orientation="landscape" r:id="rId1"/>
  <headerFooter>
    <oddFooter>&amp;L&amp;F&amp;R&amp;A</oddFooter>
  </headerFooter>
  <rowBreaks count="2" manualBreakCount="2">
    <brk id="63" max="16383" man="1"/>
    <brk id="102"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pageSetUpPr fitToPage="1"/>
  </sheetPr>
  <dimension ref="A1:AJ115"/>
  <sheetViews>
    <sheetView zoomScale="90" zoomScaleNormal="90" workbookViewId="0">
      <pane xSplit="2" ySplit="2" topLeftCell="C3" activePane="bottomRight" state="frozenSplit"/>
      <selection activeCell="S193" sqref="S193"/>
      <selection pane="topRight" activeCell="S193" sqref="S193"/>
      <selection pane="bottomLeft" activeCell="S193" sqref="S193"/>
      <selection pane="bottomRight" activeCell="I25" sqref="I25"/>
    </sheetView>
  </sheetViews>
  <sheetFormatPr defaultRowHeight="15.75" customHeight="1"/>
  <cols>
    <col min="1" max="1" width="2.84375" style="690" customWidth="1"/>
    <col min="2" max="2" width="81.765625" style="690" customWidth="1"/>
    <col min="3" max="7" width="12.69140625" style="690" customWidth="1"/>
    <col min="8" max="8" width="3.69140625" style="690" customWidth="1"/>
    <col min="9" max="21" width="12.69140625" style="690" customWidth="1"/>
    <col min="22" max="22" width="9.4609375" style="690" customWidth="1"/>
    <col min="23" max="35" width="12.69140625" style="690" customWidth="1"/>
    <col min="36" max="52" width="9.4609375" style="690" customWidth="1"/>
    <col min="53" max="215" width="9.23046875" style="690"/>
    <col min="216" max="216" width="49.07421875" style="690" bestFit="1" customWidth="1"/>
    <col min="217" max="228" width="9.23046875" style="690"/>
    <col min="229" max="229" width="8.4609375" style="690" customWidth="1"/>
    <col min="230" max="230" width="5.4609375" style="690" customWidth="1"/>
    <col min="231" max="232" width="10.53515625" style="690" customWidth="1"/>
    <col min="233" max="471" width="9.23046875" style="690"/>
    <col min="472" max="472" width="49.07421875" style="690" bestFit="1" customWidth="1"/>
    <col min="473" max="484" width="9.23046875" style="690"/>
    <col min="485" max="485" width="8.4609375" style="690" customWidth="1"/>
    <col min="486" max="486" width="5.4609375" style="690" customWidth="1"/>
    <col min="487" max="488" width="10.53515625" style="690" customWidth="1"/>
    <col min="489" max="727" width="9.23046875" style="690"/>
    <col min="728" max="728" width="49.07421875" style="690" bestFit="1" customWidth="1"/>
    <col min="729" max="740" width="9.23046875" style="690"/>
    <col min="741" max="741" width="8.4609375" style="690" customWidth="1"/>
    <col min="742" max="742" width="5.4609375" style="690" customWidth="1"/>
    <col min="743" max="744" width="10.53515625" style="690" customWidth="1"/>
    <col min="745" max="983" width="9.23046875" style="690"/>
    <col min="984" max="984" width="49.07421875" style="690" bestFit="1" customWidth="1"/>
    <col min="985" max="996" width="9.23046875" style="690"/>
    <col min="997" max="997" width="8.4609375" style="690" customWidth="1"/>
    <col min="998" max="998" width="5.4609375" style="690" customWidth="1"/>
    <col min="999" max="1000" width="10.53515625" style="690" customWidth="1"/>
    <col min="1001" max="1239" width="9.23046875" style="690"/>
    <col min="1240" max="1240" width="49.07421875" style="690" bestFit="1" customWidth="1"/>
    <col min="1241" max="1252" width="9.23046875" style="690"/>
    <col min="1253" max="1253" width="8.4609375" style="690" customWidth="1"/>
    <col min="1254" max="1254" width="5.4609375" style="690" customWidth="1"/>
    <col min="1255" max="1256" width="10.53515625" style="690" customWidth="1"/>
    <col min="1257" max="1495" width="9.23046875" style="690"/>
    <col min="1496" max="1496" width="49.07421875" style="690" bestFit="1" customWidth="1"/>
    <col min="1497" max="1508" width="9.23046875" style="690"/>
    <col min="1509" max="1509" width="8.4609375" style="690" customWidth="1"/>
    <col min="1510" max="1510" width="5.4609375" style="690" customWidth="1"/>
    <col min="1511" max="1512" width="10.53515625" style="690" customWidth="1"/>
    <col min="1513" max="1751" width="9.23046875" style="690"/>
    <col min="1752" max="1752" width="49.07421875" style="690" bestFit="1" customWidth="1"/>
    <col min="1753" max="1764" width="9.23046875" style="690"/>
    <col min="1765" max="1765" width="8.4609375" style="690" customWidth="1"/>
    <col min="1766" max="1766" width="5.4609375" style="690" customWidth="1"/>
    <col min="1767" max="1768" width="10.53515625" style="690" customWidth="1"/>
    <col min="1769" max="2007" width="9.23046875" style="690"/>
    <col min="2008" max="2008" width="49.07421875" style="690" bestFit="1" customWidth="1"/>
    <col min="2009" max="2020" width="9.23046875" style="690"/>
    <col min="2021" max="2021" width="8.4609375" style="690" customWidth="1"/>
    <col min="2022" max="2022" width="5.4609375" style="690" customWidth="1"/>
    <col min="2023" max="2024" width="10.53515625" style="690" customWidth="1"/>
    <col min="2025" max="2263" width="9.23046875" style="690"/>
    <col min="2264" max="2264" width="49.07421875" style="690" bestFit="1" customWidth="1"/>
    <col min="2265" max="2276" width="9.23046875" style="690"/>
    <col min="2277" max="2277" width="8.4609375" style="690" customWidth="1"/>
    <col min="2278" max="2278" width="5.4609375" style="690" customWidth="1"/>
    <col min="2279" max="2280" width="10.53515625" style="690" customWidth="1"/>
    <col min="2281" max="2519" width="9.23046875" style="690"/>
    <col min="2520" max="2520" width="49.07421875" style="690" bestFit="1" customWidth="1"/>
    <col min="2521" max="2532" width="9.23046875" style="690"/>
    <col min="2533" max="2533" width="8.4609375" style="690" customWidth="1"/>
    <col min="2534" max="2534" width="5.4609375" style="690" customWidth="1"/>
    <col min="2535" max="2536" width="10.53515625" style="690" customWidth="1"/>
    <col min="2537" max="2775" width="9.23046875" style="690"/>
    <col min="2776" max="2776" width="49.07421875" style="690" bestFit="1" customWidth="1"/>
    <col min="2777" max="2788" width="9.23046875" style="690"/>
    <col min="2789" max="2789" width="8.4609375" style="690" customWidth="1"/>
    <col min="2790" max="2790" width="5.4609375" style="690" customWidth="1"/>
    <col min="2791" max="2792" width="10.53515625" style="690" customWidth="1"/>
    <col min="2793" max="3031" width="9.23046875" style="690"/>
    <col min="3032" max="3032" width="49.07421875" style="690" bestFit="1" customWidth="1"/>
    <col min="3033" max="3044" width="9.23046875" style="690"/>
    <col min="3045" max="3045" width="8.4609375" style="690" customWidth="1"/>
    <col min="3046" max="3046" width="5.4609375" style="690" customWidth="1"/>
    <col min="3047" max="3048" width="10.53515625" style="690" customWidth="1"/>
    <col min="3049" max="3287" width="9.23046875" style="690"/>
    <col min="3288" max="3288" width="49.07421875" style="690" bestFit="1" customWidth="1"/>
    <col min="3289" max="3300" width="9.23046875" style="690"/>
    <col min="3301" max="3301" width="8.4609375" style="690" customWidth="1"/>
    <col min="3302" max="3302" width="5.4609375" style="690" customWidth="1"/>
    <col min="3303" max="3304" width="10.53515625" style="690" customWidth="1"/>
    <col min="3305" max="3543" width="9.23046875" style="690"/>
    <col min="3544" max="3544" width="49.07421875" style="690" bestFit="1" customWidth="1"/>
    <col min="3545" max="3556" width="9.23046875" style="690"/>
    <col min="3557" max="3557" width="8.4609375" style="690" customWidth="1"/>
    <col min="3558" max="3558" width="5.4609375" style="690" customWidth="1"/>
    <col min="3559" max="3560" width="10.53515625" style="690" customWidth="1"/>
    <col min="3561" max="3799" width="9.23046875" style="690"/>
    <col min="3800" max="3800" width="49.07421875" style="690" bestFit="1" customWidth="1"/>
    <col min="3801" max="3812" width="9.23046875" style="690"/>
    <col min="3813" max="3813" width="8.4609375" style="690" customWidth="1"/>
    <col min="3814" max="3814" width="5.4609375" style="690" customWidth="1"/>
    <col min="3815" max="3816" width="10.53515625" style="690" customWidth="1"/>
    <col min="3817" max="4055" width="9.23046875" style="690"/>
    <col min="4056" max="4056" width="49.07421875" style="690" bestFit="1" customWidth="1"/>
    <col min="4057" max="4068" width="9.23046875" style="690"/>
    <col min="4069" max="4069" width="8.4609375" style="690" customWidth="1"/>
    <col min="4070" max="4070" width="5.4609375" style="690" customWidth="1"/>
    <col min="4071" max="4072" width="10.53515625" style="690" customWidth="1"/>
    <col min="4073" max="4311" width="9.23046875" style="690"/>
    <col min="4312" max="4312" width="49.07421875" style="690" bestFit="1" customWidth="1"/>
    <col min="4313" max="4324" width="9.23046875" style="690"/>
    <col min="4325" max="4325" width="8.4609375" style="690" customWidth="1"/>
    <col min="4326" max="4326" width="5.4609375" style="690" customWidth="1"/>
    <col min="4327" max="4328" width="10.53515625" style="690" customWidth="1"/>
    <col min="4329" max="4567" width="9.23046875" style="690"/>
    <col min="4568" max="4568" width="49.07421875" style="690" bestFit="1" customWidth="1"/>
    <col min="4569" max="4580" width="9.23046875" style="690"/>
    <col min="4581" max="4581" width="8.4609375" style="690" customWidth="1"/>
    <col min="4582" max="4582" width="5.4609375" style="690" customWidth="1"/>
    <col min="4583" max="4584" width="10.53515625" style="690" customWidth="1"/>
    <col min="4585" max="4823" width="9.23046875" style="690"/>
    <col min="4824" max="4824" width="49.07421875" style="690" bestFit="1" customWidth="1"/>
    <col min="4825" max="4836" width="9.23046875" style="690"/>
    <col min="4837" max="4837" width="8.4609375" style="690" customWidth="1"/>
    <col min="4838" max="4838" width="5.4609375" style="690" customWidth="1"/>
    <col min="4839" max="4840" width="10.53515625" style="690" customWidth="1"/>
    <col min="4841" max="5079" width="9.23046875" style="690"/>
    <col min="5080" max="5080" width="49.07421875" style="690" bestFit="1" customWidth="1"/>
    <col min="5081" max="5092" width="9.23046875" style="690"/>
    <col min="5093" max="5093" width="8.4609375" style="690" customWidth="1"/>
    <col min="5094" max="5094" width="5.4609375" style="690" customWidth="1"/>
    <col min="5095" max="5096" width="10.53515625" style="690" customWidth="1"/>
    <col min="5097" max="5335" width="9.23046875" style="690"/>
    <col min="5336" max="5336" width="49.07421875" style="690" bestFit="1" customWidth="1"/>
    <col min="5337" max="5348" width="9.23046875" style="690"/>
    <col min="5349" max="5349" width="8.4609375" style="690" customWidth="1"/>
    <col min="5350" max="5350" width="5.4609375" style="690" customWidth="1"/>
    <col min="5351" max="5352" width="10.53515625" style="690" customWidth="1"/>
    <col min="5353" max="5591" width="9.23046875" style="690"/>
    <col min="5592" max="5592" width="49.07421875" style="690" bestFit="1" customWidth="1"/>
    <col min="5593" max="5604" width="9.23046875" style="690"/>
    <col min="5605" max="5605" width="8.4609375" style="690" customWidth="1"/>
    <col min="5606" max="5606" width="5.4609375" style="690" customWidth="1"/>
    <col min="5607" max="5608" width="10.53515625" style="690" customWidth="1"/>
    <col min="5609" max="5847" width="9.23046875" style="690"/>
    <col min="5848" max="5848" width="49.07421875" style="690" bestFit="1" customWidth="1"/>
    <col min="5849" max="5860" width="9.23046875" style="690"/>
    <col min="5861" max="5861" width="8.4609375" style="690" customWidth="1"/>
    <col min="5862" max="5862" width="5.4609375" style="690" customWidth="1"/>
    <col min="5863" max="5864" width="10.53515625" style="690" customWidth="1"/>
    <col min="5865" max="6103" width="9.23046875" style="690"/>
    <col min="6104" max="6104" width="49.07421875" style="690" bestFit="1" customWidth="1"/>
    <col min="6105" max="6116" width="9.23046875" style="690"/>
    <col min="6117" max="6117" width="8.4609375" style="690" customWidth="1"/>
    <col min="6118" max="6118" width="5.4609375" style="690" customWidth="1"/>
    <col min="6119" max="6120" width="10.53515625" style="690" customWidth="1"/>
    <col min="6121" max="6359" width="9.23046875" style="690"/>
    <col min="6360" max="6360" width="49.07421875" style="690" bestFit="1" customWidth="1"/>
    <col min="6361" max="6372" width="9.23046875" style="690"/>
    <col min="6373" max="6373" width="8.4609375" style="690" customWidth="1"/>
    <col min="6374" max="6374" width="5.4609375" style="690" customWidth="1"/>
    <col min="6375" max="6376" width="10.53515625" style="690" customWidth="1"/>
    <col min="6377" max="6615" width="9.23046875" style="690"/>
    <col min="6616" max="6616" width="49.07421875" style="690" bestFit="1" customWidth="1"/>
    <col min="6617" max="6628" width="9.23046875" style="690"/>
    <col min="6629" max="6629" width="8.4609375" style="690" customWidth="1"/>
    <col min="6630" max="6630" width="5.4609375" style="690" customWidth="1"/>
    <col min="6631" max="6632" width="10.53515625" style="690" customWidth="1"/>
    <col min="6633" max="6871" width="9.23046875" style="690"/>
    <col min="6872" max="6872" width="49.07421875" style="690" bestFit="1" customWidth="1"/>
    <col min="6873" max="6884" width="9.23046875" style="690"/>
    <col min="6885" max="6885" width="8.4609375" style="690" customWidth="1"/>
    <col min="6886" max="6886" width="5.4609375" style="690" customWidth="1"/>
    <col min="6887" max="6888" width="10.53515625" style="690" customWidth="1"/>
    <col min="6889" max="7127" width="9.23046875" style="690"/>
    <col min="7128" max="7128" width="49.07421875" style="690" bestFit="1" customWidth="1"/>
    <col min="7129" max="7140" width="9.23046875" style="690"/>
    <col min="7141" max="7141" width="8.4609375" style="690" customWidth="1"/>
    <col min="7142" max="7142" width="5.4609375" style="690" customWidth="1"/>
    <col min="7143" max="7144" width="10.53515625" style="690" customWidth="1"/>
    <col min="7145" max="7383" width="9.23046875" style="690"/>
    <col min="7384" max="7384" width="49.07421875" style="690" bestFit="1" customWidth="1"/>
    <col min="7385" max="7396" width="9.23046875" style="690"/>
    <col min="7397" max="7397" width="8.4609375" style="690" customWidth="1"/>
    <col min="7398" max="7398" width="5.4609375" style="690" customWidth="1"/>
    <col min="7399" max="7400" width="10.53515625" style="690" customWidth="1"/>
    <col min="7401" max="7639" width="9.23046875" style="690"/>
    <col min="7640" max="7640" width="49.07421875" style="690" bestFit="1" customWidth="1"/>
    <col min="7641" max="7652" width="9.23046875" style="690"/>
    <col min="7653" max="7653" width="8.4609375" style="690" customWidth="1"/>
    <col min="7654" max="7654" width="5.4609375" style="690" customWidth="1"/>
    <col min="7655" max="7656" width="10.53515625" style="690" customWidth="1"/>
    <col min="7657" max="7895" width="9.23046875" style="690"/>
    <col min="7896" max="7896" width="49.07421875" style="690" bestFit="1" customWidth="1"/>
    <col min="7897" max="7908" width="9.23046875" style="690"/>
    <col min="7909" max="7909" width="8.4609375" style="690" customWidth="1"/>
    <col min="7910" max="7910" width="5.4609375" style="690" customWidth="1"/>
    <col min="7911" max="7912" width="10.53515625" style="690" customWidth="1"/>
    <col min="7913" max="8151" width="9.23046875" style="690"/>
    <col min="8152" max="8152" width="49.07421875" style="690" bestFit="1" customWidth="1"/>
    <col min="8153" max="8164" width="9.23046875" style="690"/>
    <col min="8165" max="8165" width="8.4609375" style="690" customWidth="1"/>
    <col min="8166" max="8166" width="5.4609375" style="690" customWidth="1"/>
    <col min="8167" max="8168" width="10.53515625" style="690" customWidth="1"/>
    <col min="8169" max="8407" width="9.23046875" style="690"/>
    <col min="8408" max="8408" width="49.07421875" style="690" bestFit="1" customWidth="1"/>
    <col min="8409" max="8420" width="9.23046875" style="690"/>
    <col min="8421" max="8421" width="8.4609375" style="690" customWidth="1"/>
    <col min="8422" max="8422" width="5.4609375" style="690" customWidth="1"/>
    <col min="8423" max="8424" width="10.53515625" style="690" customWidth="1"/>
    <col min="8425" max="8663" width="9.23046875" style="690"/>
    <col min="8664" max="8664" width="49.07421875" style="690" bestFit="1" customWidth="1"/>
    <col min="8665" max="8676" width="9.23046875" style="690"/>
    <col min="8677" max="8677" width="8.4609375" style="690" customWidth="1"/>
    <col min="8678" max="8678" width="5.4609375" style="690" customWidth="1"/>
    <col min="8679" max="8680" width="10.53515625" style="690" customWidth="1"/>
    <col min="8681" max="8919" width="9.23046875" style="690"/>
    <col min="8920" max="8920" width="49.07421875" style="690" bestFit="1" customWidth="1"/>
    <col min="8921" max="8932" width="9.23046875" style="690"/>
    <col min="8933" max="8933" width="8.4609375" style="690" customWidth="1"/>
    <col min="8934" max="8934" width="5.4609375" style="690" customWidth="1"/>
    <col min="8935" max="8936" width="10.53515625" style="690" customWidth="1"/>
    <col min="8937" max="9175" width="9.23046875" style="690"/>
    <col min="9176" max="9176" width="49.07421875" style="690" bestFit="1" customWidth="1"/>
    <col min="9177" max="9188" width="9.23046875" style="690"/>
    <col min="9189" max="9189" width="8.4609375" style="690" customWidth="1"/>
    <col min="9190" max="9190" width="5.4609375" style="690" customWidth="1"/>
    <col min="9191" max="9192" width="10.53515625" style="690" customWidth="1"/>
    <col min="9193" max="9431" width="9.23046875" style="690"/>
    <col min="9432" max="9432" width="49.07421875" style="690" bestFit="1" customWidth="1"/>
    <col min="9433" max="9444" width="9.23046875" style="690"/>
    <col min="9445" max="9445" width="8.4609375" style="690" customWidth="1"/>
    <col min="9446" max="9446" width="5.4609375" style="690" customWidth="1"/>
    <col min="9447" max="9448" width="10.53515625" style="690" customWidth="1"/>
    <col min="9449" max="9687" width="9.23046875" style="690"/>
    <col min="9688" max="9688" width="49.07421875" style="690" bestFit="1" customWidth="1"/>
    <col min="9689" max="9700" width="9.23046875" style="690"/>
    <col min="9701" max="9701" width="8.4609375" style="690" customWidth="1"/>
    <col min="9702" max="9702" width="5.4609375" style="690" customWidth="1"/>
    <col min="9703" max="9704" width="10.53515625" style="690" customWidth="1"/>
    <col min="9705" max="9943" width="9.23046875" style="690"/>
    <col min="9944" max="9944" width="49.07421875" style="690" bestFit="1" customWidth="1"/>
    <col min="9945" max="9956" width="9.23046875" style="690"/>
    <col min="9957" max="9957" width="8.4609375" style="690" customWidth="1"/>
    <col min="9958" max="9958" width="5.4609375" style="690" customWidth="1"/>
    <col min="9959" max="9960" width="10.53515625" style="690" customWidth="1"/>
    <col min="9961" max="10199" width="9.23046875" style="690"/>
    <col min="10200" max="10200" width="49.07421875" style="690" bestFit="1" customWidth="1"/>
    <col min="10201" max="10212" width="9.23046875" style="690"/>
    <col min="10213" max="10213" width="8.4609375" style="690" customWidth="1"/>
    <col min="10214" max="10214" width="5.4609375" style="690" customWidth="1"/>
    <col min="10215" max="10216" width="10.53515625" style="690" customWidth="1"/>
    <col min="10217" max="10455" width="9.23046875" style="690"/>
    <col min="10456" max="10456" width="49.07421875" style="690" bestFit="1" customWidth="1"/>
    <col min="10457" max="10468" width="9.23046875" style="690"/>
    <col min="10469" max="10469" width="8.4609375" style="690" customWidth="1"/>
    <col min="10470" max="10470" width="5.4609375" style="690" customWidth="1"/>
    <col min="10471" max="10472" width="10.53515625" style="690" customWidth="1"/>
    <col min="10473" max="10711" width="9.23046875" style="690"/>
    <col min="10712" max="10712" width="49.07421875" style="690" bestFit="1" customWidth="1"/>
    <col min="10713" max="10724" width="9.23046875" style="690"/>
    <col min="10725" max="10725" width="8.4609375" style="690" customWidth="1"/>
    <col min="10726" max="10726" width="5.4609375" style="690" customWidth="1"/>
    <col min="10727" max="10728" width="10.53515625" style="690" customWidth="1"/>
    <col min="10729" max="10967" width="9.23046875" style="690"/>
    <col min="10968" max="10968" width="49.07421875" style="690" bestFit="1" customWidth="1"/>
    <col min="10969" max="10980" width="9.23046875" style="690"/>
    <col min="10981" max="10981" width="8.4609375" style="690" customWidth="1"/>
    <col min="10982" max="10982" width="5.4609375" style="690" customWidth="1"/>
    <col min="10983" max="10984" width="10.53515625" style="690" customWidth="1"/>
    <col min="10985" max="11223" width="9.23046875" style="690"/>
    <col min="11224" max="11224" width="49.07421875" style="690" bestFit="1" customWidth="1"/>
    <col min="11225" max="11236" width="9.23046875" style="690"/>
    <col min="11237" max="11237" width="8.4609375" style="690" customWidth="1"/>
    <col min="11238" max="11238" width="5.4609375" style="690" customWidth="1"/>
    <col min="11239" max="11240" width="10.53515625" style="690" customWidth="1"/>
    <col min="11241" max="11479" width="9.23046875" style="690"/>
    <col min="11480" max="11480" width="49.07421875" style="690" bestFit="1" customWidth="1"/>
    <col min="11481" max="11492" width="9.23046875" style="690"/>
    <col min="11493" max="11493" width="8.4609375" style="690" customWidth="1"/>
    <col min="11494" max="11494" width="5.4609375" style="690" customWidth="1"/>
    <col min="11495" max="11496" width="10.53515625" style="690" customWidth="1"/>
    <col min="11497" max="11735" width="9.23046875" style="690"/>
    <col min="11736" max="11736" width="49.07421875" style="690" bestFit="1" customWidth="1"/>
    <col min="11737" max="11748" width="9.23046875" style="690"/>
    <col min="11749" max="11749" width="8.4609375" style="690" customWidth="1"/>
    <col min="11750" max="11750" width="5.4609375" style="690" customWidth="1"/>
    <col min="11751" max="11752" width="10.53515625" style="690" customWidth="1"/>
    <col min="11753" max="11991" width="9.23046875" style="690"/>
    <col min="11992" max="11992" width="49.07421875" style="690" bestFit="1" customWidth="1"/>
    <col min="11993" max="12004" width="9.23046875" style="690"/>
    <col min="12005" max="12005" width="8.4609375" style="690" customWidth="1"/>
    <col min="12006" max="12006" width="5.4609375" style="690" customWidth="1"/>
    <col min="12007" max="12008" width="10.53515625" style="690" customWidth="1"/>
    <col min="12009" max="12247" width="9.23046875" style="690"/>
    <col min="12248" max="12248" width="49.07421875" style="690" bestFit="1" customWidth="1"/>
    <col min="12249" max="12260" width="9.23046875" style="690"/>
    <col min="12261" max="12261" width="8.4609375" style="690" customWidth="1"/>
    <col min="12262" max="12262" width="5.4609375" style="690" customWidth="1"/>
    <col min="12263" max="12264" width="10.53515625" style="690" customWidth="1"/>
    <col min="12265" max="12503" width="9.23046875" style="690"/>
    <col min="12504" max="12504" width="49.07421875" style="690" bestFit="1" customWidth="1"/>
    <col min="12505" max="12516" width="9.23046875" style="690"/>
    <col min="12517" max="12517" width="8.4609375" style="690" customWidth="1"/>
    <col min="12518" max="12518" width="5.4609375" style="690" customWidth="1"/>
    <col min="12519" max="12520" width="10.53515625" style="690" customWidth="1"/>
    <col min="12521" max="12759" width="9.23046875" style="690"/>
    <col min="12760" max="12760" width="49.07421875" style="690" bestFit="1" customWidth="1"/>
    <col min="12761" max="12772" width="9.23046875" style="690"/>
    <col min="12773" max="12773" width="8.4609375" style="690" customWidth="1"/>
    <col min="12774" max="12774" width="5.4609375" style="690" customWidth="1"/>
    <col min="12775" max="12776" width="10.53515625" style="690" customWidth="1"/>
    <col min="12777" max="13015" width="9.23046875" style="690"/>
    <col min="13016" max="13016" width="49.07421875" style="690" bestFit="1" customWidth="1"/>
    <col min="13017" max="13028" width="9.23046875" style="690"/>
    <col min="13029" max="13029" width="8.4609375" style="690" customWidth="1"/>
    <col min="13030" max="13030" width="5.4609375" style="690" customWidth="1"/>
    <col min="13031" max="13032" width="10.53515625" style="690" customWidth="1"/>
    <col min="13033" max="13271" width="9.23046875" style="690"/>
    <col min="13272" max="13272" width="49.07421875" style="690" bestFit="1" customWidth="1"/>
    <col min="13273" max="13284" width="9.23046875" style="690"/>
    <col min="13285" max="13285" width="8.4609375" style="690" customWidth="1"/>
    <col min="13286" max="13286" width="5.4609375" style="690" customWidth="1"/>
    <col min="13287" max="13288" width="10.53515625" style="690" customWidth="1"/>
    <col min="13289" max="13527" width="9.23046875" style="690"/>
    <col min="13528" max="13528" width="49.07421875" style="690" bestFit="1" customWidth="1"/>
    <col min="13529" max="13540" width="9.23046875" style="690"/>
    <col min="13541" max="13541" width="8.4609375" style="690" customWidth="1"/>
    <col min="13542" max="13542" width="5.4609375" style="690" customWidth="1"/>
    <col min="13543" max="13544" width="10.53515625" style="690" customWidth="1"/>
    <col min="13545" max="13783" width="9.23046875" style="690"/>
    <col min="13784" max="13784" width="49.07421875" style="690" bestFit="1" customWidth="1"/>
    <col min="13785" max="13796" width="9.23046875" style="690"/>
    <col min="13797" max="13797" width="8.4609375" style="690" customWidth="1"/>
    <col min="13798" max="13798" width="5.4609375" style="690" customWidth="1"/>
    <col min="13799" max="13800" width="10.53515625" style="690" customWidth="1"/>
    <col min="13801" max="14039" width="9.23046875" style="690"/>
    <col min="14040" max="14040" width="49.07421875" style="690" bestFit="1" customWidth="1"/>
    <col min="14041" max="14052" width="9.23046875" style="690"/>
    <col min="14053" max="14053" width="8.4609375" style="690" customWidth="1"/>
    <col min="14054" max="14054" width="5.4609375" style="690" customWidth="1"/>
    <col min="14055" max="14056" width="10.53515625" style="690" customWidth="1"/>
    <col min="14057" max="14295" width="9.23046875" style="690"/>
    <col min="14296" max="14296" width="49.07421875" style="690" bestFit="1" customWidth="1"/>
    <col min="14297" max="14308" width="9.23046875" style="690"/>
    <col min="14309" max="14309" width="8.4609375" style="690" customWidth="1"/>
    <col min="14310" max="14310" width="5.4609375" style="690" customWidth="1"/>
    <col min="14311" max="14312" width="10.53515625" style="690" customWidth="1"/>
    <col min="14313" max="14551" width="9.23046875" style="690"/>
    <col min="14552" max="14552" width="49.07421875" style="690" bestFit="1" customWidth="1"/>
    <col min="14553" max="14564" width="9.23046875" style="690"/>
    <col min="14565" max="14565" width="8.4609375" style="690" customWidth="1"/>
    <col min="14566" max="14566" width="5.4609375" style="690" customWidth="1"/>
    <col min="14567" max="14568" width="10.53515625" style="690" customWidth="1"/>
    <col min="14569" max="14807" width="9.23046875" style="690"/>
    <col min="14808" max="14808" width="49.07421875" style="690" bestFit="1" customWidth="1"/>
    <col min="14809" max="14820" width="9.23046875" style="690"/>
    <col min="14821" max="14821" width="8.4609375" style="690" customWidth="1"/>
    <col min="14822" max="14822" width="5.4609375" style="690" customWidth="1"/>
    <col min="14823" max="14824" width="10.53515625" style="690" customWidth="1"/>
    <col min="14825" max="15063" width="9.23046875" style="690"/>
    <col min="15064" max="15064" width="49.07421875" style="690" bestFit="1" customWidth="1"/>
    <col min="15065" max="15076" width="9.23046875" style="690"/>
    <col min="15077" max="15077" width="8.4609375" style="690" customWidth="1"/>
    <col min="15078" max="15078" width="5.4609375" style="690" customWidth="1"/>
    <col min="15079" max="15080" width="10.53515625" style="690" customWidth="1"/>
    <col min="15081" max="15319" width="9.23046875" style="690"/>
    <col min="15320" max="15320" width="49.07421875" style="690" bestFit="1" customWidth="1"/>
    <col min="15321" max="15332" width="9.23046875" style="690"/>
    <col min="15333" max="15333" width="8.4609375" style="690" customWidth="1"/>
    <col min="15334" max="15334" width="5.4609375" style="690" customWidth="1"/>
    <col min="15335" max="15336" width="10.53515625" style="690" customWidth="1"/>
    <col min="15337" max="15575" width="9.23046875" style="690"/>
    <col min="15576" max="15576" width="49.07421875" style="690" bestFit="1" customWidth="1"/>
    <col min="15577" max="15588" width="9.23046875" style="690"/>
    <col min="15589" max="15589" width="8.4609375" style="690" customWidth="1"/>
    <col min="15590" max="15590" width="5.4609375" style="690" customWidth="1"/>
    <col min="15591" max="15592" width="10.53515625" style="690" customWidth="1"/>
    <col min="15593" max="15831" width="9.23046875" style="690"/>
    <col min="15832" max="15832" width="49.07421875" style="690" bestFit="1" customWidth="1"/>
    <col min="15833" max="15844" width="9.23046875" style="690"/>
    <col min="15845" max="15845" width="8.4609375" style="690" customWidth="1"/>
    <col min="15846" max="15846" width="5.4609375" style="690" customWidth="1"/>
    <col min="15847" max="15848" width="10.53515625" style="690" customWidth="1"/>
    <col min="15849" max="16087" width="9.23046875" style="690"/>
    <col min="16088" max="16088" width="49.07421875" style="690" bestFit="1" customWidth="1"/>
    <col min="16089" max="16100" width="9.23046875" style="690"/>
    <col min="16101" max="16101" width="8.4609375" style="690" customWidth="1"/>
    <col min="16102" max="16102" width="5.4609375" style="690" customWidth="1"/>
    <col min="16103" max="16104" width="10.53515625" style="690" customWidth="1"/>
    <col min="16105" max="16384" width="9.23046875" style="690"/>
  </cols>
  <sheetData>
    <row r="1" spans="2:36" s="682" customFormat="1" ht="22.5" customHeight="1">
      <c r="B1" s="680" t="s">
        <v>1419</v>
      </c>
      <c r="C1" s="857" t="s">
        <v>1337</v>
      </c>
      <c r="D1" s="858"/>
      <c r="E1" s="681"/>
      <c r="F1" s="681"/>
      <c r="G1" s="681"/>
      <c r="I1" s="683" t="s">
        <v>1420</v>
      </c>
      <c r="J1" s="683"/>
      <c r="K1" s="683"/>
      <c r="L1" s="683"/>
      <c r="M1" s="683"/>
      <c r="N1" s="683"/>
      <c r="O1" s="683"/>
      <c r="P1" s="683"/>
      <c r="Q1" s="683"/>
      <c r="R1" s="683"/>
      <c r="S1" s="683"/>
      <c r="T1" s="683"/>
      <c r="U1" s="683"/>
      <c r="W1" s="683" t="s">
        <v>1421</v>
      </c>
      <c r="X1" s="683"/>
      <c r="Y1" s="683"/>
      <c r="Z1" s="683"/>
      <c r="AA1" s="683"/>
      <c r="AB1" s="683"/>
      <c r="AC1" s="683"/>
      <c r="AD1" s="683"/>
      <c r="AE1" s="683"/>
      <c r="AF1" s="683"/>
      <c r="AG1" s="683"/>
      <c r="AH1" s="683"/>
      <c r="AI1" s="683"/>
    </row>
    <row r="2" spans="2:36" s="682" customFormat="1" ht="51.75" customHeight="1">
      <c r="B2" s="684"/>
      <c r="C2" s="78" t="s">
        <v>1422</v>
      </c>
      <c r="D2" s="78" t="s">
        <v>1423</v>
      </c>
      <c r="E2" s="78" t="s">
        <v>1424</v>
      </c>
      <c r="F2" s="78" t="s">
        <v>1425</v>
      </c>
      <c r="G2" s="78" t="s">
        <v>1426</v>
      </c>
      <c r="I2" s="685" t="s">
        <v>182</v>
      </c>
      <c r="J2" s="685" t="s">
        <v>183</v>
      </c>
      <c r="K2" s="685" t="s">
        <v>184</v>
      </c>
      <c r="L2" s="685" t="s">
        <v>185</v>
      </c>
      <c r="M2" s="685" t="s">
        <v>186</v>
      </c>
      <c r="N2" s="685" t="s">
        <v>187</v>
      </c>
      <c r="O2" s="686" t="s">
        <v>188</v>
      </c>
      <c r="P2" s="686" t="s">
        <v>189</v>
      </c>
      <c r="Q2" s="686" t="s">
        <v>190</v>
      </c>
      <c r="R2" s="686" t="s">
        <v>191</v>
      </c>
      <c r="S2" s="686" t="s">
        <v>192</v>
      </c>
      <c r="T2" s="686" t="s">
        <v>193</v>
      </c>
      <c r="U2" s="686" t="s">
        <v>1427</v>
      </c>
      <c r="W2" s="685" t="s">
        <v>182</v>
      </c>
      <c r="X2" s="685" t="s">
        <v>183</v>
      </c>
      <c r="Y2" s="685" t="s">
        <v>184</v>
      </c>
      <c r="Z2" s="685" t="s">
        <v>185</v>
      </c>
      <c r="AA2" s="685" t="s">
        <v>186</v>
      </c>
      <c r="AB2" s="685" t="s">
        <v>187</v>
      </c>
      <c r="AC2" s="686" t="s">
        <v>188</v>
      </c>
      <c r="AD2" s="686" t="s">
        <v>189</v>
      </c>
      <c r="AE2" s="686" t="s">
        <v>190</v>
      </c>
      <c r="AF2" s="686" t="s">
        <v>191</v>
      </c>
      <c r="AG2" s="686" t="s">
        <v>192</v>
      </c>
      <c r="AH2" s="686" t="s">
        <v>193</v>
      </c>
      <c r="AI2" s="686" t="s">
        <v>263</v>
      </c>
    </row>
    <row r="3" spans="2:36" s="682" customFormat="1" ht="15.75" customHeight="1">
      <c r="B3" s="687" t="s">
        <v>266</v>
      </c>
      <c r="C3" s="688"/>
      <c r="D3" s="688"/>
      <c r="E3" s="688"/>
      <c r="F3" s="688"/>
      <c r="G3" s="688"/>
      <c r="I3" s="687"/>
      <c r="J3" s="687"/>
      <c r="K3" s="687"/>
      <c r="L3" s="687"/>
      <c r="M3" s="687"/>
      <c r="N3" s="687"/>
      <c r="O3" s="687"/>
      <c r="P3" s="687"/>
      <c r="Q3" s="687"/>
      <c r="R3" s="687"/>
      <c r="S3" s="687"/>
      <c r="T3" s="687"/>
      <c r="U3" s="687"/>
      <c r="W3" s="687"/>
      <c r="X3" s="687"/>
      <c r="Y3" s="687"/>
      <c r="Z3" s="687"/>
      <c r="AA3" s="687"/>
      <c r="AB3" s="687"/>
      <c r="AC3" s="687"/>
      <c r="AD3" s="687"/>
      <c r="AE3" s="687"/>
      <c r="AF3" s="687"/>
      <c r="AG3" s="687"/>
      <c r="AH3" s="687"/>
      <c r="AI3" s="687"/>
    </row>
    <row r="4" spans="2:36" s="682" customFormat="1" ht="15" customHeight="1">
      <c r="B4" s="689"/>
      <c r="C4" s="28"/>
      <c r="D4" s="28"/>
      <c r="E4" s="28"/>
      <c r="F4" s="28"/>
      <c r="G4" s="28"/>
      <c r="I4" s="28"/>
      <c r="J4" s="28"/>
      <c r="K4" s="28"/>
      <c r="L4" s="28"/>
      <c r="M4" s="28"/>
      <c r="N4" s="28"/>
      <c r="O4" s="28"/>
      <c r="P4" s="28"/>
      <c r="Q4" s="28"/>
      <c r="R4" s="28"/>
      <c r="S4" s="28"/>
      <c r="T4" s="28"/>
      <c r="U4" s="28"/>
      <c r="W4" s="28"/>
      <c r="X4" s="28"/>
      <c r="Y4" s="28"/>
      <c r="Z4" s="28"/>
      <c r="AA4" s="28"/>
      <c r="AB4" s="28"/>
      <c r="AC4" s="28"/>
      <c r="AD4" s="28"/>
      <c r="AE4" s="28"/>
      <c r="AF4" s="28"/>
      <c r="AG4" s="28"/>
      <c r="AH4" s="28"/>
      <c r="AI4" s="28"/>
    </row>
    <row r="5" spans="2:36" ht="15.75" customHeight="1">
      <c r="B5" s="16" t="s">
        <v>1428</v>
      </c>
      <c r="C5" s="16"/>
      <c r="D5" s="16"/>
      <c r="E5" s="16"/>
      <c r="F5" s="16"/>
      <c r="G5" s="16"/>
      <c r="I5" s="16"/>
      <c r="J5" s="16"/>
      <c r="K5" s="16"/>
      <c r="L5" s="16"/>
      <c r="M5" s="16"/>
      <c r="N5" s="16"/>
      <c r="O5" s="16"/>
      <c r="P5" s="16"/>
      <c r="Q5" s="16"/>
      <c r="R5" s="16"/>
      <c r="S5" s="16"/>
      <c r="T5" s="16"/>
      <c r="U5" s="16"/>
      <c r="W5" s="16"/>
      <c r="X5" s="16"/>
      <c r="Y5" s="16"/>
      <c r="Z5" s="16"/>
      <c r="AA5" s="16"/>
      <c r="AB5" s="16"/>
      <c r="AC5" s="16"/>
      <c r="AD5" s="16"/>
      <c r="AE5" s="16"/>
      <c r="AF5" s="16"/>
      <c r="AG5" s="16"/>
      <c r="AH5" s="16"/>
      <c r="AI5" s="16"/>
    </row>
    <row r="6" spans="2:36" ht="15.75" customHeight="1">
      <c r="B6" s="691" t="s">
        <v>1429</v>
      </c>
      <c r="C6" s="692"/>
      <c r="D6" s="692"/>
      <c r="E6" s="693"/>
      <c r="F6" s="692"/>
      <c r="G6" s="692"/>
      <c r="I6" s="692"/>
      <c r="J6" s="692"/>
      <c r="K6" s="692"/>
      <c r="L6" s="692"/>
      <c r="M6" s="692"/>
      <c r="N6" s="692"/>
      <c r="O6" s="692"/>
      <c r="P6" s="692"/>
      <c r="Q6" s="692"/>
      <c r="R6" s="692"/>
      <c r="S6" s="692"/>
      <c r="T6" s="692"/>
      <c r="U6" s="694">
        <f>IFERROR(AVERAGE(I6:T6),0)</f>
        <v>0</v>
      </c>
      <c r="W6" s="692"/>
      <c r="X6" s="692"/>
      <c r="Y6" s="692"/>
      <c r="Z6" s="692"/>
      <c r="AA6" s="692"/>
      <c r="AB6" s="692"/>
      <c r="AC6" s="695"/>
      <c r="AD6" s="695"/>
      <c r="AE6" s="695"/>
      <c r="AF6" s="695"/>
      <c r="AG6" s="695"/>
      <c r="AH6" s="692"/>
      <c r="AI6" s="694">
        <f>SUM(W6:AH6)</f>
        <v>0</v>
      </c>
      <c r="AJ6" s="690" t="str">
        <f>IF(COUNTA(C6:AI6)&lt;&gt;COUNT(C6:AI6),"Please remove any text entries, enter numeric values only","")</f>
        <v/>
      </c>
    </row>
    <row r="7" spans="2:36" s="682" customFormat="1" ht="15.75" customHeight="1">
      <c r="B7" s="691" t="s">
        <v>1430</v>
      </c>
      <c r="C7" s="692"/>
      <c r="D7" s="692"/>
      <c r="E7" s="696"/>
      <c r="F7" s="697"/>
      <c r="G7" s="697"/>
      <c r="I7" s="697"/>
      <c r="J7" s="697"/>
      <c r="K7" s="697"/>
      <c r="L7" s="697"/>
      <c r="M7" s="697"/>
      <c r="N7" s="697"/>
      <c r="O7" s="697"/>
      <c r="P7" s="697"/>
      <c r="Q7" s="697"/>
      <c r="R7" s="697"/>
      <c r="S7" s="697"/>
      <c r="T7" s="697"/>
      <c r="U7" s="698">
        <f t="shared" ref="U7:U18" si="0">SUM(I7:T7)</f>
        <v>0</v>
      </c>
      <c r="V7" s="690"/>
      <c r="W7" s="697">
        <v>706</v>
      </c>
      <c r="X7" s="697">
        <v>631</v>
      </c>
      <c r="Y7" s="697">
        <v>592</v>
      </c>
      <c r="Z7" s="697">
        <v>606</v>
      </c>
      <c r="AA7" s="697">
        <v>681</v>
      </c>
      <c r="AB7" s="697">
        <v>647</v>
      </c>
      <c r="AC7" s="699">
        <v>623</v>
      </c>
      <c r="AD7" s="699">
        <v>695</v>
      </c>
      <c r="AE7" s="699">
        <v>624</v>
      </c>
      <c r="AF7" s="699">
        <v>654</v>
      </c>
      <c r="AG7" s="699">
        <v>524</v>
      </c>
      <c r="AH7" s="697">
        <v>556</v>
      </c>
      <c r="AI7" s="698">
        <f t="shared" ref="AI7:AI18" si="1">SUM(W7:AH7)</f>
        <v>7539</v>
      </c>
      <c r="AJ7" s="690" t="str">
        <f t="shared" ref="AJ7:AJ18" si="2">IF(COUNTA(C7:AI7)&lt;&gt;COUNT(C7:AI7),"Please remove any text entries, enter numeric values only","")</f>
        <v/>
      </c>
    </row>
    <row r="8" spans="2:36" s="682" customFormat="1" ht="15.75" customHeight="1">
      <c r="B8" s="691" t="s">
        <v>1431</v>
      </c>
      <c r="C8" s="692"/>
      <c r="D8" s="692"/>
      <c r="E8" s="696"/>
      <c r="F8" s="697"/>
      <c r="G8" s="697"/>
      <c r="I8" s="697"/>
      <c r="J8" s="697"/>
      <c r="K8" s="697"/>
      <c r="L8" s="697"/>
      <c r="M8" s="697"/>
      <c r="N8" s="697"/>
      <c r="O8" s="697"/>
      <c r="P8" s="697"/>
      <c r="Q8" s="697"/>
      <c r="R8" s="697"/>
      <c r="S8" s="697"/>
      <c r="T8" s="697"/>
      <c r="U8" s="698">
        <f t="shared" si="0"/>
        <v>0</v>
      </c>
      <c r="V8" s="690"/>
      <c r="W8" s="697">
        <v>58</v>
      </c>
      <c r="X8" s="697">
        <v>71</v>
      </c>
      <c r="Y8" s="697">
        <v>85</v>
      </c>
      <c r="Z8" s="697">
        <v>68</v>
      </c>
      <c r="AA8" s="697">
        <v>39</v>
      </c>
      <c r="AB8" s="697">
        <v>138</v>
      </c>
      <c r="AC8" s="699">
        <v>38</v>
      </c>
      <c r="AD8" s="699">
        <v>47</v>
      </c>
      <c r="AE8" s="699">
        <v>42</v>
      </c>
      <c r="AF8" s="699">
        <v>13</v>
      </c>
      <c r="AG8" s="699">
        <v>13</v>
      </c>
      <c r="AH8" s="697">
        <v>14</v>
      </c>
      <c r="AI8" s="698">
        <f t="shared" si="1"/>
        <v>626</v>
      </c>
      <c r="AJ8" s="690" t="str">
        <f t="shared" si="2"/>
        <v/>
      </c>
    </row>
    <row r="9" spans="2:36" s="682" customFormat="1" ht="15.75" customHeight="1">
      <c r="B9" s="691" t="s">
        <v>1432</v>
      </c>
      <c r="C9" s="697"/>
      <c r="D9" s="697"/>
      <c r="E9" s="696">
        <f t="shared" ref="E9:E15" si="3">U9</f>
        <v>50598</v>
      </c>
      <c r="F9" s="697"/>
      <c r="G9" s="697"/>
      <c r="I9" s="697">
        <v>4050</v>
      </c>
      <c r="J9" s="697">
        <v>4288</v>
      </c>
      <c r="K9" s="697">
        <v>4069</v>
      </c>
      <c r="L9" s="697">
        <v>4307</v>
      </c>
      <c r="M9" s="697">
        <v>4088</v>
      </c>
      <c r="N9" s="697">
        <v>4326</v>
      </c>
      <c r="O9" s="699">
        <v>4107</v>
      </c>
      <c r="P9" s="699">
        <v>4345</v>
      </c>
      <c r="Q9" s="699">
        <v>4126</v>
      </c>
      <c r="R9" s="699">
        <v>4364</v>
      </c>
      <c r="S9" s="699">
        <v>4145</v>
      </c>
      <c r="T9" s="697">
        <v>4383</v>
      </c>
      <c r="U9" s="698">
        <f t="shared" si="0"/>
        <v>50598</v>
      </c>
      <c r="V9" s="690"/>
      <c r="W9" s="697">
        <v>4357</v>
      </c>
      <c r="X9" s="697">
        <v>4406</v>
      </c>
      <c r="Y9" s="697">
        <v>4087</v>
      </c>
      <c r="Z9" s="697">
        <v>4657</v>
      </c>
      <c r="AA9" s="697">
        <v>3954</v>
      </c>
      <c r="AB9" s="697">
        <v>3912</v>
      </c>
      <c r="AC9" s="699">
        <v>4220</v>
      </c>
      <c r="AD9" s="699">
        <v>3793</v>
      </c>
      <c r="AE9" s="699">
        <v>3614</v>
      </c>
      <c r="AF9" s="699">
        <v>4196</v>
      </c>
      <c r="AG9" s="699">
        <v>3824</v>
      </c>
      <c r="AH9" s="697">
        <v>3928</v>
      </c>
      <c r="AI9" s="698">
        <f t="shared" si="1"/>
        <v>48948</v>
      </c>
      <c r="AJ9" s="690" t="str">
        <f t="shared" si="2"/>
        <v/>
      </c>
    </row>
    <row r="10" spans="2:36" s="682" customFormat="1" ht="15.75" customHeight="1">
      <c r="B10" s="691" t="s">
        <v>1433</v>
      </c>
      <c r="C10" s="697"/>
      <c r="D10" s="697"/>
      <c r="E10" s="696">
        <f t="shared" si="3"/>
        <v>3454</v>
      </c>
      <c r="F10" s="697"/>
      <c r="G10" s="697"/>
      <c r="I10" s="697">
        <v>295</v>
      </c>
      <c r="J10" s="697">
        <v>294</v>
      </c>
      <c r="K10" s="697">
        <v>292</v>
      </c>
      <c r="L10" s="697">
        <v>291</v>
      </c>
      <c r="M10" s="697">
        <v>290</v>
      </c>
      <c r="N10" s="697">
        <v>288</v>
      </c>
      <c r="O10" s="699">
        <v>287</v>
      </c>
      <c r="P10" s="699">
        <v>286</v>
      </c>
      <c r="Q10" s="699">
        <v>285</v>
      </c>
      <c r="R10" s="699">
        <v>283</v>
      </c>
      <c r="S10" s="699">
        <v>282</v>
      </c>
      <c r="T10" s="697">
        <v>281</v>
      </c>
      <c r="U10" s="698">
        <f t="shared" si="0"/>
        <v>3454</v>
      </c>
      <c r="V10" s="690"/>
      <c r="W10" s="697">
        <v>257</v>
      </c>
      <c r="X10" s="697">
        <v>249</v>
      </c>
      <c r="Y10" s="697">
        <v>398</v>
      </c>
      <c r="Z10" s="697">
        <v>233</v>
      </c>
      <c r="AA10" s="697">
        <v>246</v>
      </c>
      <c r="AB10" s="697">
        <v>291</v>
      </c>
      <c r="AC10" s="699">
        <v>248</v>
      </c>
      <c r="AD10" s="699">
        <v>301</v>
      </c>
      <c r="AE10" s="699">
        <v>292</v>
      </c>
      <c r="AF10" s="699">
        <v>292</v>
      </c>
      <c r="AG10" s="699">
        <v>286</v>
      </c>
      <c r="AH10" s="697">
        <v>359</v>
      </c>
      <c r="AI10" s="698">
        <f t="shared" si="1"/>
        <v>3452</v>
      </c>
      <c r="AJ10" s="690" t="str">
        <f t="shared" si="2"/>
        <v/>
      </c>
    </row>
    <row r="11" spans="2:36" s="682" customFormat="1" ht="15.75" customHeight="1">
      <c r="B11" s="691" t="s">
        <v>1434</v>
      </c>
      <c r="C11" s="697"/>
      <c r="D11" s="697">
        <v>70836</v>
      </c>
      <c r="E11" s="696">
        <v>70836</v>
      </c>
      <c r="F11" s="697"/>
      <c r="G11" s="697"/>
      <c r="I11" s="697">
        <v>5903</v>
      </c>
      <c r="J11" s="697">
        <v>5903</v>
      </c>
      <c r="K11" s="697">
        <v>5903</v>
      </c>
      <c r="L11" s="697">
        <v>5903</v>
      </c>
      <c r="M11" s="697">
        <v>5903</v>
      </c>
      <c r="N11" s="697">
        <v>5903</v>
      </c>
      <c r="O11" s="697">
        <v>5903</v>
      </c>
      <c r="P11" s="697">
        <v>5903</v>
      </c>
      <c r="Q11" s="697">
        <v>5903</v>
      </c>
      <c r="R11" s="697">
        <v>5903</v>
      </c>
      <c r="S11" s="697">
        <v>5903</v>
      </c>
      <c r="T11" s="697">
        <v>5903</v>
      </c>
      <c r="U11" s="698">
        <f t="shared" si="0"/>
        <v>70836</v>
      </c>
      <c r="V11" s="690"/>
      <c r="W11" s="697">
        <v>5900</v>
      </c>
      <c r="X11" s="697">
        <v>5695</v>
      </c>
      <c r="Y11" s="697">
        <v>5829</v>
      </c>
      <c r="Z11" s="697">
        <v>6144</v>
      </c>
      <c r="AA11" s="697">
        <v>6272</v>
      </c>
      <c r="AB11" s="697">
        <v>6388</v>
      </c>
      <c r="AC11" s="699">
        <v>6143</v>
      </c>
      <c r="AD11" s="699">
        <v>5274</v>
      </c>
      <c r="AE11" s="699">
        <v>4991</v>
      </c>
      <c r="AF11" s="699">
        <v>5081</v>
      </c>
      <c r="AG11" s="699">
        <v>5022</v>
      </c>
      <c r="AH11" s="697">
        <v>4987</v>
      </c>
      <c r="AI11" s="698">
        <f t="shared" si="1"/>
        <v>67726</v>
      </c>
      <c r="AJ11" s="690" t="str">
        <f t="shared" si="2"/>
        <v/>
      </c>
    </row>
    <row r="12" spans="2:36" s="682" customFormat="1" ht="15.75" customHeight="1">
      <c r="B12" s="691" t="s">
        <v>1435</v>
      </c>
      <c r="C12" s="697">
        <v>199658</v>
      </c>
      <c r="D12" s="697">
        <v>214859</v>
      </c>
      <c r="E12" s="696">
        <f t="shared" si="3"/>
        <v>214860</v>
      </c>
      <c r="F12" s="697"/>
      <c r="G12" s="697"/>
      <c r="I12" s="697">
        <v>17905</v>
      </c>
      <c r="J12" s="697">
        <v>17905</v>
      </c>
      <c r="K12" s="697">
        <v>17905</v>
      </c>
      <c r="L12" s="697">
        <v>17905</v>
      </c>
      <c r="M12" s="697">
        <v>17905</v>
      </c>
      <c r="N12" s="697">
        <v>17905</v>
      </c>
      <c r="O12" s="697">
        <v>17905</v>
      </c>
      <c r="P12" s="697">
        <v>17905</v>
      </c>
      <c r="Q12" s="697">
        <v>17905</v>
      </c>
      <c r="R12" s="697">
        <v>17905</v>
      </c>
      <c r="S12" s="697">
        <v>17905</v>
      </c>
      <c r="T12" s="697">
        <v>17905</v>
      </c>
      <c r="U12" s="698">
        <f t="shared" si="0"/>
        <v>214860</v>
      </c>
      <c r="V12" s="690"/>
      <c r="W12" s="697">
        <v>18516</v>
      </c>
      <c r="X12" s="697">
        <v>19332</v>
      </c>
      <c r="Y12" s="697">
        <v>16910</v>
      </c>
      <c r="Z12" s="697">
        <v>19127</v>
      </c>
      <c r="AA12" s="697">
        <v>17512</v>
      </c>
      <c r="AB12" s="697">
        <v>17085</v>
      </c>
      <c r="AC12" s="699">
        <v>18312</v>
      </c>
      <c r="AD12" s="699">
        <v>17005</v>
      </c>
      <c r="AE12" s="699">
        <v>18556</v>
      </c>
      <c r="AF12" s="699">
        <v>19383</v>
      </c>
      <c r="AG12" s="699">
        <v>16916</v>
      </c>
      <c r="AH12" s="697">
        <v>17262</v>
      </c>
      <c r="AI12" s="698">
        <f t="shared" si="1"/>
        <v>215916</v>
      </c>
      <c r="AJ12" s="690" t="str">
        <f t="shared" si="2"/>
        <v/>
      </c>
    </row>
    <row r="13" spans="2:36" s="682" customFormat="1" ht="15.75" customHeight="1">
      <c r="B13" s="691" t="s">
        <v>1436</v>
      </c>
      <c r="C13" s="697">
        <v>36854</v>
      </c>
      <c r="D13" s="697">
        <v>42220</v>
      </c>
      <c r="E13" s="696">
        <f t="shared" si="3"/>
        <v>42216</v>
      </c>
      <c r="F13" s="697"/>
      <c r="G13" s="697"/>
      <c r="I13" s="697">
        <v>3518</v>
      </c>
      <c r="J13" s="697">
        <v>3518</v>
      </c>
      <c r="K13" s="697">
        <v>3518</v>
      </c>
      <c r="L13" s="697">
        <v>3518</v>
      </c>
      <c r="M13" s="697">
        <v>3518</v>
      </c>
      <c r="N13" s="697">
        <v>3518</v>
      </c>
      <c r="O13" s="697">
        <v>3518</v>
      </c>
      <c r="P13" s="697">
        <v>3518</v>
      </c>
      <c r="Q13" s="697">
        <v>3518</v>
      </c>
      <c r="R13" s="697">
        <v>3518</v>
      </c>
      <c r="S13" s="697">
        <v>3518</v>
      </c>
      <c r="T13" s="697">
        <v>3518</v>
      </c>
      <c r="U13" s="698">
        <f t="shared" si="0"/>
        <v>42216</v>
      </c>
      <c r="V13" s="690"/>
      <c r="W13" s="697">
        <v>3257</v>
      </c>
      <c r="X13" s="697">
        <v>3150</v>
      </c>
      <c r="Y13" s="697">
        <v>4120</v>
      </c>
      <c r="Z13" s="697">
        <v>3151</v>
      </c>
      <c r="AA13" s="697">
        <v>3499</v>
      </c>
      <c r="AB13" s="697">
        <v>3545</v>
      </c>
      <c r="AC13" s="699">
        <v>3268</v>
      </c>
      <c r="AD13" s="699">
        <v>3686</v>
      </c>
      <c r="AE13" s="699">
        <v>4451</v>
      </c>
      <c r="AF13" s="699">
        <v>3474</v>
      </c>
      <c r="AG13" s="699">
        <v>3363</v>
      </c>
      <c r="AH13" s="697">
        <v>4159</v>
      </c>
      <c r="AI13" s="698">
        <f t="shared" si="1"/>
        <v>43123</v>
      </c>
      <c r="AJ13" s="690" t="str">
        <f t="shared" si="2"/>
        <v/>
      </c>
    </row>
    <row r="14" spans="2:36" s="682" customFormat="1" ht="26">
      <c r="B14" s="691" t="s">
        <v>1437</v>
      </c>
      <c r="C14" s="697">
        <v>86139</v>
      </c>
      <c r="D14" s="697">
        <v>212933</v>
      </c>
      <c r="E14" s="696">
        <f t="shared" si="3"/>
        <v>212928</v>
      </c>
      <c r="F14" s="697"/>
      <c r="G14" s="697"/>
      <c r="I14" s="697">
        <v>17744</v>
      </c>
      <c r="J14" s="697">
        <v>17744</v>
      </c>
      <c r="K14" s="697">
        <v>17744</v>
      </c>
      <c r="L14" s="697">
        <v>17744</v>
      </c>
      <c r="M14" s="697">
        <v>17744</v>
      </c>
      <c r="N14" s="697">
        <v>17744</v>
      </c>
      <c r="O14" s="697">
        <v>17744</v>
      </c>
      <c r="P14" s="697">
        <v>17744</v>
      </c>
      <c r="Q14" s="697">
        <v>17744</v>
      </c>
      <c r="R14" s="697">
        <v>17744</v>
      </c>
      <c r="S14" s="697">
        <v>17744</v>
      </c>
      <c r="T14" s="697">
        <v>17744</v>
      </c>
      <c r="U14" s="698">
        <f t="shared" si="0"/>
        <v>212928</v>
      </c>
      <c r="V14" s="690"/>
      <c r="W14" s="697">
        <v>18860</v>
      </c>
      <c r="X14" s="697">
        <v>19491</v>
      </c>
      <c r="Y14" s="697">
        <v>17240</v>
      </c>
      <c r="Z14" s="697">
        <v>19292</v>
      </c>
      <c r="AA14" s="697">
        <v>17582</v>
      </c>
      <c r="AB14" s="697">
        <v>16900</v>
      </c>
      <c r="AC14" s="699">
        <v>18218</v>
      </c>
      <c r="AD14" s="699">
        <v>17092</v>
      </c>
      <c r="AE14" s="699">
        <v>17366</v>
      </c>
      <c r="AF14" s="699">
        <v>19499</v>
      </c>
      <c r="AG14" s="699">
        <v>17073</v>
      </c>
      <c r="AH14" s="697">
        <v>17565</v>
      </c>
      <c r="AI14" s="698">
        <f t="shared" si="1"/>
        <v>216178</v>
      </c>
      <c r="AJ14" s="690" t="str">
        <f t="shared" si="2"/>
        <v/>
      </c>
    </row>
    <row r="15" spans="2:36" s="682" customFormat="1" ht="26">
      <c r="B15" s="691" t="s">
        <v>1438</v>
      </c>
      <c r="C15" s="697">
        <v>15532</v>
      </c>
      <c r="D15" s="697">
        <v>43167</v>
      </c>
      <c r="E15" s="696">
        <f t="shared" si="3"/>
        <v>43164</v>
      </c>
      <c r="F15" s="697"/>
      <c r="G15" s="697"/>
      <c r="I15" s="697">
        <v>3597</v>
      </c>
      <c r="J15" s="697">
        <v>3597</v>
      </c>
      <c r="K15" s="697">
        <v>3597</v>
      </c>
      <c r="L15" s="697">
        <v>3597</v>
      </c>
      <c r="M15" s="697">
        <v>3597</v>
      </c>
      <c r="N15" s="697">
        <v>3597</v>
      </c>
      <c r="O15" s="697">
        <v>3597</v>
      </c>
      <c r="P15" s="697">
        <v>3597</v>
      </c>
      <c r="Q15" s="697">
        <v>3597</v>
      </c>
      <c r="R15" s="697">
        <v>3597</v>
      </c>
      <c r="S15" s="697">
        <v>3597</v>
      </c>
      <c r="T15" s="697">
        <v>3597</v>
      </c>
      <c r="U15" s="698">
        <f t="shared" si="0"/>
        <v>43164</v>
      </c>
      <c r="V15" s="690"/>
      <c r="W15" s="697">
        <v>3386</v>
      </c>
      <c r="X15" s="697">
        <v>3312</v>
      </c>
      <c r="Y15" s="697">
        <v>4452</v>
      </c>
      <c r="Z15" s="697">
        <v>3406</v>
      </c>
      <c r="AA15" s="697">
        <v>3711</v>
      </c>
      <c r="AB15" s="697">
        <v>3712</v>
      </c>
      <c r="AC15" s="699">
        <v>3488</v>
      </c>
      <c r="AD15" s="699">
        <v>3922</v>
      </c>
      <c r="AE15" s="699">
        <v>4222</v>
      </c>
      <c r="AF15" s="699">
        <v>3781</v>
      </c>
      <c r="AG15" s="699">
        <v>3603</v>
      </c>
      <c r="AH15" s="697">
        <v>4500</v>
      </c>
      <c r="AI15" s="698">
        <f t="shared" si="1"/>
        <v>45495</v>
      </c>
      <c r="AJ15" s="690" t="str">
        <f t="shared" si="2"/>
        <v/>
      </c>
    </row>
    <row r="16" spans="2:36" s="682" customFormat="1" ht="15.75" customHeight="1">
      <c r="B16" s="691" t="s">
        <v>1439</v>
      </c>
      <c r="C16" s="697"/>
      <c r="D16" s="697">
        <v>185</v>
      </c>
      <c r="E16" s="696">
        <v>185</v>
      </c>
      <c r="F16" s="697"/>
      <c r="G16" s="697"/>
      <c r="I16" s="697">
        <v>185</v>
      </c>
      <c r="J16" s="697">
        <v>185</v>
      </c>
      <c r="K16" s="697">
        <v>185</v>
      </c>
      <c r="L16" s="697">
        <v>185</v>
      </c>
      <c r="M16" s="697">
        <v>185</v>
      </c>
      <c r="N16" s="697">
        <v>185</v>
      </c>
      <c r="O16" s="697">
        <v>185</v>
      </c>
      <c r="P16" s="697">
        <v>185</v>
      </c>
      <c r="Q16" s="697">
        <v>185</v>
      </c>
      <c r="R16" s="697">
        <v>185</v>
      </c>
      <c r="S16" s="697">
        <v>185</v>
      </c>
      <c r="T16" s="697">
        <v>185</v>
      </c>
      <c r="U16" s="698">
        <f t="shared" si="0"/>
        <v>2220</v>
      </c>
      <c r="V16" s="690"/>
      <c r="W16" s="697">
        <v>175.81</v>
      </c>
      <c r="X16" s="697">
        <v>178</v>
      </c>
      <c r="Y16" s="697">
        <v>177.92</v>
      </c>
      <c r="Z16" s="697">
        <v>189</v>
      </c>
      <c r="AA16" s="697">
        <v>189.54</v>
      </c>
      <c r="AB16" s="697">
        <v>190</v>
      </c>
      <c r="AC16" s="699">
        <v>190</v>
      </c>
      <c r="AD16" s="699">
        <v>189</v>
      </c>
      <c r="AE16" s="699">
        <v>189</v>
      </c>
      <c r="AF16" s="699">
        <v>189</v>
      </c>
      <c r="AG16" s="699">
        <v>189</v>
      </c>
      <c r="AH16" s="697">
        <v>189</v>
      </c>
      <c r="AI16" s="698">
        <f t="shared" si="1"/>
        <v>2235.27</v>
      </c>
      <c r="AJ16" s="690" t="str">
        <f t="shared" si="2"/>
        <v/>
      </c>
    </row>
    <row r="17" spans="1:36" s="682" customFormat="1" ht="15.75" customHeight="1">
      <c r="B17" s="691" t="s">
        <v>1440</v>
      </c>
      <c r="C17" s="697"/>
      <c r="D17" s="697">
        <v>112</v>
      </c>
      <c r="E17" s="696">
        <v>112</v>
      </c>
      <c r="F17" s="697"/>
      <c r="G17" s="697"/>
      <c r="I17" s="697">
        <v>112</v>
      </c>
      <c r="J17" s="697">
        <v>112</v>
      </c>
      <c r="K17" s="697">
        <v>112</v>
      </c>
      <c r="L17" s="697">
        <v>112</v>
      </c>
      <c r="M17" s="697">
        <v>112</v>
      </c>
      <c r="N17" s="697">
        <v>112</v>
      </c>
      <c r="O17" s="697">
        <v>112</v>
      </c>
      <c r="P17" s="697">
        <v>112</v>
      </c>
      <c r="Q17" s="697">
        <v>112</v>
      </c>
      <c r="R17" s="697">
        <v>112</v>
      </c>
      <c r="S17" s="697">
        <v>112</v>
      </c>
      <c r="T17" s="697">
        <v>112</v>
      </c>
      <c r="U17" s="698">
        <f t="shared" si="0"/>
        <v>1344</v>
      </c>
      <c r="V17" s="690"/>
      <c r="W17" s="697">
        <v>107.67</v>
      </c>
      <c r="X17" s="697">
        <v>109</v>
      </c>
      <c r="Y17" s="697">
        <v>109.51</v>
      </c>
      <c r="Z17" s="697">
        <v>113</v>
      </c>
      <c r="AA17" s="697">
        <v>113</v>
      </c>
      <c r="AB17" s="697">
        <v>113.15</v>
      </c>
      <c r="AC17" s="699">
        <v>113</v>
      </c>
      <c r="AD17" s="699">
        <v>113</v>
      </c>
      <c r="AE17" s="699">
        <v>113</v>
      </c>
      <c r="AF17" s="699">
        <v>113</v>
      </c>
      <c r="AG17" s="699">
        <v>113</v>
      </c>
      <c r="AH17" s="697">
        <v>113</v>
      </c>
      <c r="AI17" s="698">
        <f t="shared" si="1"/>
        <v>1343.33</v>
      </c>
      <c r="AJ17" s="690" t="str">
        <f t="shared" si="2"/>
        <v/>
      </c>
    </row>
    <row r="18" spans="1:36" s="682" customFormat="1" ht="15.75" customHeight="1">
      <c r="B18" s="691" t="s">
        <v>1441</v>
      </c>
      <c r="C18" s="697"/>
      <c r="D18" s="697">
        <v>5</v>
      </c>
      <c r="E18" s="696">
        <v>5</v>
      </c>
      <c r="F18" s="697"/>
      <c r="G18" s="697"/>
      <c r="I18" s="697">
        <v>5</v>
      </c>
      <c r="J18" s="697">
        <v>5</v>
      </c>
      <c r="K18" s="697">
        <v>5</v>
      </c>
      <c r="L18" s="697">
        <v>5</v>
      </c>
      <c r="M18" s="697">
        <v>5</v>
      </c>
      <c r="N18" s="697">
        <v>5</v>
      </c>
      <c r="O18" s="697">
        <v>5</v>
      </c>
      <c r="P18" s="697">
        <v>5</v>
      </c>
      <c r="Q18" s="697">
        <v>5</v>
      </c>
      <c r="R18" s="697">
        <v>5</v>
      </c>
      <c r="S18" s="697">
        <v>5</v>
      </c>
      <c r="T18" s="697">
        <v>5</v>
      </c>
      <c r="U18" s="698">
        <f t="shared" si="0"/>
        <v>60</v>
      </c>
      <c r="V18" s="690"/>
      <c r="W18" s="697">
        <v>6.48</v>
      </c>
      <c r="X18" s="697">
        <v>7.48</v>
      </c>
      <c r="Y18" s="697">
        <v>7.48</v>
      </c>
      <c r="Z18" s="697">
        <v>13</v>
      </c>
      <c r="AA18" s="697">
        <v>13.44</v>
      </c>
      <c r="AB18" s="697">
        <v>13.44</v>
      </c>
      <c r="AC18" s="699">
        <v>13</v>
      </c>
      <c r="AD18" s="699">
        <v>13</v>
      </c>
      <c r="AE18" s="699">
        <v>13</v>
      </c>
      <c r="AF18" s="699">
        <v>13</v>
      </c>
      <c r="AG18" s="699">
        <v>13</v>
      </c>
      <c r="AH18" s="697">
        <v>13</v>
      </c>
      <c r="AI18" s="698">
        <f t="shared" si="1"/>
        <v>139.32</v>
      </c>
      <c r="AJ18" s="690" t="str">
        <f t="shared" si="2"/>
        <v/>
      </c>
    </row>
    <row r="19" spans="1:36" s="682" customFormat="1" ht="15.75" customHeight="1">
      <c r="B19" s="700"/>
      <c r="C19" s="690"/>
      <c r="D19" s="690"/>
      <c r="E19" s="690"/>
      <c r="F19" s="690"/>
      <c r="G19" s="690"/>
      <c r="I19" s="690"/>
      <c r="J19" s="690"/>
      <c r="K19" s="690"/>
      <c r="L19" s="690"/>
      <c r="M19" s="690"/>
      <c r="N19" s="690"/>
      <c r="O19" s="690"/>
      <c r="P19" s="690"/>
      <c r="Q19" s="690"/>
      <c r="R19" s="690"/>
      <c r="S19" s="690"/>
      <c r="T19" s="690"/>
      <c r="U19" s="701"/>
      <c r="W19" s="690"/>
      <c r="X19" s="690"/>
      <c r="Y19" s="690"/>
      <c r="Z19" s="690"/>
      <c r="AA19" s="690"/>
      <c r="AB19" s="690"/>
      <c r="AC19" s="690"/>
      <c r="AD19" s="690"/>
      <c r="AE19" s="690"/>
      <c r="AF19" s="690"/>
      <c r="AG19" s="690"/>
      <c r="AH19" s="690"/>
      <c r="AI19" s="701"/>
    </row>
    <row r="20" spans="1:36" ht="15.75" customHeight="1">
      <c r="B20" s="16" t="s">
        <v>1442</v>
      </c>
      <c r="C20" s="16"/>
      <c r="D20" s="16"/>
      <c r="E20" s="16"/>
      <c r="F20" s="16"/>
      <c r="G20" s="16"/>
      <c r="I20" s="16"/>
      <c r="J20" s="16"/>
      <c r="K20" s="16"/>
      <c r="L20" s="16"/>
      <c r="M20" s="16"/>
      <c r="N20" s="16"/>
      <c r="O20" s="16"/>
      <c r="P20" s="16"/>
      <c r="Q20" s="16"/>
      <c r="R20" s="16"/>
      <c r="S20" s="16"/>
      <c r="T20" s="16"/>
      <c r="U20" s="16"/>
      <c r="W20" s="16"/>
      <c r="X20" s="16"/>
      <c r="Y20" s="16"/>
      <c r="Z20" s="16"/>
      <c r="AA20" s="16"/>
      <c r="AB20" s="16"/>
      <c r="AC20" s="16"/>
      <c r="AD20" s="16"/>
      <c r="AE20" s="16"/>
      <c r="AF20" s="16"/>
      <c r="AG20" s="16"/>
      <c r="AH20" s="16"/>
      <c r="AI20" s="16"/>
    </row>
    <row r="21" spans="1:36" s="682" customFormat="1" ht="15.75" customHeight="1">
      <c r="A21" s="690"/>
      <c r="B21" s="691" t="s">
        <v>1443</v>
      </c>
      <c r="C21" s="692"/>
      <c r="D21" s="692"/>
      <c r="E21" s="693"/>
      <c r="F21" s="692"/>
      <c r="G21" s="692"/>
      <c r="H21" s="690"/>
      <c r="I21" s="692"/>
      <c r="J21" s="692"/>
      <c r="K21" s="692"/>
      <c r="L21" s="692"/>
      <c r="M21" s="692"/>
      <c r="N21" s="692"/>
      <c r="O21" s="695"/>
      <c r="P21" s="695"/>
      <c r="Q21" s="695"/>
      <c r="R21" s="695"/>
      <c r="S21" s="695"/>
      <c r="T21" s="692"/>
      <c r="U21" s="694">
        <f>IFERROR(AVERAGE(I21:T21),0)</f>
        <v>0</v>
      </c>
      <c r="V21" s="690"/>
      <c r="W21" s="692"/>
      <c r="X21" s="692"/>
      <c r="Y21" s="692"/>
      <c r="Z21" s="692"/>
      <c r="AA21" s="692"/>
      <c r="AB21" s="692"/>
      <c r="AC21" s="695"/>
      <c r="AD21" s="695"/>
      <c r="AE21" s="695"/>
      <c r="AF21" s="695"/>
      <c r="AG21" s="695"/>
      <c r="AH21" s="692"/>
      <c r="AI21" s="694">
        <f>SUM(W21:AH21)</f>
        <v>0</v>
      </c>
      <c r="AJ21" s="690" t="str">
        <f t="shared" ref="AJ21:AJ26" si="4">IF(COUNTA(C21:AI21)&lt;&gt;COUNT(C21:AI21),"Please remove any text entries, enter numeric values only","")</f>
        <v/>
      </c>
    </row>
    <row r="22" spans="1:36" s="682" customFormat="1" ht="26">
      <c r="B22" s="691" t="s">
        <v>1444</v>
      </c>
      <c r="C22" s="692"/>
      <c r="D22" s="692"/>
      <c r="E22" s="696"/>
      <c r="F22" s="697"/>
      <c r="G22" s="697"/>
      <c r="I22" s="692"/>
      <c r="J22" s="692"/>
      <c r="K22" s="692"/>
      <c r="L22" s="692"/>
      <c r="M22" s="692"/>
      <c r="N22" s="692"/>
      <c r="O22" s="692"/>
      <c r="P22" s="692"/>
      <c r="Q22" s="692"/>
      <c r="R22" s="692"/>
      <c r="S22" s="692"/>
      <c r="T22" s="692"/>
      <c r="U22" s="698">
        <f t="shared" ref="U22:U23" si="5">SUM(I22:T22)</f>
        <v>0</v>
      </c>
      <c r="V22" s="690"/>
      <c r="W22" s="697"/>
      <c r="X22" s="697"/>
      <c r="Y22" s="697"/>
      <c r="Z22" s="697"/>
      <c r="AA22" s="697"/>
      <c r="AB22" s="697"/>
      <c r="AC22" s="699"/>
      <c r="AD22" s="699"/>
      <c r="AE22" s="699"/>
      <c r="AF22" s="699"/>
      <c r="AG22" s="699"/>
      <c r="AH22" s="697"/>
      <c r="AI22" s="698">
        <f t="shared" ref="AI22:AI23" si="6">SUM(W22:AH22)</f>
        <v>0</v>
      </c>
      <c r="AJ22" s="690" t="str">
        <f t="shared" si="4"/>
        <v/>
      </c>
    </row>
    <row r="23" spans="1:36" s="682" customFormat="1" ht="15.75" customHeight="1">
      <c r="B23" s="691" t="s">
        <v>1445</v>
      </c>
      <c r="C23" s="697">
        <v>28407</v>
      </c>
      <c r="D23" s="697">
        <v>35122</v>
      </c>
      <c r="E23" s="696">
        <f t="shared" ref="E23:E26" si="7">U23</f>
        <v>35124</v>
      </c>
      <c r="F23" s="697"/>
      <c r="G23" s="697"/>
      <c r="I23" s="697">
        <v>2927</v>
      </c>
      <c r="J23" s="697">
        <v>2927</v>
      </c>
      <c r="K23" s="697">
        <v>2927</v>
      </c>
      <c r="L23" s="697">
        <v>2927</v>
      </c>
      <c r="M23" s="697">
        <v>2927</v>
      </c>
      <c r="N23" s="697">
        <v>2927</v>
      </c>
      <c r="O23" s="699">
        <v>2927</v>
      </c>
      <c r="P23" s="699">
        <v>2927</v>
      </c>
      <c r="Q23" s="699">
        <v>2927</v>
      </c>
      <c r="R23" s="699">
        <v>2927</v>
      </c>
      <c r="S23" s="699">
        <v>2927</v>
      </c>
      <c r="T23" s="697">
        <v>2927</v>
      </c>
      <c r="U23" s="698">
        <f t="shared" si="5"/>
        <v>35124</v>
      </c>
      <c r="V23" s="690"/>
      <c r="W23" s="697">
        <v>2929</v>
      </c>
      <c r="X23" s="697">
        <v>3488</v>
      </c>
      <c r="Y23" s="697">
        <v>3424</v>
      </c>
      <c r="Z23" s="697"/>
      <c r="AA23" s="697"/>
      <c r="AB23" s="697"/>
      <c r="AC23" s="699"/>
      <c r="AD23" s="699"/>
      <c r="AE23" s="699"/>
      <c r="AF23" s="699"/>
      <c r="AG23" s="699"/>
      <c r="AH23" s="697"/>
      <c r="AI23" s="698">
        <f t="shared" si="6"/>
        <v>9841</v>
      </c>
      <c r="AJ23" s="690" t="str">
        <f t="shared" si="4"/>
        <v/>
      </c>
    </row>
    <row r="24" spans="1:36" s="682" customFormat="1" ht="15.75" customHeight="1">
      <c r="A24" s="690"/>
      <c r="B24" s="691" t="s">
        <v>1446</v>
      </c>
      <c r="C24" s="692"/>
      <c r="D24" s="692"/>
      <c r="E24" s="693"/>
      <c r="F24" s="692"/>
      <c r="G24" s="692"/>
      <c r="H24" s="690"/>
      <c r="I24" s="692"/>
      <c r="J24" s="692"/>
      <c r="K24" s="692"/>
      <c r="L24" s="692"/>
      <c r="M24" s="692"/>
      <c r="N24" s="692"/>
      <c r="O24" s="692"/>
      <c r="P24" s="692"/>
      <c r="Q24" s="692"/>
      <c r="R24" s="692"/>
      <c r="S24" s="692"/>
      <c r="T24" s="692"/>
      <c r="U24" s="694">
        <f t="shared" ref="U24:U25" si="8">IFERROR(AVERAGE(I24:T24),0)</f>
        <v>0</v>
      </c>
      <c r="V24" s="690"/>
      <c r="W24" s="692"/>
      <c r="X24" s="692"/>
      <c r="Y24" s="692">
        <v>0.41020000000000001</v>
      </c>
      <c r="Z24" s="692"/>
      <c r="AA24" s="692"/>
      <c r="AB24" s="692">
        <v>0.42209999999999998</v>
      </c>
      <c r="AC24" s="695"/>
      <c r="AD24" s="695"/>
      <c r="AE24" s="695"/>
      <c r="AF24" s="695"/>
      <c r="AG24" s="695"/>
      <c r="AH24" s="692"/>
      <c r="AI24" s="694">
        <f t="shared" ref="AI24:AI25" si="9">SUM(W24:AH24)</f>
        <v>0.83230000000000004</v>
      </c>
      <c r="AJ24" s="690" t="str">
        <f t="shared" si="4"/>
        <v/>
      </c>
    </row>
    <row r="25" spans="1:36" s="682" customFormat="1" ht="15.75" customHeight="1">
      <c r="A25" s="690"/>
      <c r="B25" s="691" t="s">
        <v>1447</v>
      </c>
      <c r="C25" s="692"/>
      <c r="D25" s="692"/>
      <c r="E25" s="693"/>
      <c r="F25" s="692"/>
      <c r="G25" s="692"/>
      <c r="H25" s="690"/>
      <c r="I25" s="692"/>
      <c r="J25" s="692"/>
      <c r="K25" s="692"/>
      <c r="L25" s="692"/>
      <c r="M25" s="692"/>
      <c r="N25" s="692"/>
      <c r="O25" s="692"/>
      <c r="P25" s="692"/>
      <c r="Q25" s="692"/>
      <c r="R25" s="692"/>
      <c r="S25" s="692"/>
      <c r="T25" s="692"/>
      <c r="U25" s="694">
        <f t="shared" si="8"/>
        <v>0</v>
      </c>
      <c r="V25" s="690"/>
      <c r="W25" s="692"/>
      <c r="X25" s="692"/>
      <c r="Y25" s="692"/>
      <c r="Z25" s="692"/>
      <c r="AA25" s="692"/>
      <c r="AB25" s="692"/>
      <c r="AC25" s="695"/>
      <c r="AD25" s="695"/>
      <c r="AE25" s="695"/>
      <c r="AF25" s="695"/>
      <c r="AG25" s="695"/>
      <c r="AH25" s="692"/>
      <c r="AI25" s="694">
        <f t="shared" si="9"/>
        <v>0</v>
      </c>
      <c r="AJ25" s="690" t="str">
        <f t="shared" si="4"/>
        <v/>
      </c>
    </row>
    <row r="26" spans="1:36" s="682" customFormat="1" ht="13">
      <c r="B26" s="691" t="s">
        <v>1448</v>
      </c>
      <c r="C26" s="692"/>
      <c r="D26" s="692"/>
      <c r="E26" s="696">
        <f t="shared" si="7"/>
        <v>0</v>
      </c>
      <c r="F26" s="697"/>
      <c r="G26" s="697"/>
      <c r="I26" s="692"/>
      <c r="J26" s="692"/>
      <c r="K26" s="692"/>
      <c r="L26" s="692"/>
      <c r="M26" s="692"/>
      <c r="N26" s="692"/>
      <c r="O26" s="692"/>
      <c r="P26" s="692"/>
      <c r="Q26" s="692"/>
      <c r="R26" s="692"/>
      <c r="S26" s="692"/>
      <c r="T26" s="692"/>
      <c r="U26" s="698">
        <f>SUM(I26:T26)</f>
        <v>0</v>
      </c>
      <c r="V26" s="690"/>
      <c r="W26" s="697"/>
      <c r="X26" s="697"/>
      <c r="Y26" s="697"/>
      <c r="Z26" s="697"/>
      <c r="AA26" s="697"/>
      <c r="AB26" s="697"/>
      <c r="AC26" s="699"/>
      <c r="AD26" s="699"/>
      <c r="AE26" s="699"/>
      <c r="AF26" s="699"/>
      <c r="AG26" s="699"/>
      <c r="AH26" s="697"/>
      <c r="AI26" s="698">
        <f t="shared" ref="AI26" si="10">SUM(W26:AH26)</f>
        <v>0</v>
      </c>
      <c r="AJ26" s="690" t="str">
        <f t="shared" si="4"/>
        <v/>
      </c>
    </row>
    <row r="27" spans="1:36" ht="15.75" customHeight="1">
      <c r="B27" s="702"/>
      <c r="C27" s="682"/>
      <c r="D27" s="682"/>
      <c r="E27" s="682"/>
      <c r="F27" s="682"/>
      <c r="G27" s="682"/>
      <c r="I27" s="682"/>
      <c r="J27" s="682"/>
      <c r="K27" s="682"/>
      <c r="L27" s="682"/>
      <c r="M27" s="682"/>
      <c r="N27" s="682"/>
      <c r="O27" s="682"/>
      <c r="P27" s="682"/>
      <c r="Q27" s="682"/>
      <c r="R27" s="682"/>
      <c r="S27" s="682"/>
      <c r="T27" s="682"/>
      <c r="U27" s="682"/>
      <c r="W27" s="682"/>
      <c r="X27" s="682"/>
      <c r="Y27" s="682"/>
      <c r="Z27" s="682"/>
      <c r="AA27" s="682"/>
      <c r="AB27" s="682"/>
      <c r="AC27" s="682"/>
      <c r="AD27" s="682"/>
      <c r="AE27" s="682"/>
      <c r="AF27" s="682"/>
      <c r="AG27" s="682"/>
      <c r="AH27" s="682"/>
      <c r="AI27" s="682"/>
    </row>
    <row r="28" spans="1:36" ht="15.75" customHeight="1">
      <c r="B28" s="16" t="s">
        <v>1449</v>
      </c>
      <c r="C28" s="16"/>
      <c r="D28" s="16"/>
      <c r="E28" s="16"/>
      <c r="F28" s="16"/>
      <c r="G28" s="16"/>
      <c r="I28" s="16"/>
      <c r="J28" s="16"/>
      <c r="K28" s="16"/>
      <c r="L28" s="16"/>
      <c r="M28" s="16"/>
      <c r="N28" s="16"/>
      <c r="O28" s="16"/>
      <c r="P28" s="16"/>
      <c r="Q28" s="16"/>
      <c r="R28" s="16"/>
      <c r="S28" s="16"/>
      <c r="T28" s="16"/>
      <c r="U28" s="16"/>
      <c r="W28" s="16"/>
      <c r="X28" s="16"/>
      <c r="Y28" s="16"/>
      <c r="Z28" s="16"/>
      <c r="AA28" s="16"/>
      <c r="AB28" s="16"/>
      <c r="AC28" s="16"/>
      <c r="AD28" s="16"/>
      <c r="AE28" s="16"/>
      <c r="AF28" s="16"/>
      <c r="AG28" s="16"/>
      <c r="AH28" s="16"/>
      <c r="AI28" s="16"/>
    </row>
    <row r="29" spans="1:36" ht="15.75" customHeight="1">
      <c r="B29" s="691" t="s">
        <v>1450</v>
      </c>
      <c r="C29" s="692">
        <v>0.69</v>
      </c>
      <c r="D29" s="692">
        <v>0.69</v>
      </c>
      <c r="E29" s="693">
        <f t="shared" ref="E29:E32" si="11">U29</f>
        <v>0.68999999999999984</v>
      </c>
      <c r="F29" s="692"/>
      <c r="G29" s="692"/>
      <c r="I29" s="692">
        <v>0.69</v>
      </c>
      <c r="J29" s="692">
        <v>0.69</v>
      </c>
      <c r="K29" s="692">
        <v>0.69</v>
      </c>
      <c r="L29" s="692">
        <v>0.69</v>
      </c>
      <c r="M29" s="692">
        <v>0.69</v>
      </c>
      <c r="N29" s="692">
        <v>0.69</v>
      </c>
      <c r="O29" s="695">
        <v>0.69</v>
      </c>
      <c r="P29" s="695">
        <v>0.69</v>
      </c>
      <c r="Q29" s="695">
        <v>0.69</v>
      </c>
      <c r="R29" s="695">
        <v>0.69</v>
      </c>
      <c r="S29" s="695">
        <v>0.69</v>
      </c>
      <c r="T29" s="692">
        <v>0.69</v>
      </c>
      <c r="U29" s="694">
        <f t="shared" ref="U29:U30" si="12">IFERROR(AVERAGE(I29:T29),0)</f>
        <v>0.68999999999999984</v>
      </c>
      <c r="W29" s="692">
        <v>0.69</v>
      </c>
      <c r="X29" s="692">
        <v>0.69</v>
      </c>
      <c r="Y29" s="692">
        <v>0.69</v>
      </c>
      <c r="Z29" s="692">
        <v>0.69</v>
      </c>
      <c r="AA29" s="692">
        <v>0.69</v>
      </c>
      <c r="AB29" s="692">
        <v>0.69</v>
      </c>
      <c r="AC29" s="695">
        <v>0.69</v>
      </c>
      <c r="AD29" s="695">
        <v>0.69</v>
      </c>
      <c r="AE29" s="695">
        <v>0.69</v>
      </c>
      <c r="AF29" s="695">
        <v>0.69</v>
      </c>
      <c r="AG29" s="695">
        <v>0.69</v>
      </c>
      <c r="AH29" s="692">
        <v>0.69</v>
      </c>
      <c r="AI29" s="694">
        <f t="shared" ref="AI29:AI30" si="13">SUM(W29:AH29)</f>
        <v>8.2799999999999976</v>
      </c>
      <c r="AJ29" s="690" t="str">
        <f t="shared" ref="AJ29:AJ35" si="14">IF(COUNTA(C29:AI29)&lt;&gt;COUNT(C29:AI29),"Please remove any text entries, enter numeric values only","")</f>
        <v/>
      </c>
    </row>
    <row r="30" spans="1:36" ht="15.75" customHeight="1">
      <c r="B30" s="691" t="s">
        <v>1451</v>
      </c>
      <c r="C30" s="692"/>
      <c r="D30" s="692"/>
      <c r="E30" s="693"/>
      <c r="F30" s="692"/>
      <c r="G30" s="692"/>
      <c r="I30" s="692"/>
      <c r="J30" s="692"/>
      <c r="K30" s="692"/>
      <c r="L30" s="692"/>
      <c r="M30" s="692"/>
      <c r="N30" s="692"/>
      <c r="O30" s="695"/>
      <c r="P30" s="695"/>
      <c r="Q30" s="695"/>
      <c r="R30" s="695"/>
      <c r="S30" s="695"/>
      <c r="T30" s="692" t="s">
        <v>250</v>
      </c>
      <c r="U30" s="694">
        <f t="shared" si="12"/>
        <v>0</v>
      </c>
      <c r="W30" s="692"/>
      <c r="X30" s="692"/>
      <c r="Y30" s="692"/>
      <c r="Z30" s="692"/>
      <c r="AA30" s="692"/>
      <c r="AB30" s="692"/>
      <c r="AC30" s="695"/>
      <c r="AD30" s="695"/>
      <c r="AE30" s="695"/>
      <c r="AF30" s="695"/>
      <c r="AG30" s="695"/>
      <c r="AH30" s="692"/>
      <c r="AI30" s="694">
        <f t="shared" si="13"/>
        <v>0</v>
      </c>
      <c r="AJ30" s="690" t="str">
        <f t="shared" si="14"/>
        <v>Please remove any text entries, enter numeric values only</v>
      </c>
    </row>
    <row r="31" spans="1:36" ht="15.75" customHeight="1">
      <c r="B31" s="691" t="s">
        <v>1452</v>
      </c>
      <c r="C31" s="697">
        <v>4.63</v>
      </c>
      <c r="D31" s="697">
        <v>4.63</v>
      </c>
      <c r="E31" s="696">
        <f t="shared" si="11"/>
        <v>55.560000000000009</v>
      </c>
      <c r="F31" s="697"/>
      <c r="G31" s="697"/>
      <c r="H31" s="682"/>
      <c r="I31" s="697">
        <v>4.63</v>
      </c>
      <c r="J31" s="697">
        <v>4.63</v>
      </c>
      <c r="K31" s="697">
        <v>4.63</v>
      </c>
      <c r="L31" s="697">
        <v>4.63</v>
      </c>
      <c r="M31" s="697">
        <v>4.63</v>
      </c>
      <c r="N31" s="697">
        <v>4.63</v>
      </c>
      <c r="O31" s="699">
        <v>4.63</v>
      </c>
      <c r="P31" s="699">
        <v>4.63</v>
      </c>
      <c r="Q31" s="699">
        <v>4.63</v>
      </c>
      <c r="R31" s="699">
        <v>4.63</v>
      </c>
      <c r="S31" s="699">
        <v>4.63</v>
      </c>
      <c r="T31" s="697">
        <v>4.63</v>
      </c>
      <c r="U31" s="698">
        <f t="shared" ref="U31:U32" si="15">SUM(I31:T31)</f>
        <v>55.560000000000009</v>
      </c>
      <c r="W31" s="697">
        <v>5</v>
      </c>
      <c r="X31" s="697">
        <v>5</v>
      </c>
      <c r="Y31" s="697">
        <v>5</v>
      </c>
      <c r="Z31" s="697">
        <v>6.8</v>
      </c>
      <c r="AA31" s="697">
        <v>6.8</v>
      </c>
      <c r="AB31" s="697">
        <v>6.8</v>
      </c>
      <c r="AC31" s="781">
        <v>6.9</v>
      </c>
      <c r="AD31" s="781">
        <v>6.8</v>
      </c>
      <c r="AE31" s="781">
        <v>6.8</v>
      </c>
      <c r="AF31" s="781">
        <v>6.8</v>
      </c>
      <c r="AG31" s="781">
        <v>6.8</v>
      </c>
      <c r="AH31" s="795">
        <v>6.9</v>
      </c>
      <c r="AI31" s="698">
        <f t="shared" ref="AI31:AI32" si="16">SUM(W31:AH31)</f>
        <v>76.399999999999991</v>
      </c>
      <c r="AJ31" s="690" t="str">
        <f t="shared" si="14"/>
        <v/>
      </c>
    </row>
    <row r="32" spans="1:36" ht="15.75" customHeight="1">
      <c r="B32" s="691" t="s">
        <v>1453</v>
      </c>
      <c r="C32" s="697">
        <v>110</v>
      </c>
      <c r="D32" s="697">
        <v>110</v>
      </c>
      <c r="E32" s="696">
        <f t="shared" si="11"/>
        <v>1320</v>
      </c>
      <c r="F32" s="697"/>
      <c r="G32" s="697"/>
      <c r="H32" s="682"/>
      <c r="I32" s="697">
        <v>110</v>
      </c>
      <c r="J32" s="697">
        <v>110</v>
      </c>
      <c r="K32" s="697">
        <v>110</v>
      </c>
      <c r="L32" s="697">
        <v>110</v>
      </c>
      <c r="M32" s="697">
        <v>110</v>
      </c>
      <c r="N32" s="697">
        <v>110</v>
      </c>
      <c r="O32" s="699">
        <v>110</v>
      </c>
      <c r="P32" s="699">
        <v>110</v>
      </c>
      <c r="Q32" s="699">
        <v>110</v>
      </c>
      <c r="R32" s="699">
        <v>110</v>
      </c>
      <c r="S32" s="699">
        <v>110</v>
      </c>
      <c r="T32" s="697">
        <v>110</v>
      </c>
      <c r="U32" s="698">
        <f t="shared" si="15"/>
        <v>1320</v>
      </c>
      <c r="W32" s="697"/>
      <c r="X32" s="697"/>
      <c r="Y32" s="697"/>
      <c r="Z32" s="697">
        <v>109</v>
      </c>
      <c r="AA32" s="697">
        <v>108</v>
      </c>
      <c r="AB32" s="697">
        <v>107</v>
      </c>
      <c r="AC32" s="699">
        <v>110</v>
      </c>
      <c r="AD32" s="699">
        <v>105</v>
      </c>
      <c r="AE32" s="699">
        <v>102</v>
      </c>
      <c r="AF32" s="699">
        <v>102</v>
      </c>
      <c r="AG32" s="699">
        <v>102</v>
      </c>
      <c r="AH32" s="697">
        <v>102</v>
      </c>
      <c r="AI32" s="698">
        <f t="shared" si="16"/>
        <v>947</v>
      </c>
      <c r="AJ32" s="690" t="str">
        <f t="shared" si="14"/>
        <v/>
      </c>
    </row>
    <row r="33" spans="2:36" ht="15.75" customHeight="1">
      <c r="B33" s="691" t="s">
        <v>1454</v>
      </c>
      <c r="C33" s="692"/>
      <c r="D33" s="692"/>
      <c r="E33" s="693"/>
      <c r="F33" s="692"/>
      <c r="G33" s="692"/>
      <c r="I33" s="692"/>
      <c r="J33" s="692"/>
      <c r="K33" s="692"/>
      <c r="L33" s="692"/>
      <c r="M33" s="692"/>
      <c r="N33" s="692"/>
      <c r="O33" s="695"/>
      <c r="P33" s="695"/>
      <c r="Q33" s="695"/>
      <c r="R33" s="695"/>
      <c r="S33" s="695"/>
      <c r="T33" s="692" t="s">
        <v>250</v>
      </c>
      <c r="U33" s="694">
        <f>IFERROR(AVERAGE(I33:T33),0)</f>
        <v>0</v>
      </c>
      <c r="W33" s="692"/>
      <c r="X33" s="692"/>
      <c r="Y33" s="692"/>
      <c r="Z33" s="692"/>
      <c r="AA33" s="692"/>
      <c r="AB33" s="692"/>
      <c r="AC33" s="695"/>
      <c r="AD33" s="695"/>
      <c r="AE33" s="695"/>
      <c r="AF33" s="695"/>
      <c r="AG33" s="695"/>
      <c r="AH33" s="692"/>
      <c r="AI33" s="694">
        <f t="shared" ref="AI33:AI35" si="17">SUM(W33:AH33)</f>
        <v>0</v>
      </c>
      <c r="AJ33" s="690" t="str">
        <f t="shared" si="14"/>
        <v>Please remove any text entries, enter numeric values only</v>
      </c>
    </row>
    <row r="34" spans="2:36" ht="39">
      <c r="B34" s="691" t="s">
        <v>1455</v>
      </c>
      <c r="C34" s="692"/>
      <c r="D34" s="692"/>
      <c r="E34" s="693"/>
      <c r="F34" s="692"/>
      <c r="G34" s="692"/>
      <c r="I34" s="692"/>
      <c r="J34" s="692"/>
      <c r="K34" s="692"/>
      <c r="L34" s="692"/>
      <c r="M34" s="692"/>
      <c r="N34" s="692"/>
      <c r="O34" s="695"/>
      <c r="P34" s="695"/>
      <c r="Q34" s="695"/>
      <c r="R34" s="695"/>
      <c r="S34" s="695"/>
      <c r="T34" s="692" t="s">
        <v>250</v>
      </c>
      <c r="U34" s="694">
        <f t="shared" ref="U34:U35" si="18">IFERROR(AVERAGE(I34:T34),0)</f>
        <v>0</v>
      </c>
      <c r="W34" s="692"/>
      <c r="X34" s="692"/>
      <c r="Y34" s="692"/>
      <c r="Z34" s="692"/>
      <c r="AA34" s="692"/>
      <c r="AB34" s="692"/>
      <c r="AC34" s="695"/>
      <c r="AD34" s="695"/>
      <c r="AE34" s="695"/>
      <c r="AF34" s="695"/>
      <c r="AG34" s="695"/>
      <c r="AH34" s="692"/>
      <c r="AI34" s="694">
        <f t="shared" si="17"/>
        <v>0</v>
      </c>
      <c r="AJ34" s="690" t="str">
        <f t="shared" si="14"/>
        <v>Please remove any text entries, enter numeric values only</v>
      </c>
    </row>
    <row r="35" spans="2:36" ht="13">
      <c r="B35" s="691" t="s">
        <v>1456</v>
      </c>
      <c r="C35" s="692">
        <v>0.02</v>
      </c>
      <c r="D35" s="692">
        <v>0.02</v>
      </c>
      <c r="E35" s="693">
        <v>0</v>
      </c>
      <c r="F35" s="692"/>
      <c r="G35" s="692"/>
      <c r="I35" s="692">
        <v>0</v>
      </c>
      <c r="J35" s="692">
        <v>0</v>
      </c>
      <c r="K35" s="692">
        <v>0</v>
      </c>
      <c r="L35" s="692">
        <v>0</v>
      </c>
      <c r="M35" s="692">
        <v>0</v>
      </c>
      <c r="N35" s="692">
        <v>0</v>
      </c>
      <c r="O35" s="695">
        <v>0</v>
      </c>
      <c r="P35" s="695">
        <v>0</v>
      </c>
      <c r="Q35" s="695">
        <v>0</v>
      </c>
      <c r="R35" s="695">
        <v>0</v>
      </c>
      <c r="S35" s="695">
        <v>0</v>
      </c>
      <c r="T35" s="692">
        <v>0</v>
      </c>
      <c r="U35" s="694">
        <f t="shared" si="18"/>
        <v>0</v>
      </c>
      <c r="W35" s="692">
        <v>0.02</v>
      </c>
      <c r="X35" s="692">
        <v>0.02</v>
      </c>
      <c r="Y35" s="692">
        <v>0.02</v>
      </c>
      <c r="Z35" s="692">
        <v>0.02</v>
      </c>
      <c r="AA35" s="692">
        <v>0</v>
      </c>
      <c r="AB35" s="692">
        <v>0</v>
      </c>
      <c r="AC35" s="695">
        <v>0</v>
      </c>
      <c r="AD35" s="695">
        <v>0</v>
      </c>
      <c r="AE35" s="695">
        <v>0</v>
      </c>
      <c r="AF35" s="695">
        <v>0</v>
      </c>
      <c r="AG35" s="695">
        <v>0</v>
      </c>
      <c r="AH35" s="692">
        <v>0</v>
      </c>
      <c r="AI35" s="694">
        <f t="shared" si="17"/>
        <v>0.08</v>
      </c>
      <c r="AJ35" s="690" t="str">
        <f t="shared" si="14"/>
        <v/>
      </c>
    </row>
    <row r="36" spans="2:36" s="682" customFormat="1" ht="15.75" customHeight="1">
      <c r="B36" s="700"/>
      <c r="C36" s="690"/>
      <c r="D36" s="690"/>
      <c r="E36" s="690"/>
      <c r="F36" s="690"/>
      <c r="G36" s="690"/>
      <c r="I36" s="690"/>
      <c r="J36" s="690"/>
      <c r="K36" s="690"/>
      <c r="L36" s="690"/>
      <c r="M36" s="690"/>
      <c r="N36" s="690"/>
      <c r="O36" s="690"/>
      <c r="P36" s="690"/>
      <c r="Q36" s="690"/>
      <c r="R36" s="690"/>
      <c r="S36" s="690"/>
      <c r="T36" s="690"/>
      <c r="U36" s="701"/>
      <c r="W36" s="690"/>
      <c r="X36" s="690"/>
      <c r="Y36" s="690"/>
      <c r="Z36" s="690"/>
      <c r="AA36" s="690"/>
      <c r="AB36" s="690"/>
      <c r="AC36" s="690"/>
      <c r="AD36" s="690"/>
      <c r="AE36" s="690"/>
      <c r="AF36" s="690"/>
      <c r="AG36" s="690"/>
      <c r="AH36" s="690"/>
      <c r="AI36" s="701"/>
    </row>
    <row r="37" spans="2:36" ht="15.75" customHeight="1">
      <c r="B37" s="16" t="s">
        <v>1457</v>
      </c>
      <c r="C37" s="16"/>
      <c r="D37" s="16"/>
      <c r="E37" s="16"/>
      <c r="F37" s="16"/>
      <c r="G37" s="16"/>
      <c r="I37" s="16"/>
      <c r="J37" s="16"/>
      <c r="K37" s="16"/>
      <c r="L37" s="16"/>
      <c r="M37" s="16"/>
      <c r="N37" s="16"/>
      <c r="O37" s="16"/>
      <c r="P37" s="16"/>
      <c r="Q37" s="16"/>
      <c r="R37" s="16"/>
      <c r="S37" s="16"/>
      <c r="T37" s="16"/>
      <c r="U37" s="16"/>
      <c r="W37" s="16"/>
      <c r="X37" s="16"/>
      <c r="Y37" s="16"/>
      <c r="Z37" s="16"/>
      <c r="AA37" s="16"/>
      <c r="AB37" s="16"/>
      <c r="AC37" s="16"/>
      <c r="AD37" s="16"/>
      <c r="AE37" s="16"/>
      <c r="AF37" s="16"/>
      <c r="AG37" s="16"/>
      <c r="AH37" s="16"/>
      <c r="AI37" s="16"/>
    </row>
    <row r="38" spans="2:36" ht="15.75" customHeight="1">
      <c r="B38" s="691" t="s">
        <v>1458</v>
      </c>
      <c r="C38" s="692">
        <v>0.433</v>
      </c>
      <c r="D38" s="692">
        <v>0.433</v>
      </c>
      <c r="E38" s="693"/>
      <c r="F38" s="692"/>
      <c r="G38" s="692"/>
      <c r="I38" s="692"/>
      <c r="J38" s="692"/>
      <c r="K38" s="692"/>
      <c r="L38" s="692"/>
      <c r="M38" s="692"/>
      <c r="N38" s="692"/>
      <c r="O38" s="695"/>
      <c r="P38" s="695"/>
      <c r="Q38" s="695"/>
      <c r="R38" s="695"/>
      <c r="S38" s="695"/>
      <c r="T38" s="692"/>
      <c r="U38" s="694">
        <f t="shared" ref="U38:U41" si="19">IFERROR(AVERAGE(I38:T38),0)</f>
        <v>0</v>
      </c>
      <c r="W38" s="692"/>
      <c r="X38" s="692"/>
      <c r="Y38" s="692"/>
      <c r="Z38" s="692"/>
      <c r="AA38" s="692"/>
      <c r="AB38" s="692"/>
      <c r="AC38" s="695"/>
      <c r="AD38" s="695"/>
      <c r="AE38" s="695"/>
      <c r="AF38" s="695"/>
      <c r="AG38" s="695"/>
      <c r="AH38" s="692"/>
      <c r="AI38" s="694">
        <f t="shared" ref="AI38:AI41" si="20">SUM(W38:AH38)</f>
        <v>0</v>
      </c>
      <c r="AJ38" s="690" t="str">
        <f t="shared" ref="AJ38:AJ50" si="21">IF(COUNTA(C38:AI38)&lt;&gt;COUNT(C38:AI38),"Please remove any text entries, enter numeric values only","")</f>
        <v/>
      </c>
    </row>
    <row r="39" spans="2:36" ht="15.75" customHeight="1">
      <c r="B39" s="691" t="s">
        <v>1459</v>
      </c>
      <c r="C39" s="692">
        <v>0.627</v>
      </c>
      <c r="D39" s="692">
        <v>0.627</v>
      </c>
      <c r="E39" s="693"/>
      <c r="F39" s="692"/>
      <c r="G39" s="692"/>
      <c r="I39" s="692"/>
      <c r="J39" s="692"/>
      <c r="K39" s="692"/>
      <c r="L39" s="692"/>
      <c r="M39" s="692"/>
      <c r="N39" s="692"/>
      <c r="O39" s="695"/>
      <c r="P39" s="695"/>
      <c r="Q39" s="695"/>
      <c r="R39" s="695"/>
      <c r="S39" s="695"/>
      <c r="T39" s="692"/>
      <c r="U39" s="694">
        <f t="shared" si="19"/>
        <v>0</v>
      </c>
      <c r="W39" s="692"/>
      <c r="X39" s="692"/>
      <c r="Y39" s="692"/>
      <c r="Z39" s="692"/>
      <c r="AA39" s="692"/>
      <c r="AB39" s="692"/>
      <c r="AC39" s="695"/>
      <c r="AD39" s="695"/>
      <c r="AE39" s="695"/>
      <c r="AF39" s="695"/>
      <c r="AG39" s="695"/>
      <c r="AH39" s="692"/>
      <c r="AI39" s="694">
        <f t="shared" si="20"/>
        <v>0</v>
      </c>
      <c r="AJ39" s="690" t="str">
        <f t="shared" si="21"/>
        <v/>
      </c>
    </row>
    <row r="40" spans="2:36" ht="15.75" customHeight="1">
      <c r="B40" s="691" t="s">
        <v>1460</v>
      </c>
      <c r="C40" s="692"/>
      <c r="D40" s="692"/>
      <c r="E40" s="693"/>
      <c r="F40" s="692"/>
      <c r="G40" s="692"/>
      <c r="I40" s="692"/>
      <c r="J40" s="692"/>
      <c r="K40" s="692"/>
      <c r="L40" s="692"/>
      <c r="M40" s="692"/>
      <c r="N40" s="692"/>
      <c r="O40" s="695"/>
      <c r="P40" s="695"/>
      <c r="Q40" s="695"/>
      <c r="R40" s="695"/>
      <c r="S40" s="695"/>
      <c r="T40" s="692"/>
      <c r="U40" s="694">
        <f t="shared" si="19"/>
        <v>0</v>
      </c>
      <c r="W40" s="692"/>
      <c r="X40" s="692"/>
      <c r="Y40" s="692"/>
      <c r="Z40" s="692"/>
      <c r="AA40" s="692"/>
      <c r="AB40" s="692"/>
      <c r="AC40" s="695"/>
      <c r="AD40" s="695"/>
      <c r="AE40" s="695"/>
      <c r="AF40" s="695"/>
      <c r="AG40" s="695"/>
      <c r="AH40" s="692"/>
      <c r="AI40" s="694">
        <f t="shared" si="20"/>
        <v>0</v>
      </c>
      <c r="AJ40" s="690" t="str">
        <f t="shared" si="21"/>
        <v/>
      </c>
    </row>
    <row r="41" spans="2:36" ht="15.75" customHeight="1">
      <c r="B41" s="691" t="s">
        <v>1461</v>
      </c>
      <c r="C41" s="692"/>
      <c r="D41" s="692"/>
      <c r="E41" s="693"/>
      <c r="F41" s="692"/>
      <c r="G41" s="692"/>
      <c r="I41" s="697"/>
      <c r="J41" s="697"/>
      <c r="K41" s="697"/>
      <c r="L41" s="697"/>
      <c r="M41" s="697"/>
      <c r="N41" s="697"/>
      <c r="O41" s="699"/>
      <c r="P41" s="699"/>
      <c r="Q41" s="699"/>
      <c r="R41" s="699"/>
      <c r="S41" s="699"/>
      <c r="T41" s="697"/>
      <c r="U41" s="694">
        <f t="shared" si="19"/>
        <v>0</v>
      </c>
      <c r="W41" s="692"/>
      <c r="X41" s="692"/>
      <c r="Y41" s="692"/>
      <c r="Z41" s="692"/>
      <c r="AA41" s="692"/>
      <c r="AB41" s="692"/>
      <c r="AC41" s="695"/>
      <c r="AD41" s="695"/>
      <c r="AE41" s="695"/>
      <c r="AF41" s="695"/>
      <c r="AG41" s="695"/>
      <c r="AH41" s="692"/>
      <c r="AI41" s="694">
        <f t="shared" si="20"/>
        <v>0</v>
      </c>
      <c r="AJ41" s="690" t="str">
        <f t="shared" si="21"/>
        <v/>
      </c>
    </row>
    <row r="42" spans="2:36" ht="15.75" customHeight="1">
      <c r="B42" s="691" t="s">
        <v>1462</v>
      </c>
      <c r="C42" s="697">
        <v>1790</v>
      </c>
      <c r="D42" s="697">
        <v>1829</v>
      </c>
      <c r="E42" s="696">
        <f t="shared" ref="E42:E45" si="22">U42</f>
        <v>0</v>
      </c>
      <c r="F42" s="697"/>
      <c r="G42" s="697"/>
      <c r="H42" s="682"/>
      <c r="I42" s="697"/>
      <c r="J42" s="697"/>
      <c r="K42" s="697"/>
      <c r="L42" s="697"/>
      <c r="M42" s="697"/>
      <c r="N42" s="697"/>
      <c r="O42" s="699"/>
      <c r="P42" s="699"/>
      <c r="Q42" s="699"/>
      <c r="R42" s="699"/>
      <c r="S42" s="699"/>
      <c r="T42" s="697"/>
      <c r="U42" s="698">
        <f t="shared" ref="U42:U45" si="23">SUM(I42:T42)</f>
        <v>0</v>
      </c>
      <c r="W42" s="697">
        <v>101</v>
      </c>
      <c r="X42" s="697">
        <v>214</v>
      </c>
      <c r="Y42" s="697">
        <v>148</v>
      </c>
      <c r="Z42" s="697">
        <v>227</v>
      </c>
      <c r="AA42" s="697">
        <v>62</v>
      </c>
      <c r="AB42" s="697">
        <v>100</v>
      </c>
      <c r="AC42" s="699">
        <v>209</v>
      </c>
      <c r="AD42" s="699">
        <v>157</v>
      </c>
      <c r="AE42" s="699">
        <v>127</v>
      </c>
      <c r="AF42" s="699">
        <v>79</v>
      </c>
      <c r="AG42" s="699">
        <v>171</v>
      </c>
      <c r="AH42" s="697">
        <v>110</v>
      </c>
      <c r="AI42" s="698">
        <f t="shared" ref="AI42:AI45" si="24">SUM(W42:AH42)</f>
        <v>1705</v>
      </c>
      <c r="AJ42" s="690" t="str">
        <f t="shared" si="21"/>
        <v/>
      </c>
    </row>
    <row r="43" spans="2:36" ht="15.75" customHeight="1">
      <c r="B43" s="691" t="s">
        <v>1463</v>
      </c>
      <c r="C43" s="697">
        <v>1</v>
      </c>
      <c r="D43" s="697">
        <v>2</v>
      </c>
      <c r="E43" s="696">
        <f t="shared" si="22"/>
        <v>0</v>
      </c>
      <c r="F43" s="697"/>
      <c r="G43" s="697"/>
      <c r="H43" s="682"/>
      <c r="I43" s="697"/>
      <c r="J43" s="697"/>
      <c r="K43" s="697"/>
      <c r="L43" s="697"/>
      <c r="M43" s="697"/>
      <c r="N43" s="697"/>
      <c r="O43" s="699"/>
      <c r="P43" s="699"/>
      <c r="Q43" s="699"/>
      <c r="R43" s="699"/>
      <c r="S43" s="699"/>
      <c r="T43" s="697"/>
      <c r="U43" s="698">
        <f t="shared" si="23"/>
        <v>0</v>
      </c>
      <c r="W43" s="697">
        <v>0</v>
      </c>
      <c r="X43" s="697">
        <v>0</v>
      </c>
      <c r="Y43" s="697">
        <v>0</v>
      </c>
      <c r="Z43" s="697"/>
      <c r="AA43" s="697"/>
      <c r="AB43" s="697"/>
      <c r="AC43" s="699"/>
      <c r="AD43" s="699"/>
      <c r="AE43" s="699"/>
      <c r="AF43" s="699"/>
      <c r="AG43" s="699"/>
      <c r="AH43" s="697"/>
      <c r="AI43" s="698">
        <f t="shared" si="24"/>
        <v>0</v>
      </c>
      <c r="AJ43" s="690" t="str">
        <f t="shared" si="21"/>
        <v/>
      </c>
    </row>
    <row r="44" spans="2:36" ht="15.75" customHeight="1">
      <c r="B44" s="691" t="s">
        <v>1464</v>
      </c>
      <c r="C44" s="697">
        <v>97188</v>
      </c>
      <c r="D44" s="697">
        <v>824024</v>
      </c>
      <c r="E44" s="696">
        <f t="shared" si="22"/>
        <v>30960</v>
      </c>
      <c r="F44" s="697"/>
      <c r="G44" s="697"/>
      <c r="H44" s="682"/>
      <c r="I44" s="697">
        <v>2580</v>
      </c>
      <c r="J44" s="697">
        <v>2580</v>
      </c>
      <c r="K44" s="697">
        <v>2580</v>
      </c>
      <c r="L44" s="697">
        <v>2580</v>
      </c>
      <c r="M44" s="697">
        <v>2580</v>
      </c>
      <c r="N44" s="697">
        <v>2580</v>
      </c>
      <c r="O44" s="699">
        <v>2580</v>
      </c>
      <c r="P44" s="699">
        <v>2580</v>
      </c>
      <c r="Q44" s="699">
        <v>2580</v>
      </c>
      <c r="R44" s="699">
        <v>2580</v>
      </c>
      <c r="S44" s="699">
        <v>2580</v>
      </c>
      <c r="T44" s="697">
        <v>2580</v>
      </c>
      <c r="U44" s="698">
        <f t="shared" si="23"/>
        <v>30960</v>
      </c>
      <c r="W44" s="697">
        <v>0</v>
      </c>
      <c r="X44" s="697">
        <v>0</v>
      </c>
      <c r="Y44" s="697">
        <v>0</v>
      </c>
      <c r="Z44" s="697"/>
      <c r="AA44" s="697"/>
      <c r="AB44" s="697"/>
      <c r="AC44" s="699"/>
      <c r="AD44" s="699"/>
      <c r="AE44" s="699"/>
      <c r="AF44" s="699"/>
      <c r="AG44" s="699"/>
      <c r="AH44" s="697"/>
      <c r="AI44" s="698">
        <f t="shared" si="24"/>
        <v>0</v>
      </c>
      <c r="AJ44" s="690" t="str">
        <f t="shared" si="21"/>
        <v/>
      </c>
    </row>
    <row r="45" spans="2:36" ht="15.75" customHeight="1">
      <c r="B45" s="691" t="s">
        <v>1465</v>
      </c>
      <c r="C45" s="697">
        <v>29331</v>
      </c>
      <c r="D45" s="697">
        <v>30965</v>
      </c>
      <c r="E45" s="696">
        <f t="shared" si="22"/>
        <v>0</v>
      </c>
      <c r="F45" s="697"/>
      <c r="G45" s="697"/>
      <c r="H45" s="682"/>
      <c r="I45" s="692"/>
      <c r="J45" s="692"/>
      <c r="K45" s="692"/>
      <c r="L45" s="692"/>
      <c r="M45" s="692"/>
      <c r="N45" s="692"/>
      <c r="O45" s="695"/>
      <c r="P45" s="695"/>
      <c r="Q45" s="695"/>
      <c r="R45" s="695"/>
      <c r="S45" s="695"/>
      <c r="T45" s="692"/>
      <c r="U45" s="698">
        <f t="shared" si="23"/>
        <v>0</v>
      </c>
      <c r="W45" s="697">
        <v>1707</v>
      </c>
      <c r="X45" s="697">
        <v>2424</v>
      </c>
      <c r="Y45" s="697">
        <v>2428</v>
      </c>
      <c r="Z45" s="697">
        <v>2861</v>
      </c>
      <c r="AA45" s="697">
        <v>2289</v>
      </c>
      <c r="AB45" s="697">
        <v>2571</v>
      </c>
      <c r="AC45" s="699">
        <v>3223</v>
      </c>
      <c r="AD45" s="699">
        <v>2321</v>
      </c>
      <c r="AE45" s="699">
        <v>2460</v>
      </c>
      <c r="AF45" s="699">
        <v>3131</v>
      </c>
      <c r="AG45" s="699">
        <v>2757</v>
      </c>
      <c r="AH45" s="697">
        <v>2820</v>
      </c>
      <c r="AI45" s="698">
        <f t="shared" si="24"/>
        <v>30992</v>
      </c>
      <c r="AJ45" s="690" t="str">
        <f t="shared" si="21"/>
        <v/>
      </c>
    </row>
    <row r="46" spans="2:36" ht="15.75" customHeight="1">
      <c r="B46" s="691" t="s">
        <v>1466</v>
      </c>
      <c r="C46" s="692">
        <v>0.29799999999999999</v>
      </c>
      <c r="D46" s="692"/>
      <c r="E46" s="693"/>
      <c r="F46" s="692"/>
      <c r="G46" s="692"/>
      <c r="I46" s="692"/>
      <c r="J46" s="692"/>
      <c r="K46" s="692"/>
      <c r="L46" s="692"/>
      <c r="M46" s="692"/>
      <c r="N46" s="692"/>
      <c r="O46" s="695"/>
      <c r="P46" s="695"/>
      <c r="Q46" s="695"/>
      <c r="R46" s="695"/>
      <c r="S46" s="695"/>
      <c r="T46" s="692"/>
      <c r="U46" s="694">
        <f t="shared" ref="U46:U50" si="25">IFERROR(AVERAGE(I46:T46),0)</f>
        <v>0</v>
      </c>
      <c r="W46" s="692"/>
      <c r="X46" s="692"/>
      <c r="Y46" s="692"/>
      <c r="Z46" s="692"/>
      <c r="AA46" s="692"/>
      <c r="AB46" s="692"/>
      <c r="AC46" s="695"/>
      <c r="AD46" s="695"/>
      <c r="AE46" s="695"/>
      <c r="AF46" s="695"/>
      <c r="AG46" s="695"/>
      <c r="AH46" s="692"/>
      <c r="AI46" s="694">
        <f t="shared" ref="AI46:AI50" si="26">SUM(W46:AH46)</f>
        <v>0</v>
      </c>
      <c r="AJ46" s="690" t="str">
        <f t="shared" si="21"/>
        <v/>
      </c>
    </row>
    <row r="47" spans="2:36" ht="15.75" customHeight="1">
      <c r="B47" s="691" t="s">
        <v>1467</v>
      </c>
      <c r="C47" s="692"/>
      <c r="D47" s="692"/>
      <c r="E47" s="693"/>
      <c r="F47" s="692"/>
      <c r="G47" s="692"/>
      <c r="I47" s="692"/>
      <c r="J47" s="692"/>
      <c r="K47" s="692"/>
      <c r="L47" s="692"/>
      <c r="M47" s="692"/>
      <c r="N47" s="692"/>
      <c r="O47" s="695"/>
      <c r="P47" s="695"/>
      <c r="Q47" s="695"/>
      <c r="R47" s="695"/>
      <c r="S47" s="695"/>
      <c r="T47" s="692"/>
      <c r="U47" s="694">
        <f t="shared" si="25"/>
        <v>0</v>
      </c>
      <c r="W47" s="692"/>
      <c r="X47" s="692"/>
      <c r="Y47" s="692"/>
      <c r="Z47" s="692"/>
      <c r="AA47" s="692"/>
      <c r="AB47" s="692"/>
      <c r="AC47" s="695"/>
      <c r="AD47" s="695"/>
      <c r="AE47" s="695"/>
      <c r="AF47" s="695"/>
      <c r="AG47" s="695"/>
      <c r="AH47" s="692"/>
      <c r="AI47" s="694">
        <f t="shared" si="26"/>
        <v>0</v>
      </c>
      <c r="AJ47" s="690" t="str">
        <f t="shared" si="21"/>
        <v/>
      </c>
    </row>
    <row r="48" spans="2:36" ht="15.75" customHeight="1">
      <c r="B48" s="691" t="s">
        <v>1468</v>
      </c>
      <c r="C48" s="692">
        <v>0.57999999999999996</v>
      </c>
      <c r="D48" s="692">
        <v>0.67</v>
      </c>
      <c r="E48" s="693"/>
      <c r="F48" s="692"/>
      <c r="G48" s="692"/>
      <c r="I48" s="692"/>
      <c r="J48" s="692"/>
      <c r="K48" s="692"/>
      <c r="L48" s="692"/>
      <c r="M48" s="692"/>
      <c r="N48" s="692"/>
      <c r="O48" s="695"/>
      <c r="P48" s="695"/>
      <c r="Q48" s="695"/>
      <c r="R48" s="695"/>
      <c r="S48" s="695"/>
      <c r="T48" s="692"/>
      <c r="U48" s="694">
        <f t="shared" si="25"/>
        <v>0</v>
      </c>
      <c r="W48" s="692">
        <v>0.67</v>
      </c>
      <c r="X48" s="692">
        <v>0.67</v>
      </c>
      <c r="Y48" s="692">
        <v>0.67</v>
      </c>
      <c r="Z48" s="692">
        <v>0.64500000000000002</v>
      </c>
      <c r="AA48" s="692">
        <v>0.64500000000000002</v>
      </c>
      <c r="AB48" s="692">
        <v>0.64500000000000002</v>
      </c>
      <c r="AC48" s="695">
        <v>0.64500000000000002</v>
      </c>
      <c r="AD48" s="695">
        <v>0.64500000000000002</v>
      </c>
      <c r="AE48" s="695">
        <v>0.64500000000000002</v>
      </c>
      <c r="AF48" s="695">
        <v>0.64500000000000002</v>
      </c>
      <c r="AG48" s="695">
        <v>0.64500000000000002</v>
      </c>
      <c r="AH48" s="692">
        <v>0.64500000000000002</v>
      </c>
      <c r="AI48" s="694">
        <f t="shared" si="26"/>
        <v>7.8149999999999977</v>
      </c>
      <c r="AJ48" s="690" t="str">
        <f t="shared" si="21"/>
        <v/>
      </c>
    </row>
    <row r="49" spans="2:36" ht="15.75" customHeight="1">
      <c r="B49" s="691" t="s">
        <v>1469</v>
      </c>
      <c r="C49" s="692">
        <v>0.9</v>
      </c>
      <c r="D49" s="692">
        <v>0.98</v>
      </c>
      <c r="E49" s="693"/>
      <c r="F49" s="692"/>
      <c r="G49" s="692"/>
      <c r="I49" s="692"/>
      <c r="J49" s="692"/>
      <c r="K49" s="692"/>
      <c r="L49" s="692"/>
      <c r="M49" s="692"/>
      <c r="N49" s="692"/>
      <c r="O49" s="695"/>
      <c r="P49" s="695"/>
      <c r="Q49" s="695"/>
      <c r="R49" s="695"/>
      <c r="S49" s="695"/>
      <c r="T49" s="692"/>
      <c r="U49" s="694">
        <f t="shared" si="25"/>
        <v>0</v>
      </c>
      <c r="W49" s="692">
        <v>0.98</v>
      </c>
      <c r="X49" s="692">
        <v>0.98</v>
      </c>
      <c r="Y49" s="692">
        <v>0.98</v>
      </c>
      <c r="Z49" s="692">
        <v>0.96</v>
      </c>
      <c r="AA49" s="692">
        <v>0.96</v>
      </c>
      <c r="AB49" s="692">
        <v>0.96</v>
      </c>
      <c r="AC49" s="695">
        <v>0.96</v>
      </c>
      <c r="AD49" s="695">
        <v>0.96</v>
      </c>
      <c r="AE49" s="695">
        <v>0.96</v>
      </c>
      <c r="AF49" s="695">
        <v>0.96</v>
      </c>
      <c r="AG49" s="695">
        <v>0.96</v>
      </c>
      <c r="AH49" s="692">
        <v>0.96</v>
      </c>
      <c r="AI49" s="694">
        <f t="shared" si="26"/>
        <v>11.580000000000002</v>
      </c>
      <c r="AJ49" s="690" t="str">
        <f t="shared" si="21"/>
        <v/>
      </c>
    </row>
    <row r="50" spans="2:36" ht="15.75" customHeight="1">
      <c r="B50" s="691" t="s">
        <v>1470</v>
      </c>
      <c r="C50" s="692">
        <v>1</v>
      </c>
      <c r="D50" s="692">
        <v>1</v>
      </c>
      <c r="E50" s="693"/>
      <c r="F50" s="692"/>
      <c r="G50" s="692"/>
      <c r="I50" s="692"/>
      <c r="J50" s="692"/>
      <c r="K50" s="692"/>
      <c r="L50" s="692"/>
      <c r="M50" s="692"/>
      <c r="N50" s="692"/>
      <c r="O50" s="695"/>
      <c r="P50" s="695"/>
      <c r="Q50" s="695"/>
      <c r="R50" s="695"/>
      <c r="S50" s="695"/>
      <c r="T50" s="692"/>
      <c r="U50" s="694">
        <f t="shared" si="25"/>
        <v>0</v>
      </c>
      <c r="W50" s="692"/>
      <c r="X50" s="692"/>
      <c r="Y50" s="692"/>
      <c r="Z50" s="692">
        <v>1</v>
      </c>
      <c r="AA50" s="692">
        <v>1</v>
      </c>
      <c r="AB50" s="692">
        <v>1</v>
      </c>
      <c r="AC50" s="695">
        <v>1</v>
      </c>
      <c r="AD50" s="695">
        <v>1</v>
      </c>
      <c r="AE50" s="695">
        <v>1</v>
      </c>
      <c r="AF50" s="695">
        <v>1</v>
      </c>
      <c r="AG50" s="695">
        <v>1</v>
      </c>
      <c r="AH50" s="692">
        <v>1</v>
      </c>
      <c r="AI50" s="694">
        <f t="shared" si="26"/>
        <v>9</v>
      </c>
      <c r="AJ50" s="690" t="str">
        <f t="shared" si="21"/>
        <v/>
      </c>
    </row>
    <row r="52" spans="2:36" ht="15.75" customHeight="1">
      <c r="B52" s="16" t="s">
        <v>1471</v>
      </c>
      <c r="C52" s="16"/>
      <c r="D52" s="16"/>
      <c r="E52" s="16"/>
      <c r="F52" s="16"/>
      <c r="G52" s="16"/>
      <c r="I52" s="16"/>
      <c r="J52" s="16"/>
      <c r="K52" s="16"/>
      <c r="L52" s="16"/>
      <c r="M52" s="16"/>
      <c r="N52" s="16"/>
      <c r="O52" s="16"/>
      <c r="P52" s="16"/>
      <c r="Q52" s="16"/>
      <c r="R52" s="16"/>
      <c r="S52" s="16"/>
      <c r="T52" s="16"/>
      <c r="U52" s="16"/>
      <c r="W52" s="16"/>
      <c r="X52" s="16"/>
      <c r="Y52" s="16"/>
      <c r="Z52" s="16"/>
      <c r="AA52" s="16"/>
      <c r="AB52" s="16"/>
      <c r="AC52" s="16"/>
      <c r="AD52" s="16"/>
      <c r="AE52" s="16"/>
      <c r="AF52" s="16"/>
      <c r="AG52" s="16"/>
      <c r="AH52" s="16"/>
      <c r="AI52" s="16"/>
    </row>
    <row r="53" spans="2:36" ht="15.75" customHeight="1">
      <c r="B53" s="691" t="s">
        <v>1472</v>
      </c>
      <c r="C53" s="697">
        <v>31343</v>
      </c>
      <c r="D53" s="697">
        <v>40000</v>
      </c>
      <c r="E53" s="696">
        <f>U53</f>
        <v>49992</v>
      </c>
      <c r="F53" s="697"/>
      <c r="G53" s="697"/>
      <c r="H53" s="682"/>
      <c r="I53" s="697">
        <v>4166</v>
      </c>
      <c r="J53" s="697">
        <v>4166</v>
      </c>
      <c r="K53" s="697">
        <v>4166</v>
      </c>
      <c r="L53" s="697">
        <v>4166</v>
      </c>
      <c r="M53" s="697">
        <v>4166</v>
      </c>
      <c r="N53" s="697">
        <v>4166</v>
      </c>
      <c r="O53" s="699">
        <v>4166</v>
      </c>
      <c r="P53" s="699">
        <v>4166</v>
      </c>
      <c r="Q53" s="699">
        <v>4166</v>
      </c>
      <c r="R53" s="699">
        <v>4166</v>
      </c>
      <c r="S53" s="699">
        <v>4166</v>
      </c>
      <c r="T53" s="697">
        <v>4166</v>
      </c>
      <c r="U53" s="698">
        <f t="shared" ref="U53:U56" si="27">SUM(I53:T53)</f>
        <v>49992</v>
      </c>
      <c r="W53" s="697">
        <v>4488</v>
      </c>
      <c r="X53" s="697">
        <v>4940</v>
      </c>
      <c r="Y53" s="697">
        <v>5187</v>
      </c>
      <c r="Z53" s="697">
        <v>4980</v>
      </c>
      <c r="AA53" s="697">
        <v>4526</v>
      </c>
      <c r="AB53" s="697">
        <v>4659</v>
      </c>
      <c r="AC53" s="699">
        <v>5009</v>
      </c>
      <c r="AD53" s="699">
        <v>4925</v>
      </c>
      <c r="AE53" s="699">
        <v>4820</v>
      </c>
      <c r="AF53" s="699">
        <v>5272</v>
      </c>
      <c r="AG53" s="699">
        <v>5527</v>
      </c>
      <c r="AH53" s="697">
        <v>5567</v>
      </c>
      <c r="AI53" s="698">
        <f t="shared" ref="AI53:AI56" si="28">SUM(W53:AH53)</f>
        <v>59900</v>
      </c>
      <c r="AJ53" s="690" t="str">
        <f t="shared" ref="AJ53:AJ56" si="29">IF(COUNTA(C53:AI53)&lt;&gt;COUNT(C53:AI53),"Please remove any text entries, enter numeric values only","")</f>
        <v/>
      </c>
    </row>
    <row r="54" spans="2:36" ht="15.75" customHeight="1">
      <c r="B54" s="691" t="s">
        <v>1473</v>
      </c>
      <c r="C54" s="697">
        <v>12</v>
      </c>
      <c r="D54" s="697">
        <v>13</v>
      </c>
      <c r="E54" s="696">
        <v>20</v>
      </c>
      <c r="F54" s="697"/>
      <c r="G54" s="697"/>
      <c r="H54" s="682"/>
      <c r="I54" s="697"/>
      <c r="J54" s="697"/>
      <c r="K54" s="697"/>
      <c r="L54" s="697"/>
      <c r="M54" s="697"/>
      <c r="N54" s="697"/>
      <c r="O54" s="699"/>
      <c r="P54" s="699"/>
      <c r="Q54" s="699"/>
      <c r="R54" s="699"/>
      <c r="S54" s="699"/>
      <c r="T54" s="697"/>
      <c r="U54" s="698">
        <f t="shared" si="27"/>
        <v>0</v>
      </c>
      <c r="W54" s="697">
        <v>20</v>
      </c>
      <c r="X54" s="697">
        <v>21</v>
      </c>
      <c r="Y54" s="697">
        <v>20</v>
      </c>
      <c r="Z54" s="697">
        <v>20</v>
      </c>
      <c r="AA54" s="697">
        <v>21</v>
      </c>
      <c r="AB54" s="697">
        <v>22</v>
      </c>
      <c r="AC54" s="699">
        <v>27</v>
      </c>
      <c r="AD54" s="699">
        <v>27</v>
      </c>
      <c r="AE54" s="699">
        <v>27</v>
      </c>
      <c r="AF54" s="699">
        <v>30</v>
      </c>
      <c r="AG54" s="699">
        <v>31</v>
      </c>
      <c r="AH54" s="697">
        <v>34</v>
      </c>
      <c r="AI54" s="698">
        <f t="shared" si="28"/>
        <v>300</v>
      </c>
      <c r="AJ54" s="690" t="str">
        <f t="shared" si="29"/>
        <v/>
      </c>
    </row>
    <row r="55" spans="2:36" ht="15.65" customHeight="1">
      <c r="B55" s="691" t="s">
        <v>1474</v>
      </c>
      <c r="C55" s="697">
        <v>17</v>
      </c>
      <c r="D55" s="697">
        <v>17</v>
      </c>
      <c r="E55" s="696">
        <v>22</v>
      </c>
      <c r="F55" s="697"/>
      <c r="G55" s="697"/>
      <c r="H55" s="682"/>
      <c r="I55" s="697"/>
      <c r="J55" s="697"/>
      <c r="K55" s="697"/>
      <c r="L55" s="697"/>
      <c r="M55" s="697"/>
      <c r="N55" s="697"/>
      <c r="O55" s="699"/>
      <c r="P55" s="699"/>
      <c r="Q55" s="699"/>
      <c r="R55" s="699"/>
      <c r="S55" s="699"/>
      <c r="T55" s="697"/>
      <c r="U55" s="698">
        <f t="shared" si="27"/>
        <v>0</v>
      </c>
      <c r="W55" s="697">
        <v>22</v>
      </c>
      <c r="X55" s="697">
        <v>22</v>
      </c>
      <c r="Y55" s="697">
        <v>22</v>
      </c>
      <c r="Z55" s="697">
        <v>22</v>
      </c>
      <c r="AA55" s="697">
        <v>22</v>
      </c>
      <c r="AB55" s="697">
        <v>22</v>
      </c>
      <c r="AC55" s="699">
        <v>22</v>
      </c>
      <c r="AD55" s="699">
        <v>22</v>
      </c>
      <c r="AE55" s="699">
        <v>22</v>
      </c>
      <c r="AF55" s="699">
        <v>22</v>
      </c>
      <c r="AG55" s="699">
        <v>22</v>
      </c>
      <c r="AH55" s="697">
        <v>22</v>
      </c>
      <c r="AI55" s="698">
        <f t="shared" si="28"/>
        <v>264</v>
      </c>
      <c r="AJ55" s="690" t="str">
        <f t="shared" si="29"/>
        <v/>
      </c>
    </row>
    <row r="56" spans="2:36" ht="15.65" customHeight="1">
      <c r="B56" s="691" t="s">
        <v>1475</v>
      </c>
      <c r="C56" s="697" t="s">
        <v>250</v>
      </c>
      <c r="D56" s="697" t="s">
        <v>250</v>
      </c>
      <c r="E56" s="696"/>
      <c r="F56" s="697"/>
      <c r="G56" s="697"/>
      <c r="H56" s="682"/>
      <c r="I56" s="697"/>
      <c r="J56" s="697"/>
      <c r="K56" s="697"/>
      <c r="L56" s="697"/>
      <c r="M56" s="697"/>
      <c r="N56" s="697"/>
      <c r="O56" s="699"/>
      <c r="P56" s="699"/>
      <c r="Q56" s="699"/>
      <c r="R56" s="699"/>
      <c r="S56" s="699"/>
      <c r="T56" s="697"/>
      <c r="U56" s="698">
        <f t="shared" si="27"/>
        <v>0</v>
      </c>
      <c r="W56" s="697">
        <v>0</v>
      </c>
      <c r="X56" s="697">
        <v>0</v>
      </c>
      <c r="Y56" s="697">
        <v>0</v>
      </c>
      <c r="Z56" s="697">
        <v>0</v>
      </c>
      <c r="AA56" s="697">
        <v>0</v>
      </c>
      <c r="AB56" s="697">
        <v>0</v>
      </c>
      <c r="AC56" s="699">
        <v>0</v>
      </c>
      <c r="AD56" s="699">
        <v>0</v>
      </c>
      <c r="AE56" s="699">
        <v>0</v>
      </c>
      <c r="AF56" s="699">
        <v>0</v>
      </c>
      <c r="AG56" s="699">
        <v>0</v>
      </c>
      <c r="AH56" s="697">
        <v>1</v>
      </c>
      <c r="AI56" s="698">
        <f t="shared" si="28"/>
        <v>1</v>
      </c>
      <c r="AJ56" s="690" t="str">
        <f t="shared" si="29"/>
        <v>Please remove any text entries, enter numeric values only</v>
      </c>
    </row>
    <row r="58" spans="2:36" ht="15.75" customHeight="1">
      <c r="B58" s="16" t="s">
        <v>1476</v>
      </c>
      <c r="C58" s="16"/>
      <c r="D58" s="16"/>
      <c r="E58" s="16"/>
      <c r="F58" s="16"/>
      <c r="G58" s="16"/>
      <c r="I58" s="16"/>
      <c r="J58" s="16"/>
      <c r="K58" s="16"/>
      <c r="L58" s="16"/>
      <c r="M58" s="16"/>
      <c r="N58" s="16"/>
      <c r="O58" s="16"/>
      <c r="P58" s="16"/>
      <c r="Q58" s="16"/>
      <c r="R58" s="16"/>
      <c r="S58" s="16"/>
      <c r="T58" s="16"/>
      <c r="U58" s="16"/>
      <c r="W58" s="16"/>
      <c r="X58" s="16"/>
      <c r="Y58" s="16"/>
      <c r="Z58" s="16"/>
      <c r="AA58" s="16"/>
      <c r="AB58" s="16"/>
      <c r="AC58" s="16"/>
      <c r="AD58" s="16"/>
      <c r="AE58" s="16"/>
      <c r="AF58" s="16"/>
      <c r="AG58" s="16"/>
      <c r="AH58" s="16"/>
      <c r="AI58" s="16"/>
    </row>
    <row r="59" spans="2:36" ht="15.75" customHeight="1">
      <c r="B59" s="691" t="s">
        <v>1477</v>
      </c>
      <c r="C59" s="692">
        <v>0.03</v>
      </c>
      <c r="D59" s="692">
        <v>0.03</v>
      </c>
      <c r="E59" s="693"/>
      <c r="F59" s="692"/>
      <c r="G59" s="692"/>
      <c r="I59" s="692"/>
      <c r="J59" s="692"/>
      <c r="K59" s="692"/>
      <c r="L59" s="692"/>
      <c r="M59" s="692"/>
      <c r="N59" s="692"/>
      <c r="O59" s="695"/>
      <c r="P59" s="695"/>
      <c r="Q59" s="695"/>
      <c r="R59" s="695"/>
      <c r="S59" s="695"/>
      <c r="T59" s="692"/>
      <c r="U59" s="694">
        <f>IFERROR(AVERAGE(I59:T59),0)</f>
        <v>0</v>
      </c>
      <c r="W59" s="692">
        <v>0.03</v>
      </c>
      <c r="X59" s="692">
        <v>0.03</v>
      </c>
      <c r="Y59" s="692">
        <v>0.03</v>
      </c>
      <c r="Z59" s="692">
        <v>0.16</v>
      </c>
      <c r="AA59" s="692">
        <v>0.19</v>
      </c>
      <c r="AB59" s="692">
        <v>0.19</v>
      </c>
      <c r="AC59" s="695">
        <v>0.28000000000000003</v>
      </c>
      <c r="AD59" s="695">
        <v>0.28000000000000003</v>
      </c>
      <c r="AE59" s="695">
        <v>0.31</v>
      </c>
      <c r="AF59" s="695">
        <v>0.31</v>
      </c>
      <c r="AG59" s="695">
        <v>0.31</v>
      </c>
      <c r="AH59" s="692">
        <v>0.31</v>
      </c>
      <c r="AI59" s="694">
        <f>SUM(W59:AH59)</f>
        <v>2.4300000000000002</v>
      </c>
      <c r="AJ59" s="690" t="str">
        <f t="shared" ref="AJ59:AJ63" si="30">IF(COUNTA(C59:AI59)&lt;&gt;COUNT(C59:AI59),"Please remove any text entries, enter numeric values only","")</f>
        <v/>
      </c>
    </row>
    <row r="60" spans="2:36" ht="15.75" customHeight="1">
      <c r="B60" s="691" t="s">
        <v>1478</v>
      </c>
      <c r="C60" s="697"/>
      <c r="D60" s="697"/>
      <c r="E60" s="696"/>
      <c r="F60" s="697"/>
      <c r="G60" s="697"/>
      <c r="H60" s="682"/>
      <c r="I60" s="697"/>
      <c r="J60" s="697"/>
      <c r="K60" s="697"/>
      <c r="L60" s="697"/>
      <c r="M60" s="697"/>
      <c r="N60" s="697"/>
      <c r="O60" s="699"/>
      <c r="P60" s="699"/>
      <c r="Q60" s="699"/>
      <c r="R60" s="699"/>
      <c r="S60" s="699"/>
      <c r="T60" s="697"/>
      <c r="U60" s="698">
        <f t="shared" ref="U60:U61" si="31">SUM(I60:T60)</f>
        <v>0</v>
      </c>
      <c r="W60" s="697"/>
      <c r="X60" s="697"/>
      <c r="Y60" s="697"/>
      <c r="Z60" s="697"/>
      <c r="AA60" s="697"/>
      <c r="AB60" s="697"/>
      <c r="AC60" s="699"/>
      <c r="AD60" s="699"/>
      <c r="AE60" s="699"/>
      <c r="AF60" s="699"/>
      <c r="AG60" s="699"/>
      <c r="AH60" s="697"/>
      <c r="AI60" s="698">
        <f t="shared" ref="AI60:AI61" si="32">SUM(W60:AH60)</f>
        <v>0</v>
      </c>
      <c r="AJ60" s="690" t="str">
        <f t="shared" si="30"/>
        <v/>
      </c>
    </row>
    <row r="61" spans="2:36" ht="15.75" customHeight="1">
      <c r="B61" s="691" t="s">
        <v>1479</v>
      </c>
      <c r="C61" s="697"/>
      <c r="D61" s="697"/>
      <c r="E61" s="696"/>
      <c r="F61" s="697"/>
      <c r="G61" s="697"/>
      <c r="H61" s="682"/>
      <c r="I61" s="697"/>
      <c r="J61" s="697"/>
      <c r="K61" s="697"/>
      <c r="L61" s="697"/>
      <c r="M61" s="697"/>
      <c r="N61" s="697"/>
      <c r="O61" s="699"/>
      <c r="P61" s="699"/>
      <c r="Q61" s="699"/>
      <c r="R61" s="699"/>
      <c r="S61" s="699"/>
      <c r="T61" s="697"/>
      <c r="U61" s="698">
        <f t="shared" si="31"/>
        <v>0</v>
      </c>
      <c r="W61" s="697"/>
      <c r="X61" s="697"/>
      <c r="Y61" s="697"/>
      <c r="Z61" s="697"/>
      <c r="AA61" s="697"/>
      <c r="AB61" s="697"/>
      <c r="AC61" s="699"/>
      <c r="AD61" s="699"/>
      <c r="AE61" s="699"/>
      <c r="AF61" s="699"/>
      <c r="AG61" s="699"/>
      <c r="AH61" s="697"/>
      <c r="AI61" s="698">
        <f t="shared" si="32"/>
        <v>0</v>
      </c>
      <c r="AJ61" s="690" t="str">
        <f t="shared" si="30"/>
        <v/>
      </c>
    </row>
    <row r="62" spans="2:36" ht="15.75" customHeight="1">
      <c r="B62" s="691" t="s">
        <v>1480</v>
      </c>
      <c r="C62" s="697"/>
      <c r="D62" s="697"/>
      <c r="E62" s="693"/>
      <c r="F62" s="692"/>
      <c r="G62" s="692"/>
      <c r="I62" s="692"/>
      <c r="J62" s="692"/>
      <c r="K62" s="692"/>
      <c r="L62" s="692"/>
      <c r="M62" s="692"/>
      <c r="N62" s="692"/>
      <c r="O62" s="695"/>
      <c r="P62" s="695"/>
      <c r="Q62" s="695"/>
      <c r="R62" s="695"/>
      <c r="S62" s="695"/>
      <c r="T62" s="692"/>
      <c r="U62" s="694">
        <f>IFERROR(AVERAGE(I62:T62),0)</f>
        <v>0</v>
      </c>
      <c r="W62" s="692"/>
      <c r="X62" s="692"/>
      <c r="Y62" s="692"/>
      <c r="Z62" s="692"/>
      <c r="AA62" s="692"/>
      <c r="AB62" s="692"/>
      <c r="AC62" s="695"/>
      <c r="AD62" s="695"/>
      <c r="AE62" s="695"/>
      <c r="AF62" s="695"/>
      <c r="AG62" s="695"/>
      <c r="AH62" s="692"/>
      <c r="AI62" s="694">
        <f>SUM(W62:AH62)</f>
        <v>0</v>
      </c>
      <c r="AJ62" s="690" t="str">
        <f t="shared" si="30"/>
        <v/>
      </c>
    </row>
    <row r="63" spans="2:36" ht="15.75" customHeight="1">
      <c r="B63" s="691" t="s">
        <v>1481</v>
      </c>
      <c r="C63" s="697"/>
      <c r="D63" s="697">
        <v>32</v>
      </c>
      <c r="E63" s="696"/>
      <c r="F63" s="697"/>
      <c r="G63" s="697"/>
      <c r="H63" s="682"/>
      <c r="I63" s="697"/>
      <c r="J63" s="697"/>
      <c r="K63" s="697"/>
      <c r="L63" s="697"/>
      <c r="M63" s="697"/>
      <c r="N63" s="697"/>
      <c r="O63" s="699"/>
      <c r="P63" s="699"/>
      <c r="Q63" s="699"/>
      <c r="R63" s="699"/>
      <c r="S63" s="699"/>
      <c r="T63" s="697"/>
      <c r="U63" s="698">
        <f>SUM(I63:T63)</f>
        <v>0</v>
      </c>
      <c r="W63" s="697">
        <v>32</v>
      </c>
      <c r="X63" s="697">
        <v>32</v>
      </c>
      <c r="Y63" s="697">
        <v>32</v>
      </c>
      <c r="Z63" s="697">
        <v>32</v>
      </c>
      <c r="AA63" s="697">
        <v>32</v>
      </c>
      <c r="AB63" s="697">
        <v>32</v>
      </c>
      <c r="AC63" s="699">
        <v>32</v>
      </c>
      <c r="AD63" s="699">
        <v>32</v>
      </c>
      <c r="AE63" s="699">
        <v>32</v>
      </c>
      <c r="AF63" s="699">
        <v>32</v>
      </c>
      <c r="AG63" s="699">
        <v>32</v>
      </c>
      <c r="AH63" s="697">
        <v>32</v>
      </c>
      <c r="AI63" s="698">
        <f t="shared" ref="AI63" si="33">SUM(W63:AH63)</f>
        <v>384</v>
      </c>
      <c r="AJ63" s="690" t="str">
        <f t="shared" si="30"/>
        <v/>
      </c>
    </row>
    <row r="65" spans="2:36" ht="15.75" customHeight="1">
      <c r="B65" s="16" t="s">
        <v>1272</v>
      </c>
      <c r="C65" s="16"/>
      <c r="D65" s="16"/>
      <c r="E65" s="16"/>
      <c r="F65" s="16"/>
      <c r="G65" s="16"/>
      <c r="I65" s="16"/>
      <c r="J65" s="16"/>
      <c r="K65" s="16"/>
      <c r="L65" s="16"/>
      <c r="M65" s="16"/>
      <c r="N65" s="16"/>
      <c r="O65" s="16"/>
      <c r="P65" s="16"/>
      <c r="Q65" s="16"/>
      <c r="R65" s="16"/>
      <c r="S65" s="16"/>
      <c r="T65" s="16"/>
      <c r="U65" s="16"/>
      <c r="W65" s="16"/>
      <c r="X65" s="16"/>
      <c r="Y65" s="16"/>
      <c r="Z65" s="16"/>
      <c r="AA65" s="16"/>
      <c r="AB65" s="16"/>
      <c r="AC65" s="16"/>
      <c r="AD65" s="16"/>
      <c r="AE65" s="16"/>
      <c r="AF65" s="16"/>
      <c r="AG65" s="16"/>
      <c r="AH65" s="16"/>
      <c r="AI65" s="16"/>
    </row>
    <row r="66" spans="2:36" ht="15.75" customHeight="1">
      <c r="B66" s="691" t="s">
        <v>1482</v>
      </c>
      <c r="C66" s="697"/>
      <c r="D66" s="697"/>
      <c r="E66" s="696">
        <f t="shared" ref="E66:E75" si="34">U66</f>
        <v>50598</v>
      </c>
      <c r="F66" s="697"/>
      <c r="G66" s="697"/>
      <c r="H66" s="682"/>
      <c r="I66" s="697">
        <v>4050</v>
      </c>
      <c r="J66" s="697">
        <v>4288</v>
      </c>
      <c r="K66" s="697">
        <v>4069</v>
      </c>
      <c r="L66" s="697">
        <v>4307</v>
      </c>
      <c r="M66" s="697">
        <v>4088</v>
      </c>
      <c r="N66" s="697">
        <v>4326</v>
      </c>
      <c r="O66" s="699">
        <v>4107</v>
      </c>
      <c r="P66" s="699">
        <v>4345</v>
      </c>
      <c r="Q66" s="699">
        <v>4126</v>
      </c>
      <c r="R66" s="699">
        <v>4364</v>
      </c>
      <c r="S66" s="699">
        <v>4145</v>
      </c>
      <c r="T66" s="697">
        <v>4383</v>
      </c>
      <c r="U66" s="698">
        <f t="shared" ref="U66:U75" si="35">SUM(I66:T66)</f>
        <v>50598</v>
      </c>
      <c r="W66" s="697">
        <v>4357</v>
      </c>
      <c r="X66" s="697">
        <v>4406</v>
      </c>
      <c r="Y66" s="697">
        <v>4087</v>
      </c>
      <c r="Z66" s="697">
        <v>4657</v>
      </c>
      <c r="AA66" s="697">
        <v>3954</v>
      </c>
      <c r="AB66" s="697">
        <v>3912</v>
      </c>
      <c r="AC66" s="699">
        <v>4220</v>
      </c>
      <c r="AD66" s="699">
        <v>3793</v>
      </c>
      <c r="AE66" s="699">
        <v>3614</v>
      </c>
      <c r="AF66" s="699">
        <v>4196</v>
      </c>
      <c r="AG66" s="699">
        <v>3824</v>
      </c>
      <c r="AH66" s="697">
        <v>3928</v>
      </c>
      <c r="AI66" s="698">
        <f t="shared" ref="AI66:AI75" si="36">SUM(W66:AH66)</f>
        <v>48948</v>
      </c>
      <c r="AJ66" s="690" t="str">
        <f t="shared" ref="AJ66:AJ75" si="37">IF(COUNTA(C66:AI66)&lt;&gt;COUNT(C66:AI66),"Please remove any text entries, enter numeric values only","")</f>
        <v/>
      </c>
    </row>
    <row r="67" spans="2:36" ht="15.75" customHeight="1">
      <c r="B67" s="691" t="s">
        <v>1483</v>
      </c>
      <c r="C67" s="697"/>
      <c r="D67" s="697"/>
      <c r="E67" s="696">
        <f t="shared" si="34"/>
        <v>3454</v>
      </c>
      <c r="F67" s="697"/>
      <c r="G67" s="697"/>
      <c r="H67" s="682"/>
      <c r="I67" s="697">
        <v>295</v>
      </c>
      <c r="J67" s="697">
        <v>294</v>
      </c>
      <c r="K67" s="697">
        <v>292</v>
      </c>
      <c r="L67" s="697">
        <v>291</v>
      </c>
      <c r="M67" s="697">
        <v>290</v>
      </c>
      <c r="N67" s="697">
        <v>288</v>
      </c>
      <c r="O67" s="699">
        <v>287</v>
      </c>
      <c r="P67" s="699">
        <v>286</v>
      </c>
      <c r="Q67" s="699">
        <v>285</v>
      </c>
      <c r="R67" s="699">
        <v>283</v>
      </c>
      <c r="S67" s="699">
        <v>282</v>
      </c>
      <c r="T67" s="697">
        <v>281</v>
      </c>
      <c r="U67" s="698">
        <f t="shared" si="35"/>
        <v>3454</v>
      </c>
      <c r="W67" s="697">
        <v>257</v>
      </c>
      <c r="X67" s="697">
        <v>249</v>
      </c>
      <c r="Y67" s="697">
        <v>398</v>
      </c>
      <c r="Z67" s="697">
        <v>233</v>
      </c>
      <c r="AA67" s="697">
        <v>246</v>
      </c>
      <c r="AB67" s="697">
        <v>291</v>
      </c>
      <c r="AC67" s="699">
        <v>248</v>
      </c>
      <c r="AD67" s="699">
        <v>301</v>
      </c>
      <c r="AE67" s="699">
        <v>292</v>
      </c>
      <c r="AF67" s="699">
        <v>292</v>
      </c>
      <c r="AG67" s="699">
        <v>286</v>
      </c>
      <c r="AH67" s="697">
        <v>359</v>
      </c>
      <c r="AI67" s="698">
        <f t="shared" si="36"/>
        <v>3452</v>
      </c>
      <c r="AJ67" s="690" t="str">
        <f t="shared" si="37"/>
        <v/>
      </c>
    </row>
    <row r="68" spans="2:36" ht="15.75" customHeight="1">
      <c r="B68" s="691" t="s">
        <v>1484</v>
      </c>
      <c r="C68" s="697"/>
      <c r="D68" s="697">
        <v>70836</v>
      </c>
      <c r="E68" s="696">
        <f t="shared" si="34"/>
        <v>70836</v>
      </c>
      <c r="F68" s="697"/>
      <c r="G68" s="697"/>
      <c r="H68" s="682"/>
      <c r="I68" s="697">
        <v>5903</v>
      </c>
      <c r="J68" s="697">
        <v>5903</v>
      </c>
      <c r="K68" s="697">
        <v>5903</v>
      </c>
      <c r="L68" s="697">
        <v>5903</v>
      </c>
      <c r="M68" s="697">
        <v>5903</v>
      </c>
      <c r="N68" s="697">
        <v>5903</v>
      </c>
      <c r="O68" s="699">
        <v>5903</v>
      </c>
      <c r="P68" s="699">
        <v>5903</v>
      </c>
      <c r="Q68" s="699">
        <v>5903</v>
      </c>
      <c r="R68" s="699">
        <v>5903</v>
      </c>
      <c r="S68" s="699">
        <v>5903</v>
      </c>
      <c r="T68" s="697">
        <v>5903</v>
      </c>
      <c r="U68" s="698">
        <f t="shared" si="35"/>
        <v>70836</v>
      </c>
      <c r="W68" s="697">
        <v>5900</v>
      </c>
      <c r="X68" s="697">
        <v>5695</v>
      </c>
      <c r="Y68" s="697">
        <v>5829</v>
      </c>
      <c r="Z68" s="697">
        <v>6144</v>
      </c>
      <c r="AA68" s="697">
        <v>6272</v>
      </c>
      <c r="AB68" s="697">
        <v>6388</v>
      </c>
      <c r="AC68" s="699">
        <v>6143</v>
      </c>
      <c r="AD68" s="699">
        <v>5274</v>
      </c>
      <c r="AE68" s="699">
        <v>4991</v>
      </c>
      <c r="AF68" s="699">
        <v>5081</v>
      </c>
      <c r="AG68" s="699">
        <v>5022</v>
      </c>
      <c r="AH68" s="697">
        <v>4987</v>
      </c>
      <c r="AI68" s="698">
        <f t="shared" si="36"/>
        <v>67726</v>
      </c>
      <c r="AJ68" s="690" t="str">
        <f t="shared" si="37"/>
        <v/>
      </c>
    </row>
    <row r="69" spans="2:36" ht="15.75" customHeight="1">
      <c r="B69" s="691" t="s">
        <v>1485</v>
      </c>
      <c r="C69" s="697">
        <v>199658</v>
      </c>
      <c r="D69" s="697">
        <v>214859</v>
      </c>
      <c r="E69" s="696">
        <f t="shared" si="34"/>
        <v>214860</v>
      </c>
      <c r="F69" s="697"/>
      <c r="G69" s="697"/>
      <c r="H69" s="682"/>
      <c r="I69" s="697">
        <v>17905</v>
      </c>
      <c r="J69" s="697">
        <v>17905</v>
      </c>
      <c r="K69" s="697">
        <v>17905</v>
      </c>
      <c r="L69" s="697">
        <v>17905</v>
      </c>
      <c r="M69" s="697">
        <v>17905</v>
      </c>
      <c r="N69" s="697">
        <v>17905</v>
      </c>
      <c r="O69" s="699">
        <v>17905</v>
      </c>
      <c r="P69" s="699">
        <v>17905</v>
      </c>
      <c r="Q69" s="699">
        <v>17905</v>
      </c>
      <c r="R69" s="699">
        <v>17905</v>
      </c>
      <c r="S69" s="699">
        <v>17905</v>
      </c>
      <c r="T69" s="697">
        <v>17905</v>
      </c>
      <c r="U69" s="698">
        <f t="shared" si="35"/>
        <v>214860</v>
      </c>
      <c r="W69" s="697">
        <v>18516</v>
      </c>
      <c r="X69" s="697">
        <v>19332</v>
      </c>
      <c r="Y69" s="697">
        <v>16910</v>
      </c>
      <c r="Z69" s="697">
        <v>19127</v>
      </c>
      <c r="AA69" s="697">
        <v>17512</v>
      </c>
      <c r="AB69" s="697">
        <v>17085</v>
      </c>
      <c r="AC69" s="699">
        <v>18312</v>
      </c>
      <c r="AD69" s="699">
        <v>17005</v>
      </c>
      <c r="AE69" s="699">
        <v>18556</v>
      </c>
      <c r="AF69" s="699">
        <v>19383</v>
      </c>
      <c r="AG69" s="699">
        <v>16916</v>
      </c>
      <c r="AH69" s="697">
        <v>17262</v>
      </c>
      <c r="AI69" s="698">
        <f t="shared" si="36"/>
        <v>215916</v>
      </c>
      <c r="AJ69" s="690" t="str">
        <f t="shared" si="37"/>
        <v/>
      </c>
    </row>
    <row r="70" spans="2:36" ht="15.75" customHeight="1">
      <c r="B70" s="691" t="s">
        <v>1486</v>
      </c>
      <c r="C70" s="697">
        <v>36854</v>
      </c>
      <c r="D70" s="697">
        <v>42220</v>
      </c>
      <c r="E70" s="696">
        <f t="shared" si="34"/>
        <v>42216</v>
      </c>
      <c r="F70" s="697"/>
      <c r="G70" s="697"/>
      <c r="H70" s="682"/>
      <c r="I70" s="697">
        <v>3518</v>
      </c>
      <c r="J70" s="697">
        <v>3518</v>
      </c>
      <c r="K70" s="697">
        <v>3518</v>
      </c>
      <c r="L70" s="697">
        <v>3518</v>
      </c>
      <c r="M70" s="697">
        <v>3518</v>
      </c>
      <c r="N70" s="697">
        <v>3518</v>
      </c>
      <c r="O70" s="699">
        <v>3518</v>
      </c>
      <c r="P70" s="699">
        <v>3518</v>
      </c>
      <c r="Q70" s="699">
        <v>3518</v>
      </c>
      <c r="R70" s="699">
        <v>3518</v>
      </c>
      <c r="S70" s="699">
        <v>3518</v>
      </c>
      <c r="T70" s="697">
        <v>3518</v>
      </c>
      <c r="U70" s="698">
        <f t="shared" si="35"/>
        <v>42216</v>
      </c>
      <c r="W70" s="697">
        <v>3257</v>
      </c>
      <c r="X70" s="697">
        <v>3150</v>
      </c>
      <c r="Y70" s="697">
        <v>4120</v>
      </c>
      <c r="Z70" s="697">
        <v>3151</v>
      </c>
      <c r="AA70" s="697">
        <v>3499</v>
      </c>
      <c r="AB70" s="697">
        <v>3545</v>
      </c>
      <c r="AC70" s="699">
        <v>3268</v>
      </c>
      <c r="AD70" s="699">
        <v>3686</v>
      </c>
      <c r="AE70" s="699">
        <v>4451</v>
      </c>
      <c r="AF70" s="699">
        <v>3474</v>
      </c>
      <c r="AG70" s="699">
        <v>3363</v>
      </c>
      <c r="AH70" s="697">
        <v>4159</v>
      </c>
      <c r="AI70" s="698">
        <f t="shared" si="36"/>
        <v>43123</v>
      </c>
      <c r="AJ70" s="690" t="str">
        <f t="shared" si="37"/>
        <v/>
      </c>
    </row>
    <row r="71" spans="2:36" ht="26">
      <c r="B71" s="691" t="s">
        <v>1487</v>
      </c>
      <c r="C71" s="697">
        <v>86139</v>
      </c>
      <c r="D71" s="697">
        <v>212933</v>
      </c>
      <c r="E71" s="696">
        <f t="shared" si="34"/>
        <v>212928</v>
      </c>
      <c r="F71" s="697"/>
      <c r="G71" s="697"/>
      <c r="H71" s="682"/>
      <c r="I71" s="697">
        <v>17744</v>
      </c>
      <c r="J71" s="697">
        <v>17744</v>
      </c>
      <c r="K71" s="697">
        <v>17744</v>
      </c>
      <c r="L71" s="697">
        <v>17744</v>
      </c>
      <c r="M71" s="697">
        <v>17744</v>
      </c>
      <c r="N71" s="697">
        <v>17744</v>
      </c>
      <c r="O71" s="699">
        <v>17744</v>
      </c>
      <c r="P71" s="699">
        <v>17744</v>
      </c>
      <c r="Q71" s="699">
        <v>17744</v>
      </c>
      <c r="R71" s="699">
        <v>17744</v>
      </c>
      <c r="S71" s="699">
        <v>17744</v>
      </c>
      <c r="T71" s="697">
        <v>17744</v>
      </c>
      <c r="U71" s="698">
        <f t="shared" si="35"/>
        <v>212928</v>
      </c>
      <c r="W71" s="697">
        <v>18860</v>
      </c>
      <c r="X71" s="697">
        <v>19491</v>
      </c>
      <c r="Y71" s="697">
        <v>17240</v>
      </c>
      <c r="Z71" s="697">
        <v>19292</v>
      </c>
      <c r="AA71" s="697">
        <v>17582</v>
      </c>
      <c r="AB71" s="697">
        <v>16900</v>
      </c>
      <c r="AC71" s="699">
        <v>18218</v>
      </c>
      <c r="AD71" s="699">
        <v>17092</v>
      </c>
      <c r="AE71" s="699">
        <v>17366</v>
      </c>
      <c r="AF71" s="699">
        <v>19499</v>
      </c>
      <c r="AG71" s="699">
        <v>17073</v>
      </c>
      <c r="AH71" s="697">
        <v>17565</v>
      </c>
      <c r="AI71" s="698">
        <f t="shared" si="36"/>
        <v>216178</v>
      </c>
      <c r="AJ71" s="690" t="str">
        <f t="shared" si="37"/>
        <v/>
      </c>
    </row>
    <row r="72" spans="2:36" ht="26">
      <c r="B72" s="691" t="s">
        <v>1488</v>
      </c>
      <c r="C72" s="697">
        <v>15532</v>
      </c>
      <c r="D72" s="697">
        <v>43167</v>
      </c>
      <c r="E72" s="696">
        <f t="shared" si="34"/>
        <v>43164</v>
      </c>
      <c r="F72" s="697"/>
      <c r="G72" s="697"/>
      <c r="H72" s="682"/>
      <c r="I72" s="697">
        <v>3597</v>
      </c>
      <c r="J72" s="697">
        <v>3597</v>
      </c>
      <c r="K72" s="697">
        <v>3597</v>
      </c>
      <c r="L72" s="697">
        <v>3597</v>
      </c>
      <c r="M72" s="697">
        <v>3597</v>
      </c>
      <c r="N72" s="697">
        <v>3597</v>
      </c>
      <c r="O72" s="699">
        <v>3597</v>
      </c>
      <c r="P72" s="699">
        <v>3597</v>
      </c>
      <c r="Q72" s="699">
        <v>3597</v>
      </c>
      <c r="R72" s="699">
        <v>3597</v>
      </c>
      <c r="S72" s="699">
        <v>3597</v>
      </c>
      <c r="T72" s="697">
        <v>3597</v>
      </c>
      <c r="U72" s="698">
        <f t="shared" si="35"/>
        <v>43164</v>
      </c>
      <c r="W72" s="697">
        <v>3386</v>
      </c>
      <c r="X72" s="697">
        <v>3312</v>
      </c>
      <c r="Y72" s="697">
        <v>4452</v>
      </c>
      <c r="Z72" s="697">
        <v>3406</v>
      </c>
      <c r="AA72" s="697">
        <v>3711</v>
      </c>
      <c r="AB72" s="697">
        <v>3712</v>
      </c>
      <c r="AC72" s="699">
        <v>3488</v>
      </c>
      <c r="AD72" s="699">
        <v>3922</v>
      </c>
      <c r="AE72" s="699">
        <v>4222</v>
      </c>
      <c r="AF72" s="699">
        <v>3781</v>
      </c>
      <c r="AG72" s="699">
        <v>3603</v>
      </c>
      <c r="AH72" s="697">
        <v>4500</v>
      </c>
      <c r="AI72" s="698">
        <f t="shared" si="36"/>
        <v>45495</v>
      </c>
      <c r="AJ72" s="690" t="str">
        <f t="shared" si="37"/>
        <v/>
      </c>
    </row>
    <row r="73" spans="2:36" ht="15.75" customHeight="1">
      <c r="B73" s="691" t="s">
        <v>1439</v>
      </c>
      <c r="C73" s="697"/>
      <c r="D73" s="697">
        <v>185</v>
      </c>
      <c r="E73" s="696">
        <f t="shared" si="34"/>
        <v>2220</v>
      </c>
      <c r="F73" s="697"/>
      <c r="G73" s="697"/>
      <c r="H73" s="682"/>
      <c r="I73" s="697">
        <v>185</v>
      </c>
      <c r="J73" s="697">
        <v>185</v>
      </c>
      <c r="K73" s="697">
        <v>185</v>
      </c>
      <c r="L73" s="697">
        <v>185</v>
      </c>
      <c r="M73" s="697">
        <v>185</v>
      </c>
      <c r="N73" s="697">
        <v>185</v>
      </c>
      <c r="O73" s="699">
        <v>185</v>
      </c>
      <c r="P73" s="699">
        <v>185</v>
      </c>
      <c r="Q73" s="699">
        <v>185</v>
      </c>
      <c r="R73" s="699">
        <v>185</v>
      </c>
      <c r="S73" s="699">
        <v>185</v>
      </c>
      <c r="T73" s="697">
        <v>185</v>
      </c>
      <c r="U73" s="698">
        <f t="shared" si="35"/>
        <v>2220</v>
      </c>
      <c r="W73" s="697">
        <v>175.81</v>
      </c>
      <c r="X73" s="697">
        <v>178</v>
      </c>
      <c r="Y73" s="697">
        <v>177.92</v>
      </c>
      <c r="Z73" s="697">
        <v>189</v>
      </c>
      <c r="AA73" s="697">
        <v>189.54</v>
      </c>
      <c r="AB73" s="697">
        <v>190</v>
      </c>
      <c r="AC73" s="699">
        <v>190</v>
      </c>
      <c r="AD73" s="699">
        <v>189</v>
      </c>
      <c r="AE73" s="699">
        <v>189</v>
      </c>
      <c r="AF73" s="699">
        <v>189</v>
      </c>
      <c r="AG73" s="699">
        <v>189</v>
      </c>
      <c r="AH73" s="697">
        <v>189</v>
      </c>
      <c r="AI73" s="698">
        <f t="shared" si="36"/>
        <v>2235.27</v>
      </c>
      <c r="AJ73" s="690" t="str">
        <f t="shared" si="37"/>
        <v/>
      </c>
    </row>
    <row r="74" spans="2:36" ht="15.75" customHeight="1">
      <c r="B74" s="691" t="s">
        <v>1489</v>
      </c>
      <c r="C74" s="697"/>
      <c r="D74" s="697">
        <v>112</v>
      </c>
      <c r="E74" s="696">
        <f t="shared" si="34"/>
        <v>1344</v>
      </c>
      <c r="F74" s="697"/>
      <c r="G74" s="697"/>
      <c r="H74" s="682"/>
      <c r="I74" s="697">
        <v>112</v>
      </c>
      <c r="J74" s="697">
        <v>112</v>
      </c>
      <c r="K74" s="697">
        <v>112</v>
      </c>
      <c r="L74" s="697">
        <v>112</v>
      </c>
      <c r="M74" s="697">
        <v>112</v>
      </c>
      <c r="N74" s="697">
        <v>112</v>
      </c>
      <c r="O74" s="699">
        <v>112</v>
      </c>
      <c r="P74" s="699">
        <v>112</v>
      </c>
      <c r="Q74" s="699">
        <v>112</v>
      </c>
      <c r="R74" s="699">
        <v>112</v>
      </c>
      <c r="S74" s="699">
        <v>112</v>
      </c>
      <c r="T74" s="697">
        <v>112</v>
      </c>
      <c r="U74" s="698">
        <f t="shared" si="35"/>
        <v>1344</v>
      </c>
      <c r="W74" s="697">
        <v>107.67</v>
      </c>
      <c r="X74" s="697">
        <v>109</v>
      </c>
      <c r="Y74" s="697">
        <v>109.51</v>
      </c>
      <c r="Z74" s="697">
        <v>113</v>
      </c>
      <c r="AA74" s="697">
        <v>113</v>
      </c>
      <c r="AB74" s="697">
        <v>113.15</v>
      </c>
      <c r="AC74" s="699">
        <v>113</v>
      </c>
      <c r="AD74" s="699">
        <v>113</v>
      </c>
      <c r="AE74" s="699">
        <v>113</v>
      </c>
      <c r="AF74" s="699">
        <v>113</v>
      </c>
      <c r="AG74" s="699">
        <v>113</v>
      </c>
      <c r="AH74" s="697">
        <v>113</v>
      </c>
      <c r="AI74" s="698">
        <f t="shared" si="36"/>
        <v>1343.33</v>
      </c>
      <c r="AJ74" s="690" t="str">
        <f t="shared" si="37"/>
        <v/>
      </c>
    </row>
    <row r="75" spans="2:36" ht="15.75" customHeight="1">
      <c r="B75" s="691" t="s">
        <v>1441</v>
      </c>
      <c r="C75" s="697"/>
      <c r="D75" s="697">
        <v>5</v>
      </c>
      <c r="E75" s="696">
        <f t="shared" si="34"/>
        <v>60</v>
      </c>
      <c r="F75" s="697"/>
      <c r="G75" s="697"/>
      <c r="H75" s="682"/>
      <c r="I75" s="697">
        <v>5</v>
      </c>
      <c r="J75" s="697">
        <v>5</v>
      </c>
      <c r="K75" s="697">
        <v>5</v>
      </c>
      <c r="L75" s="697">
        <v>5</v>
      </c>
      <c r="M75" s="697">
        <v>5</v>
      </c>
      <c r="N75" s="697">
        <v>5</v>
      </c>
      <c r="O75" s="699">
        <v>5</v>
      </c>
      <c r="P75" s="699">
        <v>5</v>
      </c>
      <c r="Q75" s="699">
        <v>5</v>
      </c>
      <c r="R75" s="699">
        <v>5</v>
      </c>
      <c r="S75" s="699">
        <v>5</v>
      </c>
      <c r="T75" s="697">
        <v>5</v>
      </c>
      <c r="U75" s="698">
        <f t="shared" si="35"/>
        <v>60</v>
      </c>
      <c r="W75" s="697">
        <v>6.48</v>
      </c>
      <c r="X75" s="697">
        <v>7.48</v>
      </c>
      <c r="Y75" s="697">
        <v>7.48</v>
      </c>
      <c r="Z75" s="697">
        <v>13</v>
      </c>
      <c r="AA75" s="697">
        <v>13.44</v>
      </c>
      <c r="AB75" s="697">
        <v>13.44</v>
      </c>
      <c r="AC75" s="699">
        <v>13</v>
      </c>
      <c r="AD75" s="699">
        <v>13</v>
      </c>
      <c r="AE75" s="699">
        <v>13</v>
      </c>
      <c r="AF75" s="699">
        <v>13</v>
      </c>
      <c r="AG75" s="699">
        <v>13</v>
      </c>
      <c r="AH75" s="697">
        <v>13</v>
      </c>
      <c r="AI75" s="698">
        <f t="shared" si="36"/>
        <v>139.32</v>
      </c>
      <c r="AJ75" s="690" t="str">
        <f t="shared" si="37"/>
        <v/>
      </c>
    </row>
    <row r="77" spans="2:36" ht="15.75" customHeight="1">
      <c r="B77" s="16" t="s">
        <v>1273</v>
      </c>
      <c r="C77" s="16"/>
      <c r="D77" s="16"/>
      <c r="E77" s="16"/>
      <c r="F77" s="16"/>
      <c r="G77" s="16"/>
      <c r="I77" s="16"/>
      <c r="J77" s="16"/>
      <c r="K77" s="16"/>
      <c r="L77" s="16"/>
      <c r="M77" s="16"/>
      <c r="N77" s="16"/>
      <c r="O77" s="16"/>
      <c r="P77" s="16"/>
      <c r="Q77" s="16"/>
      <c r="R77" s="16"/>
      <c r="S77" s="16"/>
      <c r="T77" s="16"/>
      <c r="U77" s="16"/>
      <c r="W77" s="16"/>
      <c r="X77" s="16"/>
      <c r="Y77" s="16"/>
      <c r="Z77" s="16"/>
      <c r="AA77" s="16"/>
      <c r="AB77" s="16"/>
      <c r="AC77" s="16"/>
      <c r="AD77" s="16"/>
      <c r="AE77" s="16"/>
      <c r="AF77" s="16"/>
      <c r="AG77" s="16"/>
      <c r="AH77" s="16"/>
      <c r="AI77" s="16"/>
    </row>
    <row r="78" spans="2:36" ht="15.75" customHeight="1">
      <c r="B78" s="691" t="s">
        <v>1490</v>
      </c>
      <c r="C78" s="697"/>
      <c r="D78" s="697"/>
      <c r="E78" s="696">
        <f t="shared" ref="E78:E95" si="38">U78</f>
        <v>0</v>
      </c>
      <c r="F78" s="697"/>
      <c r="G78" s="697"/>
      <c r="H78" s="682"/>
      <c r="I78" s="697"/>
      <c r="J78" s="697"/>
      <c r="K78" s="697"/>
      <c r="L78" s="697"/>
      <c r="M78" s="697"/>
      <c r="N78" s="697"/>
      <c r="O78" s="699"/>
      <c r="P78" s="699"/>
      <c r="Q78" s="699"/>
      <c r="R78" s="699"/>
      <c r="S78" s="699"/>
      <c r="T78" s="697"/>
      <c r="U78" s="698">
        <f t="shared" ref="U78:U95" si="39">SUM(I78:T78)</f>
        <v>0</v>
      </c>
      <c r="W78" s="697"/>
      <c r="X78" s="697"/>
      <c r="Y78" s="697"/>
      <c r="Z78" s="697"/>
      <c r="AA78" s="697"/>
      <c r="AB78" s="697"/>
      <c r="AC78" s="699"/>
      <c r="AD78" s="699"/>
      <c r="AE78" s="699"/>
      <c r="AF78" s="781"/>
      <c r="AG78" s="781"/>
      <c r="AH78" s="795"/>
      <c r="AI78" s="698">
        <f t="shared" ref="AI78:AI95" si="40">SUM(W78:AH78)</f>
        <v>0</v>
      </c>
      <c r="AJ78" s="690" t="str">
        <f t="shared" ref="AJ78:AJ95" si="41">IF(COUNTA(C78:AI78)&lt;&gt;COUNT(C78:AI78),"Please remove any text entries, enter numeric values only","")</f>
        <v/>
      </c>
    </row>
    <row r="79" spans="2:36" ht="15.75" customHeight="1">
      <c r="B79" s="691" t="s">
        <v>1491</v>
      </c>
      <c r="C79" s="697"/>
      <c r="D79" s="697"/>
      <c r="E79" s="696">
        <f t="shared" si="38"/>
        <v>0</v>
      </c>
      <c r="F79" s="697"/>
      <c r="G79" s="697"/>
      <c r="H79" s="682"/>
      <c r="I79" s="697"/>
      <c r="J79" s="697"/>
      <c r="K79" s="697"/>
      <c r="L79" s="697"/>
      <c r="M79" s="697"/>
      <c r="N79" s="697"/>
      <c r="O79" s="699"/>
      <c r="P79" s="699"/>
      <c r="Q79" s="699"/>
      <c r="R79" s="699"/>
      <c r="S79" s="699"/>
      <c r="T79" s="697"/>
      <c r="U79" s="698">
        <f t="shared" si="39"/>
        <v>0</v>
      </c>
      <c r="W79" s="697"/>
      <c r="X79" s="697"/>
      <c r="Y79" s="697"/>
      <c r="Z79" s="697"/>
      <c r="AA79" s="697"/>
      <c r="AB79" s="697"/>
      <c r="AC79" s="699"/>
      <c r="AD79" s="699"/>
      <c r="AE79" s="699"/>
      <c r="AF79" s="781"/>
      <c r="AG79" s="781"/>
      <c r="AH79" s="795"/>
      <c r="AI79" s="698">
        <f t="shared" si="40"/>
        <v>0</v>
      </c>
      <c r="AJ79" s="690" t="str">
        <f t="shared" si="41"/>
        <v/>
      </c>
    </row>
    <row r="80" spans="2:36" ht="15.75" customHeight="1">
      <c r="B80" s="691" t="s">
        <v>1492</v>
      </c>
      <c r="C80" s="697"/>
      <c r="D80" s="697"/>
      <c r="E80" s="696">
        <f t="shared" si="38"/>
        <v>0</v>
      </c>
      <c r="F80" s="697"/>
      <c r="G80" s="697"/>
      <c r="H80" s="682"/>
      <c r="I80" s="697"/>
      <c r="J80" s="697"/>
      <c r="K80" s="697"/>
      <c r="L80" s="697"/>
      <c r="M80" s="697"/>
      <c r="N80" s="697"/>
      <c r="O80" s="699"/>
      <c r="P80" s="699"/>
      <c r="Q80" s="699"/>
      <c r="R80" s="699"/>
      <c r="S80" s="699"/>
      <c r="T80" s="697"/>
      <c r="U80" s="698">
        <f t="shared" si="39"/>
        <v>0</v>
      </c>
      <c r="W80" s="697"/>
      <c r="X80" s="697"/>
      <c r="Y80" s="697"/>
      <c r="Z80" s="697"/>
      <c r="AA80" s="697"/>
      <c r="AB80" s="697"/>
      <c r="AC80" s="781">
        <v>94</v>
      </c>
      <c r="AD80" s="781">
        <v>91</v>
      </c>
      <c r="AE80" s="781">
        <v>90</v>
      </c>
      <c r="AF80" s="781">
        <v>80</v>
      </c>
      <c r="AG80" s="781">
        <v>80</v>
      </c>
      <c r="AH80" s="795">
        <v>79</v>
      </c>
      <c r="AI80" s="698">
        <f t="shared" si="40"/>
        <v>514</v>
      </c>
      <c r="AJ80" s="690" t="str">
        <f t="shared" si="41"/>
        <v/>
      </c>
    </row>
    <row r="81" spans="2:36" ht="15.75" customHeight="1">
      <c r="B81" s="691" t="s">
        <v>1493</v>
      </c>
      <c r="C81" s="697"/>
      <c r="D81" s="697"/>
      <c r="E81" s="696">
        <f t="shared" si="38"/>
        <v>0</v>
      </c>
      <c r="F81" s="697"/>
      <c r="G81" s="697"/>
      <c r="H81" s="682"/>
      <c r="I81" s="697"/>
      <c r="J81" s="697"/>
      <c r="K81" s="697"/>
      <c r="L81" s="697"/>
      <c r="M81" s="697"/>
      <c r="N81" s="697"/>
      <c r="O81" s="699"/>
      <c r="P81" s="699"/>
      <c r="Q81" s="699"/>
      <c r="R81" s="699"/>
      <c r="S81" s="699"/>
      <c r="T81" s="697"/>
      <c r="U81" s="698">
        <f t="shared" si="39"/>
        <v>0</v>
      </c>
      <c r="W81" s="697"/>
      <c r="X81" s="697"/>
      <c r="Y81" s="697">
        <v>27.56</v>
      </c>
      <c r="Z81" s="697"/>
      <c r="AA81" s="697"/>
      <c r="AB81" s="697">
        <v>29.56</v>
      </c>
      <c r="AC81" s="781">
        <v>27.36</v>
      </c>
      <c r="AD81" s="781">
        <v>26.36</v>
      </c>
      <c r="AE81" s="781">
        <v>26</v>
      </c>
      <c r="AF81" s="781">
        <v>26</v>
      </c>
      <c r="AG81" s="781">
        <v>25</v>
      </c>
      <c r="AH81" s="795">
        <v>24.9</v>
      </c>
      <c r="AI81" s="698">
        <f t="shared" si="40"/>
        <v>212.73999999999998</v>
      </c>
      <c r="AJ81" s="690" t="str">
        <f t="shared" si="41"/>
        <v/>
      </c>
    </row>
    <row r="82" spans="2:36" ht="15.75" customHeight="1">
      <c r="B82" s="691" t="s">
        <v>1494</v>
      </c>
      <c r="C82" s="697"/>
      <c r="D82" s="697"/>
      <c r="E82" s="696">
        <f t="shared" si="38"/>
        <v>0</v>
      </c>
      <c r="F82" s="697"/>
      <c r="G82" s="697"/>
      <c r="H82" s="682"/>
      <c r="I82" s="697"/>
      <c r="J82" s="697"/>
      <c r="K82" s="697"/>
      <c r="L82" s="697"/>
      <c r="M82" s="697"/>
      <c r="N82" s="697"/>
      <c r="O82" s="699"/>
      <c r="P82" s="699"/>
      <c r="Q82" s="699"/>
      <c r="R82" s="699"/>
      <c r="S82" s="699"/>
      <c r="T82" s="697"/>
      <c r="U82" s="698">
        <f t="shared" si="39"/>
        <v>0</v>
      </c>
      <c r="W82" s="697"/>
      <c r="X82" s="697"/>
      <c r="Y82" s="697">
        <v>29.84</v>
      </c>
      <c r="Z82" s="697"/>
      <c r="AA82" s="697"/>
      <c r="AB82" s="697">
        <v>28.64</v>
      </c>
      <c r="AC82" s="781">
        <v>37.35</v>
      </c>
      <c r="AD82" s="781">
        <v>34.75</v>
      </c>
      <c r="AE82" s="781">
        <v>34</v>
      </c>
      <c r="AF82" s="781">
        <v>23.6</v>
      </c>
      <c r="AG82" s="781">
        <v>24.6</v>
      </c>
      <c r="AH82" s="795">
        <v>23.8</v>
      </c>
      <c r="AI82" s="698">
        <f t="shared" si="40"/>
        <v>236.58</v>
      </c>
      <c r="AJ82" s="690" t="str">
        <f t="shared" si="41"/>
        <v/>
      </c>
    </row>
    <row r="83" spans="2:36" ht="15.75" customHeight="1">
      <c r="B83" s="691" t="s">
        <v>1495</v>
      </c>
      <c r="C83" s="697"/>
      <c r="D83" s="697"/>
      <c r="E83" s="696">
        <f t="shared" si="38"/>
        <v>0</v>
      </c>
      <c r="F83" s="697"/>
      <c r="G83" s="697"/>
      <c r="H83" s="682"/>
      <c r="I83" s="697"/>
      <c r="J83" s="697"/>
      <c r="K83" s="697"/>
      <c r="L83" s="697"/>
      <c r="M83" s="697"/>
      <c r="N83" s="697"/>
      <c r="O83" s="699"/>
      <c r="P83" s="699"/>
      <c r="Q83" s="699"/>
      <c r="R83" s="699"/>
      <c r="S83" s="699"/>
      <c r="T83" s="697"/>
      <c r="U83" s="698">
        <f t="shared" si="39"/>
        <v>0</v>
      </c>
      <c r="W83" s="697"/>
      <c r="X83" s="697"/>
      <c r="Y83" s="697">
        <v>5.8</v>
      </c>
      <c r="Z83" s="697"/>
      <c r="AA83" s="697"/>
      <c r="AB83" s="697">
        <v>7.2</v>
      </c>
      <c r="AC83" s="781">
        <v>6.8</v>
      </c>
      <c r="AD83" s="781">
        <v>6.8</v>
      </c>
      <c r="AE83" s="781">
        <v>7</v>
      </c>
      <c r="AF83" s="781">
        <v>5.8</v>
      </c>
      <c r="AG83" s="781">
        <v>5.8</v>
      </c>
      <c r="AH83" s="795">
        <v>5.8</v>
      </c>
      <c r="AI83" s="698">
        <f t="shared" si="40"/>
        <v>50.999999999999993</v>
      </c>
      <c r="AJ83" s="690" t="str">
        <f t="shared" si="41"/>
        <v/>
      </c>
    </row>
    <row r="84" spans="2:36" ht="15.75" customHeight="1">
      <c r="B84" s="691" t="s">
        <v>1496</v>
      </c>
      <c r="C84" s="697">
        <v>4</v>
      </c>
      <c r="D84" s="697">
        <v>4</v>
      </c>
      <c r="E84" s="696">
        <v>4</v>
      </c>
      <c r="F84" s="697"/>
      <c r="G84" s="697"/>
      <c r="H84" s="682"/>
      <c r="I84" s="697">
        <v>4</v>
      </c>
      <c r="J84" s="697">
        <v>4</v>
      </c>
      <c r="K84" s="697">
        <v>4</v>
      </c>
      <c r="L84" s="697">
        <v>4</v>
      </c>
      <c r="M84" s="697">
        <v>4</v>
      </c>
      <c r="N84" s="697">
        <v>4</v>
      </c>
      <c r="O84" s="699">
        <v>4</v>
      </c>
      <c r="P84" s="699">
        <v>4</v>
      </c>
      <c r="Q84" s="699">
        <v>4</v>
      </c>
      <c r="R84" s="699">
        <v>4</v>
      </c>
      <c r="S84" s="699">
        <v>4</v>
      </c>
      <c r="T84" s="697">
        <v>4</v>
      </c>
      <c r="U84" s="698">
        <f t="shared" si="39"/>
        <v>48</v>
      </c>
      <c r="W84" s="697"/>
      <c r="X84" s="697"/>
      <c r="Y84" s="697">
        <v>2.6</v>
      </c>
      <c r="Z84" s="697"/>
      <c r="AA84" s="697"/>
      <c r="AB84" s="697">
        <v>2.2999999999999998</v>
      </c>
      <c r="AC84" s="781">
        <v>2.5</v>
      </c>
      <c r="AD84" s="781">
        <v>2.5</v>
      </c>
      <c r="AE84" s="781">
        <v>3</v>
      </c>
      <c r="AF84" s="781">
        <v>1.6</v>
      </c>
      <c r="AG84" s="781">
        <v>1.6</v>
      </c>
      <c r="AH84" s="795">
        <v>1.6</v>
      </c>
      <c r="AI84" s="698">
        <f t="shared" si="40"/>
        <v>17.700000000000003</v>
      </c>
      <c r="AJ84" s="690" t="str">
        <f t="shared" si="41"/>
        <v/>
      </c>
    </row>
    <row r="85" spans="2:36" ht="15.75" customHeight="1">
      <c r="B85" s="691" t="s">
        <v>1497</v>
      </c>
      <c r="C85" s="697"/>
      <c r="D85" s="697"/>
      <c r="E85" s="696">
        <f t="shared" si="38"/>
        <v>0</v>
      </c>
      <c r="F85" s="697"/>
      <c r="G85" s="697"/>
      <c r="H85" s="682"/>
      <c r="I85" s="697"/>
      <c r="J85" s="697"/>
      <c r="K85" s="697"/>
      <c r="L85" s="697"/>
      <c r="M85" s="697"/>
      <c r="N85" s="697"/>
      <c r="O85" s="699"/>
      <c r="P85" s="699"/>
      <c r="Q85" s="699"/>
      <c r="R85" s="699"/>
      <c r="S85" s="699"/>
      <c r="T85" s="697"/>
      <c r="U85" s="698">
        <f t="shared" si="39"/>
        <v>0</v>
      </c>
      <c r="W85" s="697">
        <v>0</v>
      </c>
      <c r="X85" s="697">
        <v>0</v>
      </c>
      <c r="Y85" s="697">
        <v>0</v>
      </c>
      <c r="Z85" s="697"/>
      <c r="AA85" s="697"/>
      <c r="AB85" s="697">
        <v>0</v>
      </c>
      <c r="AC85" s="781"/>
      <c r="AD85" s="781"/>
      <c r="AE85" s="781"/>
      <c r="AF85" s="781"/>
      <c r="AG85" s="781"/>
      <c r="AH85" s="795"/>
      <c r="AI85" s="698">
        <f t="shared" si="40"/>
        <v>0</v>
      </c>
      <c r="AJ85" s="690" t="str">
        <f t="shared" si="41"/>
        <v/>
      </c>
    </row>
    <row r="86" spans="2:36" ht="15.75" customHeight="1">
      <c r="B86" s="691" t="s">
        <v>267</v>
      </c>
      <c r="C86" s="697"/>
      <c r="D86" s="697"/>
      <c r="E86" s="696">
        <f t="shared" si="38"/>
        <v>0</v>
      </c>
      <c r="F86" s="697"/>
      <c r="G86" s="697"/>
      <c r="H86" s="682"/>
      <c r="I86" s="697"/>
      <c r="J86" s="697"/>
      <c r="K86" s="697"/>
      <c r="L86" s="697"/>
      <c r="M86" s="697"/>
      <c r="N86" s="697"/>
      <c r="O86" s="699"/>
      <c r="P86" s="699"/>
      <c r="Q86" s="699"/>
      <c r="R86" s="699"/>
      <c r="S86" s="699"/>
      <c r="T86" s="697"/>
      <c r="U86" s="698">
        <f t="shared" si="39"/>
        <v>0</v>
      </c>
      <c r="W86" s="697"/>
      <c r="X86" s="697"/>
      <c r="Y86" s="697">
        <v>23.81</v>
      </c>
      <c r="Z86" s="697"/>
      <c r="AA86" s="697"/>
      <c r="AB86" s="697">
        <v>22.15</v>
      </c>
      <c r="AC86" s="781">
        <v>20.32</v>
      </c>
      <c r="AD86" s="781">
        <v>20.32</v>
      </c>
      <c r="AE86" s="781">
        <v>20</v>
      </c>
      <c r="AF86" s="781">
        <v>22.7</v>
      </c>
      <c r="AG86" s="781">
        <v>22.8</v>
      </c>
      <c r="AH86" s="795">
        <v>22.7</v>
      </c>
      <c r="AI86" s="698">
        <f t="shared" si="40"/>
        <v>174.79999999999998</v>
      </c>
      <c r="AJ86" s="690" t="str">
        <f t="shared" si="41"/>
        <v/>
      </c>
    </row>
    <row r="87" spans="2:36" ht="15.75" customHeight="1">
      <c r="B87" s="691" t="s">
        <v>1498</v>
      </c>
      <c r="C87" s="697"/>
      <c r="D87" s="697"/>
      <c r="E87" s="696">
        <f t="shared" si="38"/>
        <v>0</v>
      </c>
      <c r="F87" s="697"/>
      <c r="G87" s="697"/>
      <c r="H87" s="682"/>
      <c r="I87" s="697"/>
      <c r="J87" s="697"/>
      <c r="K87" s="697"/>
      <c r="L87" s="697"/>
      <c r="M87" s="697"/>
      <c r="N87" s="697"/>
      <c r="O87" s="699"/>
      <c r="P87" s="699"/>
      <c r="Q87" s="699"/>
      <c r="R87" s="699"/>
      <c r="S87" s="699"/>
      <c r="T87" s="697"/>
      <c r="U87" s="698">
        <f t="shared" si="39"/>
        <v>0</v>
      </c>
      <c r="W87" s="697"/>
      <c r="X87" s="697"/>
      <c r="Y87" s="697"/>
      <c r="Z87" s="697"/>
      <c r="AA87" s="697"/>
      <c r="AB87" s="697"/>
      <c r="AC87" s="699"/>
      <c r="AD87" s="699"/>
      <c r="AE87" s="699"/>
      <c r="AF87" s="781"/>
      <c r="AG87" s="781"/>
      <c r="AH87" s="795"/>
      <c r="AI87" s="698">
        <f t="shared" si="40"/>
        <v>0</v>
      </c>
      <c r="AJ87" s="690" t="str">
        <f t="shared" si="41"/>
        <v/>
      </c>
    </row>
    <row r="88" spans="2:36" ht="15.75" customHeight="1">
      <c r="B88" s="691" t="s">
        <v>1493</v>
      </c>
      <c r="C88" s="697"/>
      <c r="D88" s="697"/>
      <c r="E88" s="696">
        <f t="shared" si="38"/>
        <v>0</v>
      </c>
      <c r="F88" s="697"/>
      <c r="G88" s="697"/>
      <c r="H88" s="682"/>
      <c r="I88" s="697"/>
      <c r="J88" s="697"/>
      <c r="K88" s="697"/>
      <c r="L88" s="697"/>
      <c r="M88" s="697"/>
      <c r="N88" s="697"/>
      <c r="O88" s="699"/>
      <c r="P88" s="699"/>
      <c r="Q88" s="699"/>
      <c r="R88" s="699"/>
      <c r="S88" s="699"/>
      <c r="T88" s="697"/>
      <c r="U88" s="698">
        <f t="shared" si="39"/>
        <v>0</v>
      </c>
      <c r="W88" s="697"/>
      <c r="X88" s="697"/>
      <c r="Y88" s="697"/>
      <c r="Z88" s="697"/>
      <c r="AA88" s="697"/>
      <c r="AB88" s="697"/>
      <c r="AC88" s="699"/>
      <c r="AD88" s="699"/>
      <c r="AE88" s="699"/>
      <c r="AF88" s="781"/>
      <c r="AG88" s="781"/>
      <c r="AH88" s="795"/>
      <c r="AI88" s="698">
        <f t="shared" si="40"/>
        <v>0</v>
      </c>
      <c r="AJ88" s="690" t="str">
        <f t="shared" si="41"/>
        <v/>
      </c>
    </row>
    <row r="89" spans="2:36" ht="15.75" customHeight="1">
      <c r="B89" s="691" t="s">
        <v>1494</v>
      </c>
      <c r="C89" s="697"/>
      <c r="D89" s="697"/>
      <c r="E89" s="696">
        <f t="shared" si="38"/>
        <v>0</v>
      </c>
      <c r="F89" s="697"/>
      <c r="G89" s="697"/>
      <c r="H89" s="682"/>
      <c r="I89" s="697"/>
      <c r="J89" s="697"/>
      <c r="K89" s="697"/>
      <c r="L89" s="697"/>
      <c r="M89" s="697"/>
      <c r="N89" s="697"/>
      <c r="O89" s="699"/>
      <c r="P89" s="699"/>
      <c r="Q89" s="699"/>
      <c r="R89" s="699"/>
      <c r="S89" s="699"/>
      <c r="T89" s="697"/>
      <c r="U89" s="698">
        <f t="shared" si="39"/>
        <v>0</v>
      </c>
      <c r="W89" s="697"/>
      <c r="X89" s="697"/>
      <c r="Y89" s="697"/>
      <c r="Z89" s="697"/>
      <c r="AA89" s="697"/>
      <c r="AB89" s="697"/>
      <c r="AC89" s="699"/>
      <c r="AD89" s="699"/>
      <c r="AE89" s="699"/>
      <c r="AF89" s="781"/>
      <c r="AG89" s="781"/>
      <c r="AH89" s="795"/>
      <c r="AI89" s="698">
        <f t="shared" si="40"/>
        <v>0</v>
      </c>
      <c r="AJ89" s="690" t="str">
        <f t="shared" si="41"/>
        <v/>
      </c>
    </row>
    <row r="90" spans="2:36" ht="15.75" customHeight="1">
      <c r="B90" s="691" t="s">
        <v>1495</v>
      </c>
      <c r="C90" s="697"/>
      <c r="D90" s="697"/>
      <c r="E90" s="696">
        <f t="shared" si="38"/>
        <v>0</v>
      </c>
      <c r="F90" s="697"/>
      <c r="G90" s="697"/>
      <c r="H90" s="682"/>
      <c r="I90" s="697"/>
      <c r="J90" s="697"/>
      <c r="K90" s="697"/>
      <c r="L90" s="697"/>
      <c r="M90" s="697"/>
      <c r="N90" s="697"/>
      <c r="O90" s="699"/>
      <c r="P90" s="699"/>
      <c r="Q90" s="699"/>
      <c r="R90" s="699"/>
      <c r="S90" s="699"/>
      <c r="T90" s="697"/>
      <c r="U90" s="698">
        <f t="shared" si="39"/>
        <v>0</v>
      </c>
      <c r="W90" s="697"/>
      <c r="X90" s="697"/>
      <c r="Y90" s="697"/>
      <c r="Z90" s="697"/>
      <c r="AA90" s="697"/>
      <c r="AB90" s="697"/>
      <c r="AC90" s="699"/>
      <c r="AD90" s="699"/>
      <c r="AE90" s="699"/>
      <c r="AF90" s="781"/>
      <c r="AG90" s="781"/>
      <c r="AH90" s="795"/>
      <c r="AI90" s="698">
        <f t="shared" si="40"/>
        <v>0</v>
      </c>
      <c r="AJ90" s="690" t="str">
        <f t="shared" si="41"/>
        <v/>
      </c>
    </row>
    <row r="91" spans="2:36" ht="15.75" customHeight="1">
      <c r="B91" s="691" t="s">
        <v>1496</v>
      </c>
      <c r="C91" s="697"/>
      <c r="D91" s="697"/>
      <c r="E91" s="696">
        <f t="shared" si="38"/>
        <v>0</v>
      </c>
      <c r="F91" s="697"/>
      <c r="G91" s="697"/>
      <c r="H91" s="682"/>
      <c r="I91" s="697"/>
      <c r="J91" s="697"/>
      <c r="K91" s="697"/>
      <c r="L91" s="697"/>
      <c r="M91" s="697"/>
      <c r="N91" s="697"/>
      <c r="O91" s="699"/>
      <c r="P91" s="699"/>
      <c r="Q91" s="699"/>
      <c r="R91" s="699"/>
      <c r="S91" s="699"/>
      <c r="T91" s="697"/>
      <c r="U91" s="698">
        <f t="shared" si="39"/>
        <v>0</v>
      </c>
      <c r="W91" s="697"/>
      <c r="X91" s="697"/>
      <c r="Y91" s="697"/>
      <c r="Z91" s="697"/>
      <c r="AA91" s="697"/>
      <c r="AB91" s="697"/>
      <c r="AC91" s="699"/>
      <c r="AD91" s="699"/>
      <c r="AE91" s="699"/>
      <c r="AF91" s="781"/>
      <c r="AG91" s="781"/>
      <c r="AH91" s="795"/>
      <c r="AI91" s="698">
        <f t="shared" si="40"/>
        <v>0</v>
      </c>
      <c r="AJ91" s="690" t="str">
        <f t="shared" si="41"/>
        <v/>
      </c>
    </row>
    <row r="92" spans="2:36" ht="15.75" customHeight="1">
      <c r="B92" s="691" t="s">
        <v>1497</v>
      </c>
      <c r="C92" s="697"/>
      <c r="D92" s="697"/>
      <c r="E92" s="696">
        <f t="shared" si="38"/>
        <v>0</v>
      </c>
      <c r="F92" s="697"/>
      <c r="G92" s="697"/>
      <c r="H92" s="682"/>
      <c r="I92" s="697"/>
      <c r="J92" s="697"/>
      <c r="K92" s="697"/>
      <c r="L92" s="697"/>
      <c r="M92" s="697"/>
      <c r="N92" s="697"/>
      <c r="O92" s="699"/>
      <c r="P92" s="699"/>
      <c r="Q92" s="699"/>
      <c r="R92" s="699"/>
      <c r="S92" s="699"/>
      <c r="T92" s="697"/>
      <c r="U92" s="698">
        <f t="shared" si="39"/>
        <v>0</v>
      </c>
      <c r="W92" s="697"/>
      <c r="X92" s="697"/>
      <c r="Y92" s="697"/>
      <c r="Z92" s="697"/>
      <c r="AA92" s="697"/>
      <c r="AB92" s="697"/>
      <c r="AC92" s="699"/>
      <c r="AD92" s="699"/>
      <c r="AE92" s="699"/>
      <c r="AF92" s="781"/>
      <c r="AG92" s="781"/>
      <c r="AH92" s="795"/>
      <c r="AI92" s="698">
        <f t="shared" si="40"/>
        <v>0</v>
      </c>
      <c r="AJ92" s="690" t="str">
        <f t="shared" si="41"/>
        <v/>
      </c>
    </row>
    <row r="93" spans="2:36" ht="15.75" customHeight="1">
      <c r="B93" s="691" t="s">
        <v>267</v>
      </c>
      <c r="C93" s="697"/>
      <c r="D93" s="697"/>
      <c r="E93" s="696">
        <f t="shared" si="38"/>
        <v>0</v>
      </c>
      <c r="F93" s="697"/>
      <c r="G93" s="697"/>
      <c r="H93" s="682"/>
      <c r="I93" s="697"/>
      <c r="J93" s="697"/>
      <c r="K93" s="697"/>
      <c r="L93" s="697"/>
      <c r="M93" s="697"/>
      <c r="N93" s="697"/>
      <c r="O93" s="699"/>
      <c r="P93" s="699"/>
      <c r="Q93" s="699"/>
      <c r="R93" s="699"/>
      <c r="S93" s="699"/>
      <c r="T93" s="697"/>
      <c r="U93" s="698">
        <f t="shared" si="39"/>
        <v>0</v>
      </c>
      <c r="W93" s="697"/>
      <c r="X93" s="697"/>
      <c r="Y93" s="697"/>
      <c r="Z93" s="697"/>
      <c r="AA93" s="697"/>
      <c r="AB93" s="697"/>
      <c r="AC93" s="699"/>
      <c r="AD93" s="699"/>
      <c r="AE93" s="699"/>
      <c r="AF93" s="781"/>
      <c r="AG93" s="781"/>
      <c r="AH93" s="795"/>
      <c r="AI93" s="698">
        <f t="shared" si="40"/>
        <v>0</v>
      </c>
      <c r="AJ93" s="690" t="str">
        <f t="shared" si="41"/>
        <v/>
      </c>
    </row>
    <row r="94" spans="2:36" ht="15.75" customHeight="1">
      <c r="B94" s="691" t="s">
        <v>1499</v>
      </c>
      <c r="C94" s="697"/>
      <c r="D94" s="697"/>
      <c r="E94" s="696">
        <f t="shared" si="38"/>
        <v>0</v>
      </c>
      <c r="F94" s="697"/>
      <c r="G94" s="697"/>
      <c r="H94" s="682"/>
      <c r="I94" s="697"/>
      <c r="J94" s="697"/>
      <c r="K94" s="697"/>
      <c r="L94" s="697"/>
      <c r="M94" s="697"/>
      <c r="N94" s="697"/>
      <c r="O94" s="699"/>
      <c r="P94" s="699"/>
      <c r="Q94" s="699"/>
      <c r="R94" s="699"/>
      <c r="S94" s="699"/>
      <c r="T94" s="697"/>
      <c r="U94" s="698">
        <f t="shared" si="39"/>
        <v>0</v>
      </c>
      <c r="W94" s="697"/>
      <c r="X94" s="697"/>
      <c r="Y94" s="697"/>
      <c r="Z94" s="697"/>
      <c r="AA94" s="697"/>
      <c r="AB94" s="697"/>
      <c r="AC94" s="699"/>
      <c r="AD94" s="699"/>
      <c r="AE94" s="699"/>
      <c r="AF94" s="781"/>
      <c r="AG94" s="781"/>
      <c r="AH94" s="795"/>
      <c r="AI94" s="698">
        <f t="shared" si="40"/>
        <v>0</v>
      </c>
      <c r="AJ94" s="690" t="str">
        <f t="shared" si="41"/>
        <v/>
      </c>
    </row>
    <row r="95" spans="2:36" ht="15.75" customHeight="1">
      <c r="B95" s="691" t="s">
        <v>1500</v>
      </c>
      <c r="C95" s="697"/>
      <c r="D95" s="697"/>
      <c r="E95" s="696">
        <f t="shared" si="38"/>
        <v>0</v>
      </c>
      <c r="F95" s="697"/>
      <c r="G95" s="697"/>
      <c r="H95" s="682"/>
      <c r="I95" s="697"/>
      <c r="J95" s="697"/>
      <c r="K95" s="697"/>
      <c r="L95" s="697"/>
      <c r="M95" s="697"/>
      <c r="N95" s="697"/>
      <c r="O95" s="699"/>
      <c r="P95" s="699"/>
      <c r="Q95" s="699"/>
      <c r="R95" s="699"/>
      <c r="S95" s="699"/>
      <c r="T95" s="697"/>
      <c r="U95" s="698">
        <f t="shared" si="39"/>
        <v>0</v>
      </c>
      <c r="W95" s="697"/>
      <c r="X95" s="697"/>
      <c r="Y95" s="697"/>
      <c r="Z95" s="697"/>
      <c r="AA95" s="697"/>
      <c r="AB95" s="697"/>
      <c r="AC95" s="699"/>
      <c r="AD95" s="699"/>
      <c r="AE95" s="699"/>
      <c r="AF95" s="781"/>
      <c r="AG95" s="781"/>
      <c r="AH95" s="795"/>
      <c r="AI95" s="698">
        <f t="shared" si="40"/>
        <v>0</v>
      </c>
      <c r="AJ95" s="690" t="str">
        <f t="shared" si="41"/>
        <v/>
      </c>
    </row>
    <row r="97" spans="2:36" ht="15.75" customHeight="1">
      <c r="B97" s="16" t="s">
        <v>1274</v>
      </c>
      <c r="C97" s="16"/>
      <c r="D97" s="16"/>
      <c r="E97" s="16"/>
      <c r="F97" s="16"/>
      <c r="G97" s="16"/>
      <c r="I97" s="16"/>
      <c r="J97" s="16"/>
      <c r="K97" s="16"/>
      <c r="L97" s="16"/>
      <c r="M97" s="16"/>
      <c r="N97" s="16"/>
      <c r="O97" s="16"/>
      <c r="P97" s="16"/>
      <c r="Q97" s="16"/>
      <c r="R97" s="16"/>
      <c r="S97" s="16"/>
      <c r="T97" s="16"/>
      <c r="U97" s="16"/>
      <c r="W97" s="16"/>
      <c r="X97" s="16"/>
      <c r="Y97" s="16"/>
      <c r="Z97" s="16"/>
      <c r="AA97" s="16"/>
      <c r="AB97" s="16"/>
      <c r="AC97" s="16"/>
      <c r="AD97" s="16"/>
      <c r="AE97" s="16"/>
      <c r="AF97" s="16"/>
      <c r="AG97" s="16"/>
      <c r="AH97" s="16"/>
      <c r="AI97" s="16"/>
    </row>
    <row r="98" spans="2:36" ht="15.75" customHeight="1">
      <c r="B98" s="691" t="s">
        <v>1443</v>
      </c>
      <c r="C98" s="692"/>
      <c r="D98" s="692"/>
      <c r="E98" s="693"/>
      <c r="F98" s="692"/>
      <c r="G98" s="692"/>
      <c r="I98" s="692"/>
      <c r="J98" s="692"/>
      <c r="K98" s="692"/>
      <c r="L98" s="692"/>
      <c r="M98" s="692"/>
      <c r="N98" s="692"/>
      <c r="O98" s="692"/>
      <c r="P98" s="692"/>
      <c r="Q98" s="692"/>
      <c r="R98" s="692"/>
      <c r="S98" s="692"/>
      <c r="T98" s="692"/>
      <c r="U98" s="694">
        <f t="shared" ref="U98:U100" si="42">IFERROR(AVERAGE(I98:T98),0)</f>
        <v>0</v>
      </c>
      <c r="W98" s="692"/>
      <c r="X98" s="692"/>
      <c r="Y98" s="692"/>
      <c r="Z98" s="692"/>
      <c r="AA98" s="692"/>
      <c r="AB98" s="692"/>
      <c r="AC98" s="695"/>
      <c r="AD98" s="695"/>
      <c r="AE98" s="695"/>
      <c r="AF98" s="695"/>
      <c r="AG98" s="695"/>
      <c r="AH98" s="692"/>
      <c r="AI98" s="694">
        <f t="shared" ref="AI98:AI100" si="43">SUM(W98:AH98)</f>
        <v>0</v>
      </c>
      <c r="AJ98" s="690" t="str">
        <f t="shared" ref="AJ98:AJ104" si="44">IF(COUNTA(C98:AI98)&lt;&gt;COUNT(C98:AI98),"Please remove any text entries, enter numeric values only","")</f>
        <v/>
      </c>
    </row>
    <row r="99" spans="2:36" ht="15.75" customHeight="1">
      <c r="B99" s="691" t="s">
        <v>1446</v>
      </c>
      <c r="C99" s="692"/>
      <c r="D99" s="692"/>
      <c r="E99" s="693"/>
      <c r="F99" s="692"/>
      <c r="G99" s="692"/>
      <c r="I99" s="692"/>
      <c r="J99" s="692"/>
      <c r="K99" s="692"/>
      <c r="L99" s="692"/>
      <c r="M99" s="692"/>
      <c r="N99" s="692"/>
      <c r="O99" s="692"/>
      <c r="P99" s="692"/>
      <c r="Q99" s="692"/>
      <c r="R99" s="692"/>
      <c r="S99" s="692"/>
      <c r="T99" s="692"/>
      <c r="U99" s="694">
        <f t="shared" si="42"/>
        <v>0</v>
      </c>
      <c r="W99" s="692"/>
      <c r="X99" s="692"/>
      <c r="Y99" s="692">
        <v>0.41</v>
      </c>
      <c r="Z99" s="692"/>
      <c r="AA99" s="692"/>
      <c r="AB99" s="692">
        <v>0.42209999999999998</v>
      </c>
      <c r="AC99" s="695"/>
      <c r="AD99" s="695"/>
      <c r="AE99" s="695"/>
      <c r="AF99" s="695"/>
      <c r="AG99" s="695"/>
      <c r="AH99" s="692"/>
      <c r="AI99" s="694">
        <f t="shared" si="43"/>
        <v>0.83209999999999995</v>
      </c>
      <c r="AJ99" s="690" t="str">
        <f t="shared" si="44"/>
        <v/>
      </c>
    </row>
    <row r="100" spans="2:36" ht="15.75" customHeight="1">
      <c r="B100" s="691" t="s">
        <v>1447</v>
      </c>
      <c r="C100" s="692"/>
      <c r="D100" s="692"/>
      <c r="E100" s="693"/>
      <c r="F100" s="692"/>
      <c r="G100" s="692"/>
      <c r="I100" s="692"/>
      <c r="J100" s="692"/>
      <c r="K100" s="692"/>
      <c r="L100" s="692"/>
      <c r="M100" s="692"/>
      <c r="N100" s="692"/>
      <c r="O100" s="692"/>
      <c r="P100" s="692"/>
      <c r="Q100" s="692"/>
      <c r="R100" s="692"/>
      <c r="S100" s="692"/>
      <c r="T100" s="692"/>
      <c r="U100" s="694">
        <f t="shared" si="42"/>
        <v>0</v>
      </c>
      <c r="W100" s="692"/>
      <c r="X100" s="692"/>
      <c r="Y100" s="692"/>
      <c r="Z100" s="692"/>
      <c r="AA100" s="692"/>
      <c r="AB100" s="692"/>
      <c r="AC100" s="695"/>
      <c r="AD100" s="695"/>
      <c r="AE100" s="695"/>
      <c r="AF100" s="695"/>
      <c r="AG100" s="695"/>
      <c r="AH100" s="692"/>
      <c r="AI100" s="694">
        <f t="shared" si="43"/>
        <v>0</v>
      </c>
      <c r="AJ100" s="690" t="str">
        <f t="shared" si="44"/>
        <v/>
      </c>
    </row>
    <row r="101" spans="2:36" ht="15.75" customHeight="1">
      <c r="B101" s="691" t="s">
        <v>1501</v>
      </c>
      <c r="C101" s="692"/>
      <c r="D101" s="692"/>
      <c r="E101" s="696"/>
      <c r="F101" s="697"/>
      <c r="G101" s="697"/>
      <c r="H101" s="682"/>
      <c r="I101" s="692"/>
      <c r="J101" s="692"/>
      <c r="K101" s="692"/>
      <c r="L101" s="692"/>
      <c r="M101" s="692"/>
      <c r="N101" s="692"/>
      <c r="O101" s="692"/>
      <c r="P101" s="692"/>
      <c r="Q101" s="692"/>
      <c r="R101" s="692"/>
      <c r="S101" s="692"/>
      <c r="T101" s="692"/>
      <c r="U101" s="698">
        <f t="shared" ref="U101:U102" si="45">SUM(I101:T101)</f>
        <v>0</v>
      </c>
      <c r="W101" s="697"/>
      <c r="X101" s="697"/>
      <c r="Y101" s="697"/>
      <c r="Z101" s="697"/>
      <c r="AA101" s="697"/>
      <c r="AB101" s="697"/>
      <c r="AC101" s="699"/>
      <c r="AD101" s="699"/>
      <c r="AE101" s="699"/>
      <c r="AF101" s="699"/>
      <c r="AG101" s="699"/>
      <c r="AH101" s="697"/>
      <c r="AI101" s="698">
        <f t="shared" ref="AI101:AI103" si="46">SUM(W101:AH101)</f>
        <v>0</v>
      </c>
      <c r="AJ101" s="690" t="str">
        <f t="shared" si="44"/>
        <v/>
      </c>
    </row>
    <row r="102" spans="2:36" ht="15.75" customHeight="1">
      <c r="B102" s="691" t="s">
        <v>1502</v>
      </c>
      <c r="C102" s="697">
        <v>28407</v>
      </c>
      <c r="D102" s="697">
        <v>35122</v>
      </c>
      <c r="E102" s="696">
        <f t="shared" ref="E102" si="47">U102</f>
        <v>35124</v>
      </c>
      <c r="F102" s="697"/>
      <c r="G102" s="697"/>
      <c r="H102" s="682"/>
      <c r="I102" s="697">
        <v>2927</v>
      </c>
      <c r="J102" s="697">
        <v>2927</v>
      </c>
      <c r="K102" s="697">
        <v>2927</v>
      </c>
      <c r="L102" s="697">
        <v>2927</v>
      </c>
      <c r="M102" s="697">
        <v>2927</v>
      </c>
      <c r="N102" s="697">
        <v>2927</v>
      </c>
      <c r="O102" s="699">
        <v>2927</v>
      </c>
      <c r="P102" s="699">
        <v>2927</v>
      </c>
      <c r="Q102" s="699">
        <v>2927</v>
      </c>
      <c r="R102" s="699">
        <v>2927</v>
      </c>
      <c r="S102" s="699">
        <v>2927</v>
      </c>
      <c r="T102" s="697">
        <v>2927</v>
      </c>
      <c r="U102" s="698">
        <f t="shared" si="45"/>
        <v>35124</v>
      </c>
      <c r="W102" s="697">
        <v>2929</v>
      </c>
      <c r="X102" s="697">
        <v>3488</v>
      </c>
      <c r="Y102" s="697">
        <v>3424</v>
      </c>
      <c r="Z102" s="697"/>
      <c r="AA102" s="697"/>
      <c r="AB102" s="697"/>
      <c r="AC102" s="699"/>
      <c r="AD102" s="699"/>
      <c r="AE102" s="699"/>
      <c r="AF102" s="699"/>
      <c r="AG102" s="699"/>
      <c r="AH102" s="697"/>
      <c r="AI102" s="698">
        <f t="shared" si="46"/>
        <v>9841</v>
      </c>
      <c r="AJ102" s="690" t="str">
        <f t="shared" si="44"/>
        <v/>
      </c>
    </row>
    <row r="103" spans="2:36" ht="26">
      <c r="B103" s="691" t="s">
        <v>1444</v>
      </c>
      <c r="C103" s="697"/>
      <c r="D103" s="697"/>
      <c r="E103" s="696"/>
      <c r="F103" s="697"/>
      <c r="G103" s="697"/>
      <c r="H103" s="682"/>
      <c r="I103" s="697"/>
      <c r="J103" s="697"/>
      <c r="K103" s="697"/>
      <c r="L103" s="697"/>
      <c r="M103" s="697"/>
      <c r="N103" s="697"/>
      <c r="O103" s="699"/>
      <c r="P103" s="699"/>
      <c r="Q103" s="699"/>
      <c r="R103" s="699"/>
      <c r="S103" s="699"/>
      <c r="T103" s="697"/>
      <c r="U103" s="698">
        <f>SUM(I103:T103)</f>
        <v>0</v>
      </c>
      <c r="W103" s="697"/>
      <c r="X103" s="697"/>
      <c r="Y103" s="697"/>
      <c r="Z103" s="697"/>
      <c r="AA103" s="697"/>
      <c r="AB103" s="697"/>
      <c r="AC103" s="699"/>
      <c r="AD103" s="699"/>
      <c r="AE103" s="699"/>
      <c r="AF103" s="699"/>
      <c r="AG103" s="699"/>
      <c r="AH103" s="697"/>
      <c r="AI103" s="698">
        <f t="shared" si="46"/>
        <v>0</v>
      </c>
      <c r="AJ103" s="690" t="str">
        <f t="shared" si="44"/>
        <v/>
      </c>
    </row>
    <row r="104" spans="2:36" ht="15.75" customHeight="1">
      <c r="B104" s="691" t="s">
        <v>1429</v>
      </c>
      <c r="C104" s="697"/>
      <c r="D104" s="697"/>
      <c r="E104" s="693"/>
      <c r="F104" s="692"/>
      <c r="G104" s="692"/>
      <c r="I104" s="697"/>
      <c r="J104" s="697"/>
      <c r="K104" s="697"/>
      <c r="L104" s="697"/>
      <c r="M104" s="697"/>
      <c r="N104" s="697"/>
      <c r="O104" s="699"/>
      <c r="P104" s="699"/>
      <c r="Q104" s="699"/>
      <c r="R104" s="699"/>
      <c r="S104" s="699"/>
      <c r="T104" s="697"/>
      <c r="U104" s="694">
        <f>IFERROR(AVERAGE(I104:T104),0)</f>
        <v>0</v>
      </c>
      <c r="W104" s="692"/>
      <c r="X104" s="692"/>
      <c r="Y104" s="692"/>
      <c r="Z104" s="692"/>
      <c r="AA104" s="692"/>
      <c r="AB104" s="692"/>
      <c r="AC104" s="695"/>
      <c r="AD104" s="695"/>
      <c r="AE104" s="695"/>
      <c r="AF104" s="695"/>
      <c r="AG104" s="695"/>
      <c r="AH104" s="692"/>
      <c r="AI104" s="694">
        <f>SUM(W104:AH104)</f>
        <v>0</v>
      </c>
      <c r="AJ104" s="690" t="str">
        <f t="shared" si="44"/>
        <v/>
      </c>
    </row>
    <row r="106" spans="2:36" ht="15.75" customHeight="1">
      <c r="B106" s="16" t="s">
        <v>1275</v>
      </c>
      <c r="C106" s="16"/>
      <c r="D106" s="16"/>
      <c r="E106" s="16"/>
      <c r="F106" s="16"/>
      <c r="G106" s="16"/>
      <c r="I106" s="16"/>
      <c r="J106" s="16"/>
      <c r="K106" s="16"/>
      <c r="L106" s="16"/>
      <c r="M106" s="16"/>
      <c r="N106" s="16"/>
      <c r="O106" s="16"/>
      <c r="P106" s="16"/>
      <c r="Q106" s="16"/>
      <c r="R106" s="16"/>
      <c r="S106" s="16"/>
      <c r="T106" s="16"/>
      <c r="U106" s="16"/>
      <c r="W106" s="16"/>
      <c r="X106" s="16"/>
      <c r="Y106" s="16"/>
      <c r="Z106" s="16"/>
      <c r="AA106" s="16"/>
      <c r="AB106" s="16"/>
      <c r="AC106" s="16"/>
      <c r="AD106" s="16"/>
      <c r="AE106" s="16"/>
      <c r="AF106" s="16"/>
      <c r="AG106" s="16"/>
      <c r="AH106" s="16"/>
      <c r="AI106" s="16"/>
    </row>
    <row r="107" spans="2:36" ht="15.75" customHeight="1">
      <c r="B107" s="691" t="s">
        <v>1503</v>
      </c>
      <c r="C107" s="703"/>
      <c r="D107" s="703"/>
      <c r="E107" s="704"/>
      <c r="F107" s="703"/>
      <c r="G107" s="703"/>
      <c r="H107" s="705"/>
      <c r="I107" s="703"/>
      <c r="J107" s="703"/>
      <c r="K107" s="703"/>
      <c r="L107" s="703"/>
      <c r="M107" s="703"/>
      <c r="N107" s="703"/>
      <c r="O107" s="706"/>
      <c r="P107" s="706"/>
      <c r="Q107" s="706"/>
      <c r="R107" s="706"/>
      <c r="S107" s="706"/>
      <c r="T107" s="703"/>
      <c r="U107" s="694">
        <f t="shared" ref="U107:U112" si="48">IFERROR(AVERAGE(I107:T107),0)</f>
        <v>0</v>
      </c>
      <c r="V107" s="707"/>
      <c r="W107" s="703"/>
      <c r="X107" s="703"/>
      <c r="Y107" s="703"/>
      <c r="Z107" s="703"/>
      <c r="AA107" s="703"/>
      <c r="AB107" s="703"/>
      <c r="AC107" s="706"/>
      <c r="AD107" s="706"/>
      <c r="AE107" s="706"/>
      <c r="AF107" s="706"/>
      <c r="AG107" s="706"/>
      <c r="AH107" s="703"/>
      <c r="AI107" s="694">
        <f t="shared" ref="AI107:AI112" si="49">SUM(W107:AH107)</f>
        <v>0</v>
      </c>
      <c r="AJ107" s="690" t="str">
        <f t="shared" ref="AJ107:AJ113" si="50">IF(COUNTA(C107:AI107)&lt;&gt;COUNT(C107:AI107),"Please remove any text entries, enter numeric values only","")</f>
        <v/>
      </c>
    </row>
    <row r="108" spans="2:36" ht="15.75" customHeight="1">
      <c r="B108" s="691" t="s">
        <v>1504</v>
      </c>
      <c r="C108" s="703"/>
      <c r="D108" s="703"/>
      <c r="E108" s="704"/>
      <c r="F108" s="703"/>
      <c r="G108" s="703"/>
      <c r="H108" s="705"/>
      <c r="I108" s="703"/>
      <c r="J108" s="703"/>
      <c r="K108" s="703"/>
      <c r="L108" s="703"/>
      <c r="M108" s="703"/>
      <c r="N108" s="703"/>
      <c r="O108" s="706"/>
      <c r="P108" s="706"/>
      <c r="Q108" s="706"/>
      <c r="R108" s="706"/>
      <c r="S108" s="706"/>
      <c r="T108" s="703"/>
      <c r="U108" s="694">
        <f t="shared" si="48"/>
        <v>0</v>
      </c>
      <c r="V108" s="707"/>
      <c r="W108" s="703"/>
      <c r="X108" s="703"/>
      <c r="Y108" s="703"/>
      <c r="Z108" s="703"/>
      <c r="AA108" s="703"/>
      <c r="AB108" s="703"/>
      <c r="AC108" s="706"/>
      <c r="AD108" s="706"/>
      <c r="AE108" s="706"/>
      <c r="AF108" s="706"/>
      <c r="AG108" s="706"/>
      <c r="AH108" s="703"/>
      <c r="AI108" s="694">
        <f t="shared" si="49"/>
        <v>0</v>
      </c>
      <c r="AJ108" s="690" t="str">
        <f t="shared" si="50"/>
        <v/>
      </c>
    </row>
    <row r="109" spans="2:36" ht="15.75" customHeight="1">
      <c r="B109" s="691" t="s">
        <v>1505</v>
      </c>
      <c r="C109" s="703"/>
      <c r="D109" s="703"/>
      <c r="E109" s="704"/>
      <c r="F109" s="703"/>
      <c r="G109" s="703"/>
      <c r="H109" s="705"/>
      <c r="I109" s="703"/>
      <c r="J109" s="703"/>
      <c r="K109" s="703"/>
      <c r="L109" s="703"/>
      <c r="M109" s="703"/>
      <c r="N109" s="703"/>
      <c r="O109" s="706"/>
      <c r="P109" s="706"/>
      <c r="Q109" s="706"/>
      <c r="R109" s="706"/>
      <c r="S109" s="706"/>
      <c r="T109" s="703"/>
      <c r="U109" s="694">
        <f t="shared" si="48"/>
        <v>0</v>
      </c>
      <c r="V109" s="707"/>
      <c r="W109" s="703"/>
      <c r="X109" s="703"/>
      <c r="Y109" s="703"/>
      <c r="Z109" s="703"/>
      <c r="AA109" s="703"/>
      <c r="AB109" s="703"/>
      <c r="AC109" s="706"/>
      <c r="AD109" s="706"/>
      <c r="AE109" s="706"/>
      <c r="AF109" s="706"/>
      <c r="AG109" s="706"/>
      <c r="AH109" s="703"/>
      <c r="AI109" s="694">
        <f t="shared" si="49"/>
        <v>0</v>
      </c>
      <c r="AJ109" s="690" t="str">
        <f t="shared" si="50"/>
        <v/>
      </c>
    </row>
    <row r="110" spans="2:36" ht="15.75" customHeight="1">
      <c r="B110" s="691" t="s">
        <v>1506</v>
      </c>
      <c r="C110" s="703"/>
      <c r="D110" s="703"/>
      <c r="E110" s="704"/>
      <c r="F110" s="703"/>
      <c r="G110" s="703"/>
      <c r="H110" s="705"/>
      <c r="I110" s="703"/>
      <c r="J110" s="703"/>
      <c r="K110" s="703"/>
      <c r="L110" s="703"/>
      <c r="M110" s="703"/>
      <c r="N110" s="703"/>
      <c r="O110" s="706"/>
      <c r="P110" s="706"/>
      <c r="Q110" s="706"/>
      <c r="R110" s="706"/>
      <c r="S110" s="706"/>
      <c r="T110" s="703"/>
      <c r="U110" s="694">
        <f t="shared" si="48"/>
        <v>0</v>
      </c>
      <c r="V110" s="707"/>
      <c r="W110" s="703"/>
      <c r="X110" s="703"/>
      <c r="Y110" s="703"/>
      <c r="Z110" s="703"/>
      <c r="AA110" s="703"/>
      <c r="AB110" s="703"/>
      <c r="AC110" s="706"/>
      <c r="AD110" s="706"/>
      <c r="AE110" s="706"/>
      <c r="AF110" s="706"/>
      <c r="AG110" s="706"/>
      <c r="AH110" s="703"/>
      <c r="AI110" s="694">
        <f t="shared" si="49"/>
        <v>0</v>
      </c>
      <c r="AJ110" s="690" t="str">
        <f t="shared" si="50"/>
        <v/>
      </c>
    </row>
    <row r="111" spans="2:36" ht="15.75" customHeight="1">
      <c r="B111" s="691" t="s">
        <v>1507</v>
      </c>
      <c r="C111" s="703"/>
      <c r="D111" s="703">
        <v>1</v>
      </c>
      <c r="E111" s="704">
        <f t="shared" ref="E111:E113" si="51">U111</f>
        <v>1</v>
      </c>
      <c r="F111" s="703"/>
      <c r="G111" s="703"/>
      <c r="H111" s="705"/>
      <c r="I111" s="703">
        <v>1</v>
      </c>
      <c r="J111" s="703">
        <v>1</v>
      </c>
      <c r="K111" s="703">
        <v>1</v>
      </c>
      <c r="L111" s="703">
        <v>1</v>
      </c>
      <c r="M111" s="703">
        <v>1</v>
      </c>
      <c r="N111" s="703">
        <v>1</v>
      </c>
      <c r="O111" s="706">
        <v>1</v>
      </c>
      <c r="P111" s="706">
        <v>1</v>
      </c>
      <c r="Q111" s="706">
        <v>1</v>
      </c>
      <c r="R111" s="706">
        <v>1</v>
      </c>
      <c r="S111" s="706">
        <v>1</v>
      </c>
      <c r="T111" s="703">
        <v>1</v>
      </c>
      <c r="U111" s="694">
        <f t="shared" si="48"/>
        <v>1</v>
      </c>
      <c r="V111" s="707"/>
      <c r="W111" s="703">
        <v>1</v>
      </c>
      <c r="X111" s="703">
        <v>1</v>
      </c>
      <c r="Y111" s="703">
        <v>1</v>
      </c>
      <c r="Z111" s="703">
        <v>1</v>
      </c>
      <c r="AA111" s="703">
        <v>1</v>
      </c>
      <c r="AB111" s="703">
        <v>1</v>
      </c>
      <c r="AC111" s="703">
        <v>1</v>
      </c>
      <c r="AD111" s="703">
        <v>1</v>
      </c>
      <c r="AE111" s="703">
        <v>1</v>
      </c>
      <c r="AF111" s="706">
        <v>1</v>
      </c>
      <c r="AG111" s="706">
        <v>1</v>
      </c>
      <c r="AH111" s="703">
        <v>1</v>
      </c>
      <c r="AI111" s="694">
        <f t="shared" si="49"/>
        <v>12</v>
      </c>
      <c r="AJ111" s="690" t="str">
        <f t="shared" si="50"/>
        <v/>
      </c>
    </row>
    <row r="112" spans="2:36" ht="26">
      <c r="B112" s="691" t="s">
        <v>1508</v>
      </c>
      <c r="C112" s="703"/>
      <c r="D112" s="703"/>
      <c r="E112" s="704"/>
      <c r="F112" s="703"/>
      <c r="G112" s="703"/>
      <c r="H112" s="705"/>
      <c r="I112" s="703"/>
      <c r="J112" s="703"/>
      <c r="K112" s="703"/>
      <c r="L112" s="703"/>
      <c r="M112" s="703"/>
      <c r="N112" s="703"/>
      <c r="O112" s="706"/>
      <c r="P112" s="706"/>
      <c r="Q112" s="706"/>
      <c r="R112" s="706"/>
      <c r="S112" s="706"/>
      <c r="T112" s="703"/>
      <c r="U112" s="694">
        <f t="shared" si="48"/>
        <v>0</v>
      </c>
      <c r="V112" s="707"/>
      <c r="W112" s="703"/>
      <c r="X112" s="703"/>
      <c r="Y112" s="703"/>
      <c r="Z112" s="703"/>
      <c r="AA112" s="703"/>
      <c r="AB112" s="703"/>
      <c r="AC112" s="706"/>
      <c r="AD112" s="706"/>
      <c r="AE112" s="706"/>
      <c r="AF112" s="706"/>
      <c r="AG112" s="706"/>
      <c r="AH112" s="703"/>
      <c r="AI112" s="694">
        <f t="shared" si="49"/>
        <v>0</v>
      </c>
      <c r="AJ112" s="690" t="str">
        <f t="shared" si="50"/>
        <v/>
      </c>
    </row>
    <row r="113" spans="2:36" ht="26">
      <c r="B113" s="691" t="s">
        <v>1509</v>
      </c>
      <c r="C113" s="703"/>
      <c r="D113" s="703"/>
      <c r="E113" s="696">
        <f t="shared" si="51"/>
        <v>0</v>
      </c>
      <c r="F113" s="697"/>
      <c r="G113" s="697"/>
      <c r="H113" s="682"/>
      <c r="I113" s="703"/>
      <c r="J113" s="703"/>
      <c r="K113" s="703"/>
      <c r="L113" s="703"/>
      <c r="M113" s="703"/>
      <c r="N113" s="703"/>
      <c r="O113" s="706"/>
      <c r="P113" s="706"/>
      <c r="Q113" s="706"/>
      <c r="R113" s="706"/>
      <c r="S113" s="706"/>
      <c r="T113" s="703"/>
      <c r="U113" s="698">
        <f>SUM(I113:T113)</f>
        <v>0</v>
      </c>
      <c r="W113" s="697"/>
      <c r="X113" s="697"/>
      <c r="Y113" s="697"/>
      <c r="Z113" s="697"/>
      <c r="AA113" s="697"/>
      <c r="AB113" s="697"/>
      <c r="AC113" s="699"/>
      <c r="AD113" s="699"/>
      <c r="AE113" s="699"/>
      <c r="AF113" s="699"/>
      <c r="AG113" s="699"/>
      <c r="AH113" s="697"/>
      <c r="AI113" s="698">
        <f t="shared" ref="AI113" si="52">SUM(W113:AH113)</f>
        <v>0</v>
      </c>
      <c r="AJ113" s="690" t="str">
        <f t="shared" si="50"/>
        <v/>
      </c>
    </row>
    <row r="115" spans="2:36" ht="15.75" customHeight="1">
      <c r="AJ115" s="690">
        <f>COUNTIFS(AJ3:AJ114,"Please*")</f>
        <v>4</v>
      </c>
    </row>
  </sheetData>
  <mergeCells count="1">
    <mergeCell ref="C1:D1"/>
  </mergeCells>
  <pageMargins left="0.70866141732283472" right="0.70866141732283472" top="0.74803149606299213" bottom="0.74803149606299213" header="0.31496062992125984" footer="0.31496062992125984"/>
  <pageSetup paperSize="9" scale="20" fitToHeight="0"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pageSetUpPr fitToPage="1"/>
  </sheetPr>
  <dimension ref="A1:AJ12"/>
  <sheetViews>
    <sheetView showGridLines="0" topLeftCell="A5" zoomScale="70" zoomScaleNormal="70" workbookViewId="0">
      <pane xSplit="2" ySplit="3" topLeftCell="C8" activePane="bottomRight" state="frozenSplit"/>
      <selection activeCell="S193" sqref="S193"/>
      <selection pane="topRight" activeCell="S193" sqref="S193"/>
      <selection pane="bottomLeft" activeCell="S193" sqref="S193"/>
      <selection pane="bottomRight" activeCell="V19" sqref="V19"/>
    </sheetView>
  </sheetViews>
  <sheetFormatPr defaultRowHeight="15.5"/>
  <cols>
    <col min="1" max="1" width="1.69140625" customWidth="1"/>
    <col min="2" max="2" width="68" customWidth="1"/>
    <col min="3" max="7" width="10.3046875" customWidth="1"/>
    <col min="8" max="8" width="2.84375" customWidth="1"/>
    <col min="9" max="12" width="11.3046875" customWidth="1"/>
    <col min="13" max="13" width="3.3046875" customWidth="1"/>
    <col min="14" max="17" width="10.3046875" customWidth="1"/>
  </cols>
  <sheetData>
    <row r="1" spans="1:36" s="2" customFormat="1" ht="13" hidden="1">
      <c r="A1" s="1"/>
      <c r="B1" s="708"/>
      <c r="C1" s="1"/>
      <c r="D1" s="1"/>
      <c r="E1" s="1"/>
      <c r="F1" s="1"/>
      <c r="G1" s="1"/>
      <c r="I1" s="1"/>
      <c r="J1" s="1"/>
      <c r="K1" s="1"/>
      <c r="L1" s="1"/>
      <c r="N1" s="1"/>
      <c r="O1" s="1"/>
      <c r="P1" s="1"/>
      <c r="Q1" s="1"/>
      <c r="Z1" s="709"/>
      <c r="AA1" s="709"/>
      <c r="AB1" s="709"/>
      <c r="AC1" s="709"/>
      <c r="AD1" s="709"/>
      <c r="AE1" s="709"/>
      <c r="AF1" s="709"/>
      <c r="AG1" s="709"/>
      <c r="AH1" s="709"/>
      <c r="AI1" s="709"/>
      <c r="AJ1" s="709"/>
    </row>
    <row r="2" spans="1:36" s="2" customFormat="1" ht="21" hidden="1">
      <c r="A2" s="1"/>
      <c r="B2" s="710" t="str">
        <f>IF('[1]Front Sheet and Checklist'!C5="(please select from drop down)","Please select organisation from front sheet",'[1]Front Sheet and Checklist'!C5)</f>
        <v>Please select organisation from front sheet</v>
      </c>
      <c r="C2"/>
      <c r="D2"/>
      <c r="E2"/>
      <c r="F2"/>
      <c r="G2"/>
      <c r="I2"/>
      <c r="J2"/>
      <c r="K2"/>
      <c r="L2"/>
      <c r="M2"/>
      <c r="N2"/>
      <c r="O2"/>
      <c r="P2"/>
      <c r="Q2"/>
      <c r="Z2" s="709"/>
      <c r="AA2" s="709"/>
      <c r="AB2" s="709"/>
      <c r="AC2" s="709"/>
      <c r="AD2" s="709"/>
      <c r="AE2" s="709"/>
      <c r="AF2" s="709"/>
      <c r="AG2" s="709"/>
      <c r="AH2" s="709"/>
      <c r="AI2" s="709"/>
      <c r="AJ2" s="709"/>
    </row>
    <row r="3" spans="1:36" s="1" customFormat="1" hidden="1">
      <c r="B3" s="711"/>
      <c r="C3" s="55"/>
      <c r="D3" s="55"/>
      <c r="E3" s="55"/>
      <c r="F3" s="55"/>
      <c r="G3" s="55"/>
      <c r="H3" s="2"/>
      <c r="I3"/>
      <c r="J3"/>
      <c r="K3"/>
      <c r="L3"/>
      <c r="M3"/>
      <c r="N3"/>
      <c r="O3"/>
      <c r="P3"/>
      <c r="Q3"/>
      <c r="Z3" s="577"/>
      <c r="AA3" s="577"/>
      <c r="AB3" s="577"/>
      <c r="AC3" s="577"/>
      <c r="AD3" s="577"/>
      <c r="AE3" s="577"/>
      <c r="AF3" s="577"/>
      <c r="AG3" s="577"/>
      <c r="AH3" s="577"/>
      <c r="AI3" s="577"/>
      <c r="AJ3" s="577"/>
    </row>
    <row r="4" spans="1:36" s="1" customFormat="1" ht="13" hidden="1">
      <c r="B4" s="708"/>
      <c r="H4" s="2"/>
      <c r="Z4" s="577"/>
      <c r="AA4" s="577"/>
      <c r="AB4" s="577"/>
      <c r="AC4" s="577"/>
      <c r="AD4" s="577"/>
      <c r="AE4" s="577"/>
      <c r="AF4" s="577"/>
      <c r="AG4" s="577"/>
      <c r="AH4" s="577"/>
      <c r="AI4" s="577"/>
      <c r="AJ4" s="577"/>
    </row>
    <row r="5" spans="1:36" s="1" customFormat="1" ht="13" customHeight="1">
      <c r="B5" s="851" t="s">
        <v>1510</v>
      </c>
      <c r="C5" s="857" t="s">
        <v>1337</v>
      </c>
      <c r="D5" s="858"/>
      <c r="E5" s="593"/>
      <c r="F5" s="593"/>
      <c r="G5" s="593"/>
      <c r="I5" s="593" t="s">
        <v>1511</v>
      </c>
      <c r="J5" s="593"/>
      <c r="K5" s="593"/>
      <c r="L5" s="593"/>
      <c r="M5"/>
      <c r="N5" s="593" t="s">
        <v>1512</v>
      </c>
      <c r="O5" s="593"/>
      <c r="P5" s="593"/>
      <c r="Q5" s="593"/>
      <c r="Z5" s="577"/>
      <c r="AA5" s="577"/>
      <c r="AB5" s="577"/>
      <c r="AC5" s="577"/>
      <c r="AD5" s="577"/>
      <c r="AE5" s="577"/>
      <c r="AF5" s="577"/>
      <c r="AG5" s="577"/>
      <c r="AH5" s="577"/>
      <c r="AI5" s="577"/>
      <c r="AJ5" s="577"/>
    </row>
    <row r="6" spans="1:36" s="1" customFormat="1" ht="46.5">
      <c r="B6" s="851"/>
      <c r="C6" s="78" t="s">
        <v>1513</v>
      </c>
      <c r="D6" s="78" t="s">
        <v>1340</v>
      </c>
      <c r="E6" s="78" t="s">
        <v>1514</v>
      </c>
      <c r="F6" s="78" t="s">
        <v>1515</v>
      </c>
      <c r="G6" s="78" t="s">
        <v>1516</v>
      </c>
      <c r="I6" s="78" t="s">
        <v>1517</v>
      </c>
      <c r="J6" s="78" t="s">
        <v>1518</v>
      </c>
      <c r="K6" s="78" t="s">
        <v>1519</v>
      </c>
      <c r="L6" s="78" t="s">
        <v>1520</v>
      </c>
      <c r="M6"/>
      <c r="N6" s="78" t="s">
        <v>1521</v>
      </c>
      <c r="O6" s="78" t="s">
        <v>1522</v>
      </c>
      <c r="P6" s="78" t="s">
        <v>1523</v>
      </c>
      <c r="Q6" s="78" t="s">
        <v>1524</v>
      </c>
      <c r="Z6" s="577"/>
      <c r="AA6" s="577"/>
      <c r="AB6" s="577"/>
      <c r="AC6" s="577"/>
      <c r="AD6" s="577"/>
      <c r="AE6" s="577"/>
      <c r="AF6" s="577"/>
      <c r="AG6" s="577"/>
      <c r="AH6" s="577"/>
      <c r="AI6" s="577"/>
      <c r="AJ6" s="577"/>
    </row>
    <row r="7" spans="1:36" s="1" customFormat="1" ht="14.5" customHeight="1">
      <c r="B7" s="712" t="s">
        <v>1510</v>
      </c>
      <c r="C7" s="713"/>
      <c r="D7" s="713"/>
      <c r="E7" s="713"/>
      <c r="F7" s="713"/>
      <c r="G7" s="714"/>
      <c r="I7"/>
      <c r="J7"/>
      <c r="K7"/>
      <c r="L7"/>
      <c r="M7"/>
      <c r="N7"/>
      <c r="O7"/>
      <c r="P7"/>
      <c r="Q7"/>
      <c r="Z7" s="577"/>
      <c r="AA7" s="577"/>
      <c r="AB7" s="577"/>
      <c r="AC7" s="577"/>
      <c r="AD7" s="577"/>
      <c r="AE7" s="577"/>
      <c r="AF7" s="577"/>
      <c r="AG7" s="577"/>
      <c r="AH7" s="577"/>
      <c r="AI7" s="577"/>
      <c r="AJ7" s="577"/>
    </row>
    <row r="8" spans="1:36" s="1" customFormat="1">
      <c r="C8" s="28"/>
      <c r="D8" s="28"/>
      <c r="I8" s="28"/>
      <c r="J8" s="28"/>
      <c r="K8" s="28"/>
      <c r="M8"/>
      <c r="N8" s="28"/>
      <c r="O8" s="28"/>
      <c r="P8" s="28"/>
    </row>
    <row r="9" spans="1:36" s="577" customFormat="1" ht="26">
      <c r="B9" s="578" t="s">
        <v>1525</v>
      </c>
      <c r="C9" s="579"/>
      <c r="D9" s="579"/>
      <c r="E9" s="715">
        <f>L9</f>
        <v>0</v>
      </c>
      <c r="F9" s="579"/>
      <c r="G9" s="579"/>
      <c r="H9" s="1"/>
      <c r="I9" s="579"/>
      <c r="J9" s="579"/>
      <c r="K9" s="579"/>
      <c r="L9" s="579"/>
      <c r="M9"/>
      <c r="N9" s="579"/>
      <c r="O9" s="579"/>
      <c r="P9" s="579"/>
      <c r="Q9" s="579"/>
      <c r="R9" s="690" t="str">
        <f>IF(COUNTA(C9:Q9)&lt;&gt;COUNT(C9:Q9),"Please remove any text entries, enter numeric values only","")</f>
        <v/>
      </c>
    </row>
    <row r="10" spans="1:36">
      <c r="H10" s="1"/>
    </row>
    <row r="11" spans="1:36">
      <c r="H11" s="1"/>
    </row>
    <row r="12" spans="1:36">
      <c r="H12" s="1"/>
    </row>
  </sheetData>
  <sheetProtection sheet="1" objects="1" scenarios="1"/>
  <mergeCells count="2">
    <mergeCell ref="B5:B6"/>
    <mergeCell ref="C5:D5"/>
  </mergeCells>
  <pageMargins left="0.70866141732283472" right="0.70866141732283472" top="0.74803149606299213" bottom="0.74803149606299213" header="0.31496062992125984" footer="0.31496062992125984"/>
  <pageSetup paperSize="9" scale="28" fitToHeight="0"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pageSetUpPr fitToPage="1"/>
  </sheetPr>
  <dimension ref="B1:AW40"/>
  <sheetViews>
    <sheetView showGridLines="0" topLeftCell="A7" zoomScale="80" zoomScaleNormal="80" workbookViewId="0">
      <pane xSplit="2" ySplit="4" topLeftCell="S11" activePane="bottomRight" state="frozenSplit"/>
      <selection activeCell="S193" sqref="S193"/>
      <selection pane="topRight" activeCell="S193" sqref="S193"/>
      <selection pane="bottomLeft" activeCell="S193" sqref="S193"/>
      <selection pane="bottomRight" activeCell="AI12" sqref="AI12"/>
    </sheetView>
  </sheetViews>
  <sheetFormatPr defaultRowHeight="15.5"/>
  <cols>
    <col min="1" max="1" width="3.4609375" customWidth="1"/>
    <col min="2" max="2" width="47.84375" customWidth="1"/>
    <col min="3" max="3" width="12.69140625" customWidth="1"/>
    <col min="4" max="4" width="15.07421875" customWidth="1"/>
    <col min="5" max="7" width="12.69140625" customWidth="1"/>
    <col min="8" max="8" width="3.3046875" customWidth="1"/>
    <col min="9" max="20" width="12.69140625" customWidth="1"/>
    <col min="21" max="21" width="9.4609375" customWidth="1"/>
    <col min="22" max="33" width="12.69140625" customWidth="1"/>
    <col min="34"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690" customFormat="1" ht="15.75" hidden="1" customHeight="1"/>
    <row r="2" spans="2:49" s="690" customFormat="1" ht="23.25" hidden="1" customHeight="1">
      <c r="B2" s="716" t="str">
        <f>IF('[1]Front Sheet and Checklist'!C5="(please select from drop down)","Please select organisation from front sheet",'[1]Front Sheet and Checklist'!C5)</f>
        <v>Please select organisation from front sheet</v>
      </c>
      <c r="C2" s="717"/>
      <c r="D2" s="717"/>
      <c r="E2" s="717"/>
      <c r="F2" s="717"/>
      <c r="G2" s="717"/>
      <c r="H2" s="717"/>
      <c r="I2" s="717"/>
      <c r="J2" s="717"/>
      <c r="K2" s="717"/>
      <c r="L2" s="717"/>
      <c r="M2" s="718"/>
      <c r="N2" s="682"/>
      <c r="O2" s="682"/>
      <c r="P2" s="682"/>
      <c r="Q2" s="682"/>
      <c r="R2" s="682"/>
      <c r="S2" s="682"/>
      <c r="T2" s="682"/>
      <c r="V2" s="682"/>
      <c r="W2" s="682"/>
      <c r="X2" s="682"/>
      <c r="Y2" s="682"/>
      <c r="Z2" s="682"/>
      <c r="AA2" s="682"/>
      <c r="AB2" s="682"/>
      <c r="AC2" s="682"/>
      <c r="AD2" s="682"/>
      <c r="AE2" s="682"/>
      <c r="AF2" s="682"/>
      <c r="AG2" s="682"/>
    </row>
    <row r="3" spans="2:49" s="690" customFormat="1" ht="13" hidden="1">
      <c r="B3" s="719"/>
      <c r="C3" s="720"/>
      <c r="D3" s="720"/>
      <c r="E3" s="720"/>
      <c r="F3" s="720"/>
      <c r="G3" s="720"/>
      <c r="H3" s="720"/>
      <c r="I3" s="720"/>
      <c r="J3" s="720"/>
      <c r="K3" s="720"/>
      <c r="L3" s="720"/>
      <c r="M3" s="721"/>
      <c r="N3" s="682"/>
      <c r="O3" s="682"/>
      <c r="P3" s="682"/>
      <c r="Q3" s="682"/>
      <c r="R3" s="682"/>
      <c r="S3" s="682"/>
      <c r="T3" s="682"/>
      <c r="V3" s="682"/>
      <c r="W3" s="682"/>
      <c r="X3" s="682"/>
      <c r="Y3" s="682"/>
      <c r="Z3" s="682"/>
      <c r="AA3" s="682"/>
      <c r="AB3" s="682"/>
      <c r="AC3" s="682"/>
      <c r="AD3" s="682"/>
      <c r="AE3" s="682"/>
      <c r="AF3" s="682"/>
      <c r="AG3" s="682"/>
    </row>
    <row r="4" spans="2:49" s="690" customFormat="1" ht="13" hidden="1">
      <c r="B4" s="719"/>
      <c r="C4" s="720"/>
      <c r="D4" s="720"/>
      <c r="E4" s="720"/>
      <c r="F4" s="720"/>
      <c r="G4" s="720"/>
      <c r="H4" s="720"/>
      <c r="I4" s="720"/>
      <c r="J4" s="720"/>
      <c r="K4" s="720"/>
      <c r="L4" s="720"/>
      <c r="M4" s="721"/>
      <c r="N4" s="682"/>
      <c r="O4" s="682"/>
      <c r="P4" s="682"/>
      <c r="Q4" s="682"/>
      <c r="R4" s="682"/>
      <c r="S4" s="682"/>
      <c r="T4" s="682"/>
      <c r="V4" s="682"/>
      <c r="W4" s="682"/>
      <c r="X4" s="682"/>
      <c r="Y4" s="682"/>
      <c r="Z4" s="682"/>
      <c r="AA4" s="682"/>
      <c r="AB4" s="682"/>
      <c r="AC4" s="682"/>
      <c r="AD4" s="682"/>
      <c r="AE4" s="682"/>
      <c r="AF4" s="682"/>
      <c r="AG4" s="682"/>
    </row>
    <row r="5" spans="2:49" s="690" customFormat="1" ht="13" hidden="1">
      <c r="B5" s="722" t="s">
        <v>1526</v>
      </c>
      <c r="C5" s="723"/>
      <c r="D5" s="723"/>
      <c r="E5" s="723"/>
      <c r="F5" s="723"/>
      <c r="G5" s="723"/>
      <c r="H5" s="723"/>
      <c r="I5" s="723"/>
      <c r="J5" s="723"/>
      <c r="K5" s="723"/>
      <c r="L5" s="723"/>
      <c r="M5" s="724"/>
      <c r="N5" s="682"/>
      <c r="O5" s="682"/>
      <c r="P5" s="682"/>
      <c r="Q5" s="682"/>
      <c r="R5" s="682"/>
      <c r="S5" s="682"/>
      <c r="T5" s="682"/>
      <c r="V5" s="682"/>
      <c r="W5" s="682"/>
      <c r="X5" s="682"/>
      <c r="Y5" s="682"/>
      <c r="Z5" s="682"/>
      <c r="AA5" s="682"/>
      <c r="AB5" s="682"/>
      <c r="AC5" s="682"/>
      <c r="AD5" s="682"/>
      <c r="AE5" s="682"/>
      <c r="AF5" s="682"/>
      <c r="AG5" s="682"/>
    </row>
    <row r="6" spans="2:49" s="690" customFormat="1" ht="24.75" hidden="1" customHeight="1">
      <c r="B6" s="708"/>
      <c r="C6" s="1"/>
      <c r="D6" s="1"/>
      <c r="F6" s="1"/>
      <c r="G6" s="1"/>
      <c r="I6" s="1"/>
      <c r="J6" s="1"/>
      <c r="K6" s="1"/>
      <c r="L6" s="1"/>
      <c r="M6" s="1"/>
      <c r="N6" s="1"/>
      <c r="O6" s="1"/>
      <c r="P6" s="1"/>
      <c r="Q6" s="1"/>
      <c r="R6" s="1"/>
      <c r="S6" s="1"/>
      <c r="T6" s="1"/>
      <c r="V6" s="1"/>
      <c r="W6" s="1"/>
      <c r="X6" s="1"/>
      <c r="Y6" s="1"/>
      <c r="Z6" s="1"/>
      <c r="AA6" s="1"/>
      <c r="AB6" s="1"/>
      <c r="AC6" s="1"/>
      <c r="AD6" s="1"/>
      <c r="AE6" s="1"/>
      <c r="AF6" s="1"/>
      <c r="AG6" s="1"/>
      <c r="AT6" s="725"/>
      <c r="AU6" s="725"/>
      <c r="AV6" s="725"/>
      <c r="AW6" s="725"/>
    </row>
    <row r="7" spans="2:49" s="682" customFormat="1" ht="15.75" customHeight="1">
      <c r="B7" s="859" t="s">
        <v>247</v>
      </c>
      <c r="C7" s="857" t="s">
        <v>1337</v>
      </c>
      <c r="D7" s="858"/>
      <c r="E7" s="3"/>
      <c r="F7" s="3"/>
      <c r="G7" s="3"/>
      <c r="I7" s="3" t="s">
        <v>1420</v>
      </c>
      <c r="J7" s="3"/>
      <c r="K7" s="3"/>
      <c r="L7" s="3"/>
      <c r="M7" s="3"/>
      <c r="N7" s="3"/>
      <c r="O7" s="3"/>
      <c r="P7" s="3"/>
      <c r="Q7" s="3"/>
      <c r="R7" s="3"/>
      <c r="S7" s="3"/>
      <c r="T7" s="3"/>
      <c r="V7" s="3" t="s">
        <v>1421</v>
      </c>
      <c r="W7" s="3"/>
      <c r="X7" s="3"/>
      <c r="Y7" s="3"/>
      <c r="Z7" s="3"/>
      <c r="AA7" s="3"/>
      <c r="AB7" s="3"/>
      <c r="AC7" s="3"/>
      <c r="AD7" s="3"/>
      <c r="AE7" s="3"/>
      <c r="AF7" s="3"/>
      <c r="AG7" s="3"/>
    </row>
    <row r="8" spans="2:49" s="682" customFormat="1" ht="51.75" customHeight="1">
      <c r="B8" s="860"/>
      <c r="C8" s="726" t="s">
        <v>1422</v>
      </c>
      <c r="D8" s="726" t="s">
        <v>1423</v>
      </c>
      <c r="E8" s="726" t="s">
        <v>1424</v>
      </c>
      <c r="F8" s="726" t="s">
        <v>1425</v>
      </c>
      <c r="G8" s="726" t="s">
        <v>1426</v>
      </c>
      <c r="I8" s="78" t="s">
        <v>182</v>
      </c>
      <c r="J8" s="78" t="s">
        <v>183</v>
      </c>
      <c r="K8" s="78" t="s">
        <v>184</v>
      </c>
      <c r="L8" s="78" t="s">
        <v>185</v>
      </c>
      <c r="M8" s="78" t="s">
        <v>186</v>
      </c>
      <c r="N8" s="78" t="s">
        <v>187</v>
      </c>
      <c r="O8" s="727" t="s">
        <v>188</v>
      </c>
      <c r="P8" s="727" t="s">
        <v>189</v>
      </c>
      <c r="Q8" s="727" t="s">
        <v>190</v>
      </c>
      <c r="R8" s="727" t="s">
        <v>191</v>
      </c>
      <c r="S8" s="727" t="s">
        <v>192</v>
      </c>
      <c r="T8" s="727" t="s">
        <v>193</v>
      </c>
      <c r="V8" s="78" t="s">
        <v>182</v>
      </c>
      <c r="W8" s="78" t="s">
        <v>183</v>
      </c>
      <c r="X8" s="78" t="s">
        <v>184</v>
      </c>
      <c r="Y8" s="78" t="s">
        <v>185</v>
      </c>
      <c r="Z8" s="78" t="s">
        <v>186</v>
      </c>
      <c r="AA8" s="78" t="s">
        <v>187</v>
      </c>
      <c r="AB8" s="727" t="s">
        <v>188</v>
      </c>
      <c r="AC8" s="727" t="s">
        <v>189</v>
      </c>
      <c r="AD8" s="727" t="s">
        <v>190</v>
      </c>
      <c r="AE8" s="727" t="s">
        <v>191</v>
      </c>
      <c r="AF8" s="727" t="s">
        <v>192</v>
      </c>
      <c r="AG8" s="727" t="s">
        <v>193</v>
      </c>
    </row>
    <row r="9" spans="2:49" s="682" customFormat="1" ht="15.75" customHeight="1">
      <c r="B9" s="16" t="s">
        <v>266</v>
      </c>
      <c r="C9" s="16" t="s">
        <v>1290</v>
      </c>
      <c r="D9" s="16"/>
      <c r="E9" s="16"/>
      <c r="F9" s="16"/>
      <c r="G9" s="16"/>
      <c r="I9" s="16"/>
      <c r="J9" s="16"/>
      <c r="K9" s="16"/>
      <c r="L9" s="16"/>
      <c r="M9" s="16"/>
      <c r="N9" s="16"/>
      <c r="O9" s="16"/>
      <c r="P9" s="16"/>
      <c r="Q9" s="16"/>
      <c r="R9" s="16"/>
      <c r="S9" s="16"/>
      <c r="T9" s="16"/>
      <c r="V9" s="16"/>
      <c r="W9" s="16"/>
      <c r="X9" s="16"/>
      <c r="Y9" s="16"/>
      <c r="Z9" s="16"/>
      <c r="AA9" s="16"/>
      <c r="AB9" s="16"/>
      <c r="AC9" s="16"/>
      <c r="AD9" s="16"/>
      <c r="AE9" s="16"/>
      <c r="AF9" s="16"/>
      <c r="AG9" s="16"/>
    </row>
    <row r="10" spans="2:49" s="682" customFormat="1" ht="15.75" customHeight="1">
      <c r="B10" s="728" t="s">
        <v>1527</v>
      </c>
      <c r="C10" s="728"/>
      <c r="D10" s="728"/>
      <c r="E10" s="728"/>
      <c r="F10" s="728"/>
      <c r="G10" s="728"/>
      <c r="I10" s="728"/>
      <c r="J10" s="728"/>
      <c r="K10" s="728"/>
      <c r="L10" s="728"/>
      <c r="M10" s="728"/>
      <c r="N10" s="728"/>
      <c r="O10" s="728"/>
      <c r="P10" s="728"/>
      <c r="Q10" s="728"/>
      <c r="R10" s="728"/>
      <c r="S10" s="728"/>
      <c r="T10" s="728"/>
      <c r="V10" s="728"/>
      <c r="W10" s="728"/>
      <c r="X10" s="728"/>
      <c r="Y10" s="728"/>
      <c r="Z10" s="728"/>
      <c r="AA10" s="728"/>
      <c r="AB10" s="728"/>
      <c r="AC10" s="728"/>
      <c r="AD10" s="728"/>
      <c r="AE10" s="728"/>
      <c r="AF10" s="728"/>
      <c r="AG10" s="728"/>
    </row>
    <row r="11" spans="2:49">
      <c r="B11" s="691" t="s">
        <v>1528</v>
      </c>
      <c r="C11" s="697">
        <v>6558</v>
      </c>
      <c r="D11" s="697">
        <v>6533</v>
      </c>
      <c r="E11" s="729">
        <f t="shared" ref="E11:E29" si="0">IFERROR(SUM(I11:T11),0)</f>
        <v>6600</v>
      </c>
      <c r="F11" s="697"/>
      <c r="G11" s="697"/>
      <c r="I11" s="697">
        <v>550</v>
      </c>
      <c r="J11" s="697">
        <v>550</v>
      </c>
      <c r="K11" s="697">
        <v>550</v>
      </c>
      <c r="L11" s="697">
        <v>550</v>
      </c>
      <c r="M11" s="697">
        <v>550</v>
      </c>
      <c r="N11" s="697">
        <v>550</v>
      </c>
      <c r="O11" s="697">
        <v>550</v>
      </c>
      <c r="P11" s="697">
        <v>550</v>
      </c>
      <c r="Q11" s="697">
        <v>550</v>
      </c>
      <c r="R11" s="697">
        <v>550</v>
      </c>
      <c r="S11" s="697">
        <v>550</v>
      </c>
      <c r="T11" s="697">
        <v>550</v>
      </c>
      <c r="V11" s="697">
        <v>688</v>
      </c>
      <c r="W11" s="697">
        <v>597</v>
      </c>
      <c r="X11" s="697">
        <v>630</v>
      </c>
      <c r="Y11" s="697">
        <v>651</v>
      </c>
      <c r="Z11" s="697">
        <v>559</v>
      </c>
      <c r="AA11" s="697">
        <v>607</v>
      </c>
      <c r="AB11" s="699">
        <v>699</v>
      </c>
      <c r="AC11" s="699">
        <v>677</v>
      </c>
      <c r="AD11" s="699">
        <v>545</v>
      </c>
      <c r="AE11" s="699">
        <v>623</v>
      </c>
      <c r="AF11" s="699">
        <v>640</v>
      </c>
      <c r="AG11" s="697">
        <v>677</v>
      </c>
      <c r="AH11" s="690"/>
      <c r="AI11" s="690" t="str">
        <f>IF(COUNTA(C11:AG11)&lt;&gt;COUNT(C11:AG11),"Please remove any text entries, enter numeric values only","")</f>
        <v/>
      </c>
    </row>
    <row r="12" spans="2:49">
      <c r="B12" s="691" t="s">
        <v>1529</v>
      </c>
      <c r="C12" s="697">
        <v>2709</v>
      </c>
      <c r="D12" s="697">
        <v>2563</v>
      </c>
      <c r="E12" s="729">
        <f t="shared" si="0"/>
        <v>2520</v>
      </c>
      <c r="F12" s="697"/>
      <c r="G12" s="697"/>
      <c r="I12" s="697">
        <v>210</v>
      </c>
      <c r="J12" s="697">
        <v>210</v>
      </c>
      <c r="K12" s="697">
        <v>210</v>
      </c>
      <c r="L12" s="697">
        <v>210</v>
      </c>
      <c r="M12" s="697">
        <v>210</v>
      </c>
      <c r="N12" s="697">
        <v>210</v>
      </c>
      <c r="O12" s="697">
        <v>210</v>
      </c>
      <c r="P12" s="697">
        <v>210</v>
      </c>
      <c r="Q12" s="697">
        <v>210</v>
      </c>
      <c r="R12" s="697">
        <v>210</v>
      </c>
      <c r="S12" s="697">
        <v>210</v>
      </c>
      <c r="T12" s="697">
        <v>210</v>
      </c>
      <c r="V12" s="697">
        <v>360</v>
      </c>
      <c r="W12" s="697">
        <v>244</v>
      </c>
      <c r="X12" s="697">
        <v>227</v>
      </c>
      <c r="Y12" s="697">
        <v>305</v>
      </c>
      <c r="Z12" s="697">
        <v>264</v>
      </c>
      <c r="AA12" s="697">
        <v>260</v>
      </c>
      <c r="AB12" s="699">
        <v>275</v>
      </c>
      <c r="AC12" s="699">
        <v>248</v>
      </c>
      <c r="AD12" s="699">
        <v>211</v>
      </c>
      <c r="AE12" s="699">
        <v>269</v>
      </c>
      <c r="AF12" s="699">
        <v>240</v>
      </c>
      <c r="AG12" s="697">
        <v>245</v>
      </c>
      <c r="AH12" s="690"/>
      <c r="AI12" s="690" t="str">
        <f t="shared" ref="AI12:AI38" si="1">IF(COUNTA(C12:AG12)&lt;&gt;COUNT(C12:AG12),"Please remove any text entries, enter numeric values only","")</f>
        <v/>
      </c>
    </row>
    <row r="13" spans="2:49">
      <c r="B13" s="691" t="s">
        <v>1530</v>
      </c>
      <c r="C13" s="697">
        <v>782</v>
      </c>
      <c r="D13" s="697">
        <v>607</v>
      </c>
      <c r="E13" s="729">
        <f t="shared" si="0"/>
        <v>600</v>
      </c>
      <c r="F13" s="697"/>
      <c r="G13" s="697"/>
      <c r="I13" s="697">
        <v>50</v>
      </c>
      <c r="J13" s="697">
        <v>50</v>
      </c>
      <c r="K13" s="697">
        <v>50</v>
      </c>
      <c r="L13" s="697">
        <v>50</v>
      </c>
      <c r="M13" s="697">
        <v>50</v>
      </c>
      <c r="N13" s="697">
        <v>50</v>
      </c>
      <c r="O13" s="697">
        <v>50</v>
      </c>
      <c r="P13" s="697">
        <v>50</v>
      </c>
      <c r="Q13" s="697">
        <v>50</v>
      </c>
      <c r="R13" s="697">
        <v>50</v>
      </c>
      <c r="S13" s="697">
        <v>50</v>
      </c>
      <c r="T13" s="697">
        <v>50</v>
      </c>
      <c r="V13" s="697">
        <v>119</v>
      </c>
      <c r="W13" s="697">
        <v>57</v>
      </c>
      <c r="X13" s="697">
        <v>51</v>
      </c>
      <c r="Y13" s="697">
        <v>64</v>
      </c>
      <c r="Z13" s="697">
        <v>41</v>
      </c>
      <c r="AA13" s="697">
        <v>54</v>
      </c>
      <c r="AB13" s="699">
        <v>58</v>
      </c>
      <c r="AC13" s="699">
        <v>73</v>
      </c>
      <c r="AD13" s="699">
        <v>75</v>
      </c>
      <c r="AE13" s="699">
        <v>68</v>
      </c>
      <c r="AF13" s="699">
        <v>76</v>
      </c>
      <c r="AG13" s="697">
        <v>85</v>
      </c>
      <c r="AH13" s="690"/>
      <c r="AI13" s="690" t="str">
        <f t="shared" si="1"/>
        <v/>
      </c>
    </row>
    <row r="14" spans="2:49">
      <c r="B14" s="691" t="s">
        <v>1531</v>
      </c>
      <c r="C14" s="697">
        <v>1047</v>
      </c>
      <c r="D14" s="697">
        <v>965</v>
      </c>
      <c r="E14" s="729">
        <f t="shared" si="0"/>
        <v>948</v>
      </c>
      <c r="F14" s="697"/>
      <c r="G14" s="697"/>
      <c r="I14" s="697">
        <v>79</v>
      </c>
      <c r="J14" s="697">
        <v>79</v>
      </c>
      <c r="K14" s="697">
        <v>79</v>
      </c>
      <c r="L14" s="697">
        <v>79</v>
      </c>
      <c r="M14" s="697">
        <v>79</v>
      </c>
      <c r="N14" s="697">
        <v>79</v>
      </c>
      <c r="O14" s="697">
        <v>79</v>
      </c>
      <c r="P14" s="697">
        <v>79</v>
      </c>
      <c r="Q14" s="697">
        <v>79</v>
      </c>
      <c r="R14" s="697">
        <v>79</v>
      </c>
      <c r="S14" s="697">
        <v>79</v>
      </c>
      <c r="T14" s="697">
        <v>79</v>
      </c>
      <c r="V14" s="697">
        <v>80</v>
      </c>
      <c r="W14" s="697">
        <v>102</v>
      </c>
      <c r="X14" s="697">
        <v>81</v>
      </c>
      <c r="Y14" s="697">
        <v>99</v>
      </c>
      <c r="Z14" s="697">
        <v>76</v>
      </c>
      <c r="AA14" s="697">
        <v>108</v>
      </c>
      <c r="AB14" s="699">
        <v>143</v>
      </c>
      <c r="AC14" s="699">
        <v>110</v>
      </c>
      <c r="AD14" s="699">
        <v>65</v>
      </c>
      <c r="AE14" s="699">
        <v>117</v>
      </c>
      <c r="AF14" s="699">
        <v>99</v>
      </c>
      <c r="AG14" s="697">
        <v>125</v>
      </c>
      <c r="AH14" s="690"/>
      <c r="AI14" s="690" t="str">
        <f t="shared" si="1"/>
        <v/>
      </c>
    </row>
    <row r="15" spans="2:49">
      <c r="B15" s="691" t="s">
        <v>1532</v>
      </c>
      <c r="C15" s="697">
        <v>405</v>
      </c>
      <c r="D15" s="697">
        <v>562</v>
      </c>
      <c r="E15" s="729">
        <f t="shared" si="0"/>
        <v>552</v>
      </c>
      <c r="F15" s="697"/>
      <c r="G15" s="697"/>
      <c r="I15" s="697">
        <v>46</v>
      </c>
      <c r="J15" s="697">
        <v>46</v>
      </c>
      <c r="K15" s="697">
        <v>46</v>
      </c>
      <c r="L15" s="697">
        <v>46</v>
      </c>
      <c r="M15" s="697">
        <v>46</v>
      </c>
      <c r="N15" s="697">
        <v>46</v>
      </c>
      <c r="O15" s="697">
        <v>46</v>
      </c>
      <c r="P15" s="697">
        <v>46</v>
      </c>
      <c r="Q15" s="697">
        <v>46</v>
      </c>
      <c r="R15" s="697">
        <v>46</v>
      </c>
      <c r="S15" s="697">
        <v>46</v>
      </c>
      <c r="T15" s="697">
        <v>46</v>
      </c>
      <c r="V15" s="697">
        <v>111</v>
      </c>
      <c r="W15" s="697">
        <v>140</v>
      </c>
      <c r="X15" s="697">
        <v>65</v>
      </c>
      <c r="Y15" s="697">
        <v>83</v>
      </c>
      <c r="Z15" s="697">
        <v>51</v>
      </c>
      <c r="AA15" s="697">
        <v>69</v>
      </c>
      <c r="AB15" s="699">
        <v>86</v>
      </c>
      <c r="AC15" s="699">
        <v>57</v>
      </c>
      <c r="AD15" s="699">
        <v>43</v>
      </c>
      <c r="AE15" s="699">
        <v>30</v>
      </c>
      <c r="AF15" s="699">
        <v>78</v>
      </c>
      <c r="AG15" s="697">
        <v>75</v>
      </c>
      <c r="AH15" s="690"/>
      <c r="AI15" s="690" t="str">
        <f t="shared" si="1"/>
        <v/>
      </c>
    </row>
    <row r="16" spans="2:49">
      <c r="B16" s="691" t="s">
        <v>1533</v>
      </c>
      <c r="C16" s="697">
        <v>271</v>
      </c>
      <c r="D16" s="697">
        <v>370</v>
      </c>
      <c r="E16" s="729">
        <f t="shared" si="0"/>
        <v>360</v>
      </c>
      <c r="F16" s="697"/>
      <c r="G16" s="697"/>
      <c r="I16" s="697">
        <v>30</v>
      </c>
      <c r="J16" s="697">
        <v>30</v>
      </c>
      <c r="K16" s="697">
        <v>30</v>
      </c>
      <c r="L16" s="697">
        <v>30</v>
      </c>
      <c r="M16" s="697">
        <v>30</v>
      </c>
      <c r="N16" s="697">
        <v>30</v>
      </c>
      <c r="O16" s="697">
        <v>30</v>
      </c>
      <c r="P16" s="697">
        <v>30</v>
      </c>
      <c r="Q16" s="697">
        <v>30</v>
      </c>
      <c r="R16" s="697">
        <v>30</v>
      </c>
      <c r="S16" s="697">
        <v>30</v>
      </c>
      <c r="T16" s="697">
        <v>30</v>
      </c>
      <c r="V16" s="697">
        <v>62</v>
      </c>
      <c r="W16" s="697">
        <v>59</v>
      </c>
      <c r="X16" s="697">
        <v>41</v>
      </c>
      <c r="Y16" s="697">
        <v>44</v>
      </c>
      <c r="Z16" s="697">
        <v>42</v>
      </c>
      <c r="AA16" s="697">
        <v>52</v>
      </c>
      <c r="AB16" s="699">
        <v>60</v>
      </c>
      <c r="AC16" s="699">
        <v>62</v>
      </c>
      <c r="AD16" s="699">
        <v>30</v>
      </c>
      <c r="AE16" s="699">
        <v>50</v>
      </c>
      <c r="AF16" s="699">
        <v>55</v>
      </c>
      <c r="AG16" s="697">
        <v>62</v>
      </c>
      <c r="AH16" s="690"/>
      <c r="AI16" s="690" t="str">
        <f t="shared" si="1"/>
        <v/>
      </c>
    </row>
    <row r="17" spans="2:35" ht="26.5">
      <c r="B17" s="691" t="s">
        <v>1534</v>
      </c>
      <c r="C17" s="697">
        <v>1812</v>
      </c>
      <c r="D17" s="697">
        <v>2310</v>
      </c>
      <c r="E17" s="729">
        <f t="shared" si="0"/>
        <v>2352</v>
      </c>
      <c r="F17" s="697"/>
      <c r="G17" s="697"/>
      <c r="I17" s="697">
        <v>196</v>
      </c>
      <c r="J17" s="697">
        <v>196</v>
      </c>
      <c r="K17" s="697">
        <v>196</v>
      </c>
      <c r="L17" s="697">
        <v>196</v>
      </c>
      <c r="M17" s="697">
        <v>196</v>
      </c>
      <c r="N17" s="697">
        <v>196</v>
      </c>
      <c r="O17" s="697">
        <v>196</v>
      </c>
      <c r="P17" s="697">
        <v>196</v>
      </c>
      <c r="Q17" s="697">
        <v>196</v>
      </c>
      <c r="R17" s="697">
        <v>196</v>
      </c>
      <c r="S17" s="697">
        <v>196</v>
      </c>
      <c r="T17" s="697">
        <v>196</v>
      </c>
      <c r="V17" s="697">
        <v>206</v>
      </c>
      <c r="W17" s="697">
        <v>198</v>
      </c>
      <c r="X17" s="697">
        <v>191</v>
      </c>
      <c r="Y17" s="697">
        <v>209</v>
      </c>
      <c r="Z17" s="697">
        <v>236</v>
      </c>
      <c r="AA17" s="697">
        <v>225</v>
      </c>
      <c r="AB17" s="699">
        <v>240</v>
      </c>
      <c r="AC17" s="699">
        <v>211</v>
      </c>
      <c r="AD17" s="699">
        <v>200</v>
      </c>
      <c r="AE17" s="699">
        <v>225</v>
      </c>
      <c r="AF17" s="699">
        <v>252</v>
      </c>
      <c r="AG17" s="697">
        <v>271</v>
      </c>
      <c r="AH17" s="690"/>
      <c r="AI17" s="690" t="str">
        <f t="shared" si="1"/>
        <v/>
      </c>
    </row>
    <row r="18" spans="2:35" ht="26.5">
      <c r="B18" s="691" t="s">
        <v>1535</v>
      </c>
      <c r="C18" s="697" t="s">
        <v>250</v>
      </c>
      <c r="D18" s="697">
        <v>431</v>
      </c>
      <c r="E18" s="729">
        <f t="shared" si="0"/>
        <v>420</v>
      </c>
      <c r="F18" s="697"/>
      <c r="G18" s="697"/>
      <c r="I18" s="697">
        <v>35</v>
      </c>
      <c r="J18" s="697">
        <v>35</v>
      </c>
      <c r="K18" s="697">
        <v>35</v>
      </c>
      <c r="L18" s="697">
        <v>35</v>
      </c>
      <c r="M18" s="697">
        <v>35</v>
      </c>
      <c r="N18" s="697">
        <v>35</v>
      </c>
      <c r="O18" s="697">
        <v>35</v>
      </c>
      <c r="P18" s="697">
        <v>35</v>
      </c>
      <c r="Q18" s="697">
        <v>35</v>
      </c>
      <c r="R18" s="697">
        <v>35</v>
      </c>
      <c r="S18" s="697">
        <v>35</v>
      </c>
      <c r="T18" s="697">
        <v>35</v>
      </c>
      <c r="V18" s="697">
        <v>35</v>
      </c>
      <c r="W18" s="697">
        <v>42</v>
      </c>
      <c r="X18" s="697">
        <v>29</v>
      </c>
      <c r="Y18" s="697">
        <v>23</v>
      </c>
      <c r="Z18" s="697">
        <v>23</v>
      </c>
      <c r="AA18" s="697">
        <v>31</v>
      </c>
      <c r="AB18" s="699">
        <v>40</v>
      </c>
      <c r="AC18" s="699">
        <v>32</v>
      </c>
      <c r="AD18" s="699">
        <v>26</v>
      </c>
      <c r="AE18" s="699">
        <v>32</v>
      </c>
      <c r="AF18" s="699">
        <v>35</v>
      </c>
      <c r="AG18" s="697">
        <v>47</v>
      </c>
      <c r="AH18" s="690"/>
      <c r="AI18" s="690" t="str">
        <f t="shared" si="1"/>
        <v>Please remove any text entries, enter numeric values only</v>
      </c>
    </row>
    <row r="19" spans="2:35" ht="26.5">
      <c r="B19" s="691" t="s">
        <v>1536</v>
      </c>
      <c r="C19" s="697">
        <v>3705</v>
      </c>
      <c r="D19" s="697">
        <v>4647</v>
      </c>
      <c r="E19" s="729">
        <f t="shared" si="0"/>
        <v>4908</v>
      </c>
      <c r="F19" s="697"/>
      <c r="G19" s="697"/>
      <c r="I19" s="697">
        <v>409</v>
      </c>
      <c r="J19" s="697">
        <v>409</v>
      </c>
      <c r="K19" s="697">
        <v>409</v>
      </c>
      <c r="L19" s="697">
        <v>409</v>
      </c>
      <c r="M19" s="697">
        <v>409</v>
      </c>
      <c r="N19" s="697">
        <v>409</v>
      </c>
      <c r="O19" s="697">
        <v>409</v>
      </c>
      <c r="P19" s="697">
        <v>409</v>
      </c>
      <c r="Q19" s="697">
        <v>409</v>
      </c>
      <c r="R19" s="697">
        <v>409</v>
      </c>
      <c r="S19" s="697">
        <v>409</v>
      </c>
      <c r="T19" s="697">
        <v>409</v>
      </c>
      <c r="V19" s="697">
        <v>408</v>
      </c>
      <c r="W19" s="697">
        <v>374</v>
      </c>
      <c r="X19" s="697">
        <v>405</v>
      </c>
      <c r="Y19" s="697">
        <v>495</v>
      </c>
      <c r="Z19" s="697">
        <v>358</v>
      </c>
      <c r="AA19" s="697">
        <v>542</v>
      </c>
      <c r="AB19" s="699">
        <v>500</v>
      </c>
      <c r="AC19" s="699">
        <v>432</v>
      </c>
      <c r="AD19" s="699">
        <v>403</v>
      </c>
      <c r="AE19" s="699">
        <v>441</v>
      </c>
      <c r="AF19" s="699">
        <v>324</v>
      </c>
      <c r="AG19" s="697">
        <v>499</v>
      </c>
      <c r="AH19" s="690"/>
      <c r="AI19" s="690" t="str">
        <f t="shared" si="1"/>
        <v/>
      </c>
    </row>
    <row r="20" spans="2:35">
      <c r="B20" s="691" t="s">
        <v>1537</v>
      </c>
      <c r="C20" s="697">
        <v>1491</v>
      </c>
      <c r="D20" s="697">
        <v>17506</v>
      </c>
      <c r="E20" s="729">
        <f t="shared" si="0"/>
        <v>17388</v>
      </c>
      <c r="F20" s="697"/>
      <c r="G20" s="697"/>
      <c r="I20" s="697">
        <v>1449</v>
      </c>
      <c r="J20" s="697">
        <v>1449</v>
      </c>
      <c r="K20" s="697">
        <v>1449</v>
      </c>
      <c r="L20" s="697">
        <v>1449</v>
      </c>
      <c r="M20" s="697">
        <v>1449</v>
      </c>
      <c r="N20" s="697">
        <v>1449</v>
      </c>
      <c r="O20" s="697">
        <v>1449</v>
      </c>
      <c r="P20" s="697">
        <v>1449</v>
      </c>
      <c r="Q20" s="697">
        <v>1449</v>
      </c>
      <c r="R20" s="697">
        <v>1449</v>
      </c>
      <c r="S20" s="697">
        <v>1449</v>
      </c>
      <c r="T20" s="697">
        <v>1449</v>
      </c>
      <c r="V20" s="697">
        <v>1424</v>
      </c>
      <c r="W20" s="697">
        <v>1425</v>
      </c>
      <c r="X20" s="697">
        <v>1424</v>
      </c>
      <c r="Y20" s="697">
        <v>1414</v>
      </c>
      <c r="Z20" s="697">
        <v>1420</v>
      </c>
      <c r="AA20" s="697">
        <v>1425</v>
      </c>
      <c r="AB20" s="699">
        <v>1412</v>
      </c>
      <c r="AC20" s="699">
        <v>1418</v>
      </c>
      <c r="AD20" s="787">
        <v>1406</v>
      </c>
      <c r="AE20" s="699">
        <v>1408</v>
      </c>
      <c r="AF20" s="699">
        <v>1404</v>
      </c>
      <c r="AG20" s="697">
        <v>1402</v>
      </c>
      <c r="AH20" s="690"/>
      <c r="AI20" s="690" t="str">
        <f t="shared" si="1"/>
        <v/>
      </c>
    </row>
    <row r="21" spans="2:35" ht="26.5">
      <c r="B21" s="691" t="s">
        <v>1538</v>
      </c>
      <c r="C21" s="697">
        <v>1524</v>
      </c>
      <c r="D21" s="697">
        <v>1385</v>
      </c>
      <c r="E21" s="729">
        <f t="shared" si="0"/>
        <v>1800</v>
      </c>
      <c r="F21" s="697"/>
      <c r="G21" s="697"/>
      <c r="I21" s="697">
        <v>150</v>
      </c>
      <c r="J21" s="697">
        <v>150</v>
      </c>
      <c r="K21" s="697">
        <v>150</v>
      </c>
      <c r="L21" s="697">
        <v>150</v>
      </c>
      <c r="M21" s="697">
        <v>150</v>
      </c>
      <c r="N21" s="697">
        <v>150</v>
      </c>
      <c r="O21" s="697">
        <v>150</v>
      </c>
      <c r="P21" s="697">
        <v>150</v>
      </c>
      <c r="Q21" s="697">
        <v>150</v>
      </c>
      <c r="R21" s="697">
        <v>150</v>
      </c>
      <c r="S21" s="697">
        <v>150</v>
      </c>
      <c r="T21" s="697">
        <v>150</v>
      </c>
      <c r="V21" s="697">
        <v>153</v>
      </c>
      <c r="W21" s="697">
        <v>141</v>
      </c>
      <c r="X21" s="697">
        <v>158</v>
      </c>
      <c r="Y21" s="697">
        <v>194</v>
      </c>
      <c r="Z21" s="697">
        <v>164</v>
      </c>
      <c r="AA21" s="697">
        <v>157</v>
      </c>
      <c r="AB21" s="699">
        <v>213</v>
      </c>
      <c r="AC21" s="699">
        <v>161</v>
      </c>
      <c r="AD21" s="699">
        <v>151</v>
      </c>
      <c r="AE21" s="699">
        <v>171</v>
      </c>
      <c r="AF21" s="699">
        <v>171</v>
      </c>
      <c r="AG21" s="697">
        <v>117</v>
      </c>
      <c r="AH21" s="690"/>
      <c r="AI21" s="690" t="str">
        <f t="shared" si="1"/>
        <v/>
      </c>
    </row>
    <row r="22" spans="2:35" ht="26.5">
      <c r="B22" s="691" t="s">
        <v>1539</v>
      </c>
      <c r="C22" s="697">
        <v>269</v>
      </c>
      <c r="D22" s="697">
        <v>3089</v>
      </c>
      <c r="E22" s="729">
        <f t="shared" si="0"/>
        <v>3060</v>
      </c>
      <c r="F22" s="697"/>
      <c r="G22" s="697"/>
      <c r="I22" s="697">
        <v>255</v>
      </c>
      <c r="J22" s="697">
        <v>255</v>
      </c>
      <c r="K22" s="697">
        <v>255</v>
      </c>
      <c r="L22" s="697">
        <v>255</v>
      </c>
      <c r="M22" s="697">
        <v>255</v>
      </c>
      <c r="N22" s="697">
        <v>255</v>
      </c>
      <c r="O22" s="697">
        <v>255</v>
      </c>
      <c r="P22" s="697">
        <v>255</v>
      </c>
      <c r="Q22" s="697">
        <v>255</v>
      </c>
      <c r="R22" s="697">
        <v>255</v>
      </c>
      <c r="S22" s="697">
        <v>255</v>
      </c>
      <c r="T22" s="697">
        <v>255</v>
      </c>
      <c r="V22" s="697">
        <v>223</v>
      </c>
      <c r="W22" s="697">
        <v>226</v>
      </c>
      <c r="X22" s="697">
        <v>221</v>
      </c>
      <c r="Y22" s="697">
        <v>220</v>
      </c>
      <c r="Z22" s="697">
        <v>207</v>
      </c>
      <c r="AA22" s="697">
        <v>221</v>
      </c>
      <c r="AB22" s="699">
        <v>224</v>
      </c>
      <c r="AC22" s="699">
        <v>233</v>
      </c>
      <c r="AD22" s="699">
        <v>231</v>
      </c>
      <c r="AE22" s="699">
        <v>230</v>
      </c>
      <c r="AF22" s="699">
        <v>231</v>
      </c>
      <c r="AG22" s="697">
        <v>224</v>
      </c>
      <c r="AH22" s="690"/>
      <c r="AI22" s="690" t="str">
        <f t="shared" si="1"/>
        <v/>
      </c>
    </row>
    <row r="23" spans="2:35" ht="26.5">
      <c r="B23" s="691" t="s">
        <v>1540</v>
      </c>
      <c r="C23" s="697">
        <v>42</v>
      </c>
      <c r="D23" s="697">
        <v>36</v>
      </c>
      <c r="E23" s="729">
        <f t="shared" si="0"/>
        <v>48</v>
      </c>
      <c r="F23" s="697"/>
      <c r="G23" s="697"/>
      <c r="I23" s="697">
        <v>4</v>
      </c>
      <c r="J23" s="697">
        <v>4</v>
      </c>
      <c r="K23" s="697">
        <v>4</v>
      </c>
      <c r="L23" s="697">
        <v>4</v>
      </c>
      <c r="M23" s="697">
        <v>4</v>
      </c>
      <c r="N23" s="697">
        <v>4</v>
      </c>
      <c r="O23" s="697">
        <v>4</v>
      </c>
      <c r="P23" s="697">
        <v>4</v>
      </c>
      <c r="Q23" s="697">
        <v>4</v>
      </c>
      <c r="R23" s="697">
        <v>4</v>
      </c>
      <c r="S23" s="697">
        <v>4</v>
      </c>
      <c r="T23" s="697">
        <v>4</v>
      </c>
      <c r="V23" s="697">
        <v>0</v>
      </c>
      <c r="W23" s="697">
        <v>0</v>
      </c>
      <c r="X23" s="763" t="s">
        <v>1623</v>
      </c>
      <c r="Y23" s="697" t="s">
        <v>1623</v>
      </c>
      <c r="Z23" s="697" t="s">
        <v>1623</v>
      </c>
      <c r="AA23" s="697" t="s">
        <v>1623</v>
      </c>
      <c r="AB23" s="697" t="s">
        <v>1623</v>
      </c>
      <c r="AC23" s="697" t="s">
        <v>1623</v>
      </c>
      <c r="AD23" s="697" t="s">
        <v>1623</v>
      </c>
      <c r="AE23" s="697" t="s">
        <v>1623</v>
      </c>
      <c r="AF23" s="697" t="s">
        <v>1623</v>
      </c>
      <c r="AG23" s="697" t="s">
        <v>1623</v>
      </c>
      <c r="AH23" s="690"/>
      <c r="AI23" s="690" t="str">
        <f t="shared" si="1"/>
        <v>Please remove any text entries, enter numeric values only</v>
      </c>
    </row>
    <row r="24" spans="2:35" ht="26.5">
      <c r="B24" s="691" t="s">
        <v>1541</v>
      </c>
      <c r="C24" s="697">
        <v>70</v>
      </c>
      <c r="D24" s="697">
        <v>671</v>
      </c>
      <c r="E24" s="729">
        <f t="shared" si="0"/>
        <v>648</v>
      </c>
      <c r="F24" s="697"/>
      <c r="G24" s="697"/>
      <c r="I24" s="697">
        <v>54</v>
      </c>
      <c r="J24" s="697">
        <v>54</v>
      </c>
      <c r="K24" s="697">
        <v>54</v>
      </c>
      <c r="L24" s="697">
        <v>54</v>
      </c>
      <c r="M24" s="697">
        <v>54</v>
      </c>
      <c r="N24" s="697">
        <v>54</v>
      </c>
      <c r="O24" s="697">
        <v>54</v>
      </c>
      <c r="P24" s="697">
        <v>54</v>
      </c>
      <c r="Q24" s="697">
        <v>54</v>
      </c>
      <c r="R24" s="697">
        <v>54</v>
      </c>
      <c r="S24" s="697">
        <v>54</v>
      </c>
      <c r="T24" s="697">
        <v>54</v>
      </c>
      <c r="V24" s="697">
        <v>34</v>
      </c>
      <c r="W24" s="697">
        <v>33</v>
      </c>
      <c r="X24" s="697">
        <v>34</v>
      </c>
      <c r="Y24" s="697">
        <v>39</v>
      </c>
      <c r="Z24" s="697">
        <v>38</v>
      </c>
      <c r="AA24" s="697">
        <v>48</v>
      </c>
      <c r="AB24" s="699">
        <v>52</v>
      </c>
      <c r="AC24" s="699">
        <v>56</v>
      </c>
      <c r="AD24" s="699">
        <v>59</v>
      </c>
      <c r="AE24" s="699">
        <v>62</v>
      </c>
      <c r="AF24" s="699">
        <v>64</v>
      </c>
      <c r="AG24" s="697">
        <v>63</v>
      </c>
      <c r="AH24" s="690"/>
      <c r="AI24" s="690" t="str">
        <f t="shared" si="1"/>
        <v/>
      </c>
    </row>
    <row r="25" spans="2:35">
      <c r="B25" s="691" t="s">
        <v>1542</v>
      </c>
      <c r="C25" s="697">
        <v>157</v>
      </c>
      <c r="D25" s="697">
        <v>132</v>
      </c>
      <c r="E25" s="729">
        <f t="shared" si="0"/>
        <v>132</v>
      </c>
      <c r="F25" s="697"/>
      <c r="G25" s="697"/>
      <c r="I25" s="697">
        <v>11</v>
      </c>
      <c r="J25" s="697">
        <v>11</v>
      </c>
      <c r="K25" s="697">
        <v>11</v>
      </c>
      <c r="L25" s="697">
        <v>11</v>
      </c>
      <c r="M25" s="697">
        <v>11</v>
      </c>
      <c r="N25" s="697">
        <v>11</v>
      </c>
      <c r="O25" s="697">
        <v>11</v>
      </c>
      <c r="P25" s="697">
        <v>11</v>
      </c>
      <c r="Q25" s="697">
        <v>11</v>
      </c>
      <c r="R25" s="697">
        <v>11</v>
      </c>
      <c r="S25" s="697">
        <v>11</v>
      </c>
      <c r="T25" s="697">
        <v>11</v>
      </c>
      <c r="V25" s="697">
        <v>14</v>
      </c>
      <c r="W25" s="697">
        <v>11</v>
      </c>
      <c r="X25" s="697">
        <v>8</v>
      </c>
      <c r="Y25" s="697">
        <v>12</v>
      </c>
      <c r="Z25" s="697">
        <v>12</v>
      </c>
      <c r="AA25" s="697">
        <v>8</v>
      </c>
      <c r="AB25" s="699">
        <v>13</v>
      </c>
      <c r="AC25" s="699">
        <v>18</v>
      </c>
      <c r="AD25" s="699">
        <v>10</v>
      </c>
      <c r="AE25" s="699">
        <v>17</v>
      </c>
      <c r="AF25" s="699">
        <v>13</v>
      </c>
      <c r="AG25" s="697">
        <v>15</v>
      </c>
      <c r="AH25" s="690"/>
      <c r="AI25" s="690" t="str">
        <f t="shared" si="1"/>
        <v/>
      </c>
    </row>
    <row r="26" spans="2:35">
      <c r="B26" s="691" t="s">
        <v>1543</v>
      </c>
      <c r="C26" s="697">
        <v>157</v>
      </c>
      <c r="D26" s="697">
        <v>131</v>
      </c>
      <c r="E26" s="729">
        <f t="shared" si="0"/>
        <v>132</v>
      </c>
      <c r="F26" s="697"/>
      <c r="G26" s="697"/>
      <c r="I26" s="697">
        <v>11</v>
      </c>
      <c r="J26" s="697">
        <v>11</v>
      </c>
      <c r="K26" s="697">
        <v>11</v>
      </c>
      <c r="L26" s="697">
        <v>11</v>
      </c>
      <c r="M26" s="697">
        <v>11</v>
      </c>
      <c r="N26" s="697">
        <v>11</v>
      </c>
      <c r="O26" s="697">
        <v>11</v>
      </c>
      <c r="P26" s="697">
        <v>11</v>
      </c>
      <c r="Q26" s="697">
        <v>11</v>
      </c>
      <c r="R26" s="697">
        <v>11</v>
      </c>
      <c r="S26" s="697">
        <v>11</v>
      </c>
      <c r="T26" s="697">
        <v>11</v>
      </c>
      <c r="V26" s="697">
        <v>10</v>
      </c>
      <c r="W26" s="697">
        <v>8</v>
      </c>
      <c r="X26" s="697">
        <v>8</v>
      </c>
      <c r="Y26" s="697">
        <v>12</v>
      </c>
      <c r="Z26" s="697">
        <v>12</v>
      </c>
      <c r="AA26" s="697">
        <v>8</v>
      </c>
      <c r="AB26" s="699">
        <v>13</v>
      </c>
      <c r="AC26" s="699">
        <v>18</v>
      </c>
      <c r="AD26" s="699">
        <v>10</v>
      </c>
      <c r="AE26" s="699">
        <v>14</v>
      </c>
      <c r="AF26" s="699">
        <v>8</v>
      </c>
      <c r="AG26" s="697">
        <v>11</v>
      </c>
      <c r="AH26" s="690"/>
      <c r="AI26" s="690" t="str">
        <f t="shared" si="1"/>
        <v/>
      </c>
    </row>
    <row r="27" spans="2:35">
      <c r="B27" s="691" t="s">
        <v>1544</v>
      </c>
      <c r="C27" s="697">
        <v>1829</v>
      </c>
      <c r="D27" s="697">
        <v>1235</v>
      </c>
      <c r="E27" s="729">
        <f t="shared" si="0"/>
        <v>1176</v>
      </c>
      <c r="F27" s="697"/>
      <c r="G27" s="697"/>
      <c r="I27" s="697">
        <v>98</v>
      </c>
      <c r="J27" s="697">
        <v>98</v>
      </c>
      <c r="K27" s="697">
        <v>98</v>
      </c>
      <c r="L27" s="697">
        <v>98</v>
      </c>
      <c r="M27" s="697">
        <v>98</v>
      </c>
      <c r="N27" s="697">
        <v>98</v>
      </c>
      <c r="O27" s="697">
        <v>98</v>
      </c>
      <c r="P27" s="697">
        <v>98</v>
      </c>
      <c r="Q27" s="697">
        <v>98</v>
      </c>
      <c r="R27" s="697">
        <v>98</v>
      </c>
      <c r="S27" s="697">
        <v>98</v>
      </c>
      <c r="T27" s="697">
        <v>98</v>
      </c>
      <c r="V27" s="697">
        <v>62</v>
      </c>
      <c r="W27" s="697">
        <v>58</v>
      </c>
      <c r="X27" s="697">
        <v>28</v>
      </c>
      <c r="Y27" s="697">
        <v>112</v>
      </c>
      <c r="Z27" s="697">
        <v>61</v>
      </c>
      <c r="AA27" s="697">
        <v>40</v>
      </c>
      <c r="AB27" s="699">
        <v>192</v>
      </c>
      <c r="AC27" s="699">
        <v>124</v>
      </c>
      <c r="AD27" s="699">
        <v>117</v>
      </c>
      <c r="AE27" s="699">
        <v>162</v>
      </c>
      <c r="AF27" s="699">
        <v>119</v>
      </c>
      <c r="AG27" s="697">
        <v>87</v>
      </c>
      <c r="AH27" s="690"/>
      <c r="AI27" s="690" t="str">
        <f t="shared" si="1"/>
        <v/>
      </c>
    </row>
    <row r="28" spans="2:35" ht="26.5">
      <c r="B28" s="691" t="s">
        <v>1545</v>
      </c>
      <c r="C28" s="697">
        <v>1262</v>
      </c>
      <c r="D28" s="697">
        <v>927</v>
      </c>
      <c r="E28" s="729">
        <f t="shared" si="0"/>
        <v>804</v>
      </c>
      <c r="F28" s="697"/>
      <c r="G28" s="697"/>
      <c r="I28" s="697">
        <v>67</v>
      </c>
      <c r="J28" s="697">
        <v>67</v>
      </c>
      <c r="K28" s="697">
        <v>67</v>
      </c>
      <c r="L28" s="697">
        <v>67</v>
      </c>
      <c r="M28" s="697">
        <v>67</v>
      </c>
      <c r="N28" s="697">
        <v>67</v>
      </c>
      <c r="O28" s="697">
        <v>67</v>
      </c>
      <c r="P28" s="697">
        <v>67</v>
      </c>
      <c r="Q28" s="697">
        <v>67</v>
      </c>
      <c r="R28" s="697">
        <v>67</v>
      </c>
      <c r="S28" s="697">
        <v>67</v>
      </c>
      <c r="T28" s="697">
        <v>67</v>
      </c>
      <c r="V28" s="697">
        <v>36</v>
      </c>
      <c r="W28" s="697">
        <v>44</v>
      </c>
      <c r="X28" s="697">
        <v>28</v>
      </c>
      <c r="Y28" s="697">
        <v>48</v>
      </c>
      <c r="Z28" s="697">
        <v>39</v>
      </c>
      <c r="AA28" s="697">
        <v>29</v>
      </c>
      <c r="AB28" s="699">
        <v>65</v>
      </c>
      <c r="AC28" s="699">
        <v>52</v>
      </c>
      <c r="AD28" s="699">
        <v>24</v>
      </c>
      <c r="AE28" s="699">
        <v>43</v>
      </c>
      <c r="AF28" s="699">
        <v>65</v>
      </c>
      <c r="AG28" s="697">
        <v>32</v>
      </c>
      <c r="AH28" s="690"/>
      <c r="AI28" s="690" t="str">
        <f t="shared" si="1"/>
        <v/>
      </c>
    </row>
    <row r="29" spans="2:35" ht="26.5">
      <c r="B29" s="691" t="s">
        <v>1546</v>
      </c>
      <c r="C29" s="697">
        <v>348</v>
      </c>
      <c r="D29" s="697">
        <v>261</v>
      </c>
      <c r="E29" s="729">
        <f t="shared" si="0"/>
        <v>348</v>
      </c>
      <c r="F29" s="697"/>
      <c r="G29" s="697"/>
      <c r="I29" s="697">
        <v>29</v>
      </c>
      <c r="J29" s="697">
        <v>29</v>
      </c>
      <c r="K29" s="697">
        <v>29</v>
      </c>
      <c r="L29" s="697">
        <v>29</v>
      </c>
      <c r="M29" s="697">
        <v>29</v>
      </c>
      <c r="N29" s="697">
        <v>29</v>
      </c>
      <c r="O29" s="697">
        <v>29</v>
      </c>
      <c r="P29" s="697">
        <v>29</v>
      </c>
      <c r="Q29" s="697">
        <v>29</v>
      </c>
      <c r="R29" s="697">
        <v>29</v>
      </c>
      <c r="S29" s="697">
        <v>29</v>
      </c>
      <c r="T29" s="697">
        <v>29</v>
      </c>
      <c r="V29" s="697"/>
      <c r="W29" s="697"/>
      <c r="X29" s="697"/>
      <c r="Y29" s="697"/>
      <c r="Z29" s="697"/>
      <c r="AA29" s="697"/>
      <c r="AB29" s="699"/>
      <c r="AC29" s="699"/>
      <c r="AD29" s="699"/>
      <c r="AE29" s="699"/>
      <c r="AF29" s="699"/>
      <c r="AG29" s="697"/>
      <c r="AH29" s="690"/>
      <c r="AI29" s="690" t="str">
        <f t="shared" si="1"/>
        <v/>
      </c>
    </row>
    <row r="30" spans="2:35" ht="26.5">
      <c r="B30" s="691" t="s">
        <v>1547</v>
      </c>
      <c r="C30" s="703">
        <v>0.877</v>
      </c>
      <c r="D30" s="703">
        <v>0.88</v>
      </c>
      <c r="E30" s="730">
        <f>IFERROR(AVERAGE(I30:T30),0)</f>
        <v>0.90000000000000024</v>
      </c>
      <c r="F30" s="703"/>
      <c r="G30" s="703"/>
      <c r="H30" s="731"/>
      <c r="I30" s="703">
        <v>0.9</v>
      </c>
      <c r="J30" s="703">
        <v>0.9</v>
      </c>
      <c r="K30" s="703">
        <v>0.9</v>
      </c>
      <c r="L30" s="703">
        <v>0.9</v>
      </c>
      <c r="M30" s="703">
        <v>0.9</v>
      </c>
      <c r="N30" s="703">
        <v>0.9</v>
      </c>
      <c r="O30" s="703">
        <v>0.9</v>
      </c>
      <c r="P30" s="703">
        <v>0.9</v>
      </c>
      <c r="Q30" s="703">
        <v>0.9</v>
      </c>
      <c r="R30" s="703">
        <v>0.9</v>
      </c>
      <c r="S30" s="703">
        <v>0.9</v>
      </c>
      <c r="T30" s="703">
        <v>0.9</v>
      </c>
      <c r="U30" s="731"/>
      <c r="V30" s="703">
        <v>0.88260000000000005</v>
      </c>
      <c r="W30" s="703">
        <v>0.86450000000000005</v>
      </c>
      <c r="X30" s="703">
        <v>0.89</v>
      </c>
      <c r="Y30" s="703">
        <v>0.92</v>
      </c>
      <c r="Z30" s="703">
        <v>0.92</v>
      </c>
      <c r="AA30" s="703">
        <v>0.93</v>
      </c>
      <c r="AB30" s="706">
        <v>0.9</v>
      </c>
      <c r="AC30" s="706">
        <v>0.89</v>
      </c>
      <c r="AD30" s="706">
        <v>0.92</v>
      </c>
      <c r="AE30" s="706">
        <v>0.93</v>
      </c>
      <c r="AF30" s="706">
        <v>0.92</v>
      </c>
      <c r="AG30" s="703">
        <v>0.94</v>
      </c>
      <c r="AH30" s="690"/>
      <c r="AI30" s="690" t="str">
        <f t="shared" si="1"/>
        <v/>
      </c>
    </row>
    <row r="31" spans="2:35" ht="26.5">
      <c r="B31" s="691" t="s">
        <v>1548</v>
      </c>
      <c r="C31" s="703">
        <v>0.91400000000000003</v>
      </c>
      <c r="D31" s="703">
        <v>0.93899999999999995</v>
      </c>
      <c r="E31" s="730">
        <f>IFERROR(AVERAGE(I31:T31),0)</f>
        <v>0.90000000000000024</v>
      </c>
      <c r="F31" s="703"/>
      <c r="G31" s="703"/>
      <c r="H31" s="731"/>
      <c r="I31" s="703">
        <v>0.9</v>
      </c>
      <c r="J31" s="703">
        <v>0.9</v>
      </c>
      <c r="K31" s="703">
        <v>0.9</v>
      </c>
      <c r="L31" s="703">
        <v>0.9</v>
      </c>
      <c r="M31" s="703">
        <v>0.9</v>
      </c>
      <c r="N31" s="703">
        <v>0.9</v>
      </c>
      <c r="O31" s="703">
        <v>0.9</v>
      </c>
      <c r="P31" s="703">
        <v>0.9</v>
      </c>
      <c r="Q31" s="703">
        <v>0.9</v>
      </c>
      <c r="R31" s="703">
        <v>0.9</v>
      </c>
      <c r="S31" s="703">
        <v>0.9</v>
      </c>
      <c r="T31" s="703">
        <v>0.9</v>
      </c>
      <c r="U31" s="731"/>
      <c r="V31" s="703">
        <v>0.94099999999999995</v>
      </c>
      <c r="W31" s="703">
        <v>0.93899999999999995</v>
      </c>
      <c r="X31" s="703">
        <v>0.94</v>
      </c>
      <c r="Y31" s="703">
        <v>0.95</v>
      </c>
      <c r="Z31" s="703">
        <v>0.95</v>
      </c>
      <c r="AA31" s="703">
        <v>1</v>
      </c>
      <c r="AB31" s="706">
        <v>1</v>
      </c>
      <c r="AC31" s="706">
        <v>1</v>
      </c>
      <c r="AD31" s="706">
        <v>0.98</v>
      </c>
      <c r="AE31" s="706">
        <v>0.98</v>
      </c>
      <c r="AF31" s="706">
        <v>0.98</v>
      </c>
      <c r="AG31" s="706">
        <v>0.98</v>
      </c>
      <c r="AH31" s="690"/>
      <c r="AI31" s="690" t="str">
        <f t="shared" si="1"/>
        <v/>
      </c>
    </row>
    <row r="32" spans="2:35">
      <c r="B32" s="691" t="s">
        <v>1549</v>
      </c>
      <c r="C32" s="697">
        <v>4435</v>
      </c>
      <c r="D32" s="697">
        <v>5189</v>
      </c>
      <c r="E32" s="729">
        <v>5292</v>
      </c>
      <c r="F32" s="697"/>
      <c r="G32" s="697"/>
      <c r="I32" s="697">
        <v>476</v>
      </c>
      <c r="J32" s="697">
        <v>476</v>
      </c>
      <c r="K32" s="697">
        <v>476</v>
      </c>
      <c r="L32" s="697">
        <v>476</v>
      </c>
      <c r="M32" s="697">
        <v>476</v>
      </c>
      <c r="N32" s="697">
        <v>416</v>
      </c>
      <c r="O32" s="697">
        <v>416</v>
      </c>
      <c r="P32" s="697">
        <v>416</v>
      </c>
      <c r="Q32" s="697">
        <v>416</v>
      </c>
      <c r="R32" s="697">
        <v>416</v>
      </c>
      <c r="S32" s="697">
        <v>416</v>
      </c>
      <c r="T32" s="697">
        <v>416</v>
      </c>
      <c r="V32" s="697">
        <v>475</v>
      </c>
      <c r="W32" s="697">
        <v>428</v>
      </c>
      <c r="X32" s="697">
        <v>378</v>
      </c>
      <c r="Y32" s="697">
        <v>494</v>
      </c>
      <c r="Z32" s="697">
        <v>421</v>
      </c>
      <c r="AA32" s="697">
        <v>366</v>
      </c>
      <c r="AB32" s="699">
        <v>571</v>
      </c>
      <c r="AC32" s="699">
        <v>469</v>
      </c>
      <c r="AD32" s="699">
        <v>373</v>
      </c>
      <c r="AE32" s="699"/>
      <c r="AF32" s="699"/>
      <c r="AG32" s="697"/>
      <c r="AH32" s="690"/>
      <c r="AI32" s="690" t="str">
        <f t="shared" si="1"/>
        <v/>
      </c>
    </row>
    <row r="33" spans="2:35">
      <c r="B33" s="691" t="s">
        <v>1550</v>
      </c>
      <c r="C33" s="703">
        <v>0.12</v>
      </c>
      <c r="D33" s="703">
        <v>0.17330000000000001</v>
      </c>
      <c r="E33" s="730">
        <v>0.34</v>
      </c>
      <c r="F33" s="703"/>
      <c r="G33" s="703"/>
      <c r="H33" s="731"/>
      <c r="I33" s="703">
        <v>0.34</v>
      </c>
      <c r="J33" s="703">
        <v>0.34</v>
      </c>
      <c r="K33" s="703">
        <v>0.34</v>
      </c>
      <c r="L33" s="703">
        <v>0.34</v>
      </c>
      <c r="M33" s="703">
        <v>0.34</v>
      </c>
      <c r="N33" s="703">
        <v>0.34</v>
      </c>
      <c r="O33" s="703">
        <v>0.34</v>
      </c>
      <c r="P33" s="703">
        <v>0.34</v>
      </c>
      <c r="Q33" s="703">
        <v>0.34</v>
      </c>
      <c r="R33" s="703">
        <v>0.34</v>
      </c>
      <c r="S33" s="703">
        <v>0.34</v>
      </c>
      <c r="T33" s="703">
        <v>0.34</v>
      </c>
      <c r="U33" s="731"/>
      <c r="V33" s="703">
        <v>0.33500000000000002</v>
      </c>
      <c r="W33" s="703">
        <v>0.35799999999999998</v>
      </c>
      <c r="X33" s="703">
        <v>0.36599999999999999</v>
      </c>
      <c r="Y33" s="703">
        <v>0.39</v>
      </c>
      <c r="Z33" s="703">
        <v>0.40500000000000003</v>
      </c>
      <c r="AA33" s="703">
        <v>0.434</v>
      </c>
      <c r="AB33" s="706">
        <v>0.432</v>
      </c>
      <c r="AC33" s="706">
        <v>0.44500000000000001</v>
      </c>
      <c r="AD33" s="706">
        <v>0.45900000000000002</v>
      </c>
      <c r="AE33" s="706">
        <v>0.48010000000000003</v>
      </c>
      <c r="AF33" s="706">
        <v>0.47299999999999998</v>
      </c>
      <c r="AG33" s="703">
        <v>0.49</v>
      </c>
      <c r="AH33" s="690"/>
      <c r="AI33" s="690" t="str">
        <f t="shared" si="1"/>
        <v/>
      </c>
    </row>
    <row r="34" spans="2:35" ht="26.5">
      <c r="B34" s="691" t="s">
        <v>1551</v>
      </c>
      <c r="C34" s="697">
        <v>7075</v>
      </c>
      <c r="D34" s="697">
        <v>15682</v>
      </c>
      <c r="E34" s="729">
        <f t="shared" ref="E34:E37" si="2">IFERROR(SUM(I34:T34),0)</f>
        <v>48</v>
      </c>
      <c r="F34" s="697"/>
      <c r="G34" s="697"/>
      <c r="I34" s="697">
        <v>4</v>
      </c>
      <c r="J34" s="697">
        <v>4</v>
      </c>
      <c r="K34" s="697">
        <v>4</v>
      </c>
      <c r="L34" s="697">
        <v>4</v>
      </c>
      <c r="M34" s="697">
        <v>4</v>
      </c>
      <c r="N34" s="697">
        <v>4</v>
      </c>
      <c r="O34" s="697">
        <v>4</v>
      </c>
      <c r="P34" s="697">
        <v>4</v>
      </c>
      <c r="Q34" s="697">
        <v>4</v>
      </c>
      <c r="R34" s="697">
        <v>4</v>
      </c>
      <c r="S34" s="697">
        <v>4</v>
      </c>
      <c r="T34" s="697">
        <v>4</v>
      </c>
      <c r="V34" s="697">
        <v>2</v>
      </c>
      <c r="W34" s="697">
        <v>0</v>
      </c>
      <c r="X34" s="697">
        <v>1</v>
      </c>
      <c r="Y34" s="697">
        <v>1</v>
      </c>
      <c r="Z34" s="697">
        <v>3</v>
      </c>
      <c r="AA34" s="697">
        <v>6</v>
      </c>
      <c r="AB34" s="699">
        <v>4</v>
      </c>
      <c r="AC34" s="699">
        <v>0</v>
      </c>
      <c r="AD34" s="699">
        <v>0</v>
      </c>
      <c r="AE34" s="699">
        <v>1</v>
      </c>
      <c r="AF34" s="699">
        <v>0</v>
      </c>
      <c r="AG34" s="697">
        <v>0</v>
      </c>
      <c r="AH34" s="690"/>
      <c r="AI34" s="690" t="str">
        <f t="shared" si="1"/>
        <v/>
      </c>
    </row>
    <row r="35" spans="2:35" ht="26.5">
      <c r="B35" s="691" t="s">
        <v>1552</v>
      </c>
      <c r="C35" s="697"/>
      <c r="D35" s="697"/>
      <c r="E35" s="729">
        <f t="shared" si="2"/>
        <v>36</v>
      </c>
      <c r="F35" s="697"/>
      <c r="G35" s="697"/>
      <c r="I35" s="697">
        <v>3</v>
      </c>
      <c r="J35" s="697">
        <v>3</v>
      </c>
      <c r="K35" s="697">
        <v>3</v>
      </c>
      <c r="L35" s="697">
        <v>3</v>
      </c>
      <c r="M35" s="697">
        <v>3</v>
      </c>
      <c r="N35" s="697">
        <v>3</v>
      </c>
      <c r="O35" s="697">
        <v>3</v>
      </c>
      <c r="P35" s="697">
        <v>3</v>
      </c>
      <c r="Q35" s="697">
        <v>3</v>
      </c>
      <c r="R35" s="697">
        <v>3</v>
      </c>
      <c r="S35" s="697">
        <v>3</v>
      </c>
      <c r="T35" s="697">
        <v>3</v>
      </c>
      <c r="V35" s="697">
        <v>2</v>
      </c>
      <c r="W35" s="697">
        <v>0</v>
      </c>
      <c r="X35" s="697">
        <v>1</v>
      </c>
      <c r="Y35" s="697">
        <v>1</v>
      </c>
      <c r="Z35" s="697">
        <v>3</v>
      </c>
      <c r="AA35" s="697">
        <v>6</v>
      </c>
      <c r="AB35" s="699">
        <v>4</v>
      </c>
      <c r="AC35" s="699">
        <v>0</v>
      </c>
      <c r="AD35" s="699">
        <v>0</v>
      </c>
      <c r="AE35" s="699">
        <v>1</v>
      </c>
      <c r="AF35" s="699">
        <v>0</v>
      </c>
      <c r="AG35" s="697">
        <v>0</v>
      </c>
      <c r="AH35" s="690"/>
      <c r="AI35" s="690" t="str">
        <f t="shared" si="1"/>
        <v/>
      </c>
    </row>
    <row r="36" spans="2:35" ht="26.5">
      <c r="B36" s="691" t="s">
        <v>1553</v>
      </c>
      <c r="C36" s="697"/>
      <c r="D36" s="697"/>
      <c r="E36" s="729">
        <f t="shared" si="2"/>
        <v>0</v>
      </c>
      <c r="F36" s="697"/>
      <c r="G36" s="697"/>
      <c r="I36" s="697"/>
      <c r="J36" s="697"/>
      <c r="K36" s="697"/>
      <c r="L36" s="697"/>
      <c r="M36" s="697"/>
      <c r="N36" s="697"/>
      <c r="O36" s="699"/>
      <c r="P36" s="699"/>
      <c r="Q36" s="699"/>
      <c r="R36" s="699"/>
      <c r="S36" s="699"/>
      <c r="T36" s="697"/>
      <c r="V36" s="697"/>
      <c r="W36" s="697"/>
      <c r="X36" s="697"/>
      <c r="Y36" s="697"/>
      <c r="Z36" s="697"/>
      <c r="AA36" s="697"/>
      <c r="AB36" s="699">
        <v>23</v>
      </c>
      <c r="AC36" s="699">
        <v>46</v>
      </c>
      <c r="AD36" s="699">
        <v>27</v>
      </c>
      <c r="AE36" s="699">
        <v>24</v>
      </c>
      <c r="AF36" s="699">
        <v>27</v>
      </c>
      <c r="AG36" s="697">
        <v>17</v>
      </c>
      <c r="AH36" s="690"/>
      <c r="AI36" s="690" t="str">
        <f t="shared" si="1"/>
        <v/>
      </c>
    </row>
    <row r="37" spans="2:35" ht="26.5">
      <c r="B37" s="691" t="s">
        <v>1554</v>
      </c>
      <c r="C37" s="697"/>
      <c r="D37" s="697"/>
      <c r="E37" s="729">
        <f t="shared" si="2"/>
        <v>0</v>
      </c>
      <c r="F37" s="697"/>
      <c r="G37" s="697"/>
      <c r="I37" s="697"/>
      <c r="J37" s="697"/>
      <c r="K37" s="697"/>
      <c r="L37" s="697"/>
      <c r="M37" s="697"/>
      <c r="N37" s="697"/>
      <c r="O37" s="699"/>
      <c r="P37" s="699"/>
      <c r="Q37" s="699"/>
      <c r="R37" s="699"/>
      <c r="S37" s="699"/>
      <c r="T37" s="697"/>
      <c r="V37" s="697"/>
      <c r="W37" s="697"/>
      <c r="X37" s="697"/>
      <c r="Y37" s="697"/>
      <c r="Z37" s="697"/>
      <c r="AA37" s="697"/>
      <c r="AB37" s="699">
        <v>22</v>
      </c>
      <c r="AC37" s="699">
        <v>46</v>
      </c>
      <c r="AD37" s="699">
        <v>24</v>
      </c>
      <c r="AE37" s="699">
        <v>24</v>
      </c>
      <c r="AF37" s="699">
        <v>27</v>
      </c>
      <c r="AG37" s="697">
        <v>14</v>
      </c>
      <c r="AH37" s="690"/>
      <c r="AI37" s="690" t="str">
        <f t="shared" si="1"/>
        <v/>
      </c>
    </row>
    <row r="38" spans="2:35">
      <c r="B38" s="691" t="s">
        <v>1555</v>
      </c>
      <c r="C38" s="697"/>
      <c r="D38" s="697"/>
      <c r="E38" s="729">
        <f>IFERROR(SUM(I38:T38),0)</f>
        <v>16548</v>
      </c>
      <c r="F38" s="697"/>
      <c r="G38" s="697"/>
      <c r="I38" s="697">
        <v>1335</v>
      </c>
      <c r="J38" s="697">
        <v>1335</v>
      </c>
      <c r="K38" s="697">
        <v>1335</v>
      </c>
      <c r="L38" s="697">
        <v>1335</v>
      </c>
      <c r="M38" s="697">
        <v>1401</v>
      </c>
      <c r="N38" s="697">
        <v>1401</v>
      </c>
      <c r="O38" s="697">
        <v>1401</v>
      </c>
      <c r="P38" s="697">
        <v>1401</v>
      </c>
      <c r="Q38" s="697">
        <v>1401</v>
      </c>
      <c r="R38" s="697">
        <v>1401</v>
      </c>
      <c r="S38" s="697">
        <v>1401</v>
      </c>
      <c r="T38" s="697">
        <v>1401</v>
      </c>
      <c r="V38" s="697">
        <v>1770</v>
      </c>
      <c r="W38" s="697">
        <v>2226</v>
      </c>
      <c r="X38" s="697">
        <v>2022</v>
      </c>
      <c r="Y38" s="697">
        <v>1740</v>
      </c>
      <c r="Z38" s="697">
        <v>1999</v>
      </c>
      <c r="AA38" s="697">
        <v>1786</v>
      </c>
      <c r="AB38" s="699">
        <v>1759</v>
      </c>
      <c r="AC38" s="699">
        <v>1725</v>
      </c>
      <c r="AD38" s="699">
        <v>1609</v>
      </c>
      <c r="AE38" s="699">
        <v>1685</v>
      </c>
      <c r="AF38" s="699">
        <v>1602</v>
      </c>
      <c r="AG38" s="697">
        <v>1801</v>
      </c>
      <c r="AH38" s="690"/>
      <c r="AI38" s="690" t="str">
        <f t="shared" si="1"/>
        <v/>
      </c>
    </row>
    <row r="40" spans="2:35">
      <c r="AI40" s="732">
        <f>COUNTIFS(AI11:AI38,"please*")</f>
        <v>2</v>
      </c>
    </row>
  </sheetData>
  <mergeCells count="2">
    <mergeCell ref="B7:B8"/>
    <mergeCell ref="C7:D7"/>
  </mergeCells>
  <pageMargins left="0.23622047244094491" right="0.23622047244094491" top="0.74803149606299213" bottom="0.74803149606299213" header="0.31496062992125984" footer="0.31496062992125984"/>
  <pageSetup paperSize="8" scale="39" fitToHeight="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pageSetUpPr fitToPage="1"/>
  </sheetPr>
  <dimension ref="B1:AK16"/>
  <sheetViews>
    <sheetView showGridLines="0" topLeftCell="A7" zoomScale="80" zoomScaleNormal="80" workbookViewId="0">
      <pane xSplit="2" ySplit="3" topLeftCell="C10" activePane="bottomRight" state="frozenSplit"/>
      <selection activeCell="S193" sqref="S193"/>
      <selection pane="topRight" activeCell="S193" sqref="S193"/>
      <selection pane="bottomLeft" activeCell="S193" sqref="S193"/>
      <selection pane="bottomRight" activeCell="AA18" sqref="AA18"/>
    </sheetView>
  </sheetViews>
  <sheetFormatPr defaultRowHeight="15.5"/>
  <cols>
    <col min="1" max="1" width="3.4609375" customWidth="1"/>
    <col min="2" max="2" width="68.4609375" customWidth="1"/>
    <col min="3" max="7" width="12.69140625" customWidth="1"/>
    <col min="8" max="8" width="5.53515625" customWidth="1"/>
    <col min="9" max="20" width="12.69140625" customWidth="1"/>
    <col min="21" max="21" width="4.4609375" customWidth="1"/>
    <col min="22" max="38" width="9.4609375" customWidth="1"/>
    <col min="202" max="202" width="49.07421875" bestFit="1" customWidth="1"/>
    <col min="215" max="215" width="8.4609375" customWidth="1"/>
    <col min="216" max="216" width="5.4609375" customWidth="1"/>
    <col min="217" max="218" width="10.53515625" customWidth="1"/>
    <col min="458" max="458" width="49.07421875" bestFit="1" customWidth="1"/>
    <col min="471" max="471" width="8.4609375" customWidth="1"/>
    <col min="472" max="472" width="5.4609375" customWidth="1"/>
    <col min="473" max="474" width="10.53515625" customWidth="1"/>
    <col min="714" max="714" width="49.07421875" bestFit="1" customWidth="1"/>
    <col min="727" max="727" width="8.4609375" customWidth="1"/>
    <col min="728" max="728" width="5.4609375" customWidth="1"/>
    <col min="729" max="730" width="10.53515625" customWidth="1"/>
    <col min="970" max="970" width="49.07421875" bestFit="1" customWidth="1"/>
    <col min="983" max="983" width="8.4609375" customWidth="1"/>
    <col min="984" max="984" width="5.4609375" customWidth="1"/>
    <col min="985" max="986" width="10.53515625" customWidth="1"/>
    <col min="1226" max="1226" width="49.07421875" bestFit="1" customWidth="1"/>
    <col min="1239" max="1239" width="8.4609375" customWidth="1"/>
    <col min="1240" max="1240" width="5.4609375" customWidth="1"/>
    <col min="1241" max="1242" width="10.53515625" customWidth="1"/>
    <col min="1482" max="1482" width="49.07421875" bestFit="1" customWidth="1"/>
    <col min="1495" max="1495" width="8.4609375" customWidth="1"/>
    <col min="1496" max="1496" width="5.4609375" customWidth="1"/>
    <col min="1497" max="1498" width="10.53515625" customWidth="1"/>
    <col min="1738" max="1738" width="49.07421875" bestFit="1" customWidth="1"/>
    <col min="1751" max="1751" width="8.4609375" customWidth="1"/>
    <col min="1752" max="1752" width="5.4609375" customWidth="1"/>
    <col min="1753" max="1754" width="10.53515625" customWidth="1"/>
    <col min="1994" max="1994" width="49.07421875" bestFit="1" customWidth="1"/>
    <col min="2007" max="2007" width="8.4609375" customWidth="1"/>
    <col min="2008" max="2008" width="5.4609375" customWidth="1"/>
    <col min="2009" max="2010" width="10.53515625" customWidth="1"/>
    <col min="2250" max="2250" width="49.07421875" bestFit="1" customWidth="1"/>
    <col min="2263" max="2263" width="8.4609375" customWidth="1"/>
    <col min="2264" max="2264" width="5.4609375" customWidth="1"/>
    <col min="2265" max="2266" width="10.53515625" customWidth="1"/>
    <col min="2506" max="2506" width="49.07421875" bestFit="1" customWidth="1"/>
    <col min="2519" max="2519" width="8.4609375" customWidth="1"/>
    <col min="2520" max="2520" width="5.4609375" customWidth="1"/>
    <col min="2521" max="2522" width="10.53515625" customWidth="1"/>
    <col min="2762" max="2762" width="49.07421875" bestFit="1" customWidth="1"/>
    <col min="2775" max="2775" width="8.4609375" customWidth="1"/>
    <col min="2776" max="2776" width="5.4609375" customWidth="1"/>
    <col min="2777" max="2778" width="10.53515625" customWidth="1"/>
    <col min="3018" max="3018" width="49.07421875" bestFit="1" customWidth="1"/>
    <col min="3031" max="3031" width="8.4609375" customWidth="1"/>
    <col min="3032" max="3032" width="5.4609375" customWidth="1"/>
    <col min="3033" max="3034" width="10.53515625" customWidth="1"/>
    <col min="3274" max="3274" width="49.07421875" bestFit="1" customWidth="1"/>
    <col min="3287" max="3287" width="8.4609375" customWidth="1"/>
    <col min="3288" max="3288" width="5.4609375" customWidth="1"/>
    <col min="3289" max="3290" width="10.53515625" customWidth="1"/>
    <col min="3530" max="3530" width="49.07421875" bestFit="1" customWidth="1"/>
    <col min="3543" max="3543" width="8.4609375" customWidth="1"/>
    <col min="3544" max="3544" width="5.4609375" customWidth="1"/>
    <col min="3545" max="3546" width="10.53515625" customWidth="1"/>
    <col min="3786" max="3786" width="49.07421875" bestFit="1" customWidth="1"/>
    <col min="3799" max="3799" width="8.4609375" customWidth="1"/>
    <col min="3800" max="3800" width="5.4609375" customWidth="1"/>
    <col min="3801" max="3802" width="10.53515625" customWidth="1"/>
    <col min="4042" max="4042" width="49.07421875" bestFit="1" customWidth="1"/>
    <col min="4055" max="4055" width="8.4609375" customWidth="1"/>
    <col min="4056" max="4056" width="5.4609375" customWidth="1"/>
    <col min="4057" max="4058" width="10.53515625" customWidth="1"/>
    <col min="4298" max="4298" width="49.07421875" bestFit="1" customWidth="1"/>
    <col min="4311" max="4311" width="8.4609375" customWidth="1"/>
    <col min="4312" max="4312" width="5.4609375" customWidth="1"/>
    <col min="4313" max="4314" width="10.53515625" customWidth="1"/>
    <col min="4554" max="4554" width="49.07421875" bestFit="1" customWidth="1"/>
    <col min="4567" max="4567" width="8.4609375" customWidth="1"/>
    <col min="4568" max="4568" width="5.4609375" customWidth="1"/>
    <col min="4569" max="4570" width="10.53515625" customWidth="1"/>
    <col min="4810" max="4810" width="49.07421875" bestFit="1" customWidth="1"/>
    <col min="4823" max="4823" width="8.4609375" customWidth="1"/>
    <col min="4824" max="4824" width="5.4609375" customWidth="1"/>
    <col min="4825" max="4826" width="10.53515625" customWidth="1"/>
    <col min="5066" max="5066" width="49.07421875" bestFit="1" customWidth="1"/>
    <col min="5079" max="5079" width="8.4609375" customWidth="1"/>
    <col min="5080" max="5080" width="5.4609375" customWidth="1"/>
    <col min="5081" max="5082" width="10.53515625" customWidth="1"/>
    <col min="5322" max="5322" width="49.07421875" bestFit="1" customWidth="1"/>
    <col min="5335" max="5335" width="8.4609375" customWidth="1"/>
    <col min="5336" max="5336" width="5.4609375" customWidth="1"/>
    <col min="5337" max="5338" width="10.53515625" customWidth="1"/>
    <col min="5578" max="5578" width="49.07421875" bestFit="1" customWidth="1"/>
    <col min="5591" max="5591" width="8.4609375" customWidth="1"/>
    <col min="5592" max="5592" width="5.4609375" customWidth="1"/>
    <col min="5593" max="5594" width="10.53515625" customWidth="1"/>
    <col min="5834" max="5834" width="49.07421875" bestFit="1" customWidth="1"/>
    <col min="5847" max="5847" width="8.4609375" customWidth="1"/>
    <col min="5848" max="5848" width="5.4609375" customWidth="1"/>
    <col min="5849" max="5850" width="10.53515625" customWidth="1"/>
    <col min="6090" max="6090" width="49.07421875" bestFit="1" customWidth="1"/>
    <col min="6103" max="6103" width="8.4609375" customWidth="1"/>
    <col min="6104" max="6104" width="5.4609375" customWidth="1"/>
    <col min="6105" max="6106" width="10.53515625" customWidth="1"/>
    <col min="6346" max="6346" width="49.07421875" bestFit="1" customWidth="1"/>
    <col min="6359" max="6359" width="8.4609375" customWidth="1"/>
    <col min="6360" max="6360" width="5.4609375" customWidth="1"/>
    <col min="6361" max="6362" width="10.53515625" customWidth="1"/>
    <col min="6602" max="6602" width="49.07421875" bestFit="1" customWidth="1"/>
    <col min="6615" max="6615" width="8.4609375" customWidth="1"/>
    <col min="6616" max="6616" width="5.4609375" customWidth="1"/>
    <col min="6617" max="6618" width="10.53515625" customWidth="1"/>
    <col min="6858" max="6858" width="49.07421875" bestFit="1" customWidth="1"/>
    <col min="6871" max="6871" width="8.4609375" customWidth="1"/>
    <col min="6872" max="6872" width="5.4609375" customWidth="1"/>
    <col min="6873" max="6874" width="10.53515625" customWidth="1"/>
    <col min="7114" max="7114" width="49.07421875" bestFit="1" customWidth="1"/>
    <col min="7127" max="7127" width="8.4609375" customWidth="1"/>
    <col min="7128" max="7128" width="5.4609375" customWidth="1"/>
    <col min="7129" max="7130" width="10.53515625" customWidth="1"/>
    <col min="7370" max="7370" width="49.07421875" bestFit="1" customWidth="1"/>
    <col min="7383" max="7383" width="8.4609375" customWidth="1"/>
    <col min="7384" max="7384" width="5.4609375" customWidth="1"/>
    <col min="7385" max="7386" width="10.53515625" customWidth="1"/>
    <col min="7626" max="7626" width="49.07421875" bestFit="1" customWidth="1"/>
    <col min="7639" max="7639" width="8.4609375" customWidth="1"/>
    <col min="7640" max="7640" width="5.4609375" customWidth="1"/>
    <col min="7641" max="7642" width="10.53515625" customWidth="1"/>
    <col min="7882" max="7882" width="49.07421875" bestFit="1" customWidth="1"/>
    <col min="7895" max="7895" width="8.4609375" customWidth="1"/>
    <col min="7896" max="7896" width="5.4609375" customWidth="1"/>
    <col min="7897" max="7898" width="10.53515625" customWidth="1"/>
    <col min="8138" max="8138" width="49.07421875" bestFit="1" customWidth="1"/>
    <col min="8151" max="8151" width="8.4609375" customWidth="1"/>
    <col min="8152" max="8152" width="5.4609375" customWidth="1"/>
    <col min="8153" max="8154" width="10.53515625" customWidth="1"/>
    <col min="8394" max="8394" width="49.07421875" bestFit="1" customWidth="1"/>
    <col min="8407" max="8407" width="8.4609375" customWidth="1"/>
    <col min="8408" max="8408" width="5.4609375" customWidth="1"/>
    <col min="8409" max="8410" width="10.53515625" customWidth="1"/>
    <col min="8650" max="8650" width="49.07421875" bestFit="1" customWidth="1"/>
    <col min="8663" max="8663" width="8.4609375" customWidth="1"/>
    <col min="8664" max="8664" width="5.4609375" customWidth="1"/>
    <col min="8665" max="8666" width="10.53515625" customWidth="1"/>
    <col min="8906" max="8906" width="49.07421875" bestFit="1" customWidth="1"/>
    <col min="8919" max="8919" width="8.4609375" customWidth="1"/>
    <col min="8920" max="8920" width="5.4609375" customWidth="1"/>
    <col min="8921" max="8922" width="10.53515625" customWidth="1"/>
    <col min="9162" max="9162" width="49.07421875" bestFit="1" customWidth="1"/>
    <col min="9175" max="9175" width="8.4609375" customWidth="1"/>
    <col min="9176" max="9176" width="5.4609375" customWidth="1"/>
    <col min="9177" max="9178" width="10.53515625" customWidth="1"/>
    <col min="9418" max="9418" width="49.07421875" bestFit="1" customWidth="1"/>
    <col min="9431" max="9431" width="8.4609375" customWidth="1"/>
    <col min="9432" max="9432" width="5.4609375" customWidth="1"/>
    <col min="9433" max="9434" width="10.53515625" customWidth="1"/>
    <col min="9674" max="9674" width="49.07421875" bestFit="1" customWidth="1"/>
    <col min="9687" max="9687" width="8.4609375" customWidth="1"/>
    <col min="9688" max="9688" width="5.4609375" customWidth="1"/>
    <col min="9689" max="9690" width="10.53515625" customWidth="1"/>
    <col min="9930" max="9930" width="49.07421875" bestFit="1" customWidth="1"/>
    <col min="9943" max="9943" width="8.4609375" customWidth="1"/>
    <col min="9944" max="9944" width="5.4609375" customWidth="1"/>
    <col min="9945" max="9946" width="10.53515625" customWidth="1"/>
    <col min="10186" max="10186" width="49.07421875" bestFit="1" customWidth="1"/>
    <col min="10199" max="10199" width="8.4609375" customWidth="1"/>
    <col min="10200" max="10200" width="5.4609375" customWidth="1"/>
    <col min="10201" max="10202" width="10.53515625" customWidth="1"/>
    <col min="10442" max="10442" width="49.07421875" bestFit="1" customWidth="1"/>
    <col min="10455" max="10455" width="8.4609375" customWidth="1"/>
    <col min="10456" max="10456" width="5.4609375" customWidth="1"/>
    <col min="10457" max="10458" width="10.53515625" customWidth="1"/>
    <col min="10698" max="10698" width="49.07421875" bestFit="1" customWidth="1"/>
    <col min="10711" max="10711" width="8.4609375" customWidth="1"/>
    <col min="10712" max="10712" width="5.4609375" customWidth="1"/>
    <col min="10713" max="10714" width="10.53515625" customWidth="1"/>
    <col min="10954" max="10954" width="49.07421875" bestFit="1" customWidth="1"/>
    <col min="10967" max="10967" width="8.4609375" customWidth="1"/>
    <col min="10968" max="10968" width="5.4609375" customWidth="1"/>
    <col min="10969" max="10970" width="10.53515625" customWidth="1"/>
    <col min="11210" max="11210" width="49.07421875" bestFit="1" customWidth="1"/>
    <col min="11223" max="11223" width="8.4609375" customWidth="1"/>
    <col min="11224" max="11224" width="5.4609375" customWidth="1"/>
    <col min="11225" max="11226" width="10.53515625" customWidth="1"/>
    <col min="11466" max="11466" width="49.07421875" bestFit="1" customWidth="1"/>
    <col min="11479" max="11479" width="8.4609375" customWidth="1"/>
    <col min="11480" max="11480" width="5.4609375" customWidth="1"/>
    <col min="11481" max="11482" width="10.53515625" customWidth="1"/>
    <col min="11722" max="11722" width="49.07421875" bestFit="1" customWidth="1"/>
    <col min="11735" max="11735" width="8.4609375" customWidth="1"/>
    <col min="11736" max="11736" width="5.4609375" customWidth="1"/>
    <col min="11737" max="11738" width="10.53515625" customWidth="1"/>
    <col min="11978" max="11978" width="49.07421875" bestFit="1" customWidth="1"/>
    <col min="11991" max="11991" width="8.4609375" customWidth="1"/>
    <col min="11992" max="11992" width="5.4609375" customWidth="1"/>
    <col min="11993" max="11994" width="10.53515625" customWidth="1"/>
    <col min="12234" max="12234" width="49.07421875" bestFit="1" customWidth="1"/>
    <col min="12247" max="12247" width="8.4609375" customWidth="1"/>
    <col min="12248" max="12248" width="5.4609375" customWidth="1"/>
    <col min="12249" max="12250" width="10.53515625" customWidth="1"/>
    <col min="12490" max="12490" width="49.07421875" bestFit="1" customWidth="1"/>
    <col min="12503" max="12503" width="8.4609375" customWidth="1"/>
    <col min="12504" max="12504" width="5.4609375" customWidth="1"/>
    <col min="12505" max="12506" width="10.53515625" customWidth="1"/>
    <col min="12746" max="12746" width="49.07421875" bestFit="1" customWidth="1"/>
    <col min="12759" max="12759" width="8.4609375" customWidth="1"/>
    <col min="12760" max="12760" width="5.4609375" customWidth="1"/>
    <col min="12761" max="12762" width="10.53515625" customWidth="1"/>
    <col min="13002" max="13002" width="49.07421875" bestFit="1" customWidth="1"/>
    <col min="13015" max="13015" width="8.4609375" customWidth="1"/>
    <col min="13016" max="13016" width="5.4609375" customWidth="1"/>
    <col min="13017" max="13018" width="10.53515625" customWidth="1"/>
    <col min="13258" max="13258" width="49.07421875" bestFit="1" customWidth="1"/>
    <col min="13271" max="13271" width="8.4609375" customWidth="1"/>
    <col min="13272" max="13272" width="5.4609375" customWidth="1"/>
    <col min="13273" max="13274" width="10.53515625" customWidth="1"/>
    <col min="13514" max="13514" width="49.07421875" bestFit="1" customWidth="1"/>
    <col min="13527" max="13527" width="8.4609375" customWidth="1"/>
    <col min="13528" max="13528" width="5.4609375" customWidth="1"/>
    <col min="13529" max="13530" width="10.53515625" customWidth="1"/>
    <col min="13770" max="13770" width="49.07421875" bestFit="1" customWidth="1"/>
    <col min="13783" max="13783" width="8.4609375" customWidth="1"/>
    <col min="13784" max="13784" width="5.4609375" customWidth="1"/>
    <col min="13785" max="13786" width="10.53515625" customWidth="1"/>
    <col min="14026" max="14026" width="49.07421875" bestFit="1" customWidth="1"/>
    <col min="14039" max="14039" width="8.4609375" customWidth="1"/>
    <col min="14040" max="14040" width="5.4609375" customWidth="1"/>
    <col min="14041" max="14042" width="10.53515625" customWidth="1"/>
    <col min="14282" max="14282" width="49.07421875" bestFit="1" customWidth="1"/>
    <col min="14295" max="14295" width="8.4609375" customWidth="1"/>
    <col min="14296" max="14296" width="5.4609375" customWidth="1"/>
    <col min="14297" max="14298" width="10.53515625" customWidth="1"/>
    <col min="14538" max="14538" width="49.07421875" bestFit="1" customWidth="1"/>
    <col min="14551" max="14551" width="8.4609375" customWidth="1"/>
    <col min="14552" max="14552" width="5.4609375" customWidth="1"/>
    <col min="14553" max="14554" width="10.53515625" customWidth="1"/>
    <col min="14794" max="14794" width="49.07421875" bestFit="1" customWidth="1"/>
    <col min="14807" max="14807" width="8.4609375" customWidth="1"/>
    <col min="14808" max="14808" width="5.4609375" customWidth="1"/>
    <col min="14809" max="14810" width="10.53515625" customWidth="1"/>
    <col min="15050" max="15050" width="49.07421875" bestFit="1" customWidth="1"/>
    <col min="15063" max="15063" width="8.4609375" customWidth="1"/>
    <col min="15064" max="15064" width="5.4609375" customWidth="1"/>
    <col min="15065" max="15066" width="10.53515625" customWidth="1"/>
    <col min="15306" max="15306" width="49.07421875" bestFit="1" customWidth="1"/>
    <col min="15319" max="15319" width="8.4609375" customWidth="1"/>
    <col min="15320" max="15320" width="5.4609375" customWidth="1"/>
    <col min="15321" max="15322" width="10.53515625" customWidth="1"/>
    <col min="15562" max="15562" width="49.07421875" bestFit="1" customWidth="1"/>
    <col min="15575" max="15575" width="8.4609375" customWidth="1"/>
    <col min="15576" max="15576" width="5.4609375" customWidth="1"/>
    <col min="15577" max="15578" width="10.53515625" customWidth="1"/>
    <col min="15818" max="15818" width="49.07421875" bestFit="1" customWidth="1"/>
    <col min="15831" max="15831" width="8.4609375" customWidth="1"/>
    <col min="15832" max="15832" width="5.4609375" customWidth="1"/>
    <col min="15833" max="15834" width="10.53515625" customWidth="1"/>
    <col min="16074" max="16074" width="49.07421875" bestFit="1" customWidth="1"/>
    <col min="16087" max="16087" width="8.4609375" customWidth="1"/>
    <col min="16088" max="16088" width="5.4609375" customWidth="1"/>
    <col min="16089" max="16090" width="10.53515625" customWidth="1"/>
  </cols>
  <sheetData>
    <row r="1" spans="2:37" s="690" customFormat="1" ht="15.75" hidden="1" customHeight="1"/>
    <row r="2" spans="2:37" s="690" customFormat="1" ht="23.25" hidden="1" customHeight="1">
      <c r="B2" s="716" t="str">
        <f>IF('[1]Front Sheet and Checklist'!C5="(please select from drop down)","Please select organisation from front sheet",'[1]Front Sheet and Checklist'!C5)</f>
        <v>Please select organisation from front sheet</v>
      </c>
      <c r="C2" s="717"/>
      <c r="D2" s="717"/>
      <c r="E2" s="717"/>
      <c r="F2" s="717"/>
      <c r="G2" s="718"/>
      <c r="I2"/>
      <c r="J2"/>
      <c r="K2"/>
      <c r="L2"/>
      <c r="M2"/>
      <c r="N2"/>
      <c r="O2"/>
      <c r="P2"/>
      <c r="Q2"/>
      <c r="R2"/>
      <c r="S2"/>
      <c r="T2"/>
      <c r="U2"/>
    </row>
    <row r="3" spans="2:37" s="690" customFormat="1" hidden="1">
      <c r="B3" s="733" t="s">
        <v>1556</v>
      </c>
      <c r="C3" s="734"/>
      <c r="D3" s="734"/>
      <c r="E3" s="734"/>
      <c r="F3" s="734"/>
      <c r="G3" s="735"/>
      <c r="I3"/>
      <c r="J3"/>
      <c r="K3"/>
      <c r="L3"/>
      <c r="M3"/>
      <c r="N3"/>
      <c r="O3"/>
      <c r="P3"/>
      <c r="Q3"/>
      <c r="R3"/>
      <c r="S3"/>
      <c r="T3"/>
      <c r="U3"/>
    </row>
    <row r="4" spans="2:37" s="690" customFormat="1" ht="38.25" hidden="1" customHeight="1">
      <c r="B4" s="736" t="s">
        <v>1557</v>
      </c>
      <c r="C4" s="720"/>
      <c r="D4" s="720"/>
      <c r="E4" s="720"/>
      <c r="F4" s="720"/>
      <c r="G4" s="721"/>
      <c r="I4"/>
      <c r="J4"/>
      <c r="K4"/>
      <c r="L4"/>
      <c r="M4"/>
      <c r="N4"/>
      <c r="O4"/>
      <c r="P4"/>
      <c r="Q4"/>
      <c r="R4"/>
      <c r="S4"/>
      <c r="T4"/>
      <c r="U4"/>
    </row>
    <row r="5" spans="2:37" s="690" customFormat="1" hidden="1">
      <c r="B5" s="722" t="s">
        <v>1526</v>
      </c>
      <c r="C5" s="723"/>
      <c r="D5" s="723"/>
      <c r="E5" s="723"/>
      <c r="F5" s="723"/>
      <c r="G5" s="724"/>
      <c r="I5"/>
      <c r="J5"/>
      <c r="K5"/>
      <c r="L5"/>
      <c r="M5"/>
      <c r="N5"/>
      <c r="O5"/>
      <c r="P5"/>
      <c r="Q5"/>
      <c r="R5"/>
      <c r="S5"/>
      <c r="T5"/>
      <c r="U5"/>
    </row>
    <row r="6" spans="2:37" s="690" customFormat="1" hidden="1">
      <c r="B6" s="708"/>
      <c r="C6" s="1"/>
      <c r="D6" s="1"/>
      <c r="F6" s="1"/>
      <c r="G6" s="1"/>
      <c r="I6" s="1"/>
      <c r="J6" s="1"/>
      <c r="K6" s="1"/>
      <c r="L6" s="1"/>
      <c r="M6" s="1"/>
      <c r="N6" s="1"/>
      <c r="O6" s="1"/>
      <c r="P6" s="1"/>
      <c r="Q6" s="1"/>
      <c r="R6" s="1"/>
      <c r="S6" s="1"/>
      <c r="T6" s="1"/>
      <c r="AH6" s="725"/>
      <c r="AI6" s="725"/>
      <c r="AJ6" s="725"/>
      <c r="AK6" s="725"/>
    </row>
    <row r="7" spans="2:37" s="690" customFormat="1" ht="24.75" customHeight="1">
      <c r="B7" s="16"/>
      <c r="C7" s="857" t="s">
        <v>1337</v>
      </c>
      <c r="D7" s="858"/>
      <c r="E7" s="16"/>
      <c r="F7" s="16"/>
      <c r="G7" s="16"/>
      <c r="I7" s="3" t="s">
        <v>1420</v>
      </c>
      <c r="J7" s="3"/>
      <c r="K7" s="3"/>
      <c r="L7" s="3"/>
      <c r="M7" s="3"/>
      <c r="N7" s="3"/>
      <c r="O7" s="3"/>
      <c r="P7" s="3"/>
      <c r="Q7" s="3"/>
      <c r="R7" s="3"/>
      <c r="S7" s="3"/>
      <c r="T7" s="3"/>
      <c r="U7" s="682"/>
      <c r="V7" s="3" t="s">
        <v>1421</v>
      </c>
      <c r="W7" s="3"/>
      <c r="X7" s="3"/>
      <c r="Y7" s="3"/>
      <c r="Z7" s="3"/>
      <c r="AA7" s="3"/>
      <c r="AB7" s="3"/>
      <c r="AC7" s="3"/>
      <c r="AD7" s="3"/>
      <c r="AE7" s="3"/>
      <c r="AF7" s="3"/>
      <c r="AG7" s="3"/>
      <c r="AH7" s="725"/>
      <c r="AI7" s="725"/>
      <c r="AJ7" s="725"/>
      <c r="AK7" s="725"/>
    </row>
    <row r="8" spans="2:37" s="682" customFormat="1" ht="51.75" customHeight="1">
      <c r="B8" s="111" t="s">
        <v>241</v>
      </c>
      <c r="C8" s="78" t="s">
        <v>1422</v>
      </c>
      <c r="D8" s="78" t="s">
        <v>1423</v>
      </c>
      <c r="E8" s="78" t="s">
        <v>326</v>
      </c>
      <c r="F8" s="78" t="s">
        <v>1425</v>
      </c>
      <c r="G8" s="78" t="s">
        <v>1426</v>
      </c>
      <c r="I8" s="78" t="s">
        <v>182</v>
      </c>
      <c r="J8" s="78" t="s">
        <v>183</v>
      </c>
      <c r="K8" s="78" t="s">
        <v>184</v>
      </c>
      <c r="L8" s="78" t="s">
        <v>185</v>
      </c>
      <c r="M8" s="78" t="s">
        <v>186</v>
      </c>
      <c r="N8" s="78" t="s">
        <v>187</v>
      </c>
      <c r="O8" s="727" t="s">
        <v>188</v>
      </c>
      <c r="P8" s="727" t="s">
        <v>189</v>
      </c>
      <c r="Q8" s="727" t="s">
        <v>190</v>
      </c>
      <c r="R8" s="727" t="s">
        <v>191</v>
      </c>
      <c r="S8" s="727" t="s">
        <v>192</v>
      </c>
      <c r="T8" s="727" t="s">
        <v>193</v>
      </c>
      <c r="V8" s="78" t="s">
        <v>182</v>
      </c>
      <c r="W8" s="78" t="s">
        <v>183</v>
      </c>
      <c r="X8" s="78" t="s">
        <v>184</v>
      </c>
      <c r="Y8" s="78" t="s">
        <v>185</v>
      </c>
      <c r="Z8" s="78" t="s">
        <v>186</v>
      </c>
      <c r="AA8" s="78" t="s">
        <v>187</v>
      </c>
      <c r="AB8" s="727" t="s">
        <v>188</v>
      </c>
      <c r="AC8" s="727" t="s">
        <v>189</v>
      </c>
      <c r="AD8" s="727" t="s">
        <v>190</v>
      </c>
      <c r="AE8" s="727" t="s">
        <v>191</v>
      </c>
      <c r="AF8" s="727" t="s">
        <v>192</v>
      </c>
      <c r="AG8" s="727" t="s">
        <v>193</v>
      </c>
    </row>
    <row r="9" spans="2:37" s="682" customFormat="1" ht="15.75" customHeight="1">
      <c r="B9" s="16" t="s">
        <v>266</v>
      </c>
      <c r="C9" s="16" t="s">
        <v>1558</v>
      </c>
      <c r="D9" s="16"/>
      <c r="E9" s="16"/>
      <c r="F9" s="16"/>
      <c r="G9" s="16"/>
      <c r="I9" s="16"/>
      <c r="J9" s="16"/>
      <c r="K9" s="16"/>
      <c r="L9" s="16"/>
      <c r="M9" s="16"/>
      <c r="N9" s="16"/>
      <c r="O9" s="16"/>
      <c r="P9" s="16"/>
      <c r="Q9" s="16"/>
      <c r="R9" s="16"/>
      <c r="S9" s="16"/>
      <c r="T9" s="16"/>
      <c r="V9" s="16"/>
      <c r="W9" s="16"/>
      <c r="X9" s="16"/>
      <c r="Y9" s="16"/>
      <c r="Z9" s="16"/>
      <c r="AA9" s="16"/>
      <c r="AB9" s="16"/>
      <c r="AC9" s="16"/>
      <c r="AD9" s="16"/>
      <c r="AE9" s="16"/>
      <c r="AF9" s="16"/>
      <c r="AG9" s="16"/>
    </row>
    <row r="10" spans="2:37" s="682" customFormat="1" ht="15.75" customHeight="1">
      <c r="B10" s="728" t="s">
        <v>1559</v>
      </c>
      <c r="C10" s="728"/>
      <c r="D10" s="728"/>
      <c r="E10" s="728"/>
      <c r="F10" s="728"/>
      <c r="G10" s="728"/>
      <c r="I10" s="728"/>
      <c r="J10" s="728"/>
      <c r="K10" s="728"/>
      <c r="L10" s="728"/>
      <c r="M10" s="728"/>
      <c r="N10" s="728"/>
      <c r="O10" s="728"/>
      <c r="P10" s="728"/>
      <c r="Q10" s="728"/>
      <c r="R10" s="728"/>
      <c r="S10" s="728"/>
      <c r="T10" s="728"/>
      <c r="V10" s="728"/>
      <c r="W10" s="728"/>
      <c r="X10" s="728"/>
      <c r="Y10" s="728"/>
      <c r="Z10" s="728"/>
      <c r="AA10" s="728"/>
      <c r="AB10" s="728"/>
      <c r="AC10" s="728"/>
      <c r="AD10" s="728"/>
      <c r="AE10" s="728"/>
      <c r="AF10" s="728"/>
      <c r="AG10" s="728"/>
    </row>
    <row r="11" spans="2:37">
      <c r="B11" s="691" t="s">
        <v>1560</v>
      </c>
      <c r="C11" s="697">
        <v>23797</v>
      </c>
      <c r="D11" s="697">
        <v>23500</v>
      </c>
      <c r="E11" s="729">
        <f>SUM(I11:T11)</f>
        <v>22000</v>
      </c>
      <c r="F11" s="697"/>
      <c r="G11" s="697"/>
      <c r="H11" s="690"/>
      <c r="I11" s="697">
        <v>1800</v>
      </c>
      <c r="J11" s="697">
        <v>2000</v>
      </c>
      <c r="K11" s="697">
        <v>2000</v>
      </c>
      <c r="L11" s="697">
        <v>2000</v>
      </c>
      <c r="M11" s="697">
        <v>2000</v>
      </c>
      <c r="N11" s="697">
        <v>1900</v>
      </c>
      <c r="O11" s="699">
        <v>1900</v>
      </c>
      <c r="P11" s="699">
        <v>1700</v>
      </c>
      <c r="Q11" s="699">
        <v>1600</v>
      </c>
      <c r="R11" s="699">
        <v>1700</v>
      </c>
      <c r="S11" s="699">
        <v>1700</v>
      </c>
      <c r="T11" s="697">
        <v>1700</v>
      </c>
      <c r="V11" s="697">
        <v>2397</v>
      </c>
      <c r="W11" s="697">
        <v>2426</v>
      </c>
      <c r="X11" s="697">
        <v>2116</v>
      </c>
      <c r="Y11" s="697">
        <v>2274</v>
      </c>
      <c r="Z11" s="697">
        <v>2029</v>
      </c>
      <c r="AA11" s="697">
        <v>2125</v>
      </c>
      <c r="AB11" s="699">
        <v>2354</v>
      </c>
      <c r="AC11" s="699">
        <v>2073</v>
      </c>
      <c r="AD11" s="699">
        <v>1698</v>
      </c>
      <c r="AE11" s="699">
        <v>2195</v>
      </c>
      <c r="AF11" s="699">
        <v>2035</v>
      </c>
      <c r="AG11" s="697">
        <v>2127</v>
      </c>
      <c r="AH11" s="690" t="str">
        <f>IF(COUNTA(C11:AG11)&lt;&gt;COUNT(C11:AG11),"Please remove any text entries, enter numeric values only","")</f>
        <v/>
      </c>
    </row>
    <row r="12" spans="2:37">
      <c r="B12" s="691" t="s">
        <v>1561</v>
      </c>
      <c r="C12" s="703">
        <v>0.52</v>
      </c>
      <c r="D12" s="703">
        <v>0.5</v>
      </c>
      <c r="E12" s="730">
        <f>IFERROR(AVERAGE(I12:T12),0)</f>
        <v>0.61166666666666669</v>
      </c>
      <c r="F12" s="703"/>
      <c r="G12" s="703"/>
      <c r="H12" s="690"/>
      <c r="I12" s="703">
        <v>0.51</v>
      </c>
      <c r="J12" s="703">
        <v>0.54</v>
      </c>
      <c r="K12" s="703">
        <v>0.56999999999999995</v>
      </c>
      <c r="L12" s="703">
        <v>0.57999999999999996</v>
      </c>
      <c r="M12" s="703">
        <v>0.59</v>
      </c>
      <c r="N12" s="703">
        <v>0.6</v>
      </c>
      <c r="O12" s="706">
        <v>0.62</v>
      </c>
      <c r="P12" s="706">
        <v>0.64</v>
      </c>
      <c r="Q12" s="706">
        <v>0.65</v>
      </c>
      <c r="R12" s="706">
        <v>0.66</v>
      </c>
      <c r="S12" s="706">
        <v>0.68</v>
      </c>
      <c r="T12" s="703">
        <v>0.7</v>
      </c>
      <c r="V12" s="703">
        <v>0.6</v>
      </c>
      <c r="W12" s="703">
        <v>0.6</v>
      </c>
      <c r="X12" s="703">
        <v>0.6</v>
      </c>
      <c r="Y12" s="703">
        <v>0.6</v>
      </c>
      <c r="Z12" s="703">
        <v>0.6</v>
      </c>
      <c r="AA12" s="703">
        <v>0.6</v>
      </c>
      <c r="AB12" s="706">
        <v>0.56000000000000005</v>
      </c>
      <c r="AC12" s="706">
        <v>0.66</v>
      </c>
      <c r="AD12" s="706">
        <v>0.63</v>
      </c>
      <c r="AE12" s="706">
        <v>0.52</v>
      </c>
      <c r="AF12" s="706">
        <v>0.56000000000000005</v>
      </c>
      <c r="AG12" s="703">
        <v>0.62</v>
      </c>
      <c r="AH12" s="690" t="str">
        <f t="shared" ref="AH12:AH14" si="0">IF(COUNTA(C12:AG12)&lt;&gt;COUNT(C12:AG12),"Please remove any text entries, enter numeric values only","")</f>
        <v/>
      </c>
    </row>
    <row r="13" spans="2:37">
      <c r="B13" s="691" t="s">
        <v>1562</v>
      </c>
      <c r="C13" s="692">
        <v>0.41</v>
      </c>
      <c r="D13" s="692">
        <v>0.09</v>
      </c>
      <c r="E13" s="730">
        <f>IFERROR(AVERAGE(I13:T13),0)</f>
        <v>1.4749999999999999</v>
      </c>
      <c r="F13" s="692"/>
      <c r="G13" s="692"/>
      <c r="H13" s="690"/>
      <c r="I13" s="692">
        <v>1.8</v>
      </c>
      <c r="J13" s="692">
        <v>1.8</v>
      </c>
      <c r="K13" s="692">
        <v>1.7</v>
      </c>
      <c r="L13" s="692">
        <v>1.7</v>
      </c>
      <c r="M13" s="692">
        <v>1.5</v>
      </c>
      <c r="N13" s="692">
        <v>1.7</v>
      </c>
      <c r="O13" s="695">
        <v>1.5</v>
      </c>
      <c r="P13" s="695">
        <v>1.4</v>
      </c>
      <c r="Q13" s="695">
        <v>1.3</v>
      </c>
      <c r="R13" s="695">
        <v>1.2</v>
      </c>
      <c r="S13" s="695">
        <v>1.1000000000000001</v>
      </c>
      <c r="T13" s="692">
        <v>1</v>
      </c>
      <c r="V13" s="692">
        <v>-3.3500000000000002E-2</v>
      </c>
      <c r="W13" s="692">
        <v>0.17330000000000001</v>
      </c>
      <c r="X13" s="692">
        <v>-3.3799999999999997E-2</v>
      </c>
      <c r="Y13" s="692">
        <v>0.192</v>
      </c>
      <c r="Z13" s="692">
        <v>0.1172</v>
      </c>
      <c r="AA13" s="692">
        <v>0.115</v>
      </c>
      <c r="AB13" s="695">
        <v>-0.106</v>
      </c>
      <c r="AC13" s="695">
        <v>-0.125</v>
      </c>
      <c r="AD13" s="695">
        <v>0.27500000000000002</v>
      </c>
      <c r="AE13" s="695">
        <v>-0.26800000000000002</v>
      </c>
      <c r="AF13" s="695">
        <v>-0.182</v>
      </c>
      <c r="AG13" s="692">
        <v>1.4999999999999999E-2</v>
      </c>
      <c r="AH13" s="690" t="str">
        <f t="shared" si="0"/>
        <v/>
      </c>
    </row>
    <row r="14" spans="2:37">
      <c r="B14" s="691" t="s">
        <v>1563</v>
      </c>
      <c r="C14" s="697">
        <v>20625</v>
      </c>
      <c r="D14" s="697">
        <v>20469</v>
      </c>
      <c r="E14" s="729">
        <f>SUM(I14:T14)</f>
        <v>19000</v>
      </c>
      <c r="F14" s="697"/>
      <c r="G14" s="697"/>
      <c r="H14" s="690"/>
      <c r="I14" s="697">
        <v>1500</v>
      </c>
      <c r="J14" s="697">
        <v>1750</v>
      </c>
      <c r="K14" s="697">
        <v>1750</v>
      </c>
      <c r="L14" s="697">
        <v>1750</v>
      </c>
      <c r="M14" s="697">
        <v>1750</v>
      </c>
      <c r="N14" s="697">
        <v>1600</v>
      </c>
      <c r="O14" s="699">
        <v>1600</v>
      </c>
      <c r="P14" s="699">
        <v>1500</v>
      </c>
      <c r="Q14" s="699">
        <v>1450</v>
      </c>
      <c r="R14" s="699">
        <v>1450</v>
      </c>
      <c r="S14" s="699">
        <v>1450</v>
      </c>
      <c r="T14" s="697">
        <v>1450</v>
      </c>
      <c r="V14" s="774">
        <v>1975</v>
      </c>
      <c r="W14" s="772">
        <v>2059</v>
      </c>
      <c r="X14" s="775">
        <v>1749</v>
      </c>
      <c r="Y14" s="774">
        <v>1939</v>
      </c>
      <c r="Z14" s="772">
        <v>1639</v>
      </c>
      <c r="AA14" s="775">
        <v>1687</v>
      </c>
      <c r="AB14" s="699">
        <v>1646</v>
      </c>
      <c r="AC14" s="699">
        <v>1463</v>
      </c>
      <c r="AD14" s="699">
        <v>1246</v>
      </c>
      <c r="AE14" s="699">
        <v>1533</v>
      </c>
      <c r="AF14" s="699">
        <v>1490</v>
      </c>
      <c r="AG14" s="697">
        <v>1474</v>
      </c>
      <c r="AH14" s="690" t="str">
        <f t="shared" si="0"/>
        <v/>
      </c>
    </row>
    <row r="16" spans="2:37">
      <c r="AH16" s="732">
        <f>COUNTIFS(AH11:AH15,"Please*")</f>
        <v>0</v>
      </c>
    </row>
  </sheetData>
  <mergeCells count="1">
    <mergeCell ref="C7:D7"/>
  </mergeCells>
  <pageMargins left="0.70866141732283472" right="0.70866141732283472" top="0.74803149606299213" bottom="0.74803149606299213" header="0.31496062992125984" footer="0.31496062992125984"/>
  <pageSetup paperSize="9" scale="24" fitToHeight="0"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pageSetUpPr fitToPage="1"/>
  </sheetPr>
  <dimension ref="B1:AK36"/>
  <sheetViews>
    <sheetView showGridLines="0" topLeftCell="A7" zoomScaleNormal="100" workbookViewId="0">
      <pane xSplit="2" ySplit="1" topLeftCell="Y8" activePane="bottomRight" state="frozenSplit"/>
      <selection activeCell="S193" sqref="S193"/>
      <selection pane="topRight" activeCell="S193" sqref="S193"/>
      <selection pane="bottomLeft" activeCell="S193" sqref="S193"/>
      <selection pane="bottomRight" activeCell="AG28" sqref="AG28"/>
    </sheetView>
  </sheetViews>
  <sheetFormatPr defaultRowHeight="15.5"/>
  <cols>
    <col min="1" max="1" width="1.84375" customWidth="1"/>
    <col min="2" max="2" width="72.23046875" customWidth="1"/>
    <col min="3" max="7" width="12.69140625" customWidth="1"/>
    <col min="8" max="8" width="4.07421875" customWidth="1"/>
    <col min="9" max="9" width="14.69140625" customWidth="1"/>
    <col min="10" max="20" width="12.69140625" customWidth="1"/>
    <col min="21" max="21" width="4.3046875" customWidth="1"/>
    <col min="22" max="33" width="12.69140625" customWidth="1"/>
    <col min="34" max="38" width="9.4609375" customWidth="1"/>
    <col min="202" max="202" width="49.07421875" bestFit="1" customWidth="1"/>
    <col min="215" max="215" width="8.4609375" customWidth="1"/>
    <col min="216" max="216" width="5.4609375" customWidth="1"/>
    <col min="217" max="218" width="10.53515625" customWidth="1"/>
    <col min="458" max="458" width="49.07421875" bestFit="1" customWidth="1"/>
    <col min="471" max="471" width="8.4609375" customWidth="1"/>
    <col min="472" max="472" width="5.4609375" customWidth="1"/>
    <col min="473" max="474" width="10.53515625" customWidth="1"/>
    <col min="714" max="714" width="49.07421875" bestFit="1" customWidth="1"/>
    <col min="727" max="727" width="8.4609375" customWidth="1"/>
    <col min="728" max="728" width="5.4609375" customWidth="1"/>
    <col min="729" max="730" width="10.53515625" customWidth="1"/>
    <col min="970" max="970" width="49.07421875" bestFit="1" customWidth="1"/>
    <col min="983" max="983" width="8.4609375" customWidth="1"/>
    <col min="984" max="984" width="5.4609375" customWidth="1"/>
    <col min="985" max="986" width="10.53515625" customWidth="1"/>
    <col min="1226" max="1226" width="49.07421875" bestFit="1" customWidth="1"/>
    <col min="1239" max="1239" width="8.4609375" customWidth="1"/>
    <col min="1240" max="1240" width="5.4609375" customWidth="1"/>
    <col min="1241" max="1242" width="10.53515625" customWidth="1"/>
    <col min="1482" max="1482" width="49.07421875" bestFit="1" customWidth="1"/>
    <col min="1495" max="1495" width="8.4609375" customWidth="1"/>
    <col min="1496" max="1496" width="5.4609375" customWidth="1"/>
    <col min="1497" max="1498" width="10.53515625" customWidth="1"/>
    <col min="1738" max="1738" width="49.07421875" bestFit="1" customWidth="1"/>
    <col min="1751" max="1751" width="8.4609375" customWidth="1"/>
    <col min="1752" max="1752" width="5.4609375" customWidth="1"/>
    <col min="1753" max="1754" width="10.53515625" customWidth="1"/>
    <col min="1994" max="1994" width="49.07421875" bestFit="1" customWidth="1"/>
    <col min="2007" max="2007" width="8.4609375" customWidth="1"/>
    <col min="2008" max="2008" width="5.4609375" customWidth="1"/>
    <col min="2009" max="2010" width="10.53515625" customWidth="1"/>
    <col min="2250" max="2250" width="49.07421875" bestFit="1" customWidth="1"/>
    <col min="2263" max="2263" width="8.4609375" customWidth="1"/>
    <col min="2264" max="2264" width="5.4609375" customWidth="1"/>
    <col min="2265" max="2266" width="10.53515625" customWidth="1"/>
    <col min="2506" max="2506" width="49.07421875" bestFit="1" customWidth="1"/>
    <col min="2519" max="2519" width="8.4609375" customWidth="1"/>
    <col min="2520" max="2520" width="5.4609375" customWidth="1"/>
    <col min="2521" max="2522" width="10.53515625" customWidth="1"/>
    <col min="2762" max="2762" width="49.07421875" bestFit="1" customWidth="1"/>
    <col min="2775" max="2775" width="8.4609375" customWidth="1"/>
    <col min="2776" max="2776" width="5.4609375" customWidth="1"/>
    <col min="2777" max="2778" width="10.53515625" customWidth="1"/>
    <col min="3018" max="3018" width="49.07421875" bestFit="1" customWidth="1"/>
    <col min="3031" max="3031" width="8.4609375" customWidth="1"/>
    <col min="3032" max="3032" width="5.4609375" customWidth="1"/>
    <col min="3033" max="3034" width="10.53515625" customWidth="1"/>
    <col min="3274" max="3274" width="49.07421875" bestFit="1" customWidth="1"/>
    <col min="3287" max="3287" width="8.4609375" customWidth="1"/>
    <col min="3288" max="3288" width="5.4609375" customWidth="1"/>
    <col min="3289" max="3290" width="10.53515625" customWidth="1"/>
    <col min="3530" max="3530" width="49.07421875" bestFit="1" customWidth="1"/>
    <col min="3543" max="3543" width="8.4609375" customWidth="1"/>
    <col min="3544" max="3544" width="5.4609375" customWidth="1"/>
    <col min="3545" max="3546" width="10.53515625" customWidth="1"/>
    <col min="3786" max="3786" width="49.07421875" bestFit="1" customWidth="1"/>
    <col min="3799" max="3799" width="8.4609375" customWidth="1"/>
    <col min="3800" max="3800" width="5.4609375" customWidth="1"/>
    <col min="3801" max="3802" width="10.53515625" customWidth="1"/>
    <col min="4042" max="4042" width="49.07421875" bestFit="1" customWidth="1"/>
    <col min="4055" max="4055" width="8.4609375" customWidth="1"/>
    <col min="4056" max="4056" width="5.4609375" customWidth="1"/>
    <col min="4057" max="4058" width="10.53515625" customWidth="1"/>
    <col min="4298" max="4298" width="49.07421875" bestFit="1" customWidth="1"/>
    <col min="4311" max="4311" width="8.4609375" customWidth="1"/>
    <col min="4312" max="4312" width="5.4609375" customWidth="1"/>
    <col min="4313" max="4314" width="10.53515625" customWidth="1"/>
    <col min="4554" max="4554" width="49.07421875" bestFit="1" customWidth="1"/>
    <col min="4567" max="4567" width="8.4609375" customWidth="1"/>
    <col min="4568" max="4568" width="5.4609375" customWidth="1"/>
    <col min="4569" max="4570" width="10.53515625" customWidth="1"/>
    <col min="4810" max="4810" width="49.07421875" bestFit="1" customWidth="1"/>
    <col min="4823" max="4823" width="8.4609375" customWidth="1"/>
    <col min="4824" max="4824" width="5.4609375" customWidth="1"/>
    <col min="4825" max="4826" width="10.53515625" customWidth="1"/>
    <col min="5066" max="5066" width="49.07421875" bestFit="1" customWidth="1"/>
    <col min="5079" max="5079" width="8.4609375" customWidth="1"/>
    <col min="5080" max="5080" width="5.4609375" customWidth="1"/>
    <col min="5081" max="5082" width="10.53515625" customWidth="1"/>
    <col min="5322" max="5322" width="49.07421875" bestFit="1" customWidth="1"/>
    <col min="5335" max="5335" width="8.4609375" customWidth="1"/>
    <col min="5336" max="5336" width="5.4609375" customWidth="1"/>
    <col min="5337" max="5338" width="10.53515625" customWidth="1"/>
    <col min="5578" max="5578" width="49.07421875" bestFit="1" customWidth="1"/>
    <col min="5591" max="5591" width="8.4609375" customWidth="1"/>
    <col min="5592" max="5592" width="5.4609375" customWidth="1"/>
    <col min="5593" max="5594" width="10.53515625" customWidth="1"/>
    <col min="5834" max="5834" width="49.07421875" bestFit="1" customWidth="1"/>
    <col min="5847" max="5847" width="8.4609375" customWidth="1"/>
    <col min="5848" max="5848" width="5.4609375" customWidth="1"/>
    <col min="5849" max="5850" width="10.53515625" customWidth="1"/>
    <col min="6090" max="6090" width="49.07421875" bestFit="1" customWidth="1"/>
    <col min="6103" max="6103" width="8.4609375" customWidth="1"/>
    <col min="6104" max="6104" width="5.4609375" customWidth="1"/>
    <col min="6105" max="6106" width="10.53515625" customWidth="1"/>
    <col min="6346" max="6346" width="49.07421875" bestFit="1" customWidth="1"/>
    <col min="6359" max="6359" width="8.4609375" customWidth="1"/>
    <col min="6360" max="6360" width="5.4609375" customWidth="1"/>
    <col min="6361" max="6362" width="10.53515625" customWidth="1"/>
    <col min="6602" max="6602" width="49.07421875" bestFit="1" customWidth="1"/>
    <col min="6615" max="6615" width="8.4609375" customWidth="1"/>
    <col min="6616" max="6616" width="5.4609375" customWidth="1"/>
    <col min="6617" max="6618" width="10.53515625" customWidth="1"/>
    <col min="6858" max="6858" width="49.07421875" bestFit="1" customWidth="1"/>
    <col min="6871" max="6871" width="8.4609375" customWidth="1"/>
    <col min="6872" max="6872" width="5.4609375" customWidth="1"/>
    <col min="6873" max="6874" width="10.53515625" customWidth="1"/>
    <col min="7114" max="7114" width="49.07421875" bestFit="1" customWidth="1"/>
    <col min="7127" max="7127" width="8.4609375" customWidth="1"/>
    <col min="7128" max="7128" width="5.4609375" customWidth="1"/>
    <col min="7129" max="7130" width="10.53515625" customWidth="1"/>
    <col min="7370" max="7370" width="49.07421875" bestFit="1" customWidth="1"/>
    <col min="7383" max="7383" width="8.4609375" customWidth="1"/>
    <col min="7384" max="7384" width="5.4609375" customWidth="1"/>
    <col min="7385" max="7386" width="10.53515625" customWidth="1"/>
    <col min="7626" max="7626" width="49.07421875" bestFit="1" customWidth="1"/>
    <col min="7639" max="7639" width="8.4609375" customWidth="1"/>
    <col min="7640" max="7640" width="5.4609375" customWidth="1"/>
    <col min="7641" max="7642" width="10.53515625" customWidth="1"/>
    <col min="7882" max="7882" width="49.07421875" bestFit="1" customWidth="1"/>
    <col min="7895" max="7895" width="8.4609375" customWidth="1"/>
    <col min="7896" max="7896" width="5.4609375" customWidth="1"/>
    <col min="7897" max="7898" width="10.53515625" customWidth="1"/>
    <col min="8138" max="8138" width="49.07421875" bestFit="1" customWidth="1"/>
    <col min="8151" max="8151" width="8.4609375" customWidth="1"/>
    <col min="8152" max="8152" width="5.4609375" customWidth="1"/>
    <col min="8153" max="8154" width="10.53515625" customWidth="1"/>
    <col min="8394" max="8394" width="49.07421875" bestFit="1" customWidth="1"/>
    <col min="8407" max="8407" width="8.4609375" customWidth="1"/>
    <col min="8408" max="8408" width="5.4609375" customWidth="1"/>
    <col min="8409" max="8410" width="10.53515625" customWidth="1"/>
    <col min="8650" max="8650" width="49.07421875" bestFit="1" customWidth="1"/>
    <col min="8663" max="8663" width="8.4609375" customWidth="1"/>
    <col min="8664" max="8664" width="5.4609375" customWidth="1"/>
    <col min="8665" max="8666" width="10.53515625" customWidth="1"/>
    <col min="8906" max="8906" width="49.07421875" bestFit="1" customWidth="1"/>
    <col min="8919" max="8919" width="8.4609375" customWidth="1"/>
    <col min="8920" max="8920" width="5.4609375" customWidth="1"/>
    <col min="8921" max="8922" width="10.53515625" customWidth="1"/>
    <col min="9162" max="9162" width="49.07421875" bestFit="1" customWidth="1"/>
    <col min="9175" max="9175" width="8.4609375" customWidth="1"/>
    <col min="9176" max="9176" width="5.4609375" customWidth="1"/>
    <col min="9177" max="9178" width="10.53515625" customWidth="1"/>
    <col min="9418" max="9418" width="49.07421875" bestFit="1" customWidth="1"/>
    <col min="9431" max="9431" width="8.4609375" customWidth="1"/>
    <col min="9432" max="9432" width="5.4609375" customWidth="1"/>
    <col min="9433" max="9434" width="10.53515625" customWidth="1"/>
    <col min="9674" max="9674" width="49.07421875" bestFit="1" customWidth="1"/>
    <col min="9687" max="9687" width="8.4609375" customWidth="1"/>
    <col min="9688" max="9688" width="5.4609375" customWidth="1"/>
    <col min="9689" max="9690" width="10.53515625" customWidth="1"/>
    <col min="9930" max="9930" width="49.07421875" bestFit="1" customWidth="1"/>
    <col min="9943" max="9943" width="8.4609375" customWidth="1"/>
    <col min="9944" max="9944" width="5.4609375" customWidth="1"/>
    <col min="9945" max="9946" width="10.53515625" customWidth="1"/>
    <col min="10186" max="10186" width="49.07421875" bestFit="1" customWidth="1"/>
    <col min="10199" max="10199" width="8.4609375" customWidth="1"/>
    <col min="10200" max="10200" width="5.4609375" customWidth="1"/>
    <col min="10201" max="10202" width="10.53515625" customWidth="1"/>
    <col min="10442" max="10442" width="49.07421875" bestFit="1" customWidth="1"/>
    <col min="10455" max="10455" width="8.4609375" customWidth="1"/>
    <col min="10456" max="10456" width="5.4609375" customWidth="1"/>
    <col min="10457" max="10458" width="10.53515625" customWidth="1"/>
    <col min="10698" max="10698" width="49.07421875" bestFit="1" customWidth="1"/>
    <col min="10711" max="10711" width="8.4609375" customWidth="1"/>
    <col min="10712" max="10712" width="5.4609375" customWidth="1"/>
    <col min="10713" max="10714" width="10.53515625" customWidth="1"/>
    <col min="10954" max="10954" width="49.07421875" bestFit="1" customWidth="1"/>
    <col min="10967" max="10967" width="8.4609375" customWidth="1"/>
    <col min="10968" max="10968" width="5.4609375" customWidth="1"/>
    <col min="10969" max="10970" width="10.53515625" customWidth="1"/>
    <col min="11210" max="11210" width="49.07421875" bestFit="1" customWidth="1"/>
    <col min="11223" max="11223" width="8.4609375" customWidth="1"/>
    <col min="11224" max="11224" width="5.4609375" customWidth="1"/>
    <col min="11225" max="11226" width="10.53515625" customWidth="1"/>
    <col min="11466" max="11466" width="49.07421875" bestFit="1" customWidth="1"/>
    <col min="11479" max="11479" width="8.4609375" customWidth="1"/>
    <col min="11480" max="11480" width="5.4609375" customWidth="1"/>
    <col min="11481" max="11482" width="10.53515625" customWidth="1"/>
    <col min="11722" max="11722" width="49.07421875" bestFit="1" customWidth="1"/>
    <col min="11735" max="11735" width="8.4609375" customWidth="1"/>
    <col min="11736" max="11736" width="5.4609375" customWidth="1"/>
    <col min="11737" max="11738" width="10.53515625" customWidth="1"/>
    <col min="11978" max="11978" width="49.07421875" bestFit="1" customWidth="1"/>
    <col min="11991" max="11991" width="8.4609375" customWidth="1"/>
    <col min="11992" max="11992" width="5.4609375" customWidth="1"/>
    <col min="11993" max="11994" width="10.53515625" customWidth="1"/>
    <col min="12234" max="12234" width="49.07421875" bestFit="1" customWidth="1"/>
    <col min="12247" max="12247" width="8.4609375" customWidth="1"/>
    <col min="12248" max="12248" width="5.4609375" customWidth="1"/>
    <col min="12249" max="12250" width="10.53515625" customWidth="1"/>
    <col min="12490" max="12490" width="49.07421875" bestFit="1" customWidth="1"/>
    <col min="12503" max="12503" width="8.4609375" customWidth="1"/>
    <col min="12504" max="12504" width="5.4609375" customWidth="1"/>
    <col min="12505" max="12506" width="10.53515625" customWidth="1"/>
    <col min="12746" max="12746" width="49.07421875" bestFit="1" customWidth="1"/>
    <col min="12759" max="12759" width="8.4609375" customWidth="1"/>
    <col min="12760" max="12760" width="5.4609375" customWidth="1"/>
    <col min="12761" max="12762" width="10.53515625" customWidth="1"/>
    <col min="13002" max="13002" width="49.07421875" bestFit="1" customWidth="1"/>
    <col min="13015" max="13015" width="8.4609375" customWidth="1"/>
    <col min="13016" max="13016" width="5.4609375" customWidth="1"/>
    <col min="13017" max="13018" width="10.53515625" customWidth="1"/>
    <col min="13258" max="13258" width="49.07421875" bestFit="1" customWidth="1"/>
    <col min="13271" max="13271" width="8.4609375" customWidth="1"/>
    <col min="13272" max="13272" width="5.4609375" customWidth="1"/>
    <col min="13273" max="13274" width="10.53515625" customWidth="1"/>
    <col min="13514" max="13514" width="49.07421875" bestFit="1" customWidth="1"/>
    <col min="13527" max="13527" width="8.4609375" customWidth="1"/>
    <col min="13528" max="13528" width="5.4609375" customWidth="1"/>
    <col min="13529" max="13530" width="10.53515625" customWidth="1"/>
    <col min="13770" max="13770" width="49.07421875" bestFit="1" customWidth="1"/>
    <col min="13783" max="13783" width="8.4609375" customWidth="1"/>
    <col min="13784" max="13784" width="5.4609375" customWidth="1"/>
    <col min="13785" max="13786" width="10.53515625" customWidth="1"/>
    <col min="14026" max="14026" width="49.07421875" bestFit="1" customWidth="1"/>
    <col min="14039" max="14039" width="8.4609375" customWidth="1"/>
    <col min="14040" max="14040" width="5.4609375" customWidth="1"/>
    <col min="14041" max="14042" width="10.53515625" customWidth="1"/>
    <col min="14282" max="14282" width="49.07421875" bestFit="1" customWidth="1"/>
    <col min="14295" max="14295" width="8.4609375" customWidth="1"/>
    <col min="14296" max="14296" width="5.4609375" customWidth="1"/>
    <col min="14297" max="14298" width="10.53515625" customWidth="1"/>
    <col min="14538" max="14538" width="49.07421875" bestFit="1" customWidth="1"/>
    <col min="14551" max="14551" width="8.4609375" customWidth="1"/>
    <col min="14552" max="14552" width="5.4609375" customWidth="1"/>
    <col min="14553" max="14554" width="10.53515625" customWidth="1"/>
    <col min="14794" max="14794" width="49.07421875" bestFit="1" customWidth="1"/>
    <col min="14807" max="14807" width="8.4609375" customWidth="1"/>
    <col min="14808" max="14808" width="5.4609375" customWidth="1"/>
    <col min="14809" max="14810" width="10.53515625" customWidth="1"/>
    <col min="15050" max="15050" width="49.07421875" bestFit="1" customWidth="1"/>
    <col min="15063" max="15063" width="8.4609375" customWidth="1"/>
    <col min="15064" max="15064" width="5.4609375" customWidth="1"/>
    <col min="15065" max="15066" width="10.53515625" customWidth="1"/>
    <col min="15306" max="15306" width="49.07421875" bestFit="1" customWidth="1"/>
    <col min="15319" max="15319" width="8.4609375" customWidth="1"/>
    <col min="15320" max="15320" width="5.4609375" customWidth="1"/>
    <col min="15321" max="15322" width="10.53515625" customWidth="1"/>
    <col min="15562" max="15562" width="49.07421875" bestFit="1" customWidth="1"/>
    <col min="15575" max="15575" width="8.4609375" customWidth="1"/>
    <col min="15576" max="15576" width="5.4609375" customWidth="1"/>
    <col min="15577" max="15578" width="10.53515625" customWidth="1"/>
    <col min="15818" max="15818" width="49.07421875" bestFit="1" customWidth="1"/>
    <col min="15831" max="15831" width="8.4609375" customWidth="1"/>
    <col min="15832" max="15832" width="5.4609375" customWidth="1"/>
    <col min="15833" max="15834" width="10.53515625" customWidth="1"/>
    <col min="16074" max="16074" width="49.07421875" bestFit="1" customWidth="1"/>
    <col min="16087" max="16087" width="8.4609375" customWidth="1"/>
    <col min="16088" max="16088" width="5.4609375" customWidth="1"/>
    <col min="16089" max="16090" width="10.53515625" customWidth="1"/>
  </cols>
  <sheetData>
    <row r="1" spans="2:37" s="690" customFormat="1" ht="15.75" hidden="1" customHeight="1"/>
    <row r="2" spans="2:37" s="690" customFormat="1" ht="23.25" hidden="1" customHeight="1">
      <c r="B2" s="716" t="str">
        <f>IF('[1]Front Sheet and Checklist'!C5="(please select from drop down)","Please select organisation from front sheet",'[1]Front Sheet and Checklist'!C5)</f>
        <v>Please select organisation from front sheet</v>
      </c>
      <c r="C2" s="717"/>
      <c r="D2" s="717"/>
      <c r="E2" s="717"/>
      <c r="F2" s="717"/>
      <c r="G2" s="717"/>
      <c r="H2" s="79"/>
      <c r="I2" s="717"/>
      <c r="J2" s="717"/>
      <c r="K2" s="717"/>
      <c r="L2" s="718"/>
    </row>
    <row r="3" spans="2:37" s="690" customFormat="1" ht="13" hidden="1">
      <c r="B3" s="719" t="s">
        <v>1556</v>
      </c>
      <c r="C3" s="720"/>
      <c r="D3" s="720"/>
      <c r="E3" s="720"/>
      <c r="F3" s="720"/>
      <c r="G3" s="720"/>
      <c r="H3" s="737"/>
      <c r="I3" s="720"/>
      <c r="J3" s="720"/>
      <c r="K3" s="720"/>
      <c r="L3" s="721"/>
    </row>
    <row r="4" spans="2:37" s="690" customFormat="1" ht="13" hidden="1">
      <c r="B4" s="719" t="s">
        <v>1564</v>
      </c>
      <c r="C4" s="720"/>
      <c r="D4" s="720"/>
      <c r="E4" s="720"/>
      <c r="F4" s="720"/>
      <c r="G4" s="720"/>
      <c r="H4" s="737"/>
      <c r="I4" s="720"/>
      <c r="J4" s="720"/>
      <c r="K4" s="720"/>
      <c r="L4" s="721"/>
    </row>
    <row r="5" spans="2:37" s="690" customFormat="1" ht="13" hidden="1">
      <c r="B5" s="722" t="s">
        <v>1526</v>
      </c>
      <c r="C5" s="723"/>
      <c r="D5" s="723"/>
      <c r="E5" s="723"/>
      <c r="F5" s="723"/>
      <c r="G5" s="723"/>
      <c r="H5" s="738"/>
      <c r="I5" s="723"/>
      <c r="J5" s="723"/>
      <c r="K5" s="723"/>
      <c r="L5" s="724"/>
    </row>
    <row r="6" spans="2:37" s="690" customFormat="1" ht="24.75" hidden="1" customHeight="1">
      <c r="B6" s="708"/>
      <c r="C6" s="1"/>
      <c r="D6" s="1"/>
      <c r="F6" s="1"/>
      <c r="G6" s="1"/>
      <c r="I6" s="1"/>
      <c r="J6" s="1"/>
      <c r="K6" s="1"/>
      <c r="L6" s="1"/>
      <c r="M6" s="1"/>
      <c r="N6" s="1"/>
      <c r="O6" s="1"/>
      <c r="P6" s="1"/>
      <c r="Q6" s="1"/>
      <c r="R6" s="1"/>
      <c r="S6" s="1"/>
      <c r="T6" s="1"/>
      <c r="AH6" s="725"/>
      <c r="AI6" s="725"/>
      <c r="AJ6" s="725"/>
      <c r="AK6" s="725"/>
    </row>
    <row r="7" spans="2:37" s="682" customFormat="1" ht="39.75" customHeight="1">
      <c r="B7" s="16"/>
      <c r="C7" s="857" t="s">
        <v>1337</v>
      </c>
      <c r="D7" s="858"/>
      <c r="E7" s="16"/>
      <c r="F7" s="16"/>
      <c r="G7" s="16"/>
      <c r="I7" s="739" t="s">
        <v>1565</v>
      </c>
      <c r="J7" s="861"/>
      <c r="K7" s="861"/>
      <c r="L7" s="861"/>
      <c r="M7" s="861"/>
      <c r="N7" s="861"/>
      <c r="O7" s="861"/>
      <c r="P7" s="861"/>
      <c r="Q7" s="861"/>
      <c r="R7" s="861"/>
      <c r="S7" s="861"/>
      <c r="T7" s="142"/>
      <c r="V7" s="739" t="s">
        <v>1566</v>
      </c>
      <c r="W7" s="143"/>
      <c r="X7" s="143"/>
      <c r="Y7" s="143"/>
      <c r="Z7" s="143"/>
      <c r="AA7" s="143"/>
      <c r="AB7" s="143"/>
      <c r="AC7" s="143"/>
      <c r="AD7" s="143"/>
      <c r="AE7" s="143"/>
      <c r="AF7" s="143"/>
      <c r="AG7" s="142"/>
    </row>
    <row r="8" spans="2:37" s="682" customFormat="1" ht="31">
      <c r="B8" s="111" t="s">
        <v>1567</v>
      </c>
      <c r="C8" s="726" t="s">
        <v>1422</v>
      </c>
      <c r="D8" s="726" t="s">
        <v>1423</v>
      </c>
      <c r="E8" s="726" t="s">
        <v>326</v>
      </c>
      <c r="F8" s="726" t="s">
        <v>1425</v>
      </c>
      <c r="G8" s="726" t="s">
        <v>1426</v>
      </c>
      <c r="I8" s="726" t="s">
        <v>182</v>
      </c>
      <c r="J8" s="726" t="s">
        <v>183</v>
      </c>
      <c r="K8" s="726" t="s">
        <v>184</v>
      </c>
      <c r="L8" s="726" t="s">
        <v>185</v>
      </c>
      <c r="M8" s="726" t="s">
        <v>186</v>
      </c>
      <c r="N8" s="726" t="s">
        <v>187</v>
      </c>
      <c r="O8" s="740" t="s">
        <v>188</v>
      </c>
      <c r="P8" s="740" t="s">
        <v>189</v>
      </c>
      <c r="Q8" s="740" t="s">
        <v>190</v>
      </c>
      <c r="R8" s="740" t="s">
        <v>191</v>
      </c>
      <c r="S8" s="740" t="s">
        <v>192</v>
      </c>
      <c r="T8" s="740" t="s">
        <v>193</v>
      </c>
      <c r="V8" s="726" t="s">
        <v>182</v>
      </c>
      <c r="W8" s="726" t="s">
        <v>183</v>
      </c>
      <c r="X8" s="726" t="s">
        <v>184</v>
      </c>
      <c r="Y8" s="726" t="s">
        <v>185</v>
      </c>
      <c r="Z8" s="726" t="s">
        <v>186</v>
      </c>
      <c r="AA8" s="726" t="s">
        <v>187</v>
      </c>
      <c r="AB8" s="740" t="s">
        <v>188</v>
      </c>
      <c r="AC8" s="740" t="s">
        <v>189</v>
      </c>
      <c r="AD8" s="740" t="s">
        <v>190</v>
      </c>
      <c r="AE8" s="740" t="s">
        <v>191</v>
      </c>
      <c r="AF8" s="740" t="s">
        <v>192</v>
      </c>
      <c r="AG8" s="740" t="s">
        <v>193</v>
      </c>
    </row>
    <row r="9" spans="2:37" s="682" customFormat="1" ht="15.75" customHeight="1">
      <c r="B9" s="741" t="s">
        <v>266</v>
      </c>
      <c r="C9" s="741" t="s">
        <v>1290</v>
      </c>
      <c r="D9" s="741"/>
      <c r="E9" s="741"/>
      <c r="F9" s="741"/>
      <c r="G9" s="741"/>
      <c r="I9" s="741"/>
      <c r="J9" s="741"/>
      <c r="K9" s="741"/>
      <c r="L9" s="741"/>
      <c r="M9" s="741"/>
      <c r="N9" s="741"/>
      <c r="O9" s="741"/>
      <c r="P9" s="741"/>
      <c r="Q9" s="741"/>
      <c r="R9" s="741"/>
      <c r="S9" s="741"/>
      <c r="T9" s="741"/>
      <c r="V9" s="741"/>
      <c r="W9" s="741"/>
      <c r="X9" s="741"/>
      <c r="Y9" s="741"/>
      <c r="Z9" s="741"/>
      <c r="AA9" s="741"/>
      <c r="AB9" s="741"/>
      <c r="AC9" s="741"/>
      <c r="AD9" s="741"/>
      <c r="AE9" s="741"/>
      <c r="AF9" s="741"/>
      <c r="AG9" s="741"/>
    </row>
    <row r="10" spans="2:37" s="682" customFormat="1" ht="15.75" customHeight="1" thickBot="1">
      <c r="B10" s="118" t="s">
        <v>1568</v>
      </c>
      <c r="C10" s="119"/>
      <c r="D10" s="119"/>
      <c r="E10" s="119"/>
      <c r="F10" s="119"/>
      <c r="G10" s="120"/>
      <c r="I10" s="118"/>
      <c r="J10" s="119"/>
      <c r="K10" s="119"/>
      <c r="L10" s="119"/>
      <c r="M10" s="119"/>
      <c r="N10" s="119"/>
      <c r="O10" s="119"/>
      <c r="P10" s="119"/>
      <c r="Q10" s="119"/>
      <c r="R10" s="119"/>
      <c r="S10" s="119"/>
      <c r="T10" s="120"/>
      <c r="V10" s="118"/>
      <c r="W10" s="119"/>
      <c r="X10" s="119"/>
      <c r="Y10" s="119"/>
      <c r="Z10" s="119"/>
      <c r="AA10" s="119"/>
      <c r="AB10" s="119"/>
      <c r="AC10" s="119"/>
      <c r="AD10" s="119"/>
      <c r="AE10" s="119"/>
      <c r="AF10" s="119"/>
      <c r="AG10" s="120"/>
    </row>
    <row r="11" spans="2:37">
      <c r="B11" s="742" t="s">
        <v>1569</v>
      </c>
      <c r="C11" s="743">
        <v>77938</v>
      </c>
      <c r="D11" s="743">
        <v>83032</v>
      </c>
      <c r="E11" s="744">
        <f>SUM(I11:T11)</f>
        <v>76000</v>
      </c>
      <c r="F11" s="743"/>
      <c r="G11" s="743"/>
      <c r="H11" s="690"/>
      <c r="I11" s="743">
        <v>6500</v>
      </c>
      <c r="J11" s="743">
        <v>6500</v>
      </c>
      <c r="K11" s="743">
        <v>6300</v>
      </c>
      <c r="L11" s="743">
        <v>6300</v>
      </c>
      <c r="M11" s="743">
        <v>6200</v>
      </c>
      <c r="N11" s="743">
        <v>6200</v>
      </c>
      <c r="O11" s="745">
        <v>6300</v>
      </c>
      <c r="P11" s="745">
        <v>6400</v>
      </c>
      <c r="Q11" s="745">
        <v>6400</v>
      </c>
      <c r="R11" s="745">
        <v>6300</v>
      </c>
      <c r="S11" s="745">
        <v>6300</v>
      </c>
      <c r="T11" s="743">
        <v>6300</v>
      </c>
      <c r="V11" s="771">
        <v>6666</v>
      </c>
      <c r="W11" s="771">
        <v>7397</v>
      </c>
      <c r="X11" s="771">
        <v>6959</v>
      </c>
      <c r="Y11" s="771">
        <v>7621</v>
      </c>
      <c r="Z11" s="771">
        <v>6827</v>
      </c>
      <c r="AA11" s="771">
        <v>6941</v>
      </c>
      <c r="AB11" s="771">
        <v>7475</v>
      </c>
      <c r="AC11" s="771">
        <v>7498</v>
      </c>
      <c r="AD11" s="771">
        <v>7507</v>
      </c>
      <c r="AE11" s="788">
        <v>6715</v>
      </c>
      <c r="AF11" s="788">
        <v>6026</v>
      </c>
      <c r="AG11" s="789">
        <v>7165</v>
      </c>
      <c r="AH11" s="690" t="str">
        <f>IF(COUNTA(C11:AG11)&lt;&gt;COUNT(C11:AG11),"Please remove any text entries, enter numeric values only","")</f>
        <v/>
      </c>
    </row>
    <row r="12" spans="2:37">
      <c r="B12" s="691" t="s">
        <v>1570</v>
      </c>
      <c r="C12" s="697">
        <v>47943</v>
      </c>
      <c r="D12" s="697">
        <v>49566</v>
      </c>
      <c r="E12" s="729">
        <v>50950</v>
      </c>
      <c r="F12" s="697"/>
      <c r="G12" s="697"/>
      <c r="H12" s="690"/>
      <c r="I12" s="697">
        <v>4100</v>
      </c>
      <c r="J12" s="697">
        <v>4200</v>
      </c>
      <c r="K12" s="697">
        <v>4200</v>
      </c>
      <c r="L12" s="697">
        <v>4200</v>
      </c>
      <c r="M12" s="697">
        <v>4100</v>
      </c>
      <c r="N12" s="697">
        <v>4200</v>
      </c>
      <c r="O12" s="699">
        <v>4300</v>
      </c>
      <c r="P12" s="699">
        <v>4350</v>
      </c>
      <c r="Q12" s="699">
        <v>4400</v>
      </c>
      <c r="R12" s="699">
        <v>4300</v>
      </c>
      <c r="S12" s="699">
        <v>4300</v>
      </c>
      <c r="T12" s="697">
        <v>4300</v>
      </c>
      <c r="V12" s="772">
        <v>4829</v>
      </c>
      <c r="W12" s="772">
        <v>5121</v>
      </c>
      <c r="X12" s="772">
        <v>4797</v>
      </c>
      <c r="Y12" s="772">
        <v>4769</v>
      </c>
      <c r="Z12" s="772">
        <v>4527</v>
      </c>
      <c r="AA12" s="772">
        <v>4692</v>
      </c>
      <c r="AB12" s="772">
        <v>4791</v>
      </c>
      <c r="AC12" s="772">
        <v>4367</v>
      </c>
      <c r="AD12" s="772">
        <v>3714</v>
      </c>
      <c r="AE12" s="790">
        <v>4193</v>
      </c>
      <c r="AF12" s="790">
        <v>3943</v>
      </c>
      <c r="AG12" s="791">
        <v>5106</v>
      </c>
      <c r="AH12" s="690" t="str">
        <f t="shared" ref="AH12:AH15" si="0">IF(COUNTA(C12:AG12)&lt;&gt;COUNT(C12:AG12),"Please remove any text entries, enter numeric values only","")</f>
        <v/>
      </c>
    </row>
    <row r="13" spans="2:37">
      <c r="B13" s="691" t="s">
        <v>1571</v>
      </c>
      <c r="C13" s="697">
        <v>38285</v>
      </c>
      <c r="D13" s="697">
        <v>24979</v>
      </c>
      <c r="E13" s="729">
        <v>19950</v>
      </c>
      <c r="F13" s="697"/>
      <c r="G13" s="697"/>
      <c r="H13" s="690"/>
      <c r="I13" s="697">
        <v>1700</v>
      </c>
      <c r="J13" s="697">
        <v>1800</v>
      </c>
      <c r="K13" s="697">
        <v>1700</v>
      </c>
      <c r="L13" s="697">
        <v>1700</v>
      </c>
      <c r="M13" s="697">
        <v>1600</v>
      </c>
      <c r="N13" s="697">
        <v>1600</v>
      </c>
      <c r="O13" s="699">
        <v>1650</v>
      </c>
      <c r="P13" s="699">
        <v>1700</v>
      </c>
      <c r="Q13" s="699">
        <v>1700</v>
      </c>
      <c r="R13" s="699">
        <v>1600</v>
      </c>
      <c r="S13" s="699">
        <v>1600</v>
      </c>
      <c r="T13" s="697">
        <v>1600</v>
      </c>
      <c r="V13" s="772">
        <v>1824</v>
      </c>
      <c r="W13" s="772">
        <v>1865</v>
      </c>
      <c r="X13" s="772">
        <v>1671</v>
      </c>
      <c r="Y13" s="772">
        <v>2013</v>
      </c>
      <c r="Z13" s="772">
        <v>1802</v>
      </c>
      <c r="AA13" s="772">
        <v>1850</v>
      </c>
      <c r="AB13" s="772">
        <v>1901</v>
      </c>
      <c r="AC13" s="772">
        <v>1991</v>
      </c>
      <c r="AD13" s="772">
        <v>2044</v>
      </c>
      <c r="AE13" s="790">
        <v>1833</v>
      </c>
      <c r="AF13" s="790">
        <v>1577</v>
      </c>
      <c r="AG13" s="791">
        <v>1757</v>
      </c>
      <c r="AH13" s="690" t="str">
        <f t="shared" si="0"/>
        <v/>
      </c>
    </row>
    <row r="14" spans="2:37" ht="16" thickBot="1">
      <c r="B14" s="691" t="s">
        <v>1572</v>
      </c>
      <c r="C14" s="697">
        <v>7297</v>
      </c>
      <c r="D14" s="697">
        <v>7735</v>
      </c>
      <c r="E14" s="729">
        <v>9350</v>
      </c>
      <c r="F14" s="697"/>
      <c r="G14" s="697"/>
      <c r="H14" s="690"/>
      <c r="I14" s="697">
        <v>700</v>
      </c>
      <c r="J14" s="697">
        <v>700</v>
      </c>
      <c r="K14" s="697">
        <v>750</v>
      </c>
      <c r="L14" s="697">
        <v>800</v>
      </c>
      <c r="M14" s="697">
        <v>750</v>
      </c>
      <c r="N14" s="697">
        <v>750</v>
      </c>
      <c r="O14" s="699">
        <v>800</v>
      </c>
      <c r="P14" s="699">
        <v>850</v>
      </c>
      <c r="Q14" s="699">
        <v>850</v>
      </c>
      <c r="R14" s="699">
        <v>800</v>
      </c>
      <c r="S14" s="699">
        <v>800</v>
      </c>
      <c r="T14" s="697">
        <v>800</v>
      </c>
      <c r="V14" s="773">
        <v>649</v>
      </c>
      <c r="W14" s="773">
        <v>716</v>
      </c>
      <c r="X14" s="773">
        <v>647</v>
      </c>
      <c r="Y14" s="773">
        <v>722</v>
      </c>
      <c r="Z14" s="773">
        <v>555</v>
      </c>
      <c r="AA14" s="773">
        <v>555</v>
      </c>
      <c r="AB14" s="773">
        <v>664</v>
      </c>
      <c r="AC14" s="773">
        <v>599</v>
      </c>
      <c r="AD14" s="773">
        <v>657</v>
      </c>
      <c r="AE14" s="792">
        <v>715</v>
      </c>
      <c r="AF14" s="792">
        <v>669</v>
      </c>
      <c r="AG14" s="793">
        <v>731</v>
      </c>
      <c r="AH14" s="690" t="str">
        <f t="shared" si="0"/>
        <v/>
      </c>
    </row>
    <row r="15" spans="2:37">
      <c r="B15" s="691" t="s">
        <v>1573</v>
      </c>
      <c r="C15" s="697">
        <v>1680</v>
      </c>
      <c r="D15" s="697">
        <v>10000</v>
      </c>
      <c r="E15" s="729">
        <v>14300</v>
      </c>
      <c r="F15" s="697"/>
      <c r="G15" s="697"/>
      <c r="H15" s="690"/>
      <c r="I15" s="746">
        <v>1200</v>
      </c>
      <c r="J15" s="697">
        <v>1200</v>
      </c>
      <c r="K15" s="697">
        <v>1100</v>
      </c>
      <c r="L15" s="697">
        <v>1000</v>
      </c>
      <c r="M15" s="697">
        <v>1000</v>
      </c>
      <c r="N15" s="697">
        <v>1000</v>
      </c>
      <c r="O15" s="699">
        <v>1200</v>
      </c>
      <c r="P15" s="699">
        <v>1300</v>
      </c>
      <c r="Q15" s="699">
        <v>1400</v>
      </c>
      <c r="R15" s="699">
        <v>1300</v>
      </c>
      <c r="S15" s="699">
        <v>1200</v>
      </c>
      <c r="T15" s="697">
        <v>1200</v>
      </c>
      <c r="V15" s="697">
        <v>1650</v>
      </c>
      <c r="W15" s="697">
        <v>1552</v>
      </c>
      <c r="X15" s="697">
        <v>1345</v>
      </c>
      <c r="Y15" s="697">
        <v>1457</v>
      </c>
      <c r="Z15" s="697">
        <v>1108</v>
      </c>
      <c r="AA15" s="697">
        <v>1287</v>
      </c>
      <c r="AB15" s="699">
        <v>1758</v>
      </c>
      <c r="AC15" s="699">
        <v>1821</v>
      </c>
      <c r="AD15" s="699">
        <v>1826</v>
      </c>
      <c r="AE15" s="699">
        <v>1899</v>
      </c>
      <c r="AF15" s="699">
        <v>1843</v>
      </c>
      <c r="AG15" s="697">
        <v>1950</v>
      </c>
      <c r="AH15" s="690" t="str">
        <f t="shared" si="0"/>
        <v/>
      </c>
    </row>
    <row r="16" spans="2:37">
      <c r="B16" s="700"/>
      <c r="C16" s="690"/>
      <c r="D16" s="690"/>
      <c r="E16" s="701"/>
      <c r="F16" s="690"/>
      <c r="G16" s="690"/>
      <c r="I16" s="690"/>
      <c r="J16" s="690"/>
      <c r="K16" s="690"/>
      <c r="L16" s="690"/>
      <c r="M16" s="690"/>
      <c r="N16" s="690"/>
      <c r="O16" s="690"/>
      <c r="P16" s="690"/>
      <c r="Q16" s="690"/>
      <c r="R16" s="690"/>
      <c r="S16" s="690"/>
      <c r="T16" s="690"/>
      <c r="V16" s="690"/>
      <c r="W16" s="690"/>
      <c r="X16" s="690"/>
      <c r="Y16" s="690"/>
      <c r="Z16" s="690"/>
      <c r="AA16" s="690"/>
      <c r="AB16" s="690"/>
      <c r="AC16" s="690"/>
      <c r="AD16" s="690"/>
      <c r="AE16" s="690"/>
      <c r="AF16" s="690"/>
      <c r="AG16" s="690"/>
    </row>
    <row r="17" spans="2:34" ht="31">
      <c r="B17" s="111" t="s">
        <v>1574</v>
      </c>
      <c r="C17" s="78" t="s">
        <v>1422</v>
      </c>
      <c r="D17" s="78" t="s">
        <v>1423</v>
      </c>
      <c r="E17" s="78" t="s">
        <v>326</v>
      </c>
      <c r="F17" s="78" t="s">
        <v>1425</v>
      </c>
      <c r="G17" s="78" t="s">
        <v>1426</v>
      </c>
      <c r="I17" s="78" t="s">
        <v>182</v>
      </c>
      <c r="J17" s="78" t="s">
        <v>183</v>
      </c>
      <c r="K17" s="78" t="s">
        <v>184</v>
      </c>
      <c r="L17" s="78" t="s">
        <v>185</v>
      </c>
      <c r="M17" s="78" t="s">
        <v>186</v>
      </c>
      <c r="N17" s="78" t="s">
        <v>187</v>
      </c>
      <c r="O17" s="727" t="s">
        <v>188</v>
      </c>
      <c r="P17" s="727" t="s">
        <v>189</v>
      </c>
      <c r="Q17" s="727" t="s">
        <v>190</v>
      </c>
      <c r="R17" s="727" t="s">
        <v>191</v>
      </c>
      <c r="S17" s="727" t="s">
        <v>192</v>
      </c>
      <c r="T17" s="727" t="s">
        <v>193</v>
      </c>
      <c r="V17" s="78" t="s">
        <v>182</v>
      </c>
      <c r="W17" s="78" t="s">
        <v>183</v>
      </c>
      <c r="X17" s="78" t="s">
        <v>184</v>
      </c>
      <c r="Y17" s="78" t="s">
        <v>185</v>
      </c>
      <c r="Z17" s="78" t="s">
        <v>186</v>
      </c>
      <c r="AA17" s="78" t="s">
        <v>187</v>
      </c>
      <c r="AB17" s="727" t="s">
        <v>188</v>
      </c>
      <c r="AC17" s="727" t="s">
        <v>189</v>
      </c>
      <c r="AD17" s="727" t="s">
        <v>190</v>
      </c>
      <c r="AE17" s="727" t="s">
        <v>191</v>
      </c>
      <c r="AF17" s="727" t="s">
        <v>192</v>
      </c>
      <c r="AG17" s="727" t="s">
        <v>193</v>
      </c>
    </row>
    <row r="18" spans="2:34">
      <c r="B18" s="16" t="s">
        <v>266</v>
      </c>
      <c r="C18" s="16" t="s">
        <v>1290</v>
      </c>
      <c r="D18" s="16"/>
      <c r="E18" s="16"/>
      <c r="F18" s="16"/>
      <c r="G18" s="16"/>
      <c r="I18" s="16"/>
      <c r="J18" s="16"/>
      <c r="K18" s="16"/>
      <c r="L18" s="16"/>
      <c r="M18" s="16"/>
      <c r="N18" s="16"/>
      <c r="O18" s="16"/>
      <c r="P18" s="16"/>
      <c r="Q18" s="16"/>
      <c r="R18" s="16"/>
      <c r="S18" s="16"/>
      <c r="T18" s="16"/>
      <c r="V18" s="16"/>
      <c r="W18" s="16"/>
      <c r="X18" s="16"/>
      <c r="Y18" s="16"/>
      <c r="Z18" s="16"/>
      <c r="AA18" s="16"/>
      <c r="AB18" s="16"/>
      <c r="AC18" s="16"/>
      <c r="AD18" s="16"/>
      <c r="AE18" s="16"/>
      <c r="AF18" s="16"/>
      <c r="AG18" s="16"/>
    </row>
    <row r="19" spans="2:34" s="682" customFormat="1" ht="15.75" customHeight="1">
      <c r="B19" s="118" t="s">
        <v>1575</v>
      </c>
      <c r="C19" s="119"/>
      <c r="D19" s="119"/>
      <c r="E19" s="119"/>
      <c r="F19" s="119"/>
      <c r="G19" s="120"/>
      <c r="I19" s="118"/>
      <c r="J19" s="119"/>
      <c r="K19" s="119"/>
      <c r="L19" s="119"/>
      <c r="M19" s="119"/>
      <c r="N19" s="119"/>
      <c r="O19" s="119"/>
      <c r="P19" s="119"/>
      <c r="Q19" s="119"/>
      <c r="R19" s="119"/>
      <c r="S19" s="119"/>
      <c r="T19" s="120"/>
      <c r="V19" s="118"/>
      <c r="W19" s="119"/>
      <c r="X19" s="119"/>
      <c r="Y19" s="119"/>
      <c r="Z19" s="119"/>
      <c r="AA19" s="119"/>
      <c r="AB19" s="119"/>
      <c r="AC19" s="119"/>
      <c r="AD19" s="119"/>
      <c r="AE19" s="119"/>
      <c r="AF19" s="119"/>
      <c r="AG19" s="120"/>
    </row>
    <row r="20" spans="2:34">
      <c r="B20" s="747" t="s">
        <v>1576</v>
      </c>
      <c r="C20" s="697"/>
      <c r="D20" s="697"/>
      <c r="E20" s="729">
        <f>SUM(I20:T20)</f>
        <v>0</v>
      </c>
      <c r="F20" s="697"/>
      <c r="G20" s="697"/>
      <c r="H20" s="690"/>
      <c r="I20" s="697"/>
      <c r="J20" s="697"/>
      <c r="K20" s="697"/>
      <c r="L20" s="697"/>
      <c r="M20" s="697"/>
      <c r="N20" s="697"/>
      <c r="O20" s="699"/>
      <c r="P20" s="699"/>
      <c r="Q20" s="699"/>
      <c r="R20" s="699"/>
      <c r="S20" s="699"/>
      <c r="T20" s="697"/>
      <c r="V20" s="697"/>
      <c r="W20" s="697"/>
      <c r="X20" s="697"/>
      <c r="Y20" s="697"/>
      <c r="Z20" s="697"/>
      <c r="AA20" s="697"/>
      <c r="AB20" s="699"/>
      <c r="AC20" s="699"/>
      <c r="AD20" s="699"/>
      <c r="AE20" s="699"/>
      <c r="AF20" s="699"/>
      <c r="AG20" s="697"/>
      <c r="AH20" s="690" t="str">
        <f t="shared" ref="AH20:AH25" si="1">IF(COUNTA(C20:AG20)&lt;&gt;COUNT(C20:AG20),"Please remove any text entries, enter numeric values only","")</f>
        <v/>
      </c>
    </row>
    <row r="21" spans="2:34">
      <c r="B21" s="747" t="s">
        <v>1577</v>
      </c>
      <c r="C21" s="697"/>
      <c r="D21" s="697"/>
      <c r="E21" s="729">
        <f>SUM(I21:T21)</f>
        <v>0</v>
      </c>
      <c r="F21" s="697"/>
      <c r="G21" s="697"/>
      <c r="H21" s="690"/>
      <c r="I21" s="697"/>
      <c r="J21" s="697"/>
      <c r="K21" s="697"/>
      <c r="L21" s="697"/>
      <c r="M21" s="697"/>
      <c r="N21" s="697"/>
      <c r="O21" s="699"/>
      <c r="P21" s="699"/>
      <c r="Q21" s="699"/>
      <c r="R21" s="699"/>
      <c r="S21" s="699"/>
      <c r="T21" s="697"/>
      <c r="V21" s="697"/>
      <c r="W21" s="697"/>
      <c r="X21" s="697"/>
      <c r="Y21" s="697"/>
      <c r="Z21" s="697"/>
      <c r="AA21" s="697"/>
      <c r="AB21" s="699"/>
      <c r="AC21" s="699"/>
      <c r="AD21" s="699"/>
      <c r="AE21" s="699"/>
      <c r="AF21" s="699"/>
      <c r="AG21" s="697"/>
      <c r="AH21" s="690" t="str">
        <f t="shared" si="1"/>
        <v/>
      </c>
    </row>
    <row r="22" spans="2:34">
      <c r="B22" s="747" t="s">
        <v>1578</v>
      </c>
      <c r="C22" s="697"/>
      <c r="D22" s="697"/>
      <c r="E22" s="729">
        <f>SUM(I22:T22)</f>
        <v>0</v>
      </c>
      <c r="F22" s="697"/>
      <c r="G22" s="697"/>
      <c r="H22" s="690"/>
      <c r="I22" s="697"/>
      <c r="J22" s="697"/>
      <c r="K22" s="697"/>
      <c r="L22" s="697"/>
      <c r="M22" s="697"/>
      <c r="N22" s="697"/>
      <c r="O22" s="699"/>
      <c r="P22" s="699"/>
      <c r="Q22" s="699"/>
      <c r="R22" s="699"/>
      <c r="S22" s="699"/>
      <c r="T22" s="697"/>
      <c r="V22" s="697"/>
      <c r="W22" s="697"/>
      <c r="X22" s="697"/>
      <c r="Y22" s="697"/>
      <c r="Z22" s="697"/>
      <c r="AA22" s="697"/>
      <c r="AB22" s="699"/>
      <c r="AC22" s="699"/>
      <c r="AD22" s="699"/>
      <c r="AE22" s="699"/>
      <c r="AF22" s="699"/>
      <c r="AG22" s="697"/>
      <c r="AH22" s="690" t="str">
        <f t="shared" si="1"/>
        <v/>
      </c>
    </row>
    <row r="23" spans="2:34">
      <c r="B23" s="747" t="s">
        <v>1579</v>
      </c>
      <c r="C23" s="697"/>
      <c r="D23" s="697"/>
      <c r="E23" s="729">
        <f>SUM(I23:T23)</f>
        <v>0</v>
      </c>
      <c r="F23" s="697"/>
      <c r="G23" s="697"/>
      <c r="H23" s="690"/>
      <c r="I23" s="697"/>
      <c r="J23" s="697"/>
      <c r="K23" s="697"/>
      <c r="L23" s="697"/>
      <c r="M23" s="697"/>
      <c r="N23" s="697"/>
      <c r="O23" s="699"/>
      <c r="P23" s="699"/>
      <c r="Q23" s="699"/>
      <c r="R23" s="699"/>
      <c r="S23" s="699"/>
      <c r="T23" s="697"/>
      <c r="V23" s="697"/>
      <c r="W23" s="697"/>
      <c r="X23" s="697"/>
      <c r="Y23" s="697"/>
      <c r="Z23" s="697"/>
      <c r="AA23" s="697"/>
      <c r="AB23" s="699"/>
      <c r="AC23" s="699"/>
      <c r="AD23" s="699"/>
      <c r="AE23" s="699"/>
      <c r="AF23" s="699"/>
      <c r="AG23" s="697"/>
      <c r="AH23" s="690" t="str">
        <f t="shared" si="1"/>
        <v/>
      </c>
    </row>
    <row r="24" spans="2:34">
      <c r="B24" s="747" t="s">
        <v>1580</v>
      </c>
      <c r="C24" s="697"/>
      <c r="D24" s="697"/>
      <c r="E24" s="729">
        <f>SUM(I24:T24)</f>
        <v>0</v>
      </c>
      <c r="F24" s="697"/>
      <c r="G24" s="697"/>
      <c r="H24" s="690"/>
      <c r="I24" s="697"/>
      <c r="J24" s="697"/>
      <c r="K24" s="697"/>
      <c r="L24" s="697"/>
      <c r="M24" s="697"/>
      <c r="N24" s="697"/>
      <c r="O24" s="699"/>
      <c r="P24" s="699"/>
      <c r="Q24" s="699"/>
      <c r="R24" s="699"/>
      <c r="S24" s="699"/>
      <c r="T24" s="697"/>
      <c r="V24" s="697"/>
      <c r="W24" s="697"/>
      <c r="X24" s="697"/>
      <c r="Y24" s="697"/>
      <c r="Z24" s="697"/>
      <c r="AA24" s="697"/>
      <c r="AB24" s="699"/>
      <c r="AC24" s="699"/>
      <c r="AD24" s="699"/>
      <c r="AE24" s="699"/>
      <c r="AF24" s="699"/>
      <c r="AG24" s="697"/>
      <c r="AH24" s="690" t="str">
        <f t="shared" si="1"/>
        <v/>
      </c>
    </row>
    <row r="25" spans="2:34">
      <c r="B25" s="691" t="s">
        <v>1581</v>
      </c>
      <c r="C25" s="697"/>
      <c r="D25" s="697"/>
      <c r="E25" s="729">
        <f>IFERROR(AVERAGE(I25:T25),0)</f>
        <v>0</v>
      </c>
      <c r="F25" s="697"/>
      <c r="G25" s="697"/>
      <c r="H25" s="690"/>
      <c r="I25" s="697"/>
      <c r="J25" s="697"/>
      <c r="K25" s="697"/>
      <c r="L25" s="697"/>
      <c r="M25" s="697"/>
      <c r="N25" s="697"/>
      <c r="O25" s="699"/>
      <c r="P25" s="699"/>
      <c r="Q25" s="699"/>
      <c r="R25" s="699"/>
      <c r="S25" s="699"/>
      <c r="T25" s="697"/>
      <c r="V25" s="697"/>
      <c r="W25" s="697"/>
      <c r="X25" s="697"/>
      <c r="Y25" s="697"/>
      <c r="Z25" s="697"/>
      <c r="AA25" s="697"/>
      <c r="AB25" s="699"/>
      <c r="AC25" s="699"/>
      <c r="AD25" s="699"/>
      <c r="AE25" s="699"/>
      <c r="AF25" s="699"/>
      <c r="AG25" s="697"/>
      <c r="AH25" s="690" t="str">
        <f t="shared" si="1"/>
        <v/>
      </c>
    </row>
    <row r="26" spans="2:34" s="682" customFormat="1" ht="15.75" customHeight="1">
      <c r="B26" s="118" t="s">
        <v>1582</v>
      </c>
      <c r="C26" s="119"/>
      <c r="D26" s="119"/>
      <c r="E26" s="119"/>
      <c r="F26" s="119"/>
      <c r="G26" s="120"/>
      <c r="I26" s="118"/>
      <c r="J26" s="119"/>
      <c r="K26" s="119"/>
      <c r="L26" s="119"/>
      <c r="M26" s="119"/>
      <c r="N26" s="119"/>
      <c r="O26" s="119"/>
      <c r="P26" s="119"/>
      <c r="Q26" s="119"/>
      <c r="R26" s="119"/>
      <c r="S26" s="119"/>
      <c r="T26" s="120"/>
      <c r="V26" s="118"/>
      <c r="W26" s="119"/>
      <c r="X26" s="119"/>
      <c r="Y26" s="119"/>
      <c r="Z26" s="119"/>
      <c r="AA26" s="119"/>
      <c r="AB26" s="119"/>
      <c r="AC26" s="119"/>
      <c r="AD26" s="119"/>
      <c r="AE26" s="119"/>
      <c r="AF26" s="119"/>
      <c r="AG26" s="120"/>
    </row>
    <row r="27" spans="2:34">
      <c r="B27" s="691" t="s">
        <v>1583</v>
      </c>
      <c r="C27" s="697"/>
      <c r="D27" s="697"/>
      <c r="E27" s="729">
        <f>SUM(I27:T27)</f>
        <v>0</v>
      </c>
      <c r="F27" s="697"/>
      <c r="G27" s="697"/>
      <c r="H27" s="690"/>
      <c r="I27" s="697"/>
      <c r="J27" s="697"/>
      <c r="K27" s="697"/>
      <c r="L27" s="697"/>
      <c r="M27" s="697"/>
      <c r="N27" s="697"/>
      <c r="O27" s="699"/>
      <c r="P27" s="699"/>
      <c r="Q27" s="699"/>
      <c r="R27" s="699"/>
      <c r="S27" s="699"/>
      <c r="T27" s="697"/>
      <c r="V27" s="697"/>
      <c r="W27" s="697"/>
      <c r="X27" s="697"/>
      <c r="Y27" s="697"/>
      <c r="Z27" s="697"/>
      <c r="AA27" s="697"/>
      <c r="AB27" s="699"/>
      <c r="AC27" s="699"/>
      <c r="AD27" s="699"/>
      <c r="AE27" s="699"/>
      <c r="AF27" s="699"/>
      <c r="AG27" s="697"/>
      <c r="AH27" s="690" t="str">
        <f t="shared" ref="AH27:AH30" si="2">IF(COUNTA(C27:AG27)&lt;&gt;COUNT(C27:AG27),"Please remove any text entries, enter numeric values only","")</f>
        <v/>
      </c>
    </row>
    <row r="28" spans="2:34">
      <c r="B28" s="691" t="s">
        <v>1584</v>
      </c>
      <c r="C28" s="697"/>
      <c r="D28" s="697"/>
      <c r="E28" s="729">
        <f>SUM(I28:T28)</f>
        <v>0</v>
      </c>
      <c r="F28" s="697"/>
      <c r="G28" s="697"/>
      <c r="H28" s="690"/>
      <c r="I28" s="697"/>
      <c r="J28" s="697"/>
      <c r="K28" s="697"/>
      <c r="L28" s="697"/>
      <c r="M28" s="697"/>
      <c r="N28" s="697"/>
      <c r="O28" s="699"/>
      <c r="P28" s="699"/>
      <c r="Q28" s="699"/>
      <c r="R28" s="699"/>
      <c r="S28" s="699"/>
      <c r="T28" s="697"/>
      <c r="V28" s="697"/>
      <c r="W28" s="697"/>
      <c r="X28" s="697"/>
      <c r="Y28" s="697"/>
      <c r="Z28" s="697"/>
      <c r="AA28" s="697"/>
      <c r="AB28" s="699"/>
      <c r="AC28" s="699"/>
      <c r="AD28" s="699"/>
      <c r="AE28" s="699"/>
      <c r="AF28" s="699"/>
      <c r="AG28" s="697"/>
      <c r="AH28" s="690" t="str">
        <f t="shared" si="2"/>
        <v/>
      </c>
    </row>
    <row r="29" spans="2:34">
      <c r="B29" s="691" t="s">
        <v>1585</v>
      </c>
      <c r="C29" s="697"/>
      <c r="D29" s="697"/>
      <c r="E29" s="729">
        <f>SUM(I29:T29)</f>
        <v>0</v>
      </c>
      <c r="F29" s="697"/>
      <c r="G29" s="697"/>
      <c r="H29" s="690"/>
      <c r="I29" s="697"/>
      <c r="J29" s="697"/>
      <c r="K29" s="697"/>
      <c r="L29" s="697"/>
      <c r="M29" s="697"/>
      <c r="N29" s="697"/>
      <c r="O29" s="699"/>
      <c r="P29" s="699"/>
      <c r="Q29" s="699"/>
      <c r="R29" s="699"/>
      <c r="S29" s="699"/>
      <c r="T29" s="697"/>
      <c r="V29" s="697"/>
      <c r="W29" s="697"/>
      <c r="X29" s="697"/>
      <c r="Y29" s="697"/>
      <c r="Z29" s="697"/>
      <c r="AA29" s="697"/>
      <c r="AB29" s="699"/>
      <c r="AC29" s="699"/>
      <c r="AD29" s="699"/>
      <c r="AE29" s="699"/>
      <c r="AF29" s="699"/>
      <c r="AG29" s="697"/>
      <c r="AH29" s="690" t="str">
        <f t="shared" si="2"/>
        <v/>
      </c>
    </row>
    <row r="30" spans="2:34">
      <c r="B30" s="691" t="s">
        <v>1586</v>
      </c>
      <c r="C30" s="697"/>
      <c r="D30" s="697"/>
      <c r="E30" s="729">
        <f>SUM(I30:T30)</f>
        <v>0</v>
      </c>
      <c r="F30" s="697"/>
      <c r="G30" s="697"/>
      <c r="H30" s="690"/>
      <c r="I30" s="697"/>
      <c r="J30" s="697"/>
      <c r="K30" s="697"/>
      <c r="L30" s="697"/>
      <c r="M30" s="697"/>
      <c r="N30" s="697"/>
      <c r="O30" s="699"/>
      <c r="P30" s="699"/>
      <c r="Q30" s="699"/>
      <c r="R30" s="699"/>
      <c r="S30" s="699"/>
      <c r="T30" s="697"/>
      <c r="V30" s="697"/>
      <c r="W30" s="697"/>
      <c r="X30" s="697"/>
      <c r="Y30" s="697"/>
      <c r="Z30" s="697"/>
      <c r="AA30" s="697"/>
      <c r="AB30" s="699"/>
      <c r="AC30" s="699"/>
      <c r="AD30" s="699"/>
      <c r="AE30" s="699"/>
      <c r="AF30" s="699"/>
      <c r="AG30" s="697"/>
      <c r="AH30" s="690" t="str">
        <f t="shared" si="2"/>
        <v/>
      </c>
    </row>
    <row r="31" spans="2:34" s="682" customFormat="1" ht="15.75" customHeight="1">
      <c r="B31" s="118" t="s">
        <v>1587</v>
      </c>
      <c r="C31" s="119"/>
      <c r="D31" s="119"/>
      <c r="E31" s="119"/>
      <c r="F31" s="119"/>
      <c r="G31" s="120"/>
      <c r="I31" s="118"/>
      <c r="J31" s="119"/>
      <c r="K31" s="119"/>
      <c r="L31" s="119"/>
      <c r="M31" s="119"/>
      <c r="N31" s="119"/>
      <c r="O31" s="119"/>
      <c r="P31" s="119"/>
      <c r="Q31" s="119"/>
      <c r="R31" s="119"/>
      <c r="S31" s="119"/>
      <c r="T31" s="120"/>
      <c r="V31" s="118"/>
      <c r="W31" s="119"/>
      <c r="X31" s="119"/>
      <c r="Y31" s="119"/>
      <c r="Z31" s="119"/>
      <c r="AA31" s="119"/>
      <c r="AB31" s="119"/>
      <c r="AC31" s="119"/>
      <c r="AD31" s="119"/>
      <c r="AE31" s="119"/>
      <c r="AF31" s="119"/>
      <c r="AG31" s="120"/>
    </row>
    <row r="32" spans="2:34">
      <c r="B32" s="748" t="s">
        <v>1588</v>
      </c>
      <c r="C32" s="697"/>
      <c r="D32" s="697"/>
      <c r="E32" s="729">
        <f>SUM(I32:T32)</f>
        <v>0</v>
      </c>
      <c r="F32" s="697"/>
      <c r="G32" s="697"/>
      <c r="H32" s="690"/>
      <c r="I32" s="697"/>
      <c r="J32" s="697"/>
      <c r="K32" s="697"/>
      <c r="L32" s="697"/>
      <c r="M32" s="697"/>
      <c r="N32" s="697"/>
      <c r="O32" s="699"/>
      <c r="P32" s="699"/>
      <c r="Q32" s="699"/>
      <c r="R32" s="699"/>
      <c r="S32" s="699"/>
      <c r="T32" s="697"/>
      <c r="V32" s="697"/>
      <c r="W32" s="697"/>
      <c r="X32" s="697"/>
      <c r="Y32" s="697"/>
      <c r="Z32" s="697"/>
      <c r="AA32" s="697"/>
      <c r="AB32" s="699"/>
      <c r="AC32" s="699"/>
      <c r="AD32" s="699"/>
      <c r="AE32" s="699"/>
      <c r="AF32" s="699"/>
      <c r="AG32" s="697"/>
      <c r="AH32" s="690" t="str">
        <f t="shared" ref="AH32:AH34" si="3">IF(COUNTA(C32:AG32)&lt;&gt;COUNT(C32:AG32),"Please remove any text entries, enter numeric values only","")</f>
        <v/>
      </c>
    </row>
    <row r="33" spans="2:34">
      <c r="B33" s="691" t="s">
        <v>1589</v>
      </c>
      <c r="C33" s="697"/>
      <c r="D33" s="697"/>
      <c r="E33" s="729">
        <f>SUM(I33:T33)</f>
        <v>0</v>
      </c>
      <c r="F33" s="697"/>
      <c r="G33" s="697"/>
      <c r="H33" s="690"/>
      <c r="I33" s="697"/>
      <c r="J33" s="697"/>
      <c r="K33" s="697"/>
      <c r="L33" s="697"/>
      <c r="M33" s="697"/>
      <c r="N33" s="697"/>
      <c r="O33" s="699"/>
      <c r="P33" s="699"/>
      <c r="Q33" s="699"/>
      <c r="R33" s="699"/>
      <c r="S33" s="699"/>
      <c r="T33" s="697"/>
      <c r="V33" s="697"/>
      <c r="W33" s="697"/>
      <c r="X33" s="697"/>
      <c r="Y33" s="697"/>
      <c r="Z33" s="697"/>
      <c r="AA33" s="697"/>
      <c r="AB33" s="699"/>
      <c r="AC33" s="699"/>
      <c r="AD33" s="699"/>
      <c r="AE33" s="699"/>
      <c r="AF33" s="699"/>
      <c r="AG33" s="697"/>
      <c r="AH33" s="690" t="str">
        <f t="shared" si="3"/>
        <v/>
      </c>
    </row>
    <row r="34" spans="2:34">
      <c r="B34" s="691" t="s">
        <v>1590</v>
      </c>
      <c r="C34" s="697"/>
      <c r="D34" s="697"/>
      <c r="E34" s="729">
        <f>SUM(I34:T34)</f>
        <v>0</v>
      </c>
      <c r="F34" s="697"/>
      <c r="G34" s="697"/>
      <c r="H34" s="690"/>
      <c r="I34" s="697"/>
      <c r="J34" s="697"/>
      <c r="K34" s="697"/>
      <c r="L34" s="697"/>
      <c r="M34" s="697"/>
      <c r="N34" s="697"/>
      <c r="O34" s="699"/>
      <c r="P34" s="699"/>
      <c r="Q34" s="699"/>
      <c r="R34" s="699"/>
      <c r="S34" s="699"/>
      <c r="T34" s="697"/>
      <c r="V34" s="697"/>
      <c r="W34" s="697"/>
      <c r="X34" s="697"/>
      <c r="Y34" s="697"/>
      <c r="Z34" s="697"/>
      <c r="AA34" s="697"/>
      <c r="AB34" s="699"/>
      <c r="AC34" s="699"/>
      <c r="AD34" s="699"/>
      <c r="AE34" s="699"/>
      <c r="AF34" s="699"/>
      <c r="AG34" s="697"/>
      <c r="AH34" s="690" t="str">
        <f t="shared" si="3"/>
        <v/>
      </c>
    </row>
    <row r="36" spans="2:34">
      <c r="H36" s="732">
        <f>COUNTIFS(H11:H34,"please*")</f>
        <v>0</v>
      </c>
      <c r="AH36" s="732">
        <f>COUNTIFS(AH9:AH35,"Please*")</f>
        <v>0</v>
      </c>
    </row>
  </sheetData>
  <mergeCells count="2">
    <mergeCell ref="C7:D7"/>
    <mergeCell ref="J7:S7"/>
  </mergeCells>
  <pageMargins left="0.70866141732283472" right="0.70866141732283472" top="0.74803149606299213" bottom="0.74803149606299213" header="0.31496062992125984" footer="0.31496062992125984"/>
  <pageSetup paperSize="9" scale="22" fitToHeight="0"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pageSetUpPr fitToPage="1"/>
  </sheetPr>
  <dimension ref="A1:U41"/>
  <sheetViews>
    <sheetView showGridLines="0" zoomScale="80" zoomScaleNormal="80" workbookViewId="0">
      <pane xSplit="4" ySplit="7" topLeftCell="E8" activePane="bottomRight" state="frozenSplit"/>
      <selection activeCell="S193" sqref="S193"/>
      <selection pane="topRight" activeCell="S193" sqref="S193"/>
      <selection pane="bottomLeft" activeCell="S193" sqref="S193"/>
      <selection pane="bottomRight" activeCell="V12" sqref="V12"/>
    </sheetView>
  </sheetViews>
  <sheetFormatPr defaultRowHeight="15.5"/>
  <cols>
    <col min="1" max="1" width="41.23046875" customWidth="1"/>
    <col min="2" max="2" width="9.4609375" bestFit="1" customWidth="1"/>
    <col min="3" max="3" width="21.69140625" customWidth="1"/>
    <col min="4" max="4" width="9.4609375" customWidth="1"/>
    <col min="5" max="5" width="12.23046875" customWidth="1"/>
    <col min="6" max="16" width="10" customWidth="1"/>
    <col min="17" max="20" width="10.765625" style="27" customWidth="1"/>
    <col min="21" max="21" width="10.765625" style="11" customWidth="1"/>
    <col min="22" max="26" width="10" customWidth="1"/>
  </cols>
  <sheetData>
    <row r="1" spans="1:21">
      <c r="A1" s="11"/>
      <c r="B1" s="11"/>
      <c r="C1" s="11"/>
      <c r="D1" s="11"/>
      <c r="E1" s="11"/>
      <c r="F1" s="27"/>
      <c r="G1" s="27"/>
      <c r="H1" s="27"/>
      <c r="I1" s="27"/>
      <c r="J1" s="27"/>
      <c r="K1" s="27"/>
      <c r="L1" s="27"/>
      <c r="M1" s="27"/>
      <c r="N1" s="27"/>
      <c r="O1" s="11"/>
      <c r="P1" s="11"/>
    </row>
    <row r="2" spans="1:21" ht="23.5">
      <c r="A2" s="185" t="s">
        <v>146</v>
      </c>
      <c r="B2" s="749"/>
      <c r="C2" s="749"/>
      <c r="D2" s="749" t="e">
        <f>IF('[2]Front Sheet and Checklist'!B5="(please select from drop down)","Please select organisation from front sheet",'[2]Front Sheet and Checklist'!B5)</f>
        <v>#REF!</v>
      </c>
      <c r="E2" s="749"/>
      <c r="F2" s="749"/>
      <c r="G2" s="749"/>
      <c r="H2" s="749"/>
      <c r="I2" s="495"/>
      <c r="J2" s="27"/>
      <c r="K2" s="11"/>
      <c r="L2" s="11"/>
      <c r="M2" s="11"/>
      <c r="N2" s="11"/>
      <c r="O2" s="11"/>
      <c r="P2" s="11"/>
      <c r="Q2" s="11"/>
      <c r="R2" s="11"/>
      <c r="S2" s="11"/>
      <c r="T2" s="11"/>
    </row>
    <row r="3" spans="1:21">
      <c r="A3" s="750" t="s">
        <v>1556</v>
      </c>
      <c r="B3" s="751"/>
      <c r="C3" s="751"/>
      <c r="D3" s="751"/>
      <c r="E3" s="751"/>
      <c r="F3" s="751"/>
      <c r="G3" s="751"/>
      <c r="H3" s="751"/>
      <c r="I3" s="752"/>
      <c r="J3" s="27"/>
      <c r="K3" s="11"/>
      <c r="L3" s="11"/>
      <c r="M3" s="11"/>
      <c r="N3" s="11"/>
      <c r="O3" s="11"/>
      <c r="P3" s="11"/>
      <c r="Q3" s="11"/>
      <c r="R3" s="11"/>
      <c r="S3" s="11"/>
      <c r="T3" s="11"/>
    </row>
    <row r="4" spans="1:21">
      <c r="A4" s="11"/>
      <c r="B4" s="11"/>
      <c r="C4" s="11"/>
      <c r="D4" s="11"/>
      <c r="E4" s="11"/>
      <c r="F4" s="27"/>
      <c r="G4" s="27"/>
      <c r="H4" s="27"/>
      <c r="I4" s="27"/>
      <c r="J4" s="27"/>
      <c r="K4" s="27"/>
      <c r="L4" s="27"/>
      <c r="M4" s="27"/>
      <c r="N4" s="27"/>
      <c r="O4" s="11"/>
      <c r="P4" s="11"/>
    </row>
    <row r="5" spans="1:21" ht="18.5">
      <c r="A5" s="865"/>
      <c r="B5" s="862"/>
      <c r="C5" s="862"/>
      <c r="D5" s="753" t="s">
        <v>327</v>
      </c>
      <c r="E5" s="754"/>
      <c r="F5" s="192"/>
      <c r="G5" s="192"/>
      <c r="H5" s="192"/>
      <c r="I5" s="193"/>
      <c r="J5" s="27"/>
      <c r="K5" s="739" t="s">
        <v>1591</v>
      </c>
      <c r="L5" s="755"/>
      <c r="M5" s="755"/>
      <c r="N5" s="755"/>
      <c r="O5" s="756"/>
      <c r="P5" s="11"/>
      <c r="Q5" s="739" t="s">
        <v>1592</v>
      </c>
      <c r="R5" s="755"/>
      <c r="S5" s="755"/>
      <c r="T5" s="755"/>
      <c r="U5" s="756"/>
    </row>
    <row r="6" spans="1:21" ht="31">
      <c r="A6" s="866"/>
      <c r="B6" s="863"/>
      <c r="C6" s="863"/>
      <c r="D6" s="757" t="s">
        <v>1593</v>
      </c>
      <c r="E6" s="758" t="s">
        <v>1594</v>
      </c>
      <c r="F6" s="726" t="s">
        <v>282</v>
      </c>
      <c r="G6" s="726" t="s">
        <v>248</v>
      </c>
      <c r="H6" s="726" t="s">
        <v>1595</v>
      </c>
      <c r="I6" s="759" t="s">
        <v>1596</v>
      </c>
      <c r="J6" s="27"/>
      <c r="K6" s="196" t="s">
        <v>1597</v>
      </c>
      <c r="L6" s="196" t="s">
        <v>1598</v>
      </c>
      <c r="M6" s="196" t="s">
        <v>1599</v>
      </c>
      <c r="N6" s="196" t="s">
        <v>1600</v>
      </c>
      <c r="O6" s="78" t="s">
        <v>1601</v>
      </c>
      <c r="P6" s="11"/>
      <c r="Q6" s="196" t="s">
        <v>1597</v>
      </c>
      <c r="R6" s="196" t="s">
        <v>1598</v>
      </c>
      <c r="S6" s="196" t="s">
        <v>1599</v>
      </c>
      <c r="T6" s="196" t="s">
        <v>1600</v>
      </c>
      <c r="U6" s="78" t="s">
        <v>1601</v>
      </c>
    </row>
    <row r="7" spans="1:21" ht="26.5">
      <c r="A7" s="760" t="s">
        <v>1602</v>
      </c>
      <c r="B7" s="496"/>
      <c r="C7" s="496"/>
      <c r="D7" s="761" t="s">
        <v>1603</v>
      </c>
      <c r="E7" s="761" t="s">
        <v>1604</v>
      </c>
      <c r="F7" s="765" t="s">
        <v>1605</v>
      </c>
      <c r="G7" s="765" t="s">
        <v>1606</v>
      </c>
      <c r="H7" s="765" t="s">
        <v>1607</v>
      </c>
      <c r="I7" s="765" t="s">
        <v>328</v>
      </c>
      <c r="J7" s="27"/>
      <c r="K7" s="765" t="s">
        <v>1608</v>
      </c>
      <c r="L7" s="765" t="s">
        <v>1608</v>
      </c>
      <c r="M7" s="765" t="s">
        <v>1608</v>
      </c>
      <c r="N7" s="765" t="s">
        <v>1608</v>
      </c>
      <c r="O7" s="765" t="s">
        <v>1608</v>
      </c>
      <c r="P7" s="11"/>
      <c r="Q7" s="765" t="s">
        <v>1609</v>
      </c>
      <c r="R7" s="765" t="s">
        <v>1609</v>
      </c>
      <c r="S7" s="765" t="s">
        <v>1609</v>
      </c>
      <c r="T7" s="765" t="s">
        <v>1609</v>
      </c>
      <c r="U7" s="765" t="s">
        <v>1609</v>
      </c>
    </row>
    <row r="8" spans="1:21">
      <c r="A8" s="864" t="s">
        <v>1610</v>
      </c>
      <c r="B8" s="864"/>
      <c r="C8" s="766" t="s">
        <v>1611</v>
      </c>
      <c r="D8" s="762">
        <v>6466</v>
      </c>
      <c r="E8" s="762">
        <v>5788</v>
      </c>
      <c r="F8" s="762">
        <v>6625</v>
      </c>
      <c r="G8" s="767">
        <v>7112</v>
      </c>
      <c r="H8" s="762"/>
      <c r="I8" s="762"/>
      <c r="J8" s="27"/>
      <c r="K8" s="762">
        <v>1778</v>
      </c>
      <c r="L8" s="762">
        <v>1778</v>
      </c>
      <c r="M8" s="762">
        <v>1778</v>
      </c>
      <c r="N8" s="762">
        <v>1778</v>
      </c>
      <c r="O8" s="768">
        <v>7112</v>
      </c>
      <c r="P8" s="769"/>
      <c r="Q8" s="762">
        <v>2129</v>
      </c>
      <c r="R8" s="762">
        <v>2304</v>
      </c>
      <c r="S8" s="762">
        <v>2102</v>
      </c>
      <c r="T8" s="762">
        <v>2131</v>
      </c>
      <c r="U8" s="768">
        <v>8649</v>
      </c>
    </row>
    <row r="9" spans="1:21">
      <c r="A9" s="864"/>
      <c r="B9" s="864"/>
      <c r="C9" s="770" t="s">
        <v>1612</v>
      </c>
      <c r="D9" s="762"/>
      <c r="E9" s="762">
        <v>164</v>
      </c>
      <c r="F9" s="762">
        <v>336</v>
      </c>
      <c r="G9" s="767">
        <v>463</v>
      </c>
      <c r="H9" s="762"/>
      <c r="I9" s="762"/>
      <c r="J9" s="27"/>
      <c r="K9" s="762">
        <v>67</v>
      </c>
      <c r="L9" s="762">
        <v>132</v>
      </c>
      <c r="M9" s="762">
        <v>132</v>
      </c>
      <c r="N9" s="762">
        <v>132</v>
      </c>
      <c r="O9" s="768">
        <v>463</v>
      </c>
      <c r="P9" s="769"/>
      <c r="Q9" s="762">
        <v>83</v>
      </c>
      <c r="R9" s="762">
        <v>12</v>
      </c>
      <c r="S9" s="762">
        <v>25</v>
      </c>
      <c r="T9" s="762">
        <v>36</v>
      </c>
      <c r="U9" s="768">
        <v>162</v>
      </c>
    </row>
    <row r="10" spans="1:21">
      <c r="A10" s="864"/>
      <c r="B10" s="864"/>
      <c r="C10" s="770" t="s">
        <v>1613</v>
      </c>
      <c r="D10" s="762">
        <v>695</v>
      </c>
      <c r="E10" s="762">
        <v>43</v>
      </c>
      <c r="F10" s="762">
        <v>544</v>
      </c>
      <c r="G10" s="767">
        <v>385</v>
      </c>
      <c r="H10" s="762"/>
      <c r="I10" s="762"/>
      <c r="J10" s="27"/>
      <c r="K10" s="762">
        <v>39</v>
      </c>
      <c r="L10" s="762">
        <v>111</v>
      </c>
      <c r="M10" s="762">
        <v>113</v>
      </c>
      <c r="N10" s="762">
        <v>122</v>
      </c>
      <c r="O10" s="768">
        <v>385</v>
      </c>
      <c r="P10" s="690"/>
      <c r="Q10" s="762">
        <v>9</v>
      </c>
      <c r="R10" s="762">
        <v>10</v>
      </c>
      <c r="S10" s="762">
        <v>179</v>
      </c>
      <c r="T10" s="762">
        <v>358</v>
      </c>
      <c r="U10" s="768">
        <v>555</v>
      </c>
    </row>
    <row r="11" spans="1:21">
      <c r="A11" s="864"/>
      <c r="B11" s="864"/>
      <c r="C11" s="770" t="s">
        <v>1614</v>
      </c>
      <c r="D11" s="762"/>
      <c r="E11" s="762">
        <v>18</v>
      </c>
      <c r="F11" s="762">
        <v>89</v>
      </c>
      <c r="G11" s="767">
        <v>485</v>
      </c>
      <c r="H11" s="762"/>
      <c r="I11" s="762"/>
      <c r="J11" s="27"/>
      <c r="K11" s="762">
        <v>94</v>
      </c>
      <c r="L11" s="762">
        <v>133</v>
      </c>
      <c r="M11" s="762">
        <v>129</v>
      </c>
      <c r="N11" s="762">
        <v>129</v>
      </c>
      <c r="O11" s="768">
        <v>485</v>
      </c>
      <c r="P11" s="690"/>
      <c r="Q11" s="762">
        <v>11</v>
      </c>
      <c r="R11" s="762">
        <v>9</v>
      </c>
      <c r="S11" s="762">
        <v>41</v>
      </c>
      <c r="T11" s="762">
        <v>121</v>
      </c>
      <c r="U11" s="768">
        <v>173</v>
      </c>
    </row>
    <row r="12" spans="1:21">
      <c r="A12" s="864"/>
      <c r="B12" s="864"/>
      <c r="C12" s="770" t="s">
        <v>263</v>
      </c>
      <c r="D12" s="768">
        <v>7161</v>
      </c>
      <c r="E12" s="768">
        <v>6013</v>
      </c>
      <c r="F12" s="768">
        <v>7594</v>
      </c>
      <c r="G12" s="768">
        <v>8445</v>
      </c>
      <c r="H12" s="768">
        <v>0</v>
      </c>
      <c r="I12" s="768">
        <v>0</v>
      </c>
      <c r="J12" s="27"/>
      <c r="K12" s="768">
        <v>1978</v>
      </c>
      <c r="L12" s="768">
        <v>2154</v>
      </c>
      <c r="M12" s="768">
        <v>2152</v>
      </c>
      <c r="N12" s="768">
        <v>2161</v>
      </c>
      <c r="O12" s="768">
        <v>8445</v>
      </c>
      <c r="P12" s="11"/>
      <c r="Q12" s="768">
        <v>2232</v>
      </c>
      <c r="R12" s="768">
        <v>2335</v>
      </c>
      <c r="S12" s="768">
        <v>2347</v>
      </c>
      <c r="T12" s="768">
        <v>2646</v>
      </c>
      <c r="U12" s="768">
        <v>9539</v>
      </c>
    </row>
    <row r="13" spans="1:21">
      <c r="A13" s="864" t="s">
        <v>1615</v>
      </c>
      <c r="B13" s="864"/>
      <c r="C13" s="766" t="s">
        <v>1611</v>
      </c>
      <c r="D13" s="762">
        <v>21260</v>
      </c>
      <c r="E13" s="762">
        <v>18527</v>
      </c>
      <c r="F13" s="762">
        <v>18851</v>
      </c>
      <c r="G13" s="767">
        <v>18924</v>
      </c>
      <c r="H13" s="762"/>
      <c r="I13" s="762"/>
      <c r="J13" s="27"/>
      <c r="K13" s="762">
        <v>4731</v>
      </c>
      <c r="L13" s="762">
        <v>4731</v>
      </c>
      <c r="M13" s="762">
        <v>4731</v>
      </c>
      <c r="N13" s="762">
        <v>4731</v>
      </c>
      <c r="O13" s="768">
        <v>18924</v>
      </c>
      <c r="P13" s="690"/>
      <c r="Q13" s="762">
        <v>4814</v>
      </c>
      <c r="R13" s="762">
        <v>4070</v>
      </c>
      <c r="S13" s="762">
        <v>4070</v>
      </c>
      <c r="T13" s="762">
        <v>4801</v>
      </c>
      <c r="U13" s="768">
        <v>19683</v>
      </c>
    </row>
    <row r="14" spans="1:21">
      <c r="A14" s="864"/>
      <c r="B14" s="864"/>
      <c r="C14" s="770" t="s">
        <v>1612</v>
      </c>
      <c r="D14" s="762"/>
      <c r="E14" s="762">
        <v>1929</v>
      </c>
      <c r="F14" s="762">
        <v>1345</v>
      </c>
      <c r="G14" s="767">
        <v>0</v>
      </c>
      <c r="H14" s="762"/>
      <c r="I14" s="762"/>
      <c r="J14" s="27"/>
      <c r="K14" s="762"/>
      <c r="L14" s="762"/>
      <c r="M14" s="762"/>
      <c r="N14" s="762"/>
      <c r="O14" s="768">
        <v>0</v>
      </c>
      <c r="P14" s="690"/>
      <c r="Q14" s="762"/>
      <c r="R14" s="762"/>
      <c r="S14" s="762">
        <v>79</v>
      </c>
      <c r="T14" s="762">
        <v>0</v>
      </c>
      <c r="U14" s="768">
        <v>79</v>
      </c>
    </row>
    <row r="15" spans="1:21">
      <c r="A15" s="864"/>
      <c r="B15" s="864"/>
      <c r="C15" s="770" t="s">
        <v>1613</v>
      </c>
      <c r="D15" s="762">
        <v>838</v>
      </c>
      <c r="E15" s="762">
        <v>1545</v>
      </c>
      <c r="F15" s="762">
        <v>563</v>
      </c>
      <c r="G15" s="767">
        <v>225</v>
      </c>
      <c r="H15" s="762"/>
      <c r="I15" s="762"/>
      <c r="J15" s="27"/>
      <c r="K15" s="762">
        <v>135</v>
      </c>
      <c r="L15" s="762">
        <v>30</v>
      </c>
      <c r="M15" s="762">
        <v>30</v>
      </c>
      <c r="N15" s="762">
        <v>30</v>
      </c>
      <c r="O15" s="768">
        <v>225</v>
      </c>
      <c r="P15" s="690"/>
      <c r="Q15" s="762">
        <v>103</v>
      </c>
      <c r="R15" s="762">
        <v>24</v>
      </c>
      <c r="S15" s="762">
        <v>14</v>
      </c>
      <c r="T15" s="762">
        <v>9</v>
      </c>
      <c r="U15" s="768">
        <v>162</v>
      </c>
    </row>
    <row r="16" spans="1:21">
      <c r="A16" s="864"/>
      <c r="B16" s="864"/>
      <c r="C16" s="770" t="s">
        <v>1614</v>
      </c>
      <c r="D16" s="762"/>
      <c r="E16" s="762">
        <v>106</v>
      </c>
      <c r="F16" s="762">
        <v>281</v>
      </c>
      <c r="G16" s="767">
        <v>203</v>
      </c>
      <c r="H16" s="762"/>
      <c r="I16" s="762"/>
      <c r="J16" s="27"/>
      <c r="K16" s="762">
        <v>32</v>
      </c>
      <c r="L16" s="762">
        <v>57</v>
      </c>
      <c r="M16" s="762">
        <v>57</v>
      </c>
      <c r="N16" s="762">
        <v>57</v>
      </c>
      <c r="O16" s="768">
        <v>203</v>
      </c>
      <c r="P16" s="690"/>
      <c r="Q16" s="762">
        <v>12</v>
      </c>
      <c r="R16" s="762">
        <v>0</v>
      </c>
      <c r="S16" s="762">
        <v>4</v>
      </c>
      <c r="T16" s="762">
        <v>232</v>
      </c>
      <c r="U16" s="768">
        <v>244</v>
      </c>
    </row>
    <row r="17" spans="1:21">
      <c r="A17" s="864"/>
      <c r="B17" s="864"/>
      <c r="C17" s="770" t="s">
        <v>263</v>
      </c>
      <c r="D17" s="768">
        <v>22098</v>
      </c>
      <c r="E17" s="768">
        <v>22107</v>
      </c>
      <c r="F17" s="768">
        <v>21040</v>
      </c>
      <c r="G17" s="768">
        <v>19352</v>
      </c>
      <c r="H17" s="768">
        <v>0</v>
      </c>
      <c r="I17" s="768">
        <v>0</v>
      </c>
      <c r="J17" s="27"/>
      <c r="K17" s="768">
        <v>4898</v>
      </c>
      <c r="L17" s="768">
        <v>4818</v>
      </c>
      <c r="M17" s="768">
        <v>4818</v>
      </c>
      <c r="N17" s="768">
        <v>4818</v>
      </c>
      <c r="O17" s="768">
        <v>19352</v>
      </c>
      <c r="P17" s="11"/>
      <c r="Q17" s="768">
        <v>4929</v>
      </c>
      <c r="R17" s="768">
        <v>4094</v>
      </c>
      <c r="S17" s="768">
        <v>4167</v>
      </c>
      <c r="T17" s="768">
        <v>5042</v>
      </c>
      <c r="U17" s="768">
        <v>20168</v>
      </c>
    </row>
    <row r="18" spans="1:21">
      <c r="A18" s="864" t="s">
        <v>244</v>
      </c>
      <c r="B18" s="864" t="s">
        <v>1616</v>
      </c>
      <c r="C18" s="766" t="s">
        <v>1611</v>
      </c>
      <c r="D18" s="762">
        <v>140696</v>
      </c>
      <c r="E18" s="762">
        <v>109491</v>
      </c>
      <c r="F18" s="762">
        <v>122429</v>
      </c>
      <c r="G18" s="767">
        <v>125808</v>
      </c>
      <c r="H18" s="762"/>
      <c r="I18" s="762"/>
      <c r="J18" s="27"/>
      <c r="K18" s="762">
        <v>31452</v>
      </c>
      <c r="L18" s="762">
        <v>31452</v>
      </c>
      <c r="M18" s="762">
        <v>31452</v>
      </c>
      <c r="N18" s="762">
        <v>31452</v>
      </c>
      <c r="O18" s="768">
        <v>125808</v>
      </c>
      <c r="P18" s="690"/>
      <c r="Q18" s="762">
        <v>30944</v>
      </c>
      <c r="R18" s="762">
        <v>31818</v>
      </c>
      <c r="S18" s="762">
        <v>32686</v>
      </c>
      <c r="T18" s="762">
        <v>35188</v>
      </c>
      <c r="U18" s="768">
        <v>135723</v>
      </c>
    </row>
    <row r="19" spans="1:21">
      <c r="A19" s="864"/>
      <c r="B19" s="864"/>
      <c r="C19" s="770" t="s">
        <v>1612</v>
      </c>
      <c r="D19" s="762"/>
      <c r="E19" s="762">
        <v>876</v>
      </c>
      <c r="F19" s="762">
        <v>4312</v>
      </c>
      <c r="G19" s="767">
        <v>2635</v>
      </c>
      <c r="H19" s="762"/>
      <c r="I19" s="762"/>
      <c r="J19" s="27"/>
      <c r="K19" s="762">
        <v>455</v>
      </c>
      <c r="L19" s="762">
        <v>689</v>
      </c>
      <c r="M19" s="762">
        <v>711</v>
      </c>
      <c r="N19" s="762">
        <v>780</v>
      </c>
      <c r="O19" s="768">
        <v>2635</v>
      </c>
      <c r="P19" s="690"/>
      <c r="Q19" s="762">
        <v>571</v>
      </c>
      <c r="R19" s="762">
        <v>400</v>
      </c>
      <c r="S19" s="762">
        <v>376</v>
      </c>
      <c r="T19" s="762">
        <v>36</v>
      </c>
      <c r="U19" s="768">
        <v>162</v>
      </c>
    </row>
    <row r="20" spans="1:21">
      <c r="A20" s="864"/>
      <c r="B20" s="864"/>
      <c r="C20" s="770" t="s">
        <v>1613</v>
      </c>
      <c r="D20" s="762"/>
      <c r="E20" s="762">
        <v>507</v>
      </c>
      <c r="F20" s="762">
        <v>612</v>
      </c>
      <c r="G20" s="767">
        <v>0</v>
      </c>
      <c r="H20" s="762"/>
      <c r="I20" s="762"/>
      <c r="J20" s="27"/>
      <c r="K20" s="762"/>
      <c r="L20" s="762"/>
      <c r="M20" s="762"/>
      <c r="N20" s="762"/>
      <c r="O20" s="768">
        <v>0</v>
      </c>
      <c r="P20" s="690"/>
      <c r="Q20" s="762"/>
      <c r="R20" s="762"/>
      <c r="S20" s="762">
        <v>0</v>
      </c>
      <c r="T20" s="762">
        <v>358</v>
      </c>
      <c r="U20" s="768">
        <v>555</v>
      </c>
    </row>
    <row r="21" spans="1:21">
      <c r="A21" s="864"/>
      <c r="B21" s="864"/>
      <c r="C21" s="770" t="s">
        <v>1614</v>
      </c>
      <c r="D21" s="762">
        <v>6012</v>
      </c>
      <c r="E21" s="762">
        <v>11072</v>
      </c>
      <c r="F21" s="762">
        <v>7044</v>
      </c>
      <c r="G21" s="767">
        <v>1985</v>
      </c>
      <c r="H21" s="762"/>
      <c r="I21" s="762"/>
      <c r="J21" s="27"/>
      <c r="K21" s="762">
        <v>412</v>
      </c>
      <c r="L21" s="762">
        <v>586</v>
      </c>
      <c r="M21" s="762">
        <v>469</v>
      </c>
      <c r="N21" s="762">
        <v>518</v>
      </c>
      <c r="O21" s="768">
        <v>1985</v>
      </c>
      <c r="P21" s="690"/>
      <c r="Q21" s="762">
        <v>925</v>
      </c>
      <c r="R21" s="762">
        <v>1214</v>
      </c>
      <c r="S21" s="762">
        <v>1200</v>
      </c>
      <c r="T21" s="762">
        <v>121</v>
      </c>
      <c r="U21" s="768">
        <v>173</v>
      </c>
    </row>
    <row r="22" spans="1:21">
      <c r="A22" s="864"/>
      <c r="B22" s="864"/>
      <c r="C22" s="770" t="s">
        <v>263</v>
      </c>
      <c r="D22" s="768">
        <v>146708</v>
      </c>
      <c r="E22" s="768">
        <v>121946</v>
      </c>
      <c r="F22" s="768">
        <v>134397</v>
      </c>
      <c r="G22" s="768">
        <v>130428</v>
      </c>
      <c r="H22" s="768">
        <v>0</v>
      </c>
      <c r="I22" s="768">
        <v>0</v>
      </c>
      <c r="J22" s="27"/>
      <c r="K22" s="768">
        <v>32319</v>
      </c>
      <c r="L22" s="768">
        <v>32727</v>
      </c>
      <c r="M22" s="768">
        <v>32632</v>
      </c>
      <c r="N22" s="768">
        <v>32750</v>
      </c>
      <c r="O22" s="768">
        <v>130428</v>
      </c>
      <c r="P22" s="11"/>
      <c r="Q22" s="768">
        <v>32440</v>
      </c>
      <c r="R22" s="768">
        <v>33432</v>
      </c>
      <c r="S22" s="768">
        <v>34262</v>
      </c>
      <c r="T22" s="768">
        <v>35703</v>
      </c>
      <c r="U22" s="768">
        <v>136613</v>
      </c>
    </row>
    <row r="23" spans="1:21">
      <c r="A23" s="864"/>
      <c r="B23" s="864" t="s">
        <v>1617</v>
      </c>
      <c r="C23" s="766" t="s">
        <v>1611</v>
      </c>
      <c r="D23" s="762"/>
      <c r="E23" s="762">
        <v>13723</v>
      </c>
      <c r="F23" s="762">
        <v>11159</v>
      </c>
      <c r="G23" s="767">
        <v>10364</v>
      </c>
      <c r="H23" s="762"/>
      <c r="I23" s="762"/>
      <c r="J23" s="27"/>
      <c r="K23" s="762">
        <v>2591</v>
      </c>
      <c r="L23" s="762">
        <v>2591</v>
      </c>
      <c r="M23" s="762">
        <v>2591</v>
      </c>
      <c r="N23" s="762">
        <v>2591</v>
      </c>
      <c r="O23" s="768">
        <v>10364</v>
      </c>
      <c r="P23" s="690"/>
      <c r="Q23" s="762">
        <v>3489</v>
      </c>
      <c r="R23" s="762">
        <v>3306</v>
      </c>
      <c r="S23" s="762">
        <v>3425</v>
      </c>
      <c r="T23" s="762">
        <v>3333</v>
      </c>
      <c r="U23" s="768">
        <v>13632</v>
      </c>
    </row>
    <row r="24" spans="1:21">
      <c r="A24" s="864"/>
      <c r="B24" s="864"/>
      <c r="C24" s="770" t="s">
        <v>1612</v>
      </c>
      <c r="D24" s="762"/>
      <c r="E24" s="762">
        <v>1</v>
      </c>
      <c r="F24" s="762" t="s">
        <v>1622</v>
      </c>
      <c r="G24" s="767">
        <v>0</v>
      </c>
      <c r="H24" s="762"/>
      <c r="I24" s="762"/>
      <c r="J24" s="27"/>
      <c r="K24" s="762"/>
      <c r="L24" s="762"/>
      <c r="M24" s="762"/>
      <c r="N24" s="762"/>
      <c r="O24" s="768">
        <v>0</v>
      </c>
      <c r="P24" s="690"/>
      <c r="Q24" s="762"/>
      <c r="R24" s="762"/>
      <c r="S24" s="762"/>
      <c r="T24" s="762"/>
      <c r="U24" s="768">
        <v>0</v>
      </c>
    </row>
    <row r="25" spans="1:21">
      <c r="A25" s="864"/>
      <c r="B25" s="864"/>
      <c r="C25" s="770" t="s">
        <v>1613</v>
      </c>
      <c r="D25" s="762"/>
      <c r="E25" s="762"/>
      <c r="F25" s="762" t="s">
        <v>1622</v>
      </c>
      <c r="G25" s="767">
        <v>0</v>
      </c>
      <c r="H25" s="762"/>
      <c r="I25" s="762"/>
      <c r="J25" s="27"/>
      <c r="K25" s="762"/>
      <c r="L25" s="762"/>
      <c r="M25" s="762"/>
      <c r="N25" s="762"/>
      <c r="O25" s="768">
        <v>0</v>
      </c>
      <c r="P25" s="690"/>
      <c r="Q25" s="762"/>
      <c r="R25" s="762"/>
      <c r="S25" s="762"/>
      <c r="T25" s="762"/>
      <c r="U25" s="768">
        <v>0</v>
      </c>
    </row>
    <row r="26" spans="1:21">
      <c r="A26" s="864"/>
      <c r="B26" s="864"/>
      <c r="C26" s="770" t="s">
        <v>1614</v>
      </c>
      <c r="D26" s="762"/>
      <c r="E26" s="762">
        <v>1610</v>
      </c>
      <c r="F26" s="762">
        <v>132</v>
      </c>
      <c r="G26" s="767">
        <v>0</v>
      </c>
      <c r="H26" s="762"/>
      <c r="I26" s="762"/>
      <c r="J26" s="27"/>
      <c r="K26" s="762"/>
      <c r="L26" s="762"/>
      <c r="M26" s="762"/>
      <c r="N26" s="762"/>
      <c r="O26" s="768">
        <v>0</v>
      </c>
      <c r="P26" s="690"/>
      <c r="Q26" s="762"/>
      <c r="R26" s="762"/>
      <c r="S26" s="762"/>
      <c r="T26" s="762"/>
      <c r="U26" s="768">
        <v>0</v>
      </c>
    </row>
    <row r="27" spans="1:21">
      <c r="A27" s="864"/>
      <c r="B27" s="864"/>
      <c r="C27" s="770" t="s">
        <v>263</v>
      </c>
      <c r="D27" s="768">
        <v>0</v>
      </c>
      <c r="E27" s="768">
        <v>15334</v>
      </c>
      <c r="F27" s="768">
        <v>11291</v>
      </c>
      <c r="G27" s="768">
        <v>10364</v>
      </c>
      <c r="H27" s="768">
        <v>0</v>
      </c>
      <c r="I27" s="768">
        <v>0</v>
      </c>
      <c r="J27" s="27"/>
      <c r="K27" s="768">
        <v>2591</v>
      </c>
      <c r="L27" s="768">
        <v>2591</v>
      </c>
      <c r="M27" s="768">
        <v>2591</v>
      </c>
      <c r="N27" s="768">
        <v>2591</v>
      </c>
      <c r="O27" s="768">
        <v>10364</v>
      </c>
      <c r="P27" s="11"/>
      <c r="Q27" s="768">
        <v>3489</v>
      </c>
      <c r="R27" s="768">
        <v>3306</v>
      </c>
      <c r="S27" s="768">
        <v>3425</v>
      </c>
      <c r="T27" s="768">
        <v>3333</v>
      </c>
      <c r="U27" s="768">
        <v>13632</v>
      </c>
    </row>
    <row r="28" spans="1:21">
      <c r="A28" s="864" t="s">
        <v>245</v>
      </c>
      <c r="B28" s="864" t="s">
        <v>1616</v>
      </c>
      <c r="C28" s="766" t="s">
        <v>1611</v>
      </c>
      <c r="D28" s="762">
        <v>321015</v>
      </c>
      <c r="E28" s="762">
        <v>224154</v>
      </c>
      <c r="F28" s="762">
        <v>247583</v>
      </c>
      <c r="G28" s="767">
        <v>251780</v>
      </c>
      <c r="H28" s="762"/>
      <c r="I28" s="762"/>
      <c r="J28" s="27"/>
      <c r="K28" s="762">
        <v>62945</v>
      </c>
      <c r="L28" s="762">
        <v>62945</v>
      </c>
      <c r="M28" s="762">
        <v>62945</v>
      </c>
      <c r="N28" s="762">
        <v>62945</v>
      </c>
      <c r="O28" s="768">
        <v>251780</v>
      </c>
      <c r="P28" s="690"/>
      <c r="Q28" s="762">
        <v>72947</v>
      </c>
      <c r="R28" s="762">
        <v>73643</v>
      </c>
      <c r="S28" s="762">
        <v>74470</v>
      </c>
      <c r="T28" s="762">
        <v>74656</v>
      </c>
      <c r="U28" s="768">
        <v>292812</v>
      </c>
    </row>
    <row r="29" spans="1:21">
      <c r="A29" s="864"/>
      <c r="B29" s="864"/>
      <c r="C29" s="770" t="s">
        <v>1612</v>
      </c>
      <c r="D29" s="762"/>
      <c r="E29" s="762">
        <v>1676</v>
      </c>
      <c r="F29" s="762">
        <v>13125</v>
      </c>
      <c r="G29" s="767">
        <v>0</v>
      </c>
      <c r="H29" s="762"/>
      <c r="I29" s="762"/>
      <c r="J29" s="27"/>
      <c r="K29" s="762"/>
      <c r="L29" s="762"/>
      <c r="M29" s="762"/>
      <c r="N29" s="762"/>
      <c r="O29" s="768">
        <v>0</v>
      </c>
      <c r="P29" s="690"/>
      <c r="Q29" s="762"/>
      <c r="R29" s="762"/>
      <c r="S29" s="762">
        <v>40</v>
      </c>
      <c r="T29" s="762">
        <v>15</v>
      </c>
      <c r="U29" s="768">
        <v>94</v>
      </c>
    </row>
    <row r="30" spans="1:21">
      <c r="A30" s="864"/>
      <c r="B30" s="864"/>
      <c r="C30" s="770" t="s">
        <v>1613</v>
      </c>
      <c r="D30" s="762"/>
      <c r="E30" s="762">
        <v>20</v>
      </c>
      <c r="F30" s="762">
        <v>243</v>
      </c>
      <c r="G30" s="767">
        <v>0</v>
      </c>
      <c r="H30" s="762"/>
      <c r="I30" s="762"/>
      <c r="J30" s="27"/>
      <c r="K30" s="762"/>
      <c r="L30" s="762"/>
      <c r="M30" s="762"/>
      <c r="N30" s="762"/>
      <c r="O30" s="768">
        <v>0</v>
      </c>
      <c r="P30" s="690"/>
      <c r="Q30" s="762"/>
      <c r="R30" s="762"/>
      <c r="S30" s="762"/>
      <c r="T30" s="762"/>
      <c r="U30" s="768">
        <v>0</v>
      </c>
    </row>
    <row r="31" spans="1:21">
      <c r="A31" s="864"/>
      <c r="B31" s="864"/>
      <c r="C31" s="770" t="s">
        <v>1614</v>
      </c>
      <c r="D31" s="762">
        <v>343</v>
      </c>
      <c r="E31" s="762">
        <v>1206</v>
      </c>
      <c r="F31" s="762">
        <v>239</v>
      </c>
      <c r="G31" s="767">
        <v>0</v>
      </c>
      <c r="H31" s="762"/>
      <c r="I31" s="762"/>
      <c r="J31" s="27"/>
      <c r="K31" s="762"/>
      <c r="L31" s="762"/>
      <c r="M31" s="762"/>
      <c r="N31" s="762"/>
      <c r="O31" s="768">
        <v>0</v>
      </c>
      <c r="P31" s="690"/>
      <c r="Q31" s="762">
        <v>235</v>
      </c>
      <c r="R31" s="762">
        <v>325</v>
      </c>
      <c r="S31" s="762">
        <v>549</v>
      </c>
      <c r="T31" s="762">
        <v>58</v>
      </c>
      <c r="U31" s="768">
        <v>498</v>
      </c>
    </row>
    <row r="32" spans="1:21">
      <c r="A32" s="864"/>
      <c r="B32" s="864"/>
      <c r="C32" s="770" t="s">
        <v>263</v>
      </c>
      <c r="D32" s="768">
        <v>321358</v>
      </c>
      <c r="E32" s="768">
        <v>227056</v>
      </c>
      <c r="F32" s="768">
        <v>261190</v>
      </c>
      <c r="G32" s="768">
        <v>251780</v>
      </c>
      <c r="H32" s="768">
        <v>0</v>
      </c>
      <c r="I32" s="768">
        <v>0</v>
      </c>
      <c r="J32" s="27"/>
      <c r="K32" s="768">
        <v>62945</v>
      </c>
      <c r="L32" s="768">
        <v>62945</v>
      </c>
      <c r="M32" s="768">
        <v>62945</v>
      </c>
      <c r="N32" s="768">
        <v>62945</v>
      </c>
      <c r="O32" s="768">
        <v>251780</v>
      </c>
      <c r="P32" s="11"/>
      <c r="Q32" s="768">
        <v>73182</v>
      </c>
      <c r="R32" s="768">
        <v>73968</v>
      </c>
      <c r="S32" s="768">
        <v>75059</v>
      </c>
      <c r="T32" s="768">
        <v>74729</v>
      </c>
      <c r="U32" s="768">
        <v>293404</v>
      </c>
    </row>
    <row r="33" spans="1:21">
      <c r="A33" s="864"/>
      <c r="B33" s="864" t="s">
        <v>1617</v>
      </c>
      <c r="C33" s="766" t="s">
        <v>1611</v>
      </c>
      <c r="D33" s="762"/>
      <c r="E33" s="762">
        <v>64245</v>
      </c>
      <c r="F33" s="762">
        <v>50924</v>
      </c>
      <c r="G33" s="767">
        <v>49704</v>
      </c>
      <c r="H33" s="762"/>
      <c r="I33" s="762"/>
      <c r="J33" s="27"/>
      <c r="K33" s="762">
        <v>12426</v>
      </c>
      <c r="L33" s="762">
        <v>12426</v>
      </c>
      <c r="M33" s="762">
        <v>12426</v>
      </c>
      <c r="N33" s="762">
        <v>12426</v>
      </c>
      <c r="O33" s="768">
        <v>49704</v>
      </c>
      <c r="P33" s="690"/>
      <c r="Q33" s="762">
        <v>14403</v>
      </c>
      <c r="R33" s="762">
        <v>14386</v>
      </c>
      <c r="S33" s="762">
        <v>14630</v>
      </c>
      <c r="T33" s="762">
        <v>14080</v>
      </c>
      <c r="U33" s="768">
        <v>56666</v>
      </c>
    </row>
    <row r="34" spans="1:21">
      <c r="A34" s="864"/>
      <c r="B34" s="864"/>
      <c r="C34" s="770" t="s">
        <v>1612</v>
      </c>
      <c r="D34" s="762"/>
      <c r="E34" s="762">
        <v>110</v>
      </c>
      <c r="F34" s="762" t="s">
        <v>1622</v>
      </c>
      <c r="G34" s="767">
        <v>0</v>
      </c>
      <c r="H34" s="762"/>
      <c r="I34" s="762"/>
      <c r="J34" s="27"/>
      <c r="K34" s="762"/>
      <c r="L34" s="762"/>
      <c r="M34" s="762"/>
      <c r="N34" s="762"/>
      <c r="O34" s="768">
        <v>0</v>
      </c>
      <c r="P34" s="690"/>
      <c r="Q34" s="762"/>
      <c r="R34" s="762"/>
      <c r="S34" s="762"/>
      <c r="T34" s="762"/>
      <c r="U34" s="768">
        <v>0</v>
      </c>
    </row>
    <row r="35" spans="1:21">
      <c r="A35" s="864"/>
      <c r="B35" s="864"/>
      <c r="C35" s="770" t="s">
        <v>1613</v>
      </c>
      <c r="D35" s="762"/>
      <c r="E35" s="762">
        <v>0</v>
      </c>
      <c r="F35" s="762" t="s">
        <v>1622</v>
      </c>
      <c r="G35" s="767">
        <v>0</v>
      </c>
      <c r="H35" s="762"/>
      <c r="I35" s="762"/>
      <c r="J35" s="27"/>
      <c r="K35" s="762"/>
      <c r="L35" s="762"/>
      <c r="M35" s="762"/>
      <c r="N35" s="762"/>
      <c r="O35" s="768">
        <v>0</v>
      </c>
      <c r="P35" s="690"/>
      <c r="Q35" s="762"/>
      <c r="R35" s="762"/>
      <c r="S35" s="762"/>
      <c r="T35" s="762"/>
      <c r="U35" s="768">
        <v>0</v>
      </c>
    </row>
    <row r="36" spans="1:21">
      <c r="A36" s="864"/>
      <c r="B36" s="864"/>
      <c r="C36" s="770" t="s">
        <v>1614</v>
      </c>
      <c r="D36" s="762"/>
      <c r="E36" s="762">
        <v>1131</v>
      </c>
      <c r="F36" s="762">
        <v>1194</v>
      </c>
      <c r="G36" s="767">
        <v>0</v>
      </c>
      <c r="H36" s="762"/>
      <c r="I36" s="762"/>
      <c r="J36" s="27"/>
      <c r="K36" s="762"/>
      <c r="L36" s="762"/>
      <c r="M36" s="762"/>
      <c r="N36" s="762"/>
      <c r="O36" s="768">
        <v>0</v>
      </c>
      <c r="P36" s="690"/>
      <c r="Q36" s="762"/>
      <c r="R36" s="762"/>
      <c r="S36" s="762"/>
      <c r="T36" s="762"/>
      <c r="U36" s="768">
        <v>0</v>
      </c>
    </row>
    <row r="37" spans="1:21">
      <c r="A37" s="864"/>
      <c r="B37" s="864"/>
      <c r="C37" s="770" t="s">
        <v>263</v>
      </c>
      <c r="D37" s="768">
        <v>0</v>
      </c>
      <c r="E37" s="768">
        <v>65486</v>
      </c>
      <c r="F37" s="768">
        <v>52118</v>
      </c>
      <c r="G37" s="768">
        <v>49704</v>
      </c>
      <c r="H37" s="768">
        <v>0</v>
      </c>
      <c r="I37" s="768">
        <v>0</v>
      </c>
      <c r="J37" s="27"/>
      <c r="K37" s="768">
        <v>12426</v>
      </c>
      <c r="L37" s="768">
        <v>12426</v>
      </c>
      <c r="M37" s="768">
        <v>12426</v>
      </c>
      <c r="N37" s="768">
        <v>12426</v>
      </c>
      <c r="O37" s="768">
        <v>49704</v>
      </c>
      <c r="P37" s="11"/>
      <c r="Q37" s="768">
        <v>14403</v>
      </c>
      <c r="R37" s="768">
        <v>14386</v>
      </c>
      <c r="S37" s="768">
        <v>14630</v>
      </c>
      <c r="T37" s="768">
        <v>14080</v>
      </c>
      <c r="U37" s="768">
        <v>56666</v>
      </c>
    </row>
    <row r="38" spans="1:21">
      <c r="A38" s="864" t="s">
        <v>246</v>
      </c>
      <c r="B38" s="78" t="s">
        <v>329</v>
      </c>
      <c r="C38" s="770" t="s">
        <v>263</v>
      </c>
      <c r="D38" s="762">
        <v>40372</v>
      </c>
      <c r="E38" s="762">
        <v>48880</v>
      </c>
      <c r="F38" s="762">
        <v>54312</v>
      </c>
      <c r="G38" s="767">
        <v>54744</v>
      </c>
      <c r="H38" s="762"/>
      <c r="I38" s="762"/>
      <c r="J38" s="27"/>
      <c r="K38" s="762">
        <v>13686</v>
      </c>
      <c r="L38" s="762">
        <v>13686</v>
      </c>
      <c r="M38" s="762">
        <v>13686</v>
      </c>
      <c r="N38" s="762">
        <v>13686</v>
      </c>
      <c r="O38" s="768">
        <v>54744</v>
      </c>
      <c r="P38" s="690"/>
      <c r="Q38" s="762">
        <v>13489</v>
      </c>
      <c r="R38" s="762">
        <v>14551</v>
      </c>
      <c r="S38" s="762">
        <v>14983</v>
      </c>
      <c r="T38" s="762">
        <v>14335</v>
      </c>
      <c r="U38" s="768">
        <v>57347</v>
      </c>
    </row>
    <row r="39" spans="1:21">
      <c r="A39" s="864"/>
      <c r="B39" s="78" t="s">
        <v>1618</v>
      </c>
      <c r="C39" s="770" t="s">
        <v>263</v>
      </c>
      <c r="D39" s="762">
        <v>21840</v>
      </c>
      <c r="E39" s="762">
        <v>22788</v>
      </c>
      <c r="F39" s="762">
        <v>26570</v>
      </c>
      <c r="G39" s="767">
        <v>26928</v>
      </c>
      <c r="H39" s="762"/>
      <c r="I39" s="762"/>
      <c r="J39" s="27"/>
      <c r="K39" s="762">
        <v>6732</v>
      </c>
      <c r="L39" s="762">
        <v>6732</v>
      </c>
      <c r="M39" s="762">
        <v>6732</v>
      </c>
      <c r="N39" s="762">
        <v>6732</v>
      </c>
      <c r="O39" s="768">
        <v>26928</v>
      </c>
      <c r="P39" s="690"/>
      <c r="Q39" s="762">
        <v>7081</v>
      </c>
      <c r="R39" s="762">
        <v>6869</v>
      </c>
      <c r="S39" s="762">
        <v>6507</v>
      </c>
      <c r="T39" s="762">
        <v>6034</v>
      </c>
      <c r="U39" s="768">
        <v>26491</v>
      </c>
    </row>
    <row r="40" spans="1:21">
      <c r="A40" s="864"/>
      <c r="B40" s="78" t="s">
        <v>1619</v>
      </c>
      <c r="C40" s="770" t="s">
        <v>263</v>
      </c>
      <c r="D40" s="762">
        <v>41046</v>
      </c>
      <c r="E40" s="762">
        <v>37290</v>
      </c>
      <c r="F40" s="762">
        <v>39608</v>
      </c>
      <c r="G40" s="767">
        <v>40624</v>
      </c>
      <c r="H40" s="762"/>
      <c r="I40" s="762"/>
      <c r="J40" s="27"/>
      <c r="K40" s="762">
        <v>10156</v>
      </c>
      <c r="L40" s="762">
        <v>10156</v>
      </c>
      <c r="M40" s="762">
        <v>10156</v>
      </c>
      <c r="N40" s="762">
        <v>10156</v>
      </c>
      <c r="O40" s="768">
        <v>40624</v>
      </c>
      <c r="P40" s="690"/>
      <c r="Q40" s="762">
        <v>9919</v>
      </c>
      <c r="R40" s="762">
        <v>9782</v>
      </c>
      <c r="S40" s="762">
        <v>9453</v>
      </c>
      <c r="T40" s="762">
        <v>9776</v>
      </c>
      <c r="U40" s="768">
        <v>38924</v>
      </c>
    </row>
    <row r="41" spans="1:21">
      <c r="A41" s="864"/>
      <c r="B41" s="78" t="s">
        <v>1620</v>
      </c>
      <c r="C41" s="770" t="s">
        <v>263</v>
      </c>
      <c r="D41" s="762">
        <v>9667</v>
      </c>
      <c r="E41" s="762">
        <v>11443</v>
      </c>
      <c r="F41" s="762">
        <v>13351</v>
      </c>
      <c r="G41" s="767">
        <v>13404</v>
      </c>
      <c r="H41" s="762"/>
      <c r="I41" s="762"/>
      <c r="J41" s="27"/>
      <c r="K41" s="762">
        <v>3351</v>
      </c>
      <c r="L41" s="762">
        <v>3351</v>
      </c>
      <c r="M41" s="762">
        <v>3351</v>
      </c>
      <c r="N41" s="762">
        <v>3351</v>
      </c>
      <c r="O41" s="768">
        <v>13404</v>
      </c>
      <c r="P41" s="690"/>
      <c r="Q41" s="762">
        <v>3512</v>
      </c>
      <c r="R41" s="762">
        <v>3786</v>
      </c>
      <c r="S41" s="762">
        <v>3821</v>
      </c>
      <c r="T41" s="762">
        <v>3772</v>
      </c>
      <c r="U41" s="768">
        <v>15155</v>
      </c>
    </row>
  </sheetData>
  <mergeCells count="12">
    <mergeCell ref="C5:C6"/>
    <mergeCell ref="A28:A37"/>
    <mergeCell ref="B28:B32"/>
    <mergeCell ref="B33:B37"/>
    <mergeCell ref="A38:A41"/>
    <mergeCell ref="A5:A6"/>
    <mergeCell ref="A8:B12"/>
    <mergeCell ref="A13:B17"/>
    <mergeCell ref="A18:A27"/>
    <mergeCell ref="B18:B22"/>
    <mergeCell ref="B23:B27"/>
    <mergeCell ref="B5:B6"/>
  </mergeCells>
  <pageMargins left="0.70866141732283472" right="0.70866141732283472" top="0.74803149606299213" bottom="0.74803149606299213" header="0.31496062992125984" footer="0.31496062992125984"/>
  <pageSetup paperSize="9" scale="42"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79998168889431442"/>
    <pageSetUpPr fitToPage="1"/>
  </sheetPr>
  <dimension ref="A1:I38"/>
  <sheetViews>
    <sheetView zoomScale="80" zoomScaleNormal="80" workbookViewId="0">
      <pane xSplit="1" ySplit="4" topLeftCell="B19" activePane="bottomRight" state="frozenSplit"/>
      <selection pane="topRight" activeCell="B12" sqref="B12"/>
      <selection pane="bottomLeft" activeCell="A13" sqref="A13"/>
      <selection pane="bottomRight" activeCell="F40" sqref="F40"/>
    </sheetView>
  </sheetViews>
  <sheetFormatPr defaultColWidth="8.84375" defaultRowHeight="20.149999999999999" customHeight="1"/>
  <cols>
    <col min="1" max="1" width="85" style="30" customWidth="1"/>
    <col min="2" max="2" width="11.07421875" style="32" customWidth="1"/>
    <col min="3" max="3" width="10.84375" style="32" customWidth="1"/>
    <col min="4" max="4" width="2.4609375" style="32" customWidth="1"/>
    <col min="5" max="6" width="11.07421875" style="32" customWidth="1"/>
    <col min="7" max="7" width="3.23046875" style="32" customWidth="1"/>
    <col min="8" max="8" width="11.07421875" style="32" customWidth="1"/>
    <col min="9" max="31" width="9.69140625" style="30" customWidth="1"/>
    <col min="32" max="16384" width="8.84375" style="30"/>
  </cols>
  <sheetData>
    <row r="1" spans="1:9" s="133" customFormat="1" ht="34.5" customHeight="1">
      <c r="A1" s="131"/>
      <c r="B1" s="146" t="s">
        <v>392</v>
      </c>
      <c r="C1" s="146"/>
      <c r="D1" s="132"/>
      <c r="E1" s="146" t="s">
        <v>393</v>
      </c>
      <c r="F1" s="146"/>
      <c r="G1" s="132"/>
      <c r="H1" s="112" t="s">
        <v>394</v>
      </c>
    </row>
    <row r="2" spans="1:9" ht="15.75" customHeight="1">
      <c r="A2" s="860" t="s">
        <v>395</v>
      </c>
      <c r="B2" s="867" t="s">
        <v>396</v>
      </c>
      <c r="C2" s="870" t="s">
        <v>397</v>
      </c>
      <c r="D2" s="29"/>
      <c r="E2" s="867" t="s">
        <v>396</v>
      </c>
      <c r="F2" s="870" t="s">
        <v>397</v>
      </c>
      <c r="G2" s="29"/>
      <c r="H2" s="867" t="s">
        <v>396</v>
      </c>
    </row>
    <row r="3" spans="1:9" ht="24.65" customHeight="1">
      <c r="A3" s="860"/>
      <c r="B3" s="867"/>
      <c r="C3" s="870"/>
      <c r="D3" s="29"/>
      <c r="E3" s="867"/>
      <c r="F3" s="870"/>
      <c r="G3" s="29"/>
      <c r="H3" s="867"/>
    </row>
    <row r="4" spans="1:9" ht="14.5">
      <c r="A4" s="16"/>
      <c r="B4" s="868" t="s">
        <v>398</v>
      </c>
      <c r="C4" s="869"/>
      <c r="D4" s="29"/>
      <c r="E4" s="106" t="s">
        <v>398</v>
      </c>
      <c r="F4" s="106" t="s">
        <v>398</v>
      </c>
      <c r="G4" s="29"/>
      <c r="H4" s="106" t="s">
        <v>398</v>
      </c>
    </row>
    <row r="5" spans="1:9" ht="13">
      <c r="A5" s="4"/>
      <c r="B5" s="95"/>
      <c r="C5" s="95"/>
      <c r="D5" s="29"/>
      <c r="E5" s="95"/>
      <c r="F5" s="95"/>
      <c r="G5" s="29"/>
      <c r="H5" s="95"/>
    </row>
    <row r="6" spans="1:9" ht="20.149999999999999" hidden="1" customHeight="1">
      <c r="A6" s="96" t="s">
        <v>399</v>
      </c>
      <c r="B6" s="91"/>
      <c r="C6" s="91"/>
      <c r="D6" s="29"/>
      <c r="E6" s="91"/>
      <c r="F6" s="91"/>
      <c r="G6" s="29"/>
      <c r="H6" s="91"/>
    </row>
    <row r="7" spans="1:9" ht="20.149999999999999" hidden="1" customHeight="1">
      <c r="A7" s="103" t="s">
        <v>400</v>
      </c>
      <c r="B7" s="91"/>
      <c r="C7" s="91"/>
      <c r="D7" s="29"/>
      <c r="E7" s="226"/>
      <c r="F7" s="91"/>
      <c r="G7" s="29"/>
      <c r="H7" s="91"/>
    </row>
    <row r="8" spans="1:9" ht="20.149999999999999" customHeight="1">
      <c r="A8" s="31" t="s">
        <v>401</v>
      </c>
      <c r="B8" s="107">
        <f>'F3 - ULD'!D46</f>
        <v>-54893.521179999807</v>
      </c>
      <c r="C8" s="107">
        <f>B8</f>
        <v>-54893.521179999807</v>
      </c>
      <c r="D8" s="29"/>
      <c r="E8" s="107">
        <f>C36</f>
        <v>-50100.11716871924</v>
      </c>
      <c r="F8" s="107">
        <f>C36</f>
        <v>-50100.11716871924</v>
      </c>
      <c r="G8" s="29"/>
      <c r="H8" s="107">
        <f>F36</f>
        <v>-51891.889179577629</v>
      </c>
    </row>
    <row r="9" spans="1:9" ht="20.149999999999999" customHeight="1">
      <c r="A9" s="90"/>
      <c r="B9" s="92"/>
      <c r="C9" s="92"/>
      <c r="D9" s="29"/>
      <c r="E9" s="92"/>
      <c r="F9" s="92"/>
      <c r="G9" s="29"/>
      <c r="H9" s="92"/>
    </row>
    <row r="10" spans="1:9" s="14" customFormat="1" ht="20.149999999999999" customHeight="1">
      <c r="A10" s="31" t="s">
        <v>402</v>
      </c>
      <c r="B10" s="93"/>
      <c r="C10" s="93"/>
      <c r="D10" s="29"/>
      <c r="E10" s="93"/>
      <c r="F10" s="93"/>
      <c r="G10" s="29"/>
      <c r="H10" s="93"/>
    </row>
    <row r="11" spans="1:9" ht="20.149999999999999" customHeight="1">
      <c r="A11" s="151" t="s">
        <v>403</v>
      </c>
      <c r="B11" s="107">
        <f>'F4 - Funding Assumptions'!E14</f>
        <v>42426</v>
      </c>
      <c r="C11" s="107">
        <f>'F4 - Funding Assumptions'!F14</f>
        <v>42426</v>
      </c>
      <c r="D11" s="29"/>
      <c r="E11" s="275">
        <f>-('[3]Master Live'!$D$39+'[3]Master Live'!$D$40)*1000</f>
        <v>28321.798365122613</v>
      </c>
      <c r="F11" s="275">
        <f>E11</f>
        <v>28321.798365122613</v>
      </c>
      <c r="G11" s="29"/>
      <c r="H11" s="275">
        <f>F11</f>
        <v>28321.798365122613</v>
      </c>
      <c r="I11" s="30" t="str">
        <f>IF(COUNTA(B11:H11)&lt;&gt;COUNT(B11:H11),"Please remove any text entries, enter numeric values only","")</f>
        <v/>
      </c>
    </row>
    <row r="12" spans="1:9" ht="20.149999999999999" customHeight="1">
      <c r="A12" s="151" t="s">
        <v>404</v>
      </c>
      <c r="B12" s="107">
        <f>'F4 - Funding Assumptions'!E71</f>
        <v>3187</v>
      </c>
      <c r="C12" s="107">
        <f>'F4 - Funding Assumptions'!F71</f>
        <v>3187</v>
      </c>
      <c r="D12" s="29"/>
      <c r="E12" s="275">
        <v>0</v>
      </c>
      <c r="F12" s="275">
        <v>0</v>
      </c>
      <c r="G12" s="29"/>
      <c r="H12" s="275">
        <v>0</v>
      </c>
      <c r="I12" s="30" t="str">
        <f t="shared" ref="I12:I13" si="0">IF(COUNTA(B12:H12)&lt;&gt;COUNT(B12:H12),"Please remove any text entries, enter numeric values only","")</f>
        <v/>
      </c>
    </row>
    <row r="13" spans="1:9" ht="20.149999999999999" customHeight="1">
      <c r="A13" s="151" t="s">
        <v>405</v>
      </c>
      <c r="B13" s="107">
        <f>'F4 - Funding Assumptions'!E89</f>
        <v>0</v>
      </c>
      <c r="C13" s="107">
        <f>'F4 - Funding Assumptions'!F89</f>
        <v>0</v>
      </c>
      <c r="D13" s="29"/>
      <c r="E13" s="276">
        <v>0</v>
      </c>
      <c r="F13" s="276">
        <v>0</v>
      </c>
      <c r="G13" s="29"/>
      <c r="H13" s="276">
        <v>0</v>
      </c>
      <c r="I13" s="30" t="str">
        <f t="shared" si="0"/>
        <v/>
      </c>
    </row>
    <row r="14" spans="1:9" ht="20.149999999999999" customHeight="1">
      <c r="A14" s="31" t="s">
        <v>406</v>
      </c>
      <c r="B14" s="94">
        <f>SUM(B11:B13)</f>
        <v>45613</v>
      </c>
      <c r="C14" s="94">
        <f>SUM(C11:C13)</f>
        <v>45613</v>
      </c>
      <c r="D14" s="29"/>
      <c r="E14" s="94">
        <f>SUM(E11:E13)</f>
        <v>28321.798365122613</v>
      </c>
      <c r="F14" s="94">
        <f>SUM(F11:F13)</f>
        <v>28321.798365122613</v>
      </c>
      <c r="G14" s="29"/>
      <c r="H14" s="94">
        <f>SUM(H11:H13)</f>
        <v>28321.798365122613</v>
      </c>
    </row>
    <row r="15" spans="1:9" ht="20.149999999999999" customHeight="1">
      <c r="A15" s="97"/>
      <c r="B15" s="98"/>
      <c r="C15" s="98"/>
      <c r="D15" s="29"/>
      <c r="E15" s="98"/>
      <c r="F15" s="98"/>
      <c r="G15" s="29"/>
      <c r="H15" s="98"/>
    </row>
    <row r="16" spans="1:9" s="14" customFormat="1" ht="20.149999999999999" customHeight="1">
      <c r="A16" s="31" t="s">
        <v>407</v>
      </c>
      <c r="B16" s="93"/>
      <c r="C16" s="93"/>
      <c r="D16" s="29"/>
      <c r="E16" s="93"/>
      <c r="F16" s="93"/>
      <c r="G16" s="29"/>
      <c r="H16" s="93"/>
    </row>
    <row r="17" spans="1:9" ht="20.149999999999999" customHeight="1">
      <c r="A17" s="151" t="s">
        <v>408</v>
      </c>
      <c r="B17" s="23">
        <f>-SUMIFS('F5 - Cost Pressures'!E$1:E$65,'F5 - Cost Pressures'!$C$1:$C$65,"Macro*")</f>
        <v>-43907.332988719427</v>
      </c>
      <c r="C17" s="23">
        <f>-SUMIFS('F5 - Cost Pressures'!F$1:F$65,'F5 - Cost Pressures'!$C$1:$C$65,"Macro*")</f>
        <v>-43907.332988719427</v>
      </c>
      <c r="D17" s="29"/>
      <c r="E17" s="276">
        <f>-('[3]Master Live'!$D$15+'[3]Master Live'!$D$14+'[3]Master Live'!$D$16)*1000</f>
        <v>-36213.570375981006</v>
      </c>
      <c r="F17" s="276">
        <f>E17</f>
        <v>-36213.570375981006</v>
      </c>
      <c r="G17" s="29"/>
      <c r="H17" s="276">
        <f>-('[3]Master Live'!$E$14+'[3]Master Live'!$E$15+'[3]Master Live'!$E$16)*1000</f>
        <v>-35992.720500981006</v>
      </c>
      <c r="I17" s="30" t="str">
        <f t="shared" ref="I17:I23" si="1">IF(COUNTA(B17:H17)&lt;&gt;COUNT(B17:H17),"Please remove any text entries, enter numeric values only","")</f>
        <v/>
      </c>
    </row>
    <row r="18" spans="1:9" ht="19.5" customHeight="1">
      <c r="A18" s="151" t="s">
        <v>409</v>
      </c>
      <c r="B18" s="23">
        <f>-SUMIFS('F5 - Cost Pressures'!E$1:E$65,'F5 - Cost Pressures'!$C$1:$C$65,"Pay*")</f>
        <v>0</v>
      </c>
      <c r="C18" s="23">
        <f>-SUMIFS('F5 - Cost Pressures'!F$1:F$65,'F5 - Cost Pressures'!$C$1:$C$65,"Pay*")</f>
        <v>0</v>
      </c>
      <c r="D18" s="29"/>
      <c r="E18" s="276">
        <v>0</v>
      </c>
      <c r="F18" s="276">
        <v>0</v>
      </c>
      <c r="G18" s="29"/>
      <c r="H18" s="276">
        <v>0</v>
      </c>
      <c r="I18" s="30" t="str">
        <f t="shared" si="1"/>
        <v/>
      </c>
    </row>
    <row r="19" spans="1:9" ht="20.149999999999999" customHeight="1">
      <c r="A19" s="151" t="s">
        <v>410</v>
      </c>
      <c r="B19" s="23">
        <f>-SUMIFS('F5 - Cost Pressures'!E$1:E$65,'F5 - Cost Pressures'!$C$1:$C$65,"Contract*")</f>
        <v>-3425</v>
      </c>
      <c r="C19" s="23">
        <f>-SUMIFS('F5 - Cost Pressures'!F$1:F$65,'F5 - Cost Pressures'!$C$1:$C$65,"Contract*")</f>
        <v>-3425</v>
      </c>
      <c r="D19" s="29"/>
      <c r="E19" s="276">
        <v>0</v>
      </c>
      <c r="F19" s="276">
        <v>0</v>
      </c>
      <c r="G19" s="29"/>
      <c r="H19" s="276">
        <v>0</v>
      </c>
      <c r="I19" s="30" t="str">
        <f t="shared" si="1"/>
        <v/>
      </c>
    </row>
    <row r="20" spans="1:9" ht="20.149999999999999" customHeight="1">
      <c r="A20" s="151" t="s">
        <v>411</v>
      </c>
      <c r="B20" s="23">
        <f>-SUMIFS('F5 - Cost Pressures'!E$1:E$65,'F5 - Cost Pressures'!$C$1:$C$65,"National*")</f>
        <v>-2447.2629999999999</v>
      </c>
      <c r="C20" s="23">
        <f>-SUMIFS('F5 - Cost Pressures'!F$1:F$65,'F5 - Cost Pressures'!$C$1:$C$65,"National*")</f>
        <v>-2447.2629999999999</v>
      </c>
      <c r="D20" s="29"/>
      <c r="E20" s="276">
        <v>0</v>
      </c>
      <c r="F20" s="276">
        <v>0</v>
      </c>
      <c r="G20" s="29"/>
      <c r="H20" s="276">
        <v>0</v>
      </c>
      <c r="I20" s="30" t="str">
        <f t="shared" si="1"/>
        <v/>
      </c>
    </row>
    <row r="21" spans="1:9" ht="20.149999999999999" customHeight="1">
      <c r="A21" s="151" t="s">
        <v>412</v>
      </c>
      <c r="B21" s="23">
        <f>-SUMIFS('F5 - Cost Pressures'!E$1:E$65,'F5 - Cost Pressures'!$C$1:$C$65,"Local*")</f>
        <v>-25540</v>
      </c>
      <c r="C21" s="23">
        <f>-SUMIFS('F5 - Cost Pressures'!F$1:F$65,'F5 - Cost Pressures'!$C$1:$C$65,"Local*")</f>
        <v>-25540</v>
      </c>
      <c r="D21" s="29"/>
      <c r="E21" s="276">
        <f>-'[3]Master Live'!$D$23*1000</f>
        <v>-20000</v>
      </c>
      <c r="F21" s="276">
        <f>E21</f>
        <v>-20000</v>
      </c>
      <c r="G21" s="29"/>
      <c r="H21" s="276">
        <f>F21</f>
        <v>-20000</v>
      </c>
      <c r="I21" s="30" t="str">
        <f t="shared" si="1"/>
        <v/>
      </c>
    </row>
    <row r="22" spans="1:9" ht="20.149999999999999" customHeight="1">
      <c r="A22" s="151" t="s">
        <v>413</v>
      </c>
      <c r="B22" s="23">
        <f>-SUMIFS('F5 - Cost Pressures'!E$1:E$65,'F5 - Cost Pressures'!$C$1:$C$65,"Ringfence Funded*")</f>
        <v>0</v>
      </c>
      <c r="C22" s="23">
        <f>-SUMIFS('F5 - Cost Pressures'!F$1:F$65,'F5 - Cost Pressures'!$C$1:$C$65,"Ringfence Funded*")</f>
        <v>0</v>
      </c>
      <c r="D22" s="29"/>
      <c r="E22" s="276">
        <v>0</v>
      </c>
      <c r="F22" s="276">
        <v>0</v>
      </c>
      <c r="G22" s="29"/>
      <c r="H22" s="276">
        <v>0</v>
      </c>
      <c r="I22" s="30" t="str">
        <f t="shared" si="1"/>
        <v/>
      </c>
    </row>
    <row r="23" spans="1:9" ht="20.149999999999999" customHeight="1">
      <c r="A23" s="151" t="s">
        <v>414</v>
      </c>
      <c r="B23" s="23">
        <f>-SUMIFS('F5 - Cost Pressures'!E$1:E$65,'F5 - Cost Pressures'!$C$1:$C$65,"AME*")</f>
        <v>0</v>
      </c>
      <c r="C23" s="23">
        <f>-SUMIFS('F5 - Cost Pressures'!F$1:F$65,'F5 - Cost Pressures'!$C$1:$C$65,"AME*")</f>
        <v>0</v>
      </c>
      <c r="D23" s="29"/>
      <c r="E23" s="275">
        <v>0</v>
      </c>
      <c r="F23" s="275">
        <v>0</v>
      </c>
      <c r="G23" s="29"/>
      <c r="H23" s="275">
        <v>0</v>
      </c>
      <c r="I23" s="30" t="str">
        <f t="shared" si="1"/>
        <v/>
      </c>
    </row>
    <row r="24" spans="1:9" ht="20.149999999999999" customHeight="1">
      <c r="A24" s="31" t="s">
        <v>415</v>
      </c>
      <c r="B24" s="94">
        <f>SUM(B17:B23)</f>
        <v>-75319.595988719433</v>
      </c>
      <c r="C24" s="94">
        <f>SUM(C17:C23)</f>
        <v>-75319.595988719433</v>
      </c>
      <c r="D24" s="29"/>
      <c r="E24" s="94">
        <f>SUM(E17:E23)</f>
        <v>-56213.570375981006</v>
      </c>
      <c r="F24" s="94">
        <f>SUM(F17:F23)</f>
        <v>-56213.570375981006</v>
      </c>
      <c r="G24" s="29"/>
      <c r="H24" s="94">
        <f>SUM(H17:H23)</f>
        <v>-55992.720500981006</v>
      </c>
    </row>
    <row r="25" spans="1:9" ht="20.149999999999999" customHeight="1">
      <c r="A25" s="9"/>
      <c r="B25" s="147"/>
      <c r="C25" s="147"/>
      <c r="D25" s="147"/>
      <c r="E25" s="147"/>
      <c r="F25" s="147"/>
      <c r="G25" s="147"/>
      <c r="H25" s="147"/>
    </row>
    <row r="26" spans="1:9" ht="20.149999999999999" customHeight="1">
      <c r="A26" s="100" t="s">
        <v>416</v>
      </c>
      <c r="B26" s="94">
        <f>+B8+B14+B24</f>
        <v>-84600.11716871924</v>
      </c>
      <c r="C26" s="94">
        <f>+C8+C14+C24</f>
        <v>-84600.11716871924</v>
      </c>
      <c r="D26" s="29"/>
      <c r="E26" s="94">
        <f>+E8+E14+E24</f>
        <v>-77991.889179577629</v>
      </c>
      <c r="F26" s="94">
        <f>+F8+F14+F24</f>
        <v>-77991.889179577629</v>
      </c>
      <c r="G26" s="29"/>
      <c r="H26" s="94">
        <f>+H8+H14+H24</f>
        <v>-79562.811315436018</v>
      </c>
    </row>
    <row r="27" spans="1:9" ht="20.149999999999999" customHeight="1">
      <c r="A27" s="99"/>
      <c r="B27" s="92"/>
      <c r="C27" s="92"/>
      <c r="D27" s="29"/>
      <c r="E27" s="92"/>
      <c r="F27" s="92"/>
      <c r="G27" s="29"/>
      <c r="H27" s="92"/>
    </row>
    <row r="28" spans="1:9" ht="20.149999999999999" customHeight="1">
      <c r="A28" s="31" t="s">
        <v>417</v>
      </c>
      <c r="B28" s="92"/>
      <c r="C28" s="92"/>
      <c r="D28" s="29"/>
      <c r="E28" s="92"/>
      <c r="F28" s="92"/>
      <c r="G28" s="29"/>
      <c r="H28" s="92"/>
    </row>
    <row r="29" spans="1:9" ht="20.149999999999999" customHeight="1">
      <c r="A29" s="103" t="s">
        <v>418</v>
      </c>
      <c r="B29" s="94">
        <f>'A4 Savings Summary'!H6+'A4 Savings Summary'!H7</f>
        <v>8400</v>
      </c>
      <c r="C29" s="94">
        <f>'A4 Savings Summary'!I6+'A4 Savings Summary'!I7</f>
        <v>8400</v>
      </c>
      <c r="D29" s="29"/>
      <c r="E29" s="276">
        <v>0</v>
      </c>
      <c r="F29" s="276">
        <v>0</v>
      </c>
      <c r="G29" s="29"/>
      <c r="H29" s="276">
        <v>0</v>
      </c>
      <c r="I29" s="30" t="str">
        <f t="shared" ref="I29:I32" si="2">IF(COUNTA(B29:H29)&lt;&gt;COUNT(B29:H29),"Please remove any text entries, enter numeric values only","")</f>
        <v/>
      </c>
    </row>
    <row r="30" spans="1:9" ht="20.149999999999999" customHeight="1">
      <c r="A30" s="103" t="s">
        <v>419</v>
      </c>
      <c r="B30" s="94">
        <f>'A4 Savings Summary'!H8</f>
        <v>13380</v>
      </c>
      <c r="C30" s="94">
        <f>'A4 Savings Summary'!I8</f>
        <v>13380</v>
      </c>
      <c r="D30" s="29"/>
      <c r="E30" s="276">
        <v>0</v>
      </c>
      <c r="F30" s="276">
        <v>0</v>
      </c>
      <c r="G30" s="29"/>
      <c r="H30" s="276">
        <v>0</v>
      </c>
      <c r="I30" s="30" t="str">
        <f t="shared" si="2"/>
        <v/>
      </c>
    </row>
    <row r="31" spans="1:9" ht="20.149999999999999" customHeight="1">
      <c r="A31" s="103" t="s">
        <v>420</v>
      </c>
      <c r="B31" s="94">
        <f>'A4 Savings Summary'!H9</f>
        <v>12719.999999999998</v>
      </c>
      <c r="C31" s="94">
        <f>'A4 Savings Summary'!I9</f>
        <v>12719.999999999998</v>
      </c>
      <c r="D31" s="29"/>
      <c r="E31" s="276">
        <f>-'[3]Master Live'!$D$32*1000</f>
        <v>26100</v>
      </c>
      <c r="F31" s="276">
        <f>E31</f>
        <v>26100</v>
      </c>
      <c r="G31" s="29"/>
      <c r="H31" s="276">
        <f>F31</f>
        <v>26100</v>
      </c>
      <c r="I31" s="30" t="str">
        <f t="shared" si="2"/>
        <v/>
      </c>
    </row>
    <row r="32" spans="1:9" ht="20.149999999999999" customHeight="1">
      <c r="A32" s="103" t="s">
        <v>421</v>
      </c>
      <c r="B32" s="94">
        <f>'A4 Savings Summary'!H11</f>
        <v>0</v>
      </c>
      <c r="C32" s="94">
        <f>'A4 Savings Summary'!I11</f>
        <v>0</v>
      </c>
      <c r="D32" s="29"/>
      <c r="E32" s="276">
        <v>0</v>
      </c>
      <c r="F32" s="276">
        <v>0</v>
      </c>
      <c r="G32" s="29"/>
      <c r="H32" s="276">
        <v>0</v>
      </c>
      <c r="I32" s="30" t="str">
        <f t="shared" si="2"/>
        <v/>
      </c>
    </row>
    <row r="33" spans="1:9" ht="20.149999999999999" hidden="1" customHeight="1">
      <c r="A33" s="103" t="s">
        <v>422</v>
      </c>
      <c r="B33" s="94">
        <f>'A4 Savings Summary'!H10</f>
        <v>0</v>
      </c>
      <c r="C33" s="94">
        <f>'A4 Savings Summary'!I10</f>
        <v>0</v>
      </c>
      <c r="D33" s="29"/>
      <c r="E33" s="148"/>
      <c r="F33" s="148"/>
      <c r="G33" s="29"/>
      <c r="H33" s="148"/>
    </row>
    <row r="34" spans="1:9" ht="20.149999999999999" customHeight="1">
      <c r="A34" s="31" t="s">
        <v>423</v>
      </c>
      <c r="B34" s="94">
        <f>SUM(B29:B33)</f>
        <v>34500</v>
      </c>
      <c r="C34" s="94">
        <f>SUM(C29:C33)</f>
        <v>34500</v>
      </c>
      <c r="D34" s="29"/>
      <c r="E34" s="94">
        <f>SUM(E29:E33)</f>
        <v>26100</v>
      </c>
      <c r="F34" s="94">
        <f>SUM(F29:F33)</f>
        <v>26100</v>
      </c>
      <c r="G34" s="29"/>
      <c r="H34" s="94">
        <f>SUM(H29:H33)</f>
        <v>26100</v>
      </c>
    </row>
    <row r="35" spans="1:9" ht="20.149999999999999" customHeight="1">
      <c r="A35" s="101"/>
      <c r="B35" s="105"/>
      <c r="C35" s="105"/>
      <c r="D35" s="29"/>
      <c r="E35" s="102"/>
      <c r="F35" s="102"/>
      <c r="G35" s="29"/>
      <c r="H35" s="102"/>
    </row>
    <row r="36" spans="1:9" ht="20.149999999999999" customHeight="1">
      <c r="A36" s="96" t="s">
        <v>424</v>
      </c>
      <c r="B36" s="104">
        <f t="shared" ref="B36:C36" si="3">+B26+B34</f>
        <v>-50100.11716871924</v>
      </c>
      <c r="C36" s="104">
        <f t="shared" si="3"/>
        <v>-50100.11716871924</v>
      </c>
      <c r="D36" s="29"/>
      <c r="E36" s="104">
        <f>+E26+E34</f>
        <v>-51891.889179577629</v>
      </c>
      <c r="F36" s="104">
        <f>+F26+F34</f>
        <v>-51891.889179577629</v>
      </c>
      <c r="G36" s="29"/>
      <c r="H36" s="104">
        <f>+H26+H34</f>
        <v>-53462.811315436018</v>
      </c>
    </row>
    <row r="37" spans="1:9" ht="20.149999999999999" customHeight="1">
      <c r="A37" s="9"/>
      <c r="B37" s="29"/>
      <c r="C37" s="29"/>
      <c r="D37" s="29"/>
      <c r="E37" s="29"/>
      <c r="F37" s="29"/>
      <c r="G37" s="29"/>
      <c r="H37" s="29"/>
    </row>
    <row r="38" spans="1:9" ht="15" customHeight="1">
      <c r="A38" s="129"/>
      <c r="B38" s="130"/>
      <c r="C38" s="130"/>
      <c r="D38" s="130"/>
      <c r="E38" s="130"/>
      <c r="F38" s="130"/>
      <c r="G38" s="29"/>
      <c r="H38" s="130"/>
      <c r="I38" s="402">
        <f>COUNTIFS(I4:I37,"Please*")</f>
        <v>0</v>
      </c>
    </row>
  </sheetData>
  <sheetProtection sheet="1" objects="1" scenarios="1"/>
  <customSheetViews>
    <customSheetView guid="{95B84344-25FE-4A71-9083-825DAB5E8F01}" scale="70" hiddenRows="1">
      <selection activeCell="I36" sqref="I36"/>
      <pageMargins left="0" right="0" top="0" bottom="0" header="0" footer="0"/>
      <pageSetup paperSize="9" orientation="portrait" r:id="rId1"/>
    </customSheetView>
  </customSheetViews>
  <mergeCells count="7">
    <mergeCell ref="H2:H3"/>
    <mergeCell ref="B4:C4"/>
    <mergeCell ref="A2:A3"/>
    <mergeCell ref="B2:B3"/>
    <mergeCell ref="C2:C3"/>
    <mergeCell ref="E2:E3"/>
    <mergeCell ref="F2:F3"/>
  </mergeCells>
  <conditionalFormatting sqref="B25:H25">
    <cfRule type="expression" dxfId="3" priority="1">
      <formula>B25=0</formula>
    </cfRule>
  </conditionalFormatting>
  <pageMargins left="0.23622047244094491" right="0.23622047244094491" top="0.74803149606299213" bottom="0.74803149606299213" header="0.31496062992125984" footer="0.31496062992125984"/>
  <pageSetup paperSize="9" scale="82" fitToHeight="0" orientation="landscape" r:id="rId2"/>
  <headerFooter>
    <oddHeader>&amp;C&amp;A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499984740745262"/>
  </sheetPr>
  <dimension ref="A1:Y4915"/>
  <sheetViews>
    <sheetView workbookViewId="0">
      <selection activeCell="H15" sqref="A12:H15"/>
    </sheetView>
  </sheetViews>
  <sheetFormatPr defaultRowHeight="15.5"/>
  <cols>
    <col min="1" max="1" width="18.53515625" customWidth="1"/>
    <col min="2" max="2" width="16.765625" customWidth="1"/>
    <col min="3" max="3" width="10.69140625" customWidth="1"/>
    <col min="4" max="4" width="23.53515625" customWidth="1"/>
    <col min="5" max="5" width="12.53515625" customWidth="1"/>
    <col min="7" max="7" width="13.69140625" customWidth="1"/>
    <col min="12" max="12" width="36.4609375" customWidth="1"/>
    <col min="13" max="24" width="8.69140625" customWidth="1"/>
    <col min="25" max="25" width="11.765625" customWidth="1"/>
    <col min="26" max="26" width="8.69140625" customWidth="1"/>
  </cols>
  <sheetData>
    <row r="1" spans="1:25">
      <c r="A1" t="s">
        <v>425</v>
      </c>
      <c r="B1" t="s">
        <v>426</v>
      </c>
      <c r="C1" t="s">
        <v>427</v>
      </c>
      <c r="D1" t="s">
        <v>428</v>
      </c>
      <c r="E1" t="s">
        <v>429</v>
      </c>
      <c r="F1" t="s">
        <v>430</v>
      </c>
      <c r="G1" t="s">
        <v>431</v>
      </c>
      <c r="L1" s="219" t="s">
        <v>432</v>
      </c>
      <c r="M1" s="219" t="s">
        <v>294</v>
      </c>
    </row>
    <row r="2" spans="1:25">
      <c r="A2" s="216">
        <v>45170</v>
      </c>
      <c r="B2" t="s">
        <v>42</v>
      </c>
      <c r="C2">
        <v>10</v>
      </c>
      <c r="D2" t="s">
        <v>433</v>
      </c>
      <c r="E2" s="217">
        <v>45170</v>
      </c>
      <c r="F2">
        <v>59888</v>
      </c>
      <c r="G2" t="s">
        <v>251</v>
      </c>
      <c r="L2" s="219" t="s">
        <v>55</v>
      </c>
      <c r="M2" t="s">
        <v>260</v>
      </c>
      <c r="N2" t="s">
        <v>261</v>
      </c>
      <c r="O2" t="s">
        <v>262</v>
      </c>
      <c r="P2" t="s">
        <v>251</v>
      </c>
      <c r="Q2" t="s">
        <v>252</v>
      </c>
      <c r="R2" t="s">
        <v>253</v>
      </c>
      <c r="S2" t="s">
        <v>254</v>
      </c>
      <c r="T2" t="s">
        <v>255</v>
      </c>
      <c r="U2" t="s">
        <v>256</v>
      </c>
      <c r="V2" t="s">
        <v>257</v>
      </c>
      <c r="W2" t="s">
        <v>258</v>
      </c>
      <c r="X2" t="s">
        <v>259</v>
      </c>
      <c r="Y2" t="s">
        <v>434</v>
      </c>
    </row>
    <row r="3" spans="1:25">
      <c r="A3" s="216">
        <v>45170</v>
      </c>
      <c r="B3" t="s">
        <v>42</v>
      </c>
      <c r="C3">
        <v>10</v>
      </c>
      <c r="D3" t="s">
        <v>433</v>
      </c>
      <c r="E3" s="217">
        <v>45170</v>
      </c>
      <c r="F3">
        <v>62050</v>
      </c>
      <c r="G3" t="s">
        <v>252</v>
      </c>
      <c r="L3" s="220">
        <v>45170</v>
      </c>
      <c r="M3" s="223"/>
      <c r="N3" s="223"/>
      <c r="O3" s="223"/>
      <c r="P3" s="223"/>
      <c r="Q3" s="223"/>
      <c r="R3" s="223"/>
      <c r="S3" s="223"/>
      <c r="T3" s="223"/>
      <c r="U3" s="223"/>
      <c r="V3" s="223"/>
      <c r="W3" s="223"/>
      <c r="X3" s="223"/>
      <c r="Y3" s="223"/>
    </row>
    <row r="4" spans="1:25">
      <c r="A4" s="216">
        <v>45170</v>
      </c>
      <c r="B4" t="s">
        <v>42</v>
      </c>
      <c r="C4">
        <v>10</v>
      </c>
      <c r="D4" t="s">
        <v>433</v>
      </c>
      <c r="E4" s="217">
        <v>45170</v>
      </c>
      <c r="F4">
        <v>73082</v>
      </c>
      <c r="G4" t="s">
        <v>253</v>
      </c>
      <c r="L4" s="221" t="s">
        <v>42</v>
      </c>
      <c r="M4" s="223">
        <v>579520.67666153505</v>
      </c>
      <c r="N4" s="223">
        <v>591007.8976615353</v>
      </c>
      <c r="O4" s="223">
        <v>636575.99832820217</v>
      </c>
      <c r="P4" s="223">
        <v>549865.50099999993</v>
      </c>
      <c r="Q4" s="223">
        <v>536359.8189999999</v>
      </c>
      <c r="R4" s="223">
        <v>614553.97</v>
      </c>
      <c r="S4" s="223">
        <v>597485.44400000002</v>
      </c>
      <c r="T4" s="223">
        <v>578814.77399999998</v>
      </c>
      <c r="U4" s="223">
        <v>560519.30499999993</v>
      </c>
      <c r="V4" s="223">
        <v>578360.09291153518</v>
      </c>
      <c r="W4" s="223">
        <v>577378.95191153523</v>
      </c>
      <c r="X4" s="223">
        <v>646529.56866153528</v>
      </c>
      <c r="Y4" s="223">
        <v>7046971.9991358751</v>
      </c>
    </row>
    <row r="5" spans="1:25">
      <c r="A5" s="216">
        <v>45170</v>
      </c>
      <c r="B5" t="s">
        <v>42</v>
      </c>
      <c r="C5">
        <v>10</v>
      </c>
      <c r="D5" t="s">
        <v>433</v>
      </c>
      <c r="E5" s="217">
        <v>45170</v>
      </c>
      <c r="F5">
        <v>69139</v>
      </c>
      <c r="G5" t="s">
        <v>254</v>
      </c>
      <c r="L5" s="222" t="s">
        <v>435</v>
      </c>
      <c r="M5" s="223">
        <v>37.564999999999998</v>
      </c>
      <c r="N5" s="223">
        <v>37.564999999999998</v>
      </c>
      <c r="O5" s="223">
        <v>2733.9540000000002</v>
      </c>
      <c r="P5" s="223">
        <v>27.576000000000001</v>
      </c>
      <c r="Q5" s="223">
        <v>-6902.4889999999996</v>
      </c>
      <c r="R5" s="223">
        <v>56.835999999999999</v>
      </c>
      <c r="S5" s="223">
        <v>37.771000000000001</v>
      </c>
      <c r="T5" s="223">
        <v>37.771000000000001</v>
      </c>
      <c r="U5" s="223">
        <v>37.771999999999998</v>
      </c>
      <c r="V5" s="223">
        <v>37.695</v>
      </c>
      <c r="W5" s="223">
        <v>37.695</v>
      </c>
      <c r="X5" s="223">
        <v>17033.695</v>
      </c>
      <c r="Y5" s="223">
        <v>13213.406000000001</v>
      </c>
    </row>
    <row r="6" spans="1:25">
      <c r="A6" s="216">
        <v>45170</v>
      </c>
      <c r="B6" t="s">
        <v>42</v>
      </c>
      <c r="C6">
        <v>10</v>
      </c>
      <c r="D6" t="s">
        <v>433</v>
      </c>
      <c r="E6" s="217">
        <v>45170</v>
      </c>
      <c r="F6">
        <v>63642</v>
      </c>
      <c r="G6" t="s">
        <v>255</v>
      </c>
      <c r="L6" s="222" t="s">
        <v>436</v>
      </c>
      <c r="M6" s="223">
        <v>0</v>
      </c>
      <c r="N6" s="223">
        <v>0</v>
      </c>
      <c r="O6" s="223">
        <v>113.3</v>
      </c>
      <c r="P6" s="223">
        <v>0</v>
      </c>
      <c r="Q6" s="223">
        <v>0</v>
      </c>
      <c r="R6" s="223">
        <v>41.7</v>
      </c>
      <c r="S6" s="223">
        <v>0</v>
      </c>
      <c r="T6" s="223">
        <v>0</v>
      </c>
      <c r="U6" s="223">
        <v>60</v>
      </c>
      <c r="V6" s="223">
        <v>0</v>
      </c>
      <c r="W6" s="223">
        <v>0</v>
      </c>
      <c r="X6" s="223">
        <v>35</v>
      </c>
      <c r="Y6" s="223">
        <v>250</v>
      </c>
    </row>
    <row r="7" spans="1:25">
      <c r="A7" s="216">
        <v>45170</v>
      </c>
      <c r="B7" t="s">
        <v>42</v>
      </c>
      <c r="C7">
        <v>10</v>
      </c>
      <c r="D7" t="s">
        <v>433</v>
      </c>
      <c r="E7" s="217">
        <v>45170</v>
      </c>
      <c r="F7">
        <v>61747</v>
      </c>
      <c r="G7" t="s">
        <v>256</v>
      </c>
      <c r="L7" s="222" t="s">
        <v>437</v>
      </c>
      <c r="M7" s="223">
        <v>10602.583333333299</v>
      </c>
      <c r="N7" s="223">
        <v>10602.583333333299</v>
      </c>
      <c r="O7" s="223">
        <v>10545</v>
      </c>
      <c r="P7" s="223">
        <v>10665</v>
      </c>
      <c r="Q7" s="223">
        <v>11144</v>
      </c>
      <c r="R7" s="223">
        <v>10706</v>
      </c>
      <c r="S7" s="223">
        <v>10591</v>
      </c>
      <c r="T7" s="223">
        <v>10578</v>
      </c>
      <c r="U7" s="223">
        <v>10418</v>
      </c>
      <c r="V7" s="223">
        <v>10602.583333333299</v>
      </c>
      <c r="W7" s="223">
        <v>10602.583333333299</v>
      </c>
      <c r="X7" s="223">
        <v>10602.583333333299</v>
      </c>
      <c r="Y7" s="223">
        <v>127659.916666666</v>
      </c>
    </row>
    <row r="8" spans="1:25">
      <c r="A8" s="216">
        <v>45170</v>
      </c>
      <c r="B8" t="s">
        <v>42</v>
      </c>
      <c r="C8">
        <v>10</v>
      </c>
      <c r="D8" t="s">
        <v>433</v>
      </c>
      <c r="E8" s="217">
        <v>45170</v>
      </c>
      <c r="F8">
        <v>63796</v>
      </c>
      <c r="G8" t="s">
        <v>257</v>
      </c>
      <c r="L8" s="222" t="s">
        <v>438</v>
      </c>
      <c r="M8" s="223">
        <v>153119.509994869</v>
      </c>
      <c r="N8" s="223">
        <v>155306.73099486899</v>
      </c>
      <c r="O8" s="223">
        <v>165893.93166153599</v>
      </c>
      <c r="P8" s="223">
        <v>147586.50099999999</v>
      </c>
      <c r="Q8" s="223">
        <v>146074.81899999999</v>
      </c>
      <c r="R8" s="223">
        <v>164524.87</v>
      </c>
      <c r="S8" s="223">
        <v>159200.44399999999</v>
      </c>
      <c r="T8" s="223">
        <v>155441.274</v>
      </c>
      <c r="U8" s="223">
        <v>148181.30499999999</v>
      </c>
      <c r="V8" s="223">
        <v>153158.92624486901</v>
      </c>
      <c r="W8" s="223">
        <v>152927.78524486901</v>
      </c>
      <c r="X8" s="223">
        <v>169587.401994869</v>
      </c>
      <c r="Y8" s="223">
        <v>1871003.49913588</v>
      </c>
    </row>
    <row r="9" spans="1:25">
      <c r="A9" s="216">
        <v>45170</v>
      </c>
      <c r="B9" t="s">
        <v>42</v>
      </c>
      <c r="C9">
        <v>10</v>
      </c>
      <c r="D9" t="s">
        <v>433</v>
      </c>
      <c r="E9" s="217">
        <v>45170</v>
      </c>
      <c r="F9">
        <v>63430.8</v>
      </c>
      <c r="G9" t="s">
        <v>258</v>
      </c>
      <c r="L9" s="222" t="s">
        <v>439</v>
      </c>
      <c r="M9" s="223">
        <v>4110.9989999999998</v>
      </c>
      <c r="N9" s="223">
        <v>4109.22</v>
      </c>
      <c r="O9" s="223">
        <v>4032.6149999999998</v>
      </c>
      <c r="P9" s="223">
        <v>3637.9250000000002</v>
      </c>
      <c r="Q9" s="223">
        <v>4433.6080000000002</v>
      </c>
      <c r="R9" s="223">
        <v>4057.0340000000001</v>
      </c>
      <c r="S9" s="223">
        <v>4012.6729999999998</v>
      </c>
      <c r="T9" s="223">
        <v>4035.0030000000002</v>
      </c>
      <c r="U9" s="223">
        <v>3930.0329999999999</v>
      </c>
      <c r="V9" s="223">
        <v>4049.1350000000002</v>
      </c>
      <c r="W9" s="223">
        <v>4050.194</v>
      </c>
      <c r="X9" s="223">
        <v>4049.5610000000001</v>
      </c>
      <c r="Y9" s="223">
        <v>48508</v>
      </c>
    </row>
    <row r="10" spans="1:25">
      <c r="A10" s="216">
        <v>45170</v>
      </c>
      <c r="B10" t="s">
        <v>42</v>
      </c>
      <c r="C10">
        <v>10</v>
      </c>
      <c r="D10" t="s">
        <v>433</v>
      </c>
      <c r="E10" s="217">
        <v>45170</v>
      </c>
      <c r="F10">
        <v>63340.800000000003</v>
      </c>
      <c r="G10" t="s">
        <v>259</v>
      </c>
      <c r="L10" s="222" t="s">
        <v>440</v>
      </c>
      <c r="M10" s="223">
        <v>0</v>
      </c>
      <c r="N10" s="223">
        <v>0</v>
      </c>
      <c r="O10" s="223">
        <v>0</v>
      </c>
      <c r="P10" s="223">
        <v>0</v>
      </c>
      <c r="Q10" s="223">
        <v>0</v>
      </c>
      <c r="R10" s="223">
        <v>0</v>
      </c>
      <c r="S10" s="223">
        <v>0</v>
      </c>
      <c r="T10" s="223">
        <v>0</v>
      </c>
      <c r="U10" s="223">
        <v>0</v>
      </c>
      <c r="V10" s="223">
        <v>0</v>
      </c>
      <c r="W10" s="223">
        <v>0</v>
      </c>
      <c r="X10" s="223">
        <v>0</v>
      </c>
      <c r="Y10" s="223">
        <v>0</v>
      </c>
    </row>
    <row r="11" spans="1:25">
      <c r="A11" s="216">
        <v>45170</v>
      </c>
      <c r="B11" t="s">
        <v>42</v>
      </c>
      <c r="C11">
        <v>10</v>
      </c>
      <c r="D11" t="s">
        <v>433</v>
      </c>
      <c r="E11" s="217">
        <v>45170</v>
      </c>
      <c r="F11">
        <v>63657.599999999999</v>
      </c>
      <c r="G11" t="s">
        <v>260</v>
      </c>
      <c r="L11" s="222" t="s">
        <v>441</v>
      </c>
      <c r="M11" s="223">
        <v>26258.333333333299</v>
      </c>
      <c r="N11" s="223">
        <v>26258.333333333299</v>
      </c>
      <c r="O11" s="223">
        <v>26258.333333333299</v>
      </c>
      <c r="P11" s="223">
        <v>25297</v>
      </c>
      <c r="Q11" s="223">
        <v>27471</v>
      </c>
      <c r="R11" s="223">
        <v>28095</v>
      </c>
      <c r="S11" s="223">
        <v>26476</v>
      </c>
      <c r="T11" s="223">
        <v>25716</v>
      </c>
      <c r="U11" s="223">
        <v>26688</v>
      </c>
      <c r="V11" s="223">
        <v>26258.333333333299</v>
      </c>
      <c r="W11" s="223">
        <v>26258.333333333299</v>
      </c>
      <c r="X11" s="223">
        <v>26258.333333333299</v>
      </c>
      <c r="Y11" s="223">
        <v>317293</v>
      </c>
    </row>
    <row r="12" spans="1:25">
      <c r="A12" s="216">
        <v>45170</v>
      </c>
      <c r="B12" t="s">
        <v>42</v>
      </c>
      <c r="C12">
        <v>10</v>
      </c>
      <c r="D12" t="s">
        <v>433</v>
      </c>
      <c r="E12" s="217">
        <v>45170</v>
      </c>
      <c r="F12">
        <v>65946.600000000006</v>
      </c>
      <c r="G12" t="s">
        <v>261</v>
      </c>
      <c r="L12" s="222" t="s">
        <v>442</v>
      </c>
      <c r="M12" s="223">
        <v>142133.72222222199</v>
      </c>
      <c r="N12" s="223">
        <v>145233.72222222199</v>
      </c>
      <c r="O12" s="223">
        <v>156894.022222222</v>
      </c>
      <c r="P12" s="223">
        <v>134093</v>
      </c>
      <c r="Q12" s="223">
        <v>130095</v>
      </c>
      <c r="R12" s="223">
        <v>150009.70000000001</v>
      </c>
      <c r="S12" s="223">
        <v>146095</v>
      </c>
      <c r="T12" s="223">
        <v>141124.5</v>
      </c>
      <c r="U12" s="223">
        <v>137446</v>
      </c>
      <c r="V12" s="223">
        <v>141733.72222222199</v>
      </c>
      <c r="W12" s="223">
        <v>141483.72222222199</v>
      </c>
      <c r="X12" s="223">
        <v>158980.72222222199</v>
      </c>
      <c r="Y12" s="223">
        <v>1725322.83333333</v>
      </c>
    </row>
    <row r="13" spans="1:25">
      <c r="A13" s="216">
        <v>45170</v>
      </c>
      <c r="B13" t="s">
        <v>42</v>
      </c>
      <c r="C13">
        <v>10</v>
      </c>
      <c r="D13" t="s">
        <v>433</v>
      </c>
      <c r="E13" s="217">
        <v>45170</v>
      </c>
      <c r="F13">
        <v>63973.599999999999</v>
      </c>
      <c r="G13" t="s">
        <v>262</v>
      </c>
      <c r="L13" s="222" t="s">
        <v>443</v>
      </c>
      <c r="M13" s="223">
        <v>3106.75</v>
      </c>
      <c r="N13" s="223">
        <v>3106.75</v>
      </c>
      <c r="O13" s="223">
        <v>10106.75</v>
      </c>
      <c r="P13" s="223">
        <v>3049</v>
      </c>
      <c r="Q13" s="223">
        <v>2775</v>
      </c>
      <c r="R13" s="223">
        <v>3455</v>
      </c>
      <c r="S13" s="223">
        <v>2664</v>
      </c>
      <c r="T13" s="223">
        <v>4389</v>
      </c>
      <c r="U13" s="223">
        <v>2307</v>
      </c>
      <c r="V13" s="223">
        <v>3106.75</v>
      </c>
      <c r="W13" s="223">
        <v>3106.75</v>
      </c>
      <c r="X13" s="223">
        <v>3106.75</v>
      </c>
      <c r="Y13" s="223">
        <v>44279.5</v>
      </c>
    </row>
    <row r="14" spans="1:25">
      <c r="A14" s="216">
        <v>45170</v>
      </c>
      <c r="B14" t="s">
        <v>42</v>
      </c>
      <c r="C14">
        <v>10</v>
      </c>
      <c r="D14" t="s">
        <v>433</v>
      </c>
      <c r="E14" s="217">
        <v>45170</v>
      </c>
      <c r="F14">
        <v>773693.4</v>
      </c>
      <c r="G14" t="s">
        <v>434</v>
      </c>
      <c r="L14" s="222" t="s">
        <v>444</v>
      </c>
      <c r="M14" s="223">
        <v>163.333333333333</v>
      </c>
      <c r="N14" s="223">
        <v>163.333333333333</v>
      </c>
      <c r="O14" s="223">
        <v>163.333333333333</v>
      </c>
      <c r="P14" s="223">
        <v>441</v>
      </c>
      <c r="Q14" s="223">
        <v>440</v>
      </c>
      <c r="R14" s="223">
        <v>-394</v>
      </c>
      <c r="S14" s="223">
        <v>383</v>
      </c>
      <c r="T14" s="223">
        <v>322</v>
      </c>
      <c r="U14" s="223">
        <v>157</v>
      </c>
      <c r="V14" s="223">
        <v>163.333333333333</v>
      </c>
      <c r="W14" s="223">
        <v>163.333333333333</v>
      </c>
      <c r="X14" s="223">
        <v>163.333333333333</v>
      </c>
      <c r="Y14" s="223">
        <v>2329</v>
      </c>
    </row>
    <row r="15" spans="1:25">
      <c r="A15" s="216">
        <v>45170</v>
      </c>
      <c r="B15" t="s">
        <v>42</v>
      </c>
      <c r="C15">
        <v>11</v>
      </c>
      <c r="D15" t="s">
        <v>445</v>
      </c>
      <c r="E15" s="217">
        <v>45170</v>
      </c>
      <c r="F15">
        <v>12972</v>
      </c>
      <c r="G15" t="s">
        <v>251</v>
      </c>
      <c r="L15" s="222" t="s">
        <v>446</v>
      </c>
      <c r="M15" s="223">
        <v>-10985.7877726468</v>
      </c>
      <c r="N15" s="223">
        <v>-10073.008772646701</v>
      </c>
      <c r="O15" s="223">
        <v>-8999.9094393134601</v>
      </c>
      <c r="P15" s="223">
        <v>-13493.501</v>
      </c>
      <c r="Q15" s="223">
        <v>-15979.819</v>
      </c>
      <c r="R15" s="223">
        <v>-14515.17</v>
      </c>
      <c r="S15" s="223">
        <v>-13105.444</v>
      </c>
      <c r="T15" s="223">
        <v>-14316.773999999999</v>
      </c>
      <c r="U15" s="223">
        <v>-10735.305</v>
      </c>
      <c r="V15" s="223">
        <v>-11425.2040226468</v>
      </c>
      <c r="W15" s="223">
        <v>-11444.0630226467</v>
      </c>
      <c r="X15" s="223">
        <v>-10606.679772646699</v>
      </c>
      <c r="Y15" s="223">
        <v>-145680.66580254701</v>
      </c>
    </row>
    <row r="16" spans="1:25">
      <c r="A16" s="216">
        <v>45170</v>
      </c>
      <c r="B16" t="s">
        <v>42</v>
      </c>
      <c r="C16">
        <v>11</v>
      </c>
      <c r="D16" t="s">
        <v>445</v>
      </c>
      <c r="E16" s="217">
        <v>45170</v>
      </c>
      <c r="F16">
        <v>12216</v>
      </c>
      <c r="G16" t="s">
        <v>252</v>
      </c>
      <c r="L16" s="222" t="s">
        <v>447</v>
      </c>
      <c r="M16" s="223">
        <v>0</v>
      </c>
      <c r="N16" s="223">
        <v>0</v>
      </c>
      <c r="O16" s="223">
        <v>0</v>
      </c>
      <c r="P16" s="223">
        <v>0</v>
      </c>
      <c r="Q16" s="223">
        <v>0</v>
      </c>
      <c r="R16" s="223">
        <v>0</v>
      </c>
      <c r="S16" s="223">
        <v>0</v>
      </c>
      <c r="T16" s="223">
        <v>0</v>
      </c>
      <c r="U16" s="223">
        <v>0</v>
      </c>
      <c r="V16" s="223">
        <v>0</v>
      </c>
      <c r="W16" s="223">
        <v>0</v>
      </c>
      <c r="X16" s="223">
        <v>0</v>
      </c>
      <c r="Y16" s="223">
        <v>0</v>
      </c>
    </row>
    <row r="17" spans="1:25">
      <c r="A17" s="216">
        <v>45170</v>
      </c>
      <c r="B17" t="s">
        <v>42</v>
      </c>
      <c r="C17">
        <v>11</v>
      </c>
      <c r="D17" t="s">
        <v>445</v>
      </c>
      <c r="E17" s="217">
        <v>45170</v>
      </c>
      <c r="F17">
        <v>13471</v>
      </c>
      <c r="G17" t="s">
        <v>253</v>
      </c>
      <c r="L17" s="222" t="s">
        <v>448</v>
      </c>
      <c r="M17" s="223">
        <v>5350</v>
      </c>
      <c r="N17" s="223">
        <v>5350</v>
      </c>
      <c r="O17" s="223">
        <v>5350</v>
      </c>
      <c r="P17" s="223">
        <v>5070</v>
      </c>
      <c r="Q17" s="223">
        <v>5044</v>
      </c>
      <c r="R17" s="223">
        <v>5588</v>
      </c>
      <c r="S17" s="223">
        <v>5737</v>
      </c>
      <c r="T17" s="223">
        <v>5395.5</v>
      </c>
      <c r="U17" s="223">
        <v>5393</v>
      </c>
      <c r="V17" s="223">
        <v>5350</v>
      </c>
      <c r="W17" s="223">
        <v>5350</v>
      </c>
      <c r="X17" s="223">
        <v>5350</v>
      </c>
      <c r="Y17" s="223">
        <v>64327.5</v>
      </c>
    </row>
    <row r="18" spans="1:25">
      <c r="A18" s="216">
        <v>45170</v>
      </c>
      <c r="B18" t="s">
        <v>42</v>
      </c>
      <c r="C18">
        <v>11</v>
      </c>
      <c r="D18" t="s">
        <v>445</v>
      </c>
      <c r="E18" s="217">
        <v>45170</v>
      </c>
      <c r="F18">
        <v>11188</v>
      </c>
      <c r="G18" t="s">
        <v>254</v>
      </c>
      <c r="L18" s="222" t="s">
        <v>449</v>
      </c>
      <c r="M18" s="223">
        <v>1200</v>
      </c>
      <c r="N18" s="223">
        <v>1200</v>
      </c>
      <c r="O18" s="223">
        <v>1200</v>
      </c>
      <c r="P18" s="223">
        <v>1176</v>
      </c>
      <c r="Q18" s="223">
        <v>1236</v>
      </c>
      <c r="R18" s="223">
        <v>1226</v>
      </c>
      <c r="S18" s="223">
        <v>1282</v>
      </c>
      <c r="T18" s="223">
        <v>1611</v>
      </c>
      <c r="U18" s="223">
        <v>975</v>
      </c>
      <c r="V18" s="223">
        <v>1200</v>
      </c>
      <c r="W18" s="223">
        <v>1200</v>
      </c>
      <c r="X18" s="223">
        <v>1200</v>
      </c>
      <c r="Y18" s="223">
        <v>14706</v>
      </c>
    </row>
    <row r="19" spans="1:25">
      <c r="A19" s="216">
        <v>45170</v>
      </c>
      <c r="B19" t="s">
        <v>42</v>
      </c>
      <c r="C19">
        <v>11</v>
      </c>
      <c r="D19" t="s">
        <v>445</v>
      </c>
      <c r="E19" s="217">
        <v>45170</v>
      </c>
      <c r="F19">
        <v>13091</v>
      </c>
      <c r="G19" t="s">
        <v>255</v>
      </c>
      <c r="L19" s="222" t="s">
        <v>450</v>
      </c>
      <c r="M19" s="223">
        <v>10285.3459948691</v>
      </c>
      <c r="N19" s="223">
        <v>10235.3459948691</v>
      </c>
      <c r="O19" s="223">
        <v>10235.3459948691</v>
      </c>
      <c r="P19" s="223">
        <v>9911</v>
      </c>
      <c r="Q19" s="223">
        <v>10119</v>
      </c>
      <c r="R19" s="223">
        <v>10175</v>
      </c>
      <c r="S19" s="223">
        <v>10159</v>
      </c>
      <c r="T19" s="223">
        <v>10594</v>
      </c>
      <c r="U19" s="223">
        <v>10421</v>
      </c>
      <c r="V19" s="223">
        <v>10231.096244869101</v>
      </c>
      <c r="W19" s="223">
        <v>10331.096244869101</v>
      </c>
      <c r="X19" s="223">
        <v>10285.3459948691</v>
      </c>
      <c r="Y19" s="223">
        <v>122982.576469215</v>
      </c>
    </row>
    <row r="20" spans="1:25">
      <c r="A20" s="216">
        <v>45170</v>
      </c>
      <c r="B20" t="s">
        <v>42</v>
      </c>
      <c r="C20">
        <v>11</v>
      </c>
      <c r="D20" t="s">
        <v>445</v>
      </c>
      <c r="E20" s="217">
        <v>45170</v>
      </c>
      <c r="F20">
        <v>12022</v>
      </c>
      <c r="G20" t="s">
        <v>256</v>
      </c>
      <c r="L20" s="222" t="s">
        <v>451</v>
      </c>
      <c r="M20" s="223">
        <v>16100</v>
      </c>
      <c r="N20" s="223">
        <v>16100</v>
      </c>
      <c r="O20" s="223">
        <v>17700</v>
      </c>
      <c r="P20" s="223">
        <v>15621</v>
      </c>
      <c r="Q20" s="223">
        <v>16175</v>
      </c>
      <c r="R20" s="223">
        <v>16316</v>
      </c>
      <c r="S20" s="223">
        <v>16684</v>
      </c>
      <c r="T20" s="223">
        <v>16428</v>
      </c>
      <c r="U20" s="223">
        <v>14719</v>
      </c>
      <c r="V20" s="223">
        <v>16400</v>
      </c>
      <c r="W20" s="223">
        <v>16400</v>
      </c>
      <c r="X20" s="223">
        <v>16100</v>
      </c>
      <c r="Y20" s="223">
        <v>194743</v>
      </c>
    </row>
    <row r="21" spans="1:25">
      <c r="A21" s="216">
        <v>45170</v>
      </c>
      <c r="B21" t="s">
        <v>42</v>
      </c>
      <c r="C21">
        <v>11</v>
      </c>
      <c r="D21" t="s">
        <v>445</v>
      </c>
      <c r="E21" s="217">
        <v>45170</v>
      </c>
      <c r="F21">
        <v>12214</v>
      </c>
      <c r="G21" t="s">
        <v>257</v>
      </c>
      <c r="L21" s="222" t="s">
        <v>452</v>
      </c>
      <c r="M21" s="223">
        <v>0</v>
      </c>
      <c r="N21" s="223">
        <v>0</v>
      </c>
      <c r="O21" s="223">
        <v>0</v>
      </c>
      <c r="P21" s="223">
        <v>0</v>
      </c>
      <c r="Q21" s="223">
        <v>-0.3</v>
      </c>
      <c r="R21" s="223">
        <v>0</v>
      </c>
      <c r="S21" s="223">
        <v>0</v>
      </c>
      <c r="T21" s="223">
        <v>294.5</v>
      </c>
      <c r="U21" s="223">
        <v>26.5</v>
      </c>
      <c r="V21" s="223">
        <v>0</v>
      </c>
      <c r="W21" s="223">
        <v>0</v>
      </c>
      <c r="X21" s="223">
        <v>0</v>
      </c>
      <c r="Y21" s="223">
        <v>320.7</v>
      </c>
    </row>
    <row r="22" spans="1:25">
      <c r="A22" s="216">
        <v>45170</v>
      </c>
      <c r="B22" t="s">
        <v>42</v>
      </c>
      <c r="C22">
        <v>11</v>
      </c>
      <c r="D22" t="s">
        <v>445</v>
      </c>
      <c r="E22" s="217">
        <v>45170</v>
      </c>
      <c r="F22">
        <v>12247</v>
      </c>
      <c r="G22" t="s">
        <v>258</v>
      </c>
      <c r="L22" s="222" t="s">
        <v>433</v>
      </c>
      <c r="M22" s="223">
        <v>63657.599999999999</v>
      </c>
      <c r="N22" s="223">
        <v>65946.600000000006</v>
      </c>
      <c r="O22" s="223">
        <v>63973.599999999999</v>
      </c>
      <c r="P22" s="223">
        <v>59888</v>
      </c>
      <c r="Q22" s="223">
        <v>62050</v>
      </c>
      <c r="R22" s="223">
        <v>73082</v>
      </c>
      <c r="S22" s="223">
        <v>69139</v>
      </c>
      <c r="T22" s="223">
        <v>63642</v>
      </c>
      <c r="U22" s="223">
        <v>61747</v>
      </c>
      <c r="V22" s="223">
        <v>63796</v>
      </c>
      <c r="W22" s="223">
        <v>63430.8</v>
      </c>
      <c r="X22" s="223">
        <v>63340.800000000003</v>
      </c>
      <c r="Y22" s="223">
        <v>773693.4</v>
      </c>
    </row>
    <row r="23" spans="1:25">
      <c r="A23" s="216">
        <v>45170</v>
      </c>
      <c r="B23" t="s">
        <v>42</v>
      </c>
      <c r="C23">
        <v>11</v>
      </c>
      <c r="D23" t="s">
        <v>445</v>
      </c>
      <c r="E23" s="217">
        <v>45170</v>
      </c>
      <c r="F23">
        <v>12347</v>
      </c>
      <c r="G23" t="s">
        <v>259</v>
      </c>
      <c r="L23" s="222" t="s">
        <v>445</v>
      </c>
      <c r="M23" s="223">
        <v>12497</v>
      </c>
      <c r="N23" s="223">
        <v>12447</v>
      </c>
      <c r="O23" s="223">
        <v>13933</v>
      </c>
      <c r="P23" s="223">
        <v>12972</v>
      </c>
      <c r="Q23" s="223">
        <v>12216</v>
      </c>
      <c r="R23" s="223">
        <v>13471</v>
      </c>
      <c r="S23" s="223">
        <v>11188</v>
      </c>
      <c r="T23" s="223">
        <v>13091</v>
      </c>
      <c r="U23" s="223">
        <v>12022</v>
      </c>
      <c r="V23" s="223">
        <v>12214</v>
      </c>
      <c r="W23" s="223">
        <v>12247</v>
      </c>
      <c r="X23" s="223">
        <v>12347</v>
      </c>
      <c r="Y23" s="223">
        <v>150645</v>
      </c>
    </row>
    <row r="24" spans="1:25">
      <c r="A24" s="216">
        <v>45170</v>
      </c>
      <c r="B24" t="s">
        <v>42</v>
      </c>
      <c r="C24">
        <v>11</v>
      </c>
      <c r="D24" t="s">
        <v>445</v>
      </c>
      <c r="E24" s="217">
        <v>45170</v>
      </c>
      <c r="F24">
        <v>12497</v>
      </c>
      <c r="G24" t="s">
        <v>260</v>
      </c>
      <c r="L24" s="222" t="s">
        <v>453</v>
      </c>
      <c r="M24" s="223">
        <v>133693.72222222199</v>
      </c>
      <c r="N24" s="223">
        <v>136793.72222222199</v>
      </c>
      <c r="O24" s="223">
        <v>141340.72222222199</v>
      </c>
      <c r="P24" s="223">
        <v>126659</v>
      </c>
      <c r="Q24" s="223">
        <v>121997</v>
      </c>
      <c r="R24" s="223">
        <v>141139</v>
      </c>
      <c r="S24" s="223">
        <v>136897</v>
      </c>
      <c r="T24" s="223">
        <v>132781</v>
      </c>
      <c r="U24" s="223">
        <v>129001</v>
      </c>
      <c r="V24" s="223">
        <v>133293.72222222199</v>
      </c>
      <c r="W24" s="223">
        <v>133043.72222222199</v>
      </c>
      <c r="X24" s="223">
        <v>150505.72222222199</v>
      </c>
      <c r="Y24" s="223">
        <v>1617145.33333333</v>
      </c>
    </row>
    <row r="25" spans="1:25">
      <c r="A25" s="216">
        <v>45170</v>
      </c>
      <c r="B25" t="s">
        <v>42</v>
      </c>
      <c r="C25">
        <v>11</v>
      </c>
      <c r="D25" t="s">
        <v>445</v>
      </c>
      <c r="E25" s="217">
        <v>45170</v>
      </c>
      <c r="F25">
        <v>12447</v>
      </c>
      <c r="G25" t="s">
        <v>261</v>
      </c>
      <c r="L25" s="222" t="s">
        <v>454</v>
      </c>
      <c r="M25" s="223">
        <v>5100</v>
      </c>
      <c r="N25" s="223">
        <v>5100</v>
      </c>
      <c r="O25" s="223">
        <v>5012</v>
      </c>
      <c r="P25" s="223">
        <v>4901</v>
      </c>
      <c r="Q25" s="223">
        <v>4918</v>
      </c>
      <c r="R25" s="223">
        <v>4279</v>
      </c>
      <c r="S25" s="223">
        <v>6584</v>
      </c>
      <c r="T25" s="223">
        <v>4703</v>
      </c>
      <c r="U25" s="223">
        <v>4733</v>
      </c>
      <c r="V25" s="223">
        <v>5100</v>
      </c>
      <c r="W25" s="223">
        <v>5100</v>
      </c>
      <c r="X25" s="223">
        <v>5100</v>
      </c>
      <c r="Y25" s="223">
        <v>60630</v>
      </c>
    </row>
    <row r="26" spans="1:25">
      <c r="A26" s="216">
        <v>45170</v>
      </c>
      <c r="B26" t="s">
        <v>42</v>
      </c>
      <c r="C26">
        <v>11</v>
      </c>
      <c r="D26" t="s">
        <v>445</v>
      </c>
      <c r="E26" s="217">
        <v>45170</v>
      </c>
      <c r="F26">
        <v>13933</v>
      </c>
      <c r="G26" t="s">
        <v>262</v>
      </c>
      <c r="L26" s="222" t="s">
        <v>455</v>
      </c>
      <c r="M26" s="223">
        <v>0</v>
      </c>
      <c r="N26" s="223">
        <v>0</v>
      </c>
      <c r="O26" s="223">
        <v>0</v>
      </c>
      <c r="P26" s="223">
        <v>0</v>
      </c>
      <c r="Q26" s="223">
        <v>0</v>
      </c>
      <c r="R26" s="223">
        <v>0</v>
      </c>
      <c r="S26" s="223">
        <v>0</v>
      </c>
      <c r="T26" s="223">
        <v>0</v>
      </c>
      <c r="U26" s="223">
        <v>0</v>
      </c>
      <c r="V26" s="223">
        <v>0</v>
      </c>
      <c r="W26" s="223">
        <v>0</v>
      </c>
      <c r="X26" s="223">
        <v>0</v>
      </c>
      <c r="Y26" s="223">
        <v>0</v>
      </c>
    </row>
    <row r="27" spans="1:25">
      <c r="A27" s="216">
        <v>45170</v>
      </c>
      <c r="B27" t="s">
        <v>42</v>
      </c>
      <c r="C27">
        <v>11</v>
      </c>
      <c r="D27" t="s">
        <v>445</v>
      </c>
      <c r="E27" s="217">
        <v>45170</v>
      </c>
      <c r="F27">
        <v>150645</v>
      </c>
      <c r="G27" t="s">
        <v>434</v>
      </c>
      <c r="L27" s="222" t="s">
        <v>456</v>
      </c>
      <c r="M27" s="223">
        <v>0</v>
      </c>
      <c r="N27" s="223">
        <v>0</v>
      </c>
      <c r="O27" s="223">
        <v>0</v>
      </c>
      <c r="P27" s="223">
        <v>0</v>
      </c>
      <c r="Q27" s="223">
        <v>0</v>
      </c>
      <c r="R27" s="223">
        <v>0</v>
      </c>
      <c r="S27" s="223">
        <v>0</v>
      </c>
      <c r="T27" s="223">
        <v>0</v>
      </c>
      <c r="U27" s="223">
        <v>0</v>
      </c>
      <c r="V27" s="223">
        <v>0</v>
      </c>
      <c r="W27" s="223">
        <v>0</v>
      </c>
      <c r="X27" s="223">
        <v>0</v>
      </c>
      <c r="Y27" s="223">
        <v>0</v>
      </c>
    </row>
    <row r="28" spans="1:25">
      <c r="A28" s="216">
        <v>45170</v>
      </c>
      <c r="B28" t="s">
        <v>42</v>
      </c>
      <c r="C28">
        <v>12</v>
      </c>
      <c r="D28" t="s">
        <v>454</v>
      </c>
      <c r="E28" s="217">
        <v>45170</v>
      </c>
      <c r="F28">
        <v>4901</v>
      </c>
      <c r="G28" t="s">
        <v>251</v>
      </c>
      <c r="L28" s="222" t="s">
        <v>457</v>
      </c>
      <c r="M28" s="223">
        <v>0</v>
      </c>
      <c r="N28" s="223">
        <v>0</v>
      </c>
      <c r="O28" s="223">
        <v>0</v>
      </c>
      <c r="P28" s="223">
        <v>0</v>
      </c>
      <c r="Q28" s="223">
        <v>0</v>
      </c>
      <c r="R28" s="223">
        <v>0</v>
      </c>
      <c r="S28" s="223">
        <v>0</v>
      </c>
      <c r="T28" s="223">
        <v>0</v>
      </c>
      <c r="U28" s="223">
        <v>0</v>
      </c>
      <c r="V28" s="223">
        <v>0</v>
      </c>
      <c r="W28" s="223">
        <v>0</v>
      </c>
      <c r="X28" s="223">
        <v>0</v>
      </c>
      <c r="Y28" s="223">
        <v>0</v>
      </c>
    </row>
    <row r="29" spans="1:25">
      <c r="A29" s="216">
        <v>45170</v>
      </c>
      <c r="B29" t="s">
        <v>42</v>
      </c>
      <c r="C29">
        <v>12</v>
      </c>
      <c r="D29" t="s">
        <v>454</v>
      </c>
      <c r="E29" s="217">
        <v>45170</v>
      </c>
      <c r="F29">
        <v>4918</v>
      </c>
      <c r="G29" t="s">
        <v>252</v>
      </c>
      <c r="L29" s="222" t="s">
        <v>458</v>
      </c>
      <c r="M29" s="223">
        <v>217</v>
      </c>
      <c r="N29" s="223">
        <v>217</v>
      </c>
      <c r="O29" s="223">
        <v>7217</v>
      </c>
      <c r="P29" s="223">
        <v>-369</v>
      </c>
      <c r="Q29" s="223">
        <v>419</v>
      </c>
      <c r="R29" s="223">
        <v>491</v>
      </c>
      <c r="S29" s="223">
        <v>372</v>
      </c>
      <c r="T29" s="223">
        <v>103</v>
      </c>
      <c r="U29" s="223">
        <v>286</v>
      </c>
      <c r="V29" s="223">
        <v>217</v>
      </c>
      <c r="W29" s="223">
        <v>217</v>
      </c>
      <c r="X29" s="223">
        <v>217</v>
      </c>
      <c r="Y29" s="223">
        <v>9604</v>
      </c>
    </row>
    <row r="30" spans="1:25">
      <c r="A30" s="216">
        <v>45170</v>
      </c>
      <c r="B30" t="s">
        <v>42</v>
      </c>
      <c r="C30">
        <v>12</v>
      </c>
      <c r="D30" t="s">
        <v>454</v>
      </c>
      <c r="E30" s="217">
        <v>45170</v>
      </c>
      <c r="F30">
        <v>4279</v>
      </c>
      <c r="G30" t="s">
        <v>253</v>
      </c>
      <c r="L30" s="222" t="s">
        <v>459</v>
      </c>
      <c r="M30" s="223">
        <v>1958.75</v>
      </c>
      <c r="N30" s="223">
        <v>1958.75</v>
      </c>
      <c r="O30" s="223">
        <v>1958.75</v>
      </c>
      <c r="P30" s="223">
        <v>1837</v>
      </c>
      <c r="Q30" s="223">
        <v>1739</v>
      </c>
      <c r="R30" s="223">
        <v>1891</v>
      </c>
      <c r="S30" s="223">
        <v>2043</v>
      </c>
      <c r="T30" s="223">
        <v>1912</v>
      </c>
      <c r="U30" s="223">
        <v>1844</v>
      </c>
      <c r="V30" s="223">
        <v>1958.75</v>
      </c>
      <c r="W30" s="223">
        <v>1958.75</v>
      </c>
      <c r="X30" s="223">
        <v>1958.75</v>
      </c>
      <c r="Y30" s="223">
        <v>23018.5</v>
      </c>
    </row>
    <row r="31" spans="1:25">
      <c r="A31" s="216">
        <v>45170</v>
      </c>
      <c r="B31" t="s">
        <v>42</v>
      </c>
      <c r="C31">
        <v>12</v>
      </c>
      <c r="D31" t="s">
        <v>454</v>
      </c>
      <c r="E31" s="217">
        <v>45170</v>
      </c>
      <c r="F31">
        <v>6584</v>
      </c>
      <c r="G31" t="s">
        <v>254</v>
      </c>
      <c r="L31" s="222" t="s">
        <v>460</v>
      </c>
      <c r="M31" s="223">
        <v>914.25</v>
      </c>
      <c r="N31" s="223">
        <v>914.25</v>
      </c>
      <c r="O31" s="223">
        <v>914.25</v>
      </c>
      <c r="P31" s="223">
        <v>896</v>
      </c>
      <c r="Q31" s="223">
        <v>896</v>
      </c>
      <c r="R31" s="223">
        <v>859</v>
      </c>
      <c r="S31" s="223">
        <v>1046</v>
      </c>
      <c r="T31" s="223">
        <v>933</v>
      </c>
      <c r="U31" s="223">
        <v>862</v>
      </c>
      <c r="V31" s="223">
        <v>914.25</v>
      </c>
      <c r="W31" s="223">
        <v>914.25</v>
      </c>
      <c r="X31" s="223">
        <v>914.25</v>
      </c>
      <c r="Y31" s="223">
        <v>10977.5</v>
      </c>
    </row>
    <row r="32" spans="1:25">
      <c r="A32" s="216">
        <v>45170</v>
      </c>
      <c r="B32" t="s">
        <v>42</v>
      </c>
      <c r="C32">
        <v>12</v>
      </c>
      <c r="D32" t="s">
        <v>454</v>
      </c>
      <c r="E32" s="217">
        <v>45170</v>
      </c>
      <c r="F32">
        <v>4703</v>
      </c>
      <c r="G32" t="s">
        <v>255</v>
      </c>
      <c r="L32" s="221" t="s">
        <v>43</v>
      </c>
      <c r="M32" s="223">
        <v>721535</v>
      </c>
      <c r="N32" s="223">
        <v>710507</v>
      </c>
      <c r="O32" s="223">
        <v>718003</v>
      </c>
      <c r="P32" s="223">
        <v>655822</v>
      </c>
      <c r="Q32" s="223">
        <v>700954</v>
      </c>
      <c r="R32" s="223">
        <v>748993</v>
      </c>
      <c r="S32" s="223">
        <v>749556</v>
      </c>
      <c r="T32" s="223">
        <v>717575</v>
      </c>
      <c r="U32" s="223">
        <v>706255</v>
      </c>
      <c r="V32" s="223">
        <v>708063</v>
      </c>
      <c r="W32" s="223">
        <v>706362</v>
      </c>
      <c r="X32" s="223">
        <v>715556</v>
      </c>
      <c r="Y32" s="223">
        <v>8559181</v>
      </c>
    </row>
    <row r="33" spans="1:25">
      <c r="A33" s="216">
        <v>45170</v>
      </c>
      <c r="B33" t="s">
        <v>42</v>
      </c>
      <c r="C33">
        <v>12</v>
      </c>
      <c r="D33" t="s">
        <v>454</v>
      </c>
      <c r="E33" s="217">
        <v>45170</v>
      </c>
      <c r="F33">
        <v>4733</v>
      </c>
      <c r="G33" t="s">
        <v>256</v>
      </c>
      <c r="L33" s="222" t="s">
        <v>435</v>
      </c>
      <c r="M33" s="223">
        <v>145</v>
      </c>
      <c r="N33" s="223">
        <v>145</v>
      </c>
      <c r="O33" s="223">
        <v>145</v>
      </c>
      <c r="P33" s="223">
        <v>137</v>
      </c>
      <c r="Q33" s="223">
        <v>138</v>
      </c>
      <c r="R33" s="223">
        <v>160</v>
      </c>
      <c r="S33" s="223">
        <v>145</v>
      </c>
      <c r="T33" s="223">
        <v>145</v>
      </c>
      <c r="U33" s="223">
        <v>145</v>
      </c>
      <c r="V33" s="223">
        <v>145</v>
      </c>
      <c r="W33" s="223">
        <v>145</v>
      </c>
      <c r="X33" s="223">
        <v>145</v>
      </c>
      <c r="Y33" s="223">
        <v>1740</v>
      </c>
    </row>
    <row r="34" spans="1:25">
      <c r="A34" s="216">
        <v>45170</v>
      </c>
      <c r="B34" t="s">
        <v>42</v>
      </c>
      <c r="C34">
        <v>12</v>
      </c>
      <c r="D34" t="s">
        <v>454</v>
      </c>
      <c r="E34" s="217">
        <v>45170</v>
      </c>
      <c r="F34">
        <v>5100</v>
      </c>
      <c r="G34" t="s">
        <v>257</v>
      </c>
      <c r="L34" s="222" t="s">
        <v>436</v>
      </c>
      <c r="M34" s="223">
        <v>0</v>
      </c>
      <c r="N34" s="223">
        <v>0</v>
      </c>
      <c r="O34" s="223">
        <v>0</v>
      </c>
      <c r="P34" s="223">
        <v>0</v>
      </c>
      <c r="Q34" s="223">
        <v>0</v>
      </c>
      <c r="R34" s="223">
        <v>0</v>
      </c>
      <c r="S34" s="223">
        <v>92</v>
      </c>
      <c r="T34" s="223">
        <v>0</v>
      </c>
      <c r="U34" s="223">
        <v>0</v>
      </c>
      <c r="V34" s="223">
        <v>159</v>
      </c>
      <c r="W34" s="223">
        <v>0</v>
      </c>
      <c r="X34" s="223">
        <v>291</v>
      </c>
      <c r="Y34" s="223">
        <v>542</v>
      </c>
    </row>
    <row r="35" spans="1:25">
      <c r="A35" s="216">
        <v>45170</v>
      </c>
      <c r="B35" t="s">
        <v>42</v>
      </c>
      <c r="C35">
        <v>12</v>
      </c>
      <c r="D35" t="s">
        <v>454</v>
      </c>
      <c r="E35" s="217">
        <v>45170</v>
      </c>
      <c r="F35">
        <v>5100</v>
      </c>
      <c r="G35" t="s">
        <v>258</v>
      </c>
      <c r="L35" s="222" t="s">
        <v>437</v>
      </c>
      <c r="M35" s="223">
        <v>10399</v>
      </c>
      <c r="N35" s="223">
        <v>9610</v>
      </c>
      <c r="O35" s="223">
        <v>10399</v>
      </c>
      <c r="P35" s="223">
        <v>10068</v>
      </c>
      <c r="Q35" s="223">
        <v>10242</v>
      </c>
      <c r="R35" s="223">
        <v>10026</v>
      </c>
      <c r="S35" s="223">
        <v>12336</v>
      </c>
      <c r="T35" s="223">
        <v>11321</v>
      </c>
      <c r="U35" s="223">
        <v>10817</v>
      </c>
      <c r="V35" s="223">
        <v>10399</v>
      </c>
      <c r="W35" s="223">
        <v>10136</v>
      </c>
      <c r="X35" s="223">
        <v>10399</v>
      </c>
      <c r="Y35" s="223">
        <v>126152</v>
      </c>
    </row>
    <row r="36" spans="1:25">
      <c r="A36" s="216">
        <v>45170</v>
      </c>
      <c r="B36" t="s">
        <v>42</v>
      </c>
      <c r="C36">
        <v>12</v>
      </c>
      <c r="D36" t="s">
        <v>454</v>
      </c>
      <c r="E36" s="217">
        <v>45170</v>
      </c>
      <c r="F36">
        <v>5100</v>
      </c>
      <c r="G36" t="s">
        <v>259</v>
      </c>
      <c r="L36" s="222" t="s">
        <v>438</v>
      </c>
      <c r="M36" s="223">
        <v>184775</v>
      </c>
      <c r="N36" s="223">
        <v>181934</v>
      </c>
      <c r="O36" s="223">
        <v>183451</v>
      </c>
      <c r="P36" s="223">
        <v>173083</v>
      </c>
      <c r="Q36" s="223">
        <v>185821</v>
      </c>
      <c r="R36" s="223">
        <v>199687</v>
      </c>
      <c r="S36" s="223">
        <v>199947</v>
      </c>
      <c r="T36" s="223">
        <v>191885</v>
      </c>
      <c r="U36" s="223">
        <v>187432</v>
      </c>
      <c r="V36" s="223">
        <v>185289</v>
      </c>
      <c r="W36" s="223">
        <v>183423</v>
      </c>
      <c r="X36" s="223">
        <v>183668</v>
      </c>
      <c r="Y36" s="223">
        <v>2240395</v>
      </c>
    </row>
    <row r="37" spans="1:25">
      <c r="A37" s="216">
        <v>45170</v>
      </c>
      <c r="B37" t="s">
        <v>42</v>
      </c>
      <c r="C37">
        <v>12</v>
      </c>
      <c r="D37" t="s">
        <v>454</v>
      </c>
      <c r="E37" s="217">
        <v>45170</v>
      </c>
      <c r="F37">
        <v>5100</v>
      </c>
      <c r="G37" t="s">
        <v>260</v>
      </c>
      <c r="L37" s="222" t="s">
        <v>439</v>
      </c>
      <c r="M37" s="223">
        <v>3490</v>
      </c>
      <c r="N37" s="223">
        <v>3490</v>
      </c>
      <c r="O37" s="223">
        <v>3490</v>
      </c>
      <c r="P37" s="223">
        <v>2367</v>
      </c>
      <c r="Q37" s="223">
        <v>4387</v>
      </c>
      <c r="R37" s="223">
        <v>3717</v>
      </c>
      <c r="S37" s="223">
        <v>3490</v>
      </c>
      <c r="T37" s="223">
        <v>3490</v>
      </c>
      <c r="U37" s="223">
        <v>3490</v>
      </c>
      <c r="V37" s="223">
        <v>3490</v>
      </c>
      <c r="W37" s="223">
        <v>3490</v>
      </c>
      <c r="X37" s="223">
        <v>3490</v>
      </c>
      <c r="Y37" s="223">
        <v>41881</v>
      </c>
    </row>
    <row r="38" spans="1:25">
      <c r="A38" s="216">
        <v>45170</v>
      </c>
      <c r="B38" t="s">
        <v>42</v>
      </c>
      <c r="C38">
        <v>12</v>
      </c>
      <c r="D38" t="s">
        <v>454</v>
      </c>
      <c r="E38" s="217">
        <v>45170</v>
      </c>
      <c r="F38">
        <v>5100</v>
      </c>
      <c r="G38" t="s">
        <v>261</v>
      </c>
      <c r="L38" s="222" t="s">
        <v>440</v>
      </c>
      <c r="M38" s="223">
        <v>0</v>
      </c>
      <c r="N38" s="223">
        <v>0</v>
      </c>
      <c r="O38" s="223">
        <v>0</v>
      </c>
      <c r="P38" s="223">
        <v>0</v>
      </c>
      <c r="Q38" s="223">
        <v>0</v>
      </c>
      <c r="R38" s="223">
        <v>0</v>
      </c>
      <c r="S38" s="223">
        <v>0</v>
      </c>
      <c r="T38" s="223">
        <v>0</v>
      </c>
      <c r="U38" s="223">
        <v>0</v>
      </c>
      <c r="V38" s="223">
        <v>0</v>
      </c>
      <c r="W38" s="223">
        <v>0</v>
      </c>
      <c r="X38" s="223">
        <v>0</v>
      </c>
      <c r="Y38" s="223">
        <v>0</v>
      </c>
    </row>
    <row r="39" spans="1:25">
      <c r="A39" s="216">
        <v>45170</v>
      </c>
      <c r="B39" t="s">
        <v>42</v>
      </c>
      <c r="C39">
        <v>12</v>
      </c>
      <c r="D39" t="s">
        <v>454</v>
      </c>
      <c r="E39" s="217">
        <v>45170</v>
      </c>
      <c r="F39">
        <v>5012</v>
      </c>
      <c r="G39" t="s">
        <v>262</v>
      </c>
      <c r="L39" s="222" t="s">
        <v>441</v>
      </c>
      <c r="M39" s="223">
        <v>27845</v>
      </c>
      <c r="N39" s="223">
        <v>27817</v>
      </c>
      <c r="O39" s="223">
        <v>27807</v>
      </c>
      <c r="P39" s="223">
        <v>26228</v>
      </c>
      <c r="Q39" s="223">
        <v>28071</v>
      </c>
      <c r="R39" s="223">
        <v>27614</v>
      </c>
      <c r="S39" s="223">
        <v>29113</v>
      </c>
      <c r="T39" s="223">
        <v>28912</v>
      </c>
      <c r="U39" s="223">
        <v>27065</v>
      </c>
      <c r="V39" s="223">
        <v>28099</v>
      </c>
      <c r="W39" s="223">
        <v>27959</v>
      </c>
      <c r="X39" s="223">
        <v>27890</v>
      </c>
      <c r="Y39" s="223">
        <v>334420</v>
      </c>
    </row>
    <row r="40" spans="1:25">
      <c r="A40" s="216">
        <v>45170</v>
      </c>
      <c r="B40" t="s">
        <v>42</v>
      </c>
      <c r="C40">
        <v>12</v>
      </c>
      <c r="D40" t="s">
        <v>454</v>
      </c>
      <c r="E40" s="217">
        <v>45170</v>
      </c>
      <c r="F40">
        <v>60630</v>
      </c>
      <c r="G40" t="s">
        <v>434</v>
      </c>
      <c r="L40" s="222" t="s">
        <v>442</v>
      </c>
      <c r="M40" s="223">
        <v>178920</v>
      </c>
      <c r="N40" s="223">
        <v>176191</v>
      </c>
      <c r="O40" s="223">
        <v>178184</v>
      </c>
      <c r="P40" s="223">
        <v>160913</v>
      </c>
      <c r="Q40" s="223">
        <v>171711</v>
      </c>
      <c r="R40" s="223">
        <v>183102</v>
      </c>
      <c r="S40" s="223">
        <v>183203</v>
      </c>
      <c r="T40" s="223">
        <v>175230</v>
      </c>
      <c r="U40" s="223">
        <v>172941</v>
      </c>
      <c r="V40" s="223">
        <v>174258</v>
      </c>
      <c r="W40" s="223">
        <v>174313</v>
      </c>
      <c r="X40" s="223">
        <v>177296</v>
      </c>
      <c r="Y40" s="223">
        <v>2106262</v>
      </c>
    </row>
    <row r="41" spans="1:25">
      <c r="A41" s="216">
        <v>45170</v>
      </c>
      <c r="B41" t="s">
        <v>42</v>
      </c>
      <c r="C41">
        <v>1</v>
      </c>
      <c r="D41" t="s">
        <v>453</v>
      </c>
      <c r="E41" s="217">
        <v>45170</v>
      </c>
      <c r="F41">
        <v>126659</v>
      </c>
      <c r="G41" t="s">
        <v>251</v>
      </c>
      <c r="L41" s="222" t="s">
        <v>443</v>
      </c>
      <c r="M41" s="223">
        <v>264</v>
      </c>
      <c r="N41" s="223">
        <v>264</v>
      </c>
      <c r="O41" s="223">
        <v>264</v>
      </c>
      <c r="P41" s="223">
        <v>242</v>
      </c>
      <c r="Q41" s="223">
        <v>140</v>
      </c>
      <c r="R41" s="223">
        <v>299</v>
      </c>
      <c r="S41" s="223">
        <v>316</v>
      </c>
      <c r="T41" s="223">
        <v>333</v>
      </c>
      <c r="U41" s="223">
        <v>242</v>
      </c>
      <c r="V41" s="223">
        <v>264</v>
      </c>
      <c r="W41" s="223">
        <v>264</v>
      </c>
      <c r="X41" s="223">
        <v>264</v>
      </c>
      <c r="Y41" s="223">
        <v>3156</v>
      </c>
    </row>
    <row r="42" spans="1:25">
      <c r="A42" s="216">
        <v>45170</v>
      </c>
      <c r="B42" t="s">
        <v>42</v>
      </c>
      <c r="C42">
        <v>1</v>
      </c>
      <c r="D42" t="s">
        <v>453</v>
      </c>
      <c r="E42" s="217">
        <v>45170</v>
      </c>
      <c r="F42">
        <v>121997</v>
      </c>
      <c r="G42" t="s">
        <v>252</v>
      </c>
      <c r="L42" s="222" t="s">
        <v>444</v>
      </c>
      <c r="M42" s="223">
        <v>533</v>
      </c>
      <c r="N42" s="223">
        <v>533</v>
      </c>
      <c r="O42" s="223">
        <v>533</v>
      </c>
      <c r="P42" s="223">
        <v>339</v>
      </c>
      <c r="Q42" s="223">
        <v>778</v>
      </c>
      <c r="R42" s="223">
        <v>-3553</v>
      </c>
      <c r="S42" s="223">
        <v>563</v>
      </c>
      <c r="T42" s="223">
        <v>477</v>
      </c>
      <c r="U42" s="223">
        <v>521</v>
      </c>
      <c r="V42" s="223">
        <v>533</v>
      </c>
      <c r="W42" s="223">
        <v>533</v>
      </c>
      <c r="X42" s="223">
        <v>533</v>
      </c>
      <c r="Y42" s="223">
        <v>2323</v>
      </c>
    </row>
    <row r="43" spans="1:25">
      <c r="A43" s="216">
        <v>45170</v>
      </c>
      <c r="B43" t="s">
        <v>42</v>
      </c>
      <c r="C43">
        <v>1</v>
      </c>
      <c r="D43" t="s">
        <v>453</v>
      </c>
      <c r="E43" s="217">
        <v>45170</v>
      </c>
      <c r="F43">
        <v>141139</v>
      </c>
      <c r="G43" t="s">
        <v>253</v>
      </c>
      <c r="L43" s="222" t="s">
        <v>446</v>
      </c>
      <c r="M43" s="223">
        <v>-5855</v>
      </c>
      <c r="N43" s="223">
        <v>-5743</v>
      </c>
      <c r="O43" s="223">
        <v>-5267</v>
      </c>
      <c r="P43" s="223">
        <v>-12170</v>
      </c>
      <c r="Q43" s="223">
        <v>-14110</v>
      </c>
      <c r="R43" s="223">
        <v>-16585</v>
      </c>
      <c r="S43" s="223">
        <v>-16744</v>
      </c>
      <c r="T43" s="223">
        <v>-16655</v>
      </c>
      <c r="U43" s="223">
        <v>-14491</v>
      </c>
      <c r="V43" s="223">
        <v>-11031</v>
      </c>
      <c r="W43" s="223">
        <v>-9110</v>
      </c>
      <c r="X43" s="223">
        <v>-6372</v>
      </c>
      <c r="Y43" s="223">
        <v>-134133</v>
      </c>
    </row>
    <row r="44" spans="1:25">
      <c r="A44" s="216">
        <v>45170</v>
      </c>
      <c r="B44" t="s">
        <v>42</v>
      </c>
      <c r="C44">
        <v>1</v>
      </c>
      <c r="D44" t="s">
        <v>453</v>
      </c>
      <c r="E44" s="217">
        <v>45170</v>
      </c>
      <c r="F44">
        <v>136897</v>
      </c>
      <c r="G44" t="s">
        <v>254</v>
      </c>
      <c r="L44" s="222" t="s">
        <v>447</v>
      </c>
      <c r="M44" s="223">
        <v>0</v>
      </c>
      <c r="N44" s="223">
        <v>0</v>
      </c>
      <c r="O44" s="223">
        <v>0</v>
      </c>
      <c r="P44" s="223">
        <v>0</v>
      </c>
      <c r="Q44" s="223">
        <v>0</v>
      </c>
      <c r="R44" s="223">
        <v>0</v>
      </c>
      <c r="S44" s="223">
        <v>0</v>
      </c>
      <c r="T44" s="223">
        <v>0</v>
      </c>
      <c r="U44" s="223">
        <v>0</v>
      </c>
      <c r="V44" s="223">
        <v>0</v>
      </c>
      <c r="W44" s="223">
        <v>0</v>
      </c>
      <c r="X44" s="223">
        <v>0</v>
      </c>
      <c r="Y44" s="223">
        <v>0</v>
      </c>
    </row>
    <row r="45" spans="1:25">
      <c r="A45" s="216">
        <v>45170</v>
      </c>
      <c r="B45" t="s">
        <v>42</v>
      </c>
      <c r="C45">
        <v>1</v>
      </c>
      <c r="D45" t="s">
        <v>453</v>
      </c>
      <c r="E45" s="217">
        <v>45170</v>
      </c>
      <c r="F45">
        <v>132781</v>
      </c>
      <c r="G45" t="s">
        <v>255</v>
      </c>
      <c r="L45" s="222" t="s">
        <v>448</v>
      </c>
      <c r="M45" s="223">
        <v>7231</v>
      </c>
      <c r="N45" s="223">
        <v>7230</v>
      </c>
      <c r="O45" s="223">
        <v>7422</v>
      </c>
      <c r="P45" s="223">
        <v>7145</v>
      </c>
      <c r="Q45" s="223">
        <v>7084</v>
      </c>
      <c r="R45" s="223">
        <v>8501</v>
      </c>
      <c r="S45" s="223">
        <v>6747</v>
      </c>
      <c r="T45" s="223">
        <v>6876</v>
      </c>
      <c r="U45" s="223">
        <v>8048</v>
      </c>
      <c r="V45" s="223">
        <v>7268</v>
      </c>
      <c r="W45" s="223">
        <v>7240</v>
      </c>
      <c r="X45" s="223">
        <v>7240</v>
      </c>
      <c r="Y45" s="223">
        <v>88032</v>
      </c>
    </row>
    <row r="46" spans="1:25">
      <c r="A46" s="216">
        <v>45170</v>
      </c>
      <c r="B46" t="s">
        <v>42</v>
      </c>
      <c r="C46">
        <v>1</v>
      </c>
      <c r="D46" t="s">
        <v>453</v>
      </c>
      <c r="E46" s="217">
        <v>45170</v>
      </c>
      <c r="F46">
        <v>129001</v>
      </c>
      <c r="G46" t="s">
        <v>256</v>
      </c>
      <c r="L46" s="222" t="s">
        <v>449</v>
      </c>
      <c r="M46" s="223">
        <v>1409</v>
      </c>
      <c r="N46" s="223">
        <v>1308</v>
      </c>
      <c r="O46" s="223">
        <v>1258</v>
      </c>
      <c r="P46" s="223">
        <v>2119</v>
      </c>
      <c r="Q46" s="223">
        <v>2112</v>
      </c>
      <c r="R46" s="223">
        <v>2171</v>
      </c>
      <c r="S46" s="223">
        <v>2437</v>
      </c>
      <c r="T46" s="223">
        <v>1613</v>
      </c>
      <c r="U46" s="223">
        <v>2090</v>
      </c>
      <c r="V46" s="223">
        <v>1492</v>
      </c>
      <c r="W46" s="223">
        <v>1376</v>
      </c>
      <c r="X46" s="223">
        <v>1364</v>
      </c>
      <c r="Y46" s="223">
        <v>20749</v>
      </c>
    </row>
    <row r="47" spans="1:25">
      <c r="A47" s="216">
        <v>45170</v>
      </c>
      <c r="B47" t="s">
        <v>42</v>
      </c>
      <c r="C47">
        <v>1</v>
      </c>
      <c r="D47" t="s">
        <v>453</v>
      </c>
      <c r="E47" s="217">
        <v>45170</v>
      </c>
      <c r="F47">
        <v>133293.72222222199</v>
      </c>
      <c r="G47" t="s">
        <v>257</v>
      </c>
      <c r="L47" s="222" t="s">
        <v>450</v>
      </c>
      <c r="M47" s="223">
        <v>11326</v>
      </c>
      <c r="N47" s="223">
        <v>10296</v>
      </c>
      <c r="O47" s="223">
        <v>10462</v>
      </c>
      <c r="P47" s="223">
        <v>9311</v>
      </c>
      <c r="Q47" s="223">
        <v>10367</v>
      </c>
      <c r="R47" s="223">
        <v>11368</v>
      </c>
      <c r="S47" s="223">
        <v>10969</v>
      </c>
      <c r="T47" s="223">
        <v>12193</v>
      </c>
      <c r="U47" s="223">
        <v>10794</v>
      </c>
      <c r="V47" s="223">
        <v>11038</v>
      </c>
      <c r="W47" s="223">
        <v>10886</v>
      </c>
      <c r="X47" s="223">
        <v>10751</v>
      </c>
      <c r="Y47" s="223">
        <v>129761</v>
      </c>
    </row>
    <row r="48" spans="1:25">
      <c r="A48" s="216">
        <v>45170</v>
      </c>
      <c r="B48" t="s">
        <v>42</v>
      </c>
      <c r="C48">
        <v>1</v>
      </c>
      <c r="D48" t="s">
        <v>453</v>
      </c>
      <c r="E48" s="217">
        <v>45170</v>
      </c>
      <c r="F48">
        <v>133043.72222222199</v>
      </c>
      <c r="G48" t="s">
        <v>258</v>
      </c>
      <c r="L48" s="222" t="s">
        <v>451</v>
      </c>
      <c r="M48" s="223">
        <v>18870</v>
      </c>
      <c r="N48" s="223">
        <v>18262</v>
      </c>
      <c r="O48" s="223">
        <v>18870</v>
      </c>
      <c r="P48" s="223">
        <v>18650</v>
      </c>
      <c r="Q48" s="223">
        <v>18254</v>
      </c>
      <c r="R48" s="223">
        <v>18914</v>
      </c>
      <c r="S48" s="223">
        <v>19128</v>
      </c>
      <c r="T48" s="223">
        <v>18171</v>
      </c>
      <c r="U48" s="223">
        <v>19019</v>
      </c>
      <c r="V48" s="223">
        <v>18870</v>
      </c>
      <c r="W48" s="223">
        <v>18667</v>
      </c>
      <c r="X48" s="223">
        <v>18870</v>
      </c>
      <c r="Y48" s="223">
        <v>224545</v>
      </c>
    </row>
    <row r="49" spans="1:25">
      <c r="A49" s="216">
        <v>45170</v>
      </c>
      <c r="B49" t="s">
        <v>42</v>
      </c>
      <c r="C49">
        <v>1</v>
      </c>
      <c r="D49" t="s">
        <v>453</v>
      </c>
      <c r="E49" s="217">
        <v>45170</v>
      </c>
      <c r="F49">
        <v>150505.72222222199</v>
      </c>
      <c r="G49" t="s">
        <v>259</v>
      </c>
      <c r="L49" s="222" t="s">
        <v>452</v>
      </c>
      <c r="M49" s="223">
        <v>0</v>
      </c>
      <c r="N49" s="223">
        <v>0</v>
      </c>
      <c r="O49" s="223">
        <v>-141</v>
      </c>
      <c r="P49" s="223">
        <v>0</v>
      </c>
      <c r="Q49" s="223">
        <v>0</v>
      </c>
      <c r="R49" s="223">
        <v>0</v>
      </c>
      <c r="S49" s="223">
        <v>0</v>
      </c>
      <c r="T49" s="223">
        <v>0</v>
      </c>
      <c r="U49" s="223">
        <v>0</v>
      </c>
      <c r="V49" s="223">
        <v>0</v>
      </c>
      <c r="W49" s="223">
        <v>0</v>
      </c>
      <c r="X49" s="223">
        <v>0</v>
      </c>
      <c r="Y49" s="223">
        <v>-141</v>
      </c>
    </row>
    <row r="50" spans="1:25">
      <c r="A50" s="216">
        <v>45170</v>
      </c>
      <c r="B50" t="s">
        <v>42</v>
      </c>
      <c r="C50">
        <v>1</v>
      </c>
      <c r="D50" t="s">
        <v>453</v>
      </c>
      <c r="E50" s="217">
        <v>45170</v>
      </c>
      <c r="F50">
        <v>133693.72222222199</v>
      </c>
      <c r="G50" t="s">
        <v>260</v>
      </c>
      <c r="L50" s="222" t="s">
        <v>433</v>
      </c>
      <c r="M50" s="223">
        <v>87965</v>
      </c>
      <c r="N50" s="223">
        <v>87795</v>
      </c>
      <c r="O50" s="223">
        <v>87659</v>
      </c>
      <c r="P50" s="223">
        <v>81090</v>
      </c>
      <c r="Q50" s="223">
        <v>85302</v>
      </c>
      <c r="R50" s="223">
        <v>102663</v>
      </c>
      <c r="S50" s="223">
        <v>96188</v>
      </c>
      <c r="T50" s="223">
        <v>87990</v>
      </c>
      <c r="U50" s="223">
        <v>86790</v>
      </c>
      <c r="V50" s="223">
        <v>87602</v>
      </c>
      <c r="W50" s="223">
        <v>87667</v>
      </c>
      <c r="X50" s="223">
        <v>87642</v>
      </c>
      <c r="Y50" s="223">
        <v>1066353</v>
      </c>
    </row>
    <row r="51" spans="1:25">
      <c r="A51" s="216">
        <v>45170</v>
      </c>
      <c r="B51" t="s">
        <v>42</v>
      </c>
      <c r="C51">
        <v>1</v>
      </c>
      <c r="D51" t="s">
        <v>453</v>
      </c>
      <c r="E51" s="217">
        <v>45170</v>
      </c>
      <c r="F51">
        <v>136793.72222222199</v>
      </c>
      <c r="G51" t="s">
        <v>261</v>
      </c>
      <c r="L51" s="222" t="s">
        <v>445</v>
      </c>
      <c r="M51" s="223">
        <v>14491</v>
      </c>
      <c r="N51" s="223">
        <v>14505</v>
      </c>
      <c r="O51" s="223">
        <v>14661</v>
      </c>
      <c r="P51" s="223">
        <v>16004</v>
      </c>
      <c r="Q51" s="223">
        <v>18405</v>
      </c>
      <c r="R51" s="223">
        <v>18429</v>
      </c>
      <c r="S51" s="223">
        <v>17149</v>
      </c>
      <c r="T51" s="223">
        <v>18832</v>
      </c>
      <c r="U51" s="223">
        <v>18748</v>
      </c>
      <c r="V51" s="223">
        <v>15318</v>
      </c>
      <c r="W51" s="223">
        <v>14285</v>
      </c>
      <c r="X51" s="223">
        <v>14302</v>
      </c>
      <c r="Y51" s="223">
        <v>195129</v>
      </c>
    </row>
    <row r="52" spans="1:25">
      <c r="A52" s="216">
        <v>45170</v>
      </c>
      <c r="B52" t="s">
        <v>42</v>
      </c>
      <c r="C52">
        <v>1</v>
      </c>
      <c r="D52" t="s">
        <v>453</v>
      </c>
      <c r="E52" s="217">
        <v>45170</v>
      </c>
      <c r="F52">
        <v>141340.72222222199</v>
      </c>
      <c r="G52" t="s">
        <v>262</v>
      </c>
      <c r="L52" s="222" t="s">
        <v>453</v>
      </c>
      <c r="M52" s="223">
        <v>166493</v>
      </c>
      <c r="N52" s="223">
        <v>163765</v>
      </c>
      <c r="O52" s="223">
        <v>165565</v>
      </c>
      <c r="P52" s="223">
        <v>148705</v>
      </c>
      <c r="Q52" s="223">
        <v>159794</v>
      </c>
      <c r="R52" s="223">
        <v>169880</v>
      </c>
      <c r="S52" s="223">
        <v>170934</v>
      </c>
      <c r="T52" s="223">
        <v>162991</v>
      </c>
      <c r="U52" s="223">
        <v>160642</v>
      </c>
      <c r="V52" s="223">
        <v>161633</v>
      </c>
      <c r="W52" s="223">
        <v>161877</v>
      </c>
      <c r="X52" s="223">
        <v>164569</v>
      </c>
      <c r="Y52" s="223">
        <v>1956848</v>
      </c>
    </row>
    <row r="53" spans="1:25">
      <c r="A53" s="216">
        <v>45170</v>
      </c>
      <c r="B53" t="s">
        <v>42</v>
      </c>
      <c r="C53">
        <v>1</v>
      </c>
      <c r="D53" t="s">
        <v>453</v>
      </c>
      <c r="E53" s="217">
        <v>45170</v>
      </c>
      <c r="F53">
        <v>1617145.33333333</v>
      </c>
      <c r="G53" t="s">
        <v>434</v>
      </c>
      <c r="L53" s="222" t="s">
        <v>454</v>
      </c>
      <c r="M53" s="223">
        <v>8038</v>
      </c>
      <c r="N53" s="223">
        <v>7909</v>
      </c>
      <c r="O53" s="223">
        <v>8044</v>
      </c>
      <c r="P53" s="223">
        <v>6528</v>
      </c>
      <c r="Q53" s="223">
        <v>7625</v>
      </c>
      <c r="R53" s="223">
        <v>7879</v>
      </c>
      <c r="S53" s="223">
        <v>8113</v>
      </c>
      <c r="T53" s="223">
        <v>8408</v>
      </c>
      <c r="U53" s="223">
        <v>7711</v>
      </c>
      <c r="V53" s="223">
        <v>8039</v>
      </c>
      <c r="W53" s="223">
        <v>8015</v>
      </c>
      <c r="X53" s="223">
        <v>8018</v>
      </c>
      <c r="Y53" s="223">
        <v>94327</v>
      </c>
    </row>
    <row r="54" spans="1:25">
      <c r="A54" s="216">
        <v>45170</v>
      </c>
      <c r="B54" t="s">
        <v>42</v>
      </c>
      <c r="C54">
        <v>2</v>
      </c>
      <c r="D54" t="s">
        <v>436</v>
      </c>
      <c r="E54" s="217">
        <v>45170</v>
      </c>
      <c r="F54">
        <v>0</v>
      </c>
      <c r="G54" t="s">
        <v>251</v>
      </c>
      <c r="L54" s="222" t="s">
        <v>455</v>
      </c>
      <c r="M54" s="223">
        <v>0</v>
      </c>
      <c r="N54" s="223">
        <v>0</v>
      </c>
      <c r="O54" s="223">
        <v>0</v>
      </c>
      <c r="P54" s="223">
        <v>0</v>
      </c>
      <c r="Q54" s="223">
        <v>0</v>
      </c>
      <c r="R54" s="223">
        <v>0</v>
      </c>
      <c r="S54" s="223">
        <v>0</v>
      </c>
      <c r="T54" s="223">
        <v>0</v>
      </c>
      <c r="U54" s="223">
        <v>0</v>
      </c>
      <c r="V54" s="223">
        <v>0</v>
      </c>
      <c r="W54" s="223">
        <v>0</v>
      </c>
      <c r="X54" s="223">
        <v>0</v>
      </c>
      <c r="Y54" s="223">
        <v>0</v>
      </c>
    </row>
    <row r="55" spans="1:25">
      <c r="A55" s="216">
        <v>45170</v>
      </c>
      <c r="B55" t="s">
        <v>42</v>
      </c>
      <c r="C55">
        <v>2</v>
      </c>
      <c r="D55" t="s">
        <v>436</v>
      </c>
      <c r="E55" s="217">
        <v>45170</v>
      </c>
      <c r="F55">
        <v>0</v>
      </c>
      <c r="G55" t="s">
        <v>252</v>
      </c>
      <c r="L55" s="222" t="s">
        <v>456</v>
      </c>
      <c r="M55" s="223">
        <v>0</v>
      </c>
      <c r="N55" s="223">
        <v>0</v>
      </c>
      <c r="O55" s="223">
        <v>0</v>
      </c>
      <c r="P55" s="223">
        <v>0</v>
      </c>
      <c r="Q55" s="223">
        <v>0</v>
      </c>
      <c r="R55" s="223">
        <v>0</v>
      </c>
      <c r="S55" s="223">
        <v>0</v>
      </c>
      <c r="T55" s="223">
        <v>0</v>
      </c>
      <c r="U55" s="223">
        <v>0</v>
      </c>
      <c r="V55" s="223">
        <v>0</v>
      </c>
      <c r="W55" s="223">
        <v>0</v>
      </c>
      <c r="X55" s="223">
        <v>0</v>
      </c>
      <c r="Y55" s="223">
        <v>0</v>
      </c>
    </row>
    <row r="56" spans="1:25">
      <c r="A56" s="216">
        <v>45170</v>
      </c>
      <c r="B56" t="s">
        <v>42</v>
      </c>
      <c r="C56">
        <v>2</v>
      </c>
      <c r="D56" t="s">
        <v>436</v>
      </c>
      <c r="E56" s="217">
        <v>45170</v>
      </c>
      <c r="F56">
        <v>41.7</v>
      </c>
      <c r="G56" t="s">
        <v>253</v>
      </c>
      <c r="L56" s="222" t="s">
        <v>457</v>
      </c>
      <c r="M56" s="223">
        <v>0</v>
      </c>
      <c r="N56" s="223">
        <v>0</v>
      </c>
      <c r="O56" s="223">
        <v>0</v>
      </c>
      <c r="P56" s="223">
        <v>0</v>
      </c>
      <c r="Q56" s="223">
        <v>0</v>
      </c>
      <c r="R56" s="223">
        <v>0</v>
      </c>
      <c r="S56" s="223">
        <v>0</v>
      </c>
      <c r="T56" s="223">
        <v>0</v>
      </c>
      <c r="U56" s="223">
        <v>0</v>
      </c>
      <c r="V56" s="223">
        <v>0</v>
      </c>
      <c r="W56" s="223">
        <v>0</v>
      </c>
      <c r="X56" s="223">
        <v>0</v>
      </c>
      <c r="Y56" s="223">
        <v>0</v>
      </c>
    </row>
    <row r="57" spans="1:25">
      <c r="A57" s="216">
        <v>45170</v>
      </c>
      <c r="B57" t="s">
        <v>42</v>
      </c>
      <c r="C57">
        <v>2</v>
      </c>
      <c r="D57" t="s">
        <v>436</v>
      </c>
      <c r="E57" s="217">
        <v>45170</v>
      </c>
      <c r="F57">
        <v>0</v>
      </c>
      <c r="G57" t="s">
        <v>254</v>
      </c>
      <c r="L57" s="222" t="s">
        <v>458</v>
      </c>
      <c r="M57" s="223">
        <v>60</v>
      </c>
      <c r="N57" s="223">
        <v>60</v>
      </c>
      <c r="O57" s="223">
        <v>60</v>
      </c>
      <c r="P57" s="223">
        <v>344</v>
      </c>
      <c r="Q57" s="223">
        <v>-258</v>
      </c>
      <c r="R57" s="223">
        <v>-957</v>
      </c>
      <c r="S57" s="223">
        <v>240</v>
      </c>
      <c r="T57" s="223">
        <v>-69</v>
      </c>
      <c r="U57" s="223">
        <v>-829</v>
      </c>
      <c r="V57" s="223">
        <v>60</v>
      </c>
      <c r="W57" s="223">
        <v>60</v>
      </c>
      <c r="X57" s="223">
        <v>60</v>
      </c>
      <c r="Y57" s="223">
        <v>-1169</v>
      </c>
    </row>
    <row r="58" spans="1:25">
      <c r="A58" s="216">
        <v>45170</v>
      </c>
      <c r="B58" t="s">
        <v>42</v>
      </c>
      <c r="C58">
        <v>2</v>
      </c>
      <c r="D58" t="s">
        <v>436</v>
      </c>
      <c r="E58" s="217">
        <v>45170</v>
      </c>
      <c r="F58">
        <v>0</v>
      </c>
      <c r="G58" t="s">
        <v>255</v>
      </c>
      <c r="L58" s="222" t="s">
        <v>459</v>
      </c>
      <c r="M58" s="223">
        <v>971</v>
      </c>
      <c r="N58" s="223">
        <v>971</v>
      </c>
      <c r="O58" s="223">
        <v>972</v>
      </c>
      <c r="P58" s="223">
        <v>808</v>
      </c>
      <c r="Q58" s="223">
        <v>995</v>
      </c>
      <c r="R58" s="223">
        <v>1117</v>
      </c>
      <c r="S58" s="223">
        <v>942</v>
      </c>
      <c r="T58" s="223">
        <v>1082</v>
      </c>
      <c r="U58" s="223">
        <v>969</v>
      </c>
      <c r="V58" s="223">
        <v>973</v>
      </c>
      <c r="W58" s="223">
        <v>971</v>
      </c>
      <c r="X58" s="223">
        <v>971</v>
      </c>
      <c r="Y58" s="223">
        <v>11742</v>
      </c>
    </row>
    <row r="59" spans="1:25">
      <c r="A59" s="216">
        <v>45170</v>
      </c>
      <c r="B59" t="s">
        <v>42</v>
      </c>
      <c r="C59">
        <v>2</v>
      </c>
      <c r="D59" t="s">
        <v>436</v>
      </c>
      <c r="E59" s="217">
        <v>45170</v>
      </c>
      <c r="F59">
        <v>60</v>
      </c>
      <c r="G59" t="s">
        <v>256</v>
      </c>
      <c r="L59" s="222" t="s">
        <v>460</v>
      </c>
      <c r="M59" s="223">
        <v>4165</v>
      </c>
      <c r="N59" s="223">
        <v>4165</v>
      </c>
      <c r="O59" s="223">
        <v>4165</v>
      </c>
      <c r="P59" s="223">
        <v>3911</v>
      </c>
      <c r="Q59" s="223">
        <v>4096</v>
      </c>
      <c r="R59" s="223">
        <v>4561</v>
      </c>
      <c r="S59" s="223">
        <v>4248</v>
      </c>
      <c r="T59" s="223">
        <v>4350</v>
      </c>
      <c r="U59" s="223">
        <v>4111</v>
      </c>
      <c r="V59" s="223">
        <v>4165</v>
      </c>
      <c r="W59" s="223">
        <v>4165</v>
      </c>
      <c r="X59" s="223">
        <v>4165</v>
      </c>
      <c r="Y59" s="223">
        <v>50267</v>
      </c>
    </row>
    <row r="60" spans="1:25">
      <c r="A60" s="216">
        <v>45170</v>
      </c>
      <c r="B60" t="s">
        <v>42</v>
      </c>
      <c r="C60">
        <v>2</v>
      </c>
      <c r="D60" t="s">
        <v>436</v>
      </c>
      <c r="E60" s="217">
        <v>45170</v>
      </c>
      <c r="F60">
        <v>0</v>
      </c>
      <c r="G60" t="s">
        <v>257</v>
      </c>
      <c r="L60" s="221" t="s">
        <v>44</v>
      </c>
      <c r="M60" s="223">
        <v>608284.70690476103</v>
      </c>
      <c r="N60" s="223">
        <v>605932.70690476103</v>
      </c>
      <c r="O60" s="223">
        <v>709715.56404762063</v>
      </c>
      <c r="P60" s="223">
        <v>563872</v>
      </c>
      <c r="Q60" s="223">
        <v>603550.5</v>
      </c>
      <c r="R60" s="223">
        <v>645189.82999999996</v>
      </c>
      <c r="S60" s="223">
        <v>635033</v>
      </c>
      <c r="T60" s="223">
        <v>601822</v>
      </c>
      <c r="U60" s="223">
        <v>601909</v>
      </c>
      <c r="V60" s="223">
        <v>606734.70690476103</v>
      </c>
      <c r="W60" s="223">
        <v>607888.99261904845</v>
      </c>
      <c r="X60" s="223">
        <v>608108.70690476103</v>
      </c>
      <c r="Y60" s="223">
        <v>7398041.7142857173</v>
      </c>
    </row>
    <row r="61" spans="1:25">
      <c r="A61" s="216">
        <v>45170</v>
      </c>
      <c r="B61" t="s">
        <v>42</v>
      </c>
      <c r="C61">
        <v>2</v>
      </c>
      <c r="D61" t="s">
        <v>436</v>
      </c>
      <c r="E61" s="217">
        <v>45170</v>
      </c>
      <c r="F61">
        <v>0</v>
      </c>
      <c r="G61" t="s">
        <v>258</v>
      </c>
      <c r="L61" s="222" t="s">
        <v>435</v>
      </c>
      <c r="M61" s="223">
        <v>85</v>
      </c>
      <c r="N61" s="223">
        <v>85</v>
      </c>
      <c r="O61" s="223">
        <v>25155</v>
      </c>
      <c r="P61" s="223">
        <v>75</v>
      </c>
      <c r="Q61" s="223">
        <v>78.5</v>
      </c>
      <c r="R61" s="223">
        <v>72.347999999999999</v>
      </c>
      <c r="S61" s="223">
        <v>75</v>
      </c>
      <c r="T61" s="223">
        <v>85</v>
      </c>
      <c r="U61" s="223">
        <v>85</v>
      </c>
      <c r="V61" s="223">
        <v>85</v>
      </c>
      <c r="W61" s="223">
        <v>85</v>
      </c>
      <c r="X61" s="223">
        <v>85</v>
      </c>
      <c r="Y61" s="223">
        <v>26050.848000000002</v>
      </c>
    </row>
    <row r="62" spans="1:25">
      <c r="A62" s="216">
        <v>45170</v>
      </c>
      <c r="B62" t="s">
        <v>42</v>
      </c>
      <c r="C62">
        <v>2</v>
      </c>
      <c r="D62" t="s">
        <v>436</v>
      </c>
      <c r="E62" s="217">
        <v>45170</v>
      </c>
      <c r="F62">
        <v>35</v>
      </c>
      <c r="G62" t="s">
        <v>259</v>
      </c>
      <c r="L62" s="222" t="s">
        <v>436</v>
      </c>
      <c r="M62" s="223">
        <v>0</v>
      </c>
      <c r="N62" s="223">
        <v>0</v>
      </c>
      <c r="O62" s="223">
        <v>0</v>
      </c>
      <c r="P62" s="223">
        <v>0</v>
      </c>
      <c r="Q62" s="223">
        <v>0</v>
      </c>
      <c r="R62" s="223">
        <v>0</v>
      </c>
      <c r="S62" s="223">
        <v>0</v>
      </c>
      <c r="T62" s="223">
        <v>0</v>
      </c>
      <c r="U62" s="223">
        <v>0</v>
      </c>
      <c r="V62" s="223">
        <v>0</v>
      </c>
      <c r="W62" s="223">
        <v>0</v>
      </c>
      <c r="X62" s="223">
        <v>0</v>
      </c>
      <c r="Y62" s="223">
        <v>0</v>
      </c>
    </row>
    <row r="63" spans="1:25">
      <c r="A63" s="216">
        <v>45170</v>
      </c>
      <c r="B63" t="s">
        <v>42</v>
      </c>
      <c r="C63">
        <v>2</v>
      </c>
      <c r="D63" t="s">
        <v>436</v>
      </c>
      <c r="E63" s="217">
        <v>45170</v>
      </c>
      <c r="F63">
        <v>0</v>
      </c>
      <c r="G63" t="s">
        <v>260</v>
      </c>
      <c r="L63" s="222" t="s">
        <v>437</v>
      </c>
      <c r="M63" s="223">
        <v>7702</v>
      </c>
      <c r="N63" s="223">
        <v>7736</v>
      </c>
      <c r="O63" s="223">
        <v>7715</v>
      </c>
      <c r="P63" s="223">
        <v>7061</v>
      </c>
      <c r="Q63" s="223">
        <v>7268</v>
      </c>
      <c r="R63" s="223">
        <v>8854</v>
      </c>
      <c r="S63" s="223">
        <v>7776</v>
      </c>
      <c r="T63" s="223">
        <v>8111</v>
      </c>
      <c r="U63" s="223">
        <v>7408</v>
      </c>
      <c r="V63" s="223">
        <v>7716</v>
      </c>
      <c r="W63" s="223">
        <v>7705</v>
      </c>
      <c r="X63" s="223">
        <v>7702</v>
      </c>
      <c r="Y63" s="223">
        <v>92754</v>
      </c>
    </row>
    <row r="64" spans="1:25">
      <c r="A64" s="216">
        <v>45170</v>
      </c>
      <c r="B64" t="s">
        <v>42</v>
      </c>
      <c r="C64">
        <v>2</v>
      </c>
      <c r="D64" t="s">
        <v>436</v>
      </c>
      <c r="E64" s="217">
        <v>45170</v>
      </c>
      <c r="F64">
        <v>0</v>
      </c>
      <c r="G64" t="s">
        <v>261</v>
      </c>
      <c r="L64" s="222" t="s">
        <v>438</v>
      </c>
      <c r="M64" s="223">
        <v>156708.63547618999</v>
      </c>
      <c r="N64" s="223">
        <v>156120.63547618999</v>
      </c>
      <c r="O64" s="223">
        <v>182066.349761905</v>
      </c>
      <c r="P64" s="223">
        <v>147640</v>
      </c>
      <c r="Q64" s="223">
        <v>157102.5</v>
      </c>
      <c r="R64" s="223">
        <v>167727.82999999999</v>
      </c>
      <c r="S64" s="223">
        <v>165206</v>
      </c>
      <c r="T64" s="223">
        <v>156811</v>
      </c>
      <c r="U64" s="223">
        <v>156832</v>
      </c>
      <c r="V64" s="223">
        <v>156321.13547618999</v>
      </c>
      <c r="W64" s="223">
        <v>156609.70690476199</v>
      </c>
      <c r="X64" s="223">
        <v>156664.63547618999</v>
      </c>
      <c r="Y64" s="223">
        <v>1915810.42857143</v>
      </c>
    </row>
    <row r="65" spans="1:25">
      <c r="A65" s="216">
        <v>45170</v>
      </c>
      <c r="B65" t="s">
        <v>42</v>
      </c>
      <c r="C65">
        <v>2</v>
      </c>
      <c r="D65" t="s">
        <v>436</v>
      </c>
      <c r="E65" s="217">
        <v>45170</v>
      </c>
      <c r="F65">
        <v>113.3</v>
      </c>
      <c r="G65" t="s">
        <v>262</v>
      </c>
      <c r="L65" s="222" t="s">
        <v>439</v>
      </c>
      <c r="M65" s="223">
        <v>3839</v>
      </c>
      <c r="N65" s="223">
        <v>3839</v>
      </c>
      <c r="O65" s="223">
        <v>3603</v>
      </c>
      <c r="P65" s="223">
        <v>3556</v>
      </c>
      <c r="Q65" s="223">
        <v>3553</v>
      </c>
      <c r="R65" s="223">
        <v>3502.482</v>
      </c>
      <c r="S65" s="223">
        <v>3593</v>
      </c>
      <c r="T65" s="223">
        <v>3839</v>
      </c>
      <c r="U65" s="223">
        <v>4078</v>
      </c>
      <c r="V65" s="223">
        <v>3839</v>
      </c>
      <c r="W65" s="223">
        <v>3839</v>
      </c>
      <c r="X65" s="223">
        <v>3839</v>
      </c>
      <c r="Y65" s="223">
        <v>44919.482000000004</v>
      </c>
    </row>
    <row r="66" spans="1:25">
      <c r="A66" s="216">
        <v>45170</v>
      </c>
      <c r="B66" t="s">
        <v>42</v>
      </c>
      <c r="C66">
        <v>2</v>
      </c>
      <c r="D66" t="s">
        <v>436</v>
      </c>
      <c r="E66" s="217">
        <v>45170</v>
      </c>
      <c r="F66">
        <v>250</v>
      </c>
      <c r="G66" t="s">
        <v>434</v>
      </c>
      <c r="L66" s="222" t="s">
        <v>440</v>
      </c>
      <c r="M66" s="223">
        <v>0</v>
      </c>
      <c r="N66" s="223">
        <v>0</v>
      </c>
      <c r="O66" s="223">
        <v>0</v>
      </c>
      <c r="P66" s="223">
        <v>0</v>
      </c>
      <c r="Q66" s="223">
        <v>0</v>
      </c>
      <c r="R66" s="223">
        <v>0</v>
      </c>
      <c r="S66" s="223">
        <v>0</v>
      </c>
      <c r="T66" s="223">
        <v>0</v>
      </c>
      <c r="U66" s="223">
        <v>0</v>
      </c>
      <c r="V66" s="223">
        <v>0</v>
      </c>
      <c r="W66" s="223">
        <v>0</v>
      </c>
      <c r="X66" s="223">
        <v>0</v>
      </c>
      <c r="Y66" s="223">
        <v>0</v>
      </c>
    </row>
    <row r="67" spans="1:25">
      <c r="A67" s="216">
        <v>45170</v>
      </c>
      <c r="B67" t="s">
        <v>42</v>
      </c>
      <c r="C67">
        <v>3</v>
      </c>
      <c r="D67" t="s">
        <v>459</v>
      </c>
      <c r="E67" s="217">
        <v>45170</v>
      </c>
      <c r="F67">
        <v>1837</v>
      </c>
      <c r="G67" t="s">
        <v>251</v>
      </c>
      <c r="L67" s="222" t="s">
        <v>441</v>
      </c>
      <c r="M67" s="223">
        <v>19243.714285714301</v>
      </c>
      <c r="N67" s="223">
        <v>19243.714285714301</v>
      </c>
      <c r="O67" s="223">
        <v>19959.714285714301</v>
      </c>
      <c r="P67" s="223">
        <v>19569</v>
      </c>
      <c r="Q67" s="223">
        <v>19933</v>
      </c>
      <c r="R67" s="223">
        <v>20197</v>
      </c>
      <c r="S67" s="223">
        <v>19862</v>
      </c>
      <c r="T67" s="223">
        <v>20089</v>
      </c>
      <c r="U67" s="223">
        <v>18220</v>
      </c>
      <c r="V67" s="223">
        <v>18321.714285714301</v>
      </c>
      <c r="W67" s="223">
        <v>19243.714285714301</v>
      </c>
      <c r="X67" s="223">
        <v>19243.714285714301</v>
      </c>
      <c r="Y67" s="223">
        <v>233126.285714286</v>
      </c>
    </row>
    <row r="68" spans="1:25">
      <c r="A68" s="216">
        <v>45170</v>
      </c>
      <c r="B68" t="s">
        <v>42</v>
      </c>
      <c r="C68">
        <v>3</v>
      </c>
      <c r="D68" t="s">
        <v>459</v>
      </c>
      <c r="E68" s="217">
        <v>45170</v>
      </c>
      <c r="F68">
        <v>1739</v>
      </c>
      <c r="G68" t="s">
        <v>252</v>
      </c>
      <c r="L68" s="222" t="s">
        <v>442</v>
      </c>
      <c r="M68" s="223">
        <v>150525.35714285701</v>
      </c>
      <c r="N68" s="223">
        <v>149937.35714285701</v>
      </c>
      <c r="O68" s="223">
        <v>175883.071428572</v>
      </c>
      <c r="P68" s="223">
        <v>138744</v>
      </c>
      <c r="Q68" s="223">
        <v>148816</v>
      </c>
      <c r="R68" s="223">
        <v>159154</v>
      </c>
      <c r="S68" s="223">
        <v>156609</v>
      </c>
      <c r="T68" s="223">
        <v>148337</v>
      </c>
      <c r="U68" s="223">
        <v>148359</v>
      </c>
      <c r="V68" s="223">
        <v>150137.85714285701</v>
      </c>
      <c r="W68" s="223">
        <v>150426.42857142899</v>
      </c>
      <c r="X68" s="223">
        <v>150481.35714285701</v>
      </c>
      <c r="Y68" s="223">
        <v>1827410.42857143</v>
      </c>
    </row>
    <row r="69" spans="1:25">
      <c r="A69" s="216">
        <v>45170</v>
      </c>
      <c r="B69" t="s">
        <v>42</v>
      </c>
      <c r="C69">
        <v>3</v>
      </c>
      <c r="D69" t="s">
        <v>459</v>
      </c>
      <c r="E69" s="217">
        <v>45170</v>
      </c>
      <c r="F69">
        <v>1891</v>
      </c>
      <c r="G69" t="s">
        <v>253</v>
      </c>
      <c r="L69" s="222" t="s">
        <v>443</v>
      </c>
      <c r="M69" s="223">
        <v>0</v>
      </c>
      <c r="N69" s="223">
        <v>0</v>
      </c>
      <c r="O69" s="223">
        <v>0</v>
      </c>
      <c r="P69" s="223">
        <v>30</v>
      </c>
      <c r="Q69" s="223">
        <v>151</v>
      </c>
      <c r="R69" s="223">
        <v>194</v>
      </c>
      <c r="S69" s="223">
        <v>263</v>
      </c>
      <c r="T69" s="223">
        <v>192</v>
      </c>
      <c r="U69" s="223">
        <v>210</v>
      </c>
      <c r="V69" s="223">
        <v>0</v>
      </c>
      <c r="W69" s="223">
        <v>0</v>
      </c>
      <c r="X69" s="223">
        <v>0</v>
      </c>
      <c r="Y69" s="223">
        <v>1040</v>
      </c>
    </row>
    <row r="70" spans="1:25">
      <c r="A70" s="216">
        <v>45170</v>
      </c>
      <c r="B70" t="s">
        <v>42</v>
      </c>
      <c r="C70">
        <v>3</v>
      </c>
      <c r="D70" t="s">
        <v>459</v>
      </c>
      <c r="E70" s="217">
        <v>45170</v>
      </c>
      <c r="F70">
        <v>2043</v>
      </c>
      <c r="G70" t="s">
        <v>254</v>
      </c>
      <c r="L70" s="222" t="s">
        <v>444</v>
      </c>
      <c r="M70" s="223">
        <v>0</v>
      </c>
      <c r="N70" s="223">
        <v>0</v>
      </c>
      <c r="O70" s="223">
        <v>0</v>
      </c>
      <c r="P70" s="223">
        <v>0</v>
      </c>
      <c r="Q70" s="223">
        <v>0</v>
      </c>
      <c r="R70" s="223">
        <v>0</v>
      </c>
      <c r="S70" s="223">
        <v>0</v>
      </c>
      <c r="T70" s="223">
        <v>0</v>
      </c>
      <c r="U70" s="223">
        <v>0</v>
      </c>
      <c r="V70" s="223">
        <v>0</v>
      </c>
      <c r="W70" s="223">
        <v>0</v>
      </c>
      <c r="X70" s="223">
        <v>0</v>
      </c>
      <c r="Y70" s="223">
        <v>0</v>
      </c>
    </row>
    <row r="71" spans="1:25">
      <c r="A71" s="216">
        <v>45170</v>
      </c>
      <c r="B71" t="s">
        <v>42</v>
      </c>
      <c r="C71">
        <v>3</v>
      </c>
      <c r="D71" t="s">
        <v>459</v>
      </c>
      <c r="E71" s="217">
        <v>45170</v>
      </c>
      <c r="F71">
        <v>1912</v>
      </c>
      <c r="G71" t="s">
        <v>255</v>
      </c>
      <c r="L71" s="222" t="s">
        <v>446</v>
      </c>
      <c r="M71" s="223">
        <v>-6183.27833333332</v>
      </c>
      <c r="N71" s="223">
        <v>-6183.27833333332</v>
      </c>
      <c r="O71" s="223">
        <v>-6183.2783333329999</v>
      </c>
      <c r="P71" s="223">
        <v>-8896</v>
      </c>
      <c r="Q71" s="223">
        <v>-8286.5</v>
      </c>
      <c r="R71" s="223">
        <v>-8573.8299999999908</v>
      </c>
      <c r="S71" s="223">
        <v>-8597</v>
      </c>
      <c r="T71" s="223">
        <v>-8474</v>
      </c>
      <c r="U71" s="223">
        <v>-8473</v>
      </c>
      <c r="V71" s="223">
        <v>-6183.27833333332</v>
      </c>
      <c r="W71" s="223">
        <v>-6183.27833333332</v>
      </c>
      <c r="X71" s="223">
        <v>-6183.27833333332</v>
      </c>
      <c r="Y71" s="223">
        <v>-88399.999999999796</v>
      </c>
    </row>
    <row r="72" spans="1:25">
      <c r="A72" s="216">
        <v>45170</v>
      </c>
      <c r="B72" t="s">
        <v>42</v>
      </c>
      <c r="C72">
        <v>3</v>
      </c>
      <c r="D72" t="s">
        <v>459</v>
      </c>
      <c r="E72" s="217">
        <v>45170</v>
      </c>
      <c r="F72">
        <v>1844</v>
      </c>
      <c r="G72" t="s">
        <v>256</v>
      </c>
      <c r="L72" s="222" t="s">
        <v>447</v>
      </c>
      <c r="M72" s="223">
        <v>0</v>
      </c>
      <c r="N72" s="223">
        <v>0</v>
      </c>
      <c r="O72" s="223">
        <v>0</v>
      </c>
      <c r="P72" s="223">
        <v>0</v>
      </c>
      <c r="Q72" s="223">
        <v>0</v>
      </c>
      <c r="R72" s="223">
        <v>0</v>
      </c>
      <c r="S72" s="223">
        <v>0</v>
      </c>
      <c r="T72" s="223">
        <v>0</v>
      </c>
      <c r="U72" s="223">
        <v>0</v>
      </c>
      <c r="V72" s="223">
        <v>0</v>
      </c>
      <c r="W72" s="223">
        <v>0</v>
      </c>
      <c r="X72" s="223">
        <v>0</v>
      </c>
      <c r="Y72" s="223">
        <v>0</v>
      </c>
    </row>
    <row r="73" spans="1:25">
      <c r="A73" s="216">
        <v>45170</v>
      </c>
      <c r="B73" t="s">
        <v>42</v>
      </c>
      <c r="C73">
        <v>3</v>
      </c>
      <c r="D73" t="s">
        <v>459</v>
      </c>
      <c r="E73" s="217">
        <v>45170</v>
      </c>
      <c r="F73">
        <v>1958.75</v>
      </c>
      <c r="G73" t="s">
        <v>257</v>
      </c>
      <c r="L73" s="222" t="s">
        <v>448</v>
      </c>
      <c r="M73" s="223">
        <v>9661</v>
      </c>
      <c r="N73" s="223">
        <v>10158</v>
      </c>
      <c r="O73" s="223">
        <v>10458</v>
      </c>
      <c r="P73" s="223">
        <v>10046</v>
      </c>
      <c r="Q73" s="223">
        <v>10047</v>
      </c>
      <c r="R73" s="223">
        <v>10092</v>
      </c>
      <c r="S73" s="223">
        <v>10428</v>
      </c>
      <c r="T73" s="223">
        <v>8550</v>
      </c>
      <c r="U73" s="223">
        <v>12146</v>
      </c>
      <c r="V73" s="223">
        <v>8475</v>
      </c>
      <c r="W73" s="223">
        <v>9789</v>
      </c>
      <c r="X73" s="223">
        <v>9756</v>
      </c>
      <c r="Y73" s="223">
        <v>119606</v>
      </c>
    </row>
    <row r="74" spans="1:25">
      <c r="A74" s="216">
        <v>45170</v>
      </c>
      <c r="B74" t="s">
        <v>42</v>
      </c>
      <c r="C74">
        <v>3</v>
      </c>
      <c r="D74" t="s">
        <v>459</v>
      </c>
      <c r="E74" s="217">
        <v>45170</v>
      </c>
      <c r="F74">
        <v>1958.75</v>
      </c>
      <c r="G74" t="s">
        <v>258</v>
      </c>
      <c r="L74" s="222" t="s">
        <v>449</v>
      </c>
      <c r="M74" s="223">
        <v>2402.7142857142899</v>
      </c>
      <c r="N74" s="223">
        <v>2402.7142857142899</v>
      </c>
      <c r="O74" s="223">
        <v>2313.7142857142799</v>
      </c>
      <c r="P74" s="223">
        <v>2459</v>
      </c>
      <c r="Q74" s="223">
        <v>2166</v>
      </c>
      <c r="R74" s="223">
        <v>2287</v>
      </c>
      <c r="S74" s="223">
        <v>1963</v>
      </c>
      <c r="T74" s="223">
        <v>2288</v>
      </c>
      <c r="U74" s="223">
        <v>1943</v>
      </c>
      <c r="V74" s="223">
        <v>2253.7142857142899</v>
      </c>
      <c r="W74" s="223">
        <v>2402.7142857142899</v>
      </c>
      <c r="X74" s="223">
        <v>2402.7142857142899</v>
      </c>
      <c r="Y74" s="223">
        <v>27284.285714285699</v>
      </c>
    </row>
    <row r="75" spans="1:25">
      <c r="A75" s="216">
        <v>45170</v>
      </c>
      <c r="B75" t="s">
        <v>42</v>
      </c>
      <c r="C75">
        <v>3</v>
      </c>
      <c r="D75" t="s">
        <v>459</v>
      </c>
      <c r="E75" s="217">
        <v>45170</v>
      </c>
      <c r="F75">
        <v>1958.75</v>
      </c>
      <c r="G75" t="s">
        <v>259</v>
      </c>
      <c r="L75" s="222" t="s">
        <v>450</v>
      </c>
      <c r="M75" s="223">
        <v>7659</v>
      </c>
      <c r="N75" s="223">
        <v>7505</v>
      </c>
      <c r="O75" s="223">
        <v>7788</v>
      </c>
      <c r="P75" s="223">
        <v>7245</v>
      </c>
      <c r="Q75" s="223">
        <v>7356</v>
      </c>
      <c r="R75" s="223">
        <v>8003</v>
      </c>
      <c r="S75" s="223">
        <v>8164</v>
      </c>
      <c r="T75" s="223">
        <v>7735</v>
      </c>
      <c r="U75" s="223">
        <v>7828</v>
      </c>
      <c r="V75" s="223">
        <v>7675</v>
      </c>
      <c r="W75" s="223">
        <v>7798</v>
      </c>
      <c r="X75" s="223">
        <v>7676</v>
      </c>
      <c r="Y75" s="223">
        <v>92432</v>
      </c>
    </row>
    <row r="76" spans="1:25">
      <c r="A76" s="216">
        <v>45170</v>
      </c>
      <c r="B76" t="s">
        <v>42</v>
      </c>
      <c r="C76">
        <v>3</v>
      </c>
      <c r="D76" t="s">
        <v>459</v>
      </c>
      <c r="E76" s="217">
        <v>45170</v>
      </c>
      <c r="F76">
        <v>1958.75</v>
      </c>
      <c r="G76" t="s">
        <v>260</v>
      </c>
      <c r="L76" s="222" t="s">
        <v>451</v>
      </c>
      <c r="M76" s="223">
        <v>14298.9285714286</v>
      </c>
      <c r="N76" s="223">
        <v>14154.9285714286</v>
      </c>
      <c r="O76" s="223">
        <v>14228.9285714286</v>
      </c>
      <c r="P76" s="223">
        <v>14048</v>
      </c>
      <c r="Q76" s="223">
        <v>14387</v>
      </c>
      <c r="R76" s="223">
        <v>14371</v>
      </c>
      <c r="S76" s="223">
        <v>14022</v>
      </c>
      <c r="T76" s="223">
        <v>14164</v>
      </c>
      <c r="U76" s="223">
        <v>14622</v>
      </c>
      <c r="V76" s="223">
        <v>14303</v>
      </c>
      <c r="W76" s="223">
        <v>14206</v>
      </c>
      <c r="X76" s="223">
        <v>14314.9285714286</v>
      </c>
      <c r="Y76" s="223">
        <v>171120.714285714</v>
      </c>
    </row>
    <row r="77" spans="1:25">
      <c r="A77" s="216">
        <v>45170</v>
      </c>
      <c r="B77" t="s">
        <v>42</v>
      </c>
      <c r="C77">
        <v>3</v>
      </c>
      <c r="D77" t="s">
        <v>459</v>
      </c>
      <c r="E77" s="217">
        <v>45170</v>
      </c>
      <c r="F77">
        <v>1958.75</v>
      </c>
      <c r="G77" t="s">
        <v>261</v>
      </c>
      <c r="L77" s="222" t="s">
        <v>452</v>
      </c>
      <c r="M77" s="223">
        <v>0</v>
      </c>
      <c r="N77" s="223">
        <v>0</v>
      </c>
      <c r="O77" s="223">
        <v>0</v>
      </c>
      <c r="P77" s="223">
        <v>0</v>
      </c>
      <c r="Q77" s="223">
        <v>0</v>
      </c>
      <c r="R77" s="223">
        <v>0</v>
      </c>
      <c r="S77" s="223">
        <v>0</v>
      </c>
      <c r="T77" s="223">
        <v>0</v>
      </c>
      <c r="U77" s="223">
        <v>0</v>
      </c>
      <c r="V77" s="223">
        <v>0</v>
      </c>
      <c r="W77" s="223">
        <v>0</v>
      </c>
      <c r="X77" s="223">
        <v>0</v>
      </c>
      <c r="Y77" s="223">
        <v>0</v>
      </c>
    </row>
    <row r="78" spans="1:25">
      <c r="A78" s="216">
        <v>45170</v>
      </c>
      <c r="B78" t="s">
        <v>42</v>
      </c>
      <c r="C78">
        <v>3</v>
      </c>
      <c r="D78" t="s">
        <v>459</v>
      </c>
      <c r="E78" s="217">
        <v>45170</v>
      </c>
      <c r="F78">
        <v>1958.75</v>
      </c>
      <c r="G78" t="s">
        <v>262</v>
      </c>
      <c r="L78" s="222" t="s">
        <v>433</v>
      </c>
      <c r="M78" s="223">
        <v>71823</v>
      </c>
      <c r="N78" s="223">
        <v>71752</v>
      </c>
      <c r="O78" s="223">
        <v>72202</v>
      </c>
      <c r="P78" s="223">
        <v>68092</v>
      </c>
      <c r="Q78" s="223">
        <v>70434</v>
      </c>
      <c r="R78" s="223">
        <v>83477</v>
      </c>
      <c r="S78" s="223">
        <v>79607</v>
      </c>
      <c r="T78" s="223">
        <v>71821</v>
      </c>
      <c r="U78" s="223">
        <v>71858</v>
      </c>
      <c r="V78" s="223">
        <v>71977.428571428594</v>
      </c>
      <c r="W78" s="223">
        <v>71825</v>
      </c>
      <c r="X78" s="223">
        <v>71840</v>
      </c>
      <c r="Y78" s="223">
        <v>876708.42857142899</v>
      </c>
    </row>
    <row r="79" spans="1:25">
      <c r="A79" s="216">
        <v>45170</v>
      </c>
      <c r="B79" t="s">
        <v>42</v>
      </c>
      <c r="C79">
        <v>3</v>
      </c>
      <c r="D79" t="s">
        <v>459</v>
      </c>
      <c r="E79" s="217">
        <v>45170</v>
      </c>
      <c r="F79">
        <v>23018.5</v>
      </c>
      <c r="G79" t="s">
        <v>434</v>
      </c>
      <c r="L79" s="222" t="s">
        <v>445</v>
      </c>
      <c r="M79" s="223">
        <v>18097.278333333299</v>
      </c>
      <c r="N79" s="223">
        <v>17944.278333333299</v>
      </c>
      <c r="O79" s="223">
        <v>17555.9926190476</v>
      </c>
      <c r="P79" s="223">
        <v>15410</v>
      </c>
      <c r="Q79" s="223">
        <v>20243</v>
      </c>
      <c r="R79" s="223">
        <v>17168</v>
      </c>
      <c r="S79" s="223">
        <v>18353</v>
      </c>
      <c r="T79" s="223">
        <v>16964</v>
      </c>
      <c r="U79" s="223">
        <v>19071</v>
      </c>
      <c r="V79" s="223">
        <v>18487.278333333299</v>
      </c>
      <c r="W79" s="223">
        <v>17943.278333333299</v>
      </c>
      <c r="X79" s="223">
        <v>18022.278333333299</v>
      </c>
      <c r="Y79" s="223">
        <v>215259.38428571401</v>
      </c>
    </row>
    <row r="80" spans="1:25">
      <c r="A80" s="216">
        <v>45170</v>
      </c>
      <c r="B80" t="s">
        <v>42</v>
      </c>
      <c r="C80">
        <v>4</v>
      </c>
      <c r="D80" t="s">
        <v>460</v>
      </c>
      <c r="E80" s="217">
        <v>45170</v>
      </c>
      <c r="F80">
        <v>896</v>
      </c>
      <c r="G80" t="s">
        <v>251</v>
      </c>
      <c r="L80" s="222" t="s">
        <v>453</v>
      </c>
      <c r="M80" s="223">
        <v>104001.04988095201</v>
      </c>
      <c r="N80" s="223">
        <v>102916.04988095201</v>
      </c>
      <c r="O80" s="223">
        <v>128707.764166667</v>
      </c>
      <c r="P80" s="223">
        <v>94338</v>
      </c>
      <c r="Q80" s="223">
        <v>103445</v>
      </c>
      <c r="R80" s="223">
        <v>102923</v>
      </c>
      <c r="S80" s="223">
        <v>111350</v>
      </c>
      <c r="T80" s="223">
        <v>99856</v>
      </c>
      <c r="U80" s="223">
        <v>97742</v>
      </c>
      <c r="V80" s="223">
        <v>104567.54988095201</v>
      </c>
      <c r="W80" s="223">
        <v>103750.12130952399</v>
      </c>
      <c r="X80" s="223">
        <v>103857.04988095201</v>
      </c>
      <c r="Y80" s="223">
        <v>1257453.585</v>
      </c>
    </row>
    <row r="81" spans="1:25">
      <c r="A81" s="216">
        <v>45170</v>
      </c>
      <c r="B81" t="s">
        <v>42</v>
      </c>
      <c r="C81">
        <v>4</v>
      </c>
      <c r="D81" t="s">
        <v>460</v>
      </c>
      <c r="E81" s="217">
        <v>45170</v>
      </c>
      <c r="F81">
        <v>896</v>
      </c>
      <c r="G81" t="s">
        <v>252</v>
      </c>
      <c r="L81" s="222" t="s">
        <v>454</v>
      </c>
      <c r="M81" s="223">
        <v>11558</v>
      </c>
      <c r="N81" s="223">
        <v>11458</v>
      </c>
      <c r="O81" s="223">
        <v>11545</v>
      </c>
      <c r="P81" s="223">
        <v>10095</v>
      </c>
      <c r="Q81" s="223">
        <v>11533</v>
      </c>
      <c r="R81" s="223">
        <v>9602</v>
      </c>
      <c r="S81" s="223">
        <v>11528</v>
      </c>
      <c r="T81" s="223">
        <v>11523</v>
      </c>
      <c r="U81" s="223">
        <v>11509</v>
      </c>
      <c r="V81" s="223">
        <v>11663</v>
      </c>
      <c r="W81" s="223">
        <v>11562</v>
      </c>
      <c r="X81" s="223">
        <v>11539</v>
      </c>
      <c r="Y81" s="223">
        <v>135115</v>
      </c>
    </row>
    <row r="82" spans="1:25">
      <c r="A82" s="216">
        <v>45170</v>
      </c>
      <c r="B82" t="s">
        <v>42</v>
      </c>
      <c r="C82">
        <v>4</v>
      </c>
      <c r="D82" t="s">
        <v>460</v>
      </c>
      <c r="E82" s="217">
        <v>45170</v>
      </c>
      <c r="F82">
        <v>859</v>
      </c>
      <c r="G82" t="s">
        <v>253</v>
      </c>
      <c r="L82" s="222" t="s">
        <v>455</v>
      </c>
      <c r="M82" s="223">
        <v>0</v>
      </c>
      <c r="N82" s="223">
        <v>0</v>
      </c>
      <c r="O82" s="223">
        <v>0</v>
      </c>
      <c r="P82" s="223">
        <v>0</v>
      </c>
      <c r="Q82" s="223">
        <v>0</v>
      </c>
      <c r="R82" s="223">
        <v>0</v>
      </c>
      <c r="S82" s="223">
        <v>0</v>
      </c>
      <c r="T82" s="223">
        <v>0</v>
      </c>
      <c r="U82" s="223">
        <v>0</v>
      </c>
      <c r="V82" s="223">
        <v>0</v>
      </c>
      <c r="W82" s="223">
        <v>0</v>
      </c>
      <c r="X82" s="223">
        <v>0</v>
      </c>
      <c r="Y82" s="223">
        <v>0</v>
      </c>
    </row>
    <row r="83" spans="1:25">
      <c r="A83" s="216">
        <v>45170</v>
      </c>
      <c r="B83" t="s">
        <v>42</v>
      </c>
      <c r="C83">
        <v>4</v>
      </c>
      <c r="D83" t="s">
        <v>460</v>
      </c>
      <c r="E83" s="217">
        <v>45170</v>
      </c>
      <c r="F83">
        <v>1046</v>
      </c>
      <c r="G83" t="s">
        <v>254</v>
      </c>
      <c r="L83" s="222" t="s">
        <v>456</v>
      </c>
      <c r="M83" s="223">
        <v>0</v>
      </c>
      <c r="N83" s="223">
        <v>0</v>
      </c>
      <c r="O83" s="223">
        <v>0</v>
      </c>
      <c r="P83" s="223">
        <v>0</v>
      </c>
      <c r="Q83" s="223">
        <v>0</v>
      </c>
      <c r="R83" s="223">
        <v>0</v>
      </c>
      <c r="S83" s="223">
        <v>0</v>
      </c>
      <c r="T83" s="223">
        <v>0</v>
      </c>
      <c r="U83" s="223">
        <v>0</v>
      </c>
      <c r="V83" s="223">
        <v>0</v>
      </c>
      <c r="W83" s="223">
        <v>0</v>
      </c>
      <c r="X83" s="223">
        <v>0</v>
      </c>
      <c r="Y83" s="223">
        <v>0</v>
      </c>
    </row>
    <row r="84" spans="1:25">
      <c r="A84" s="216">
        <v>45170</v>
      </c>
      <c r="B84" t="s">
        <v>42</v>
      </c>
      <c r="C84">
        <v>4</v>
      </c>
      <c r="D84" t="s">
        <v>460</v>
      </c>
      <c r="E84" s="217">
        <v>45170</v>
      </c>
      <c r="F84">
        <v>933</v>
      </c>
      <c r="G84" t="s">
        <v>255</v>
      </c>
      <c r="L84" s="222" t="s">
        <v>457</v>
      </c>
      <c r="M84" s="223">
        <v>0</v>
      </c>
      <c r="N84" s="223">
        <v>0</v>
      </c>
      <c r="O84" s="223">
        <v>0</v>
      </c>
      <c r="P84" s="223">
        <v>0</v>
      </c>
      <c r="Q84" s="223">
        <v>0</v>
      </c>
      <c r="R84" s="223">
        <v>0</v>
      </c>
      <c r="S84" s="223">
        <v>0</v>
      </c>
      <c r="T84" s="223">
        <v>0</v>
      </c>
      <c r="U84" s="223">
        <v>0</v>
      </c>
      <c r="V84" s="223">
        <v>0</v>
      </c>
      <c r="W84" s="223">
        <v>0</v>
      </c>
      <c r="X84" s="223">
        <v>0</v>
      </c>
      <c r="Y84" s="223">
        <v>0</v>
      </c>
    </row>
    <row r="85" spans="1:25">
      <c r="A85" s="216">
        <v>45170</v>
      </c>
      <c r="B85" t="s">
        <v>42</v>
      </c>
      <c r="C85">
        <v>4</v>
      </c>
      <c r="D85" t="s">
        <v>460</v>
      </c>
      <c r="E85" s="217">
        <v>45170</v>
      </c>
      <c r="F85">
        <v>862</v>
      </c>
      <c r="G85" t="s">
        <v>256</v>
      </c>
      <c r="L85" s="222" t="s">
        <v>458</v>
      </c>
      <c r="M85" s="223">
        <v>1115.73583333333</v>
      </c>
      <c r="N85" s="223">
        <v>1115.73583333333</v>
      </c>
      <c r="O85" s="223">
        <v>1115.73583333333</v>
      </c>
      <c r="P85" s="223">
        <v>1238</v>
      </c>
      <c r="Q85" s="223">
        <v>1113</v>
      </c>
      <c r="R85" s="223">
        <v>1145</v>
      </c>
      <c r="S85" s="223">
        <v>1196</v>
      </c>
      <c r="T85" s="223">
        <v>1294</v>
      </c>
      <c r="U85" s="223">
        <v>1099</v>
      </c>
      <c r="V85" s="223">
        <v>1115.73583333333</v>
      </c>
      <c r="W85" s="223">
        <v>1115.73583333333</v>
      </c>
      <c r="X85" s="223">
        <v>1115.73583333333</v>
      </c>
      <c r="Y85" s="223">
        <v>13779.415000000001</v>
      </c>
    </row>
    <row r="86" spans="1:25">
      <c r="A86" s="216">
        <v>45170</v>
      </c>
      <c r="B86" t="s">
        <v>42</v>
      </c>
      <c r="C86">
        <v>4</v>
      </c>
      <c r="D86" t="s">
        <v>460</v>
      </c>
      <c r="E86" s="217">
        <v>45170</v>
      </c>
      <c r="F86">
        <v>914.25</v>
      </c>
      <c r="G86" t="s">
        <v>257</v>
      </c>
      <c r="L86" s="222" t="s">
        <v>459</v>
      </c>
      <c r="M86" s="223">
        <v>7750.5714285714303</v>
      </c>
      <c r="N86" s="223">
        <v>7750.5714285714303</v>
      </c>
      <c r="O86" s="223">
        <v>7570.5714285714303</v>
      </c>
      <c r="P86" s="223">
        <v>6947</v>
      </c>
      <c r="Q86" s="223">
        <v>8673</v>
      </c>
      <c r="R86" s="223">
        <v>8916</v>
      </c>
      <c r="S86" s="223">
        <v>8406</v>
      </c>
      <c r="T86" s="223">
        <v>9310</v>
      </c>
      <c r="U86" s="223">
        <v>7975</v>
      </c>
      <c r="V86" s="223">
        <v>8110.5714285714303</v>
      </c>
      <c r="W86" s="223">
        <v>7774.5714285714303</v>
      </c>
      <c r="X86" s="223">
        <v>7755.5714285714303</v>
      </c>
      <c r="Y86" s="223">
        <v>96939.428571428594</v>
      </c>
    </row>
    <row r="87" spans="1:25">
      <c r="A87" s="216">
        <v>45170</v>
      </c>
      <c r="B87" t="s">
        <v>42</v>
      </c>
      <c r="C87">
        <v>4</v>
      </c>
      <c r="D87" t="s">
        <v>460</v>
      </c>
      <c r="E87" s="217">
        <v>45170</v>
      </c>
      <c r="F87">
        <v>914.25</v>
      </c>
      <c r="G87" t="s">
        <v>258</v>
      </c>
      <c r="L87" s="222" t="s">
        <v>460</v>
      </c>
      <c r="M87" s="223">
        <v>27997</v>
      </c>
      <c r="N87" s="223">
        <v>27997</v>
      </c>
      <c r="O87" s="223">
        <v>28031</v>
      </c>
      <c r="P87" s="223">
        <v>26175</v>
      </c>
      <c r="Q87" s="223">
        <v>25538</v>
      </c>
      <c r="R87" s="223">
        <v>36078</v>
      </c>
      <c r="S87" s="223">
        <v>25229</v>
      </c>
      <c r="T87" s="223">
        <v>29327</v>
      </c>
      <c r="U87" s="223">
        <v>29397</v>
      </c>
      <c r="V87" s="223">
        <v>27869</v>
      </c>
      <c r="W87" s="223">
        <v>27997</v>
      </c>
      <c r="X87" s="223">
        <v>27997</v>
      </c>
      <c r="Y87" s="223">
        <v>339632</v>
      </c>
    </row>
    <row r="88" spans="1:25">
      <c r="A88" s="216">
        <v>45170</v>
      </c>
      <c r="B88" t="s">
        <v>42</v>
      </c>
      <c r="C88">
        <v>4</v>
      </c>
      <c r="D88" t="s">
        <v>460</v>
      </c>
      <c r="E88" s="217">
        <v>45170</v>
      </c>
      <c r="F88">
        <v>914.25</v>
      </c>
      <c r="G88" t="s">
        <v>259</v>
      </c>
      <c r="L88" s="221" t="s">
        <v>45</v>
      </c>
      <c r="M88" s="223">
        <v>480888.9</v>
      </c>
      <c r="N88" s="223">
        <v>481344.9</v>
      </c>
      <c r="O88" s="223">
        <v>466869.9</v>
      </c>
      <c r="P88" s="223">
        <v>440410</v>
      </c>
      <c r="Q88" s="223">
        <v>458154</v>
      </c>
      <c r="R88" s="223">
        <v>517380</v>
      </c>
      <c r="S88" s="223">
        <v>493341</v>
      </c>
      <c r="T88" s="223">
        <v>470943</v>
      </c>
      <c r="U88" s="223">
        <v>458293</v>
      </c>
      <c r="V88" s="223">
        <v>494924.9</v>
      </c>
      <c r="W88" s="223">
        <v>483892.9</v>
      </c>
      <c r="X88" s="223">
        <v>485144.9</v>
      </c>
      <c r="Y88" s="223">
        <v>5731587.4000000004</v>
      </c>
    </row>
    <row r="89" spans="1:25">
      <c r="A89" s="216">
        <v>45170</v>
      </c>
      <c r="B89" t="s">
        <v>42</v>
      </c>
      <c r="C89">
        <v>4</v>
      </c>
      <c r="D89" t="s">
        <v>460</v>
      </c>
      <c r="E89" s="217">
        <v>45170</v>
      </c>
      <c r="F89">
        <v>914.25</v>
      </c>
      <c r="G89" t="s">
        <v>260</v>
      </c>
      <c r="L89" s="222" t="s">
        <v>435</v>
      </c>
      <c r="M89" s="223">
        <v>56</v>
      </c>
      <c r="N89" s="223">
        <v>56</v>
      </c>
      <c r="O89" s="223">
        <v>-4092</v>
      </c>
      <c r="P89" s="223">
        <v>10</v>
      </c>
      <c r="Q89" s="223">
        <v>10</v>
      </c>
      <c r="R89" s="223">
        <v>148</v>
      </c>
      <c r="S89" s="223">
        <v>56</v>
      </c>
      <c r="T89" s="223">
        <v>56</v>
      </c>
      <c r="U89" s="223">
        <v>56</v>
      </c>
      <c r="V89" s="223">
        <v>56</v>
      </c>
      <c r="W89" s="223">
        <v>56</v>
      </c>
      <c r="X89" s="223">
        <v>56</v>
      </c>
      <c r="Y89" s="223">
        <v>-3476</v>
      </c>
    </row>
    <row r="90" spans="1:25">
      <c r="A90" s="216">
        <v>45170</v>
      </c>
      <c r="B90" t="s">
        <v>42</v>
      </c>
      <c r="C90">
        <v>4</v>
      </c>
      <c r="D90" t="s">
        <v>460</v>
      </c>
      <c r="E90" s="217">
        <v>45170</v>
      </c>
      <c r="F90">
        <v>914.25</v>
      </c>
      <c r="G90" t="s">
        <v>261</v>
      </c>
      <c r="L90" s="222" t="s">
        <v>436</v>
      </c>
      <c r="M90" s="223">
        <v>0</v>
      </c>
      <c r="N90" s="223">
        <v>0</v>
      </c>
      <c r="O90" s="223">
        <v>156</v>
      </c>
      <c r="P90" s="223">
        <v>23</v>
      </c>
      <c r="Q90" s="223">
        <v>0</v>
      </c>
      <c r="R90" s="223">
        <v>-16</v>
      </c>
      <c r="S90" s="223">
        <v>0</v>
      </c>
      <c r="T90" s="223">
        <v>37</v>
      </c>
      <c r="U90" s="223">
        <v>0</v>
      </c>
      <c r="V90" s="223">
        <v>0</v>
      </c>
      <c r="W90" s="223">
        <v>0</v>
      </c>
      <c r="X90" s="223">
        <v>0</v>
      </c>
      <c r="Y90" s="223">
        <v>200</v>
      </c>
    </row>
    <row r="91" spans="1:25">
      <c r="A91" s="216">
        <v>45170</v>
      </c>
      <c r="B91" t="s">
        <v>42</v>
      </c>
      <c r="C91">
        <v>4</v>
      </c>
      <c r="D91" t="s">
        <v>460</v>
      </c>
      <c r="E91" s="217">
        <v>45170</v>
      </c>
      <c r="F91">
        <v>914.25</v>
      </c>
      <c r="G91" t="s">
        <v>262</v>
      </c>
      <c r="L91" s="222" t="s">
        <v>437</v>
      </c>
      <c r="M91" s="223">
        <v>5782</v>
      </c>
      <c r="N91" s="223">
        <v>5782</v>
      </c>
      <c r="O91" s="223">
        <v>5778</v>
      </c>
      <c r="P91" s="223">
        <v>5630</v>
      </c>
      <c r="Q91" s="223">
        <v>5588</v>
      </c>
      <c r="R91" s="223">
        <v>5829</v>
      </c>
      <c r="S91" s="223">
        <v>6106</v>
      </c>
      <c r="T91" s="223">
        <v>5732</v>
      </c>
      <c r="U91" s="223">
        <v>1654</v>
      </c>
      <c r="V91" s="223">
        <v>5782</v>
      </c>
      <c r="W91" s="223">
        <v>5782</v>
      </c>
      <c r="X91" s="223">
        <v>5782</v>
      </c>
      <c r="Y91" s="223">
        <v>65227</v>
      </c>
    </row>
    <row r="92" spans="1:25">
      <c r="A92" s="216">
        <v>45170</v>
      </c>
      <c r="B92" t="s">
        <v>42</v>
      </c>
      <c r="C92">
        <v>4</v>
      </c>
      <c r="D92" t="s">
        <v>460</v>
      </c>
      <c r="E92" s="217">
        <v>45170</v>
      </c>
      <c r="F92">
        <v>10977.5</v>
      </c>
      <c r="G92" t="s">
        <v>434</v>
      </c>
      <c r="L92" s="222" t="s">
        <v>438</v>
      </c>
      <c r="M92" s="223">
        <v>125196.9</v>
      </c>
      <c r="N92" s="223">
        <v>125310.9</v>
      </c>
      <c r="O92" s="223">
        <v>120648.9</v>
      </c>
      <c r="P92" s="223">
        <v>115063</v>
      </c>
      <c r="Q92" s="223">
        <v>119616</v>
      </c>
      <c r="R92" s="223">
        <v>136059</v>
      </c>
      <c r="S92" s="223">
        <v>128553</v>
      </c>
      <c r="T92" s="223">
        <v>122787</v>
      </c>
      <c r="U92" s="223">
        <v>118447</v>
      </c>
      <c r="V92" s="223">
        <v>128705.9</v>
      </c>
      <c r="W92" s="223">
        <v>125947.9</v>
      </c>
      <c r="X92" s="223">
        <v>126260.9</v>
      </c>
      <c r="Y92" s="223">
        <v>1492596.4</v>
      </c>
    </row>
    <row r="93" spans="1:25">
      <c r="A93" s="216">
        <v>45170</v>
      </c>
      <c r="B93" t="s">
        <v>42</v>
      </c>
      <c r="C93">
        <v>5</v>
      </c>
      <c r="D93" t="s">
        <v>458</v>
      </c>
      <c r="E93" s="217">
        <v>45170</v>
      </c>
      <c r="F93">
        <v>-369</v>
      </c>
      <c r="G93" t="s">
        <v>251</v>
      </c>
      <c r="L93" s="222" t="s">
        <v>439</v>
      </c>
      <c r="M93" s="223">
        <v>2698.9</v>
      </c>
      <c r="N93" s="223">
        <v>2698.9</v>
      </c>
      <c r="O93" s="223">
        <v>2797.9</v>
      </c>
      <c r="P93" s="223">
        <v>2010</v>
      </c>
      <c r="Q93" s="223">
        <v>3449</v>
      </c>
      <c r="R93" s="223">
        <v>2897</v>
      </c>
      <c r="S93" s="223">
        <v>2785</v>
      </c>
      <c r="T93" s="223">
        <v>2391</v>
      </c>
      <c r="U93" s="223">
        <v>2722</v>
      </c>
      <c r="V93" s="223">
        <v>2698.9</v>
      </c>
      <c r="W93" s="223">
        <v>2698.9</v>
      </c>
      <c r="X93" s="223">
        <v>2698.9</v>
      </c>
      <c r="Y93" s="223">
        <v>32546.400000000001</v>
      </c>
    </row>
    <row r="94" spans="1:25">
      <c r="A94" s="216">
        <v>45170</v>
      </c>
      <c r="B94" t="s">
        <v>42</v>
      </c>
      <c r="C94">
        <v>5</v>
      </c>
      <c r="D94" t="s">
        <v>458</v>
      </c>
      <c r="E94" s="217">
        <v>45170</v>
      </c>
      <c r="F94">
        <v>419</v>
      </c>
      <c r="G94" t="s">
        <v>252</v>
      </c>
      <c r="L94" s="222" t="s">
        <v>440</v>
      </c>
      <c r="M94" s="223">
        <v>0</v>
      </c>
      <c r="N94" s="223">
        <v>0</v>
      </c>
      <c r="O94" s="223">
        <v>0</v>
      </c>
      <c r="P94" s="223">
        <v>0</v>
      </c>
      <c r="Q94" s="223">
        <v>0</v>
      </c>
      <c r="R94" s="223">
        <v>0</v>
      </c>
      <c r="S94" s="223">
        <v>0</v>
      </c>
      <c r="T94" s="223">
        <v>0</v>
      </c>
      <c r="U94" s="223">
        <v>0</v>
      </c>
      <c r="V94" s="223">
        <v>0</v>
      </c>
      <c r="W94" s="223">
        <v>0</v>
      </c>
      <c r="X94" s="223">
        <v>0</v>
      </c>
      <c r="Y94" s="223">
        <v>0</v>
      </c>
    </row>
    <row r="95" spans="1:25">
      <c r="A95" s="216">
        <v>45170</v>
      </c>
      <c r="B95" t="s">
        <v>42</v>
      </c>
      <c r="C95">
        <v>5</v>
      </c>
      <c r="D95" t="s">
        <v>458</v>
      </c>
      <c r="E95" s="217">
        <v>45170</v>
      </c>
      <c r="F95">
        <v>491</v>
      </c>
      <c r="G95" t="s">
        <v>253</v>
      </c>
      <c r="L95" s="222" t="s">
        <v>441</v>
      </c>
      <c r="M95" s="223">
        <v>22083</v>
      </c>
      <c r="N95" s="223">
        <v>22083</v>
      </c>
      <c r="O95" s="223">
        <v>22059</v>
      </c>
      <c r="P95" s="223">
        <v>21227</v>
      </c>
      <c r="Q95" s="223">
        <v>20588</v>
      </c>
      <c r="R95" s="223">
        <v>22214</v>
      </c>
      <c r="S95" s="223">
        <v>21920</v>
      </c>
      <c r="T95" s="223">
        <v>21997</v>
      </c>
      <c r="U95" s="223">
        <v>21409</v>
      </c>
      <c r="V95" s="223">
        <v>23258</v>
      </c>
      <c r="W95" s="223">
        <v>21860</v>
      </c>
      <c r="X95" s="223">
        <v>22083</v>
      </c>
      <c r="Y95" s="223">
        <v>262781</v>
      </c>
    </row>
    <row r="96" spans="1:25">
      <c r="A96" s="216">
        <v>45170</v>
      </c>
      <c r="B96" t="s">
        <v>42</v>
      </c>
      <c r="C96">
        <v>5</v>
      </c>
      <c r="D96" t="s">
        <v>458</v>
      </c>
      <c r="E96" s="217">
        <v>45170</v>
      </c>
      <c r="F96">
        <v>372</v>
      </c>
      <c r="G96" t="s">
        <v>254</v>
      </c>
      <c r="L96" s="222" t="s">
        <v>442</v>
      </c>
      <c r="M96" s="223">
        <v>118564</v>
      </c>
      <c r="N96" s="223">
        <v>118678</v>
      </c>
      <c r="O96" s="223">
        <v>115407</v>
      </c>
      <c r="P96" s="223">
        <v>108449</v>
      </c>
      <c r="Q96" s="223">
        <v>112846</v>
      </c>
      <c r="R96" s="223">
        <v>127107</v>
      </c>
      <c r="S96" s="223">
        <v>121596</v>
      </c>
      <c r="T96" s="223">
        <v>116052</v>
      </c>
      <c r="U96" s="223">
        <v>113282</v>
      </c>
      <c r="V96" s="223">
        <v>122073</v>
      </c>
      <c r="W96" s="223">
        <v>119315</v>
      </c>
      <c r="X96" s="223">
        <v>119628</v>
      </c>
      <c r="Y96" s="223">
        <v>1412997</v>
      </c>
    </row>
    <row r="97" spans="1:25">
      <c r="A97" s="216">
        <v>45170</v>
      </c>
      <c r="B97" t="s">
        <v>42</v>
      </c>
      <c r="C97">
        <v>5</v>
      </c>
      <c r="D97" t="s">
        <v>458</v>
      </c>
      <c r="E97" s="217">
        <v>45170</v>
      </c>
      <c r="F97">
        <v>103</v>
      </c>
      <c r="G97" t="s">
        <v>255</v>
      </c>
      <c r="L97" s="222" t="s">
        <v>443</v>
      </c>
      <c r="M97" s="223">
        <v>269</v>
      </c>
      <c r="N97" s="223">
        <v>269</v>
      </c>
      <c r="O97" s="223">
        <v>169</v>
      </c>
      <c r="P97" s="223">
        <v>179</v>
      </c>
      <c r="Q97" s="223">
        <v>150</v>
      </c>
      <c r="R97" s="223">
        <v>171</v>
      </c>
      <c r="S97" s="223">
        <v>246</v>
      </c>
      <c r="T97" s="223">
        <v>375</v>
      </c>
      <c r="U97" s="223">
        <v>136</v>
      </c>
      <c r="V97" s="223">
        <v>269</v>
      </c>
      <c r="W97" s="223">
        <v>269</v>
      </c>
      <c r="X97" s="223">
        <v>269</v>
      </c>
      <c r="Y97" s="223">
        <v>2771</v>
      </c>
    </row>
    <row r="98" spans="1:25">
      <c r="A98" s="216">
        <v>45170</v>
      </c>
      <c r="B98" t="s">
        <v>42</v>
      </c>
      <c r="C98">
        <v>5</v>
      </c>
      <c r="D98" t="s">
        <v>458</v>
      </c>
      <c r="E98" s="217">
        <v>45170</v>
      </c>
      <c r="F98">
        <v>286</v>
      </c>
      <c r="G98" t="s">
        <v>256</v>
      </c>
      <c r="L98" s="222" t="s">
        <v>444</v>
      </c>
      <c r="M98" s="223">
        <v>0</v>
      </c>
      <c r="N98" s="223">
        <v>0</v>
      </c>
      <c r="O98" s="223">
        <v>0</v>
      </c>
      <c r="P98" s="223">
        <v>0</v>
      </c>
      <c r="Q98" s="223">
        <v>0</v>
      </c>
      <c r="R98" s="223">
        <v>0</v>
      </c>
      <c r="S98" s="223">
        <v>0</v>
      </c>
      <c r="T98" s="223">
        <v>0</v>
      </c>
      <c r="U98" s="223">
        <v>0</v>
      </c>
      <c r="V98" s="223">
        <v>0</v>
      </c>
      <c r="W98" s="223">
        <v>0</v>
      </c>
      <c r="X98" s="223">
        <v>0</v>
      </c>
      <c r="Y98" s="223">
        <v>0</v>
      </c>
    </row>
    <row r="99" spans="1:25">
      <c r="A99" s="216">
        <v>45170</v>
      </c>
      <c r="B99" t="s">
        <v>42</v>
      </c>
      <c r="C99">
        <v>5</v>
      </c>
      <c r="D99" t="s">
        <v>458</v>
      </c>
      <c r="E99" s="217">
        <v>45170</v>
      </c>
      <c r="F99">
        <v>217</v>
      </c>
      <c r="G99" t="s">
        <v>257</v>
      </c>
      <c r="L99" s="222" t="s">
        <v>446</v>
      </c>
      <c r="M99" s="223">
        <v>-6632.8999999999896</v>
      </c>
      <c r="N99" s="223">
        <v>-6632.8999999999896</v>
      </c>
      <c r="O99" s="223">
        <v>-5241.8999999999896</v>
      </c>
      <c r="P99" s="223">
        <v>-6614</v>
      </c>
      <c r="Q99" s="223">
        <v>-6770</v>
      </c>
      <c r="R99" s="223">
        <v>-8952</v>
      </c>
      <c r="S99" s="223">
        <v>-6957</v>
      </c>
      <c r="T99" s="223">
        <v>-6735</v>
      </c>
      <c r="U99" s="223">
        <v>-5165</v>
      </c>
      <c r="V99" s="223">
        <v>-6632.8999999999896</v>
      </c>
      <c r="W99" s="223">
        <v>-6632.8999999999896</v>
      </c>
      <c r="X99" s="223">
        <v>-6632.8999999999896</v>
      </c>
      <c r="Y99" s="223">
        <v>-79599.399999999907</v>
      </c>
    </row>
    <row r="100" spans="1:25">
      <c r="A100" s="216">
        <v>45170</v>
      </c>
      <c r="B100" t="s">
        <v>42</v>
      </c>
      <c r="C100">
        <v>5</v>
      </c>
      <c r="D100" t="s">
        <v>458</v>
      </c>
      <c r="E100" s="217">
        <v>45170</v>
      </c>
      <c r="F100">
        <v>217</v>
      </c>
      <c r="G100" t="s">
        <v>258</v>
      </c>
      <c r="L100" s="222" t="s">
        <v>447</v>
      </c>
      <c r="M100" s="223">
        <v>322</v>
      </c>
      <c r="N100" s="223">
        <v>322</v>
      </c>
      <c r="O100" s="223">
        <v>322</v>
      </c>
      <c r="P100" s="223">
        <v>293</v>
      </c>
      <c r="Q100" s="223">
        <v>293</v>
      </c>
      <c r="R100" s="223">
        <v>293</v>
      </c>
      <c r="S100" s="223">
        <v>316</v>
      </c>
      <c r="T100" s="223">
        <v>624</v>
      </c>
      <c r="U100" s="223">
        <v>363</v>
      </c>
      <c r="V100" s="223">
        <v>322</v>
      </c>
      <c r="W100" s="223">
        <v>322</v>
      </c>
      <c r="X100" s="223">
        <v>322</v>
      </c>
      <c r="Y100" s="223">
        <v>4114</v>
      </c>
    </row>
    <row r="101" spans="1:25">
      <c r="A101" s="216">
        <v>45170</v>
      </c>
      <c r="B101" t="s">
        <v>42</v>
      </c>
      <c r="C101">
        <v>5</v>
      </c>
      <c r="D101" t="s">
        <v>458</v>
      </c>
      <c r="E101" s="217">
        <v>45170</v>
      </c>
      <c r="F101">
        <v>217</v>
      </c>
      <c r="G101" t="s">
        <v>259</v>
      </c>
      <c r="L101" s="222" t="s">
        <v>448</v>
      </c>
      <c r="M101" s="223">
        <v>3455</v>
      </c>
      <c r="N101" s="223">
        <v>3455</v>
      </c>
      <c r="O101" s="223">
        <v>3455</v>
      </c>
      <c r="P101" s="223">
        <v>3455</v>
      </c>
      <c r="Q101" s="223">
        <v>3394</v>
      </c>
      <c r="R101" s="223">
        <v>3437</v>
      </c>
      <c r="S101" s="223">
        <v>3439</v>
      </c>
      <c r="T101" s="223">
        <v>3210</v>
      </c>
      <c r="U101" s="223">
        <v>3980</v>
      </c>
      <c r="V101" s="223">
        <v>3455</v>
      </c>
      <c r="W101" s="223">
        <v>3455</v>
      </c>
      <c r="X101" s="223">
        <v>3455</v>
      </c>
      <c r="Y101" s="223">
        <v>41645</v>
      </c>
    </row>
    <row r="102" spans="1:25">
      <c r="A102" s="216">
        <v>45170</v>
      </c>
      <c r="B102" t="s">
        <v>42</v>
      </c>
      <c r="C102">
        <v>5</v>
      </c>
      <c r="D102" t="s">
        <v>458</v>
      </c>
      <c r="E102" s="217">
        <v>45170</v>
      </c>
      <c r="F102">
        <v>217</v>
      </c>
      <c r="G102" t="s">
        <v>260</v>
      </c>
      <c r="L102" s="222" t="s">
        <v>449</v>
      </c>
      <c r="M102" s="223">
        <v>1160</v>
      </c>
      <c r="N102" s="223">
        <v>1160</v>
      </c>
      <c r="O102" s="223">
        <v>1160</v>
      </c>
      <c r="P102" s="223">
        <v>905</v>
      </c>
      <c r="Q102" s="223">
        <v>1511</v>
      </c>
      <c r="R102" s="223">
        <v>1057</v>
      </c>
      <c r="S102" s="223">
        <v>1293</v>
      </c>
      <c r="T102" s="223">
        <v>1540</v>
      </c>
      <c r="U102" s="223">
        <v>1696</v>
      </c>
      <c r="V102" s="223">
        <v>1360</v>
      </c>
      <c r="W102" s="223">
        <v>1360</v>
      </c>
      <c r="X102" s="223">
        <v>1360</v>
      </c>
      <c r="Y102" s="223">
        <v>15562</v>
      </c>
    </row>
    <row r="103" spans="1:25">
      <c r="A103" s="216">
        <v>45170</v>
      </c>
      <c r="B103" t="s">
        <v>42</v>
      </c>
      <c r="C103">
        <v>5</v>
      </c>
      <c r="D103" t="s">
        <v>458</v>
      </c>
      <c r="E103" s="217">
        <v>45170</v>
      </c>
      <c r="F103">
        <v>217</v>
      </c>
      <c r="G103" t="s">
        <v>261</v>
      </c>
      <c r="L103" s="222" t="s">
        <v>450</v>
      </c>
      <c r="M103" s="223">
        <v>8172</v>
      </c>
      <c r="N103" s="223">
        <v>8172</v>
      </c>
      <c r="O103" s="223">
        <v>8486</v>
      </c>
      <c r="P103" s="223">
        <v>8680</v>
      </c>
      <c r="Q103" s="223">
        <v>9370</v>
      </c>
      <c r="R103" s="223">
        <v>8867</v>
      </c>
      <c r="S103" s="223">
        <v>8758</v>
      </c>
      <c r="T103" s="223">
        <v>8795</v>
      </c>
      <c r="U103" s="223">
        <v>7796</v>
      </c>
      <c r="V103" s="223">
        <v>8172</v>
      </c>
      <c r="W103" s="223">
        <v>8872</v>
      </c>
      <c r="X103" s="223">
        <v>8872</v>
      </c>
      <c r="Y103" s="223">
        <v>103012</v>
      </c>
    </row>
    <row r="104" spans="1:25">
      <c r="A104" s="216">
        <v>45170</v>
      </c>
      <c r="B104" t="s">
        <v>42</v>
      </c>
      <c r="C104">
        <v>5</v>
      </c>
      <c r="D104" t="s">
        <v>458</v>
      </c>
      <c r="E104" s="217">
        <v>45170</v>
      </c>
      <c r="F104">
        <v>7217</v>
      </c>
      <c r="G104" t="s">
        <v>262</v>
      </c>
      <c r="L104" s="222" t="s">
        <v>451</v>
      </c>
      <c r="M104" s="223">
        <v>12840</v>
      </c>
      <c r="N104" s="223">
        <v>12840</v>
      </c>
      <c r="O104" s="223">
        <v>13073</v>
      </c>
      <c r="P104" s="223">
        <v>12115</v>
      </c>
      <c r="Q104" s="223">
        <v>11918</v>
      </c>
      <c r="R104" s="223">
        <v>13127</v>
      </c>
      <c r="S104" s="223">
        <v>12624</v>
      </c>
      <c r="T104" s="223">
        <v>13280</v>
      </c>
      <c r="U104" s="223">
        <v>12706</v>
      </c>
      <c r="V104" s="223">
        <v>12710</v>
      </c>
      <c r="W104" s="223">
        <v>12840</v>
      </c>
      <c r="X104" s="223">
        <v>12840</v>
      </c>
      <c r="Y104" s="223">
        <v>152913</v>
      </c>
    </row>
    <row r="105" spans="1:25">
      <c r="A105" s="216">
        <v>45170</v>
      </c>
      <c r="B105" t="s">
        <v>42</v>
      </c>
      <c r="C105">
        <v>5</v>
      </c>
      <c r="D105" t="s">
        <v>458</v>
      </c>
      <c r="E105" s="217">
        <v>45170</v>
      </c>
      <c r="F105">
        <v>9604</v>
      </c>
      <c r="G105" t="s">
        <v>434</v>
      </c>
      <c r="L105" s="222" t="s">
        <v>452</v>
      </c>
      <c r="M105" s="223">
        <v>0</v>
      </c>
      <c r="N105" s="223">
        <v>0</v>
      </c>
      <c r="O105" s="223">
        <v>0</v>
      </c>
      <c r="P105" s="223">
        <v>0</v>
      </c>
      <c r="Q105" s="223">
        <v>-3</v>
      </c>
      <c r="R105" s="223">
        <v>-1</v>
      </c>
      <c r="S105" s="223">
        <v>1</v>
      </c>
      <c r="T105" s="223">
        <v>-14</v>
      </c>
      <c r="U105" s="223">
        <v>-19</v>
      </c>
      <c r="V105" s="223">
        <v>0</v>
      </c>
      <c r="W105" s="223">
        <v>0</v>
      </c>
      <c r="X105" s="223">
        <v>0</v>
      </c>
      <c r="Y105" s="223">
        <v>-36</v>
      </c>
    </row>
    <row r="106" spans="1:25">
      <c r="A106" s="216">
        <v>45170</v>
      </c>
      <c r="B106" t="s">
        <v>42</v>
      </c>
      <c r="C106">
        <v>6</v>
      </c>
      <c r="D106" t="s">
        <v>448</v>
      </c>
      <c r="E106" s="217">
        <v>45170</v>
      </c>
      <c r="F106">
        <v>5070</v>
      </c>
      <c r="G106" t="s">
        <v>251</v>
      </c>
      <c r="L106" s="222" t="s">
        <v>433</v>
      </c>
      <c r="M106" s="223">
        <v>56104</v>
      </c>
      <c r="N106" s="223">
        <v>56104</v>
      </c>
      <c r="O106" s="223">
        <v>56184</v>
      </c>
      <c r="P106" s="223">
        <v>51950</v>
      </c>
      <c r="Q106" s="223">
        <v>52205</v>
      </c>
      <c r="R106" s="223">
        <v>63719</v>
      </c>
      <c r="S106" s="223">
        <v>60804</v>
      </c>
      <c r="T106" s="223">
        <v>54238</v>
      </c>
      <c r="U106" s="223">
        <v>54810</v>
      </c>
      <c r="V106" s="223">
        <v>58714</v>
      </c>
      <c r="W106" s="223">
        <v>56364</v>
      </c>
      <c r="X106" s="223">
        <v>56404</v>
      </c>
      <c r="Y106" s="223">
        <v>677600</v>
      </c>
    </row>
    <row r="107" spans="1:25">
      <c r="A107" s="216">
        <v>45170</v>
      </c>
      <c r="B107" t="s">
        <v>42</v>
      </c>
      <c r="C107">
        <v>6</v>
      </c>
      <c r="D107" t="s">
        <v>448</v>
      </c>
      <c r="E107" s="217">
        <v>45170</v>
      </c>
      <c r="F107">
        <v>5044</v>
      </c>
      <c r="G107" t="s">
        <v>252</v>
      </c>
      <c r="L107" s="222" t="s">
        <v>445</v>
      </c>
      <c r="M107" s="223">
        <v>11063</v>
      </c>
      <c r="N107" s="223">
        <v>11177</v>
      </c>
      <c r="O107" s="223">
        <v>10065</v>
      </c>
      <c r="P107" s="223">
        <v>8415</v>
      </c>
      <c r="Q107" s="223">
        <v>9324</v>
      </c>
      <c r="R107" s="223">
        <v>13175</v>
      </c>
      <c r="S107" s="223">
        <v>9236</v>
      </c>
      <c r="T107" s="223">
        <v>9311</v>
      </c>
      <c r="U107" s="223">
        <v>10344</v>
      </c>
      <c r="V107" s="223">
        <v>10767</v>
      </c>
      <c r="W107" s="223">
        <v>10927</v>
      </c>
      <c r="X107" s="223">
        <v>10977</v>
      </c>
      <c r="Y107" s="223">
        <v>124781</v>
      </c>
    </row>
    <row r="108" spans="1:25">
      <c r="A108" s="216">
        <v>45170</v>
      </c>
      <c r="B108" t="s">
        <v>42</v>
      </c>
      <c r="C108">
        <v>6</v>
      </c>
      <c r="D108" t="s">
        <v>448</v>
      </c>
      <c r="E108" s="217">
        <v>45170</v>
      </c>
      <c r="F108">
        <v>5588</v>
      </c>
      <c r="G108" t="s">
        <v>253</v>
      </c>
      <c r="L108" s="222" t="s">
        <v>453</v>
      </c>
      <c r="M108" s="223">
        <v>107196</v>
      </c>
      <c r="N108" s="223">
        <v>107310</v>
      </c>
      <c r="O108" s="223">
        <v>103883</v>
      </c>
      <c r="P108" s="223">
        <v>97133</v>
      </c>
      <c r="Q108" s="223">
        <v>102121</v>
      </c>
      <c r="R108" s="223">
        <v>115073</v>
      </c>
      <c r="S108" s="223">
        <v>109636</v>
      </c>
      <c r="T108" s="223">
        <v>104213</v>
      </c>
      <c r="U108" s="223">
        <v>102422</v>
      </c>
      <c r="V108" s="223">
        <v>110705</v>
      </c>
      <c r="W108" s="223">
        <v>107947</v>
      </c>
      <c r="X108" s="223">
        <v>108260</v>
      </c>
      <c r="Y108" s="223">
        <v>1275899</v>
      </c>
    </row>
    <row r="109" spans="1:25">
      <c r="A109" s="216">
        <v>45170</v>
      </c>
      <c r="B109" t="s">
        <v>42</v>
      </c>
      <c r="C109">
        <v>6</v>
      </c>
      <c r="D109" t="s">
        <v>448</v>
      </c>
      <c r="E109" s="217">
        <v>45170</v>
      </c>
      <c r="F109">
        <v>5737</v>
      </c>
      <c r="G109" t="s">
        <v>254</v>
      </c>
      <c r="L109" s="222" t="s">
        <v>454</v>
      </c>
      <c r="M109" s="223">
        <v>4647</v>
      </c>
      <c r="N109" s="223">
        <v>4647</v>
      </c>
      <c r="O109" s="223">
        <v>4647</v>
      </c>
      <c r="P109" s="223">
        <v>3649</v>
      </c>
      <c r="Q109" s="223">
        <v>5213</v>
      </c>
      <c r="R109" s="223">
        <v>4563</v>
      </c>
      <c r="S109" s="223">
        <v>4408</v>
      </c>
      <c r="T109" s="223">
        <v>4462</v>
      </c>
      <c r="U109" s="223">
        <v>4774</v>
      </c>
      <c r="V109" s="223">
        <v>4597</v>
      </c>
      <c r="W109" s="223">
        <v>4597</v>
      </c>
      <c r="X109" s="223">
        <v>4597</v>
      </c>
      <c r="Y109" s="223">
        <v>54801</v>
      </c>
    </row>
    <row r="110" spans="1:25">
      <c r="A110" s="216">
        <v>45170</v>
      </c>
      <c r="B110" t="s">
        <v>42</v>
      </c>
      <c r="C110">
        <v>6</v>
      </c>
      <c r="D110" t="s">
        <v>448</v>
      </c>
      <c r="E110" s="217">
        <v>45170</v>
      </c>
      <c r="F110">
        <v>5395.5</v>
      </c>
      <c r="G110" t="s">
        <v>255</v>
      </c>
      <c r="L110" s="222" t="s">
        <v>455</v>
      </c>
      <c r="M110" s="223">
        <v>0</v>
      </c>
      <c r="N110" s="223">
        <v>0</v>
      </c>
      <c r="O110" s="223">
        <v>0</v>
      </c>
      <c r="P110" s="223">
        <v>0</v>
      </c>
      <c r="Q110" s="223">
        <v>0</v>
      </c>
      <c r="R110" s="223">
        <v>0</v>
      </c>
      <c r="S110" s="223">
        <v>0</v>
      </c>
      <c r="T110" s="223">
        <v>0</v>
      </c>
      <c r="U110" s="223">
        <v>0</v>
      </c>
      <c r="V110" s="223">
        <v>0</v>
      </c>
      <c r="W110" s="223">
        <v>0</v>
      </c>
      <c r="X110" s="223">
        <v>0</v>
      </c>
      <c r="Y110" s="223">
        <v>0</v>
      </c>
    </row>
    <row r="111" spans="1:25">
      <c r="A111" s="216">
        <v>45170</v>
      </c>
      <c r="B111" t="s">
        <v>42</v>
      </c>
      <c r="C111">
        <v>6</v>
      </c>
      <c r="D111" t="s">
        <v>448</v>
      </c>
      <c r="E111" s="217">
        <v>45170</v>
      </c>
      <c r="F111">
        <v>5393</v>
      </c>
      <c r="G111" t="s">
        <v>256</v>
      </c>
      <c r="L111" s="222" t="s">
        <v>456</v>
      </c>
      <c r="M111" s="223">
        <v>0</v>
      </c>
      <c r="N111" s="223">
        <v>0</v>
      </c>
      <c r="O111" s="223">
        <v>0</v>
      </c>
      <c r="P111" s="223">
        <v>0</v>
      </c>
      <c r="Q111" s="223">
        <v>0</v>
      </c>
      <c r="R111" s="223">
        <v>0</v>
      </c>
      <c r="S111" s="223">
        <v>0</v>
      </c>
      <c r="T111" s="223">
        <v>0</v>
      </c>
      <c r="U111" s="223">
        <v>0</v>
      </c>
      <c r="V111" s="223">
        <v>0</v>
      </c>
      <c r="W111" s="223">
        <v>0</v>
      </c>
      <c r="X111" s="223">
        <v>0</v>
      </c>
      <c r="Y111" s="223">
        <v>0</v>
      </c>
    </row>
    <row r="112" spans="1:25">
      <c r="A112" s="216">
        <v>45170</v>
      </c>
      <c r="B112" t="s">
        <v>42</v>
      </c>
      <c r="C112">
        <v>6</v>
      </c>
      <c r="D112" t="s">
        <v>448</v>
      </c>
      <c r="E112" s="217">
        <v>45170</v>
      </c>
      <c r="F112">
        <v>5350</v>
      </c>
      <c r="G112" t="s">
        <v>257</v>
      </c>
      <c r="L112" s="222" t="s">
        <v>457</v>
      </c>
      <c r="M112" s="223">
        <v>0</v>
      </c>
      <c r="N112" s="223">
        <v>0</v>
      </c>
      <c r="O112" s="223">
        <v>0</v>
      </c>
      <c r="P112" s="223">
        <v>0</v>
      </c>
      <c r="Q112" s="223">
        <v>0</v>
      </c>
      <c r="R112" s="223">
        <v>0</v>
      </c>
      <c r="S112" s="223">
        <v>0</v>
      </c>
      <c r="T112" s="223">
        <v>0</v>
      </c>
      <c r="U112" s="223">
        <v>0</v>
      </c>
      <c r="V112" s="223">
        <v>0</v>
      </c>
      <c r="W112" s="223">
        <v>0</v>
      </c>
      <c r="X112" s="223">
        <v>0</v>
      </c>
      <c r="Y112" s="223">
        <v>0</v>
      </c>
    </row>
    <row r="113" spans="1:25">
      <c r="A113" s="216">
        <v>45170</v>
      </c>
      <c r="B113" t="s">
        <v>42</v>
      </c>
      <c r="C113">
        <v>6</v>
      </c>
      <c r="D113" t="s">
        <v>448</v>
      </c>
      <c r="E113" s="217">
        <v>45170</v>
      </c>
      <c r="F113">
        <v>5350</v>
      </c>
      <c r="G113" t="s">
        <v>258</v>
      </c>
      <c r="L113" s="222" t="s">
        <v>458</v>
      </c>
      <c r="M113" s="223">
        <v>10</v>
      </c>
      <c r="N113" s="223">
        <v>10</v>
      </c>
      <c r="O113" s="223">
        <v>10</v>
      </c>
      <c r="P113" s="223">
        <v>10</v>
      </c>
      <c r="Q113" s="223">
        <v>-570</v>
      </c>
      <c r="R113" s="223">
        <v>-67</v>
      </c>
      <c r="S113" s="223">
        <v>264</v>
      </c>
      <c r="T113" s="223">
        <v>-582</v>
      </c>
      <c r="U113" s="223">
        <v>-73</v>
      </c>
      <c r="V113" s="223">
        <v>10</v>
      </c>
      <c r="W113" s="223">
        <v>10</v>
      </c>
      <c r="X113" s="223">
        <v>10</v>
      </c>
      <c r="Y113" s="223">
        <v>-958</v>
      </c>
    </row>
    <row r="114" spans="1:25">
      <c r="A114" s="216">
        <v>45170</v>
      </c>
      <c r="B114" t="s">
        <v>42</v>
      </c>
      <c r="C114">
        <v>6</v>
      </c>
      <c r="D114" t="s">
        <v>448</v>
      </c>
      <c r="E114" s="217">
        <v>45170</v>
      </c>
      <c r="F114">
        <v>5350</v>
      </c>
      <c r="G114" t="s">
        <v>259</v>
      </c>
      <c r="L114" s="222" t="s">
        <v>459</v>
      </c>
      <c r="M114" s="223">
        <v>6885</v>
      </c>
      <c r="N114" s="223">
        <v>6885</v>
      </c>
      <c r="O114" s="223">
        <v>6885</v>
      </c>
      <c r="P114" s="223">
        <v>6810</v>
      </c>
      <c r="Q114" s="223">
        <v>6904</v>
      </c>
      <c r="R114" s="223">
        <v>7676</v>
      </c>
      <c r="S114" s="223">
        <v>7262</v>
      </c>
      <c r="T114" s="223">
        <v>8181</v>
      </c>
      <c r="U114" s="223">
        <v>5957</v>
      </c>
      <c r="V114" s="223">
        <v>6885</v>
      </c>
      <c r="W114" s="223">
        <v>6885</v>
      </c>
      <c r="X114" s="223">
        <v>6885</v>
      </c>
      <c r="Y114" s="223">
        <v>84100</v>
      </c>
    </row>
    <row r="115" spans="1:25">
      <c r="A115" s="216">
        <v>45170</v>
      </c>
      <c r="B115" t="s">
        <v>42</v>
      </c>
      <c r="C115">
        <v>6</v>
      </c>
      <c r="D115" t="s">
        <v>448</v>
      </c>
      <c r="E115" s="217">
        <v>45170</v>
      </c>
      <c r="F115">
        <v>5350</v>
      </c>
      <c r="G115" t="s">
        <v>260</v>
      </c>
      <c r="L115" s="222" t="s">
        <v>460</v>
      </c>
      <c r="M115" s="223">
        <v>1018</v>
      </c>
      <c r="N115" s="223">
        <v>1018</v>
      </c>
      <c r="O115" s="223">
        <v>1018</v>
      </c>
      <c r="P115" s="223">
        <v>1018</v>
      </c>
      <c r="Q115" s="223">
        <v>997</v>
      </c>
      <c r="R115" s="223">
        <v>1004</v>
      </c>
      <c r="S115" s="223">
        <v>995</v>
      </c>
      <c r="T115" s="223">
        <v>993</v>
      </c>
      <c r="U115" s="223">
        <v>996</v>
      </c>
      <c r="V115" s="223">
        <v>1018</v>
      </c>
      <c r="W115" s="223">
        <v>1018</v>
      </c>
      <c r="X115" s="223">
        <v>1018</v>
      </c>
      <c r="Y115" s="223">
        <v>12111</v>
      </c>
    </row>
    <row r="116" spans="1:25">
      <c r="A116" s="216">
        <v>45170</v>
      </c>
      <c r="B116" t="s">
        <v>42</v>
      </c>
      <c r="C116">
        <v>6</v>
      </c>
      <c r="D116" t="s">
        <v>448</v>
      </c>
      <c r="E116" s="217">
        <v>45170</v>
      </c>
      <c r="F116">
        <v>5350</v>
      </c>
      <c r="G116" t="s">
        <v>261</v>
      </c>
      <c r="L116" s="221" t="s">
        <v>52</v>
      </c>
      <c r="M116" s="223">
        <v>56896</v>
      </c>
      <c r="N116" s="223">
        <v>55504</v>
      </c>
      <c r="O116" s="223">
        <v>59713</v>
      </c>
      <c r="P116" s="223">
        <v>48374</v>
      </c>
      <c r="Q116" s="223">
        <v>50001</v>
      </c>
      <c r="R116" s="223">
        <v>54792</v>
      </c>
      <c r="S116" s="223">
        <v>55823</v>
      </c>
      <c r="T116" s="223">
        <v>49782</v>
      </c>
      <c r="U116" s="223">
        <v>49751</v>
      </c>
      <c r="V116" s="223">
        <v>57164</v>
      </c>
      <c r="W116" s="223">
        <v>55228</v>
      </c>
      <c r="X116" s="223">
        <v>58076</v>
      </c>
      <c r="Y116" s="223">
        <v>651104</v>
      </c>
    </row>
    <row r="117" spans="1:25">
      <c r="A117" s="216">
        <v>45170</v>
      </c>
      <c r="B117" t="s">
        <v>42</v>
      </c>
      <c r="C117">
        <v>6</v>
      </c>
      <c r="D117" t="s">
        <v>448</v>
      </c>
      <c r="E117" s="217">
        <v>45170</v>
      </c>
      <c r="F117">
        <v>5350</v>
      </c>
      <c r="G117" t="s">
        <v>262</v>
      </c>
      <c r="L117" s="222" t="s">
        <v>435</v>
      </c>
      <c r="M117" s="223">
        <v>0</v>
      </c>
      <c r="N117" s="223">
        <v>0</v>
      </c>
      <c r="O117" s="223">
        <v>0</v>
      </c>
      <c r="P117" s="223">
        <v>0</v>
      </c>
      <c r="Q117" s="223">
        <v>0</v>
      </c>
      <c r="R117" s="223">
        <v>0</v>
      </c>
      <c r="S117" s="223">
        <v>0</v>
      </c>
      <c r="T117" s="223">
        <v>0</v>
      </c>
      <c r="U117" s="223">
        <v>0</v>
      </c>
      <c r="V117" s="223">
        <v>0</v>
      </c>
      <c r="W117" s="223">
        <v>0</v>
      </c>
      <c r="X117" s="223">
        <v>0</v>
      </c>
      <c r="Y117" s="223">
        <v>0</v>
      </c>
    </row>
    <row r="118" spans="1:25">
      <c r="A118" s="216">
        <v>45170</v>
      </c>
      <c r="B118" t="s">
        <v>42</v>
      </c>
      <c r="C118">
        <v>6</v>
      </c>
      <c r="D118" t="s">
        <v>448</v>
      </c>
      <c r="E118" s="217">
        <v>45170</v>
      </c>
      <c r="F118">
        <v>64327.5</v>
      </c>
      <c r="G118" t="s">
        <v>434</v>
      </c>
      <c r="L118" s="222" t="s">
        <v>436</v>
      </c>
      <c r="M118" s="223">
        <v>0</v>
      </c>
      <c r="N118" s="223">
        <v>0</v>
      </c>
      <c r="O118" s="223">
        <v>0</v>
      </c>
      <c r="P118" s="223">
        <v>0</v>
      </c>
      <c r="Q118" s="223">
        <v>0</v>
      </c>
      <c r="R118" s="223">
        <v>0</v>
      </c>
      <c r="S118" s="223">
        <v>0</v>
      </c>
      <c r="T118" s="223">
        <v>0</v>
      </c>
      <c r="U118" s="223">
        <v>0</v>
      </c>
      <c r="V118" s="223">
        <v>0</v>
      </c>
      <c r="W118" s="223">
        <v>0</v>
      </c>
      <c r="X118" s="223">
        <v>0</v>
      </c>
      <c r="Y118" s="223">
        <v>0</v>
      </c>
    </row>
    <row r="119" spans="1:25">
      <c r="A119" s="216">
        <v>45170</v>
      </c>
      <c r="B119" t="s">
        <v>42</v>
      </c>
      <c r="C119">
        <v>7</v>
      </c>
      <c r="D119" t="s">
        <v>442</v>
      </c>
      <c r="E119" s="217">
        <v>45170</v>
      </c>
      <c r="F119">
        <v>134093</v>
      </c>
      <c r="G119" t="s">
        <v>251</v>
      </c>
      <c r="L119" s="222" t="s">
        <v>437</v>
      </c>
      <c r="M119" s="223">
        <v>0</v>
      </c>
      <c r="N119" s="223">
        <v>0</v>
      </c>
      <c r="O119" s="223">
        <v>0</v>
      </c>
      <c r="P119" s="223">
        <v>0</v>
      </c>
      <c r="Q119" s="223">
        <v>0</v>
      </c>
      <c r="R119" s="223">
        <v>0</v>
      </c>
      <c r="S119" s="223">
        <v>0</v>
      </c>
      <c r="T119" s="223">
        <v>0</v>
      </c>
      <c r="U119" s="223">
        <v>0</v>
      </c>
      <c r="V119" s="223">
        <v>0</v>
      </c>
      <c r="W119" s="223">
        <v>0</v>
      </c>
      <c r="X119" s="223">
        <v>0</v>
      </c>
      <c r="Y119" s="223">
        <v>0</v>
      </c>
    </row>
    <row r="120" spans="1:25">
      <c r="A120" s="216">
        <v>45170</v>
      </c>
      <c r="B120" t="s">
        <v>42</v>
      </c>
      <c r="C120">
        <v>7</v>
      </c>
      <c r="D120" t="s">
        <v>442</v>
      </c>
      <c r="E120" s="217">
        <v>45170</v>
      </c>
      <c r="F120">
        <v>130095</v>
      </c>
      <c r="G120" t="s">
        <v>252</v>
      </c>
      <c r="L120" s="222" t="s">
        <v>438</v>
      </c>
      <c r="M120" s="223">
        <v>14224</v>
      </c>
      <c r="N120" s="223">
        <v>13876</v>
      </c>
      <c r="O120" s="223">
        <v>15055</v>
      </c>
      <c r="P120" s="223">
        <v>12122</v>
      </c>
      <c r="Q120" s="223">
        <v>12441</v>
      </c>
      <c r="R120" s="223">
        <v>13668</v>
      </c>
      <c r="S120" s="223">
        <v>13919</v>
      </c>
      <c r="T120" s="223">
        <v>12429</v>
      </c>
      <c r="U120" s="223">
        <v>12425</v>
      </c>
      <c r="V120" s="223">
        <v>14291</v>
      </c>
      <c r="W120" s="223">
        <v>13807</v>
      </c>
      <c r="X120" s="223">
        <v>14519</v>
      </c>
      <c r="Y120" s="223">
        <v>162776</v>
      </c>
    </row>
    <row r="121" spans="1:25">
      <c r="A121" s="216">
        <v>45170</v>
      </c>
      <c r="B121" t="s">
        <v>42</v>
      </c>
      <c r="C121">
        <v>7</v>
      </c>
      <c r="D121" t="s">
        <v>442</v>
      </c>
      <c r="E121" s="217">
        <v>45170</v>
      </c>
      <c r="F121">
        <v>150009.70000000001</v>
      </c>
      <c r="G121" t="s">
        <v>253</v>
      </c>
      <c r="L121" s="222" t="s">
        <v>439</v>
      </c>
      <c r="M121" s="223">
        <v>731</v>
      </c>
      <c r="N121" s="223">
        <v>731</v>
      </c>
      <c r="O121" s="223">
        <v>740</v>
      </c>
      <c r="P121" s="223">
        <v>937</v>
      </c>
      <c r="Q121" s="223">
        <v>702</v>
      </c>
      <c r="R121" s="223">
        <v>737</v>
      </c>
      <c r="S121" s="223">
        <v>729</v>
      </c>
      <c r="T121" s="223">
        <v>735</v>
      </c>
      <c r="U121" s="223">
        <v>853</v>
      </c>
      <c r="V121" s="223">
        <v>731</v>
      </c>
      <c r="W121" s="223">
        <v>731</v>
      </c>
      <c r="X121" s="223">
        <v>731</v>
      </c>
      <c r="Y121" s="223">
        <v>9088</v>
      </c>
    </row>
    <row r="122" spans="1:25">
      <c r="A122" s="216">
        <v>45170</v>
      </c>
      <c r="B122" t="s">
        <v>42</v>
      </c>
      <c r="C122">
        <v>7</v>
      </c>
      <c r="D122" t="s">
        <v>442</v>
      </c>
      <c r="E122" s="217">
        <v>45170</v>
      </c>
      <c r="F122">
        <v>146095</v>
      </c>
      <c r="G122" t="s">
        <v>254</v>
      </c>
      <c r="L122" s="222" t="s">
        <v>440</v>
      </c>
      <c r="M122" s="223">
        <v>0</v>
      </c>
      <c r="N122" s="223">
        <v>0</v>
      </c>
      <c r="O122" s="223">
        <v>0</v>
      </c>
      <c r="P122" s="223">
        <v>0</v>
      </c>
      <c r="Q122" s="223">
        <v>0</v>
      </c>
      <c r="R122" s="223">
        <v>0</v>
      </c>
      <c r="S122" s="223">
        <v>0</v>
      </c>
      <c r="T122" s="223">
        <v>0</v>
      </c>
      <c r="U122" s="223">
        <v>0</v>
      </c>
      <c r="V122" s="223">
        <v>0</v>
      </c>
      <c r="W122" s="223">
        <v>0</v>
      </c>
      <c r="X122" s="223">
        <v>0</v>
      </c>
      <c r="Y122" s="223">
        <v>0</v>
      </c>
    </row>
    <row r="123" spans="1:25">
      <c r="A123" s="216">
        <v>45170</v>
      </c>
      <c r="B123" t="s">
        <v>42</v>
      </c>
      <c r="C123">
        <v>7</v>
      </c>
      <c r="D123" t="s">
        <v>442</v>
      </c>
      <c r="E123" s="217">
        <v>45170</v>
      </c>
      <c r="F123">
        <v>141124.5</v>
      </c>
      <c r="G123" t="s">
        <v>255</v>
      </c>
      <c r="L123" s="222" t="s">
        <v>441</v>
      </c>
      <c r="M123" s="223">
        <v>0</v>
      </c>
      <c r="N123" s="223">
        <v>0</v>
      </c>
      <c r="O123" s="223">
        <v>0</v>
      </c>
      <c r="P123" s="223">
        <v>0</v>
      </c>
      <c r="Q123" s="223">
        <v>0</v>
      </c>
      <c r="R123" s="223">
        <v>0</v>
      </c>
      <c r="S123" s="223">
        <v>0</v>
      </c>
      <c r="T123" s="223">
        <v>0</v>
      </c>
      <c r="U123" s="223">
        <v>0</v>
      </c>
      <c r="V123" s="223">
        <v>0</v>
      </c>
      <c r="W123" s="223">
        <v>0</v>
      </c>
      <c r="X123" s="223">
        <v>0</v>
      </c>
      <c r="Y123" s="223">
        <v>0</v>
      </c>
    </row>
    <row r="124" spans="1:25">
      <c r="A124" s="216">
        <v>45170</v>
      </c>
      <c r="B124" t="s">
        <v>42</v>
      </c>
      <c r="C124">
        <v>7</v>
      </c>
      <c r="D124" t="s">
        <v>442</v>
      </c>
      <c r="E124" s="217">
        <v>45170</v>
      </c>
      <c r="F124">
        <v>137446</v>
      </c>
      <c r="G124" t="s">
        <v>256</v>
      </c>
      <c r="L124" s="222" t="s">
        <v>442</v>
      </c>
      <c r="M124" s="223">
        <v>14224</v>
      </c>
      <c r="N124" s="223">
        <v>13876</v>
      </c>
      <c r="O124" s="223">
        <v>14886</v>
      </c>
      <c r="P124" s="223">
        <v>12084</v>
      </c>
      <c r="Q124" s="223">
        <v>12520</v>
      </c>
      <c r="R124" s="223">
        <v>13708</v>
      </c>
      <c r="S124" s="223">
        <v>13968</v>
      </c>
      <c r="T124" s="223">
        <v>12451</v>
      </c>
      <c r="U124" s="223">
        <v>12442</v>
      </c>
      <c r="V124" s="223">
        <v>14291</v>
      </c>
      <c r="W124" s="223">
        <v>13807</v>
      </c>
      <c r="X124" s="223">
        <v>14519</v>
      </c>
      <c r="Y124" s="223">
        <v>162776</v>
      </c>
    </row>
    <row r="125" spans="1:25">
      <c r="A125" s="216">
        <v>45170</v>
      </c>
      <c r="B125" t="s">
        <v>42</v>
      </c>
      <c r="C125">
        <v>7</v>
      </c>
      <c r="D125" t="s">
        <v>442</v>
      </c>
      <c r="E125" s="217">
        <v>45170</v>
      </c>
      <c r="F125">
        <v>141733.72222222199</v>
      </c>
      <c r="G125" t="s">
        <v>257</v>
      </c>
      <c r="L125" s="222" t="s">
        <v>443</v>
      </c>
      <c r="M125" s="223">
        <v>0</v>
      </c>
      <c r="N125" s="223">
        <v>0</v>
      </c>
      <c r="O125" s="223">
        <v>0</v>
      </c>
      <c r="P125" s="223">
        <v>0</v>
      </c>
      <c r="Q125" s="223">
        <v>0</v>
      </c>
      <c r="R125" s="223">
        <v>0</v>
      </c>
      <c r="S125" s="223">
        <v>0</v>
      </c>
      <c r="T125" s="223">
        <v>0</v>
      </c>
      <c r="U125" s="223">
        <v>0</v>
      </c>
      <c r="V125" s="223">
        <v>0</v>
      </c>
      <c r="W125" s="223">
        <v>0</v>
      </c>
      <c r="X125" s="223">
        <v>0</v>
      </c>
      <c r="Y125" s="223">
        <v>0</v>
      </c>
    </row>
    <row r="126" spans="1:25">
      <c r="A126" s="216">
        <v>45170</v>
      </c>
      <c r="B126" t="s">
        <v>42</v>
      </c>
      <c r="C126">
        <v>7</v>
      </c>
      <c r="D126" t="s">
        <v>442</v>
      </c>
      <c r="E126" s="217">
        <v>45170</v>
      </c>
      <c r="F126">
        <v>141483.72222222199</v>
      </c>
      <c r="G126" t="s">
        <v>258</v>
      </c>
      <c r="L126" s="222" t="s">
        <v>444</v>
      </c>
      <c r="M126" s="223">
        <v>0</v>
      </c>
      <c r="N126" s="223">
        <v>0</v>
      </c>
      <c r="O126" s="223">
        <v>0</v>
      </c>
      <c r="P126" s="223">
        <v>0</v>
      </c>
      <c r="Q126" s="223">
        <v>0</v>
      </c>
      <c r="R126" s="223">
        <v>0</v>
      </c>
      <c r="S126" s="223">
        <v>0</v>
      </c>
      <c r="T126" s="223">
        <v>0</v>
      </c>
      <c r="U126" s="223">
        <v>0</v>
      </c>
      <c r="V126" s="223">
        <v>0</v>
      </c>
      <c r="W126" s="223">
        <v>0</v>
      </c>
      <c r="X126" s="223">
        <v>0</v>
      </c>
      <c r="Y126" s="223">
        <v>0</v>
      </c>
    </row>
    <row r="127" spans="1:25">
      <c r="A127" s="216">
        <v>45170</v>
      </c>
      <c r="B127" t="s">
        <v>42</v>
      </c>
      <c r="C127">
        <v>7</v>
      </c>
      <c r="D127" t="s">
        <v>442</v>
      </c>
      <c r="E127" s="217">
        <v>45170</v>
      </c>
      <c r="F127">
        <v>158980.72222222199</v>
      </c>
      <c r="G127" t="s">
        <v>259</v>
      </c>
      <c r="L127" s="222" t="s">
        <v>446</v>
      </c>
      <c r="M127" s="223">
        <v>0</v>
      </c>
      <c r="N127" s="223">
        <v>0</v>
      </c>
      <c r="O127" s="223">
        <v>-169</v>
      </c>
      <c r="P127" s="223">
        <v>-38</v>
      </c>
      <c r="Q127" s="223">
        <v>79</v>
      </c>
      <c r="R127" s="223">
        <v>40</v>
      </c>
      <c r="S127" s="223">
        <v>49</v>
      </c>
      <c r="T127" s="223">
        <v>22</v>
      </c>
      <c r="U127" s="223">
        <v>17</v>
      </c>
      <c r="V127" s="223">
        <v>0</v>
      </c>
      <c r="W127" s="223">
        <v>0</v>
      </c>
      <c r="X127" s="223">
        <v>0</v>
      </c>
      <c r="Y127" s="223">
        <v>0</v>
      </c>
    </row>
    <row r="128" spans="1:25">
      <c r="A128" s="216">
        <v>45170</v>
      </c>
      <c r="B128" t="s">
        <v>42</v>
      </c>
      <c r="C128">
        <v>7</v>
      </c>
      <c r="D128" t="s">
        <v>442</v>
      </c>
      <c r="E128" s="217">
        <v>45170</v>
      </c>
      <c r="F128">
        <v>142133.72222222199</v>
      </c>
      <c r="G128" t="s">
        <v>260</v>
      </c>
      <c r="L128" s="222" t="s">
        <v>447</v>
      </c>
      <c r="M128" s="223">
        <v>0</v>
      </c>
      <c r="N128" s="223">
        <v>0</v>
      </c>
      <c r="O128" s="223">
        <v>0</v>
      </c>
      <c r="P128" s="223">
        <v>0</v>
      </c>
      <c r="Q128" s="223">
        <v>0</v>
      </c>
      <c r="R128" s="223">
        <v>0</v>
      </c>
      <c r="S128" s="223">
        <v>0</v>
      </c>
      <c r="T128" s="223">
        <v>0</v>
      </c>
      <c r="U128" s="223">
        <v>0</v>
      </c>
      <c r="V128" s="223">
        <v>0</v>
      </c>
      <c r="W128" s="223">
        <v>0</v>
      </c>
      <c r="X128" s="223">
        <v>0</v>
      </c>
      <c r="Y128" s="223">
        <v>0</v>
      </c>
    </row>
    <row r="129" spans="1:25">
      <c r="A129" s="216">
        <v>45170</v>
      </c>
      <c r="B129" t="s">
        <v>42</v>
      </c>
      <c r="C129">
        <v>7</v>
      </c>
      <c r="D129" t="s">
        <v>442</v>
      </c>
      <c r="E129" s="217">
        <v>45170</v>
      </c>
      <c r="F129">
        <v>145233.72222222199</v>
      </c>
      <c r="G129" t="s">
        <v>261</v>
      </c>
      <c r="L129" s="222" t="s">
        <v>448</v>
      </c>
      <c r="M129" s="223">
        <v>80</v>
      </c>
      <c r="N129" s="223">
        <v>80</v>
      </c>
      <c r="O129" s="223">
        <v>76</v>
      </c>
      <c r="P129" s="223">
        <v>84</v>
      </c>
      <c r="Q129" s="223">
        <v>88</v>
      </c>
      <c r="R129" s="223">
        <v>79</v>
      </c>
      <c r="S129" s="223">
        <v>160</v>
      </c>
      <c r="T129" s="223">
        <v>62</v>
      </c>
      <c r="U129" s="223">
        <v>74</v>
      </c>
      <c r="V129" s="223">
        <v>80</v>
      </c>
      <c r="W129" s="223">
        <v>80</v>
      </c>
      <c r="X129" s="223">
        <v>80</v>
      </c>
      <c r="Y129" s="223">
        <v>1023</v>
      </c>
    </row>
    <row r="130" spans="1:25">
      <c r="A130" s="216">
        <v>45170</v>
      </c>
      <c r="B130" t="s">
        <v>42</v>
      </c>
      <c r="C130">
        <v>7</v>
      </c>
      <c r="D130" t="s">
        <v>442</v>
      </c>
      <c r="E130" s="217">
        <v>45170</v>
      </c>
      <c r="F130">
        <v>156894.022222222</v>
      </c>
      <c r="G130" t="s">
        <v>262</v>
      </c>
      <c r="L130" s="222" t="s">
        <v>449</v>
      </c>
      <c r="M130" s="223">
        <v>0</v>
      </c>
      <c r="N130" s="223">
        <v>0</v>
      </c>
      <c r="O130" s="223">
        <v>0</v>
      </c>
      <c r="P130" s="223">
        <v>0</v>
      </c>
      <c r="Q130" s="223">
        <v>0</v>
      </c>
      <c r="R130" s="223">
        <v>0</v>
      </c>
      <c r="S130" s="223">
        <v>0</v>
      </c>
      <c r="T130" s="223">
        <v>0</v>
      </c>
      <c r="U130" s="223">
        <v>0</v>
      </c>
      <c r="V130" s="223">
        <v>0</v>
      </c>
      <c r="W130" s="223">
        <v>0</v>
      </c>
      <c r="X130" s="223">
        <v>0</v>
      </c>
      <c r="Y130" s="223">
        <v>0</v>
      </c>
    </row>
    <row r="131" spans="1:25">
      <c r="A131" s="216">
        <v>45170</v>
      </c>
      <c r="B131" t="s">
        <v>42</v>
      </c>
      <c r="C131">
        <v>7</v>
      </c>
      <c r="D131" t="s">
        <v>442</v>
      </c>
      <c r="E131" s="217">
        <v>45170</v>
      </c>
      <c r="F131">
        <v>1725322.83333333</v>
      </c>
      <c r="G131" t="s">
        <v>434</v>
      </c>
      <c r="L131" s="222" t="s">
        <v>450</v>
      </c>
      <c r="M131" s="223">
        <v>0</v>
      </c>
      <c r="N131" s="223">
        <v>0</v>
      </c>
      <c r="O131" s="223">
        <v>0</v>
      </c>
      <c r="P131" s="223">
        <v>0</v>
      </c>
      <c r="Q131" s="223">
        <v>0</v>
      </c>
      <c r="R131" s="223">
        <v>0</v>
      </c>
      <c r="S131" s="223">
        <v>0</v>
      </c>
      <c r="T131" s="223">
        <v>0</v>
      </c>
      <c r="U131" s="223">
        <v>0</v>
      </c>
      <c r="V131" s="223">
        <v>0</v>
      </c>
      <c r="W131" s="223">
        <v>0</v>
      </c>
      <c r="X131" s="223">
        <v>0</v>
      </c>
      <c r="Y131" s="223">
        <v>0</v>
      </c>
    </row>
    <row r="132" spans="1:25">
      <c r="A132" s="216">
        <v>45170</v>
      </c>
      <c r="B132" t="s">
        <v>42</v>
      </c>
      <c r="C132">
        <v>9</v>
      </c>
      <c r="D132" t="s">
        <v>450</v>
      </c>
      <c r="E132" s="217">
        <v>45170</v>
      </c>
      <c r="F132">
        <v>9911</v>
      </c>
      <c r="G132" t="s">
        <v>251</v>
      </c>
      <c r="L132" s="222" t="s">
        <v>451</v>
      </c>
      <c r="M132" s="223">
        <v>0</v>
      </c>
      <c r="N132" s="223">
        <v>0</v>
      </c>
      <c r="O132" s="223">
        <v>0</v>
      </c>
      <c r="P132" s="223">
        <v>0</v>
      </c>
      <c r="Q132" s="223">
        <v>0</v>
      </c>
      <c r="R132" s="223">
        <v>0</v>
      </c>
      <c r="S132" s="223">
        <v>0</v>
      </c>
      <c r="T132" s="223">
        <v>0</v>
      </c>
      <c r="U132" s="223">
        <v>0</v>
      </c>
      <c r="V132" s="223">
        <v>0</v>
      </c>
      <c r="W132" s="223">
        <v>0</v>
      </c>
      <c r="X132" s="223">
        <v>0</v>
      </c>
      <c r="Y132" s="223">
        <v>0</v>
      </c>
    </row>
    <row r="133" spans="1:25">
      <c r="A133" s="216">
        <v>45170</v>
      </c>
      <c r="B133" t="s">
        <v>42</v>
      </c>
      <c r="C133">
        <v>9</v>
      </c>
      <c r="D133" t="s">
        <v>450</v>
      </c>
      <c r="E133" s="217">
        <v>45170</v>
      </c>
      <c r="F133">
        <v>10119</v>
      </c>
      <c r="G133" t="s">
        <v>252</v>
      </c>
      <c r="L133" s="222" t="s">
        <v>452</v>
      </c>
      <c r="M133" s="223">
        <v>0</v>
      </c>
      <c r="N133" s="223">
        <v>0</v>
      </c>
      <c r="O133" s="223">
        <v>0</v>
      </c>
      <c r="P133" s="223">
        <v>0</v>
      </c>
      <c r="Q133" s="223">
        <v>0</v>
      </c>
      <c r="R133" s="223">
        <v>0</v>
      </c>
      <c r="S133" s="223">
        <v>0</v>
      </c>
      <c r="T133" s="223">
        <v>0</v>
      </c>
      <c r="U133" s="223">
        <v>0</v>
      </c>
      <c r="V133" s="223">
        <v>0</v>
      </c>
      <c r="W133" s="223">
        <v>0</v>
      </c>
      <c r="X133" s="223">
        <v>0</v>
      </c>
      <c r="Y133" s="223">
        <v>0</v>
      </c>
    </row>
    <row r="134" spans="1:25">
      <c r="A134" s="216">
        <v>45170</v>
      </c>
      <c r="B134" t="s">
        <v>42</v>
      </c>
      <c r="C134">
        <v>9</v>
      </c>
      <c r="D134" t="s">
        <v>450</v>
      </c>
      <c r="E134" s="217">
        <v>45170</v>
      </c>
      <c r="F134">
        <v>10175</v>
      </c>
      <c r="G134" t="s">
        <v>253</v>
      </c>
      <c r="L134" s="222" t="s">
        <v>433</v>
      </c>
      <c r="M134" s="223">
        <v>5529</v>
      </c>
      <c r="N134" s="223">
        <v>5619</v>
      </c>
      <c r="O134" s="223">
        <v>5633</v>
      </c>
      <c r="P134" s="223">
        <v>4701</v>
      </c>
      <c r="Q134" s="223">
        <v>4775</v>
      </c>
      <c r="R134" s="223">
        <v>5880</v>
      </c>
      <c r="S134" s="223">
        <v>5736</v>
      </c>
      <c r="T134" s="223">
        <v>5089</v>
      </c>
      <c r="U134" s="223">
        <v>5094</v>
      </c>
      <c r="V134" s="223">
        <v>5194</v>
      </c>
      <c r="W134" s="223">
        <v>5252</v>
      </c>
      <c r="X134" s="223">
        <v>5261</v>
      </c>
      <c r="Y134" s="223">
        <v>63763</v>
      </c>
    </row>
    <row r="135" spans="1:25">
      <c r="A135" s="216">
        <v>45170</v>
      </c>
      <c r="B135" t="s">
        <v>42</v>
      </c>
      <c r="C135">
        <v>9</v>
      </c>
      <c r="D135" t="s">
        <v>450</v>
      </c>
      <c r="E135" s="217">
        <v>45170</v>
      </c>
      <c r="F135">
        <v>10159</v>
      </c>
      <c r="G135" t="s">
        <v>254</v>
      </c>
      <c r="L135" s="222" t="s">
        <v>445</v>
      </c>
      <c r="M135" s="223">
        <v>7964</v>
      </c>
      <c r="N135" s="223">
        <v>7526</v>
      </c>
      <c r="O135" s="223">
        <v>8682</v>
      </c>
      <c r="P135" s="223">
        <v>6484</v>
      </c>
      <c r="Q135" s="223">
        <v>6964</v>
      </c>
      <c r="R135" s="223">
        <v>7051</v>
      </c>
      <c r="S135" s="223">
        <v>7454</v>
      </c>
      <c r="T135" s="223">
        <v>6605</v>
      </c>
      <c r="U135" s="223">
        <v>6478</v>
      </c>
      <c r="V135" s="223">
        <v>8366</v>
      </c>
      <c r="W135" s="223">
        <v>7824</v>
      </c>
      <c r="X135" s="223">
        <v>8527</v>
      </c>
      <c r="Y135" s="223">
        <v>89925</v>
      </c>
    </row>
    <row r="136" spans="1:25">
      <c r="A136" s="216">
        <v>45170</v>
      </c>
      <c r="B136" t="s">
        <v>42</v>
      </c>
      <c r="C136">
        <v>9</v>
      </c>
      <c r="D136" t="s">
        <v>450</v>
      </c>
      <c r="E136" s="217">
        <v>45170</v>
      </c>
      <c r="F136">
        <v>10594</v>
      </c>
      <c r="G136" t="s">
        <v>255</v>
      </c>
      <c r="L136" s="222" t="s">
        <v>453</v>
      </c>
      <c r="M136" s="223">
        <v>10534</v>
      </c>
      <c r="N136" s="223">
        <v>10186</v>
      </c>
      <c r="O136" s="223">
        <v>11210</v>
      </c>
      <c r="P136" s="223">
        <v>8708</v>
      </c>
      <c r="Q136" s="223">
        <v>8958</v>
      </c>
      <c r="R136" s="223">
        <v>10308</v>
      </c>
      <c r="S136" s="223">
        <v>10093</v>
      </c>
      <c r="T136" s="223">
        <v>8786</v>
      </c>
      <c r="U136" s="223">
        <v>8759</v>
      </c>
      <c r="V136" s="223">
        <v>10601</v>
      </c>
      <c r="W136" s="223">
        <v>10117</v>
      </c>
      <c r="X136" s="223">
        <v>10829</v>
      </c>
      <c r="Y136" s="223">
        <v>119089</v>
      </c>
    </row>
    <row r="137" spans="1:25">
      <c r="A137" s="216">
        <v>45170</v>
      </c>
      <c r="B137" t="s">
        <v>42</v>
      </c>
      <c r="C137">
        <v>9</v>
      </c>
      <c r="D137" t="s">
        <v>450</v>
      </c>
      <c r="E137" s="217">
        <v>45170</v>
      </c>
      <c r="F137">
        <v>10421</v>
      </c>
      <c r="G137" t="s">
        <v>256</v>
      </c>
      <c r="L137" s="222" t="s">
        <v>454</v>
      </c>
      <c r="M137" s="223">
        <v>0</v>
      </c>
      <c r="N137" s="223">
        <v>0</v>
      </c>
      <c r="O137" s="223">
        <v>0</v>
      </c>
      <c r="P137" s="223">
        <v>0</v>
      </c>
      <c r="Q137" s="223">
        <v>0</v>
      </c>
      <c r="R137" s="223">
        <v>0</v>
      </c>
      <c r="S137" s="223">
        <v>0</v>
      </c>
      <c r="T137" s="223">
        <v>0</v>
      </c>
      <c r="U137" s="223">
        <v>0</v>
      </c>
      <c r="V137" s="223">
        <v>0</v>
      </c>
      <c r="W137" s="223">
        <v>0</v>
      </c>
      <c r="X137" s="223">
        <v>0</v>
      </c>
      <c r="Y137" s="223">
        <v>0</v>
      </c>
    </row>
    <row r="138" spans="1:25">
      <c r="A138" s="216">
        <v>45170</v>
      </c>
      <c r="B138" t="s">
        <v>42</v>
      </c>
      <c r="C138">
        <v>9</v>
      </c>
      <c r="D138" t="s">
        <v>450</v>
      </c>
      <c r="E138" s="217">
        <v>45170</v>
      </c>
      <c r="F138">
        <v>10231.096244869101</v>
      </c>
      <c r="G138" t="s">
        <v>257</v>
      </c>
      <c r="L138" s="222" t="s">
        <v>455</v>
      </c>
      <c r="M138" s="223">
        <v>0</v>
      </c>
      <c r="N138" s="223">
        <v>0</v>
      </c>
      <c r="O138" s="223">
        <v>0</v>
      </c>
      <c r="P138" s="223">
        <v>0</v>
      </c>
      <c r="Q138" s="223">
        <v>0</v>
      </c>
      <c r="R138" s="223">
        <v>0</v>
      </c>
      <c r="S138" s="223">
        <v>0</v>
      </c>
      <c r="T138" s="223">
        <v>0</v>
      </c>
      <c r="U138" s="223">
        <v>0</v>
      </c>
      <c r="V138" s="223">
        <v>0</v>
      </c>
      <c r="W138" s="223">
        <v>0</v>
      </c>
      <c r="X138" s="223">
        <v>0</v>
      </c>
      <c r="Y138" s="223">
        <v>0</v>
      </c>
    </row>
    <row r="139" spans="1:25">
      <c r="A139" s="216">
        <v>45170</v>
      </c>
      <c r="B139" t="s">
        <v>42</v>
      </c>
      <c r="C139">
        <v>9</v>
      </c>
      <c r="D139" t="s">
        <v>450</v>
      </c>
      <c r="E139" s="217">
        <v>45170</v>
      </c>
      <c r="F139">
        <v>10331.096244869101</v>
      </c>
      <c r="G139" t="s">
        <v>258</v>
      </c>
      <c r="L139" s="222" t="s">
        <v>456</v>
      </c>
      <c r="M139" s="223">
        <v>0</v>
      </c>
      <c r="N139" s="223">
        <v>0</v>
      </c>
      <c r="O139" s="223">
        <v>0</v>
      </c>
      <c r="P139" s="223">
        <v>0</v>
      </c>
      <c r="Q139" s="223">
        <v>0</v>
      </c>
      <c r="R139" s="223">
        <v>0</v>
      </c>
      <c r="S139" s="223">
        <v>0</v>
      </c>
      <c r="T139" s="223">
        <v>0</v>
      </c>
      <c r="U139" s="223">
        <v>0</v>
      </c>
      <c r="V139" s="223">
        <v>0</v>
      </c>
      <c r="W139" s="223">
        <v>0</v>
      </c>
      <c r="X139" s="223">
        <v>0</v>
      </c>
      <c r="Y139" s="223">
        <v>0</v>
      </c>
    </row>
    <row r="140" spans="1:25">
      <c r="A140" s="216">
        <v>45170</v>
      </c>
      <c r="B140" t="s">
        <v>42</v>
      </c>
      <c r="C140">
        <v>9</v>
      </c>
      <c r="D140" t="s">
        <v>450</v>
      </c>
      <c r="E140" s="217">
        <v>45170</v>
      </c>
      <c r="F140">
        <v>10285.3459948691</v>
      </c>
      <c r="G140" t="s">
        <v>259</v>
      </c>
      <c r="L140" s="222" t="s">
        <v>457</v>
      </c>
      <c r="M140" s="223">
        <v>0</v>
      </c>
      <c r="N140" s="223">
        <v>0</v>
      </c>
      <c r="O140" s="223">
        <v>0</v>
      </c>
      <c r="P140" s="223">
        <v>0</v>
      </c>
      <c r="Q140" s="223">
        <v>0</v>
      </c>
      <c r="R140" s="223">
        <v>0</v>
      </c>
      <c r="S140" s="223">
        <v>0</v>
      </c>
      <c r="T140" s="223">
        <v>0</v>
      </c>
      <c r="U140" s="223">
        <v>0</v>
      </c>
      <c r="V140" s="223">
        <v>0</v>
      </c>
      <c r="W140" s="223">
        <v>0</v>
      </c>
      <c r="X140" s="223">
        <v>0</v>
      </c>
      <c r="Y140" s="223">
        <v>0</v>
      </c>
    </row>
    <row r="141" spans="1:25">
      <c r="A141" s="216">
        <v>45170</v>
      </c>
      <c r="B141" t="s">
        <v>42</v>
      </c>
      <c r="C141">
        <v>9</v>
      </c>
      <c r="D141" t="s">
        <v>450</v>
      </c>
      <c r="E141" s="217">
        <v>45170</v>
      </c>
      <c r="F141">
        <v>10285.3459948691</v>
      </c>
      <c r="G141" t="s">
        <v>260</v>
      </c>
      <c r="L141" s="222" t="s">
        <v>458</v>
      </c>
      <c r="M141" s="223">
        <v>0</v>
      </c>
      <c r="N141" s="223">
        <v>0</v>
      </c>
      <c r="O141" s="223">
        <v>0</v>
      </c>
      <c r="P141" s="223">
        <v>0</v>
      </c>
      <c r="Q141" s="223">
        <v>4</v>
      </c>
      <c r="R141" s="223">
        <v>0</v>
      </c>
      <c r="S141" s="223">
        <v>0</v>
      </c>
      <c r="T141" s="223">
        <v>0</v>
      </c>
      <c r="U141" s="223">
        <v>0</v>
      </c>
      <c r="V141" s="223">
        <v>0</v>
      </c>
      <c r="W141" s="223">
        <v>0</v>
      </c>
      <c r="X141" s="223">
        <v>0</v>
      </c>
      <c r="Y141" s="223">
        <v>4</v>
      </c>
    </row>
    <row r="142" spans="1:25">
      <c r="A142" s="216">
        <v>45170</v>
      </c>
      <c r="B142" t="s">
        <v>42</v>
      </c>
      <c r="C142">
        <v>9</v>
      </c>
      <c r="D142" t="s">
        <v>450</v>
      </c>
      <c r="E142" s="217">
        <v>45170</v>
      </c>
      <c r="F142">
        <v>10235.3459948691</v>
      </c>
      <c r="G142" t="s">
        <v>261</v>
      </c>
      <c r="L142" s="222" t="s">
        <v>459</v>
      </c>
      <c r="M142" s="223">
        <v>3592</v>
      </c>
      <c r="N142" s="223">
        <v>3592</v>
      </c>
      <c r="O142" s="223">
        <v>3586</v>
      </c>
      <c r="P142" s="223">
        <v>3275</v>
      </c>
      <c r="Q142" s="223">
        <v>3452</v>
      </c>
      <c r="R142" s="223">
        <v>3278</v>
      </c>
      <c r="S142" s="223">
        <v>3692</v>
      </c>
      <c r="T142" s="223">
        <v>3585</v>
      </c>
      <c r="U142" s="223">
        <v>3592</v>
      </c>
      <c r="V142" s="223">
        <v>3592</v>
      </c>
      <c r="W142" s="223">
        <v>3592</v>
      </c>
      <c r="X142" s="223">
        <v>3592</v>
      </c>
      <c r="Y142" s="223">
        <v>42420</v>
      </c>
    </row>
    <row r="143" spans="1:25">
      <c r="A143" s="216">
        <v>45170</v>
      </c>
      <c r="B143" t="s">
        <v>42</v>
      </c>
      <c r="C143">
        <v>9</v>
      </c>
      <c r="D143" t="s">
        <v>450</v>
      </c>
      <c r="E143" s="217">
        <v>45170</v>
      </c>
      <c r="F143">
        <v>10235.3459948691</v>
      </c>
      <c r="G143" t="s">
        <v>262</v>
      </c>
      <c r="L143" s="222" t="s">
        <v>460</v>
      </c>
      <c r="M143" s="223">
        <v>18</v>
      </c>
      <c r="N143" s="223">
        <v>18</v>
      </c>
      <c r="O143" s="223">
        <v>14</v>
      </c>
      <c r="P143" s="223">
        <v>17</v>
      </c>
      <c r="Q143" s="223">
        <v>18</v>
      </c>
      <c r="R143" s="223">
        <v>43</v>
      </c>
      <c r="S143" s="223">
        <v>23</v>
      </c>
      <c r="T143" s="223">
        <v>18</v>
      </c>
      <c r="U143" s="223">
        <v>17</v>
      </c>
      <c r="V143" s="223">
        <v>18</v>
      </c>
      <c r="W143" s="223">
        <v>18</v>
      </c>
      <c r="X143" s="223">
        <v>18</v>
      </c>
      <c r="Y143" s="223">
        <v>240</v>
      </c>
    </row>
    <row r="144" spans="1:25">
      <c r="A144" s="216">
        <v>45170</v>
      </c>
      <c r="B144" t="s">
        <v>42</v>
      </c>
      <c r="C144">
        <v>9</v>
      </c>
      <c r="D144" t="s">
        <v>450</v>
      </c>
      <c r="E144" s="217">
        <v>45170</v>
      </c>
      <c r="F144">
        <v>122982.576469215</v>
      </c>
      <c r="G144" t="s">
        <v>434</v>
      </c>
      <c r="L144" s="221" t="s">
        <v>51</v>
      </c>
      <c r="M144" s="223">
        <v>111188</v>
      </c>
      <c r="N144" s="223">
        <v>120363</v>
      </c>
      <c r="O144" s="223">
        <v>117208</v>
      </c>
      <c r="P144" s="223">
        <v>93370</v>
      </c>
      <c r="Q144" s="223">
        <v>94477</v>
      </c>
      <c r="R144" s="223">
        <v>97833</v>
      </c>
      <c r="S144" s="223">
        <v>79773</v>
      </c>
      <c r="T144" s="223">
        <v>112221</v>
      </c>
      <c r="U144" s="223">
        <v>101956</v>
      </c>
      <c r="V144" s="223">
        <v>111955</v>
      </c>
      <c r="W144" s="223">
        <v>113985</v>
      </c>
      <c r="X144" s="223">
        <v>127591</v>
      </c>
      <c r="Y144" s="223">
        <v>1281920</v>
      </c>
    </row>
    <row r="145" spans="1:25">
      <c r="A145" s="216">
        <v>45170</v>
      </c>
      <c r="B145" t="s">
        <v>42</v>
      </c>
      <c r="C145">
        <v>8</v>
      </c>
      <c r="D145" t="s">
        <v>451</v>
      </c>
      <c r="E145" s="217">
        <v>45170</v>
      </c>
      <c r="F145">
        <v>15621</v>
      </c>
      <c r="G145" t="s">
        <v>251</v>
      </c>
      <c r="L145" s="222" t="s">
        <v>435</v>
      </c>
      <c r="M145" s="223">
        <v>0</v>
      </c>
      <c r="N145" s="223">
        <v>0</v>
      </c>
      <c r="O145" s="223">
        <v>0</v>
      </c>
      <c r="P145" s="223">
        <v>0</v>
      </c>
      <c r="Q145" s="223">
        <v>0</v>
      </c>
      <c r="R145" s="223">
        <v>0</v>
      </c>
      <c r="S145" s="223">
        <v>0</v>
      </c>
      <c r="T145" s="223">
        <v>0</v>
      </c>
      <c r="U145" s="223">
        <v>0</v>
      </c>
      <c r="V145" s="223">
        <v>0</v>
      </c>
      <c r="W145" s="223">
        <v>0</v>
      </c>
      <c r="X145" s="223">
        <v>0</v>
      </c>
      <c r="Y145" s="223">
        <v>0</v>
      </c>
    </row>
    <row r="146" spans="1:25">
      <c r="A146" s="216">
        <v>45170</v>
      </c>
      <c r="B146" t="s">
        <v>42</v>
      </c>
      <c r="C146">
        <v>8</v>
      </c>
      <c r="D146" t="s">
        <v>451</v>
      </c>
      <c r="E146" s="217">
        <v>45170</v>
      </c>
      <c r="F146">
        <v>16175</v>
      </c>
      <c r="G146" t="s">
        <v>252</v>
      </c>
      <c r="L146" s="222" t="s">
        <v>436</v>
      </c>
      <c r="M146" s="223">
        <v>0</v>
      </c>
      <c r="N146" s="223">
        <v>0</v>
      </c>
      <c r="O146" s="223">
        <v>0</v>
      </c>
      <c r="P146" s="223">
        <v>0</v>
      </c>
      <c r="Q146" s="223">
        <v>0</v>
      </c>
      <c r="R146" s="223">
        <v>0</v>
      </c>
      <c r="S146" s="223">
        <v>0</v>
      </c>
      <c r="T146" s="223">
        <v>0</v>
      </c>
      <c r="U146" s="223">
        <v>0</v>
      </c>
      <c r="V146" s="223">
        <v>0</v>
      </c>
      <c r="W146" s="223">
        <v>0</v>
      </c>
      <c r="X146" s="223">
        <v>0</v>
      </c>
      <c r="Y146" s="223">
        <v>0</v>
      </c>
    </row>
    <row r="147" spans="1:25">
      <c r="A147" s="216">
        <v>45170</v>
      </c>
      <c r="B147" t="s">
        <v>42</v>
      </c>
      <c r="C147">
        <v>8</v>
      </c>
      <c r="D147" t="s">
        <v>451</v>
      </c>
      <c r="E147" s="217">
        <v>45170</v>
      </c>
      <c r="F147">
        <v>16316</v>
      </c>
      <c r="G147" t="s">
        <v>253</v>
      </c>
      <c r="L147" s="222" t="s">
        <v>437</v>
      </c>
      <c r="M147" s="223">
        <v>0</v>
      </c>
      <c r="N147" s="223">
        <v>0</v>
      </c>
      <c r="O147" s="223">
        <v>0</v>
      </c>
      <c r="P147" s="223">
        <v>0</v>
      </c>
      <c r="Q147" s="223">
        <v>0</v>
      </c>
      <c r="R147" s="223">
        <v>0</v>
      </c>
      <c r="S147" s="223">
        <v>0</v>
      </c>
      <c r="T147" s="223">
        <v>0</v>
      </c>
      <c r="U147" s="223">
        <v>0</v>
      </c>
      <c r="V147" s="223">
        <v>0</v>
      </c>
      <c r="W147" s="223">
        <v>0</v>
      </c>
      <c r="X147" s="223">
        <v>0</v>
      </c>
      <c r="Y147" s="223">
        <v>0</v>
      </c>
    </row>
    <row r="148" spans="1:25">
      <c r="A148" s="216">
        <v>45170</v>
      </c>
      <c r="B148" t="s">
        <v>42</v>
      </c>
      <c r="C148">
        <v>8</v>
      </c>
      <c r="D148" t="s">
        <v>451</v>
      </c>
      <c r="E148" s="217">
        <v>45170</v>
      </c>
      <c r="F148">
        <v>16684</v>
      </c>
      <c r="G148" t="s">
        <v>254</v>
      </c>
      <c r="L148" s="222" t="s">
        <v>438</v>
      </c>
      <c r="M148" s="223">
        <v>27866</v>
      </c>
      <c r="N148" s="223">
        <v>30141</v>
      </c>
      <c r="O148" s="223">
        <v>29311</v>
      </c>
      <c r="P148" s="223">
        <v>23341</v>
      </c>
      <c r="Q148" s="223">
        <v>23596</v>
      </c>
      <c r="R148" s="223">
        <v>24381</v>
      </c>
      <c r="S148" s="223">
        <v>19920</v>
      </c>
      <c r="T148" s="223">
        <v>27972</v>
      </c>
      <c r="U148" s="223">
        <v>25387</v>
      </c>
      <c r="V148" s="223">
        <v>28033</v>
      </c>
      <c r="W148" s="223">
        <v>28563</v>
      </c>
      <c r="X148" s="223">
        <v>31969</v>
      </c>
      <c r="Y148" s="223">
        <v>320480</v>
      </c>
    </row>
    <row r="149" spans="1:25">
      <c r="A149" s="216">
        <v>45170</v>
      </c>
      <c r="B149" t="s">
        <v>42</v>
      </c>
      <c r="C149">
        <v>8</v>
      </c>
      <c r="D149" t="s">
        <v>451</v>
      </c>
      <c r="E149" s="217">
        <v>45170</v>
      </c>
      <c r="F149">
        <v>16428</v>
      </c>
      <c r="G149" t="s">
        <v>255</v>
      </c>
      <c r="L149" s="222" t="s">
        <v>439</v>
      </c>
      <c r="M149" s="223">
        <v>50</v>
      </c>
      <c r="N149" s="223">
        <v>51</v>
      </c>
      <c r="O149" s="223">
        <v>51</v>
      </c>
      <c r="P149" s="223">
        <v>72</v>
      </c>
      <c r="Q149" s="223">
        <v>69</v>
      </c>
      <c r="R149" s="223">
        <v>80</v>
      </c>
      <c r="S149" s="223">
        <v>74</v>
      </c>
      <c r="T149" s="223">
        <v>74</v>
      </c>
      <c r="U149" s="223">
        <v>74</v>
      </c>
      <c r="V149" s="223">
        <v>74</v>
      </c>
      <c r="W149" s="223">
        <v>74</v>
      </c>
      <c r="X149" s="223">
        <v>74</v>
      </c>
      <c r="Y149" s="223">
        <v>817</v>
      </c>
    </row>
    <row r="150" spans="1:25">
      <c r="A150" s="216">
        <v>45170</v>
      </c>
      <c r="B150" t="s">
        <v>42</v>
      </c>
      <c r="C150">
        <v>8</v>
      </c>
      <c r="D150" t="s">
        <v>451</v>
      </c>
      <c r="E150" s="217">
        <v>45170</v>
      </c>
      <c r="F150">
        <v>14719</v>
      </c>
      <c r="G150" t="s">
        <v>256</v>
      </c>
      <c r="L150" s="222" t="s">
        <v>440</v>
      </c>
      <c r="M150" s="223">
        <v>0</v>
      </c>
      <c r="N150" s="223">
        <v>0</v>
      </c>
      <c r="O150" s="223">
        <v>0</v>
      </c>
      <c r="P150" s="223">
        <v>0</v>
      </c>
      <c r="Q150" s="223">
        <v>0</v>
      </c>
      <c r="R150" s="223">
        <v>0</v>
      </c>
      <c r="S150" s="223">
        <v>0</v>
      </c>
      <c r="T150" s="223">
        <v>0</v>
      </c>
      <c r="U150" s="223">
        <v>0</v>
      </c>
      <c r="V150" s="223">
        <v>0</v>
      </c>
      <c r="W150" s="223">
        <v>0</v>
      </c>
      <c r="X150" s="223">
        <v>0</v>
      </c>
      <c r="Y150" s="223">
        <v>0</v>
      </c>
    </row>
    <row r="151" spans="1:25">
      <c r="A151" s="216">
        <v>45170</v>
      </c>
      <c r="B151" t="s">
        <v>42</v>
      </c>
      <c r="C151">
        <v>8</v>
      </c>
      <c r="D151" t="s">
        <v>451</v>
      </c>
      <c r="E151" s="217">
        <v>45170</v>
      </c>
      <c r="F151">
        <v>16400</v>
      </c>
      <c r="G151" t="s">
        <v>257</v>
      </c>
      <c r="L151" s="222" t="s">
        <v>441</v>
      </c>
      <c r="M151" s="223">
        <v>0</v>
      </c>
      <c r="N151" s="223">
        <v>0</v>
      </c>
      <c r="O151" s="223">
        <v>0</v>
      </c>
      <c r="P151" s="223">
        <v>0</v>
      </c>
      <c r="Q151" s="223">
        <v>0</v>
      </c>
      <c r="R151" s="223">
        <v>0</v>
      </c>
      <c r="S151" s="223">
        <v>0</v>
      </c>
      <c r="T151" s="223">
        <v>0</v>
      </c>
      <c r="U151" s="223">
        <v>0</v>
      </c>
      <c r="V151" s="223">
        <v>0</v>
      </c>
      <c r="W151" s="223">
        <v>0</v>
      </c>
      <c r="X151" s="223">
        <v>0</v>
      </c>
      <c r="Y151" s="223">
        <v>0</v>
      </c>
    </row>
    <row r="152" spans="1:25">
      <c r="A152" s="216">
        <v>45170</v>
      </c>
      <c r="B152" t="s">
        <v>42</v>
      </c>
      <c r="C152">
        <v>8</v>
      </c>
      <c r="D152" t="s">
        <v>451</v>
      </c>
      <c r="E152" s="217">
        <v>45170</v>
      </c>
      <c r="F152">
        <v>16400</v>
      </c>
      <c r="G152" t="s">
        <v>258</v>
      </c>
      <c r="L152" s="222" t="s">
        <v>442</v>
      </c>
      <c r="M152" s="223">
        <v>27774</v>
      </c>
      <c r="N152" s="223">
        <v>30074</v>
      </c>
      <c r="O152" s="223">
        <v>29299</v>
      </c>
      <c r="P152" s="223">
        <v>23343</v>
      </c>
      <c r="Q152" s="223">
        <v>23627</v>
      </c>
      <c r="R152" s="223">
        <v>24484</v>
      </c>
      <c r="S152" s="223">
        <v>19951</v>
      </c>
      <c r="T152" s="223">
        <v>28083</v>
      </c>
      <c r="U152" s="223">
        <v>25523</v>
      </c>
      <c r="V152" s="223">
        <v>27974</v>
      </c>
      <c r="W152" s="223">
        <v>28474</v>
      </c>
      <c r="X152" s="223">
        <v>31874</v>
      </c>
      <c r="Y152" s="223">
        <v>320480</v>
      </c>
    </row>
    <row r="153" spans="1:25">
      <c r="A153" s="216">
        <v>45170</v>
      </c>
      <c r="B153" t="s">
        <v>42</v>
      </c>
      <c r="C153">
        <v>8</v>
      </c>
      <c r="D153" t="s">
        <v>451</v>
      </c>
      <c r="E153" s="217">
        <v>45170</v>
      </c>
      <c r="F153">
        <v>16100</v>
      </c>
      <c r="G153" t="s">
        <v>259</v>
      </c>
      <c r="L153" s="222" t="s">
        <v>443</v>
      </c>
      <c r="M153" s="223">
        <v>0</v>
      </c>
      <c r="N153" s="223">
        <v>0</v>
      </c>
      <c r="O153" s="223">
        <v>0</v>
      </c>
      <c r="P153" s="223">
        <v>0</v>
      </c>
      <c r="Q153" s="223">
        <v>0</v>
      </c>
      <c r="R153" s="223">
        <v>0</v>
      </c>
      <c r="S153" s="223">
        <v>0</v>
      </c>
      <c r="T153" s="223">
        <v>0</v>
      </c>
      <c r="U153" s="223">
        <v>0</v>
      </c>
      <c r="V153" s="223">
        <v>0</v>
      </c>
      <c r="W153" s="223">
        <v>0</v>
      </c>
      <c r="X153" s="223">
        <v>0</v>
      </c>
      <c r="Y153" s="223">
        <v>0</v>
      </c>
    </row>
    <row r="154" spans="1:25">
      <c r="A154" s="216">
        <v>45170</v>
      </c>
      <c r="B154" t="s">
        <v>42</v>
      </c>
      <c r="C154">
        <v>8</v>
      </c>
      <c r="D154" t="s">
        <v>451</v>
      </c>
      <c r="E154" s="217">
        <v>45170</v>
      </c>
      <c r="F154">
        <v>16100</v>
      </c>
      <c r="G154" t="s">
        <v>260</v>
      </c>
      <c r="L154" s="222" t="s">
        <v>444</v>
      </c>
      <c r="M154" s="223">
        <v>0</v>
      </c>
      <c r="N154" s="223">
        <v>0</v>
      </c>
      <c r="O154" s="223">
        <v>0</v>
      </c>
      <c r="P154" s="223">
        <v>0</v>
      </c>
      <c r="Q154" s="223">
        <v>0</v>
      </c>
      <c r="R154" s="223">
        <v>0</v>
      </c>
      <c r="S154" s="223">
        <v>0</v>
      </c>
      <c r="T154" s="223">
        <v>0</v>
      </c>
      <c r="U154" s="223">
        <v>0</v>
      </c>
      <c r="V154" s="223">
        <v>0</v>
      </c>
      <c r="W154" s="223">
        <v>0</v>
      </c>
      <c r="X154" s="223">
        <v>0</v>
      </c>
      <c r="Y154" s="223">
        <v>0</v>
      </c>
    </row>
    <row r="155" spans="1:25">
      <c r="A155" s="216">
        <v>45170</v>
      </c>
      <c r="B155" t="s">
        <v>42</v>
      </c>
      <c r="C155">
        <v>8</v>
      </c>
      <c r="D155" t="s">
        <v>451</v>
      </c>
      <c r="E155" s="217">
        <v>45170</v>
      </c>
      <c r="F155">
        <v>16100</v>
      </c>
      <c r="G155" t="s">
        <v>261</v>
      </c>
      <c r="L155" s="222" t="s">
        <v>446</v>
      </c>
      <c r="M155" s="223">
        <v>-92</v>
      </c>
      <c r="N155" s="223">
        <v>-67</v>
      </c>
      <c r="O155" s="223">
        <v>-12</v>
      </c>
      <c r="P155" s="223">
        <v>2</v>
      </c>
      <c r="Q155" s="223">
        <v>31</v>
      </c>
      <c r="R155" s="223">
        <v>103</v>
      </c>
      <c r="S155" s="223">
        <v>31</v>
      </c>
      <c r="T155" s="223">
        <v>111</v>
      </c>
      <c r="U155" s="223">
        <v>136</v>
      </c>
      <c r="V155" s="223">
        <v>-59</v>
      </c>
      <c r="W155" s="223">
        <v>-89</v>
      </c>
      <c r="X155" s="223">
        <v>-95</v>
      </c>
      <c r="Y155" s="223">
        <v>0</v>
      </c>
    </row>
    <row r="156" spans="1:25">
      <c r="A156" s="216">
        <v>45170</v>
      </c>
      <c r="B156" t="s">
        <v>42</v>
      </c>
      <c r="C156">
        <v>8</v>
      </c>
      <c r="D156" t="s">
        <v>451</v>
      </c>
      <c r="E156" s="217">
        <v>45170</v>
      </c>
      <c r="F156">
        <v>17700</v>
      </c>
      <c r="G156" t="s">
        <v>262</v>
      </c>
      <c r="L156" s="222" t="s">
        <v>447</v>
      </c>
      <c r="M156" s="223">
        <v>0</v>
      </c>
      <c r="N156" s="223">
        <v>0</v>
      </c>
      <c r="O156" s="223">
        <v>0</v>
      </c>
      <c r="P156" s="223">
        <v>0</v>
      </c>
      <c r="Q156" s="223">
        <v>0</v>
      </c>
      <c r="R156" s="223">
        <v>0</v>
      </c>
      <c r="S156" s="223">
        <v>0</v>
      </c>
      <c r="T156" s="223">
        <v>0</v>
      </c>
      <c r="U156" s="223">
        <v>0</v>
      </c>
      <c r="V156" s="223">
        <v>0</v>
      </c>
      <c r="W156" s="223">
        <v>0</v>
      </c>
      <c r="X156" s="223">
        <v>0</v>
      </c>
      <c r="Y156" s="223">
        <v>0</v>
      </c>
    </row>
    <row r="157" spans="1:25">
      <c r="A157" s="216">
        <v>45170</v>
      </c>
      <c r="B157" t="s">
        <v>42</v>
      </c>
      <c r="C157">
        <v>8</v>
      </c>
      <c r="D157" t="s">
        <v>451</v>
      </c>
      <c r="E157" s="217">
        <v>45170</v>
      </c>
      <c r="F157">
        <v>194743</v>
      </c>
      <c r="G157" t="s">
        <v>434</v>
      </c>
      <c r="L157" s="222" t="s">
        <v>448</v>
      </c>
      <c r="M157" s="223">
        <v>24</v>
      </c>
      <c r="N157" s="223">
        <v>24</v>
      </c>
      <c r="O157" s="223">
        <v>15</v>
      </c>
      <c r="P157" s="223">
        <v>29</v>
      </c>
      <c r="Q157" s="223">
        <v>25</v>
      </c>
      <c r="R157" s="223">
        <v>31</v>
      </c>
      <c r="S157" s="223">
        <v>17</v>
      </c>
      <c r="T157" s="223">
        <v>23</v>
      </c>
      <c r="U157" s="223">
        <v>52</v>
      </c>
      <c r="V157" s="223">
        <v>24</v>
      </c>
      <c r="W157" s="223">
        <v>24</v>
      </c>
      <c r="X157" s="223">
        <v>24</v>
      </c>
      <c r="Y157" s="223">
        <v>312</v>
      </c>
    </row>
    <row r="158" spans="1:25">
      <c r="A158" s="216">
        <v>45170</v>
      </c>
      <c r="B158" t="s">
        <v>42</v>
      </c>
      <c r="C158">
        <v>13</v>
      </c>
      <c r="D158" t="s">
        <v>441</v>
      </c>
      <c r="E158" s="217">
        <v>45170</v>
      </c>
      <c r="F158">
        <v>25297</v>
      </c>
      <c r="G158" t="s">
        <v>251</v>
      </c>
      <c r="L158" s="222" t="s">
        <v>449</v>
      </c>
      <c r="M158" s="223">
        <v>23882</v>
      </c>
      <c r="N158" s="223">
        <v>25505</v>
      </c>
      <c r="O158" s="223">
        <v>22953</v>
      </c>
      <c r="P158" s="223">
        <v>20413</v>
      </c>
      <c r="Q158" s="223">
        <v>20447</v>
      </c>
      <c r="R158" s="223">
        <v>20913</v>
      </c>
      <c r="S158" s="223">
        <v>15877</v>
      </c>
      <c r="T158" s="223">
        <v>24245</v>
      </c>
      <c r="U158" s="223">
        <v>21670</v>
      </c>
      <c r="V158" s="223">
        <v>23764</v>
      </c>
      <c r="W158" s="223">
        <v>24407</v>
      </c>
      <c r="X158" s="223">
        <v>27535</v>
      </c>
      <c r="Y158" s="223">
        <v>271611</v>
      </c>
    </row>
    <row r="159" spans="1:25">
      <c r="A159" s="216">
        <v>45170</v>
      </c>
      <c r="B159" t="s">
        <v>42</v>
      </c>
      <c r="C159">
        <v>13</v>
      </c>
      <c r="D159" t="s">
        <v>441</v>
      </c>
      <c r="E159" s="217">
        <v>45170</v>
      </c>
      <c r="F159">
        <v>27471</v>
      </c>
      <c r="G159" t="s">
        <v>252</v>
      </c>
      <c r="L159" s="222" t="s">
        <v>450</v>
      </c>
      <c r="M159" s="223">
        <v>0</v>
      </c>
      <c r="N159" s="223">
        <v>0</v>
      </c>
      <c r="O159" s="223">
        <v>0</v>
      </c>
      <c r="P159" s="223">
        <v>0</v>
      </c>
      <c r="Q159" s="223">
        <v>0</v>
      </c>
      <c r="R159" s="223">
        <v>0</v>
      </c>
      <c r="S159" s="223">
        <v>0</v>
      </c>
      <c r="T159" s="223">
        <v>0</v>
      </c>
      <c r="U159" s="223">
        <v>0</v>
      </c>
      <c r="V159" s="223">
        <v>0</v>
      </c>
      <c r="W159" s="223">
        <v>0</v>
      </c>
      <c r="X159" s="223">
        <v>0</v>
      </c>
      <c r="Y159" s="223">
        <v>0</v>
      </c>
    </row>
    <row r="160" spans="1:25">
      <c r="A160" s="216">
        <v>45170</v>
      </c>
      <c r="B160" t="s">
        <v>42</v>
      </c>
      <c r="C160">
        <v>13</v>
      </c>
      <c r="D160" t="s">
        <v>441</v>
      </c>
      <c r="E160" s="217">
        <v>45170</v>
      </c>
      <c r="F160">
        <v>28095</v>
      </c>
      <c r="G160" t="s">
        <v>253</v>
      </c>
      <c r="L160" s="222" t="s">
        <v>451</v>
      </c>
      <c r="M160" s="223">
        <v>0</v>
      </c>
      <c r="N160" s="223">
        <v>0</v>
      </c>
      <c r="O160" s="223">
        <v>0</v>
      </c>
      <c r="P160" s="223">
        <v>0</v>
      </c>
      <c r="Q160" s="223">
        <v>0</v>
      </c>
      <c r="R160" s="223">
        <v>0</v>
      </c>
      <c r="S160" s="223">
        <v>0</v>
      </c>
      <c r="T160" s="223">
        <v>0</v>
      </c>
      <c r="U160" s="223">
        <v>0</v>
      </c>
      <c r="V160" s="223">
        <v>0</v>
      </c>
      <c r="W160" s="223">
        <v>0</v>
      </c>
      <c r="X160" s="223">
        <v>0</v>
      </c>
      <c r="Y160" s="223">
        <v>0</v>
      </c>
    </row>
    <row r="161" spans="1:25">
      <c r="A161" s="216">
        <v>45170</v>
      </c>
      <c r="B161" t="s">
        <v>42</v>
      </c>
      <c r="C161">
        <v>13</v>
      </c>
      <c r="D161" t="s">
        <v>441</v>
      </c>
      <c r="E161" s="217">
        <v>45170</v>
      </c>
      <c r="F161">
        <v>26476</v>
      </c>
      <c r="G161" t="s">
        <v>254</v>
      </c>
      <c r="L161" s="222" t="s">
        <v>452</v>
      </c>
      <c r="M161" s="223">
        <v>0</v>
      </c>
      <c r="N161" s="223">
        <v>0</v>
      </c>
      <c r="O161" s="223">
        <v>0</v>
      </c>
      <c r="P161" s="223">
        <v>0</v>
      </c>
      <c r="Q161" s="223">
        <v>0</v>
      </c>
      <c r="R161" s="223">
        <v>0</v>
      </c>
      <c r="S161" s="223">
        <v>0</v>
      </c>
      <c r="T161" s="223">
        <v>0</v>
      </c>
      <c r="U161" s="223">
        <v>0</v>
      </c>
      <c r="V161" s="223">
        <v>0</v>
      </c>
      <c r="W161" s="223">
        <v>0</v>
      </c>
      <c r="X161" s="223">
        <v>0</v>
      </c>
      <c r="Y161" s="223">
        <v>0</v>
      </c>
    </row>
    <row r="162" spans="1:25">
      <c r="A162" s="216">
        <v>45170</v>
      </c>
      <c r="B162" t="s">
        <v>42</v>
      </c>
      <c r="C162">
        <v>13</v>
      </c>
      <c r="D162" t="s">
        <v>441</v>
      </c>
      <c r="E162" s="217">
        <v>45170</v>
      </c>
      <c r="F162">
        <v>25716</v>
      </c>
      <c r="G162" t="s">
        <v>255</v>
      </c>
      <c r="L162" s="222" t="s">
        <v>433</v>
      </c>
      <c r="M162" s="223">
        <v>2504</v>
      </c>
      <c r="N162" s="223">
        <v>2589</v>
      </c>
      <c r="O162" s="223">
        <v>2631</v>
      </c>
      <c r="P162" s="223">
        <v>2121</v>
      </c>
      <c r="Q162" s="223">
        <v>2195</v>
      </c>
      <c r="R162" s="223">
        <v>2442</v>
      </c>
      <c r="S162" s="223">
        <v>2583</v>
      </c>
      <c r="T162" s="223">
        <v>2342</v>
      </c>
      <c r="U162" s="223">
        <v>2450</v>
      </c>
      <c r="V162" s="223">
        <v>2574</v>
      </c>
      <c r="W162" s="223">
        <v>2492</v>
      </c>
      <c r="X162" s="223">
        <v>2503</v>
      </c>
      <c r="Y162" s="223">
        <v>29426</v>
      </c>
    </row>
    <row r="163" spans="1:25">
      <c r="A163" s="216">
        <v>45170</v>
      </c>
      <c r="B163" t="s">
        <v>42</v>
      </c>
      <c r="C163">
        <v>13</v>
      </c>
      <c r="D163" t="s">
        <v>441</v>
      </c>
      <c r="E163" s="217">
        <v>45170</v>
      </c>
      <c r="F163">
        <v>26688</v>
      </c>
      <c r="G163" t="s">
        <v>256</v>
      </c>
      <c r="L163" s="222" t="s">
        <v>445</v>
      </c>
      <c r="M163" s="223">
        <v>1430</v>
      </c>
      <c r="N163" s="223">
        <v>1996</v>
      </c>
      <c r="O163" s="223">
        <v>3676</v>
      </c>
      <c r="P163" s="223">
        <v>735</v>
      </c>
      <c r="Q163" s="223">
        <v>885</v>
      </c>
      <c r="R163" s="223">
        <v>946</v>
      </c>
      <c r="S163" s="223">
        <v>1386</v>
      </c>
      <c r="T163" s="223">
        <v>1311</v>
      </c>
      <c r="U163" s="223">
        <v>1193</v>
      </c>
      <c r="V163" s="223">
        <v>1621</v>
      </c>
      <c r="W163" s="223">
        <v>1590</v>
      </c>
      <c r="X163" s="223">
        <v>1857</v>
      </c>
      <c r="Y163" s="223">
        <v>18626</v>
      </c>
    </row>
    <row r="164" spans="1:25">
      <c r="A164" s="216">
        <v>45170</v>
      </c>
      <c r="B164" t="s">
        <v>42</v>
      </c>
      <c r="C164">
        <v>13</v>
      </c>
      <c r="D164" t="s">
        <v>441</v>
      </c>
      <c r="E164" s="217">
        <v>45170</v>
      </c>
      <c r="F164">
        <v>26258.333333333299</v>
      </c>
      <c r="G164" t="s">
        <v>257</v>
      </c>
      <c r="L164" s="222" t="s">
        <v>453</v>
      </c>
      <c r="M164" s="223">
        <v>27750</v>
      </c>
      <c r="N164" s="223">
        <v>30050</v>
      </c>
      <c r="O164" s="223">
        <v>29071</v>
      </c>
      <c r="P164" s="223">
        <v>23314</v>
      </c>
      <c r="Q164" s="223">
        <v>23602</v>
      </c>
      <c r="R164" s="223">
        <v>24453</v>
      </c>
      <c r="S164" s="223">
        <v>19934</v>
      </c>
      <c r="T164" s="223">
        <v>28060</v>
      </c>
      <c r="U164" s="223">
        <v>25377</v>
      </c>
      <c r="V164" s="223">
        <v>27950</v>
      </c>
      <c r="W164" s="223">
        <v>28450</v>
      </c>
      <c r="X164" s="223">
        <v>31850</v>
      </c>
      <c r="Y164" s="223">
        <v>319861</v>
      </c>
    </row>
    <row r="165" spans="1:25">
      <c r="A165" s="216">
        <v>45170</v>
      </c>
      <c r="B165" t="s">
        <v>42</v>
      </c>
      <c r="C165">
        <v>13</v>
      </c>
      <c r="D165" t="s">
        <v>441</v>
      </c>
      <c r="E165" s="217">
        <v>45170</v>
      </c>
      <c r="F165">
        <v>26258.333333333299</v>
      </c>
      <c r="G165" t="s">
        <v>258</v>
      </c>
      <c r="L165" s="222" t="s">
        <v>454</v>
      </c>
      <c r="M165" s="223">
        <v>0</v>
      </c>
      <c r="N165" s="223">
        <v>0</v>
      </c>
      <c r="O165" s="223">
        <v>0</v>
      </c>
      <c r="P165" s="223">
        <v>0</v>
      </c>
      <c r="Q165" s="223">
        <v>0</v>
      </c>
      <c r="R165" s="223">
        <v>0</v>
      </c>
      <c r="S165" s="223">
        <v>0</v>
      </c>
      <c r="T165" s="223">
        <v>0</v>
      </c>
      <c r="U165" s="223">
        <v>0</v>
      </c>
      <c r="V165" s="223">
        <v>0</v>
      </c>
      <c r="W165" s="223">
        <v>0</v>
      </c>
      <c r="X165" s="223">
        <v>0</v>
      </c>
      <c r="Y165" s="223">
        <v>0</v>
      </c>
    </row>
    <row r="166" spans="1:25">
      <c r="A166" s="216">
        <v>45170</v>
      </c>
      <c r="B166" t="s">
        <v>42</v>
      </c>
      <c r="C166">
        <v>13</v>
      </c>
      <c r="D166" t="s">
        <v>441</v>
      </c>
      <c r="E166" s="217">
        <v>45170</v>
      </c>
      <c r="F166">
        <v>26258.333333333299</v>
      </c>
      <c r="G166" t="s">
        <v>259</v>
      </c>
      <c r="L166" s="222" t="s">
        <v>455</v>
      </c>
      <c r="M166" s="223">
        <v>0</v>
      </c>
      <c r="N166" s="223">
        <v>0</v>
      </c>
      <c r="O166" s="223">
        <v>0</v>
      </c>
      <c r="P166" s="223">
        <v>0</v>
      </c>
      <c r="Q166" s="223">
        <v>0</v>
      </c>
      <c r="R166" s="223">
        <v>0</v>
      </c>
      <c r="S166" s="223">
        <v>0</v>
      </c>
      <c r="T166" s="223">
        <v>0</v>
      </c>
      <c r="U166" s="223">
        <v>0</v>
      </c>
      <c r="V166" s="223">
        <v>0</v>
      </c>
      <c r="W166" s="223">
        <v>0</v>
      </c>
      <c r="X166" s="223">
        <v>0</v>
      </c>
      <c r="Y166" s="223">
        <v>0</v>
      </c>
    </row>
    <row r="167" spans="1:25">
      <c r="A167" s="216">
        <v>45170</v>
      </c>
      <c r="B167" t="s">
        <v>42</v>
      </c>
      <c r="C167">
        <v>13</v>
      </c>
      <c r="D167" t="s">
        <v>441</v>
      </c>
      <c r="E167" s="217">
        <v>45170</v>
      </c>
      <c r="F167">
        <v>26258.333333333299</v>
      </c>
      <c r="G167" t="s">
        <v>260</v>
      </c>
      <c r="L167" s="222" t="s">
        <v>456</v>
      </c>
      <c r="M167" s="223">
        <v>0</v>
      </c>
      <c r="N167" s="223">
        <v>0</v>
      </c>
      <c r="O167" s="223">
        <v>0</v>
      </c>
      <c r="P167" s="223">
        <v>0</v>
      </c>
      <c r="Q167" s="223">
        <v>0</v>
      </c>
      <c r="R167" s="223">
        <v>0</v>
      </c>
      <c r="S167" s="223">
        <v>0</v>
      </c>
      <c r="T167" s="223">
        <v>0</v>
      </c>
      <c r="U167" s="223">
        <v>0</v>
      </c>
      <c r="V167" s="223">
        <v>0</v>
      </c>
      <c r="W167" s="223">
        <v>0</v>
      </c>
      <c r="X167" s="223">
        <v>0</v>
      </c>
      <c r="Y167" s="223">
        <v>0</v>
      </c>
    </row>
    <row r="168" spans="1:25">
      <c r="A168" s="216">
        <v>45170</v>
      </c>
      <c r="B168" t="s">
        <v>42</v>
      </c>
      <c r="C168">
        <v>13</v>
      </c>
      <c r="D168" t="s">
        <v>441</v>
      </c>
      <c r="E168" s="217">
        <v>45170</v>
      </c>
      <c r="F168">
        <v>26258.333333333299</v>
      </c>
      <c r="G168" t="s">
        <v>261</v>
      </c>
      <c r="L168" s="222" t="s">
        <v>457</v>
      </c>
      <c r="M168" s="223">
        <v>0</v>
      </c>
      <c r="N168" s="223">
        <v>0</v>
      </c>
      <c r="O168" s="223">
        <v>0</v>
      </c>
      <c r="P168" s="223">
        <v>0</v>
      </c>
      <c r="Q168" s="223">
        <v>0</v>
      </c>
      <c r="R168" s="223">
        <v>0</v>
      </c>
      <c r="S168" s="223">
        <v>0</v>
      </c>
      <c r="T168" s="223">
        <v>0</v>
      </c>
      <c r="U168" s="223">
        <v>0</v>
      </c>
      <c r="V168" s="223">
        <v>0</v>
      </c>
      <c r="W168" s="223">
        <v>0</v>
      </c>
      <c r="X168" s="223">
        <v>0</v>
      </c>
      <c r="Y168" s="223">
        <v>0</v>
      </c>
    </row>
    <row r="169" spans="1:25">
      <c r="A169" s="216">
        <v>45170</v>
      </c>
      <c r="B169" t="s">
        <v>42</v>
      </c>
      <c r="C169">
        <v>13</v>
      </c>
      <c r="D169" t="s">
        <v>441</v>
      </c>
      <c r="E169" s="217">
        <v>45170</v>
      </c>
      <c r="F169">
        <v>26258.333333333299</v>
      </c>
      <c r="G169" t="s">
        <v>262</v>
      </c>
      <c r="L169" s="222" t="s">
        <v>458</v>
      </c>
      <c r="M169" s="223">
        <v>0</v>
      </c>
      <c r="N169" s="223">
        <v>0</v>
      </c>
      <c r="O169" s="223">
        <v>213</v>
      </c>
      <c r="P169" s="223">
        <v>0</v>
      </c>
      <c r="Q169" s="223">
        <v>0</v>
      </c>
      <c r="R169" s="223">
        <v>0</v>
      </c>
      <c r="S169" s="223">
        <v>0</v>
      </c>
      <c r="T169" s="223">
        <v>0</v>
      </c>
      <c r="U169" s="223">
        <v>0</v>
      </c>
      <c r="V169" s="223">
        <v>0</v>
      </c>
      <c r="W169" s="223">
        <v>0</v>
      </c>
      <c r="X169" s="223">
        <v>0</v>
      </c>
      <c r="Y169" s="223">
        <v>213</v>
      </c>
    </row>
    <row r="170" spans="1:25">
      <c r="A170" s="216">
        <v>45170</v>
      </c>
      <c r="B170" t="s">
        <v>42</v>
      </c>
      <c r="C170">
        <v>13</v>
      </c>
      <c r="D170" t="s">
        <v>441</v>
      </c>
      <c r="E170" s="217">
        <v>45170</v>
      </c>
      <c r="F170">
        <v>317293</v>
      </c>
      <c r="G170" t="s">
        <v>434</v>
      </c>
      <c r="L170" s="222" t="s">
        <v>459</v>
      </c>
      <c r="M170" s="223">
        <v>0</v>
      </c>
      <c r="N170" s="223">
        <v>0</v>
      </c>
      <c r="O170" s="223">
        <v>0</v>
      </c>
      <c r="P170" s="223">
        <v>0</v>
      </c>
      <c r="Q170" s="223">
        <v>0</v>
      </c>
      <c r="R170" s="223">
        <v>0</v>
      </c>
      <c r="S170" s="223">
        <v>0</v>
      </c>
      <c r="T170" s="223">
        <v>0</v>
      </c>
      <c r="U170" s="223">
        <v>94</v>
      </c>
      <c r="V170" s="223">
        <v>0</v>
      </c>
      <c r="W170" s="223">
        <v>0</v>
      </c>
      <c r="X170" s="223">
        <v>0</v>
      </c>
      <c r="Y170" s="223">
        <v>94</v>
      </c>
    </row>
    <row r="171" spans="1:25">
      <c r="A171" s="216">
        <v>45170</v>
      </c>
      <c r="B171" t="s">
        <v>42</v>
      </c>
      <c r="C171">
        <v>14</v>
      </c>
      <c r="D171" t="s">
        <v>447</v>
      </c>
      <c r="E171" s="217">
        <v>45170</v>
      </c>
      <c r="F171">
        <v>0</v>
      </c>
      <c r="G171" t="s">
        <v>251</v>
      </c>
      <c r="L171" s="222" t="s">
        <v>460</v>
      </c>
      <c r="M171" s="223">
        <v>0</v>
      </c>
      <c r="N171" s="223">
        <v>0</v>
      </c>
      <c r="O171" s="223">
        <v>0</v>
      </c>
      <c r="P171" s="223">
        <v>0</v>
      </c>
      <c r="Q171" s="223">
        <v>0</v>
      </c>
      <c r="R171" s="223">
        <v>0</v>
      </c>
      <c r="S171" s="223">
        <v>0</v>
      </c>
      <c r="T171" s="223">
        <v>0</v>
      </c>
      <c r="U171" s="223">
        <v>0</v>
      </c>
      <c r="V171" s="223">
        <v>0</v>
      </c>
      <c r="W171" s="223">
        <v>0</v>
      </c>
      <c r="X171" s="223">
        <v>0</v>
      </c>
      <c r="Y171" s="223">
        <v>0</v>
      </c>
    </row>
    <row r="172" spans="1:25">
      <c r="A172" s="216">
        <v>45170</v>
      </c>
      <c r="B172" t="s">
        <v>42</v>
      </c>
      <c r="C172">
        <v>14</v>
      </c>
      <c r="D172" t="s">
        <v>447</v>
      </c>
      <c r="E172" s="217">
        <v>45170</v>
      </c>
      <c r="F172">
        <v>0</v>
      </c>
      <c r="G172" t="s">
        <v>252</v>
      </c>
      <c r="L172" s="221" t="s">
        <v>46</v>
      </c>
      <c r="M172" s="223">
        <v>394312.86242234037</v>
      </c>
      <c r="N172" s="223">
        <v>386077.78315826465</v>
      </c>
      <c r="O172" s="223">
        <v>483886.89573339844</v>
      </c>
      <c r="P172" s="223">
        <v>368152</v>
      </c>
      <c r="Q172" s="223">
        <v>378859.39999999997</v>
      </c>
      <c r="R172" s="223">
        <v>402760.66399999999</v>
      </c>
      <c r="S172" s="223">
        <v>403447</v>
      </c>
      <c r="T172" s="223">
        <v>387058</v>
      </c>
      <c r="U172" s="223">
        <v>385577.92700000003</v>
      </c>
      <c r="V172" s="223">
        <v>410978.55096684693</v>
      </c>
      <c r="W172" s="223">
        <v>395776.85610241251</v>
      </c>
      <c r="X172" s="223">
        <v>393087.29197484598</v>
      </c>
      <c r="Y172" s="223">
        <v>4789975.2313581165</v>
      </c>
    </row>
    <row r="173" spans="1:25">
      <c r="A173" s="216">
        <v>45170</v>
      </c>
      <c r="B173" t="s">
        <v>42</v>
      </c>
      <c r="C173">
        <v>14</v>
      </c>
      <c r="D173" t="s">
        <v>447</v>
      </c>
      <c r="E173" s="217">
        <v>45170</v>
      </c>
      <c r="F173">
        <v>0</v>
      </c>
      <c r="G173" t="s">
        <v>253</v>
      </c>
      <c r="L173" s="222" t="s">
        <v>435</v>
      </c>
      <c r="M173" s="223">
        <v>72</v>
      </c>
      <c r="N173" s="223">
        <v>72</v>
      </c>
      <c r="O173" s="223">
        <v>19793</v>
      </c>
      <c r="P173" s="223">
        <v>65</v>
      </c>
      <c r="Q173" s="223">
        <v>65</v>
      </c>
      <c r="R173" s="223">
        <v>-3574</v>
      </c>
      <c r="S173" s="223">
        <v>69</v>
      </c>
      <c r="T173" s="223">
        <v>69</v>
      </c>
      <c r="U173" s="223">
        <v>69</v>
      </c>
      <c r="V173" s="223">
        <v>72</v>
      </c>
      <c r="W173" s="223">
        <v>72</v>
      </c>
      <c r="X173" s="223">
        <v>72</v>
      </c>
      <c r="Y173" s="223">
        <v>16916</v>
      </c>
    </row>
    <row r="174" spans="1:25">
      <c r="A174" s="216">
        <v>45170</v>
      </c>
      <c r="B174" t="s">
        <v>42</v>
      </c>
      <c r="C174">
        <v>14</v>
      </c>
      <c r="D174" t="s">
        <v>447</v>
      </c>
      <c r="E174" s="217">
        <v>45170</v>
      </c>
      <c r="F174">
        <v>0</v>
      </c>
      <c r="G174" t="s">
        <v>254</v>
      </c>
      <c r="L174" s="222" t="s">
        <v>436</v>
      </c>
      <c r="M174" s="223">
        <v>66</v>
      </c>
      <c r="N174" s="223">
        <v>66</v>
      </c>
      <c r="O174" s="223">
        <v>17</v>
      </c>
      <c r="P174" s="223">
        <v>0</v>
      </c>
      <c r="Q174" s="223">
        <v>0</v>
      </c>
      <c r="R174" s="223">
        <v>0</v>
      </c>
      <c r="S174" s="223">
        <v>247</v>
      </c>
      <c r="T174" s="223">
        <v>0</v>
      </c>
      <c r="U174" s="223">
        <v>0</v>
      </c>
      <c r="V174" s="223">
        <v>66</v>
      </c>
      <c r="W174" s="223">
        <v>66</v>
      </c>
      <c r="X174" s="223">
        <v>66</v>
      </c>
      <c r="Y174" s="223">
        <v>594</v>
      </c>
    </row>
    <row r="175" spans="1:25">
      <c r="A175" s="216">
        <v>45170</v>
      </c>
      <c r="B175" t="s">
        <v>42</v>
      </c>
      <c r="C175">
        <v>14</v>
      </c>
      <c r="D175" t="s">
        <v>447</v>
      </c>
      <c r="E175" s="217">
        <v>45170</v>
      </c>
      <c r="F175">
        <v>0</v>
      </c>
      <c r="G175" t="s">
        <v>255</v>
      </c>
      <c r="L175" s="222" t="s">
        <v>437</v>
      </c>
      <c r="M175" s="223">
        <v>5217</v>
      </c>
      <c r="N175" s="223">
        <v>4909</v>
      </c>
      <c r="O175" s="223">
        <v>5217</v>
      </c>
      <c r="P175" s="223">
        <v>4464</v>
      </c>
      <c r="Q175" s="223">
        <v>4616</v>
      </c>
      <c r="R175" s="223">
        <v>4571</v>
      </c>
      <c r="S175" s="223">
        <v>4865</v>
      </c>
      <c r="T175" s="223">
        <v>4829</v>
      </c>
      <c r="U175" s="223">
        <v>5523</v>
      </c>
      <c r="V175" s="223">
        <v>8117</v>
      </c>
      <c r="W175" s="223">
        <v>5102</v>
      </c>
      <c r="X175" s="223">
        <v>5256</v>
      </c>
      <c r="Y175" s="223">
        <v>62686</v>
      </c>
    </row>
    <row r="176" spans="1:25">
      <c r="A176" s="216">
        <v>45170</v>
      </c>
      <c r="B176" t="s">
        <v>42</v>
      </c>
      <c r="C176">
        <v>14</v>
      </c>
      <c r="D176" t="s">
        <v>447</v>
      </c>
      <c r="E176" s="217">
        <v>45170</v>
      </c>
      <c r="F176">
        <v>0</v>
      </c>
      <c r="G176" t="s">
        <v>256</v>
      </c>
      <c r="L176" s="222" t="s">
        <v>438</v>
      </c>
      <c r="M176" s="223">
        <v>102987</v>
      </c>
      <c r="N176" s="223">
        <v>101269</v>
      </c>
      <c r="O176" s="223">
        <v>125376</v>
      </c>
      <c r="P176" s="223">
        <v>100837</v>
      </c>
      <c r="Q176" s="223">
        <v>103673</v>
      </c>
      <c r="R176" s="223">
        <v>110291</v>
      </c>
      <c r="S176" s="223">
        <v>109888</v>
      </c>
      <c r="T176" s="223">
        <v>105475</v>
      </c>
      <c r="U176" s="223">
        <v>105347</v>
      </c>
      <c r="V176" s="223">
        <v>110790</v>
      </c>
      <c r="W176" s="223">
        <v>103583</v>
      </c>
      <c r="X176" s="223">
        <v>102653</v>
      </c>
      <c r="Y176" s="223">
        <v>1282169</v>
      </c>
    </row>
    <row r="177" spans="1:25">
      <c r="A177" s="216">
        <v>45170</v>
      </c>
      <c r="B177" t="s">
        <v>42</v>
      </c>
      <c r="C177">
        <v>14</v>
      </c>
      <c r="D177" t="s">
        <v>447</v>
      </c>
      <c r="E177" s="217">
        <v>45170</v>
      </c>
      <c r="F177">
        <v>0</v>
      </c>
      <c r="G177" t="s">
        <v>257</v>
      </c>
      <c r="L177" s="222" t="s">
        <v>439</v>
      </c>
      <c r="M177" s="223">
        <v>2247</v>
      </c>
      <c r="N177" s="223">
        <v>2247</v>
      </c>
      <c r="O177" s="223">
        <v>1797</v>
      </c>
      <c r="P177" s="223">
        <v>2179</v>
      </c>
      <c r="Q177" s="223">
        <v>2176</v>
      </c>
      <c r="R177" s="223">
        <v>2072</v>
      </c>
      <c r="S177" s="223">
        <v>2127</v>
      </c>
      <c r="T177" s="223">
        <v>2266</v>
      </c>
      <c r="U177" s="223">
        <v>2236</v>
      </c>
      <c r="V177" s="223">
        <v>2247</v>
      </c>
      <c r="W177" s="223">
        <v>2247</v>
      </c>
      <c r="X177" s="223">
        <v>2247</v>
      </c>
      <c r="Y177" s="223">
        <v>26088</v>
      </c>
    </row>
    <row r="178" spans="1:25">
      <c r="A178" s="216">
        <v>45170</v>
      </c>
      <c r="B178" t="s">
        <v>42</v>
      </c>
      <c r="C178">
        <v>14</v>
      </c>
      <c r="D178" t="s">
        <v>447</v>
      </c>
      <c r="E178" s="217">
        <v>45170</v>
      </c>
      <c r="F178">
        <v>0</v>
      </c>
      <c r="G178" t="s">
        <v>258</v>
      </c>
      <c r="L178" s="222" t="s">
        <v>440</v>
      </c>
      <c r="M178" s="223">
        <v>0</v>
      </c>
      <c r="N178" s="223">
        <v>0</v>
      </c>
      <c r="O178" s="223">
        <v>0</v>
      </c>
      <c r="P178" s="223">
        <v>0</v>
      </c>
      <c r="Q178" s="223">
        <v>0</v>
      </c>
      <c r="R178" s="223">
        <v>0</v>
      </c>
      <c r="S178" s="223">
        <v>0</v>
      </c>
      <c r="T178" s="223">
        <v>0</v>
      </c>
      <c r="U178" s="223">
        <v>0</v>
      </c>
      <c r="V178" s="223">
        <v>0</v>
      </c>
      <c r="W178" s="223">
        <v>0</v>
      </c>
      <c r="X178" s="223">
        <v>0</v>
      </c>
      <c r="Y178" s="223">
        <v>0</v>
      </c>
    </row>
    <row r="179" spans="1:25">
      <c r="A179" s="216">
        <v>45170</v>
      </c>
      <c r="B179" t="s">
        <v>42</v>
      </c>
      <c r="C179">
        <v>14</v>
      </c>
      <c r="D179" t="s">
        <v>447</v>
      </c>
      <c r="E179" s="217">
        <v>45170</v>
      </c>
      <c r="F179">
        <v>0</v>
      </c>
      <c r="G179" t="s">
        <v>259</v>
      </c>
      <c r="L179" s="222" t="s">
        <v>441</v>
      </c>
      <c r="M179" s="223">
        <v>15493</v>
      </c>
      <c r="N179" s="223">
        <v>15493</v>
      </c>
      <c r="O179" s="223">
        <v>15493</v>
      </c>
      <c r="P179" s="223">
        <v>15430</v>
      </c>
      <c r="Q179" s="223">
        <v>15691</v>
      </c>
      <c r="R179" s="223">
        <v>15625</v>
      </c>
      <c r="S179" s="223">
        <v>15472</v>
      </c>
      <c r="T179" s="223">
        <v>15568</v>
      </c>
      <c r="U179" s="223">
        <v>15939</v>
      </c>
      <c r="V179" s="223">
        <v>15315</v>
      </c>
      <c r="W179" s="223">
        <v>15461</v>
      </c>
      <c r="X179" s="223">
        <v>15451</v>
      </c>
      <c r="Y179" s="223">
        <v>186431</v>
      </c>
    </row>
    <row r="180" spans="1:25">
      <c r="A180" s="216">
        <v>45170</v>
      </c>
      <c r="B180" t="s">
        <v>42</v>
      </c>
      <c r="C180">
        <v>14</v>
      </c>
      <c r="D180" t="s">
        <v>447</v>
      </c>
      <c r="E180" s="217">
        <v>45170</v>
      </c>
      <c r="F180">
        <v>0</v>
      </c>
      <c r="G180" t="s">
        <v>260</v>
      </c>
      <c r="L180" s="222" t="s">
        <v>442</v>
      </c>
      <c r="M180" s="223">
        <v>97108.620807446801</v>
      </c>
      <c r="N180" s="223">
        <v>94936.261052754897</v>
      </c>
      <c r="O180" s="223">
        <v>119503.63191113299</v>
      </c>
      <c r="P180" s="223">
        <v>89105</v>
      </c>
      <c r="Q180" s="223">
        <v>91728.8</v>
      </c>
      <c r="R180" s="223">
        <v>97489.888000000006</v>
      </c>
      <c r="S180" s="223">
        <v>97853</v>
      </c>
      <c r="T180" s="223">
        <v>93861</v>
      </c>
      <c r="U180" s="223">
        <v>93410.308999999994</v>
      </c>
      <c r="V180" s="223">
        <v>100062.850322282</v>
      </c>
      <c r="W180" s="223">
        <v>97397.952034137503</v>
      </c>
      <c r="X180" s="223">
        <v>96811.430658281999</v>
      </c>
      <c r="Y180" s="223">
        <v>1169268.74378604</v>
      </c>
    </row>
    <row r="181" spans="1:25">
      <c r="A181" s="216">
        <v>45170</v>
      </c>
      <c r="B181" t="s">
        <v>42</v>
      </c>
      <c r="C181">
        <v>14</v>
      </c>
      <c r="D181" t="s">
        <v>447</v>
      </c>
      <c r="E181" s="217">
        <v>45170</v>
      </c>
      <c r="F181">
        <v>0</v>
      </c>
      <c r="G181" t="s">
        <v>261</v>
      </c>
      <c r="L181" s="222" t="s">
        <v>443</v>
      </c>
      <c r="M181" s="223">
        <v>61</v>
      </c>
      <c r="N181" s="223">
        <v>61</v>
      </c>
      <c r="O181" s="223">
        <v>61</v>
      </c>
      <c r="P181" s="223">
        <v>104</v>
      </c>
      <c r="Q181" s="223">
        <v>108</v>
      </c>
      <c r="R181" s="223">
        <v>1</v>
      </c>
      <c r="S181" s="223">
        <v>114</v>
      </c>
      <c r="T181" s="223">
        <v>-51</v>
      </c>
      <c r="U181" s="223">
        <v>88</v>
      </c>
      <c r="V181" s="223">
        <v>96</v>
      </c>
      <c r="W181" s="223">
        <v>61</v>
      </c>
      <c r="X181" s="223">
        <v>61</v>
      </c>
      <c r="Y181" s="223">
        <v>765</v>
      </c>
    </row>
    <row r="182" spans="1:25">
      <c r="A182" s="216">
        <v>45170</v>
      </c>
      <c r="B182" t="s">
        <v>42</v>
      </c>
      <c r="C182">
        <v>14</v>
      </c>
      <c r="D182" t="s">
        <v>447</v>
      </c>
      <c r="E182" s="217">
        <v>45170</v>
      </c>
      <c r="F182">
        <v>0</v>
      </c>
      <c r="G182" t="s">
        <v>262</v>
      </c>
      <c r="L182" s="222" t="s">
        <v>444</v>
      </c>
      <c r="M182" s="223">
        <v>85</v>
      </c>
      <c r="N182" s="223">
        <v>85</v>
      </c>
      <c r="O182" s="223">
        <v>85</v>
      </c>
      <c r="P182" s="223">
        <v>127</v>
      </c>
      <c r="Q182" s="223">
        <v>-15</v>
      </c>
      <c r="R182" s="223">
        <v>36</v>
      </c>
      <c r="S182" s="223">
        <v>70</v>
      </c>
      <c r="T182" s="223">
        <v>182</v>
      </c>
      <c r="U182" s="223">
        <v>107</v>
      </c>
      <c r="V182" s="223">
        <v>143</v>
      </c>
      <c r="W182" s="223">
        <v>85</v>
      </c>
      <c r="X182" s="223">
        <v>85</v>
      </c>
      <c r="Y182" s="223">
        <v>1075</v>
      </c>
    </row>
    <row r="183" spans="1:25">
      <c r="A183" s="216">
        <v>45170</v>
      </c>
      <c r="B183" t="s">
        <v>42</v>
      </c>
      <c r="C183">
        <v>14</v>
      </c>
      <c r="D183" t="s">
        <v>447</v>
      </c>
      <c r="E183" s="217">
        <v>45170</v>
      </c>
      <c r="F183">
        <v>0</v>
      </c>
      <c r="G183" t="s">
        <v>434</v>
      </c>
      <c r="L183" s="222" t="s">
        <v>446</v>
      </c>
      <c r="M183" s="223">
        <v>-5878.3791925532096</v>
      </c>
      <c r="N183" s="223">
        <v>-6332.7389472451296</v>
      </c>
      <c r="O183" s="223">
        <v>-5872.3680888672397</v>
      </c>
      <c r="P183" s="223">
        <v>-11732</v>
      </c>
      <c r="Q183" s="223">
        <v>-11944.2</v>
      </c>
      <c r="R183" s="223">
        <v>-12801.111999999999</v>
      </c>
      <c r="S183" s="223">
        <v>-12035</v>
      </c>
      <c r="T183" s="223">
        <v>-11614</v>
      </c>
      <c r="U183" s="223">
        <v>-11936.691000000001</v>
      </c>
      <c r="V183" s="223">
        <v>-10727.1496777175</v>
      </c>
      <c r="W183" s="223">
        <v>-6185.0479658624799</v>
      </c>
      <c r="X183" s="223">
        <v>-5841.56934171802</v>
      </c>
      <c r="Y183" s="223">
        <v>-112900.256213963</v>
      </c>
    </row>
    <row r="184" spans="1:25">
      <c r="A184" s="216">
        <v>45170</v>
      </c>
      <c r="B184" t="s">
        <v>42</v>
      </c>
      <c r="C184">
        <v>15</v>
      </c>
      <c r="D184" t="s">
        <v>437</v>
      </c>
      <c r="E184" s="217">
        <v>45170</v>
      </c>
      <c r="F184">
        <v>10665</v>
      </c>
      <c r="G184" t="s">
        <v>251</v>
      </c>
      <c r="L184" s="222" t="s">
        <v>447</v>
      </c>
      <c r="M184" s="223">
        <v>0</v>
      </c>
      <c r="N184" s="223">
        <v>0</v>
      </c>
      <c r="O184" s="223">
        <v>0</v>
      </c>
      <c r="P184" s="223">
        <v>0</v>
      </c>
      <c r="Q184" s="223">
        <v>0</v>
      </c>
      <c r="R184" s="223">
        <v>0</v>
      </c>
      <c r="S184" s="223">
        <v>0</v>
      </c>
      <c r="T184" s="223">
        <v>0</v>
      </c>
      <c r="U184" s="223">
        <v>0</v>
      </c>
      <c r="V184" s="223">
        <v>0</v>
      </c>
      <c r="W184" s="223">
        <v>0</v>
      </c>
      <c r="X184" s="223">
        <v>0</v>
      </c>
      <c r="Y184" s="223">
        <v>0</v>
      </c>
    </row>
    <row r="185" spans="1:25">
      <c r="A185" s="216">
        <v>45170</v>
      </c>
      <c r="B185" t="s">
        <v>42</v>
      </c>
      <c r="C185">
        <v>15</v>
      </c>
      <c r="D185" t="s">
        <v>437</v>
      </c>
      <c r="E185" s="217">
        <v>45170</v>
      </c>
      <c r="F185">
        <v>11144</v>
      </c>
      <c r="G185" t="s">
        <v>252</v>
      </c>
      <c r="L185" s="222" t="s">
        <v>448</v>
      </c>
      <c r="M185" s="223">
        <v>2472</v>
      </c>
      <c r="N185" s="223">
        <v>2476</v>
      </c>
      <c r="O185" s="223">
        <v>2477</v>
      </c>
      <c r="P185" s="223">
        <v>2449</v>
      </c>
      <c r="Q185" s="223">
        <v>2406</v>
      </c>
      <c r="R185" s="223">
        <v>2051</v>
      </c>
      <c r="S185" s="223">
        <v>2586</v>
      </c>
      <c r="T185" s="223">
        <v>3079</v>
      </c>
      <c r="U185" s="223">
        <v>2358</v>
      </c>
      <c r="V185" s="223">
        <v>2505</v>
      </c>
      <c r="W185" s="223">
        <v>2422</v>
      </c>
      <c r="X185" s="223">
        <v>2473</v>
      </c>
      <c r="Y185" s="223">
        <v>29754</v>
      </c>
    </row>
    <row r="186" spans="1:25">
      <c r="A186" s="216">
        <v>45170</v>
      </c>
      <c r="B186" t="s">
        <v>42</v>
      </c>
      <c r="C186">
        <v>15</v>
      </c>
      <c r="D186" t="s">
        <v>437</v>
      </c>
      <c r="E186" s="217">
        <v>45170</v>
      </c>
      <c r="F186">
        <v>10706</v>
      </c>
      <c r="G186" t="s">
        <v>253</v>
      </c>
      <c r="L186" s="222" t="s">
        <v>449</v>
      </c>
      <c r="M186" s="223">
        <v>142</v>
      </c>
      <c r="N186" s="223">
        <v>142</v>
      </c>
      <c r="O186" s="223">
        <v>142</v>
      </c>
      <c r="P186" s="223">
        <v>198</v>
      </c>
      <c r="Q186" s="223">
        <v>171</v>
      </c>
      <c r="R186" s="223">
        <v>251</v>
      </c>
      <c r="S186" s="223">
        <v>238</v>
      </c>
      <c r="T186" s="223">
        <v>259</v>
      </c>
      <c r="U186" s="223">
        <v>230</v>
      </c>
      <c r="V186" s="223">
        <v>142</v>
      </c>
      <c r="W186" s="223">
        <v>142</v>
      </c>
      <c r="X186" s="223">
        <v>154</v>
      </c>
      <c r="Y186" s="223">
        <v>2211</v>
      </c>
    </row>
    <row r="187" spans="1:25">
      <c r="A187" s="216">
        <v>45170</v>
      </c>
      <c r="B187" t="s">
        <v>42</v>
      </c>
      <c r="C187">
        <v>15</v>
      </c>
      <c r="D187" t="s">
        <v>437</v>
      </c>
      <c r="E187" s="217">
        <v>45170</v>
      </c>
      <c r="F187">
        <v>10591</v>
      </c>
      <c r="G187" t="s">
        <v>254</v>
      </c>
      <c r="L187" s="222" t="s">
        <v>450</v>
      </c>
      <c r="M187" s="223">
        <v>8228</v>
      </c>
      <c r="N187" s="223">
        <v>7447</v>
      </c>
      <c r="O187" s="223">
        <v>7189</v>
      </c>
      <c r="P187" s="223">
        <v>6767</v>
      </c>
      <c r="Q187" s="223">
        <v>7453</v>
      </c>
      <c r="R187" s="223">
        <v>7830</v>
      </c>
      <c r="S187" s="223">
        <v>8092</v>
      </c>
      <c r="T187" s="223">
        <v>7995</v>
      </c>
      <c r="U187" s="223">
        <v>7834</v>
      </c>
      <c r="V187" s="223">
        <v>7825</v>
      </c>
      <c r="W187" s="223">
        <v>7992</v>
      </c>
      <c r="X187" s="223">
        <v>7612</v>
      </c>
      <c r="Y187" s="223">
        <v>92264</v>
      </c>
    </row>
    <row r="188" spans="1:25">
      <c r="A188" s="216">
        <v>45170</v>
      </c>
      <c r="B188" t="s">
        <v>42</v>
      </c>
      <c r="C188">
        <v>15</v>
      </c>
      <c r="D188" t="s">
        <v>437</v>
      </c>
      <c r="E188" s="217">
        <v>45170</v>
      </c>
      <c r="F188">
        <v>10578</v>
      </c>
      <c r="G188" t="s">
        <v>255</v>
      </c>
      <c r="L188" s="222" t="s">
        <v>451</v>
      </c>
      <c r="M188" s="223">
        <v>11729</v>
      </c>
      <c r="N188" s="223">
        <v>11137</v>
      </c>
      <c r="O188" s="223">
        <v>11329</v>
      </c>
      <c r="P188" s="223">
        <v>11348</v>
      </c>
      <c r="Q188" s="223">
        <v>10645</v>
      </c>
      <c r="R188" s="223">
        <v>11425</v>
      </c>
      <c r="S188" s="223">
        <v>11016</v>
      </c>
      <c r="T188" s="223">
        <v>10808</v>
      </c>
      <c r="U188" s="223">
        <v>10743</v>
      </c>
      <c r="V188" s="223">
        <v>13401</v>
      </c>
      <c r="W188" s="223">
        <v>11997</v>
      </c>
      <c r="X188" s="223">
        <v>11731</v>
      </c>
      <c r="Y188" s="223">
        <v>137309</v>
      </c>
    </row>
    <row r="189" spans="1:25">
      <c r="A189" s="216">
        <v>45170</v>
      </c>
      <c r="B189" t="s">
        <v>42</v>
      </c>
      <c r="C189">
        <v>15</v>
      </c>
      <c r="D189" t="s">
        <v>437</v>
      </c>
      <c r="E189" s="217">
        <v>45170</v>
      </c>
      <c r="F189">
        <v>10418</v>
      </c>
      <c r="G189" t="s">
        <v>256</v>
      </c>
      <c r="L189" s="222" t="s">
        <v>452</v>
      </c>
      <c r="M189" s="223">
        <v>0</v>
      </c>
      <c r="N189" s="223">
        <v>0</v>
      </c>
      <c r="O189" s="223">
        <v>0</v>
      </c>
      <c r="P189" s="223">
        <v>0</v>
      </c>
      <c r="Q189" s="223">
        <v>0</v>
      </c>
      <c r="R189" s="223">
        <v>0</v>
      </c>
      <c r="S189" s="223">
        <v>0</v>
      </c>
      <c r="T189" s="223">
        <v>0</v>
      </c>
      <c r="U189" s="223">
        <v>0</v>
      </c>
      <c r="V189" s="223">
        <v>0</v>
      </c>
      <c r="W189" s="223">
        <v>0</v>
      </c>
      <c r="X189" s="223">
        <v>0</v>
      </c>
      <c r="Y189" s="223">
        <v>0</v>
      </c>
    </row>
    <row r="190" spans="1:25">
      <c r="A190" s="216">
        <v>45170</v>
      </c>
      <c r="B190" t="s">
        <v>42</v>
      </c>
      <c r="C190">
        <v>15</v>
      </c>
      <c r="D190" t="s">
        <v>437</v>
      </c>
      <c r="E190" s="217">
        <v>45170</v>
      </c>
      <c r="F190">
        <v>10602.583333333299</v>
      </c>
      <c r="G190" t="s">
        <v>257</v>
      </c>
      <c r="L190" s="222" t="s">
        <v>433</v>
      </c>
      <c r="M190" s="223">
        <v>47537</v>
      </c>
      <c r="N190" s="223">
        <v>47341</v>
      </c>
      <c r="O190" s="223">
        <v>47431</v>
      </c>
      <c r="P190" s="223">
        <v>46474</v>
      </c>
      <c r="Q190" s="223">
        <v>48556</v>
      </c>
      <c r="R190" s="223">
        <v>57388</v>
      </c>
      <c r="S190" s="223">
        <v>52889</v>
      </c>
      <c r="T190" s="223">
        <v>49010</v>
      </c>
      <c r="U190" s="223">
        <v>47997</v>
      </c>
      <c r="V190" s="223">
        <v>48284</v>
      </c>
      <c r="W190" s="223">
        <v>47903</v>
      </c>
      <c r="X190" s="223">
        <v>47676</v>
      </c>
      <c r="Y190" s="223">
        <v>588486</v>
      </c>
    </row>
    <row r="191" spans="1:25">
      <c r="A191" s="216">
        <v>45170</v>
      </c>
      <c r="B191" t="s">
        <v>42</v>
      </c>
      <c r="C191">
        <v>15</v>
      </c>
      <c r="D191" t="s">
        <v>437</v>
      </c>
      <c r="E191" s="217">
        <v>45170</v>
      </c>
      <c r="F191">
        <v>10602.583333333299</v>
      </c>
      <c r="G191" t="s">
        <v>258</v>
      </c>
      <c r="L191" s="222" t="s">
        <v>445</v>
      </c>
      <c r="M191" s="223">
        <v>7500</v>
      </c>
      <c r="N191" s="223">
        <v>7650</v>
      </c>
      <c r="O191" s="223">
        <v>12213</v>
      </c>
      <c r="P191" s="223">
        <v>8963</v>
      </c>
      <c r="Q191" s="223">
        <v>9363</v>
      </c>
      <c r="R191" s="223">
        <v>9508</v>
      </c>
      <c r="S191" s="223">
        <v>10181</v>
      </c>
      <c r="T191" s="223">
        <v>9552</v>
      </c>
      <c r="U191" s="223">
        <v>9226</v>
      </c>
      <c r="V191" s="223">
        <v>9746</v>
      </c>
      <c r="W191" s="223">
        <v>7721</v>
      </c>
      <c r="X191" s="223">
        <v>7641</v>
      </c>
      <c r="Y191" s="223">
        <v>109264</v>
      </c>
    </row>
    <row r="192" spans="1:25">
      <c r="A192" s="216">
        <v>45170</v>
      </c>
      <c r="B192" t="s">
        <v>42</v>
      </c>
      <c r="C192">
        <v>15</v>
      </c>
      <c r="D192" t="s">
        <v>437</v>
      </c>
      <c r="E192" s="217">
        <v>45170</v>
      </c>
      <c r="F192">
        <v>10602.583333333299</v>
      </c>
      <c r="G192" t="s">
        <v>259</v>
      </c>
      <c r="L192" s="222" t="s">
        <v>453</v>
      </c>
      <c r="M192" s="223">
        <v>91022.454140780101</v>
      </c>
      <c r="N192" s="223">
        <v>88872.094386088196</v>
      </c>
      <c r="O192" s="223">
        <v>113423.465244466</v>
      </c>
      <c r="P192" s="223">
        <v>83734</v>
      </c>
      <c r="Q192" s="223">
        <v>86240.8</v>
      </c>
      <c r="R192" s="223">
        <v>92032.888000000006</v>
      </c>
      <c r="S192" s="223">
        <v>91291</v>
      </c>
      <c r="T192" s="223">
        <v>87000</v>
      </c>
      <c r="U192" s="223">
        <v>88043.308999999994</v>
      </c>
      <c r="V192" s="223">
        <v>94198.683655615794</v>
      </c>
      <c r="W192" s="223">
        <v>91374.785367470802</v>
      </c>
      <c r="X192" s="223">
        <v>90719.263991615298</v>
      </c>
      <c r="Y192" s="223">
        <v>1097952.74378604</v>
      </c>
    </row>
    <row r="193" spans="1:25">
      <c r="A193" s="216">
        <v>45170</v>
      </c>
      <c r="B193" t="s">
        <v>42</v>
      </c>
      <c r="C193">
        <v>15</v>
      </c>
      <c r="D193" t="s">
        <v>437</v>
      </c>
      <c r="E193" s="217">
        <v>45170</v>
      </c>
      <c r="F193">
        <v>10602.583333333299</v>
      </c>
      <c r="G193" t="s">
        <v>260</v>
      </c>
      <c r="L193" s="222" t="s">
        <v>454</v>
      </c>
      <c r="M193" s="223">
        <v>4676</v>
      </c>
      <c r="N193" s="223">
        <v>4685</v>
      </c>
      <c r="O193" s="223">
        <v>4626</v>
      </c>
      <c r="P193" s="223">
        <v>4718</v>
      </c>
      <c r="Q193" s="223">
        <v>4844</v>
      </c>
      <c r="R193" s="223">
        <v>5158</v>
      </c>
      <c r="S193" s="223">
        <v>4755</v>
      </c>
      <c r="T193" s="223">
        <v>4988</v>
      </c>
      <c r="U193" s="223">
        <v>5355</v>
      </c>
      <c r="V193" s="223">
        <v>5402</v>
      </c>
      <c r="W193" s="223">
        <v>4800</v>
      </c>
      <c r="X193" s="223">
        <v>4667</v>
      </c>
      <c r="Y193" s="223">
        <v>58674</v>
      </c>
    </row>
    <row r="194" spans="1:25">
      <c r="A194" s="216">
        <v>45170</v>
      </c>
      <c r="B194" t="s">
        <v>42</v>
      </c>
      <c r="C194">
        <v>15</v>
      </c>
      <c r="D194" t="s">
        <v>437</v>
      </c>
      <c r="E194" s="217">
        <v>45170</v>
      </c>
      <c r="F194">
        <v>10602.583333333299</v>
      </c>
      <c r="G194" t="s">
        <v>261</v>
      </c>
      <c r="L194" s="222" t="s">
        <v>455</v>
      </c>
      <c r="M194" s="223">
        <v>0</v>
      </c>
      <c r="N194" s="223">
        <v>0</v>
      </c>
      <c r="O194" s="223">
        <v>0</v>
      </c>
      <c r="P194" s="223">
        <v>0</v>
      </c>
      <c r="Q194" s="223">
        <v>0</v>
      </c>
      <c r="R194" s="223">
        <v>0</v>
      </c>
      <c r="S194" s="223">
        <v>0</v>
      </c>
      <c r="T194" s="223">
        <v>0</v>
      </c>
      <c r="U194" s="223">
        <v>0</v>
      </c>
      <c r="V194" s="223">
        <v>0</v>
      </c>
      <c r="W194" s="223">
        <v>0</v>
      </c>
      <c r="X194" s="223">
        <v>0</v>
      </c>
      <c r="Y194" s="223">
        <v>0</v>
      </c>
    </row>
    <row r="195" spans="1:25">
      <c r="A195" s="216">
        <v>45170</v>
      </c>
      <c r="B195" t="s">
        <v>42</v>
      </c>
      <c r="C195">
        <v>15</v>
      </c>
      <c r="D195" t="s">
        <v>437</v>
      </c>
      <c r="E195" s="217">
        <v>45170</v>
      </c>
      <c r="F195">
        <v>10545</v>
      </c>
      <c r="G195" t="s">
        <v>262</v>
      </c>
      <c r="L195" s="222" t="s">
        <v>456</v>
      </c>
      <c r="M195" s="223">
        <v>0</v>
      </c>
      <c r="N195" s="223">
        <v>0</v>
      </c>
      <c r="O195" s="223">
        <v>0</v>
      </c>
      <c r="P195" s="223">
        <v>0</v>
      </c>
      <c r="Q195" s="223">
        <v>0</v>
      </c>
      <c r="R195" s="223">
        <v>0</v>
      </c>
      <c r="S195" s="223">
        <v>0</v>
      </c>
      <c r="T195" s="223">
        <v>0</v>
      </c>
      <c r="U195" s="223">
        <v>0</v>
      </c>
      <c r="V195" s="223">
        <v>0</v>
      </c>
      <c r="W195" s="223">
        <v>0</v>
      </c>
      <c r="X195" s="223">
        <v>0</v>
      </c>
      <c r="Y195" s="223">
        <v>0</v>
      </c>
    </row>
    <row r="196" spans="1:25">
      <c r="A196" s="216">
        <v>45170</v>
      </c>
      <c r="B196" t="s">
        <v>42</v>
      </c>
      <c r="C196">
        <v>15</v>
      </c>
      <c r="D196" t="s">
        <v>437</v>
      </c>
      <c r="E196" s="217">
        <v>45170</v>
      </c>
      <c r="F196">
        <v>127659.916666666</v>
      </c>
      <c r="G196" t="s">
        <v>434</v>
      </c>
      <c r="L196" s="222" t="s">
        <v>457</v>
      </c>
      <c r="M196" s="223">
        <v>0</v>
      </c>
      <c r="N196" s="223">
        <v>0</v>
      </c>
      <c r="O196" s="223">
        <v>0</v>
      </c>
      <c r="P196" s="223">
        <v>0</v>
      </c>
      <c r="Q196" s="223">
        <v>0</v>
      </c>
      <c r="R196" s="223">
        <v>0</v>
      </c>
      <c r="S196" s="223">
        <v>0</v>
      </c>
      <c r="T196" s="223">
        <v>0</v>
      </c>
      <c r="U196" s="223">
        <v>0</v>
      </c>
      <c r="V196" s="223">
        <v>0</v>
      </c>
      <c r="W196" s="223">
        <v>0</v>
      </c>
      <c r="X196" s="223">
        <v>0</v>
      </c>
      <c r="Y196" s="223">
        <v>0</v>
      </c>
    </row>
    <row r="197" spans="1:25">
      <c r="A197" s="216">
        <v>45170</v>
      </c>
      <c r="B197" t="s">
        <v>42</v>
      </c>
      <c r="C197">
        <v>16</v>
      </c>
      <c r="D197" t="s">
        <v>449</v>
      </c>
      <c r="E197" s="217">
        <v>45170</v>
      </c>
      <c r="F197">
        <v>1176</v>
      </c>
      <c r="G197" t="s">
        <v>251</v>
      </c>
      <c r="L197" s="222" t="s">
        <v>458</v>
      </c>
      <c r="M197" s="223">
        <v>154.166666666667</v>
      </c>
      <c r="N197" s="223">
        <v>154.166666666667</v>
      </c>
      <c r="O197" s="223">
        <v>154.166666666667</v>
      </c>
      <c r="P197" s="223">
        <v>170</v>
      </c>
      <c r="Q197" s="223">
        <v>140</v>
      </c>
      <c r="R197" s="223">
        <v>188</v>
      </c>
      <c r="S197" s="223">
        <v>144</v>
      </c>
      <c r="T197" s="223">
        <v>167</v>
      </c>
      <c r="U197" s="223">
        <v>116</v>
      </c>
      <c r="V197" s="223">
        <v>154.166666666667</v>
      </c>
      <c r="W197" s="223">
        <v>154.166666666667</v>
      </c>
      <c r="X197" s="223">
        <v>154.166666666667</v>
      </c>
      <c r="Y197" s="223">
        <v>1850</v>
      </c>
    </row>
    <row r="198" spans="1:25">
      <c r="A198" s="216">
        <v>45170</v>
      </c>
      <c r="B198" t="s">
        <v>42</v>
      </c>
      <c r="C198">
        <v>16</v>
      </c>
      <c r="D198" t="s">
        <v>449</v>
      </c>
      <c r="E198" s="217">
        <v>45170</v>
      </c>
      <c r="F198">
        <v>1236</v>
      </c>
      <c r="G198" t="s">
        <v>252</v>
      </c>
      <c r="L198" s="222" t="s">
        <v>459</v>
      </c>
      <c r="M198" s="223">
        <v>3107</v>
      </c>
      <c r="N198" s="223">
        <v>3081</v>
      </c>
      <c r="O198" s="223">
        <v>3145</v>
      </c>
      <c r="P198" s="223">
        <v>2547</v>
      </c>
      <c r="Q198" s="223">
        <v>2663</v>
      </c>
      <c r="R198" s="223">
        <v>2980</v>
      </c>
      <c r="S198" s="223">
        <v>3255</v>
      </c>
      <c r="T198" s="223">
        <v>3353</v>
      </c>
      <c r="U198" s="223">
        <v>2624</v>
      </c>
      <c r="V198" s="223">
        <v>2852</v>
      </c>
      <c r="W198" s="223">
        <v>3094</v>
      </c>
      <c r="X198" s="223">
        <v>3112</v>
      </c>
      <c r="Y198" s="223">
        <v>35813</v>
      </c>
    </row>
    <row r="199" spans="1:25">
      <c r="A199" s="216">
        <v>45170</v>
      </c>
      <c r="B199" t="s">
        <v>42</v>
      </c>
      <c r="C199">
        <v>16</v>
      </c>
      <c r="D199" t="s">
        <v>449</v>
      </c>
      <c r="E199" s="217">
        <v>45170</v>
      </c>
      <c r="F199">
        <v>1226</v>
      </c>
      <c r="G199" t="s">
        <v>253</v>
      </c>
      <c r="L199" s="222" t="s">
        <v>460</v>
      </c>
      <c r="M199" s="223">
        <v>287</v>
      </c>
      <c r="N199" s="223">
        <v>287</v>
      </c>
      <c r="O199" s="223">
        <v>287</v>
      </c>
      <c r="P199" s="223">
        <v>205</v>
      </c>
      <c r="Q199" s="223">
        <v>279</v>
      </c>
      <c r="R199" s="223">
        <v>238</v>
      </c>
      <c r="S199" s="223">
        <v>330</v>
      </c>
      <c r="T199" s="223">
        <v>262</v>
      </c>
      <c r="U199" s="223">
        <v>269</v>
      </c>
      <c r="V199" s="223">
        <v>287</v>
      </c>
      <c r="W199" s="223">
        <v>287</v>
      </c>
      <c r="X199" s="223">
        <v>287</v>
      </c>
      <c r="Y199" s="223">
        <v>3305</v>
      </c>
    </row>
    <row r="200" spans="1:25">
      <c r="A200" s="216">
        <v>45170</v>
      </c>
      <c r="B200" t="s">
        <v>42</v>
      </c>
      <c r="C200">
        <v>16</v>
      </c>
      <c r="D200" t="s">
        <v>449</v>
      </c>
      <c r="E200" s="217">
        <v>45170</v>
      </c>
      <c r="F200">
        <v>1282</v>
      </c>
      <c r="G200" t="s">
        <v>254</v>
      </c>
      <c r="L200" s="221" t="s">
        <v>53</v>
      </c>
      <c r="M200" s="223">
        <v>248820.49702166673</v>
      </c>
      <c r="N200" s="223">
        <v>248832.10402166675</v>
      </c>
      <c r="O200" s="223">
        <v>290096.10002166673</v>
      </c>
      <c r="P200" s="223">
        <v>168671.97994666672</v>
      </c>
      <c r="Q200" s="223">
        <v>171780.00459999999</v>
      </c>
      <c r="R200" s="223">
        <v>188636.21718000001</v>
      </c>
      <c r="S200" s="223">
        <v>200508.210329063</v>
      </c>
      <c r="T200" s="223">
        <v>179931.88494347187</v>
      </c>
      <c r="U200" s="223">
        <v>199935.89589999997</v>
      </c>
      <c r="V200" s="223">
        <v>275815.77502166666</v>
      </c>
      <c r="W200" s="223">
        <v>248840.00502166673</v>
      </c>
      <c r="X200" s="223">
        <v>280227.51002166671</v>
      </c>
      <c r="Y200" s="223">
        <v>2702096.184029202</v>
      </c>
    </row>
    <row r="201" spans="1:25">
      <c r="A201" s="216">
        <v>45170</v>
      </c>
      <c r="B201" t="s">
        <v>42</v>
      </c>
      <c r="C201">
        <v>16</v>
      </c>
      <c r="D201" t="s">
        <v>449</v>
      </c>
      <c r="E201" s="217">
        <v>45170</v>
      </c>
      <c r="F201">
        <v>1611</v>
      </c>
      <c r="G201" t="s">
        <v>255</v>
      </c>
      <c r="L201" s="222" t="s">
        <v>435</v>
      </c>
      <c r="M201" s="223">
        <v>19.81718</v>
      </c>
      <c r="N201" s="223">
        <v>19.81718</v>
      </c>
      <c r="O201" s="223">
        <v>19.81718</v>
      </c>
      <c r="P201" s="223">
        <v>19.9166666666667</v>
      </c>
      <c r="Q201" s="223">
        <v>19.81718</v>
      </c>
      <c r="R201" s="223">
        <v>19.81718</v>
      </c>
      <c r="S201" s="223">
        <v>19.81718</v>
      </c>
      <c r="T201" s="223">
        <v>19.81718</v>
      </c>
      <c r="U201" s="223">
        <v>19.81718</v>
      </c>
      <c r="V201" s="223">
        <v>19.81718</v>
      </c>
      <c r="W201" s="223">
        <v>19.81718</v>
      </c>
      <c r="X201" s="223">
        <v>19.81718</v>
      </c>
      <c r="Y201" s="223">
        <v>237.905646666667</v>
      </c>
    </row>
    <row r="202" spans="1:25">
      <c r="A202" s="216">
        <v>45170</v>
      </c>
      <c r="B202" t="s">
        <v>42</v>
      </c>
      <c r="C202">
        <v>16</v>
      </c>
      <c r="D202" t="s">
        <v>449</v>
      </c>
      <c r="E202" s="217">
        <v>45170</v>
      </c>
      <c r="F202">
        <v>975</v>
      </c>
      <c r="G202" t="s">
        <v>256</v>
      </c>
      <c r="L202" s="222" t="s">
        <v>436</v>
      </c>
      <c r="M202" s="223">
        <v>0</v>
      </c>
      <c r="N202" s="223">
        <v>0</v>
      </c>
      <c r="O202" s="223">
        <v>0</v>
      </c>
      <c r="P202" s="223">
        <v>0</v>
      </c>
      <c r="Q202" s="223">
        <v>0</v>
      </c>
      <c r="R202" s="223">
        <v>0</v>
      </c>
      <c r="S202" s="223">
        <v>0</v>
      </c>
      <c r="T202" s="223">
        <v>0</v>
      </c>
      <c r="U202" s="223">
        <v>0</v>
      </c>
      <c r="V202" s="223">
        <v>0</v>
      </c>
      <c r="W202" s="223">
        <v>0</v>
      </c>
      <c r="X202" s="223">
        <v>0</v>
      </c>
      <c r="Y202" s="223">
        <v>0</v>
      </c>
    </row>
    <row r="203" spans="1:25">
      <c r="A203" s="216">
        <v>45170</v>
      </c>
      <c r="B203" t="s">
        <v>42</v>
      </c>
      <c r="C203">
        <v>16</v>
      </c>
      <c r="D203" t="s">
        <v>449</v>
      </c>
      <c r="E203" s="217">
        <v>45170</v>
      </c>
      <c r="F203">
        <v>1200</v>
      </c>
      <c r="G203" t="s">
        <v>257</v>
      </c>
      <c r="L203" s="222" t="s">
        <v>437</v>
      </c>
      <c r="M203" s="223">
        <v>0</v>
      </c>
      <c r="N203" s="223">
        <v>0</v>
      </c>
      <c r="O203" s="223">
        <v>0</v>
      </c>
      <c r="P203" s="223">
        <v>0</v>
      </c>
      <c r="Q203" s="223">
        <v>0</v>
      </c>
      <c r="R203" s="223">
        <v>0</v>
      </c>
      <c r="S203" s="223">
        <v>0</v>
      </c>
      <c r="T203" s="223">
        <v>0</v>
      </c>
      <c r="U203" s="223">
        <v>0</v>
      </c>
      <c r="V203" s="223">
        <v>0</v>
      </c>
      <c r="W203" s="223">
        <v>0</v>
      </c>
      <c r="X203" s="223">
        <v>0</v>
      </c>
      <c r="Y203" s="223">
        <v>0</v>
      </c>
    </row>
    <row r="204" spans="1:25">
      <c r="A204" s="216">
        <v>45170</v>
      </c>
      <c r="B204" t="s">
        <v>42</v>
      </c>
      <c r="C204">
        <v>16</v>
      </c>
      <c r="D204" t="s">
        <v>449</v>
      </c>
      <c r="E204" s="217">
        <v>45170</v>
      </c>
      <c r="F204">
        <v>1200</v>
      </c>
      <c r="G204" t="s">
        <v>258</v>
      </c>
      <c r="L204" s="222" t="s">
        <v>438</v>
      </c>
      <c r="M204" s="223">
        <v>62205.497021666699</v>
      </c>
      <c r="N204" s="223">
        <v>62208.104021666702</v>
      </c>
      <c r="O204" s="223">
        <v>72524.100021666702</v>
      </c>
      <c r="P204" s="223">
        <v>42167.979946666703</v>
      </c>
      <c r="Q204" s="223">
        <v>42945.0046</v>
      </c>
      <c r="R204" s="223">
        <v>47159.21718</v>
      </c>
      <c r="S204" s="223">
        <v>50127.210329062997</v>
      </c>
      <c r="T204" s="223">
        <v>44982.884943471901</v>
      </c>
      <c r="U204" s="223">
        <v>49983.895900000003</v>
      </c>
      <c r="V204" s="223">
        <v>68953.775021666705</v>
      </c>
      <c r="W204" s="223">
        <v>62210.0050216667</v>
      </c>
      <c r="X204" s="223">
        <v>70056.510021666705</v>
      </c>
      <c r="Y204" s="223">
        <v>675524.18402920198</v>
      </c>
    </row>
    <row r="205" spans="1:25">
      <c r="A205" s="216">
        <v>45170</v>
      </c>
      <c r="B205" t="s">
        <v>42</v>
      </c>
      <c r="C205">
        <v>16</v>
      </c>
      <c r="D205" t="s">
        <v>449</v>
      </c>
      <c r="E205" s="217">
        <v>45170</v>
      </c>
      <c r="F205">
        <v>1200</v>
      </c>
      <c r="G205" t="s">
        <v>259</v>
      </c>
      <c r="L205" s="222" t="s">
        <v>439</v>
      </c>
      <c r="M205" s="223">
        <v>469.4</v>
      </c>
      <c r="N205" s="223">
        <v>468.9</v>
      </c>
      <c r="O205" s="223">
        <v>562.29999999999995</v>
      </c>
      <c r="P205" s="223">
        <v>523</v>
      </c>
      <c r="Q205" s="223">
        <v>419.1</v>
      </c>
      <c r="R205" s="223">
        <v>472.4</v>
      </c>
      <c r="S205" s="223">
        <v>463.82165906300003</v>
      </c>
      <c r="T205" s="223">
        <v>492.46911347192901</v>
      </c>
      <c r="U205" s="223">
        <v>458</v>
      </c>
      <c r="V205" s="223">
        <v>468</v>
      </c>
      <c r="W205" s="223">
        <v>468</v>
      </c>
      <c r="X205" s="223">
        <v>468.4</v>
      </c>
      <c r="Y205" s="223">
        <v>5733.7907725349296</v>
      </c>
    </row>
    <row r="206" spans="1:25">
      <c r="A206" s="216">
        <v>45170</v>
      </c>
      <c r="B206" t="s">
        <v>42</v>
      </c>
      <c r="C206">
        <v>16</v>
      </c>
      <c r="D206" t="s">
        <v>449</v>
      </c>
      <c r="E206" s="217">
        <v>45170</v>
      </c>
      <c r="F206">
        <v>1200</v>
      </c>
      <c r="G206" t="s">
        <v>260</v>
      </c>
      <c r="L206" s="222" t="s">
        <v>440</v>
      </c>
      <c r="M206" s="223">
        <v>0</v>
      </c>
      <c r="N206" s="223">
        <v>0</v>
      </c>
      <c r="O206" s="223">
        <v>0</v>
      </c>
      <c r="P206" s="223">
        <v>0</v>
      </c>
      <c r="Q206" s="223">
        <v>0</v>
      </c>
      <c r="R206" s="223">
        <v>0</v>
      </c>
      <c r="S206" s="223">
        <v>0</v>
      </c>
      <c r="T206" s="223">
        <v>0</v>
      </c>
      <c r="U206" s="223">
        <v>0</v>
      </c>
      <c r="V206" s="223">
        <v>0</v>
      </c>
      <c r="W206" s="223">
        <v>0</v>
      </c>
      <c r="X206" s="223">
        <v>0</v>
      </c>
      <c r="Y206" s="223">
        <v>0</v>
      </c>
    </row>
    <row r="207" spans="1:25">
      <c r="A207" s="216">
        <v>45170</v>
      </c>
      <c r="B207" t="s">
        <v>42</v>
      </c>
      <c r="C207">
        <v>16</v>
      </c>
      <c r="D207" t="s">
        <v>449</v>
      </c>
      <c r="E207" s="217">
        <v>45170</v>
      </c>
      <c r="F207">
        <v>1200</v>
      </c>
      <c r="G207" t="s">
        <v>261</v>
      </c>
      <c r="L207" s="222" t="s">
        <v>441</v>
      </c>
      <c r="M207" s="223">
        <v>0</v>
      </c>
      <c r="N207" s="223">
        <v>0</v>
      </c>
      <c r="O207" s="223">
        <v>0</v>
      </c>
      <c r="P207" s="223">
        <v>0</v>
      </c>
      <c r="Q207" s="223">
        <v>0</v>
      </c>
      <c r="R207" s="223">
        <v>0</v>
      </c>
      <c r="S207" s="223">
        <v>0</v>
      </c>
      <c r="T207" s="223">
        <v>0</v>
      </c>
      <c r="U207" s="223">
        <v>0</v>
      </c>
      <c r="V207" s="223">
        <v>0</v>
      </c>
      <c r="W207" s="223">
        <v>0</v>
      </c>
      <c r="X207" s="223">
        <v>0</v>
      </c>
      <c r="Y207" s="223">
        <v>0</v>
      </c>
    </row>
    <row r="208" spans="1:25">
      <c r="A208" s="216">
        <v>45170</v>
      </c>
      <c r="B208" t="s">
        <v>42</v>
      </c>
      <c r="C208">
        <v>16</v>
      </c>
      <c r="D208" t="s">
        <v>449</v>
      </c>
      <c r="E208" s="217">
        <v>45170</v>
      </c>
      <c r="F208">
        <v>1200</v>
      </c>
      <c r="G208" t="s">
        <v>262</v>
      </c>
      <c r="L208" s="222" t="s">
        <v>442</v>
      </c>
      <c r="M208" s="223">
        <v>62205</v>
      </c>
      <c r="N208" s="223">
        <v>62208</v>
      </c>
      <c r="O208" s="223">
        <v>72524</v>
      </c>
      <c r="P208" s="223">
        <v>42168</v>
      </c>
      <c r="Q208" s="223">
        <v>42945</v>
      </c>
      <c r="R208" s="223">
        <v>47159</v>
      </c>
      <c r="S208" s="223">
        <v>50127</v>
      </c>
      <c r="T208" s="223">
        <v>44983</v>
      </c>
      <c r="U208" s="223">
        <v>49984</v>
      </c>
      <c r="V208" s="223">
        <v>68954</v>
      </c>
      <c r="W208" s="223">
        <v>62210</v>
      </c>
      <c r="X208" s="223">
        <v>70057</v>
      </c>
      <c r="Y208" s="223">
        <v>675524</v>
      </c>
    </row>
    <row r="209" spans="1:25">
      <c r="A209" s="216">
        <v>45170</v>
      </c>
      <c r="B209" t="s">
        <v>42</v>
      </c>
      <c r="C209">
        <v>16</v>
      </c>
      <c r="D209" t="s">
        <v>449</v>
      </c>
      <c r="E209" s="217">
        <v>45170</v>
      </c>
      <c r="F209">
        <v>14706</v>
      </c>
      <c r="G209" t="s">
        <v>434</v>
      </c>
      <c r="L209" s="222" t="s">
        <v>443</v>
      </c>
      <c r="M209" s="223">
        <v>0</v>
      </c>
      <c r="N209" s="223">
        <v>0</v>
      </c>
      <c r="O209" s="223">
        <v>0</v>
      </c>
      <c r="P209" s="223">
        <v>0</v>
      </c>
      <c r="Q209" s="223">
        <v>0</v>
      </c>
      <c r="R209" s="223">
        <v>0</v>
      </c>
      <c r="S209" s="223">
        <v>0</v>
      </c>
      <c r="T209" s="223">
        <v>0</v>
      </c>
      <c r="U209" s="223">
        <v>0</v>
      </c>
      <c r="V209" s="223">
        <v>0</v>
      </c>
      <c r="W209" s="223">
        <v>0</v>
      </c>
      <c r="X209" s="223">
        <v>0</v>
      </c>
      <c r="Y209" s="223">
        <v>0</v>
      </c>
    </row>
    <row r="210" spans="1:25">
      <c r="A210" s="216">
        <v>45170</v>
      </c>
      <c r="B210" t="s">
        <v>42</v>
      </c>
      <c r="C210">
        <v>17</v>
      </c>
      <c r="D210" t="s">
        <v>443</v>
      </c>
      <c r="E210" s="217">
        <v>45170</v>
      </c>
      <c r="F210">
        <v>3049</v>
      </c>
      <c r="G210" t="s">
        <v>251</v>
      </c>
      <c r="L210" s="222" t="s">
        <v>444</v>
      </c>
      <c r="M210" s="223">
        <v>19541.7278416667</v>
      </c>
      <c r="N210" s="223">
        <v>19541.7278416667</v>
      </c>
      <c r="O210" s="223">
        <v>19541.7278416667</v>
      </c>
      <c r="P210" s="223">
        <v>508</v>
      </c>
      <c r="Q210" s="223">
        <v>1207</v>
      </c>
      <c r="R210" s="223">
        <v>4741</v>
      </c>
      <c r="S210" s="223">
        <v>5206</v>
      </c>
      <c r="T210" s="223">
        <v>1975</v>
      </c>
      <c r="U210" s="223">
        <v>5042</v>
      </c>
      <c r="V210" s="223">
        <v>19541.7278416667</v>
      </c>
      <c r="W210" s="223">
        <v>19541.7278416667</v>
      </c>
      <c r="X210" s="223">
        <v>19541.7278416667</v>
      </c>
      <c r="Y210" s="223">
        <v>135929.36705</v>
      </c>
    </row>
    <row r="211" spans="1:25">
      <c r="A211" s="216">
        <v>45170</v>
      </c>
      <c r="B211" t="s">
        <v>42</v>
      </c>
      <c r="C211">
        <v>17</v>
      </c>
      <c r="D211" t="s">
        <v>443</v>
      </c>
      <c r="E211" s="217">
        <v>45170</v>
      </c>
      <c r="F211">
        <v>2775</v>
      </c>
      <c r="G211" t="s">
        <v>252</v>
      </c>
      <c r="L211" s="222" t="s">
        <v>446</v>
      </c>
      <c r="M211" s="223">
        <v>-0.497021666669752</v>
      </c>
      <c r="N211" s="223">
        <v>-0.10402166666608501</v>
      </c>
      <c r="O211" s="223">
        <v>-0.100021666672546</v>
      </c>
      <c r="P211" s="223">
        <v>2.0053333333635199E-2</v>
      </c>
      <c r="Q211" s="223">
        <v>-4.6000000074855104E-3</v>
      </c>
      <c r="R211" s="223">
        <v>-0.21717999999964399</v>
      </c>
      <c r="S211" s="223">
        <v>-0.21032906300388299</v>
      </c>
      <c r="T211" s="223">
        <v>0.115056528054993</v>
      </c>
      <c r="U211" s="223">
        <v>0.104099999982282</v>
      </c>
      <c r="V211" s="223">
        <v>0.22497833329543901</v>
      </c>
      <c r="W211" s="223">
        <v>-5.0216666713822598E-3</v>
      </c>
      <c r="X211" s="223">
        <v>0.48997833333851298</v>
      </c>
      <c r="Y211" s="223">
        <v>-0.18402920174412399</v>
      </c>
    </row>
    <row r="212" spans="1:25">
      <c r="A212" s="216">
        <v>45170</v>
      </c>
      <c r="B212" t="s">
        <v>42</v>
      </c>
      <c r="C212">
        <v>17</v>
      </c>
      <c r="D212" t="s">
        <v>443</v>
      </c>
      <c r="E212" s="217">
        <v>45170</v>
      </c>
      <c r="F212">
        <v>3455</v>
      </c>
      <c r="G212" t="s">
        <v>253</v>
      </c>
      <c r="L212" s="222" t="s">
        <v>447</v>
      </c>
      <c r="M212" s="223">
        <v>0</v>
      </c>
      <c r="N212" s="223">
        <v>0</v>
      </c>
      <c r="O212" s="223">
        <v>0</v>
      </c>
      <c r="P212" s="223">
        <v>0</v>
      </c>
      <c r="Q212" s="223">
        <v>0</v>
      </c>
      <c r="R212" s="223">
        <v>0</v>
      </c>
      <c r="S212" s="223">
        <v>0</v>
      </c>
      <c r="T212" s="223">
        <v>0</v>
      </c>
      <c r="U212" s="223">
        <v>0</v>
      </c>
      <c r="V212" s="223">
        <v>0</v>
      </c>
      <c r="W212" s="223">
        <v>0</v>
      </c>
      <c r="X212" s="223">
        <v>0</v>
      </c>
      <c r="Y212" s="223">
        <v>0</v>
      </c>
    </row>
    <row r="213" spans="1:25">
      <c r="A213" s="216">
        <v>45170</v>
      </c>
      <c r="B213" t="s">
        <v>42</v>
      </c>
      <c r="C213">
        <v>17</v>
      </c>
      <c r="D213" t="s">
        <v>443</v>
      </c>
      <c r="E213" s="217">
        <v>45170</v>
      </c>
      <c r="F213">
        <v>2664</v>
      </c>
      <c r="G213" t="s">
        <v>254</v>
      </c>
      <c r="L213" s="222" t="s">
        <v>448</v>
      </c>
      <c r="M213" s="223">
        <v>3363</v>
      </c>
      <c r="N213" s="223">
        <v>3363</v>
      </c>
      <c r="O213" s="223">
        <v>10205</v>
      </c>
      <c r="P213" s="223">
        <v>4504</v>
      </c>
      <c r="Q213" s="223">
        <v>4270</v>
      </c>
      <c r="R213" s="223">
        <v>2440</v>
      </c>
      <c r="S213" s="223">
        <v>3661</v>
      </c>
      <c r="T213" s="223">
        <v>3693</v>
      </c>
      <c r="U213" s="223">
        <v>6388</v>
      </c>
      <c r="V213" s="223">
        <v>3363</v>
      </c>
      <c r="W213" s="223">
        <v>3363</v>
      </c>
      <c r="X213" s="223">
        <v>11266</v>
      </c>
      <c r="Y213" s="223">
        <v>59879</v>
      </c>
    </row>
    <row r="214" spans="1:25">
      <c r="A214" s="216">
        <v>45170</v>
      </c>
      <c r="B214" t="s">
        <v>42</v>
      </c>
      <c r="C214">
        <v>17</v>
      </c>
      <c r="D214" t="s">
        <v>443</v>
      </c>
      <c r="E214" s="217">
        <v>45170</v>
      </c>
      <c r="F214">
        <v>4389</v>
      </c>
      <c r="G214" t="s">
        <v>255</v>
      </c>
      <c r="L214" s="222" t="s">
        <v>449</v>
      </c>
      <c r="M214" s="223">
        <v>0</v>
      </c>
      <c r="N214" s="223">
        <v>0</v>
      </c>
      <c r="O214" s="223">
        <v>0</v>
      </c>
      <c r="P214" s="223">
        <v>0</v>
      </c>
      <c r="Q214" s="223">
        <v>0</v>
      </c>
      <c r="R214" s="223">
        <v>0</v>
      </c>
      <c r="S214" s="223">
        <v>0</v>
      </c>
      <c r="T214" s="223">
        <v>0</v>
      </c>
      <c r="U214" s="223">
        <v>0</v>
      </c>
      <c r="V214" s="223">
        <v>0</v>
      </c>
      <c r="W214" s="223">
        <v>0</v>
      </c>
      <c r="X214" s="223">
        <v>0</v>
      </c>
      <c r="Y214" s="223">
        <v>0</v>
      </c>
    </row>
    <row r="215" spans="1:25">
      <c r="A215" s="216">
        <v>45170</v>
      </c>
      <c r="B215" t="s">
        <v>42</v>
      </c>
      <c r="C215">
        <v>17</v>
      </c>
      <c r="D215" t="s">
        <v>443</v>
      </c>
      <c r="E215" s="217">
        <v>45170</v>
      </c>
      <c r="F215">
        <v>2307</v>
      </c>
      <c r="G215" t="s">
        <v>256</v>
      </c>
      <c r="L215" s="222" t="s">
        <v>450</v>
      </c>
      <c r="M215" s="223">
        <v>0</v>
      </c>
      <c r="N215" s="223">
        <v>0</v>
      </c>
      <c r="O215" s="223">
        <v>0</v>
      </c>
      <c r="P215" s="223">
        <v>0</v>
      </c>
      <c r="Q215" s="223">
        <v>0</v>
      </c>
      <c r="R215" s="223">
        <v>0</v>
      </c>
      <c r="S215" s="223">
        <v>0</v>
      </c>
      <c r="T215" s="223">
        <v>0</v>
      </c>
      <c r="U215" s="223">
        <v>0</v>
      </c>
      <c r="V215" s="223">
        <v>0</v>
      </c>
      <c r="W215" s="223">
        <v>0</v>
      </c>
      <c r="X215" s="223">
        <v>0</v>
      </c>
      <c r="Y215" s="223">
        <v>0</v>
      </c>
    </row>
    <row r="216" spans="1:25">
      <c r="A216" s="216">
        <v>45170</v>
      </c>
      <c r="B216" t="s">
        <v>42</v>
      </c>
      <c r="C216">
        <v>17</v>
      </c>
      <c r="D216" t="s">
        <v>443</v>
      </c>
      <c r="E216" s="217">
        <v>45170</v>
      </c>
      <c r="F216">
        <v>3106.75</v>
      </c>
      <c r="G216" t="s">
        <v>257</v>
      </c>
      <c r="L216" s="222" t="s">
        <v>451</v>
      </c>
      <c r="M216" s="223">
        <v>0</v>
      </c>
      <c r="N216" s="223">
        <v>0</v>
      </c>
      <c r="O216" s="223">
        <v>0</v>
      </c>
      <c r="P216" s="223">
        <v>0</v>
      </c>
      <c r="Q216" s="223">
        <v>0</v>
      </c>
      <c r="R216" s="223">
        <v>0</v>
      </c>
      <c r="S216" s="223">
        <v>0</v>
      </c>
      <c r="T216" s="223">
        <v>0</v>
      </c>
      <c r="U216" s="223">
        <v>0</v>
      </c>
      <c r="V216" s="223">
        <v>0</v>
      </c>
      <c r="W216" s="223">
        <v>0</v>
      </c>
      <c r="X216" s="223">
        <v>0</v>
      </c>
      <c r="Y216" s="223">
        <v>0</v>
      </c>
    </row>
    <row r="217" spans="1:25">
      <c r="A217" s="216">
        <v>45170</v>
      </c>
      <c r="B217" t="s">
        <v>42</v>
      </c>
      <c r="C217">
        <v>17</v>
      </c>
      <c r="D217" t="s">
        <v>443</v>
      </c>
      <c r="E217" s="217">
        <v>45170</v>
      </c>
      <c r="F217">
        <v>3106.75</v>
      </c>
      <c r="G217" t="s">
        <v>258</v>
      </c>
      <c r="L217" s="222" t="s">
        <v>452</v>
      </c>
      <c r="M217" s="223">
        <v>0</v>
      </c>
      <c r="N217" s="223">
        <v>0</v>
      </c>
      <c r="O217" s="223">
        <v>0</v>
      </c>
      <c r="P217" s="223">
        <v>0</v>
      </c>
      <c r="Q217" s="223">
        <v>0</v>
      </c>
      <c r="R217" s="223">
        <v>0</v>
      </c>
      <c r="S217" s="223">
        <v>0</v>
      </c>
      <c r="T217" s="223">
        <v>0</v>
      </c>
      <c r="U217" s="223">
        <v>0</v>
      </c>
      <c r="V217" s="223">
        <v>0</v>
      </c>
      <c r="W217" s="223">
        <v>0</v>
      </c>
      <c r="X217" s="223">
        <v>0</v>
      </c>
      <c r="Y217" s="223">
        <v>0</v>
      </c>
    </row>
    <row r="218" spans="1:25">
      <c r="A218" s="216">
        <v>45170</v>
      </c>
      <c r="B218" t="s">
        <v>42</v>
      </c>
      <c r="C218">
        <v>17</v>
      </c>
      <c r="D218" t="s">
        <v>443</v>
      </c>
      <c r="E218" s="217">
        <v>45170</v>
      </c>
      <c r="F218">
        <v>3106.75</v>
      </c>
      <c r="G218" t="s">
        <v>259</v>
      </c>
      <c r="L218" s="222" t="s">
        <v>433</v>
      </c>
      <c r="M218" s="223">
        <v>29109.552</v>
      </c>
      <c r="N218" s="223">
        <v>29120.659</v>
      </c>
      <c r="O218" s="223">
        <v>29076.255000000001</v>
      </c>
      <c r="P218" s="223">
        <v>25731.563279999998</v>
      </c>
      <c r="Q218" s="223">
        <v>24866.887419999999</v>
      </c>
      <c r="R218" s="223">
        <v>27803</v>
      </c>
      <c r="S218" s="223">
        <v>26976.671490000001</v>
      </c>
      <c r="T218" s="223">
        <v>27757.798650000001</v>
      </c>
      <c r="U218" s="223">
        <v>27956.778719999998</v>
      </c>
      <c r="V218" s="223">
        <v>34623.230000000003</v>
      </c>
      <c r="W218" s="223">
        <v>29114.46</v>
      </c>
      <c r="X218" s="223">
        <v>29111.564999999999</v>
      </c>
      <c r="Y218" s="223">
        <v>341248.42056</v>
      </c>
    </row>
    <row r="219" spans="1:25">
      <c r="A219" s="216">
        <v>45170</v>
      </c>
      <c r="B219" t="s">
        <v>42</v>
      </c>
      <c r="C219">
        <v>17</v>
      </c>
      <c r="D219" t="s">
        <v>443</v>
      </c>
      <c r="E219" s="217">
        <v>45170</v>
      </c>
      <c r="F219">
        <v>3106.75</v>
      </c>
      <c r="G219" t="s">
        <v>260</v>
      </c>
      <c r="L219" s="222" t="s">
        <v>445</v>
      </c>
      <c r="M219" s="223">
        <v>13065</v>
      </c>
      <c r="N219" s="223">
        <v>13057</v>
      </c>
      <c r="O219" s="223">
        <v>23324</v>
      </c>
      <c r="P219" s="223">
        <v>15385.5</v>
      </c>
      <c r="Q219" s="223">
        <v>16432.2</v>
      </c>
      <c r="R219" s="223">
        <v>14123</v>
      </c>
      <c r="S219" s="223">
        <v>17460.900000000001</v>
      </c>
      <c r="T219" s="223">
        <v>14737.8</v>
      </c>
      <c r="U219" s="223">
        <v>16507.3</v>
      </c>
      <c r="V219" s="223">
        <v>14301</v>
      </c>
      <c r="W219" s="223">
        <v>13066</v>
      </c>
      <c r="X219" s="223">
        <v>20915</v>
      </c>
      <c r="Y219" s="223">
        <v>192374.7</v>
      </c>
    </row>
    <row r="220" spans="1:25">
      <c r="A220" s="216">
        <v>45170</v>
      </c>
      <c r="B220" t="s">
        <v>42</v>
      </c>
      <c r="C220">
        <v>17</v>
      </c>
      <c r="D220" t="s">
        <v>443</v>
      </c>
      <c r="E220" s="217">
        <v>45170</v>
      </c>
      <c r="F220">
        <v>3106.75</v>
      </c>
      <c r="G220" t="s">
        <v>261</v>
      </c>
      <c r="L220" s="222" t="s">
        <v>453</v>
      </c>
      <c r="M220" s="223">
        <v>0</v>
      </c>
      <c r="N220" s="223">
        <v>0</v>
      </c>
      <c r="O220" s="223">
        <v>0</v>
      </c>
      <c r="P220" s="223">
        <v>0</v>
      </c>
      <c r="Q220" s="223">
        <v>0</v>
      </c>
      <c r="R220" s="223">
        <v>0</v>
      </c>
      <c r="S220" s="223">
        <v>0</v>
      </c>
      <c r="T220" s="223">
        <v>0</v>
      </c>
      <c r="U220" s="223">
        <v>0</v>
      </c>
      <c r="V220" s="223">
        <v>0</v>
      </c>
      <c r="W220" s="223">
        <v>0</v>
      </c>
      <c r="X220" s="223">
        <v>0</v>
      </c>
      <c r="Y220" s="223">
        <v>0</v>
      </c>
    </row>
    <row r="221" spans="1:25">
      <c r="A221" s="216">
        <v>45170</v>
      </c>
      <c r="B221" t="s">
        <v>42</v>
      </c>
      <c r="C221">
        <v>17</v>
      </c>
      <c r="D221" t="s">
        <v>443</v>
      </c>
      <c r="E221" s="217">
        <v>45170</v>
      </c>
      <c r="F221">
        <v>10106.75</v>
      </c>
      <c r="G221" t="s">
        <v>262</v>
      </c>
      <c r="L221" s="222" t="s">
        <v>454</v>
      </c>
      <c r="M221" s="223">
        <v>0</v>
      </c>
      <c r="N221" s="223">
        <v>0</v>
      </c>
      <c r="O221" s="223">
        <v>0</v>
      </c>
      <c r="P221" s="223">
        <v>0</v>
      </c>
      <c r="Q221" s="223">
        <v>0</v>
      </c>
      <c r="R221" s="223">
        <v>0</v>
      </c>
      <c r="S221" s="223">
        <v>0</v>
      </c>
      <c r="T221" s="223">
        <v>0</v>
      </c>
      <c r="U221" s="223">
        <v>0</v>
      </c>
      <c r="V221" s="223">
        <v>0</v>
      </c>
      <c r="W221" s="223">
        <v>0</v>
      </c>
      <c r="X221" s="223">
        <v>0</v>
      </c>
      <c r="Y221" s="223">
        <v>0</v>
      </c>
    </row>
    <row r="222" spans="1:25">
      <c r="A222" s="216">
        <v>45170</v>
      </c>
      <c r="B222" t="s">
        <v>42</v>
      </c>
      <c r="C222">
        <v>17</v>
      </c>
      <c r="D222" t="s">
        <v>443</v>
      </c>
      <c r="E222" s="217">
        <v>45170</v>
      </c>
      <c r="F222">
        <v>44279.5</v>
      </c>
      <c r="G222" t="s">
        <v>434</v>
      </c>
      <c r="L222" s="222" t="s">
        <v>455</v>
      </c>
      <c r="M222" s="223">
        <v>0</v>
      </c>
      <c r="N222" s="223">
        <v>0</v>
      </c>
      <c r="O222" s="223">
        <v>0</v>
      </c>
      <c r="P222" s="223">
        <v>0</v>
      </c>
      <c r="Q222" s="223">
        <v>0</v>
      </c>
      <c r="R222" s="223">
        <v>0</v>
      </c>
      <c r="S222" s="223">
        <v>0</v>
      </c>
      <c r="T222" s="223">
        <v>0</v>
      </c>
      <c r="U222" s="223">
        <v>0</v>
      </c>
      <c r="V222" s="223">
        <v>0</v>
      </c>
      <c r="W222" s="223">
        <v>0</v>
      </c>
      <c r="X222" s="223">
        <v>0</v>
      </c>
      <c r="Y222" s="223">
        <v>0</v>
      </c>
    </row>
    <row r="223" spans="1:25">
      <c r="A223" s="216">
        <v>45170</v>
      </c>
      <c r="B223" t="s">
        <v>42</v>
      </c>
      <c r="C223">
        <v>18</v>
      </c>
      <c r="D223" t="s">
        <v>444</v>
      </c>
      <c r="E223" s="217">
        <v>45170</v>
      </c>
      <c r="F223">
        <v>441</v>
      </c>
      <c r="G223" t="s">
        <v>251</v>
      </c>
      <c r="L223" s="222" t="s">
        <v>456</v>
      </c>
      <c r="M223" s="223">
        <v>0</v>
      </c>
      <c r="N223" s="223">
        <v>0</v>
      </c>
      <c r="O223" s="223">
        <v>0</v>
      </c>
      <c r="P223" s="223">
        <v>0</v>
      </c>
      <c r="Q223" s="223">
        <v>0</v>
      </c>
      <c r="R223" s="223">
        <v>0</v>
      </c>
      <c r="S223" s="223">
        <v>0</v>
      </c>
      <c r="T223" s="223">
        <v>0</v>
      </c>
      <c r="U223" s="223">
        <v>0</v>
      </c>
      <c r="V223" s="223">
        <v>0</v>
      </c>
      <c r="W223" s="223">
        <v>0</v>
      </c>
      <c r="X223" s="223">
        <v>0</v>
      </c>
      <c r="Y223" s="223">
        <v>0</v>
      </c>
    </row>
    <row r="224" spans="1:25">
      <c r="A224" s="216">
        <v>45170</v>
      </c>
      <c r="B224" t="s">
        <v>42</v>
      </c>
      <c r="C224">
        <v>18</v>
      </c>
      <c r="D224" t="s">
        <v>444</v>
      </c>
      <c r="E224" s="217">
        <v>45170</v>
      </c>
      <c r="F224">
        <v>440</v>
      </c>
      <c r="G224" t="s">
        <v>252</v>
      </c>
      <c r="L224" s="222" t="s">
        <v>457</v>
      </c>
      <c r="M224" s="223">
        <v>0</v>
      </c>
      <c r="N224" s="223">
        <v>0</v>
      </c>
      <c r="O224" s="223">
        <v>0</v>
      </c>
      <c r="P224" s="223">
        <v>0</v>
      </c>
      <c r="Q224" s="223">
        <v>0</v>
      </c>
      <c r="R224" s="223">
        <v>0</v>
      </c>
      <c r="S224" s="223">
        <v>0</v>
      </c>
      <c r="T224" s="223">
        <v>0</v>
      </c>
      <c r="U224" s="223">
        <v>0</v>
      </c>
      <c r="V224" s="223">
        <v>0</v>
      </c>
      <c r="W224" s="223">
        <v>0</v>
      </c>
      <c r="X224" s="223">
        <v>0</v>
      </c>
      <c r="Y224" s="223">
        <v>0</v>
      </c>
    </row>
    <row r="225" spans="1:25">
      <c r="A225" s="216">
        <v>45170</v>
      </c>
      <c r="B225" t="s">
        <v>42</v>
      </c>
      <c r="C225">
        <v>18</v>
      </c>
      <c r="D225" t="s">
        <v>444</v>
      </c>
      <c r="E225" s="217">
        <v>45170</v>
      </c>
      <c r="F225">
        <v>-394</v>
      </c>
      <c r="G225" t="s">
        <v>253</v>
      </c>
      <c r="L225" s="222" t="s">
        <v>458</v>
      </c>
      <c r="M225" s="223">
        <v>28681</v>
      </c>
      <c r="N225" s="223">
        <v>28683</v>
      </c>
      <c r="O225" s="223">
        <v>30681</v>
      </c>
      <c r="P225" s="223">
        <v>9839</v>
      </c>
      <c r="Q225" s="223">
        <v>11341</v>
      </c>
      <c r="R225" s="223">
        <v>15833</v>
      </c>
      <c r="S225" s="223">
        <v>19358</v>
      </c>
      <c r="T225" s="223">
        <v>11401</v>
      </c>
      <c r="U225" s="223">
        <v>13717</v>
      </c>
      <c r="V225" s="223">
        <v>28691</v>
      </c>
      <c r="W225" s="223">
        <v>28681</v>
      </c>
      <c r="X225" s="223">
        <v>28681</v>
      </c>
      <c r="Y225" s="223">
        <v>255587</v>
      </c>
    </row>
    <row r="226" spans="1:25">
      <c r="A226" s="216">
        <v>45170</v>
      </c>
      <c r="B226" t="s">
        <v>42</v>
      </c>
      <c r="C226">
        <v>18</v>
      </c>
      <c r="D226" t="s">
        <v>444</v>
      </c>
      <c r="E226" s="217">
        <v>45170</v>
      </c>
      <c r="F226">
        <v>383</v>
      </c>
      <c r="G226" t="s">
        <v>254</v>
      </c>
      <c r="L226" s="222" t="s">
        <v>459</v>
      </c>
      <c r="M226" s="223">
        <v>30161</v>
      </c>
      <c r="N226" s="223">
        <v>30162</v>
      </c>
      <c r="O226" s="223">
        <v>31638</v>
      </c>
      <c r="P226" s="223">
        <v>27825</v>
      </c>
      <c r="Q226" s="223">
        <v>27334</v>
      </c>
      <c r="R226" s="223">
        <v>28886</v>
      </c>
      <c r="S226" s="223">
        <v>27108</v>
      </c>
      <c r="T226" s="223">
        <v>29889</v>
      </c>
      <c r="U226" s="223">
        <v>29879</v>
      </c>
      <c r="V226" s="223">
        <v>36900</v>
      </c>
      <c r="W226" s="223">
        <v>30166</v>
      </c>
      <c r="X226" s="223">
        <v>30110</v>
      </c>
      <c r="Y226" s="223">
        <v>360058</v>
      </c>
    </row>
    <row r="227" spans="1:25">
      <c r="A227" s="216">
        <v>45170</v>
      </c>
      <c r="B227" t="s">
        <v>42</v>
      </c>
      <c r="C227">
        <v>18</v>
      </c>
      <c r="D227" t="s">
        <v>444</v>
      </c>
      <c r="E227" s="217">
        <v>45170</v>
      </c>
      <c r="F227">
        <v>322</v>
      </c>
      <c r="G227" t="s">
        <v>255</v>
      </c>
      <c r="L227" s="222" t="s">
        <v>460</v>
      </c>
      <c r="M227" s="223">
        <v>0</v>
      </c>
      <c r="N227" s="223">
        <v>0</v>
      </c>
      <c r="O227" s="223">
        <v>0</v>
      </c>
      <c r="P227" s="223">
        <v>0</v>
      </c>
      <c r="Q227" s="223">
        <v>0</v>
      </c>
      <c r="R227" s="223">
        <v>0</v>
      </c>
      <c r="S227" s="223">
        <v>0</v>
      </c>
      <c r="T227" s="223">
        <v>0</v>
      </c>
      <c r="U227" s="223">
        <v>0</v>
      </c>
      <c r="V227" s="223">
        <v>0</v>
      </c>
      <c r="W227" s="223">
        <v>0</v>
      </c>
      <c r="X227" s="223">
        <v>0</v>
      </c>
      <c r="Y227" s="223">
        <v>0</v>
      </c>
    </row>
    <row r="228" spans="1:25">
      <c r="A228" s="216">
        <v>45170</v>
      </c>
      <c r="B228" t="s">
        <v>42</v>
      </c>
      <c r="C228">
        <v>18</v>
      </c>
      <c r="D228" t="s">
        <v>444</v>
      </c>
      <c r="E228" s="217">
        <v>45170</v>
      </c>
      <c r="F228">
        <v>157</v>
      </c>
      <c r="G228" t="s">
        <v>256</v>
      </c>
      <c r="L228" s="221" t="s">
        <v>47</v>
      </c>
      <c r="M228" s="223">
        <v>133097.52000000005</v>
      </c>
      <c r="N228" s="223">
        <v>133061.05000000002</v>
      </c>
      <c r="O228" s="223">
        <v>137717.18000000002</v>
      </c>
      <c r="P228" s="223">
        <v>130779.96</v>
      </c>
      <c r="Q228" s="223">
        <v>131743.83000000002</v>
      </c>
      <c r="R228" s="223">
        <v>142093.28000000003</v>
      </c>
      <c r="S228" s="223">
        <v>137775.10999999999</v>
      </c>
      <c r="T228" s="223">
        <v>134655.84999999998</v>
      </c>
      <c r="U228" s="223">
        <v>133538.93</v>
      </c>
      <c r="V228" s="223">
        <v>133188.57999999999</v>
      </c>
      <c r="W228" s="223">
        <v>133097.53000000003</v>
      </c>
      <c r="X228" s="223">
        <v>133097.53000000003</v>
      </c>
      <c r="Y228" s="223">
        <v>1613846.35</v>
      </c>
    </row>
    <row r="229" spans="1:25">
      <c r="A229" s="216">
        <v>45170</v>
      </c>
      <c r="B229" t="s">
        <v>42</v>
      </c>
      <c r="C229">
        <v>18</v>
      </c>
      <c r="D229" t="s">
        <v>444</v>
      </c>
      <c r="E229" s="217">
        <v>45170</v>
      </c>
      <c r="F229">
        <v>163.333333333333</v>
      </c>
      <c r="G229" t="s">
        <v>257</v>
      </c>
      <c r="L229" s="222" t="s">
        <v>435</v>
      </c>
      <c r="M229" s="223">
        <v>311.81</v>
      </c>
      <c r="N229" s="223">
        <v>311.81</v>
      </c>
      <c r="O229" s="223">
        <v>311.82</v>
      </c>
      <c r="P229" s="223">
        <v>128.9</v>
      </c>
      <c r="Q229" s="223">
        <v>128.9</v>
      </c>
      <c r="R229" s="223">
        <v>677.65</v>
      </c>
      <c r="S229" s="223">
        <v>311.81</v>
      </c>
      <c r="T229" s="223">
        <v>311.81</v>
      </c>
      <c r="U229" s="223">
        <v>311.81</v>
      </c>
      <c r="V229" s="223">
        <v>311.81</v>
      </c>
      <c r="W229" s="223">
        <v>311.81</v>
      </c>
      <c r="X229" s="223">
        <v>311.81</v>
      </c>
      <c r="Y229" s="223">
        <v>3741.75</v>
      </c>
    </row>
    <row r="230" spans="1:25">
      <c r="A230" s="216">
        <v>45170</v>
      </c>
      <c r="B230" t="s">
        <v>42</v>
      </c>
      <c r="C230">
        <v>18</v>
      </c>
      <c r="D230" t="s">
        <v>444</v>
      </c>
      <c r="E230" s="217">
        <v>45170</v>
      </c>
      <c r="F230">
        <v>163.333333333333</v>
      </c>
      <c r="G230" t="s">
        <v>258</v>
      </c>
      <c r="L230" s="222" t="s">
        <v>436</v>
      </c>
      <c r="M230" s="223">
        <v>10.83</v>
      </c>
      <c r="N230" s="223">
        <v>10.83</v>
      </c>
      <c r="O230" s="223">
        <v>10.83</v>
      </c>
      <c r="P230" s="223">
        <v>43.92</v>
      </c>
      <c r="Q230" s="223">
        <v>43.92</v>
      </c>
      <c r="R230" s="223">
        <v>-55.33</v>
      </c>
      <c r="S230" s="223">
        <v>10.83</v>
      </c>
      <c r="T230" s="223">
        <v>10.83</v>
      </c>
      <c r="U230" s="223">
        <v>10.83</v>
      </c>
      <c r="V230" s="223">
        <v>10.83</v>
      </c>
      <c r="W230" s="223">
        <v>10.83</v>
      </c>
      <c r="X230" s="223">
        <v>10.83</v>
      </c>
      <c r="Y230" s="223">
        <v>129.97999999999999</v>
      </c>
    </row>
    <row r="231" spans="1:25">
      <c r="A231" s="216">
        <v>45170</v>
      </c>
      <c r="B231" t="s">
        <v>42</v>
      </c>
      <c r="C231">
        <v>18</v>
      </c>
      <c r="D231" t="s">
        <v>444</v>
      </c>
      <c r="E231" s="217">
        <v>45170</v>
      </c>
      <c r="F231">
        <v>163.333333333333</v>
      </c>
      <c r="G231" t="s">
        <v>259</v>
      </c>
      <c r="L231" s="222" t="s">
        <v>437</v>
      </c>
      <c r="M231" s="223">
        <v>2459.4299999999998</v>
      </c>
      <c r="N231" s="223">
        <v>2459.4299999999998</v>
      </c>
      <c r="O231" s="223">
        <v>2459.48</v>
      </c>
      <c r="P231" s="223">
        <v>2386.4499999999998</v>
      </c>
      <c r="Q231" s="223">
        <v>2396.21</v>
      </c>
      <c r="R231" s="223">
        <v>2306.64</v>
      </c>
      <c r="S231" s="223">
        <v>2566.84</v>
      </c>
      <c r="T231" s="223">
        <v>2478.7199999999998</v>
      </c>
      <c r="U231" s="223">
        <v>2426.77</v>
      </c>
      <c r="V231" s="223">
        <v>2459.4299999999998</v>
      </c>
      <c r="W231" s="223">
        <v>2459.4299999999998</v>
      </c>
      <c r="X231" s="223">
        <v>2459.4299999999998</v>
      </c>
      <c r="Y231" s="223">
        <v>29318.26</v>
      </c>
    </row>
    <row r="232" spans="1:25">
      <c r="A232" s="216">
        <v>45170</v>
      </c>
      <c r="B232" t="s">
        <v>42</v>
      </c>
      <c r="C232">
        <v>18</v>
      </c>
      <c r="D232" t="s">
        <v>444</v>
      </c>
      <c r="E232" s="217">
        <v>45170</v>
      </c>
      <c r="F232">
        <v>163.333333333333</v>
      </c>
      <c r="G232" t="s">
        <v>260</v>
      </c>
      <c r="L232" s="222" t="s">
        <v>438</v>
      </c>
      <c r="M232" s="223">
        <v>35303.61</v>
      </c>
      <c r="N232" s="223">
        <v>35294.5</v>
      </c>
      <c r="O232" s="223">
        <v>36458.54</v>
      </c>
      <c r="P232" s="223">
        <v>34748.639999999999</v>
      </c>
      <c r="Q232" s="223">
        <v>35033.519999999997</v>
      </c>
      <c r="R232" s="223">
        <v>37670.69</v>
      </c>
      <c r="S232" s="223">
        <v>36719.06</v>
      </c>
      <c r="T232" s="223">
        <v>35797.54</v>
      </c>
      <c r="U232" s="223">
        <v>35606.93</v>
      </c>
      <c r="V232" s="223">
        <v>35326.36</v>
      </c>
      <c r="W232" s="223">
        <v>35303.620000000003</v>
      </c>
      <c r="X232" s="223">
        <v>35303.620000000003</v>
      </c>
      <c r="Y232" s="223">
        <v>428566.63</v>
      </c>
    </row>
    <row r="233" spans="1:25">
      <c r="A233" s="216">
        <v>45170</v>
      </c>
      <c r="B233" t="s">
        <v>42</v>
      </c>
      <c r="C233">
        <v>18</v>
      </c>
      <c r="D233" t="s">
        <v>444</v>
      </c>
      <c r="E233" s="217">
        <v>45170</v>
      </c>
      <c r="F233">
        <v>163.333333333333</v>
      </c>
      <c r="G233" t="s">
        <v>261</v>
      </c>
      <c r="L233" s="222" t="s">
        <v>439</v>
      </c>
      <c r="M233" s="223">
        <v>414.09</v>
      </c>
      <c r="N233" s="223">
        <v>414.09</v>
      </c>
      <c r="O233" s="223">
        <v>414.11</v>
      </c>
      <c r="P233" s="223">
        <v>388.52</v>
      </c>
      <c r="Q233" s="223">
        <v>388.52</v>
      </c>
      <c r="R233" s="223">
        <v>465.24</v>
      </c>
      <c r="S233" s="223">
        <v>414.09</v>
      </c>
      <c r="T233" s="223">
        <v>414.09</v>
      </c>
      <c r="U233" s="223">
        <v>414.09</v>
      </c>
      <c r="V233" s="223">
        <v>414.09</v>
      </c>
      <c r="W233" s="223">
        <v>414.09</v>
      </c>
      <c r="X233" s="223">
        <v>414.09</v>
      </c>
      <c r="Y233" s="223">
        <v>4969.1099999999997</v>
      </c>
    </row>
    <row r="234" spans="1:25">
      <c r="A234" s="216">
        <v>45170</v>
      </c>
      <c r="B234" t="s">
        <v>42</v>
      </c>
      <c r="C234">
        <v>18</v>
      </c>
      <c r="D234" t="s">
        <v>444</v>
      </c>
      <c r="E234" s="217">
        <v>45170</v>
      </c>
      <c r="F234">
        <v>163.333333333333</v>
      </c>
      <c r="G234" t="s">
        <v>262</v>
      </c>
      <c r="L234" s="222" t="s">
        <v>440</v>
      </c>
      <c r="M234" s="223">
        <v>0</v>
      </c>
      <c r="N234" s="223">
        <v>0</v>
      </c>
      <c r="O234" s="223">
        <v>0</v>
      </c>
      <c r="P234" s="223">
        <v>0</v>
      </c>
      <c r="Q234" s="223">
        <v>0</v>
      </c>
      <c r="R234" s="223">
        <v>0</v>
      </c>
      <c r="S234" s="223">
        <v>0</v>
      </c>
      <c r="T234" s="223">
        <v>0</v>
      </c>
      <c r="U234" s="223">
        <v>0</v>
      </c>
      <c r="V234" s="223">
        <v>0</v>
      </c>
      <c r="W234" s="223">
        <v>0</v>
      </c>
      <c r="X234" s="223">
        <v>0</v>
      </c>
      <c r="Y234" s="223">
        <v>0</v>
      </c>
    </row>
    <row r="235" spans="1:25">
      <c r="A235" s="216">
        <v>45170</v>
      </c>
      <c r="B235" t="s">
        <v>42</v>
      </c>
      <c r="C235">
        <v>18</v>
      </c>
      <c r="D235" t="s">
        <v>444</v>
      </c>
      <c r="E235" s="217">
        <v>45170</v>
      </c>
      <c r="F235">
        <v>2329</v>
      </c>
      <c r="G235" t="s">
        <v>434</v>
      </c>
      <c r="L235" s="222" t="s">
        <v>441</v>
      </c>
      <c r="M235" s="223">
        <v>13808.39</v>
      </c>
      <c r="N235" s="223">
        <v>13808.39</v>
      </c>
      <c r="O235" s="223">
        <v>13808.6</v>
      </c>
      <c r="P235" s="223">
        <v>13527.64</v>
      </c>
      <c r="Q235" s="223">
        <v>13297.33</v>
      </c>
      <c r="R235" s="223">
        <v>13412.49</v>
      </c>
      <c r="S235" s="223">
        <v>14465.94</v>
      </c>
      <c r="T235" s="223">
        <v>13705.32</v>
      </c>
      <c r="U235" s="223">
        <v>14489.62</v>
      </c>
      <c r="V235" s="223">
        <v>13808.39</v>
      </c>
      <c r="W235" s="223">
        <v>13808.39</v>
      </c>
      <c r="X235" s="223">
        <v>13808.39</v>
      </c>
      <c r="Y235" s="223">
        <v>165748.89000000001</v>
      </c>
    </row>
    <row r="236" spans="1:25">
      <c r="A236" s="216">
        <v>45170</v>
      </c>
      <c r="B236" t="s">
        <v>42</v>
      </c>
      <c r="C236">
        <v>19</v>
      </c>
      <c r="D236" t="s">
        <v>440</v>
      </c>
      <c r="E236" s="217">
        <v>45170</v>
      </c>
      <c r="F236">
        <v>0</v>
      </c>
      <c r="G236" t="s">
        <v>251</v>
      </c>
      <c r="L236" s="222" t="s">
        <v>442</v>
      </c>
      <c r="M236" s="223">
        <v>32597.97</v>
      </c>
      <c r="N236" s="223">
        <v>32588.85</v>
      </c>
      <c r="O236" s="223">
        <v>33752.879999999997</v>
      </c>
      <c r="P236" s="223">
        <v>32010.44</v>
      </c>
      <c r="Q236" s="223">
        <v>32236.77</v>
      </c>
      <c r="R236" s="223">
        <v>34807.53</v>
      </c>
      <c r="S236" s="223">
        <v>33685.35</v>
      </c>
      <c r="T236" s="223">
        <v>32952.769999999997</v>
      </c>
      <c r="U236" s="223">
        <v>32644</v>
      </c>
      <c r="V236" s="223">
        <v>32620.74</v>
      </c>
      <c r="W236" s="223">
        <v>32597.97</v>
      </c>
      <c r="X236" s="223">
        <v>32597.97</v>
      </c>
      <c r="Y236" s="223">
        <v>395093.24</v>
      </c>
    </row>
    <row r="237" spans="1:25">
      <c r="A237" s="216">
        <v>45170</v>
      </c>
      <c r="B237" t="s">
        <v>42</v>
      </c>
      <c r="C237">
        <v>19</v>
      </c>
      <c r="D237" t="s">
        <v>440</v>
      </c>
      <c r="E237" s="217">
        <v>45170</v>
      </c>
      <c r="F237">
        <v>0</v>
      </c>
      <c r="G237" t="s">
        <v>252</v>
      </c>
      <c r="L237" s="222" t="s">
        <v>443</v>
      </c>
      <c r="M237" s="223">
        <v>805.5</v>
      </c>
      <c r="N237" s="223">
        <v>805.5</v>
      </c>
      <c r="O237" s="223">
        <v>805.72</v>
      </c>
      <c r="P237" s="223">
        <v>681.09</v>
      </c>
      <c r="Q237" s="223">
        <v>665.28</v>
      </c>
      <c r="R237" s="223">
        <v>830.05</v>
      </c>
      <c r="S237" s="223">
        <v>894.45</v>
      </c>
      <c r="T237" s="223">
        <v>805.31</v>
      </c>
      <c r="U237" s="223">
        <v>805.35</v>
      </c>
      <c r="V237" s="223">
        <v>805.5</v>
      </c>
      <c r="W237" s="223">
        <v>805.5</v>
      </c>
      <c r="X237" s="223">
        <v>805.5</v>
      </c>
      <c r="Y237" s="223">
        <v>9514.75</v>
      </c>
    </row>
    <row r="238" spans="1:25">
      <c r="A238" s="216">
        <v>45170</v>
      </c>
      <c r="B238" t="s">
        <v>42</v>
      </c>
      <c r="C238">
        <v>19</v>
      </c>
      <c r="D238" t="s">
        <v>440</v>
      </c>
      <c r="E238" s="217">
        <v>45170</v>
      </c>
      <c r="F238">
        <v>0</v>
      </c>
      <c r="G238" t="s">
        <v>253</v>
      </c>
      <c r="L238" s="222" t="s">
        <v>444</v>
      </c>
      <c r="M238" s="223">
        <v>0</v>
      </c>
      <c r="N238" s="223">
        <v>0</v>
      </c>
      <c r="O238" s="223">
        <v>0</v>
      </c>
      <c r="P238" s="223">
        <v>0</v>
      </c>
      <c r="Q238" s="223">
        <v>0</v>
      </c>
      <c r="R238" s="223">
        <v>0</v>
      </c>
      <c r="S238" s="223">
        <v>0</v>
      </c>
      <c r="T238" s="223">
        <v>0</v>
      </c>
      <c r="U238" s="223">
        <v>0</v>
      </c>
      <c r="V238" s="223">
        <v>0</v>
      </c>
      <c r="W238" s="223">
        <v>0</v>
      </c>
      <c r="X238" s="223">
        <v>0</v>
      </c>
      <c r="Y238" s="223">
        <v>0</v>
      </c>
    </row>
    <row r="239" spans="1:25">
      <c r="A239" s="216">
        <v>45170</v>
      </c>
      <c r="B239" t="s">
        <v>42</v>
      </c>
      <c r="C239">
        <v>19</v>
      </c>
      <c r="D239" t="s">
        <v>440</v>
      </c>
      <c r="E239" s="217">
        <v>45170</v>
      </c>
      <c r="F239">
        <v>0</v>
      </c>
      <c r="G239" t="s">
        <v>254</v>
      </c>
      <c r="L239" s="222" t="s">
        <v>446</v>
      </c>
      <c r="M239" s="223">
        <v>-2705.6399999999899</v>
      </c>
      <c r="N239" s="223">
        <v>-2705.6499999999901</v>
      </c>
      <c r="O239" s="223">
        <v>-2705.6600000000099</v>
      </c>
      <c r="P239" s="223">
        <v>-2738.1999999999898</v>
      </c>
      <c r="Q239" s="223">
        <v>-2796.75</v>
      </c>
      <c r="R239" s="223">
        <v>-2863.16</v>
      </c>
      <c r="S239" s="223">
        <v>-3033.70999999999</v>
      </c>
      <c r="T239" s="223">
        <v>-2844.76999999999</v>
      </c>
      <c r="U239" s="223">
        <v>-2962.9299999999898</v>
      </c>
      <c r="V239" s="223">
        <v>-2705.6199999999899</v>
      </c>
      <c r="W239" s="223">
        <v>-2705.6499999999901</v>
      </c>
      <c r="X239" s="223">
        <v>-2705.6499999999901</v>
      </c>
      <c r="Y239" s="223">
        <v>-33473.389999999898</v>
      </c>
    </row>
    <row r="240" spans="1:25">
      <c r="A240" s="216">
        <v>45170</v>
      </c>
      <c r="B240" t="s">
        <v>42</v>
      </c>
      <c r="C240">
        <v>19</v>
      </c>
      <c r="D240" t="s">
        <v>440</v>
      </c>
      <c r="E240" s="217">
        <v>45170</v>
      </c>
      <c r="F240">
        <v>0</v>
      </c>
      <c r="G240" t="s">
        <v>255</v>
      </c>
      <c r="L240" s="222" t="s">
        <v>447</v>
      </c>
      <c r="M240" s="223">
        <v>0</v>
      </c>
      <c r="N240" s="223">
        <v>0</v>
      </c>
      <c r="O240" s="223">
        <v>0</v>
      </c>
      <c r="P240" s="223">
        <v>0</v>
      </c>
      <c r="Q240" s="223">
        <v>0</v>
      </c>
      <c r="R240" s="223">
        <v>0</v>
      </c>
      <c r="S240" s="223">
        <v>0</v>
      </c>
      <c r="T240" s="223">
        <v>0</v>
      </c>
      <c r="U240" s="223">
        <v>0</v>
      </c>
      <c r="V240" s="223">
        <v>0</v>
      </c>
      <c r="W240" s="223">
        <v>0</v>
      </c>
      <c r="X240" s="223">
        <v>0</v>
      </c>
      <c r="Y240" s="223">
        <v>0</v>
      </c>
    </row>
    <row r="241" spans="1:25">
      <c r="A241" s="216">
        <v>45170</v>
      </c>
      <c r="B241" t="s">
        <v>42</v>
      </c>
      <c r="C241">
        <v>19</v>
      </c>
      <c r="D241" t="s">
        <v>440</v>
      </c>
      <c r="E241" s="217">
        <v>45170</v>
      </c>
      <c r="F241">
        <v>0</v>
      </c>
      <c r="G241" t="s">
        <v>256</v>
      </c>
      <c r="L241" s="222" t="s">
        <v>448</v>
      </c>
      <c r="M241" s="223">
        <v>666.66</v>
      </c>
      <c r="N241" s="223">
        <v>657.54</v>
      </c>
      <c r="O241" s="223">
        <v>657.35</v>
      </c>
      <c r="P241" s="223">
        <v>631.49</v>
      </c>
      <c r="Q241" s="223">
        <v>879.15</v>
      </c>
      <c r="R241" s="223">
        <v>338.87</v>
      </c>
      <c r="S241" s="223">
        <v>713.52</v>
      </c>
      <c r="T241" s="223">
        <v>721.2</v>
      </c>
      <c r="U241" s="223">
        <v>697.83</v>
      </c>
      <c r="V241" s="223">
        <v>689.43</v>
      </c>
      <c r="W241" s="223">
        <v>666.66</v>
      </c>
      <c r="X241" s="223">
        <v>666.66</v>
      </c>
      <c r="Y241" s="223">
        <v>7986.36</v>
      </c>
    </row>
    <row r="242" spans="1:25">
      <c r="A242" s="216">
        <v>45170</v>
      </c>
      <c r="B242" t="s">
        <v>42</v>
      </c>
      <c r="C242">
        <v>19</v>
      </c>
      <c r="D242" t="s">
        <v>440</v>
      </c>
      <c r="E242" s="217">
        <v>45170</v>
      </c>
      <c r="F242">
        <v>0</v>
      </c>
      <c r="G242" t="s">
        <v>257</v>
      </c>
      <c r="L242" s="222" t="s">
        <v>449</v>
      </c>
      <c r="M242" s="223">
        <v>332.01</v>
      </c>
      <c r="N242" s="223">
        <v>332.01</v>
      </c>
      <c r="O242" s="223">
        <v>332.03</v>
      </c>
      <c r="P242" s="223">
        <v>313.01</v>
      </c>
      <c r="Q242" s="223">
        <v>265.26</v>
      </c>
      <c r="R242" s="223">
        <v>300.77</v>
      </c>
      <c r="S242" s="223">
        <v>236.24</v>
      </c>
      <c r="T242" s="223">
        <v>339.61</v>
      </c>
      <c r="U242" s="223">
        <v>249.43</v>
      </c>
      <c r="V242" s="223">
        <v>332.01</v>
      </c>
      <c r="W242" s="223">
        <v>332.01</v>
      </c>
      <c r="X242" s="223">
        <v>332.01</v>
      </c>
      <c r="Y242" s="223">
        <v>3696.4</v>
      </c>
    </row>
    <row r="243" spans="1:25">
      <c r="A243" s="216">
        <v>45170</v>
      </c>
      <c r="B243" t="s">
        <v>42</v>
      </c>
      <c r="C243">
        <v>19</v>
      </c>
      <c r="D243" t="s">
        <v>440</v>
      </c>
      <c r="E243" s="217">
        <v>45170</v>
      </c>
      <c r="F243">
        <v>0</v>
      </c>
      <c r="G243" t="s">
        <v>258</v>
      </c>
      <c r="L243" s="222" t="s">
        <v>450</v>
      </c>
      <c r="M243" s="223">
        <v>2956.86</v>
      </c>
      <c r="N243" s="223">
        <v>2956.86</v>
      </c>
      <c r="O243" s="223">
        <v>2956.84</v>
      </c>
      <c r="P243" s="223">
        <v>2878.05</v>
      </c>
      <c r="Q243" s="223">
        <v>2878.5</v>
      </c>
      <c r="R243" s="223">
        <v>3097.88</v>
      </c>
      <c r="S243" s="223">
        <v>2955.04</v>
      </c>
      <c r="T243" s="223">
        <v>3165.03</v>
      </c>
      <c r="U243" s="223">
        <v>2894.9</v>
      </c>
      <c r="V243" s="223">
        <v>2956.86</v>
      </c>
      <c r="W243" s="223">
        <v>2956.86</v>
      </c>
      <c r="X243" s="223">
        <v>2956.86</v>
      </c>
      <c r="Y243" s="223">
        <v>35610.54</v>
      </c>
    </row>
    <row r="244" spans="1:25">
      <c r="A244" s="216">
        <v>45170</v>
      </c>
      <c r="B244" t="s">
        <v>42</v>
      </c>
      <c r="C244">
        <v>19</v>
      </c>
      <c r="D244" t="s">
        <v>440</v>
      </c>
      <c r="E244" s="217">
        <v>45170</v>
      </c>
      <c r="F244">
        <v>0</v>
      </c>
      <c r="G244" t="s">
        <v>259</v>
      </c>
      <c r="L244" s="222" t="s">
        <v>451</v>
      </c>
      <c r="M244" s="223">
        <v>3600.6</v>
      </c>
      <c r="N244" s="223">
        <v>3600.6</v>
      </c>
      <c r="O244" s="223">
        <v>3600.21</v>
      </c>
      <c r="P244" s="223">
        <v>3524.86</v>
      </c>
      <c r="Q244" s="223">
        <v>3649.46</v>
      </c>
      <c r="R244" s="223">
        <v>3573.81</v>
      </c>
      <c r="S244" s="223">
        <v>3632.02</v>
      </c>
      <c r="T244" s="223">
        <v>3612.46</v>
      </c>
      <c r="U244" s="223">
        <v>3611.05</v>
      </c>
      <c r="V244" s="223">
        <v>3600.6</v>
      </c>
      <c r="W244" s="223">
        <v>3600.6</v>
      </c>
      <c r="X244" s="223">
        <v>3600.6</v>
      </c>
      <c r="Y244" s="223">
        <v>43206.87</v>
      </c>
    </row>
    <row r="245" spans="1:25">
      <c r="A245" s="216">
        <v>45170</v>
      </c>
      <c r="B245" t="s">
        <v>42</v>
      </c>
      <c r="C245">
        <v>19</v>
      </c>
      <c r="D245" t="s">
        <v>440</v>
      </c>
      <c r="E245" s="217">
        <v>45170</v>
      </c>
      <c r="F245">
        <v>0</v>
      </c>
      <c r="G245" t="s">
        <v>260</v>
      </c>
      <c r="L245" s="222" t="s">
        <v>452</v>
      </c>
      <c r="M245" s="223">
        <v>0</v>
      </c>
      <c r="N245" s="223">
        <v>0</v>
      </c>
      <c r="O245" s="223">
        <v>0</v>
      </c>
      <c r="P245" s="223">
        <v>0</v>
      </c>
      <c r="Q245" s="223">
        <v>0</v>
      </c>
      <c r="R245" s="223">
        <v>0</v>
      </c>
      <c r="S245" s="223">
        <v>0</v>
      </c>
      <c r="T245" s="223">
        <v>0</v>
      </c>
      <c r="U245" s="223">
        <v>0</v>
      </c>
      <c r="V245" s="223">
        <v>0</v>
      </c>
      <c r="W245" s="223">
        <v>0</v>
      </c>
      <c r="X245" s="223">
        <v>0</v>
      </c>
      <c r="Y245" s="223">
        <v>0</v>
      </c>
    </row>
    <row r="246" spans="1:25">
      <c r="A246" s="216">
        <v>45170</v>
      </c>
      <c r="B246" t="s">
        <v>42</v>
      </c>
      <c r="C246">
        <v>19</v>
      </c>
      <c r="D246" t="s">
        <v>440</v>
      </c>
      <c r="E246" s="217">
        <v>45170</v>
      </c>
      <c r="F246">
        <v>0</v>
      </c>
      <c r="G246" t="s">
        <v>261</v>
      </c>
      <c r="L246" s="222" t="s">
        <v>433</v>
      </c>
      <c r="M246" s="223">
        <v>8850.49</v>
      </c>
      <c r="N246" s="223">
        <v>8841.3799999999992</v>
      </c>
      <c r="O246" s="223">
        <v>9085.3700000000008</v>
      </c>
      <c r="P246" s="223">
        <v>8286.8799999999992</v>
      </c>
      <c r="Q246" s="223">
        <v>8651.42</v>
      </c>
      <c r="R246" s="223">
        <v>10455.379999999999</v>
      </c>
      <c r="S246" s="223">
        <v>9815.84</v>
      </c>
      <c r="T246" s="223">
        <v>8663.2000000000007</v>
      </c>
      <c r="U246" s="223">
        <v>8666.06</v>
      </c>
      <c r="V246" s="223">
        <v>8873.26</v>
      </c>
      <c r="W246" s="223">
        <v>8850.5</v>
      </c>
      <c r="X246" s="223">
        <v>8850.5</v>
      </c>
      <c r="Y246" s="223">
        <v>107890.28</v>
      </c>
    </row>
    <row r="247" spans="1:25">
      <c r="A247" s="216">
        <v>45170</v>
      </c>
      <c r="B247" t="s">
        <v>42</v>
      </c>
      <c r="C247">
        <v>19</v>
      </c>
      <c r="D247" t="s">
        <v>440</v>
      </c>
      <c r="E247" s="217">
        <v>45170</v>
      </c>
      <c r="F247">
        <v>0</v>
      </c>
      <c r="G247" t="s">
        <v>262</v>
      </c>
      <c r="L247" s="222" t="s">
        <v>445</v>
      </c>
      <c r="M247" s="223">
        <v>1644.95</v>
      </c>
      <c r="N247" s="223">
        <v>1644.95</v>
      </c>
      <c r="O247" s="223">
        <v>2564.88</v>
      </c>
      <c r="P247" s="223">
        <v>2513.5700000000002</v>
      </c>
      <c r="Q247" s="223">
        <v>2581.9699999999998</v>
      </c>
      <c r="R247" s="223">
        <v>2442.7399999999998</v>
      </c>
      <c r="S247" s="223">
        <v>1307.73</v>
      </c>
      <c r="T247" s="223">
        <v>2197.41</v>
      </c>
      <c r="U247" s="223">
        <v>1603</v>
      </c>
      <c r="V247" s="223">
        <v>1644.93</v>
      </c>
      <c r="W247" s="223">
        <v>1644.95</v>
      </c>
      <c r="X247" s="223">
        <v>1644.95</v>
      </c>
      <c r="Y247" s="223">
        <v>23436.03</v>
      </c>
    </row>
    <row r="248" spans="1:25">
      <c r="A248" s="216">
        <v>45170</v>
      </c>
      <c r="B248" t="s">
        <v>42</v>
      </c>
      <c r="C248">
        <v>19</v>
      </c>
      <c r="D248" t="s">
        <v>440</v>
      </c>
      <c r="E248" s="217">
        <v>45170</v>
      </c>
      <c r="F248">
        <v>0</v>
      </c>
      <c r="G248" t="s">
        <v>434</v>
      </c>
      <c r="L248" s="222" t="s">
        <v>453</v>
      </c>
      <c r="M248" s="223">
        <v>31920.48</v>
      </c>
      <c r="N248" s="223">
        <v>31920.48</v>
      </c>
      <c r="O248" s="223">
        <v>33084.699999999997</v>
      </c>
      <c r="P248" s="223">
        <v>31335.03</v>
      </c>
      <c r="Q248" s="223">
        <v>31313.7</v>
      </c>
      <c r="R248" s="223">
        <v>34523.99</v>
      </c>
      <c r="S248" s="223">
        <v>32961</v>
      </c>
      <c r="T248" s="223">
        <v>32220.74</v>
      </c>
      <c r="U248" s="223">
        <v>31935.34</v>
      </c>
      <c r="V248" s="223">
        <v>31920.48</v>
      </c>
      <c r="W248" s="223">
        <v>31920.48</v>
      </c>
      <c r="X248" s="223">
        <v>31920.48</v>
      </c>
      <c r="Y248" s="223">
        <v>386976.9</v>
      </c>
    </row>
    <row r="249" spans="1:25">
      <c r="A249" s="216">
        <v>45170</v>
      </c>
      <c r="B249" t="s">
        <v>42</v>
      </c>
      <c r="C249">
        <v>20</v>
      </c>
      <c r="D249" t="s">
        <v>456</v>
      </c>
      <c r="E249" s="217">
        <v>45170</v>
      </c>
      <c r="F249">
        <v>0</v>
      </c>
      <c r="G249" t="s">
        <v>251</v>
      </c>
      <c r="L249" s="222" t="s">
        <v>454</v>
      </c>
      <c r="M249" s="223">
        <v>119.48</v>
      </c>
      <c r="N249" s="223">
        <v>119.48</v>
      </c>
      <c r="O249" s="223">
        <v>119.48</v>
      </c>
      <c r="P249" s="223">
        <v>119.67</v>
      </c>
      <c r="Q249" s="223">
        <v>130.66999999999999</v>
      </c>
      <c r="R249" s="223">
        <v>108.04</v>
      </c>
      <c r="S249" s="223">
        <v>119.06</v>
      </c>
      <c r="T249" s="223">
        <v>104.58</v>
      </c>
      <c r="U249" s="223">
        <v>134.85</v>
      </c>
      <c r="V249" s="223">
        <v>119.48</v>
      </c>
      <c r="W249" s="223">
        <v>119.48</v>
      </c>
      <c r="X249" s="223">
        <v>119.48</v>
      </c>
      <c r="Y249" s="223">
        <v>1433.75</v>
      </c>
    </row>
    <row r="250" spans="1:25">
      <c r="A250" s="216">
        <v>45170</v>
      </c>
      <c r="B250" t="s">
        <v>42</v>
      </c>
      <c r="C250">
        <v>20</v>
      </c>
      <c r="D250" t="s">
        <v>456</v>
      </c>
      <c r="E250" s="217">
        <v>45170</v>
      </c>
      <c r="F250">
        <v>0</v>
      </c>
      <c r="G250" t="s">
        <v>252</v>
      </c>
      <c r="L250" s="222" t="s">
        <v>455</v>
      </c>
      <c r="M250" s="223">
        <v>0</v>
      </c>
      <c r="N250" s="223">
        <v>0</v>
      </c>
      <c r="O250" s="223">
        <v>0</v>
      </c>
      <c r="P250" s="223">
        <v>0</v>
      </c>
      <c r="Q250" s="223">
        <v>0</v>
      </c>
      <c r="R250" s="223">
        <v>0</v>
      </c>
      <c r="S250" s="223">
        <v>0</v>
      </c>
      <c r="T250" s="223">
        <v>0</v>
      </c>
      <c r="U250" s="223">
        <v>0</v>
      </c>
      <c r="V250" s="223">
        <v>0</v>
      </c>
      <c r="W250" s="223">
        <v>0</v>
      </c>
      <c r="X250" s="223">
        <v>0</v>
      </c>
      <c r="Y250" s="223">
        <v>0</v>
      </c>
    </row>
    <row r="251" spans="1:25">
      <c r="A251" s="216">
        <v>45170</v>
      </c>
      <c r="B251" t="s">
        <v>42</v>
      </c>
      <c r="C251">
        <v>20</v>
      </c>
      <c r="D251" t="s">
        <v>456</v>
      </c>
      <c r="E251" s="217">
        <v>45170</v>
      </c>
      <c r="F251">
        <v>0</v>
      </c>
      <c r="G251" t="s">
        <v>253</v>
      </c>
      <c r="L251" s="222" t="s">
        <v>456</v>
      </c>
      <c r="M251" s="223">
        <v>0</v>
      </c>
      <c r="N251" s="223">
        <v>0</v>
      </c>
      <c r="O251" s="223">
        <v>0</v>
      </c>
      <c r="P251" s="223">
        <v>0</v>
      </c>
      <c r="Q251" s="223">
        <v>0</v>
      </c>
      <c r="R251" s="223">
        <v>0</v>
      </c>
      <c r="S251" s="223">
        <v>0</v>
      </c>
      <c r="T251" s="223">
        <v>0</v>
      </c>
      <c r="U251" s="223">
        <v>0</v>
      </c>
      <c r="V251" s="223">
        <v>0</v>
      </c>
      <c r="W251" s="223">
        <v>0</v>
      </c>
      <c r="X251" s="223">
        <v>0</v>
      </c>
      <c r="Y251" s="223">
        <v>0</v>
      </c>
    </row>
    <row r="252" spans="1:25">
      <c r="A252" s="216">
        <v>45170</v>
      </c>
      <c r="B252" t="s">
        <v>42</v>
      </c>
      <c r="C252">
        <v>20</v>
      </c>
      <c r="D252" t="s">
        <v>456</v>
      </c>
      <c r="E252" s="217">
        <v>45170</v>
      </c>
      <c r="F252">
        <v>0</v>
      </c>
      <c r="G252" t="s">
        <v>254</v>
      </c>
      <c r="L252" s="222" t="s">
        <v>457</v>
      </c>
      <c r="M252" s="223">
        <v>0</v>
      </c>
      <c r="N252" s="223">
        <v>0</v>
      </c>
      <c r="O252" s="223">
        <v>0</v>
      </c>
      <c r="P252" s="223">
        <v>0</v>
      </c>
      <c r="Q252" s="223">
        <v>0</v>
      </c>
      <c r="R252" s="223">
        <v>0</v>
      </c>
      <c r="S252" s="223">
        <v>0</v>
      </c>
      <c r="T252" s="223">
        <v>0</v>
      </c>
      <c r="U252" s="223">
        <v>0</v>
      </c>
      <c r="V252" s="223">
        <v>0</v>
      </c>
      <c r="W252" s="223">
        <v>0</v>
      </c>
      <c r="X252" s="223">
        <v>0</v>
      </c>
      <c r="Y252" s="223">
        <v>0</v>
      </c>
    </row>
    <row r="253" spans="1:25">
      <c r="A253" s="216">
        <v>45170</v>
      </c>
      <c r="B253" t="s">
        <v>42</v>
      </c>
      <c r="C253">
        <v>20</v>
      </c>
      <c r="D253" t="s">
        <v>456</v>
      </c>
      <c r="E253" s="217">
        <v>45170</v>
      </c>
      <c r="F253">
        <v>0</v>
      </c>
      <c r="G253" t="s">
        <v>255</v>
      </c>
      <c r="L253" s="222" t="s">
        <v>458</v>
      </c>
      <c r="M253" s="223">
        <v>0</v>
      </c>
      <c r="N253" s="223">
        <v>0</v>
      </c>
      <c r="O253" s="223">
        <v>0</v>
      </c>
      <c r="P253" s="223">
        <v>0</v>
      </c>
      <c r="Q253" s="223">
        <v>0</v>
      </c>
      <c r="R253" s="223">
        <v>0</v>
      </c>
      <c r="S253" s="223">
        <v>0</v>
      </c>
      <c r="T253" s="223">
        <v>0</v>
      </c>
      <c r="U253" s="223">
        <v>0</v>
      </c>
      <c r="V253" s="223">
        <v>0</v>
      </c>
      <c r="W253" s="223">
        <v>0</v>
      </c>
      <c r="X253" s="223">
        <v>0</v>
      </c>
      <c r="Y253" s="223">
        <v>0</v>
      </c>
    </row>
    <row r="254" spans="1:25">
      <c r="A254" s="216">
        <v>45170</v>
      </c>
      <c r="B254" t="s">
        <v>42</v>
      </c>
      <c r="C254">
        <v>20</v>
      </c>
      <c r="D254" t="s">
        <v>456</v>
      </c>
      <c r="E254" s="217">
        <v>45170</v>
      </c>
      <c r="F254">
        <v>0</v>
      </c>
      <c r="G254" t="s">
        <v>256</v>
      </c>
      <c r="L254" s="222" t="s">
        <v>459</v>
      </c>
      <c r="M254" s="223">
        <v>0</v>
      </c>
      <c r="N254" s="223">
        <v>0</v>
      </c>
      <c r="O254" s="223">
        <v>0</v>
      </c>
      <c r="P254" s="223">
        <v>0</v>
      </c>
      <c r="Q254" s="223">
        <v>0</v>
      </c>
      <c r="R254" s="223">
        <v>0</v>
      </c>
      <c r="S254" s="223">
        <v>0</v>
      </c>
      <c r="T254" s="223">
        <v>0</v>
      </c>
      <c r="U254" s="223">
        <v>0</v>
      </c>
      <c r="V254" s="223">
        <v>0</v>
      </c>
      <c r="W254" s="223">
        <v>0</v>
      </c>
      <c r="X254" s="223">
        <v>0</v>
      </c>
      <c r="Y254" s="223">
        <v>0</v>
      </c>
    </row>
    <row r="255" spans="1:25">
      <c r="A255" s="216">
        <v>45170</v>
      </c>
      <c r="B255" t="s">
        <v>42</v>
      </c>
      <c r="C255">
        <v>20</v>
      </c>
      <c r="D255" t="s">
        <v>456</v>
      </c>
      <c r="E255" s="217">
        <v>45170</v>
      </c>
      <c r="F255">
        <v>0</v>
      </c>
      <c r="G255" t="s">
        <v>257</v>
      </c>
      <c r="L255" s="222" t="s">
        <v>460</v>
      </c>
      <c r="M255" s="223">
        <v>0</v>
      </c>
      <c r="N255" s="223">
        <v>0</v>
      </c>
      <c r="O255" s="223">
        <v>0</v>
      </c>
      <c r="P255" s="223">
        <v>0</v>
      </c>
      <c r="Q255" s="223">
        <v>0</v>
      </c>
      <c r="R255" s="223">
        <v>0</v>
      </c>
      <c r="S255" s="223">
        <v>0</v>
      </c>
      <c r="T255" s="223">
        <v>0</v>
      </c>
      <c r="U255" s="223">
        <v>0</v>
      </c>
      <c r="V255" s="223">
        <v>0</v>
      </c>
      <c r="W255" s="223">
        <v>0</v>
      </c>
      <c r="X255" s="223">
        <v>0</v>
      </c>
      <c r="Y255" s="223">
        <v>0</v>
      </c>
    </row>
    <row r="256" spans="1:25">
      <c r="A256" s="216">
        <v>45170</v>
      </c>
      <c r="B256" t="s">
        <v>42</v>
      </c>
      <c r="C256">
        <v>20</v>
      </c>
      <c r="D256" t="s">
        <v>456</v>
      </c>
      <c r="E256" s="217">
        <v>45170</v>
      </c>
      <c r="F256">
        <v>0</v>
      </c>
      <c r="G256" t="s">
        <v>258</v>
      </c>
      <c r="L256" s="221" t="s">
        <v>48</v>
      </c>
      <c r="M256" s="223">
        <v>82514.412764533205</v>
      </c>
      <c r="N256" s="223">
        <v>82141.905574133198</v>
      </c>
      <c r="O256" s="223">
        <v>100333.84865786671</v>
      </c>
      <c r="P256" s="223">
        <v>72738</v>
      </c>
      <c r="Q256" s="223">
        <v>74066</v>
      </c>
      <c r="R256" s="223">
        <v>75921</v>
      </c>
      <c r="S256" s="223">
        <v>83258</v>
      </c>
      <c r="T256" s="223">
        <v>79767</v>
      </c>
      <c r="U256" s="223">
        <v>79138</v>
      </c>
      <c r="V256" s="223">
        <v>84992.279644533235</v>
      </c>
      <c r="W256" s="223">
        <v>81919.108302666806</v>
      </c>
      <c r="X256" s="223">
        <v>83472.763671200024</v>
      </c>
      <c r="Y256" s="223">
        <v>980262.31861493201</v>
      </c>
    </row>
    <row r="257" spans="1:25">
      <c r="A257" s="216">
        <v>45170</v>
      </c>
      <c r="B257" t="s">
        <v>42</v>
      </c>
      <c r="C257">
        <v>20</v>
      </c>
      <c r="D257" t="s">
        <v>456</v>
      </c>
      <c r="E257" s="217">
        <v>45170</v>
      </c>
      <c r="F257">
        <v>0</v>
      </c>
      <c r="G257" t="s">
        <v>259</v>
      </c>
      <c r="L257" s="222" t="s">
        <v>435</v>
      </c>
      <c r="M257" s="223">
        <v>28.12</v>
      </c>
      <c r="N257" s="223">
        <v>28.12</v>
      </c>
      <c r="O257" s="223">
        <v>28.42</v>
      </c>
      <c r="P257" s="223">
        <v>0</v>
      </c>
      <c r="Q257" s="223">
        <v>53.13</v>
      </c>
      <c r="R257" s="223">
        <v>26.59</v>
      </c>
      <c r="S257" s="223">
        <v>26.59</v>
      </c>
      <c r="T257" s="223">
        <v>34.42</v>
      </c>
      <c r="U257" s="223">
        <v>28.12</v>
      </c>
      <c r="V257" s="223">
        <v>28.12</v>
      </c>
      <c r="W257" s="223">
        <v>28.12</v>
      </c>
      <c r="X257" s="223">
        <v>28.12</v>
      </c>
      <c r="Y257" s="223">
        <v>337.87</v>
      </c>
    </row>
    <row r="258" spans="1:25">
      <c r="A258" s="216">
        <v>45170</v>
      </c>
      <c r="B258" t="s">
        <v>42</v>
      </c>
      <c r="C258">
        <v>20</v>
      </c>
      <c r="D258" t="s">
        <v>456</v>
      </c>
      <c r="E258" s="217">
        <v>45170</v>
      </c>
      <c r="F258">
        <v>0</v>
      </c>
      <c r="G258" t="s">
        <v>260</v>
      </c>
      <c r="L258" s="222" t="s">
        <v>436</v>
      </c>
      <c r="M258" s="223">
        <v>0</v>
      </c>
      <c r="N258" s="223">
        <v>0</v>
      </c>
      <c r="O258" s="223">
        <v>0</v>
      </c>
      <c r="P258" s="223">
        <v>0</v>
      </c>
      <c r="Q258" s="223">
        <v>0</v>
      </c>
      <c r="R258" s="223">
        <v>0</v>
      </c>
      <c r="S258" s="223">
        <v>0</v>
      </c>
      <c r="T258" s="223">
        <v>0</v>
      </c>
      <c r="U258" s="223">
        <v>0</v>
      </c>
      <c r="V258" s="223">
        <v>0</v>
      </c>
      <c r="W258" s="223">
        <v>0</v>
      </c>
      <c r="X258" s="223">
        <v>0</v>
      </c>
      <c r="Y258" s="223">
        <v>0</v>
      </c>
    </row>
    <row r="259" spans="1:25">
      <c r="A259" s="216">
        <v>45170</v>
      </c>
      <c r="B259" t="s">
        <v>42</v>
      </c>
      <c r="C259">
        <v>20</v>
      </c>
      <c r="D259" t="s">
        <v>456</v>
      </c>
      <c r="E259" s="217">
        <v>45170</v>
      </c>
      <c r="F259">
        <v>0</v>
      </c>
      <c r="G259" t="s">
        <v>261</v>
      </c>
      <c r="L259" s="222" t="s">
        <v>437</v>
      </c>
      <c r="M259" s="223">
        <v>0</v>
      </c>
      <c r="N259" s="223">
        <v>0</v>
      </c>
      <c r="O259" s="223">
        <v>0</v>
      </c>
      <c r="P259" s="223">
        <v>0</v>
      </c>
      <c r="Q259" s="223">
        <v>0</v>
      </c>
      <c r="R259" s="223">
        <v>0</v>
      </c>
      <c r="S259" s="223">
        <v>0</v>
      </c>
      <c r="T259" s="223">
        <v>0</v>
      </c>
      <c r="U259" s="223">
        <v>0</v>
      </c>
      <c r="V259" s="223">
        <v>0</v>
      </c>
      <c r="W259" s="223">
        <v>0</v>
      </c>
      <c r="X259" s="223">
        <v>0</v>
      </c>
      <c r="Y259" s="223">
        <v>0</v>
      </c>
    </row>
    <row r="260" spans="1:25">
      <c r="A260" s="216">
        <v>45170</v>
      </c>
      <c r="B260" t="s">
        <v>42</v>
      </c>
      <c r="C260">
        <v>20</v>
      </c>
      <c r="D260" t="s">
        <v>456</v>
      </c>
      <c r="E260" s="217">
        <v>45170</v>
      </c>
      <c r="F260">
        <v>0</v>
      </c>
      <c r="G260" t="s">
        <v>262</v>
      </c>
      <c r="L260" s="222" t="s">
        <v>438</v>
      </c>
      <c r="M260" s="223">
        <v>20628.603191133301</v>
      </c>
      <c r="N260" s="223">
        <v>20535.476393533299</v>
      </c>
      <c r="O260" s="223">
        <v>25176.462164466699</v>
      </c>
      <c r="P260" s="223">
        <v>18147</v>
      </c>
      <c r="Q260" s="223">
        <v>18515</v>
      </c>
      <c r="R260" s="223">
        <v>18972</v>
      </c>
      <c r="S260" s="223">
        <v>20744</v>
      </c>
      <c r="T260" s="223">
        <v>20052</v>
      </c>
      <c r="U260" s="223">
        <v>19699</v>
      </c>
      <c r="V260" s="223">
        <v>21248.069911133302</v>
      </c>
      <c r="W260" s="223">
        <v>20479.777075666701</v>
      </c>
      <c r="X260" s="223">
        <v>20868.190917799999</v>
      </c>
      <c r="Y260" s="223">
        <v>245065.579653733</v>
      </c>
    </row>
    <row r="261" spans="1:25">
      <c r="A261" s="216">
        <v>45170</v>
      </c>
      <c r="B261" t="s">
        <v>42</v>
      </c>
      <c r="C261">
        <v>20</v>
      </c>
      <c r="D261" t="s">
        <v>456</v>
      </c>
      <c r="E261" s="217">
        <v>45170</v>
      </c>
      <c r="F261">
        <v>0</v>
      </c>
      <c r="G261" t="s">
        <v>434</v>
      </c>
      <c r="L261" s="222" t="s">
        <v>439</v>
      </c>
      <c r="M261" s="223">
        <v>543.77</v>
      </c>
      <c r="N261" s="223">
        <v>543.77</v>
      </c>
      <c r="O261" s="223">
        <v>543.16999999999996</v>
      </c>
      <c r="P261" s="223">
        <v>283.82100000000003</v>
      </c>
      <c r="Q261" s="223">
        <v>753.16</v>
      </c>
      <c r="R261" s="223">
        <v>518.59</v>
      </c>
      <c r="S261" s="223">
        <v>518.59</v>
      </c>
      <c r="T261" s="223">
        <v>645.16999999999996</v>
      </c>
      <c r="U261" s="223">
        <v>543.77</v>
      </c>
      <c r="V261" s="223">
        <v>543.77</v>
      </c>
      <c r="W261" s="223">
        <v>543.77</v>
      </c>
      <c r="X261" s="223">
        <v>543.77</v>
      </c>
      <c r="Y261" s="223">
        <v>6525.1210000000001</v>
      </c>
    </row>
    <row r="262" spans="1:25">
      <c r="A262" s="216">
        <v>45170</v>
      </c>
      <c r="B262" t="s">
        <v>42</v>
      </c>
      <c r="C262">
        <v>21</v>
      </c>
      <c r="D262" t="s">
        <v>455</v>
      </c>
      <c r="E262" s="217">
        <v>45170</v>
      </c>
      <c r="F262">
        <v>0</v>
      </c>
      <c r="G262" t="s">
        <v>251</v>
      </c>
      <c r="L262" s="222" t="s">
        <v>440</v>
      </c>
      <c r="M262" s="223">
        <v>0</v>
      </c>
      <c r="N262" s="223">
        <v>0</v>
      </c>
      <c r="O262" s="223">
        <v>0</v>
      </c>
      <c r="P262" s="223">
        <v>0</v>
      </c>
      <c r="Q262" s="223">
        <v>0</v>
      </c>
      <c r="R262" s="223">
        <v>0</v>
      </c>
      <c r="S262" s="223">
        <v>0</v>
      </c>
      <c r="T262" s="223">
        <v>0</v>
      </c>
      <c r="U262" s="223">
        <v>0</v>
      </c>
      <c r="V262" s="223">
        <v>0</v>
      </c>
      <c r="W262" s="223">
        <v>0</v>
      </c>
      <c r="X262" s="223">
        <v>0</v>
      </c>
      <c r="Y262" s="223">
        <v>0</v>
      </c>
    </row>
    <row r="263" spans="1:25">
      <c r="A263" s="216">
        <v>45170</v>
      </c>
      <c r="B263" t="s">
        <v>42</v>
      </c>
      <c r="C263">
        <v>21</v>
      </c>
      <c r="D263" t="s">
        <v>455</v>
      </c>
      <c r="E263" s="217">
        <v>45170</v>
      </c>
      <c r="F263">
        <v>0</v>
      </c>
      <c r="G263" t="s">
        <v>252</v>
      </c>
      <c r="L263" s="222" t="s">
        <v>441</v>
      </c>
      <c r="M263" s="223">
        <v>0</v>
      </c>
      <c r="N263" s="223">
        <v>0</v>
      </c>
      <c r="O263" s="223">
        <v>0</v>
      </c>
      <c r="P263" s="223">
        <v>0</v>
      </c>
      <c r="Q263" s="223">
        <v>0</v>
      </c>
      <c r="R263" s="223">
        <v>0</v>
      </c>
      <c r="S263" s="223">
        <v>0</v>
      </c>
      <c r="T263" s="223">
        <v>0</v>
      </c>
      <c r="U263" s="223">
        <v>0</v>
      </c>
      <c r="V263" s="223">
        <v>0</v>
      </c>
      <c r="W263" s="223">
        <v>0</v>
      </c>
      <c r="X263" s="223">
        <v>0</v>
      </c>
      <c r="Y263" s="223">
        <v>0</v>
      </c>
    </row>
    <row r="264" spans="1:25">
      <c r="A264" s="216">
        <v>45170</v>
      </c>
      <c r="B264" t="s">
        <v>42</v>
      </c>
      <c r="C264">
        <v>21</v>
      </c>
      <c r="D264" t="s">
        <v>455</v>
      </c>
      <c r="E264" s="217">
        <v>45170</v>
      </c>
      <c r="F264">
        <v>0</v>
      </c>
      <c r="G264" t="s">
        <v>253</v>
      </c>
      <c r="L264" s="222" t="s">
        <v>442</v>
      </c>
      <c r="M264" s="223">
        <v>20628.603191133301</v>
      </c>
      <c r="N264" s="223">
        <v>20535.476393533299</v>
      </c>
      <c r="O264" s="223">
        <v>25052.462164466699</v>
      </c>
      <c r="P264" s="223">
        <v>18197</v>
      </c>
      <c r="Q264" s="223">
        <v>18517</v>
      </c>
      <c r="R264" s="223">
        <v>18983</v>
      </c>
      <c r="S264" s="223">
        <v>20838</v>
      </c>
      <c r="T264" s="223">
        <v>19905</v>
      </c>
      <c r="U264" s="223">
        <v>19813</v>
      </c>
      <c r="V264" s="223">
        <v>21248.069911133302</v>
      </c>
      <c r="W264" s="223">
        <v>20479.777075666701</v>
      </c>
      <c r="X264" s="223">
        <v>20868.190917799999</v>
      </c>
      <c r="Y264" s="223">
        <v>245065.579653733</v>
      </c>
    </row>
    <row r="265" spans="1:25">
      <c r="A265" s="216">
        <v>45170</v>
      </c>
      <c r="B265" t="s">
        <v>42</v>
      </c>
      <c r="C265">
        <v>21</v>
      </c>
      <c r="D265" t="s">
        <v>455</v>
      </c>
      <c r="E265" s="217">
        <v>45170</v>
      </c>
      <c r="F265">
        <v>0</v>
      </c>
      <c r="G265" t="s">
        <v>254</v>
      </c>
      <c r="L265" s="222" t="s">
        <v>443</v>
      </c>
      <c r="M265" s="223">
        <v>0</v>
      </c>
      <c r="N265" s="223">
        <v>0</v>
      </c>
      <c r="O265" s="223">
        <v>0</v>
      </c>
      <c r="P265" s="223">
        <v>0</v>
      </c>
      <c r="Q265" s="223">
        <v>0</v>
      </c>
      <c r="R265" s="223">
        <v>0</v>
      </c>
      <c r="S265" s="223">
        <v>0</v>
      </c>
      <c r="T265" s="223">
        <v>0</v>
      </c>
      <c r="U265" s="223">
        <v>0</v>
      </c>
      <c r="V265" s="223">
        <v>0</v>
      </c>
      <c r="W265" s="223">
        <v>0</v>
      </c>
      <c r="X265" s="223">
        <v>0</v>
      </c>
      <c r="Y265" s="223">
        <v>0</v>
      </c>
    </row>
    <row r="266" spans="1:25">
      <c r="A266" s="216">
        <v>45170</v>
      </c>
      <c r="B266" t="s">
        <v>42</v>
      </c>
      <c r="C266">
        <v>21</v>
      </c>
      <c r="D266" t="s">
        <v>455</v>
      </c>
      <c r="E266" s="217">
        <v>45170</v>
      </c>
      <c r="F266">
        <v>0</v>
      </c>
      <c r="G266" t="s">
        <v>255</v>
      </c>
      <c r="L266" s="222" t="s">
        <v>444</v>
      </c>
      <c r="M266" s="223">
        <v>0</v>
      </c>
      <c r="N266" s="223">
        <v>0</v>
      </c>
      <c r="O266" s="223">
        <v>0</v>
      </c>
      <c r="P266" s="223">
        <v>0</v>
      </c>
      <c r="Q266" s="223">
        <v>0</v>
      </c>
      <c r="R266" s="223">
        <v>0</v>
      </c>
      <c r="S266" s="223">
        <v>0</v>
      </c>
      <c r="T266" s="223">
        <v>0</v>
      </c>
      <c r="U266" s="223">
        <v>0</v>
      </c>
      <c r="V266" s="223">
        <v>0</v>
      </c>
      <c r="W266" s="223">
        <v>0</v>
      </c>
      <c r="X266" s="223">
        <v>0</v>
      </c>
      <c r="Y266" s="223">
        <v>0</v>
      </c>
    </row>
    <row r="267" spans="1:25">
      <c r="A267" s="216">
        <v>45170</v>
      </c>
      <c r="B267" t="s">
        <v>42</v>
      </c>
      <c r="C267">
        <v>21</v>
      </c>
      <c r="D267" t="s">
        <v>455</v>
      </c>
      <c r="E267" s="217">
        <v>45170</v>
      </c>
      <c r="F267">
        <v>0</v>
      </c>
      <c r="G267" t="s">
        <v>256</v>
      </c>
      <c r="L267" s="222" t="s">
        <v>446</v>
      </c>
      <c r="M267" s="223">
        <v>0</v>
      </c>
      <c r="N267" s="223">
        <v>0</v>
      </c>
      <c r="O267" s="223">
        <v>-123.99999999999601</v>
      </c>
      <c r="P267" s="223">
        <v>50</v>
      </c>
      <c r="Q267" s="223">
        <v>2</v>
      </c>
      <c r="R267" s="223">
        <v>11</v>
      </c>
      <c r="S267" s="223">
        <v>94</v>
      </c>
      <c r="T267" s="223">
        <v>-146.99999999999599</v>
      </c>
      <c r="U267" s="223">
        <v>114</v>
      </c>
      <c r="V267" s="223">
        <v>3.6379788070917101E-12</v>
      </c>
      <c r="W267" s="223">
        <v>0</v>
      </c>
      <c r="X267" s="223">
        <v>0</v>
      </c>
      <c r="Y267" s="223">
        <v>0</v>
      </c>
    </row>
    <row r="268" spans="1:25">
      <c r="A268" s="216">
        <v>45170</v>
      </c>
      <c r="B268" t="s">
        <v>42</v>
      </c>
      <c r="C268">
        <v>21</v>
      </c>
      <c r="D268" t="s">
        <v>455</v>
      </c>
      <c r="E268" s="217">
        <v>45170</v>
      </c>
      <c r="F268">
        <v>0</v>
      </c>
      <c r="G268" t="s">
        <v>257</v>
      </c>
      <c r="L268" s="222" t="s">
        <v>447</v>
      </c>
      <c r="M268" s="223">
        <v>0</v>
      </c>
      <c r="N268" s="223">
        <v>0</v>
      </c>
      <c r="O268" s="223">
        <v>0</v>
      </c>
      <c r="P268" s="223">
        <v>0</v>
      </c>
      <c r="Q268" s="223">
        <v>0</v>
      </c>
      <c r="R268" s="223">
        <v>0</v>
      </c>
      <c r="S268" s="223">
        <v>0</v>
      </c>
      <c r="T268" s="223">
        <v>0</v>
      </c>
      <c r="U268" s="223">
        <v>0</v>
      </c>
      <c r="V268" s="223">
        <v>0</v>
      </c>
      <c r="W268" s="223">
        <v>0</v>
      </c>
      <c r="X268" s="223">
        <v>0</v>
      </c>
      <c r="Y268" s="223">
        <v>0</v>
      </c>
    </row>
    <row r="269" spans="1:25">
      <c r="A269" s="216">
        <v>45170</v>
      </c>
      <c r="B269" t="s">
        <v>42</v>
      </c>
      <c r="C269">
        <v>21</v>
      </c>
      <c r="D269" t="s">
        <v>455</v>
      </c>
      <c r="E269" s="217">
        <v>45170</v>
      </c>
      <c r="F269">
        <v>0</v>
      </c>
      <c r="G269" t="s">
        <v>258</v>
      </c>
      <c r="L269" s="222" t="s">
        <v>448</v>
      </c>
      <c r="M269" s="223">
        <v>459</v>
      </c>
      <c r="N269" s="223">
        <v>457</v>
      </c>
      <c r="O269" s="223">
        <v>457</v>
      </c>
      <c r="P269" s="223">
        <v>481</v>
      </c>
      <c r="Q269" s="223">
        <v>507</v>
      </c>
      <c r="R269" s="223">
        <v>645</v>
      </c>
      <c r="S269" s="223">
        <v>669</v>
      </c>
      <c r="T269" s="223">
        <v>561</v>
      </c>
      <c r="U269" s="223">
        <v>427</v>
      </c>
      <c r="V269" s="223">
        <v>491</v>
      </c>
      <c r="W269" s="223">
        <v>461</v>
      </c>
      <c r="X269" s="223">
        <v>461</v>
      </c>
      <c r="Y269" s="223">
        <v>6076</v>
      </c>
    </row>
    <row r="270" spans="1:25">
      <c r="A270" s="216">
        <v>45170</v>
      </c>
      <c r="B270" t="s">
        <v>42</v>
      </c>
      <c r="C270">
        <v>21</v>
      </c>
      <c r="D270" t="s">
        <v>455</v>
      </c>
      <c r="E270" s="217">
        <v>45170</v>
      </c>
      <c r="F270">
        <v>0</v>
      </c>
      <c r="G270" t="s">
        <v>259</v>
      </c>
      <c r="L270" s="222" t="s">
        <v>449</v>
      </c>
      <c r="M270" s="223">
        <v>0</v>
      </c>
      <c r="N270" s="223">
        <v>0</v>
      </c>
      <c r="O270" s="223">
        <v>0</v>
      </c>
      <c r="P270" s="223">
        <v>0</v>
      </c>
      <c r="Q270" s="223">
        <v>0</v>
      </c>
      <c r="R270" s="223">
        <v>0</v>
      </c>
      <c r="S270" s="223">
        <v>0</v>
      </c>
      <c r="T270" s="223">
        <v>0</v>
      </c>
      <c r="U270" s="223">
        <v>0</v>
      </c>
      <c r="V270" s="223">
        <v>0</v>
      </c>
      <c r="W270" s="223">
        <v>0</v>
      </c>
      <c r="X270" s="223">
        <v>0</v>
      </c>
      <c r="Y270" s="223">
        <v>0</v>
      </c>
    </row>
    <row r="271" spans="1:25">
      <c r="A271" s="216">
        <v>45170</v>
      </c>
      <c r="B271" t="s">
        <v>42</v>
      </c>
      <c r="C271">
        <v>21</v>
      </c>
      <c r="D271" t="s">
        <v>455</v>
      </c>
      <c r="E271" s="217">
        <v>45170</v>
      </c>
      <c r="F271">
        <v>0</v>
      </c>
      <c r="G271" t="s">
        <v>260</v>
      </c>
      <c r="L271" s="222" t="s">
        <v>450</v>
      </c>
      <c r="M271" s="223">
        <v>0</v>
      </c>
      <c r="N271" s="223">
        <v>0</v>
      </c>
      <c r="O271" s="223">
        <v>0</v>
      </c>
      <c r="P271" s="223">
        <v>0</v>
      </c>
      <c r="Q271" s="223">
        <v>0</v>
      </c>
      <c r="R271" s="223">
        <v>0</v>
      </c>
      <c r="S271" s="223">
        <v>0</v>
      </c>
      <c r="T271" s="223">
        <v>0</v>
      </c>
      <c r="U271" s="223">
        <v>0</v>
      </c>
      <c r="V271" s="223">
        <v>0</v>
      </c>
      <c r="W271" s="223">
        <v>0</v>
      </c>
      <c r="X271" s="223">
        <v>0</v>
      </c>
      <c r="Y271" s="223">
        <v>0</v>
      </c>
    </row>
    <row r="272" spans="1:25">
      <c r="A272" s="216">
        <v>45170</v>
      </c>
      <c r="B272" t="s">
        <v>42</v>
      </c>
      <c r="C272">
        <v>21</v>
      </c>
      <c r="D272" t="s">
        <v>455</v>
      </c>
      <c r="E272" s="217">
        <v>45170</v>
      </c>
      <c r="F272">
        <v>0</v>
      </c>
      <c r="G272" t="s">
        <v>261</v>
      </c>
      <c r="L272" s="222" t="s">
        <v>451</v>
      </c>
      <c r="M272" s="223">
        <v>0</v>
      </c>
      <c r="N272" s="223">
        <v>0</v>
      </c>
      <c r="O272" s="223">
        <v>0</v>
      </c>
      <c r="P272" s="223">
        <v>0</v>
      </c>
      <c r="Q272" s="223">
        <v>0</v>
      </c>
      <c r="R272" s="223">
        <v>0</v>
      </c>
      <c r="S272" s="223">
        <v>0</v>
      </c>
      <c r="T272" s="223">
        <v>0</v>
      </c>
      <c r="U272" s="223">
        <v>0</v>
      </c>
      <c r="V272" s="223">
        <v>0</v>
      </c>
      <c r="W272" s="223">
        <v>0</v>
      </c>
      <c r="X272" s="223">
        <v>0</v>
      </c>
      <c r="Y272" s="223">
        <v>0</v>
      </c>
    </row>
    <row r="273" spans="1:25">
      <c r="A273" s="216">
        <v>45170</v>
      </c>
      <c r="B273" t="s">
        <v>42</v>
      </c>
      <c r="C273">
        <v>21</v>
      </c>
      <c r="D273" t="s">
        <v>455</v>
      </c>
      <c r="E273" s="217">
        <v>45170</v>
      </c>
      <c r="F273">
        <v>0</v>
      </c>
      <c r="G273" t="s">
        <v>262</v>
      </c>
      <c r="L273" s="222" t="s">
        <v>452</v>
      </c>
      <c r="M273" s="223">
        <v>0</v>
      </c>
      <c r="N273" s="223">
        <v>0</v>
      </c>
      <c r="O273" s="223">
        <v>0</v>
      </c>
      <c r="P273" s="223">
        <v>0</v>
      </c>
      <c r="Q273" s="223">
        <v>0</v>
      </c>
      <c r="R273" s="223">
        <v>0</v>
      </c>
      <c r="S273" s="223">
        <v>0</v>
      </c>
      <c r="T273" s="223">
        <v>0</v>
      </c>
      <c r="U273" s="223">
        <v>0</v>
      </c>
      <c r="V273" s="223">
        <v>0</v>
      </c>
      <c r="W273" s="223">
        <v>0</v>
      </c>
      <c r="X273" s="223">
        <v>0</v>
      </c>
      <c r="Y273" s="223">
        <v>0</v>
      </c>
    </row>
    <row r="274" spans="1:25">
      <c r="A274" s="216">
        <v>45170</v>
      </c>
      <c r="B274" t="s">
        <v>42</v>
      </c>
      <c r="C274">
        <v>21</v>
      </c>
      <c r="D274" t="s">
        <v>455</v>
      </c>
      <c r="E274" s="217">
        <v>45170</v>
      </c>
      <c r="F274">
        <v>0</v>
      </c>
      <c r="G274" t="s">
        <v>434</v>
      </c>
      <c r="L274" s="222" t="s">
        <v>433</v>
      </c>
      <c r="M274" s="223">
        <v>11633.622873333299</v>
      </c>
      <c r="N274" s="223">
        <v>11611.779973333299</v>
      </c>
      <c r="O274" s="223">
        <v>11998.779973333299</v>
      </c>
      <c r="P274" s="223">
        <v>10151</v>
      </c>
      <c r="Q274" s="223">
        <v>10557</v>
      </c>
      <c r="R274" s="223">
        <v>13690</v>
      </c>
      <c r="S274" s="223">
        <v>12349</v>
      </c>
      <c r="T274" s="223">
        <v>11570</v>
      </c>
      <c r="U274" s="223">
        <v>11261</v>
      </c>
      <c r="V274" s="223">
        <v>11541.033530000001</v>
      </c>
      <c r="W274" s="223">
        <v>11592.978446666701</v>
      </c>
      <c r="X274" s="223">
        <v>11611.677956666699</v>
      </c>
      <c r="Y274" s="223">
        <v>139567.87275333301</v>
      </c>
    </row>
    <row r="275" spans="1:25">
      <c r="A275" s="216">
        <v>45170</v>
      </c>
      <c r="B275" t="s">
        <v>42</v>
      </c>
      <c r="C275">
        <v>22</v>
      </c>
      <c r="D275" t="s">
        <v>439</v>
      </c>
      <c r="E275" s="217">
        <v>45170</v>
      </c>
      <c r="F275">
        <v>3637.9250000000002</v>
      </c>
      <c r="G275" t="s">
        <v>251</v>
      </c>
      <c r="L275" s="222" t="s">
        <v>445</v>
      </c>
      <c r="M275" s="223">
        <v>8423.0903178000008</v>
      </c>
      <c r="N275" s="223">
        <v>8351.8064202000005</v>
      </c>
      <c r="O275" s="223">
        <v>12606.092191133301</v>
      </c>
      <c r="P275" s="223">
        <v>7712.1790000000001</v>
      </c>
      <c r="Q275" s="223">
        <v>7151.71</v>
      </c>
      <c r="R275" s="223">
        <v>4736.82</v>
      </c>
      <c r="S275" s="223">
        <v>7849.82</v>
      </c>
      <c r="T275" s="223">
        <v>7802.41</v>
      </c>
      <c r="U275" s="223">
        <v>7866.11</v>
      </c>
      <c r="V275" s="223">
        <v>9135.1463811333306</v>
      </c>
      <c r="W275" s="223">
        <v>8314.9086289999996</v>
      </c>
      <c r="X275" s="223">
        <v>8684.6229611333292</v>
      </c>
      <c r="Y275" s="223">
        <v>98634.715900399999</v>
      </c>
    </row>
    <row r="276" spans="1:25">
      <c r="A276" s="216">
        <v>45170</v>
      </c>
      <c r="B276" t="s">
        <v>42</v>
      </c>
      <c r="C276">
        <v>22</v>
      </c>
      <c r="D276" t="s">
        <v>439</v>
      </c>
      <c r="E276" s="217">
        <v>45170</v>
      </c>
      <c r="F276">
        <v>4433.6080000000002</v>
      </c>
      <c r="G276" t="s">
        <v>252</v>
      </c>
      <c r="L276" s="222" t="s">
        <v>453</v>
      </c>
      <c r="M276" s="223">
        <v>0</v>
      </c>
      <c r="N276" s="223">
        <v>0</v>
      </c>
      <c r="O276" s="223">
        <v>0</v>
      </c>
      <c r="P276" s="223">
        <v>0</v>
      </c>
      <c r="Q276" s="223">
        <v>0</v>
      </c>
      <c r="R276" s="223">
        <v>0</v>
      </c>
      <c r="S276" s="223">
        <v>0</v>
      </c>
      <c r="T276" s="223">
        <v>0</v>
      </c>
      <c r="U276" s="223">
        <v>0</v>
      </c>
      <c r="V276" s="223">
        <v>0</v>
      </c>
      <c r="W276" s="223">
        <v>0</v>
      </c>
      <c r="X276" s="223">
        <v>0</v>
      </c>
      <c r="Y276" s="223">
        <v>0</v>
      </c>
    </row>
    <row r="277" spans="1:25">
      <c r="A277" s="216">
        <v>45170</v>
      </c>
      <c r="B277" t="s">
        <v>42</v>
      </c>
      <c r="C277">
        <v>22</v>
      </c>
      <c r="D277" t="s">
        <v>439</v>
      </c>
      <c r="E277" s="217">
        <v>45170</v>
      </c>
      <c r="F277">
        <v>4057.0340000000001</v>
      </c>
      <c r="G277" t="s">
        <v>253</v>
      </c>
      <c r="L277" s="222" t="s">
        <v>454</v>
      </c>
      <c r="M277" s="223">
        <v>0</v>
      </c>
      <c r="N277" s="223">
        <v>0</v>
      </c>
      <c r="O277" s="223">
        <v>0</v>
      </c>
      <c r="P277" s="223">
        <v>0</v>
      </c>
      <c r="Q277" s="223">
        <v>0</v>
      </c>
      <c r="R277" s="223">
        <v>0</v>
      </c>
      <c r="S277" s="223">
        <v>0</v>
      </c>
      <c r="T277" s="223">
        <v>0</v>
      </c>
      <c r="U277" s="223">
        <v>0</v>
      </c>
      <c r="V277" s="223">
        <v>0</v>
      </c>
      <c r="W277" s="223">
        <v>0</v>
      </c>
      <c r="X277" s="223">
        <v>0</v>
      </c>
      <c r="Y277" s="223">
        <v>0</v>
      </c>
    </row>
    <row r="278" spans="1:25">
      <c r="A278" s="216">
        <v>45170</v>
      </c>
      <c r="B278" t="s">
        <v>42</v>
      </c>
      <c r="C278">
        <v>22</v>
      </c>
      <c r="D278" t="s">
        <v>439</v>
      </c>
      <c r="E278" s="217">
        <v>45170</v>
      </c>
      <c r="F278">
        <v>4012.6729999999998</v>
      </c>
      <c r="G278" t="s">
        <v>254</v>
      </c>
      <c r="L278" s="222" t="s">
        <v>455</v>
      </c>
      <c r="M278" s="223">
        <v>0</v>
      </c>
      <c r="N278" s="223">
        <v>0</v>
      </c>
      <c r="O278" s="223">
        <v>0</v>
      </c>
      <c r="P278" s="223">
        <v>0</v>
      </c>
      <c r="Q278" s="223">
        <v>0</v>
      </c>
      <c r="R278" s="223">
        <v>0</v>
      </c>
      <c r="S278" s="223">
        <v>0</v>
      </c>
      <c r="T278" s="223">
        <v>0</v>
      </c>
      <c r="U278" s="223">
        <v>0</v>
      </c>
      <c r="V278" s="223">
        <v>0</v>
      </c>
      <c r="W278" s="223">
        <v>0</v>
      </c>
      <c r="X278" s="223">
        <v>0</v>
      </c>
      <c r="Y278" s="223">
        <v>0</v>
      </c>
    </row>
    <row r="279" spans="1:25">
      <c r="A279" s="216">
        <v>45170</v>
      </c>
      <c r="B279" t="s">
        <v>42</v>
      </c>
      <c r="C279">
        <v>22</v>
      </c>
      <c r="D279" t="s">
        <v>439</v>
      </c>
      <c r="E279" s="217">
        <v>45170</v>
      </c>
      <c r="F279">
        <v>4035.0030000000002</v>
      </c>
      <c r="G279" t="s">
        <v>255</v>
      </c>
      <c r="L279" s="222" t="s">
        <v>456</v>
      </c>
      <c r="M279" s="223">
        <v>0</v>
      </c>
      <c r="N279" s="223">
        <v>0</v>
      </c>
      <c r="O279" s="223">
        <v>0</v>
      </c>
      <c r="P279" s="223">
        <v>0</v>
      </c>
      <c r="Q279" s="223">
        <v>0</v>
      </c>
      <c r="R279" s="223">
        <v>0</v>
      </c>
      <c r="S279" s="223">
        <v>0</v>
      </c>
      <c r="T279" s="223">
        <v>0</v>
      </c>
      <c r="U279" s="223">
        <v>0</v>
      </c>
      <c r="V279" s="223">
        <v>0</v>
      </c>
      <c r="W279" s="223">
        <v>0</v>
      </c>
      <c r="X279" s="223">
        <v>0</v>
      </c>
      <c r="Y279" s="223">
        <v>0</v>
      </c>
    </row>
    <row r="280" spans="1:25">
      <c r="A280" s="216">
        <v>45170</v>
      </c>
      <c r="B280" t="s">
        <v>42</v>
      </c>
      <c r="C280">
        <v>22</v>
      </c>
      <c r="D280" t="s">
        <v>439</v>
      </c>
      <c r="E280" s="217">
        <v>45170</v>
      </c>
      <c r="F280">
        <v>3930.0329999999999</v>
      </c>
      <c r="G280" t="s">
        <v>256</v>
      </c>
      <c r="L280" s="222" t="s">
        <v>457</v>
      </c>
      <c r="M280" s="223">
        <v>0</v>
      </c>
      <c r="N280" s="223">
        <v>0</v>
      </c>
      <c r="O280" s="223">
        <v>0</v>
      </c>
      <c r="P280" s="223">
        <v>0</v>
      </c>
      <c r="Q280" s="223">
        <v>0</v>
      </c>
      <c r="R280" s="223">
        <v>0</v>
      </c>
      <c r="S280" s="223">
        <v>0</v>
      </c>
      <c r="T280" s="223">
        <v>0</v>
      </c>
      <c r="U280" s="223">
        <v>0</v>
      </c>
      <c r="V280" s="223">
        <v>0</v>
      </c>
      <c r="W280" s="223">
        <v>0</v>
      </c>
      <c r="X280" s="223">
        <v>0</v>
      </c>
      <c r="Y280" s="223">
        <v>0</v>
      </c>
    </row>
    <row r="281" spans="1:25">
      <c r="A281" s="216">
        <v>45170</v>
      </c>
      <c r="B281" t="s">
        <v>42</v>
      </c>
      <c r="C281">
        <v>22</v>
      </c>
      <c r="D281" t="s">
        <v>439</v>
      </c>
      <c r="E281" s="217">
        <v>45170</v>
      </c>
      <c r="F281">
        <v>4049.1350000000002</v>
      </c>
      <c r="G281" t="s">
        <v>257</v>
      </c>
      <c r="L281" s="222" t="s">
        <v>458</v>
      </c>
      <c r="M281" s="223">
        <v>18179.603191133301</v>
      </c>
      <c r="N281" s="223">
        <v>18088.476393533299</v>
      </c>
      <c r="O281" s="223">
        <v>22605.462164466699</v>
      </c>
      <c r="P281" s="223">
        <v>15778</v>
      </c>
      <c r="Q281" s="223">
        <v>16064</v>
      </c>
      <c r="R281" s="223">
        <v>16123</v>
      </c>
      <c r="S281" s="223">
        <v>17884</v>
      </c>
      <c r="T281" s="223">
        <v>17098</v>
      </c>
      <c r="U281" s="223">
        <v>17332</v>
      </c>
      <c r="V281" s="223">
        <v>18761.069911133302</v>
      </c>
      <c r="W281" s="223">
        <v>18028.777075666701</v>
      </c>
      <c r="X281" s="223">
        <v>18417.190917799999</v>
      </c>
      <c r="Y281" s="223">
        <v>214359.579653733</v>
      </c>
    </row>
    <row r="282" spans="1:25">
      <c r="A282" s="216">
        <v>45170</v>
      </c>
      <c r="B282" t="s">
        <v>42</v>
      </c>
      <c r="C282">
        <v>22</v>
      </c>
      <c r="D282" t="s">
        <v>439</v>
      </c>
      <c r="E282" s="217">
        <v>45170</v>
      </c>
      <c r="F282">
        <v>4050.194</v>
      </c>
      <c r="G282" t="s">
        <v>258</v>
      </c>
      <c r="L282" s="222" t="s">
        <v>459</v>
      </c>
      <c r="M282" s="223">
        <v>1972</v>
      </c>
      <c r="N282" s="223">
        <v>1972</v>
      </c>
      <c r="O282" s="223">
        <v>1972</v>
      </c>
      <c r="P282" s="223">
        <v>1922</v>
      </c>
      <c r="Q282" s="223">
        <v>1928</v>
      </c>
      <c r="R282" s="223">
        <v>2199</v>
      </c>
      <c r="S282" s="223">
        <v>2258</v>
      </c>
      <c r="T282" s="223">
        <v>2227</v>
      </c>
      <c r="U282" s="223">
        <v>2035</v>
      </c>
      <c r="V282" s="223">
        <v>1978</v>
      </c>
      <c r="W282" s="223">
        <v>1972</v>
      </c>
      <c r="X282" s="223">
        <v>1972</v>
      </c>
      <c r="Y282" s="223">
        <v>24407</v>
      </c>
    </row>
    <row r="283" spans="1:25">
      <c r="A283" s="216">
        <v>45170</v>
      </c>
      <c r="B283" t="s">
        <v>42</v>
      </c>
      <c r="C283">
        <v>22</v>
      </c>
      <c r="D283" t="s">
        <v>439</v>
      </c>
      <c r="E283" s="217">
        <v>45170</v>
      </c>
      <c r="F283">
        <v>4049.5610000000001</v>
      </c>
      <c r="G283" t="s">
        <v>259</v>
      </c>
      <c r="L283" s="222" t="s">
        <v>460</v>
      </c>
      <c r="M283" s="223">
        <v>18</v>
      </c>
      <c r="N283" s="223">
        <v>18</v>
      </c>
      <c r="O283" s="223">
        <v>18</v>
      </c>
      <c r="P283" s="223">
        <v>16</v>
      </c>
      <c r="Q283" s="223">
        <v>18</v>
      </c>
      <c r="R283" s="223">
        <v>16</v>
      </c>
      <c r="S283" s="223">
        <v>27</v>
      </c>
      <c r="T283" s="223">
        <v>19</v>
      </c>
      <c r="U283" s="223">
        <v>19</v>
      </c>
      <c r="V283" s="223">
        <v>18</v>
      </c>
      <c r="W283" s="223">
        <v>18</v>
      </c>
      <c r="X283" s="223">
        <v>18</v>
      </c>
      <c r="Y283" s="223">
        <v>223</v>
      </c>
    </row>
    <row r="284" spans="1:25">
      <c r="A284" s="216">
        <v>45170</v>
      </c>
      <c r="B284" t="s">
        <v>42</v>
      </c>
      <c r="C284">
        <v>22</v>
      </c>
      <c r="D284" t="s">
        <v>439</v>
      </c>
      <c r="E284" s="217">
        <v>45170</v>
      </c>
      <c r="F284">
        <v>4110.9989999999998</v>
      </c>
      <c r="G284" t="s">
        <v>260</v>
      </c>
      <c r="L284" s="221" t="s">
        <v>3</v>
      </c>
      <c r="M284" s="223">
        <v>481562.13537948148</v>
      </c>
      <c r="N284" s="223">
        <v>478489.12537948031</v>
      </c>
      <c r="O284" s="223">
        <v>671007.68901948165</v>
      </c>
      <c r="P284" s="223">
        <v>409835.82899999997</v>
      </c>
      <c r="Q284" s="223">
        <v>436151.67799999996</v>
      </c>
      <c r="R284" s="223">
        <v>508035.22200000007</v>
      </c>
      <c r="S284" s="223">
        <v>507317.36899999995</v>
      </c>
      <c r="T284" s="223">
        <v>465474.38499999995</v>
      </c>
      <c r="U284" s="223">
        <v>461311.20499999996</v>
      </c>
      <c r="V284" s="223">
        <v>477625.21404614736</v>
      </c>
      <c r="W284" s="223">
        <v>478448.83004614734</v>
      </c>
      <c r="X284" s="223">
        <v>479163.88204614742</v>
      </c>
      <c r="Y284" s="223">
        <v>5854422.5639168797</v>
      </c>
    </row>
    <row r="285" spans="1:25">
      <c r="A285" s="216">
        <v>45170</v>
      </c>
      <c r="B285" t="s">
        <v>42</v>
      </c>
      <c r="C285">
        <v>22</v>
      </c>
      <c r="D285" t="s">
        <v>439</v>
      </c>
      <c r="E285" s="217">
        <v>45170</v>
      </c>
      <c r="F285">
        <v>4109.22</v>
      </c>
      <c r="G285" t="s">
        <v>261</v>
      </c>
      <c r="L285" s="222" t="s">
        <v>435</v>
      </c>
      <c r="M285" s="223">
        <v>62.121000000000002</v>
      </c>
      <c r="N285" s="223">
        <v>62.121000000000002</v>
      </c>
      <c r="O285" s="223">
        <v>7.1210000000000004</v>
      </c>
      <c r="P285" s="223">
        <v>22.161000000000001</v>
      </c>
      <c r="Q285" s="223">
        <v>21</v>
      </c>
      <c r="R285" s="223">
        <v>35.658999999999999</v>
      </c>
      <c r="S285" s="223">
        <v>7.5010000000000003</v>
      </c>
      <c r="T285" s="223">
        <v>224.28399999999999</v>
      </c>
      <c r="U285" s="223">
        <v>62.121000000000002</v>
      </c>
      <c r="V285" s="223">
        <v>61.863999999999997</v>
      </c>
      <c r="W285" s="223">
        <v>62.121000000000002</v>
      </c>
      <c r="X285" s="223">
        <v>62.121000000000002</v>
      </c>
      <c r="Y285" s="223">
        <v>690.19500000000005</v>
      </c>
    </row>
    <row r="286" spans="1:25">
      <c r="A286" s="216">
        <v>45170</v>
      </c>
      <c r="B286" t="s">
        <v>42</v>
      </c>
      <c r="C286">
        <v>22</v>
      </c>
      <c r="D286" t="s">
        <v>439</v>
      </c>
      <c r="E286" s="217">
        <v>45170</v>
      </c>
      <c r="F286">
        <v>4032.6149999999998</v>
      </c>
      <c r="G286" t="s">
        <v>262</v>
      </c>
      <c r="L286" s="222" t="s">
        <v>436</v>
      </c>
      <c r="M286" s="223">
        <v>0</v>
      </c>
      <c r="N286" s="223">
        <v>0</v>
      </c>
      <c r="O286" s="223">
        <v>284</v>
      </c>
      <c r="P286" s="223">
        <v>0</v>
      </c>
      <c r="Q286" s="223">
        <v>0</v>
      </c>
      <c r="R286" s="223">
        <v>0</v>
      </c>
      <c r="S286" s="223">
        <v>0</v>
      </c>
      <c r="T286" s="223">
        <v>0</v>
      </c>
      <c r="U286" s="223">
        <v>0</v>
      </c>
      <c r="V286" s="223">
        <v>0</v>
      </c>
      <c r="W286" s="223">
        <v>0</v>
      </c>
      <c r="X286" s="223">
        <v>0</v>
      </c>
      <c r="Y286" s="223">
        <v>284</v>
      </c>
    </row>
    <row r="287" spans="1:25">
      <c r="A287" s="216">
        <v>45170</v>
      </c>
      <c r="B287" t="s">
        <v>42</v>
      </c>
      <c r="C287">
        <v>22</v>
      </c>
      <c r="D287" t="s">
        <v>439</v>
      </c>
      <c r="E287" s="217">
        <v>45170</v>
      </c>
      <c r="F287">
        <v>48508</v>
      </c>
      <c r="G287" t="s">
        <v>434</v>
      </c>
      <c r="L287" s="222" t="s">
        <v>437</v>
      </c>
      <c r="M287" s="223">
        <v>7671.9578333333302</v>
      </c>
      <c r="N287" s="223">
        <v>7361.0558333333302</v>
      </c>
      <c r="O287" s="223">
        <v>7688.4508333333297</v>
      </c>
      <c r="P287" s="223">
        <v>6388.8959999999997</v>
      </c>
      <c r="Q287" s="223">
        <v>6045.8360000000002</v>
      </c>
      <c r="R287" s="223">
        <v>7274.4009999999998</v>
      </c>
      <c r="S287" s="223">
        <v>6822.74</v>
      </c>
      <c r="T287" s="223">
        <v>7471.2510000000002</v>
      </c>
      <c r="U287" s="223">
        <v>6010.3379999999997</v>
      </c>
      <c r="V287" s="223">
        <v>7671.1728333333303</v>
      </c>
      <c r="W287" s="223">
        <v>7568.3238333333302</v>
      </c>
      <c r="X287" s="223">
        <v>7671.9578333333302</v>
      </c>
      <c r="Y287" s="223">
        <v>85646.380999999994</v>
      </c>
    </row>
    <row r="288" spans="1:25">
      <c r="A288" s="216">
        <v>45170</v>
      </c>
      <c r="B288" t="s">
        <v>42</v>
      </c>
      <c r="C288">
        <v>23</v>
      </c>
      <c r="D288" t="s">
        <v>435</v>
      </c>
      <c r="E288" s="217">
        <v>45170</v>
      </c>
      <c r="F288">
        <v>27.576000000000001</v>
      </c>
      <c r="G288" t="s">
        <v>251</v>
      </c>
      <c r="L288" s="222" t="s">
        <v>438</v>
      </c>
      <c r="M288" s="223">
        <v>122703.17095948099</v>
      </c>
      <c r="N288" s="223">
        <v>121934.16095948</v>
      </c>
      <c r="O288" s="223">
        <v>168352.57711948099</v>
      </c>
      <c r="P288" s="223">
        <v>110604.594</v>
      </c>
      <c r="Q288" s="223">
        <v>119293.60400000001</v>
      </c>
      <c r="R288" s="223">
        <v>135577.533</v>
      </c>
      <c r="S288" s="223">
        <v>134632.16</v>
      </c>
      <c r="T288" s="223">
        <v>124011.27099999999</v>
      </c>
      <c r="U288" s="223">
        <v>121835.291</v>
      </c>
      <c r="V288" s="223">
        <v>124505.318626147</v>
      </c>
      <c r="W288" s="223">
        <v>122544.86262614701</v>
      </c>
      <c r="X288" s="223">
        <v>122557.449626147</v>
      </c>
      <c r="Y288" s="223">
        <v>1528551.9929168799</v>
      </c>
    </row>
    <row r="289" spans="1:25">
      <c r="A289" s="216">
        <v>45170</v>
      </c>
      <c r="B289" t="s">
        <v>42</v>
      </c>
      <c r="C289">
        <v>23</v>
      </c>
      <c r="D289" t="s">
        <v>435</v>
      </c>
      <c r="E289" s="217">
        <v>45170</v>
      </c>
      <c r="F289">
        <v>-6902.4889999999996</v>
      </c>
      <c r="G289" t="s">
        <v>252</v>
      </c>
      <c r="L289" s="222" t="s">
        <v>439</v>
      </c>
      <c r="M289" s="223">
        <v>2772.2330000000002</v>
      </c>
      <c r="N289" s="223">
        <v>2772.2330000000002</v>
      </c>
      <c r="O289" s="223">
        <v>3885.2330000000002</v>
      </c>
      <c r="P289" s="223">
        <v>1859.8320000000001</v>
      </c>
      <c r="Q289" s="223">
        <v>1860.0440000000001</v>
      </c>
      <c r="R289" s="223">
        <v>4308.2129999999997</v>
      </c>
      <c r="S289" s="223">
        <v>2689.53</v>
      </c>
      <c r="T289" s="223">
        <v>3143.5450000000001</v>
      </c>
      <c r="U289" s="223">
        <v>2766.221</v>
      </c>
      <c r="V289" s="223">
        <v>2771.9929999999999</v>
      </c>
      <c r="W289" s="223">
        <v>2772.2330000000002</v>
      </c>
      <c r="X289" s="223">
        <v>2772.232</v>
      </c>
      <c r="Y289" s="223">
        <v>34373.542000000001</v>
      </c>
    </row>
    <row r="290" spans="1:25">
      <c r="A290" s="216">
        <v>45170</v>
      </c>
      <c r="B290" t="s">
        <v>42</v>
      </c>
      <c r="C290">
        <v>23</v>
      </c>
      <c r="D290" t="s">
        <v>435</v>
      </c>
      <c r="E290" s="217">
        <v>45170</v>
      </c>
      <c r="F290">
        <v>56.835999999999999</v>
      </c>
      <c r="G290" t="s">
        <v>253</v>
      </c>
      <c r="L290" s="222" t="s">
        <v>440</v>
      </c>
      <c r="M290" s="223">
        <v>0</v>
      </c>
      <c r="N290" s="223">
        <v>0</v>
      </c>
      <c r="O290" s="223">
        <v>0</v>
      </c>
      <c r="P290" s="223">
        <v>0</v>
      </c>
      <c r="Q290" s="223">
        <v>0</v>
      </c>
      <c r="R290" s="223">
        <v>0</v>
      </c>
      <c r="S290" s="223">
        <v>0</v>
      </c>
      <c r="T290" s="223">
        <v>0</v>
      </c>
      <c r="U290" s="223">
        <v>0</v>
      </c>
      <c r="V290" s="223">
        <v>0</v>
      </c>
      <c r="W290" s="223">
        <v>0</v>
      </c>
      <c r="X290" s="223">
        <v>0</v>
      </c>
      <c r="Y290" s="223">
        <v>0</v>
      </c>
    </row>
    <row r="291" spans="1:25">
      <c r="A291" s="216">
        <v>45170</v>
      </c>
      <c r="B291" t="s">
        <v>42</v>
      </c>
      <c r="C291">
        <v>23</v>
      </c>
      <c r="D291" t="s">
        <v>435</v>
      </c>
      <c r="E291" s="217">
        <v>45170</v>
      </c>
      <c r="F291">
        <v>37.771000000000001</v>
      </c>
      <c r="G291" t="s">
        <v>254</v>
      </c>
      <c r="L291" s="222" t="s">
        <v>441</v>
      </c>
      <c r="M291" s="223">
        <v>14852.57</v>
      </c>
      <c r="N291" s="223">
        <v>14852.57</v>
      </c>
      <c r="O291" s="223">
        <v>15354.645</v>
      </c>
      <c r="P291" s="223">
        <v>14640.498</v>
      </c>
      <c r="Q291" s="223">
        <v>14682.698</v>
      </c>
      <c r="R291" s="223">
        <v>14597.315000000001</v>
      </c>
      <c r="S291" s="223">
        <v>14931.314</v>
      </c>
      <c r="T291" s="223">
        <v>14767.523999999999</v>
      </c>
      <c r="U291" s="223">
        <v>16130.081</v>
      </c>
      <c r="V291" s="223">
        <v>14894.960999999999</v>
      </c>
      <c r="W291" s="223">
        <v>14861.37</v>
      </c>
      <c r="X291" s="223">
        <v>14852.57</v>
      </c>
      <c r="Y291" s="223">
        <v>179418.11600000001</v>
      </c>
    </row>
    <row r="292" spans="1:25">
      <c r="A292" s="216">
        <v>45170</v>
      </c>
      <c r="B292" t="s">
        <v>42</v>
      </c>
      <c r="C292">
        <v>23</v>
      </c>
      <c r="D292" t="s">
        <v>435</v>
      </c>
      <c r="E292" s="217">
        <v>45170</v>
      </c>
      <c r="F292">
        <v>37.771000000000001</v>
      </c>
      <c r="G292" t="s">
        <v>255</v>
      </c>
      <c r="L292" s="222" t="s">
        <v>442</v>
      </c>
      <c r="M292" s="223">
        <v>119619.65480666699</v>
      </c>
      <c r="N292" s="223">
        <v>118851.65480666699</v>
      </c>
      <c r="O292" s="223">
        <v>167551.703966667</v>
      </c>
      <c r="P292" s="223">
        <v>99743.744999999995</v>
      </c>
      <c r="Q292" s="223">
        <v>105619.35799999999</v>
      </c>
      <c r="R292" s="223">
        <v>124152.56299999999</v>
      </c>
      <c r="S292" s="223">
        <v>124228.40300000001</v>
      </c>
      <c r="T292" s="223">
        <v>113821.038</v>
      </c>
      <c r="U292" s="223">
        <v>113158.63800000001</v>
      </c>
      <c r="V292" s="223">
        <v>117706.63180666701</v>
      </c>
      <c r="W292" s="223">
        <v>118634.655806667</v>
      </c>
      <c r="X292" s="223">
        <v>118868.810806667</v>
      </c>
      <c r="Y292" s="223">
        <v>1441956.8570000001</v>
      </c>
    </row>
    <row r="293" spans="1:25">
      <c r="A293" s="216">
        <v>45170</v>
      </c>
      <c r="B293" t="s">
        <v>42</v>
      </c>
      <c r="C293">
        <v>23</v>
      </c>
      <c r="D293" t="s">
        <v>435</v>
      </c>
      <c r="E293" s="217">
        <v>45170</v>
      </c>
      <c r="F293">
        <v>37.771999999999998</v>
      </c>
      <c r="G293" t="s">
        <v>256</v>
      </c>
      <c r="L293" s="222" t="s">
        <v>443</v>
      </c>
      <c r="M293" s="223">
        <v>1565.1087500000001</v>
      </c>
      <c r="N293" s="223">
        <v>1565.1087500000001</v>
      </c>
      <c r="O293" s="223">
        <v>10154.89575</v>
      </c>
      <c r="P293" s="223">
        <v>447.99799999999999</v>
      </c>
      <c r="Q293" s="223">
        <v>588.55499999999995</v>
      </c>
      <c r="R293" s="223">
        <v>469.33</v>
      </c>
      <c r="S293" s="223">
        <v>689.62199999999996</v>
      </c>
      <c r="T293" s="223">
        <v>1494.473</v>
      </c>
      <c r="U293" s="223">
        <v>310.50099999999998</v>
      </c>
      <c r="V293" s="223">
        <v>1565.1087500000001</v>
      </c>
      <c r="W293" s="223">
        <v>1565.1087500000001</v>
      </c>
      <c r="X293" s="223">
        <v>1565.1087500000001</v>
      </c>
      <c r="Y293" s="223">
        <v>21980.9185</v>
      </c>
    </row>
    <row r="294" spans="1:25">
      <c r="A294" s="216">
        <v>45170</v>
      </c>
      <c r="B294" t="s">
        <v>42</v>
      </c>
      <c r="C294">
        <v>23</v>
      </c>
      <c r="D294" t="s">
        <v>435</v>
      </c>
      <c r="E294" s="217">
        <v>45170</v>
      </c>
      <c r="F294">
        <v>37.695</v>
      </c>
      <c r="G294" t="s">
        <v>257</v>
      </c>
      <c r="L294" s="222" t="s">
        <v>444</v>
      </c>
      <c r="M294" s="223">
        <v>378.91500000000002</v>
      </c>
      <c r="N294" s="223">
        <v>378.91500000000002</v>
      </c>
      <c r="O294" s="223">
        <v>378.93299999999999</v>
      </c>
      <c r="P294" s="223">
        <v>-1400.4369999999999</v>
      </c>
      <c r="Q294" s="223">
        <v>1242.6389999999999</v>
      </c>
      <c r="R294" s="223">
        <v>415.94200000000001</v>
      </c>
      <c r="S294" s="223">
        <v>-29.311</v>
      </c>
      <c r="T294" s="223">
        <v>468.98100000000102</v>
      </c>
      <c r="U294" s="223">
        <v>-867.94500000000096</v>
      </c>
      <c r="V294" s="223">
        <v>378.91500000000002</v>
      </c>
      <c r="W294" s="223">
        <v>378.91500000000002</v>
      </c>
      <c r="X294" s="223">
        <v>378.91500000000002</v>
      </c>
      <c r="Y294" s="223">
        <v>2103.377</v>
      </c>
    </row>
    <row r="295" spans="1:25">
      <c r="A295" s="216">
        <v>45170</v>
      </c>
      <c r="B295" t="s">
        <v>42</v>
      </c>
      <c r="C295">
        <v>23</v>
      </c>
      <c r="D295" t="s">
        <v>435</v>
      </c>
      <c r="E295" s="217">
        <v>45170</v>
      </c>
      <c r="F295">
        <v>37.695</v>
      </c>
      <c r="G295" t="s">
        <v>258</v>
      </c>
      <c r="L295" s="222" t="s">
        <v>446</v>
      </c>
      <c r="M295" s="223">
        <v>-3083.5161528138601</v>
      </c>
      <c r="N295" s="223">
        <v>-3082.5061528138499</v>
      </c>
      <c r="O295" s="223">
        <v>-800.87315281387396</v>
      </c>
      <c r="P295" s="223">
        <v>-10860.849</v>
      </c>
      <c r="Q295" s="223">
        <v>-13674.245999999999</v>
      </c>
      <c r="R295" s="223">
        <v>-11424.97</v>
      </c>
      <c r="S295" s="223">
        <v>-10403.757</v>
      </c>
      <c r="T295" s="223">
        <v>-10190.233</v>
      </c>
      <c r="U295" s="223">
        <v>-8676.6529999999202</v>
      </c>
      <c r="V295" s="223">
        <v>-6798.6868194805102</v>
      </c>
      <c r="W295" s="223">
        <v>-3910.2068194805302</v>
      </c>
      <c r="X295" s="223">
        <v>-3688.6388194805199</v>
      </c>
      <c r="Y295" s="223">
        <v>-86595.135916882893</v>
      </c>
    </row>
    <row r="296" spans="1:25">
      <c r="A296" s="216">
        <v>45170</v>
      </c>
      <c r="B296" t="s">
        <v>42</v>
      </c>
      <c r="C296">
        <v>23</v>
      </c>
      <c r="D296" t="s">
        <v>435</v>
      </c>
      <c r="E296" s="217">
        <v>45170</v>
      </c>
      <c r="F296">
        <v>17033.695</v>
      </c>
      <c r="G296" t="s">
        <v>259</v>
      </c>
      <c r="L296" s="222" t="s">
        <v>447</v>
      </c>
      <c r="M296" s="223">
        <v>0</v>
      </c>
      <c r="N296" s="223">
        <v>0</v>
      </c>
      <c r="O296" s="223">
        <v>0</v>
      </c>
      <c r="P296" s="223">
        <v>0</v>
      </c>
      <c r="Q296" s="223">
        <v>0</v>
      </c>
      <c r="R296" s="223">
        <v>0</v>
      </c>
      <c r="S296" s="223">
        <v>0</v>
      </c>
      <c r="T296" s="223">
        <v>0</v>
      </c>
      <c r="U296" s="223">
        <v>0</v>
      </c>
      <c r="V296" s="223">
        <v>0</v>
      </c>
      <c r="W296" s="223">
        <v>0</v>
      </c>
      <c r="X296" s="223">
        <v>0</v>
      </c>
      <c r="Y296" s="223">
        <v>0</v>
      </c>
    </row>
    <row r="297" spans="1:25">
      <c r="A297" s="216">
        <v>45170</v>
      </c>
      <c r="B297" t="s">
        <v>42</v>
      </c>
      <c r="C297">
        <v>23</v>
      </c>
      <c r="D297" t="s">
        <v>435</v>
      </c>
      <c r="E297" s="217">
        <v>45170</v>
      </c>
      <c r="F297">
        <v>37.564999999999998</v>
      </c>
      <c r="G297" t="s">
        <v>260</v>
      </c>
      <c r="L297" s="222" t="s">
        <v>448</v>
      </c>
      <c r="M297" s="223">
        <v>3257.8249999999998</v>
      </c>
      <c r="N297" s="223">
        <v>3257.8249999999998</v>
      </c>
      <c r="O297" s="223">
        <v>2979.4009999999998</v>
      </c>
      <c r="P297" s="223">
        <v>3215.85</v>
      </c>
      <c r="Q297" s="223">
        <v>3647.3679999999999</v>
      </c>
      <c r="R297" s="223">
        <v>3689.9490000000001</v>
      </c>
      <c r="S297" s="223">
        <v>3635.221</v>
      </c>
      <c r="T297" s="223">
        <v>3385.0540000000001</v>
      </c>
      <c r="U297" s="223">
        <v>4005.4319999999998</v>
      </c>
      <c r="V297" s="223">
        <v>4307.1909999999998</v>
      </c>
      <c r="W297" s="223">
        <v>3256.15</v>
      </c>
      <c r="X297" s="223">
        <v>3248.9810000000002</v>
      </c>
      <c r="Y297" s="223">
        <v>41886.247000000003</v>
      </c>
    </row>
    <row r="298" spans="1:25">
      <c r="A298" s="216">
        <v>45170</v>
      </c>
      <c r="B298" t="s">
        <v>42</v>
      </c>
      <c r="C298">
        <v>23</v>
      </c>
      <c r="D298" t="s">
        <v>435</v>
      </c>
      <c r="E298" s="217">
        <v>45170</v>
      </c>
      <c r="F298">
        <v>37.564999999999998</v>
      </c>
      <c r="G298" t="s">
        <v>261</v>
      </c>
      <c r="L298" s="222" t="s">
        <v>449</v>
      </c>
      <c r="M298" s="223">
        <v>1254.073175</v>
      </c>
      <c r="N298" s="223">
        <v>1254.4521749999999</v>
      </c>
      <c r="O298" s="223">
        <v>1289.6216750000001</v>
      </c>
      <c r="P298" s="223">
        <v>1224.0550000000001</v>
      </c>
      <c r="Q298" s="223">
        <v>1327.0239999999999</v>
      </c>
      <c r="R298" s="223">
        <v>1622.3309999999999</v>
      </c>
      <c r="S298" s="223">
        <v>1562.5440000000001</v>
      </c>
      <c r="T298" s="223">
        <v>1250.827</v>
      </c>
      <c r="U298" s="223">
        <v>1888.038</v>
      </c>
      <c r="V298" s="223">
        <v>997.21017500000005</v>
      </c>
      <c r="W298" s="223">
        <v>1252.226175</v>
      </c>
      <c r="X298" s="223">
        <v>1252.226175</v>
      </c>
      <c r="Y298" s="223">
        <v>16174.628549999999</v>
      </c>
    </row>
    <row r="299" spans="1:25">
      <c r="A299" s="216">
        <v>45170</v>
      </c>
      <c r="B299" t="s">
        <v>42</v>
      </c>
      <c r="C299">
        <v>23</v>
      </c>
      <c r="D299" t="s">
        <v>435</v>
      </c>
      <c r="E299" s="217">
        <v>45170</v>
      </c>
      <c r="F299">
        <v>2733.9540000000002</v>
      </c>
      <c r="G299" t="s">
        <v>262</v>
      </c>
      <c r="L299" s="222" t="s">
        <v>450</v>
      </c>
      <c r="M299" s="223">
        <v>6854.9650000000001</v>
      </c>
      <c r="N299" s="223">
        <v>6854.9650000000001</v>
      </c>
      <c r="O299" s="223">
        <v>6905.31</v>
      </c>
      <c r="P299" s="223">
        <v>6758.3729999999996</v>
      </c>
      <c r="Q299" s="223">
        <v>7596.64</v>
      </c>
      <c r="R299" s="223">
        <v>7234.2659999999996</v>
      </c>
      <c r="S299" s="223">
        <v>7691.0339999999997</v>
      </c>
      <c r="T299" s="223">
        <v>7961.1970000000001</v>
      </c>
      <c r="U299" s="223">
        <v>7039.3019999999997</v>
      </c>
      <c r="V299" s="223">
        <v>6854.9650000000001</v>
      </c>
      <c r="W299" s="223">
        <v>6854.9650000000001</v>
      </c>
      <c r="X299" s="223">
        <v>6854.9650000000001</v>
      </c>
      <c r="Y299" s="223">
        <v>85460.947</v>
      </c>
    </row>
    <row r="300" spans="1:25">
      <c r="A300" s="216">
        <v>45170</v>
      </c>
      <c r="B300" t="s">
        <v>42</v>
      </c>
      <c r="C300">
        <v>23</v>
      </c>
      <c r="D300" t="s">
        <v>435</v>
      </c>
      <c r="E300" s="217">
        <v>45170</v>
      </c>
      <c r="F300">
        <v>13213.406000000001</v>
      </c>
      <c r="G300" t="s">
        <v>434</v>
      </c>
      <c r="L300" s="222" t="s">
        <v>451</v>
      </c>
      <c r="M300" s="223">
        <v>9567.3029999999999</v>
      </c>
      <c r="N300" s="223">
        <v>9567.3169999999991</v>
      </c>
      <c r="O300" s="223">
        <v>12391.075000000001</v>
      </c>
      <c r="P300" s="223">
        <v>9864.3369999999995</v>
      </c>
      <c r="Q300" s="223">
        <v>10014.778</v>
      </c>
      <c r="R300" s="223">
        <v>10108.807000000001</v>
      </c>
      <c r="S300" s="223">
        <v>9742.0460000000003</v>
      </c>
      <c r="T300" s="223">
        <v>9531.2430000000004</v>
      </c>
      <c r="U300" s="223">
        <v>9827.1749999999993</v>
      </c>
      <c r="V300" s="223">
        <v>9578.0319999999992</v>
      </c>
      <c r="W300" s="223">
        <v>9567.2340000000004</v>
      </c>
      <c r="X300" s="223">
        <v>9567.2340000000004</v>
      </c>
      <c r="Y300" s="223">
        <v>119326.58100000001</v>
      </c>
    </row>
    <row r="301" spans="1:25">
      <c r="A301" s="216">
        <v>45170</v>
      </c>
      <c r="B301" t="s">
        <v>42</v>
      </c>
      <c r="C301">
        <v>24</v>
      </c>
      <c r="D301" t="s">
        <v>457</v>
      </c>
      <c r="E301" s="217">
        <v>45170</v>
      </c>
      <c r="F301">
        <v>0</v>
      </c>
      <c r="G301" t="s">
        <v>251</v>
      </c>
      <c r="L301" s="222" t="s">
        <v>452</v>
      </c>
      <c r="M301" s="223">
        <v>0</v>
      </c>
      <c r="N301" s="223">
        <v>0</v>
      </c>
      <c r="O301" s="223">
        <v>0</v>
      </c>
      <c r="P301" s="223">
        <v>0</v>
      </c>
      <c r="Q301" s="223">
        <v>0</v>
      </c>
      <c r="R301" s="223">
        <v>0</v>
      </c>
      <c r="S301" s="223">
        <v>0</v>
      </c>
      <c r="T301" s="223">
        <v>0</v>
      </c>
      <c r="U301" s="223">
        <v>0</v>
      </c>
      <c r="V301" s="223">
        <v>0</v>
      </c>
      <c r="W301" s="223">
        <v>0</v>
      </c>
      <c r="X301" s="223">
        <v>0</v>
      </c>
      <c r="Y301" s="223">
        <v>0</v>
      </c>
    </row>
    <row r="302" spans="1:25">
      <c r="A302" s="216">
        <v>45170</v>
      </c>
      <c r="B302" t="s">
        <v>42</v>
      </c>
      <c r="C302">
        <v>24</v>
      </c>
      <c r="D302" t="s">
        <v>457</v>
      </c>
      <c r="E302" s="217">
        <v>45170</v>
      </c>
      <c r="F302">
        <v>0</v>
      </c>
      <c r="G302" t="s">
        <v>252</v>
      </c>
      <c r="L302" s="222" t="s">
        <v>433</v>
      </c>
      <c r="M302" s="223">
        <v>59188.913880833301</v>
      </c>
      <c r="N302" s="223">
        <v>59091.361880833298</v>
      </c>
      <c r="O302" s="223">
        <v>59186.4458808333</v>
      </c>
      <c r="P302" s="223">
        <v>54145.180999999997</v>
      </c>
      <c r="Q302" s="223">
        <v>58136.858</v>
      </c>
      <c r="R302" s="223">
        <v>70330.335999999996</v>
      </c>
      <c r="S302" s="223">
        <v>71803.997000000003</v>
      </c>
      <c r="T302" s="223">
        <v>59340.930999999997</v>
      </c>
      <c r="U302" s="223">
        <v>59220.523999999998</v>
      </c>
      <c r="V302" s="223">
        <v>59074.830880833302</v>
      </c>
      <c r="W302" s="223">
        <v>59055.399880833298</v>
      </c>
      <c r="X302" s="223">
        <v>59045.179880833297</v>
      </c>
      <c r="Y302" s="223">
        <v>727619.95928499999</v>
      </c>
    </row>
    <row r="303" spans="1:25">
      <c r="A303" s="216">
        <v>45170</v>
      </c>
      <c r="B303" t="s">
        <v>42</v>
      </c>
      <c r="C303">
        <v>24</v>
      </c>
      <c r="D303" t="s">
        <v>457</v>
      </c>
      <c r="E303" s="217">
        <v>45170</v>
      </c>
      <c r="F303">
        <v>0</v>
      </c>
      <c r="G303" t="s">
        <v>253</v>
      </c>
      <c r="L303" s="222" t="s">
        <v>445</v>
      </c>
      <c r="M303" s="223">
        <v>11403.4320703139</v>
      </c>
      <c r="N303" s="223">
        <v>11042.4830703138</v>
      </c>
      <c r="O303" s="223">
        <v>43994.187730313897</v>
      </c>
      <c r="P303" s="223">
        <v>11225.135</v>
      </c>
      <c r="Q303" s="223">
        <v>10959.656000000001</v>
      </c>
      <c r="R303" s="223">
        <v>12586.065000000001</v>
      </c>
      <c r="S303" s="223">
        <v>12081.285</v>
      </c>
      <c r="T303" s="223">
        <v>11774.906000000001</v>
      </c>
      <c r="U303" s="223">
        <v>13086.627</v>
      </c>
      <c r="V303" s="223">
        <v>13523.0757369805</v>
      </c>
      <c r="W303" s="223">
        <v>11475.0157369805</v>
      </c>
      <c r="X303" s="223">
        <v>11402.9887369805</v>
      </c>
      <c r="Y303" s="223">
        <v>174554.857081883</v>
      </c>
    </row>
    <row r="304" spans="1:25">
      <c r="A304" s="216">
        <v>45170</v>
      </c>
      <c r="B304" t="s">
        <v>42</v>
      </c>
      <c r="C304">
        <v>24</v>
      </c>
      <c r="D304" t="s">
        <v>457</v>
      </c>
      <c r="E304" s="217">
        <v>45170</v>
      </c>
      <c r="F304">
        <v>0</v>
      </c>
      <c r="G304" t="s">
        <v>254</v>
      </c>
      <c r="L304" s="222" t="s">
        <v>453</v>
      </c>
      <c r="M304" s="223">
        <v>96056.115806666698</v>
      </c>
      <c r="N304" s="223">
        <v>95278.115806666698</v>
      </c>
      <c r="O304" s="223">
        <v>143897.35196666699</v>
      </c>
      <c r="P304" s="223">
        <v>77088.445999999996</v>
      </c>
      <c r="Q304" s="223">
        <v>82064.764999999999</v>
      </c>
      <c r="R304" s="223">
        <v>100287.122</v>
      </c>
      <c r="S304" s="223">
        <v>98342.58</v>
      </c>
      <c r="T304" s="223">
        <v>89992.332999999999</v>
      </c>
      <c r="U304" s="223">
        <v>88998.823000000004</v>
      </c>
      <c r="V304" s="223">
        <v>92397.115806666698</v>
      </c>
      <c r="W304" s="223">
        <v>95056.115806666698</v>
      </c>
      <c r="X304" s="223">
        <v>95314.115806666698</v>
      </c>
      <c r="Y304" s="223">
        <v>1154773</v>
      </c>
    </row>
    <row r="305" spans="1:25">
      <c r="A305" s="216">
        <v>45170</v>
      </c>
      <c r="B305" t="s">
        <v>42</v>
      </c>
      <c r="C305">
        <v>24</v>
      </c>
      <c r="D305" t="s">
        <v>457</v>
      </c>
      <c r="E305" s="217">
        <v>45170</v>
      </c>
      <c r="F305">
        <v>0</v>
      </c>
      <c r="G305" t="s">
        <v>255</v>
      </c>
      <c r="L305" s="222" t="s">
        <v>454</v>
      </c>
      <c r="M305" s="223">
        <v>7131.5782499999996</v>
      </c>
      <c r="N305" s="223">
        <v>7131.5782499999996</v>
      </c>
      <c r="O305" s="223">
        <v>7116.6582500000004</v>
      </c>
      <c r="P305" s="223">
        <v>5428.5649999999996</v>
      </c>
      <c r="Q305" s="223">
        <v>6817.8760000000002</v>
      </c>
      <c r="R305" s="223">
        <v>6594.8680000000004</v>
      </c>
      <c r="S305" s="223">
        <v>6639.8580000000002</v>
      </c>
      <c r="T305" s="223">
        <v>6582.1090000000004</v>
      </c>
      <c r="U305" s="223">
        <v>6362.308</v>
      </c>
      <c r="V305" s="223">
        <v>7133.1902499999997</v>
      </c>
      <c r="W305" s="223">
        <v>7131.9502499999999</v>
      </c>
      <c r="X305" s="223">
        <v>7131.9512500000001</v>
      </c>
      <c r="Y305" s="223">
        <v>81202.4905</v>
      </c>
    </row>
    <row r="306" spans="1:25">
      <c r="A306" s="216">
        <v>45170</v>
      </c>
      <c r="B306" t="s">
        <v>42</v>
      </c>
      <c r="C306">
        <v>24</v>
      </c>
      <c r="D306" t="s">
        <v>457</v>
      </c>
      <c r="E306" s="217">
        <v>45170</v>
      </c>
      <c r="F306">
        <v>0</v>
      </c>
      <c r="G306" t="s">
        <v>256</v>
      </c>
      <c r="L306" s="222" t="s">
        <v>455</v>
      </c>
      <c r="M306" s="223">
        <v>0</v>
      </c>
      <c r="N306" s="223">
        <v>0</v>
      </c>
      <c r="O306" s="223">
        <v>0</v>
      </c>
      <c r="P306" s="223">
        <v>0</v>
      </c>
      <c r="Q306" s="223">
        <v>0</v>
      </c>
      <c r="R306" s="223">
        <v>0</v>
      </c>
      <c r="S306" s="223">
        <v>0</v>
      </c>
      <c r="T306" s="223">
        <v>0</v>
      </c>
      <c r="U306" s="223">
        <v>0</v>
      </c>
      <c r="V306" s="223">
        <v>0</v>
      </c>
      <c r="W306" s="223">
        <v>0</v>
      </c>
      <c r="X306" s="223">
        <v>0</v>
      </c>
      <c r="Y306" s="223">
        <v>0</v>
      </c>
    </row>
    <row r="307" spans="1:25">
      <c r="A307" s="216">
        <v>45170</v>
      </c>
      <c r="B307" t="s">
        <v>42</v>
      </c>
      <c r="C307">
        <v>24</v>
      </c>
      <c r="D307" t="s">
        <v>457</v>
      </c>
      <c r="E307" s="217">
        <v>45170</v>
      </c>
      <c r="F307">
        <v>0</v>
      </c>
      <c r="G307" t="s">
        <v>257</v>
      </c>
      <c r="L307" s="222" t="s">
        <v>456</v>
      </c>
      <c r="M307" s="223">
        <v>0</v>
      </c>
      <c r="N307" s="223">
        <v>0</v>
      </c>
      <c r="O307" s="223">
        <v>0</v>
      </c>
      <c r="P307" s="223">
        <v>0</v>
      </c>
      <c r="Q307" s="223">
        <v>0</v>
      </c>
      <c r="R307" s="223">
        <v>0</v>
      </c>
      <c r="S307" s="223">
        <v>0</v>
      </c>
      <c r="T307" s="223">
        <v>0</v>
      </c>
      <c r="U307" s="223">
        <v>0</v>
      </c>
      <c r="V307" s="223">
        <v>0</v>
      </c>
      <c r="W307" s="223">
        <v>0</v>
      </c>
      <c r="X307" s="223">
        <v>0</v>
      </c>
      <c r="Y307" s="223">
        <v>0</v>
      </c>
    </row>
    <row r="308" spans="1:25">
      <c r="A308" s="216">
        <v>45170</v>
      </c>
      <c r="B308" t="s">
        <v>42</v>
      </c>
      <c r="C308">
        <v>24</v>
      </c>
      <c r="D308" t="s">
        <v>457</v>
      </c>
      <c r="E308" s="217">
        <v>45170</v>
      </c>
      <c r="F308">
        <v>0</v>
      </c>
      <c r="G308" t="s">
        <v>258</v>
      </c>
      <c r="L308" s="222" t="s">
        <v>457</v>
      </c>
      <c r="M308" s="223">
        <v>0</v>
      </c>
      <c r="N308" s="223">
        <v>0</v>
      </c>
      <c r="O308" s="223">
        <v>0</v>
      </c>
      <c r="P308" s="223">
        <v>0</v>
      </c>
      <c r="Q308" s="223">
        <v>0</v>
      </c>
      <c r="R308" s="223">
        <v>0</v>
      </c>
      <c r="S308" s="223">
        <v>0</v>
      </c>
      <c r="T308" s="223">
        <v>0</v>
      </c>
      <c r="U308" s="223">
        <v>0</v>
      </c>
      <c r="V308" s="223">
        <v>0</v>
      </c>
      <c r="W308" s="223">
        <v>0</v>
      </c>
      <c r="X308" s="223">
        <v>0</v>
      </c>
      <c r="Y308" s="223">
        <v>0</v>
      </c>
    </row>
    <row r="309" spans="1:25">
      <c r="A309" s="216">
        <v>45170</v>
      </c>
      <c r="B309" t="s">
        <v>42</v>
      </c>
      <c r="C309">
        <v>24</v>
      </c>
      <c r="D309" t="s">
        <v>457</v>
      </c>
      <c r="E309" s="217">
        <v>45170</v>
      </c>
      <c r="F309">
        <v>0</v>
      </c>
      <c r="G309" t="s">
        <v>259</v>
      </c>
      <c r="L309" s="222" t="s">
        <v>458</v>
      </c>
      <c r="M309" s="223">
        <v>70.915999999999997</v>
      </c>
      <c r="N309" s="223">
        <v>70.915999999999997</v>
      </c>
      <c r="O309" s="223">
        <v>70.938999999999993</v>
      </c>
      <c r="P309" s="223">
        <v>37.262</v>
      </c>
      <c r="Q309" s="223">
        <v>66.459000000000003</v>
      </c>
      <c r="R309" s="223">
        <v>66.381</v>
      </c>
      <c r="S309" s="223">
        <v>63.152999999999999</v>
      </c>
      <c r="T309" s="223">
        <v>76.486000000000004</v>
      </c>
      <c r="U309" s="223">
        <v>68.122</v>
      </c>
      <c r="V309" s="223">
        <v>295.85700000000003</v>
      </c>
      <c r="W309" s="223">
        <v>70.915999999999997</v>
      </c>
      <c r="X309" s="223">
        <v>70.915999999999997</v>
      </c>
      <c r="Y309" s="223">
        <v>1028.3230000000001</v>
      </c>
    </row>
    <row r="310" spans="1:25">
      <c r="A310" s="216">
        <v>45170</v>
      </c>
      <c r="B310" t="s">
        <v>42</v>
      </c>
      <c r="C310">
        <v>24</v>
      </c>
      <c r="D310" t="s">
        <v>457</v>
      </c>
      <c r="E310" s="217">
        <v>45170</v>
      </c>
      <c r="F310">
        <v>0</v>
      </c>
      <c r="G310" t="s">
        <v>260</v>
      </c>
      <c r="L310" s="222" t="s">
        <v>459</v>
      </c>
      <c r="M310" s="223">
        <v>8928.9770000000008</v>
      </c>
      <c r="N310" s="223">
        <v>8938.9770000000008</v>
      </c>
      <c r="O310" s="223">
        <v>9013.9140000000007</v>
      </c>
      <c r="P310" s="223">
        <v>8549.2340000000004</v>
      </c>
      <c r="Q310" s="223">
        <v>8928.1039999999994</v>
      </c>
      <c r="R310" s="223">
        <v>9295.42</v>
      </c>
      <c r="S310" s="223">
        <v>9331.7189999999991</v>
      </c>
      <c r="T310" s="223">
        <v>9272.5130000000008</v>
      </c>
      <c r="U310" s="223">
        <v>8759.9320000000007</v>
      </c>
      <c r="V310" s="223">
        <v>8975.4259999999995</v>
      </c>
      <c r="W310" s="223">
        <v>8945.6530000000002</v>
      </c>
      <c r="X310" s="223">
        <v>8928.9770000000008</v>
      </c>
      <c r="Y310" s="223">
        <v>107868.84600000001</v>
      </c>
    </row>
    <row r="311" spans="1:25">
      <c r="A311" s="216">
        <v>45170</v>
      </c>
      <c r="B311" t="s">
        <v>42</v>
      </c>
      <c r="C311">
        <v>24</v>
      </c>
      <c r="D311" t="s">
        <v>457</v>
      </c>
      <c r="E311" s="217">
        <v>45170</v>
      </c>
      <c r="F311">
        <v>0</v>
      </c>
      <c r="G311" t="s">
        <v>261</v>
      </c>
      <c r="L311" s="222" t="s">
        <v>460</v>
      </c>
      <c r="M311" s="223">
        <v>11305.821</v>
      </c>
      <c r="N311" s="223">
        <v>11305.821</v>
      </c>
      <c r="O311" s="223">
        <v>11306.098</v>
      </c>
      <c r="P311" s="223">
        <v>10852.953</v>
      </c>
      <c r="Q311" s="223">
        <v>10912.662</v>
      </c>
      <c r="R311" s="223">
        <v>10813.691000000001</v>
      </c>
      <c r="S311" s="223">
        <v>12855.73</v>
      </c>
      <c r="T311" s="223">
        <v>11094.652</v>
      </c>
      <c r="U311" s="223">
        <v>11326.329</v>
      </c>
      <c r="V311" s="223">
        <v>11731.041999999999</v>
      </c>
      <c r="W311" s="223">
        <v>11305.821</v>
      </c>
      <c r="X311" s="223">
        <v>11305.821</v>
      </c>
      <c r="Y311" s="223">
        <v>136116.44099999999</v>
      </c>
    </row>
    <row r="312" spans="1:25">
      <c r="A312" s="216">
        <v>45170</v>
      </c>
      <c r="B312" t="s">
        <v>42</v>
      </c>
      <c r="C312">
        <v>24</v>
      </c>
      <c r="D312" t="s">
        <v>457</v>
      </c>
      <c r="E312" s="217">
        <v>45170</v>
      </c>
      <c r="F312">
        <v>0</v>
      </c>
      <c r="G312" t="s">
        <v>262</v>
      </c>
      <c r="L312" s="221" t="s">
        <v>49</v>
      </c>
      <c r="M312" s="223">
        <v>67658.884013333271</v>
      </c>
      <c r="N312" s="223">
        <v>67718.900013333274</v>
      </c>
      <c r="O312" s="223">
        <v>110765.97201333327</v>
      </c>
      <c r="P312" s="223">
        <v>59191.021000000001</v>
      </c>
      <c r="Q312" s="223">
        <v>59898.133999999998</v>
      </c>
      <c r="R312" s="223">
        <v>67468.351439999999</v>
      </c>
      <c r="S312" s="223">
        <v>67398.371149999992</v>
      </c>
      <c r="T312" s="223">
        <v>64768.038</v>
      </c>
      <c r="U312" s="223">
        <v>68354.836849999992</v>
      </c>
      <c r="V312" s="223">
        <v>67234.175653333252</v>
      </c>
      <c r="W312" s="223">
        <v>67170.888013333257</v>
      </c>
      <c r="X312" s="223">
        <v>67558.888013333271</v>
      </c>
      <c r="Y312" s="223">
        <v>835186.46016000002</v>
      </c>
    </row>
    <row r="313" spans="1:25">
      <c r="A313" s="216">
        <v>45170</v>
      </c>
      <c r="B313" t="s">
        <v>42</v>
      </c>
      <c r="C313">
        <v>24</v>
      </c>
      <c r="D313" t="s">
        <v>457</v>
      </c>
      <c r="E313" s="217">
        <v>45170</v>
      </c>
      <c r="F313">
        <v>0</v>
      </c>
      <c r="G313" t="s">
        <v>434</v>
      </c>
      <c r="L313" s="222" t="s">
        <v>435</v>
      </c>
      <c r="M313" s="223">
        <v>17.600000000000001</v>
      </c>
      <c r="N313" s="223">
        <v>17.600000000000001</v>
      </c>
      <c r="O313" s="223">
        <v>17.600000000000001</v>
      </c>
      <c r="P313" s="223">
        <v>17.75</v>
      </c>
      <c r="Q313" s="223">
        <v>17.75</v>
      </c>
      <c r="R313" s="223">
        <v>17.75</v>
      </c>
      <c r="S313" s="223">
        <v>18.3</v>
      </c>
      <c r="T313" s="223">
        <v>18.3</v>
      </c>
      <c r="U313" s="223">
        <v>17.600000000000001</v>
      </c>
      <c r="V313" s="223">
        <v>17.600000000000001</v>
      </c>
      <c r="W313" s="223">
        <v>17.600000000000001</v>
      </c>
      <c r="X313" s="223">
        <v>17.600000000000001</v>
      </c>
      <c r="Y313" s="223">
        <v>213.05</v>
      </c>
    </row>
    <row r="314" spans="1:25">
      <c r="A314" s="216">
        <v>45170</v>
      </c>
      <c r="B314" t="s">
        <v>42</v>
      </c>
      <c r="C314">
        <v>25</v>
      </c>
      <c r="D314" t="s">
        <v>452</v>
      </c>
      <c r="E314" s="217">
        <v>45170</v>
      </c>
      <c r="F314">
        <v>0</v>
      </c>
      <c r="G314" t="s">
        <v>251</v>
      </c>
      <c r="L314" s="222" t="s">
        <v>436</v>
      </c>
      <c r="M314" s="223">
        <v>0</v>
      </c>
      <c r="N314" s="223">
        <v>0</v>
      </c>
      <c r="O314" s="223">
        <v>0</v>
      </c>
      <c r="P314" s="223">
        <v>0</v>
      </c>
      <c r="Q314" s="223">
        <v>0</v>
      </c>
      <c r="R314" s="223">
        <v>0</v>
      </c>
      <c r="S314" s="223">
        <v>0</v>
      </c>
      <c r="T314" s="223">
        <v>0</v>
      </c>
      <c r="U314" s="223">
        <v>0</v>
      </c>
      <c r="V314" s="223">
        <v>0</v>
      </c>
      <c r="W314" s="223">
        <v>0</v>
      </c>
      <c r="X314" s="223">
        <v>0</v>
      </c>
      <c r="Y314" s="223">
        <v>0</v>
      </c>
    </row>
    <row r="315" spans="1:25">
      <c r="A315" s="216">
        <v>45170</v>
      </c>
      <c r="B315" t="s">
        <v>42</v>
      </c>
      <c r="C315">
        <v>25</v>
      </c>
      <c r="D315" t="s">
        <v>452</v>
      </c>
      <c r="E315" s="217">
        <v>45170</v>
      </c>
      <c r="F315">
        <v>-0.3</v>
      </c>
      <c r="G315" t="s">
        <v>252</v>
      </c>
      <c r="L315" s="222" t="s">
        <v>437</v>
      </c>
      <c r="M315" s="223">
        <v>0</v>
      </c>
      <c r="N315" s="223">
        <v>0</v>
      </c>
      <c r="O315" s="223">
        <v>0</v>
      </c>
      <c r="P315" s="223">
        <v>0</v>
      </c>
      <c r="Q315" s="223">
        <v>0</v>
      </c>
      <c r="R315" s="223">
        <v>0</v>
      </c>
      <c r="S315" s="223">
        <v>0</v>
      </c>
      <c r="T315" s="223">
        <v>0</v>
      </c>
      <c r="U315" s="223">
        <v>0</v>
      </c>
      <c r="V315" s="223">
        <v>0</v>
      </c>
      <c r="W315" s="223">
        <v>0</v>
      </c>
      <c r="X315" s="223">
        <v>0</v>
      </c>
      <c r="Y315" s="223">
        <v>0</v>
      </c>
    </row>
    <row r="316" spans="1:25">
      <c r="A316" s="216">
        <v>45170</v>
      </c>
      <c r="B316" t="s">
        <v>42</v>
      </c>
      <c r="C316">
        <v>25</v>
      </c>
      <c r="D316" t="s">
        <v>452</v>
      </c>
      <c r="E316" s="217">
        <v>45170</v>
      </c>
      <c r="F316">
        <v>0</v>
      </c>
      <c r="G316" t="s">
        <v>253</v>
      </c>
      <c r="L316" s="222" t="s">
        <v>438</v>
      </c>
      <c r="M316" s="223">
        <v>16914.721003333299</v>
      </c>
      <c r="N316" s="223">
        <v>16929.7250033333</v>
      </c>
      <c r="O316" s="223">
        <v>27691.4930033333</v>
      </c>
      <c r="P316" s="223">
        <v>14796.883</v>
      </c>
      <c r="Q316" s="223">
        <v>14972.384</v>
      </c>
      <c r="R316" s="223">
        <v>16868.436000000002</v>
      </c>
      <c r="S316" s="223">
        <v>16847.91806</v>
      </c>
      <c r="T316" s="223">
        <v>16191.339</v>
      </c>
      <c r="U316" s="223">
        <v>17087.705000000002</v>
      </c>
      <c r="V316" s="223">
        <v>16813.793913333298</v>
      </c>
      <c r="W316" s="223">
        <v>16792.7220033333</v>
      </c>
      <c r="X316" s="223">
        <v>16889.7220033333</v>
      </c>
      <c r="Y316" s="223">
        <v>208796.84198999999</v>
      </c>
    </row>
    <row r="317" spans="1:25">
      <c r="A317" s="216">
        <v>45170</v>
      </c>
      <c r="B317" t="s">
        <v>42</v>
      </c>
      <c r="C317">
        <v>25</v>
      </c>
      <c r="D317" t="s">
        <v>452</v>
      </c>
      <c r="E317" s="217">
        <v>45170</v>
      </c>
      <c r="F317">
        <v>0</v>
      </c>
      <c r="G317" t="s">
        <v>254</v>
      </c>
      <c r="L317" s="222" t="s">
        <v>439</v>
      </c>
      <c r="M317" s="223">
        <v>691.17222222222199</v>
      </c>
      <c r="N317" s="223">
        <v>691.17222222222199</v>
      </c>
      <c r="O317" s="223">
        <v>11170.1722222222</v>
      </c>
      <c r="P317" s="223">
        <v>536.58333333333303</v>
      </c>
      <c r="Q317" s="223">
        <v>536.58333333333303</v>
      </c>
      <c r="R317" s="223">
        <v>536.58333333333303</v>
      </c>
      <c r="S317" s="223">
        <v>391.95555555555597</v>
      </c>
      <c r="T317" s="223">
        <v>694.48055555555595</v>
      </c>
      <c r="U317" s="223">
        <v>692.50555555555604</v>
      </c>
      <c r="V317" s="223">
        <v>691.17222222222199</v>
      </c>
      <c r="W317" s="223">
        <v>691.17222222222199</v>
      </c>
      <c r="X317" s="223">
        <v>691.17222222222199</v>
      </c>
      <c r="Y317" s="223">
        <v>18014.724999999999</v>
      </c>
    </row>
    <row r="318" spans="1:25">
      <c r="A318" s="216">
        <v>45170</v>
      </c>
      <c r="B318" t="s">
        <v>42</v>
      </c>
      <c r="C318">
        <v>25</v>
      </c>
      <c r="D318" t="s">
        <v>452</v>
      </c>
      <c r="E318" s="217">
        <v>45170</v>
      </c>
      <c r="F318">
        <v>294.5</v>
      </c>
      <c r="G318" t="s">
        <v>255</v>
      </c>
      <c r="L318" s="222" t="s">
        <v>440</v>
      </c>
      <c r="M318" s="223">
        <v>0</v>
      </c>
      <c r="N318" s="223">
        <v>0</v>
      </c>
      <c r="O318" s="223">
        <v>0</v>
      </c>
      <c r="P318" s="223">
        <v>0</v>
      </c>
      <c r="Q318" s="223">
        <v>0</v>
      </c>
      <c r="R318" s="223">
        <v>0</v>
      </c>
      <c r="S318" s="223">
        <v>0</v>
      </c>
      <c r="T318" s="223">
        <v>0</v>
      </c>
      <c r="U318" s="223">
        <v>0</v>
      </c>
      <c r="V318" s="223">
        <v>0</v>
      </c>
      <c r="W318" s="223">
        <v>0</v>
      </c>
      <c r="X318" s="223">
        <v>0</v>
      </c>
      <c r="Y318" s="223">
        <v>0</v>
      </c>
    </row>
    <row r="319" spans="1:25">
      <c r="A319" s="216">
        <v>45170</v>
      </c>
      <c r="B319" t="s">
        <v>42</v>
      </c>
      <c r="C319">
        <v>25</v>
      </c>
      <c r="D319" t="s">
        <v>452</v>
      </c>
      <c r="E319" s="217">
        <v>45170</v>
      </c>
      <c r="F319">
        <v>26.5</v>
      </c>
      <c r="G319" t="s">
        <v>256</v>
      </c>
      <c r="L319" s="222" t="s">
        <v>441</v>
      </c>
      <c r="M319" s="223">
        <v>0</v>
      </c>
      <c r="N319" s="223">
        <v>0</v>
      </c>
      <c r="O319" s="223">
        <v>0</v>
      </c>
      <c r="P319" s="223">
        <v>0</v>
      </c>
      <c r="Q319" s="223">
        <v>0</v>
      </c>
      <c r="R319" s="223">
        <v>0</v>
      </c>
      <c r="S319" s="223">
        <v>0</v>
      </c>
      <c r="T319" s="223">
        <v>0</v>
      </c>
      <c r="U319" s="223">
        <v>0</v>
      </c>
      <c r="V319" s="223">
        <v>0</v>
      </c>
      <c r="W319" s="223">
        <v>0</v>
      </c>
      <c r="X319" s="223">
        <v>0</v>
      </c>
      <c r="Y319" s="223">
        <v>0</v>
      </c>
    </row>
    <row r="320" spans="1:25">
      <c r="A320" s="216">
        <v>45170</v>
      </c>
      <c r="B320" t="s">
        <v>42</v>
      </c>
      <c r="C320">
        <v>25</v>
      </c>
      <c r="D320" t="s">
        <v>452</v>
      </c>
      <c r="E320" s="217">
        <v>45170</v>
      </c>
      <c r="F320">
        <v>0</v>
      </c>
      <c r="G320" t="s">
        <v>257</v>
      </c>
      <c r="L320" s="222" t="s">
        <v>442</v>
      </c>
      <c r="M320" s="223">
        <v>16914.721003333299</v>
      </c>
      <c r="N320" s="223">
        <v>16929.7250033333</v>
      </c>
      <c r="O320" s="223">
        <v>27691.4930033333</v>
      </c>
      <c r="P320" s="223">
        <v>14798.046</v>
      </c>
      <c r="Q320" s="223">
        <v>14975.25</v>
      </c>
      <c r="R320" s="223">
        <v>16866.638480000001</v>
      </c>
      <c r="S320" s="223">
        <v>16850.151030000001</v>
      </c>
      <c r="T320" s="223">
        <v>16192.233</v>
      </c>
      <c r="U320" s="223">
        <v>17089.043949999999</v>
      </c>
      <c r="V320" s="223">
        <v>16806.793913333298</v>
      </c>
      <c r="W320" s="223">
        <v>16792.7220033333</v>
      </c>
      <c r="X320" s="223">
        <v>16889.7220033333</v>
      </c>
      <c r="Y320" s="223">
        <v>208796.53938999999</v>
      </c>
    </row>
    <row r="321" spans="1:25">
      <c r="A321" s="216">
        <v>45170</v>
      </c>
      <c r="B321" t="s">
        <v>42</v>
      </c>
      <c r="C321">
        <v>25</v>
      </c>
      <c r="D321" t="s">
        <v>452</v>
      </c>
      <c r="E321" s="217">
        <v>45170</v>
      </c>
      <c r="F321">
        <v>0</v>
      </c>
      <c r="G321" t="s">
        <v>258</v>
      </c>
      <c r="L321" s="222" t="s">
        <v>443</v>
      </c>
      <c r="M321" s="223">
        <v>0</v>
      </c>
      <c r="N321" s="223">
        <v>0</v>
      </c>
      <c r="O321" s="223">
        <v>0</v>
      </c>
      <c r="P321" s="223">
        <v>0</v>
      </c>
      <c r="Q321" s="223">
        <v>0</v>
      </c>
      <c r="R321" s="223">
        <v>0</v>
      </c>
      <c r="S321" s="223">
        <v>0</v>
      </c>
      <c r="T321" s="223">
        <v>0</v>
      </c>
      <c r="U321" s="223">
        <v>0</v>
      </c>
      <c r="V321" s="223">
        <v>0</v>
      </c>
      <c r="W321" s="223">
        <v>0</v>
      </c>
      <c r="X321" s="223">
        <v>0</v>
      </c>
      <c r="Y321" s="223">
        <v>0</v>
      </c>
    </row>
    <row r="322" spans="1:25">
      <c r="A322" s="216">
        <v>45170</v>
      </c>
      <c r="B322" t="s">
        <v>42</v>
      </c>
      <c r="C322">
        <v>25</v>
      </c>
      <c r="D322" t="s">
        <v>452</v>
      </c>
      <c r="E322" s="217">
        <v>45170</v>
      </c>
      <c r="F322">
        <v>0</v>
      </c>
      <c r="G322" t="s">
        <v>259</v>
      </c>
      <c r="L322" s="222" t="s">
        <v>444</v>
      </c>
      <c r="M322" s="223">
        <v>0</v>
      </c>
      <c r="N322" s="223">
        <v>0</v>
      </c>
      <c r="O322" s="223">
        <v>0</v>
      </c>
      <c r="P322" s="223">
        <v>0</v>
      </c>
      <c r="Q322" s="223">
        <v>0</v>
      </c>
      <c r="R322" s="223">
        <v>0</v>
      </c>
      <c r="S322" s="223">
        <v>0</v>
      </c>
      <c r="T322" s="223">
        <v>0</v>
      </c>
      <c r="U322" s="223">
        <v>0</v>
      </c>
      <c r="V322" s="223">
        <v>0</v>
      </c>
      <c r="W322" s="223">
        <v>0</v>
      </c>
      <c r="X322" s="223">
        <v>0</v>
      </c>
      <c r="Y322" s="223">
        <v>0</v>
      </c>
    </row>
    <row r="323" spans="1:25">
      <c r="A323" s="216">
        <v>45170</v>
      </c>
      <c r="B323" t="s">
        <v>42</v>
      </c>
      <c r="C323">
        <v>25</v>
      </c>
      <c r="D323" t="s">
        <v>452</v>
      </c>
      <c r="E323" s="217">
        <v>45170</v>
      </c>
      <c r="F323">
        <v>0</v>
      </c>
      <c r="G323" t="s">
        <v>260</v>
      </c>
      <c r="L323" s="222" t="s">
        <v>446</v>
      </c>
      <c r="M323" s="223">
        <v>0</v>
      </c>
      <c r="N323" s="223">
        <v>0</v>
      </c>
      <c r="O323" s="223">
        <v>3.6379788070917101E-12</v>
      </c>
      <c r="P323" s="223">
        <v>1.1630000000041001</v>
      </c>
      <c r="Q323" s="223">
        <v>2.8659999999999899</v>
      </c>
      <c r="R323" s="223">
        <v>-1.7975200000000799</v>
      </c>
      <c r="S323" s="223">
        <v>2.2329700000009298</v>
      </c>
      <c r="T323" s="223">
        <v>0.89400000000023305</v>
      </c>
      <c r="U323" s="223">
        <v>1.3389500000012</v>
      </c>
      <c r="V323" s="223">
        <v>-6.9999999999963602</v>
      </c>
      <c r="W323" s="223">
        <v>0</v>
      </c>
      <c r="X323" s="223">
        <v>0</v>
      </c>
      <c r="Y323" s="223">
        <v>-0.30259999996633302</v>
      </c>
    </row>
    <row r="324" spans="1:25">
      <c r="A324" s="216">
        <v>45170</v>
      </c>
      <c r="B324" t="s">
        <v>42</v>
      </c>
      <c r="C324">
        <v>25</v>
      </c>
      <c r="D324" t="s">
        <v>452</v>
      </c>
      <c r="E324" s="217">
        <v>45170</v>
      </c>
      <c r="F324">
        <v>0</v>
      </c>
      <c r="G324" t="s">
        <v>261</v>
      </c>
      <c r="L324" s="222" t="s">
        <v>447</v>
      </c>
      <c r="M324" s="223">
        <v>0</v>
      </c>
      <c r="N324" s="223">
        <v>0</v>
      </c>
      <c r="O324" s="223">
        <v>0</v>
      </c>
      <c r="P324" s="223">
        <v>0</v>
      </c>
      <c r="Q324" s="223">
        <v>0</v>
      </c>
      <c r="R324" s="223">
        <v>0</v>
      </c>
      <c r="S324" s="223">
        <v>0</v>
      </c>
      <c r="T324" s="223">
        <v>0</v>
      </c>
      <c r="U324" s="223">
        <v>0</v>
      </c>
      <c r="V324" s="223">
        <v>0</v>
      </c>
      <c r="W324" s="223">
        <v>0</v>
      </c>
      <c r="X324" s="223">
        <v>0</v>
      </c>
      <c r="Y324" s="223">
        <v>0</v>
      </c>
    </row>
    <row r="325" spans="1:25">
      <c r="A325" s="216">
        <v>45170</v>
      </c>
      <c r="B325" t="s">
        <v>42</v>
      </c>
      <c r="C325">
        <v>25</v>
      </c>
      <c r="D325" t="s">
        <v>452</v>
      </c>
      <c r="E325" s="217">
        <v>45170</v>
      </c>
      <c r="F325">
        <v>0</v>
      </c>
      <c r="G325" t="s">
        <v>262</v>
      </c>
      <c r="L325" s="222" t="s">
        <v>448</v>
      </c>
      <c r="M325" s="223">
        <v>1280.0706666666699</v>
      </c>
      <c r="N325" s="223">
        <v>1285.0746666666701</v>
      </c>
      <c r="O325" s="223">
        <v>1292.9846666666699</v>
      </c>
      <c r="P325" s="223">
        <v>1040.511</v>
      </c>
      <c r="Q325" s="223">
        <v>1388.27297</v>
      </c>
      <c r="R325" s="223">
        <v>905.70600000000002</v>
      </c>
      <c r="S325" s="223">
        <v>1079.73603</v>
      </c>
      <c r="T325" s="223">
        <v>1207.482</v>
      </c>
      <c r="U325" s="223">
        <v>1529.4659999999999</v>
      </c>
      <c r="V325" s="223">
        <v>1264.0706666666699</v>
      </c>
      <c r="W325" s="223">
        <v>1289.0706666666699</v>
      </c>
      <c r="X325" s="223">
        <v>1265.0706666666699</v>
      </c>
      <c r="Y325" s="223">
        <v>14827.516</v>
      </c>
    </row>
    <row r="326" spans="1:25">
      <c r="A326" s="216">
        <v>45170</v>
      </c>
      <c r="B326" t="s">
        <v>42</v>
      </c>
      <c r="C326">
        <v>25</v>
      </c>
      <c r="D326" t="s">
        <v>452</v>
      </c>
      <c r="E326" s="217">
        <v>45170</v>
      </c>
      <c r="F326">
        <v>320.7</v>
      </c>
      <c r="G326" t="s">
        <v>434</v>
      </c>
      <c r="L326" s="222" t="s">
        <v>449</v>
      </c>
      <c r="M326" s="223">
        <v>0</v>
      </c>
      <c r="N326" s="223">
        <v>0</v>
      </c>
      <c r="O326" s="223">
        <v>0</v>
      </c>
      <c r="P326" s="223">
        <v>0</v>
      </c>
      <c r="Q326" s="223">
        <v>0</v>
      </c>
      <c r="R326" s="223">
        <v>0</v>
      </c>
      <c r="S326" s="223">
        <v>0</v>
      </c>
      <c r="T326" s="223">
        <v>0</v>
      </c>
      <c r="U326" s="223">
        <v>0</v>
      </c>
      <c r="V326" s="223">
        <v>0</v>
      </c>
      <c r="W326" s="223">
        <v>0</v>
      </c>
      <c r="X326" s="223">
        <v>0</v>
      </c>
      <c r="Y326" s="223">
        <v>0</v>
      </c>
    </row>
    <row r="327" spans="1:25">
      <c r="A327" s="216">
        <v>45170</v>
      </c>
      <c r="B327" t="s">
        <v>42</v>
      </c>
      <c r="C327">
        <v>26</v>
      </c>
      <c r="D327" t="s">
        <v>438</v>
      </c>
      <c r="E327" s="217">
        <v>45170</v>
      </c>
      <c r="F327">
        <v>147586.50099999999</v>
      </c>
      <c r="G327" t="s">
        <v>251</v>
      </c>
      <c r="L327" s="222" t="s">
        <v>450</v>
      </c>
      <c r="M327" s="223">
        <v>0</v>
      </c>
      <c r="N327" s="223">
        <v>0</v>
      </c>
      <c r="O327" s="223">
        <v>0</v>
      </c>
      <c r="P327" s="223">
        <v>0</v>
      </c>
      <c r="Q327" s="223">
        <v>0</v>
      </c>
      <c r="R327" s="223">
        <v>0</v>
      </c>
      <c r="S327" s="223">
        <v>0</v>
      </c>
      <c r="T327" s="223">
        <v>0</v>
      </c>
      <c r="U327" s="223">
        <v>0</v>
      </c>
      <c r="V327" s="223">
        <v>0</v>
      </c>
      <c r="W327" s="223">
        <v>0</v>
      </c>
      <c r="X327" s="223">
        <v>0</v>
      </c>
      <c r="Y327" s="223">
        <v>0</v>
      </c>
    </row>
    <row r="328" spans="1:25">
      <c r="A328" s="216">
        <v>45170</v>
      </c>
      <c r="B328" t="s">
        <v>42</v>
      </c>
      <c r="C328">
        <v>26</v>
      </c>
      <c r="D328" t="s">
        <v>438</v>
      </c>
      <c r="E328" s="217">
        <v>45170</v>
      </c>
      <c r="F328">
        <v>146074.81899999999</v>
      </c>
      <c r="G328" t="s">
        <v>252</v>
      </c>
      <c r="L328" s="222" t="s">
        <v>451</v>
      </c>
      <c r="M328" s="223">
        <v>0</v>
      </c>
      <c r="N328" s="223">
        <v>0</v>
      </c>
      <c r="O328" s="223">
        <v>0</v>
      </c>
      <c r="P328" s="223">
        <v>0</v>
      </c>
      <c r="Q328" s="223">
        <v>0</v>
      </c>
      <c r="R328" s="223">
        <v>0</v>
      </c>
      <c r="S328" s="223">
        <v>0</v>
      </c>
      <c r="T328" s="223">
        <v>0</v>
      </c>
      <c r="U328" s="223">
        <v>0</v>
      </c>
      <c r="V328" s="223">
        <v>0</v>
      </c>
      <c r="W328" s="223">
        <v>0</v>
      </c>
      <c r="X328" s="223">
        <v>0</v>
      </c>
      <c r="Y328" s="223">
        <v>0</v>
      </c>
    </row>
    <row r="329" spans="1:25">
      <c r="A329" s="216">
        <v>45170</v>
      </c>
      <c r="B329" t="s">
        <v>42</v>
      </c>
      <c r="C329">
        <v>26</v>
      </c>
      <c r="D329" t="s">
        <v>438</v>
      </c>
      <c r="E329" s="217">
        <v>45170</v>
      </c>
      <c r="F329">
        <v>164524.87</v>
      </c>
      <c r="G329" t="s">
        <v>253</v>
      </c>
      <c r="L329" s="222" t="s">
        <v>452</v>
      </c>
      <c r="M329" s="223">
        <v>0</v>
      </c>
      <c r="N329" s="223">
        <v>0</v>
      </c>
      <c r="O329" s="223">
        <v>0</v>
      </c>
      <c r="P329" s="223">
        <v>0</v>
      </c>
      <c r="Q329" s="223">
        <v>0</v>
      </c>
      <c r="R329" s="223">
        <v>0</v>
      </c>
      <c r="S329" s="223">
        <v>0</v>
      </c>
      <c r="T329" s="223">
        <v>0</v>
      </c>
      <c r="U329" s="223">
        <v>0</v>
      </c>
      <c r="V329" s="223">
        <v>0</v>
      </c>
      <c r="W329" s="223">
        <v>0</v>
      </c>
      <c r="X329" s="223">
        <v>0</v>
      </c>
      <c r="Y329" s="223">
        <v>0</v>
      </c>
    </row>
    <row r="330" spans="1:25">
      <c r="A330" s="216">
        <v>45170</v>
      </c>
      <c r="B330" t="s">
        <v>42</v>
      </c>
      <c r="C330">
        <v>26</v>
      </c>
      <c r="D330" t="s">
        <v>438</v>
      </c>
      <c r="E330" s="217">
        <v>45170</v>
      </c>
      <c r="F330">
        <v>159200.44399999999</v>
      </c>
      <c r="G330" t="s">
        <v>254</v>
      </c>
      <c r="L330" s="222" t="s">
        <v>433</v>
      </c>
      <c r="M330" s="223">
        <v>7028.1844300000002</v>
      </c>
      <c r="N330" s="223">
        <v>7033.1844300000002</v>
      </c>
      <c r="O330" s="223">
        <v>7033.1844300000002</v>
      </c>
      <c r="P330" s="223">
        <v>6327.8829999999998</v>
      </c>
      <c r="Q330" s="223">
        <v>6674.884</v>
      </c>
      <c r="R330" s="223">
        <v>7978.4359999999997</v>
      </c>
      <c r="S330" s="223">
        <v>7716.91806</v>
      </c>
      <c r="T330" s="223">
        <v>6802.3389999999999</v>
      </c>
      <c r="U330" s="223">
        <v>7092.7049999999999</v>
      </c>
      <c r="V330" s="223">
        <v>6943.1594299999997</v>
      </c>
      <c r="W330" s="223">
        <v>6973.1854300000005</v>
      </c>
      <c r="X330" s="223">
        <v>6998.1844300000002</v>
      </c>
      <c r="Y330" s="223">
        <v>84602.247640000001</v>
      </c>
    </row>
    <row r="331" spans="1:25">
      <c r="A331" s="216">
        <v>45170</v>
      </c>
      <c r="B331" t="s">
        <v>42</v>
      </c>
      <c r="C331">
        <v>26</v>
      </c>
      <c r="D331" t="s">
        <v>438</v>
      </c>
      <c r="E331" s="217">
        <v>45170</v>
      </c>
      <c r="F331">
        <v>155441.274</v>
      </c>
      <c r="G331" t="s">
        <v>255</v>
      </c>
      <c r="L331" s="222" t="s">
        <v>445</v>
      </c>
      <c r="M331" s="223">
        <v>4292.76435111111</v>
      </c>
      <c r="N331" s="223">
        <v>4302.76835111111</v>
      </c>
      <c r="O331" s="223">
        <v>4085.53635111111</v>
      </c>
      <c r="P331" s="223">
        <v>3255.6666666666702</v>
      </c>
      <c r="Q331" s="223">
        <v>3670.1666666666702</v>
      </c>
      <c r="R331" s="223">
        <v>3400.6666666666702</v>
      </c>
      <c r="S331" s="223">
        <v>4130.74444444444</v>
      </c>
      <c r="T331" s="223">
        <v>3678.2194444444399</v>
      </c>
      <c r="U331" s="223">
        <v>4331.8944444444396</v>
      </c>
      <c r="V331" s="223">
        <v>4276.8622611111095</v>
      </c>
      <c r="W331" s="223">
        <v>4225.76435111111</v>
      </c>
      <c r="X331" s="223">
        <v>4297.7653511111102</v>
      </c>
      <c r="Y331" s="223">
        <v>47948.819349999998</v>
      </c>
    </row>
    <row r="332" spans="1:25">
      <c r="A332" s="216">
        <v>45170</v>
      </c>
      <c r="B332" t="s">
        <v>42</v>
      </c>
      <c r="C332">
        <v>26</v>
      </c>
      <c r="D332" t="s">
        <v>438</v>
      </c>
      <c r="E332" s="217">
        <v>45170</v>
      </c>
      <c r="F332">
        <v>148181.30499999999</v>
      </c>
      <c r="G332" t="s">
        <v>256</v>
      </c>
      <c r="L332" s="222" t="s">
        <v>453</v>
      </c>
      <c r="M332" s="223">
        <v>0</v>
      </c>
      <c r="N332" s="223">
        <v>0</v>
      </c>
      <c r="O332" s="223">
        <v>0</v>
      </c>
      <c r="P332" s="223">
        <v>0</v>
      </c>
      <c r="Q332" s="223">
        <v>0</v>
      </c>
      <c r="R332" s="223">
        <v>0</v>
      </c>
      <c r="S332" s="223">
        <v>0</v>
      </c>
      <c r="T332" s="223">
        <v>0</v>
      </c>
      <c r="U332" s="223">
        <v>0</v>
      </c>
      <c r="V332" s="223">
        <v>0</v>
      </c>
      <c r="W332" s="223">
        <v>0</v>
      </c>
      <c r="X332" s="223">
        <v>0</v>
      </c>
      <c r="Y332" s="223">
        <v>0</v>
      </c>
    </row>
    <row r="333" spans="1:25">
      <c r="A333" s="216">
        <v>45170</v>
      </c>
      <c r="B333" t="s">
        <v>42</v>
      </c>
      <c r="C333">
        <v>26</v>
      </c>
      <c r="D333" t="s">
        <v>438</v>
      </c>
      <c r="E333" s="217">
        <v>45170</v>
      </c>
      <c r="F333">
        <v>153158.92624486901</v>
      </c>
      <c r="G333" t="s">
        <v>257</v>
      </c>
      <c r="L333" s="222" t="s">
        <v>454</v>
      </c>
      <c r="M333" s="223">
        <v>4885</v>
      </c>
      <c r="N333" s="223">
        <v>4885</v>
      </c>
      <c r="O333" s="223">
        <v>4885</v>
      </c>
      <c r="P333" s="223">
        <v>4659</v>
      </c>
      <c r="Q333" s="223">
        <v>4073</v>
      </c>
      <c r="R333" s="223">
        <v>4935</v>
      </c>
      <c r="S333" s="223">
        <v>4590</v>
      </c>
      <c r="T333" s="223">
        <v>4998</v>
      </c>
      <c r="U333" s="223">
        <v>4953</v>
      </c>
      <c r="V333" s="223">
        <v>4885</v>
      </c>
      <c r="W333" s="223">
        <v>4885</v>
      </c>
      <c r="X333" s="223">
        <v>4885</v>
      </c>
      <c r="Y333" s="223">
        <v>57518</v>
      </c>
    </row>
    <row r="334" spans="1:25">
      <c r="A334" s="216">
        <v>45170</v>
      </c>
      <c r="B334" t="s">
        <v>42</v>
      </c>
      <c r="C334">
        <v>26</v>
      </c>
      <c r="D334" t="s">
        <v>438</v>
      </c>
      <c r="E334" s="217">
        <v>45170</v>
      </c>
      <c r="F334">
        <v>152927.78524486901</v>
      </c>
      <c r="G334" t="s">
        <v>258</v>
      </c>
      <c r="L334" s="222" t="s">
        <v>455</v>
      </c>
      <c r="M334" s="223">
        <v>0</v>
      </c>
      <c r="N334" s="223">
        <v>0</v>
      </c>
      <c r="O334" s="223">
        <v>0</v>
      </c>
      <c r="P334" s="223">
        <v>0</v>
      </c>
      <c r="Q334" s="223">
        <v>0</v>
      </c>
      <c r="R334" s="223">
        <v>0</v>
      </c>
      <c r="S334" s="223">
        <v>0</v>
      </c>
      <c r="T334" s="223">
        <v>0</v>
      </c>
      <c r="U334" s="223">
        <v>0</v>
      </c>
      <c r="V334" s="223">
        <v>0</v>
      </c>
      <c r="W334" s="223">
        <v>0</v>
      </c>
      <c r="X334" s="223">
        <v>0</v>
      </c>
      <c r="Y334" s="223">
        <v>0</v>
      </c>
    </row>
    <row r="335" spans="1:25">
      <c r="A335" s="216">
        <v>45170</v>
      </c>
      <c r="B335" t="s">
        <v>42</v>
      </c>
      <c r="C335">
        <v>26</v>
      </c>
      <c r="D335" t="s">
        <v>438</v>
      </c>
      <c r="E335" s="217">
        <v>45170</v>
      </c>
      <c r="F335">
        <v>169587.401994869</v>
      </c>
      <c r="G335" t="s">
        <v>259</v>
      </c>
      <c r="L335" s="222" t="s">
        <v>456</v>
      </c>
      <c r="M335" s="223">
        <v>0</v>
      </c>
      <c r="N335" s="223">
        <v>0</v>
      </c>
      <c r="O335" s="223">
        <v>0</v>
      </c>
      <c r="P335" s="223">
        <v>0</v>
      </c>
      <c r="Q335" s="223">
        <v>0</v>
      </c>
      <c r="R335" s="223">
        <v>0</v>
      </c>
      <c r="S335" s="223">
        <v>0</v>
      </c>
      <c r="T335" s="223">
        <v>0</v>
      </c>
      <c r="U335" s="223">
        <v>0</v>
      </c>
      <c r="V335" s="223">
        <v>0</v>
      </c>
      <c r="W335" s="223">
        <v>0</v>
      </c>
      <c r="X335" s="223">
        <v>0</v>
      </c>
      <c r="Y335" s="223">
        <v>0</v>
      </c>
    </row>
    <row r="336" spans="1:25">
      <c r="A336" s="216">
        <v>45170</v>
      </c>
      <c r="B336" t="s">
        <v>42</v>
      </c>
      <c r="C336">
        <v>26</v>
      </c>
      <c r="D336" t="s">
        <v>438</v>
      </c>
      <c r="E336" s="217">
        <v>45170</v>
      </c>
      <c r="F336">
        <v>153119.509994869</v>
      </c>
      <c r="G336" t="s">
        <v>260</v>
      </c>
      <c r="L336" s="222" t="s">
        <v>457</v>
      </c>
      <c r="M336" s="223">
        <v>0</v>
      </c>
      <c r="N336" s="223">
        <v>0</v>
      </c>
      <c r="O336" s="223">
        <v>500</v>
      </c>
      <c r="P336" s="223">
        <v>0</v>
      </c>
      <c r="Q336" s="223">
        <v>0</v>
      </c>
      <c r="R336" s="223">
        <v>0</v>
      </c>
      <c r="S336" s="223">
        <v>0</v>
      </c>
      <c r="T336" s="223">
        <v>0</v>
      </c>
      <c r="U336" s="223">
        <v>0</v>
      </c>
      <c r="V336" s="223">
        <v>0</v>
      </c>
      <c r="W336" s="223">
        <v>0</v>
      </c>
      <c r="X336" s="223">
        <v>0</v>
      </c>
      <c r="Y336" s="223">
        <v>500</v>
      </c>
    </row>
    <row r="337" spans="1:25">
      <c r="A337" s="216">
        <v>45170</v>
      </c>
      <c r="B337" t="s">
        <v>42</v>
      </c>
      <c r="C337">
        <v>26</v>
      </c>
      <c r="D337" t="s">
        <v>438</v>
      </c>
      <c r="E337" s="217">
        <v>45170</v>
      </c>
      <c r="F337">
        <v>155306.73099486899</v>
      </c>
      <c r="G337" t="s">
        <v>261</v>
      </c>
      <c r="L337" s="222" t="s">
        <v>458</v>
      </c>
      <c r="M337" s="223">
        <v>1152.2713366666701</v>
      </c>
      <c r="N337" s="223">
        <v>1162.2713366666701</v>
      </c>
      <c r="O337" s="223">
        <v>12007.1653366667</v>
      </c>
      <c r="P337" s="223">
        <v>495.32299999999998</v>
      </c>
      <c r="Q337" s="223">
        <v>449.80203</v>
      </c>
      <c r="R337" s="223">
        <v>2039.6844799999999</v>
      </c>
      <c r="S337" s="223">
        <v>2207.808</v>
      </c>
      <c r="T337" s="223">
        <v>815.39400000000001</v>
      </c>
      <c r="U337" s="223">
        <v>972.73558000000003</v>
      </c>
      <c r="V337" s="223">
        <v>1140.98624666667</v>
      </c>
      <c r="W337" s="223">
        <v>1141.2713366666701</v>
      </c>
      <c r="X337" s="223">
        <v>1142.2713366666701</v>
      </c>
      <c r="Y337" s="223">
        <v>24726.98402</v>
      </c>
    </row>
    <row r="338" spans="1:25">
      <c r="A338" s="216">
        <v>45170</v>
      </c>
      <c r="B338" t="s">
        <v>42</v>
      </c>
      <c r="C338">
        <v>26</v>
      </c>
      <c r="D338" t="s">
        <v>438</v>
      </c>
      <c r="E338" s="217">
        <v>45170</v>
      </c>
      <c r="F338">
        <v>165893.93166153599</v>
      </c>
      <c r="G338" t="s">
        <v>262</v>
      </c>
      <c r="L338" s="222" t="s">
        <v>459</v>
      </c>
      <c r="M338" s="223">
        <v>9285.6659999999993</v>
      </c>
      <c r="N338" s="223">
        <v>9285.6659999999993</v>
      </c>
      <c r="O338" s="223">
        <v>9284.634</v>
      </c>
      <c r="P338" s="223">
        <v>8538.9089999999997</v>
      </c>
      <c r="Q338" s="223">
        <v>8390.8590000000004</v>
      </c>
      <c r="R338" s="223">
        <v>9189.8739999999998</v>
      </c>
      <c r="S338" s="223">
        <v>8682.1839999999993</v>
      </c>
      <c r="T338" s="223">
        <v>9183.2170000000006</v>
      </c>
      <c r="U338" s="223">
        <v>9686.9633699999995</v>
      </c>
      <c r="V338" s="223">
        <v>9199.1170000000002</v>
      </c>
      <c r="W338" s="223">
        <v>9165.6659999999993</v>
      </c>
      <c r="X338" s="223">
        <v>9285.6659999999993</v>
      </c>
      <c r="Y338" s="223">
        <v>109178.42137</v>
      </c>
    </row>
    <row r="339" spans="1:25">
      <c r="A339" s="216">
        <v>45170</v>
      </c>
      <c r="B339" t="s">
        <v>42</v>
      </c>
      <c r="C339">
        <v>26</v>
      </c>
      <c r="D339" t="s">
        <v>438</v>
      </c>
      <c r="E339" s="217">
        <v>45170</v>
      </c>
      <c r="F339">
        <v>1871003.49913588</v>
      </c>
      <c r="G339" t="s">
        <v>434</v>
      </c>
      <c r="L339" s="222" t="s">
        <v>460</v>
      </c>
      <c r="M339" s="223">
        <v>5196.7129999999997</v>
      </c>
      <c r="N339" s="223">
        <v>5196.7129999999997</v>
      </c>
      <c r="O339" s="223">
        <v>5106.7089999999998</v>
      </c>
      <c r="P339" s="223">
        <v>4723.3029999999999</v>
      </c>
      <c r="Q339" s="223">
        <v>4746.3159999999998</v>
      </c>
      <c r="R339" s="223">
        <v>4731.3739999999998</v>
      </c>
      <c r="S339" s="223">
        <v>4880.4229999999998</v>
      </c>
      <c r="T339" s="223">
        <v>4986.1400000000003</v>
      </c>
      <c r="U339" s="223">
        <v>4899.8789999999999</v>
      </c>
      <c r="V339" s="223">
        <v>5202.62</v>
      </c>
      <c r="W339" s="223">
        <v>5196.7139999999999</v>
      </c>
      <c r="X339" s="223">
        <v>5196.7139999999999</v>
      </c>
      <c r="Y339" s="223">
        <v>60063.618000000002</v>
      </c>
    </row>
    <row r="340" spans="1:25">
      <c r="A340" s="216">
        <v>45170</v>
      </c>
      <c r="B340" t="s">
        <v>42</v>
      </c>
      <c r="C340">
        <v>27</v>
      </c>
      <c r="D340" t="s">
        <v>446</v>
      </c>
      <c r="E340" s="217">
        <v>45170</v>
      </c>
      <c r="F340">
        <v>-13493.501</v>
      </c>
      <c r="G340" t="s">
        <v>251</v>
      </c>
      <c r="L340" s="221" t="s">
        <v>50</v>
      </c>
      <c r="M340" s="223">
        <v>98993</v>
      </c>
      <c r="N340" s="223">
        <v>98994</v>
      </c>
      <c r="O340" s="223">
        <v>98994</v>
      </c>
      <c r="P340" s="223">
        <v>88248</v>
      </c>
      <c r="Q340" s="223">
        <v>93590</v>
      </c>
      <c r="R340" s="223">
        <v>110611</v>
      </c>
      <c r="S340" s="223">
        <v>103810</v>
      </c>
      <c r="T340" s="223">
        <v>95390</v>
      </c>
      <c r="U340" s="223">
        <v>93290</v>
      </c>
      <c r="V340" s="223">
        <v>98972</v>
      </c>
      <c r="W340" s="223">
        <v>98968</v>
      </c>
      <c r="X340" s="223">
        <v>98964</v>
      </c>
      <c r="Y340" s="223">
        <v>1178824</v>
      </c>
    </row>
    <row r="341" spans="1:25">
      <c r="A341" s="216">
        <v>45170</v>
      </c>
      <c r="B341" t="s">
        <v>42</v>
      </c>
      <c r="C341">
        <v>27</v>
      </c>
      <c r="D341" t="s">
        <v>446</v>
      </c>
      <c r="E341" s="217">
        <v>45170</v>
      </c>
      <c r="F341">
        <v>-15979.819</v>
      </c>
      <c r="G341" t="s">
        <v>252</v>
      </c>
      <c r="L341" s="222" t="s">
        <v>435</v>
      </c>
      <c r="M341" s="223">
        <v>145</v>
      </c>
      <c r="N341" s="223">
        <v>146</v>
      </c>
      <c r="O341" s="223">
        <v>146</v>
      </c>
      <c r="P341" s="223">
        <v>146</v>
      </c>
      <c r="Q341" s="223">
        <v>146</v>
      </c>
      <c r="R341" s="223">
        <v>146</v>
      </c>
      <c r="S341" s="223">
        <v>146</v>
      </c>
      <c r="T341" s="223">
        <v>146</v>
      </c>
      <c r="U341" s="223">
        <v>146</v>
      </c>
      <c r="V341" s="223">
        <v>145</v>
      </c>
      <c r="W341" s="223">
        <v>145</v>
      </c>
      <c r="X341" s="223">
        <v>145</v>
      </c>
      <c r="Y341" s="223">
        <v>1748</v>
      </c>
    </row>
    <row r="342" spans="1:25">
      <c r="A342" s="216">
        <v>45170</v>
      </c>
      <c r="B342" t="s">
        <v>42</v>
      </c>
      <c r="C342">
        <v>27</v>
      </c>
      <c r="D342" t="s">
        <v>446</v>
      </c>
      <c r="E342" s="217">
        <v>45170</v>
      </c>
      <c r="F342">
        <v>-14515.17</v>
      </c>
      <c r="G342" t="s">
        <v>253</v>
      </c>
      <c r="L342" s="222" t="s">
        <v>436</v>
      </c>
      <c r="M342" s="223">
        <v>0</v>
      </c>
      <c r="N342" s="223">
        <v>0</v>
      </c>
      <c r="O342" s="223">
        <v>0</v>
      </c>
      <c r="P342" s="223">
        <v>0</v>
      </c>
      <c r="Q342" s="223">
        <v>0</v>
      </c>
      <c r="R342" s="223">
        <v>0</v>
      </c>
      <c r="S342" s="223">
        <v>0</v>
      </c>
      <c r="T342" s="223">
        <v>0</v>
      </c>
      <c r="U342" s="223">
        <v>0</v>
      </c>
      <c r="V342" s="223">
        <v>0</v>
      </c>
      <c r="W342" s="223">
        <v>0</v>
      </c>
      <c r="X342" s="223">
        <v>0</v>
      </c>
      <c r="Y342" s="223">
        <v>0</v>
      </c>
    </row>
    <row r="343" spans="1:25">
      <c r="A343" s="216">
        <v>45170</v>
      </c>
      <c r="B343" t="s">
        <v>42</v>
      </c>
      <c r="C343">
        <v>27</v>
      </c>
      <c r="D343" t="s">
        <v>446</v>
      </c>
      <c r="E343" s="217">
        <v>45170</v>
      </c>
      <c r="F343">
        <v>-13105.444</v>
      </c>
      <c r="G343" t="s">
        <v>254</v>
      </c>
      <c r="L343" s="222" t="s">
        <v>437</v>
      </c>
      <c r="M343" s="223">
        <v>0</v>
      </c>
      <c r="N343" s="223">
        <v>0</v>
      </c>
      <c r="O343" s="223">
        <v>0</v>
      </c>
      <c r="P343" s="223">
        <v>0</v>
      </c>
      <c r="Q343" s="223">
        <v>0</v>
      </c>
      <c r="R343" s="223">
        <v>0</v>
      </c>
      <c r="S343" s="223">
        <v>0</v>
      </c>
      <c r="T343" s="223">
        <v>0</v>
      </c>
      <c r="U343" s="223">
        <v>0</v>
      </c>
      <c r="V343" s="223">
        <v>0</v>
      </c>
      <c r="W343" s="223">
        <v>0</v>
      </c>
      <c r="X343" s="223">
        <v>0</v>
      </c>
      <c r="Y343" s="223">
        <v>0</v>
      </c>
    </row>
    <row r="344" spans="1:25">
      <c r="A344" s="216">
        <v>45170</v>
      </c>
      <c r="B344" t="s">
        <v>42</v>
      </c>
      <c r="C344">
        <v>27</v>
      </c>
      <c r="D344" t="s">
        <v>446</v>
      </c>
      <c r="E344" s="217">
        <v>45170</v>
      </c>
      <c r="F344">
        <v>-14316.773999999999</v>
      </c>
      <c r="G344" t="s">
        <v>255</v>
      </c>
      <c r="L344" s="222" t="s">
        <v>438</v>
      </c>
      <c r="M344" s="223">
        <v>24767</v>
      </c>
      <c r="N344" s="223">
        <v>24768</v>
      </c>
      <c r="O344" s="223">
        <v>24768</v>
      </c>
      <c r="P344" s="223">
        <v>22068</v>
      </c>
      <c r="Q344" s="223">
        <v>23408</v>
      </c>
      <c r="R344" s="223">
        <v>27661</v>
      </c>
      <c r="S344" s="223">
        <v>25939</v>
      </c>
      <c r="T344" s="223">
        <v>23816</v>
      </c>
      <c r="U344" s="223">
        <v>23285</v>
      </c>
      <c r="V344" s="223">
        <v>24743</v>
      </c>
      <c r="W344" s="223">
        <v>24742</v>
      </c>
      <c r="X344" s="223">
        <v>24741</v>
      </c>
      <c r="Y344" s="223">
        <v>294706</v>
      </c>
    </row>
    <row r="345" spans="1:25">
      <c r="A345" s="216">
        <v>45170</v>
      </c>
      <c r="B345" t="s">
        <v>42</v>
      </c>
      <c r="C345">
        <v>27</v>
      </c>
      <c r="D345" t="s">
        <v>446</v>
      </c>
      <c r="E345" s="217">
        <v>45170</v>
      </c>
      <c r="F345">
        <v>-10735.305</v>
      </c>
      <c r="G345" t="s">
        <v>256</v>
      </c>
      <c r="L345" s="222" t="s">
        <v>439</v>
      </c>
      <c r="M345" s="223">
        <v>1772</v>
      </c>
      <c r="N345" s="223">
        <v>1772</v>
      </c>
      <c r="O345" s="223">
        <v>1772</v>
      </c>
      <c r="P345" s="223">
        <v>1668</v>
      </c>
      <c r="Q345" s="223">
        <v>1668</v>
      </c>
      <c r="R345" s="223">
        <v>1977</v>
      </c>
      <c r="S345" s="223">
        <v>1771</v>
      </c>
      <c r="T345" s="223">
        <v>1771</v>
      </c>
      <c r="U345" s="223">
        <v>1771</v>
      </c>
      <c r="V345" s="223">
        <v>1771</v>
      </c>
      <c r="W345" s="223">
        <v>1771</v>
      </c>
      <c r="X345" s="223">
        <v>1772</v>
      </c>
      <c r="Y345" s="223">
        <v>21256</v>
      </c>
    </row>
    <row r="346" spans="1:25">
      <c r="A346" s="216">
        <v>45170</v>
      </c>
      <c r="B346" t="s">
        <v>42</v>
      </c>
      <c r="C346">
        <v>27</v>
      </c>
      <c r="D346" t="s">
        <v>446</v>
      </c>
      <c r="E346" s="217">
        <v>45170</v>
      </c>
      <c r="F346">
        <v>-11425.2040226468</v>
      </c>
      <c r="G346" t="s">
        <v>257</v>
      </c>
      <c r="L346" s="222" t="s">
        <v>440</v>
      </c>
      <c r="M346" s="223">
        <v>0</v>
      </c>
      <c r="N346" s="223">
        <v>0</v>
      </c>
      <c r="O346" s="223">
        <v>0</v>
      </c>
      <c r="P346" s="223">
        <v>0</v>
      </c>
      <c r="Q346" s="223">
        <v>0</v>
      </c>
      <c r="R346" s="223">
        <v>0</v>
      </c>
      <c r="S346" s="223">
        <v>0</v>
      </c>
      <c r="T346" s="223">
        <v>0</v>
      </c>
      <c r="U346" s="223">
        <v>0</v>
      </c>
      <c r="V346" s="223">
        <v>0</v>
      </c>
      <c r="W346" s="223">
        <v>0</v>
      </c>
      <c r="X346" s="223">
        <v>0</v>
      </c>
      <c r="Y346" s="223">
        <v>0</v>
      </c>
    </row>
    <row r="347" spans="1:25">
      <c r="A347" s="216">
        <v>45170</v>
      </c>
      <c r="B347" t="s">
        <v>42</v>
      </c>
      <c r="C347">
        <v>27</v>
      </c>
      <c r="D347" t="s">
        <v>446</v>
      </c>
      <c r="E347" s="217">
        <v>45170</v>
      </c>
      <c r="F347">
        <v>-11444.0630226467</v>
      </c>
      <c r="G347" t="s">
        <v>258</v>
      </c>
      <c r="L347" s="222" t="s">
        <v>441</v>
      </c>
      <c r="M347" s="223">
        <v>0</v>
      </c>
      <c r="N347" s="223">
        <v>0</v>
      </c>
      <c r="O347" s="223">
        <v>0</v>
      </c>
      <c r="P347" s="223">
        <v>0</v>
      </c>
      <c r="Q347" s="223">
        <v>0</v>
      </c>
      <c r="R347" s="223">
        <v>0</v>
      </c>
      <c r="S347" s="223">
        <v>0</v>
      </c>
      <c r="T347" s="223">
        <v>0</v>
      </c>
      <c r="U347" s="223">
        <v>0</v>
      </c>
      <c r="V347" s="223">
        <v>0</v>
      </c>
      <c r="W347" s="223">
        <v>0</v>
      </c>
      <c r="X347" s="223">
        <v>0</v>
      </c>
      <c r="Y347" s="223">
        <v>0</v>
      </c>
    </row>
    <row r="348" spans="1:25">
      <c r="A348" s="216">
        <v>45170</v>
      </c>
      <c r="B348" t="s">
        <v>42</v>
      </c>
      <c r="C348">
        <v>27</v>
      </c>
      <c r="D348" t="s">
        <v>446</v>
      </c>
      <c r="E348" s="217">
        <v>45170</v>
      </c>
      <c r="F348">
        <v>-10606.679772646699</v>
      </c>
      <c r="G348" t="s">
        <v>259</v>
      </c>
      <c r="L348" s="222" t="s">
        <v>442</v>
      </c>
      <c r="M348" s="223">
        <v>24742</v>
      </c>
      <c r="N348" s="223">
        <v>24742</v>
      </c>
      <c r="O348" s="223">
        <v>24742</v>
      </c>
      <c r="P348" s="223">
        <v>22060</v>
      </c>
      <c r="Q348" s="223">
        <v>23394</v>
      </c>
      <c r="R348" s="223">
        <v>27650</v>
      </c>
      <c r="S348" s="223">
        <v>25957</v>
      </c>
      <c r="T348" s="223">
        <v>23858</v>
      </c>
      <c r="U348" s="223">
        <v>23335</v>
      </c>
      <c r="V348" s="223">
        <v>24743</v>
      </c>
      <c r="W348" s="223">
        <v>24742</v>
      </c>
      <c r="X348" s="223">
        <v>24741</v>
      </c>
      <c r="Y348" s="223">
        <v>294706</v>
      </c>
    </row>
    <row r="349" spans="1:25">
      <c r="A349" s="216">
        <v>45170</v>
      </c>
      <c r="B349" t="s">
        <v>42</v>
      </c>
      <c r="C349">
        <v>27</v>
      </c>
      <c r="D349" t="s">
        <v>446</v>
      </c>
      <c r="E349" s="217">
        <v>45170</v>
      </c>
      <c r="F349">
        <v>-10985.7877726468</v>
      </c>
      <c r="G349" t="s">
        <v>260</v>
      </c>
      <c r="L349" s="222" t="s">
        <v>443</v>
      </c>
      <c r="M349" s="223">
        <v>0</v>
      </c>
      <c r="N349" s="223">
        <v>0</v>
      </c>
      <c r="O349" s="223">
        <v>0</v>
      </c>
      <c r="P349" s="223">
        <v>0</v>
      </c>
      <c r="Q349" s="223">
        <v>0</v>
      </c>
      <c r="R349" s="223">
        <v>0</v>
      </c>
      <c r="S349" s="223">
        <v>0</v>
      </c>
      <c r="T349" s="223">
        <v>0</v>
      </c>
      <c r="U349" s="223">
        <v>0</v>
      </c>
      <c r="V349" s="223">
        <v>0</v>
      </c>
      <c r="W349" s="223">
        <v>0</v>
      </c>
      <c r="X349" s="223">
        <v>0</v>
      </c>
      <c r="Y349" s="223">
        <v>0</v>
      </c>
    </row>
    <row r="350" spans="1:25">
      <c r="A350" s="216">
        <v>45170</v>
      </c>
      <c r="B350" t="s">
        <v>42</v>
      </c>
      <c r="C350">
        <v>27</v>
      </c>
      <c r="D350" t="s">
        <v>446</v>
      </c>
      <c r="E350" s="217">
        <v>45170</v>
      </c>
      <c r="F350">
        <v>-10073.008772646701</v>
      </c>
      <c r="G350" t="s">
        <v>261</v>
      </c>
      <c r="L350" s="222" t="s">
        <v>444</v>
      </c>
      <c r="M350" s="223">
        <v>78</v>
      </c>
      <c r="N350" s="223">
        <v>78</v>
      </c>
      <c r="O350" s="223">
        <v>78</v>
      </c>
      <c r="P350" s="223">
        <v>77</v>
      </c>
      <c r="Q350" s="223">
        <v>97</v>
      </c>
      <c r="R350" s="223">
        <v>83</v>
      </c>
      <c r="S350" s="223">
        <v>53</v>
      </c>
      <c r="T350" s="223">
        <v>78</v>
      </c>
      <c r="U350" s="223">
        <v>71</v>
      </c>
      <c r="V350" s="223">
        <v>79</v>
      </c>
      <c r="W350" s="223">
        <v>78</v>
      </c>
      <c r="X350" s="223">
        <v>78</v>
      </c>
      <c r="Y350" s="223">
        <v>928</v>
      </c>
    </row>
    <row r="351" spans="1:25">
      <c r="A351" s="216">
        <v>45170</v>
      </c>
      <c r="B351" t="s">
        <v>42</v>
      </c>
      <c r="C351">
        <v>27</v>
      </c>
      <c r="D351" t="s">
        <v>446</v>
      </c>
      <c r="E351" s="217">
        <v>45170</v>
      </c>
      <c r="F351">
        <v>-8999.9094393134601</v>
      </c>
      <c r="G351" t="s">
        <v>262</v>
      </c>
      <c r="L351" s="222" t="s">
        <v>446</v>
      </c>
      <c r="M351" s="223">
        <v>-25</v>
      </c>
      <c r="N351" s="223">
        <v>-26</v>
      </c>
      <c r="O351" s="223">
        <v>-26</v>
      </c>
      <c r="P351" s="223">
        <v>-8</v>
      </c>
      <c r="Q351" s="223">
        <v>-14</v>
      </c>
      <c r="R351" s="223">
        <v>-11</v>
      </c>
      <c r="S351" s="223">
        <v>18</v>
      </c>
      <c r="T351" s="223">
        <v>42</v>
      </c>
      <c r="U351" s="223">
        <v>50</v>
      </c>
      <c r="V351" s="223">
        <v>0</v>
      </c>
      <c r="W351" s="223">
        <v>0</v>
      </c>
      <c r="X351" s="223">
        <v>0</v>
      </c>
      <c r="Y351" s="223">
        <v>0</v>
      </c>
    </row>
    <row r="352" spans="1:25">
      <c r="A352" s="216">
        <v>45170</v>
      </c>
      <c r="B352" t="s">
        <v>42</v>
      </c>
      <c r="C352">
        <v>27</v>
      </c>
      <c r="D352" t="s">
        <v>446</v>
      </c>
      <c r="E352" s="217">
        <v>45170</v>
      </c>
      <c r="F352">
        <v>-145680.66580254701</v>
      </c>
      <c r="G352" t="s">
        <v>434</v>
      </c>
      <c r="L352" s="222" t="s">
        <v>447</v>
      </c>
      <c r="M352" s="223">
        <v>0</v>
      </c>
      <c r="N352" s="223">
        <v>0</v>
      </c>
      <c r="O352" s="223">
        <v>0</v>
      </c>
      <c r="P352" s="223">
        <v>0</v>
      </c>
      <c r="Q352" s="223">
        <v>0</v>
      </c>
      <c r="R352" s="223">
        <v>0</v>
      </c>
      <c r="S352" s="223">
        <v>0</v>
      </c>
      <c r="T352" s="223">
        <v>0</v>
      </c>
      <c r="U352" s="223">
        <v>0</v>
      </c>
      <c r="V352" s="223">
        <v>0</v>
      </c>
      <c r="W352" s="223">
        <v>0</v>
      </c>
      <c r="X352" s="223">
        <v>0</v>
      </c>
      <c r="Y352" s="223">
        <v>0</v>
      </c>
    </row>
    <row r="353" spans="1:25">
      <c r="A353" s="216">
        <v>45170</v>
      </c>
      <c r="B353" t="s">
        <v>43</v>
      </c>
      <c r="C353">
        <v>5</v>
      </c>
      <c r="D353" t="s">
        <v>458</v>
      </c>
      <c r="E353" s="217">
        <v>45170</v>
      </c>
      <c r="F353">
        <v>344</v>
      </c>
      <c r="G353" t="s">
        <v>251</v>
      </c>
      <c r="L353" s="222" t="s">
        <v>448</v>
      </c>
      <c r="M353" s="223">
        <v>260</v>
      </c>
      <c r="N353" s="223">
        <v>260</v>
      </c>
      <c r="O353" s="223">
        <v>260</v>
      </c>
      <c r="P353" s="223">
        <v>1002</v>
      </c>
      <c r="Q353" s="223">
        <v>221</v>
      </c>
      <c r="R353" s="223">
        <v>-456</v>
      </c>
      <c r="S353" s="223">
        <v>344</v>
      </c>
      <c r="T353" s="223">
        <v>359</v>
      </c>
      <c r="U353" s="223">
        <v>310</v>
      </c>
      <c r="V353" s="223">
        <v>261</v>
      </c>
      <c r="W353" s="223">
        <v>261</v>
      </c>
      <c r="X353" s="223">
        <v>260</v>
      </c>
      <c r="Y353" s="223">
        <v>3342</v>
      </c>
    </row>
    <row r="354" spans="1:25">
      <c r="A354" s="216">
        <v>45170</v>
      </c>
      <c r="B354" t="s">
        <v>43</v>
      </c>
      <c r="C354">
        <v>5</v>
      </c>
      <c r="D354" t="s">
        <v>458</v>
      </c>
      <c r="E354" s="217">
        <v>45170</v>
      </c>
      <c r="F354">
        <v>-258</v>
      </c>
      <c r="G354" t="s">
        <v>252</v>
      </c>
      <c r="L354" s="222" t="s">
        <v>449</v>
      </c>
      <c r="M354" s="223">
        <v>636</v>
      </c>
      <c r="N354" s="223">
        <v>635</v>
      </c>
      <c r="O354" s="223">
        <v>635</v>
      </c>
      <c r="P354" s="223">
        <v>831</v>
      </c>
      <c r="Q354" s="223">
        <v>885</v>
      </c>
      <c r="R354" s="223">
        <v>847</v>
      </c>
      <c r="S354" s="223">
        <v>860</v>
      </c>
      <c r="T354" s="223">
        <v>954</v>
      </c>
      <c r="U354" s="223">
        <v>966</v>
      </c>
      <c r="V354" s="223">
        <v>636</v>
      </c>
      <c r="W354" s="223">
        <v>636</v>
      </c>
      <c r="X354" s="223">
        <v>636</v>
      </c>
      <c r="Y354" s="223">
        <v>9157</v>
      </c>
    </row>
    <row r="355" spans="1:25">
      <c r="A355" s="216">
        <v>45170</v>
      </c>
      <c r="B355" t="s">
        <v>43</v>
      </c>
      <c r="C355">
        <v>5</v>
      </c>
      <c r="D355" t="s">
        <v>458</v>
      </c>
      <c r="E355" s="217">
        <v>45170</v>
      </c>
      <c r="F355">
        <v>-957</v>
      </c>
      <c r="G355" t="s">
        <v>253</v>
      </c>
      <c r="L355" s="222" t="s">
        <v>450</v>
      </c>
      <c r="M355" s="223">
        <v>0</v>
      </c>
      <c r="N355" s="223">
        <v>0</v>
      </c>
      <c r="O355" s="223">
        <v>0</v>
      </c>
      <c r="P355" s="223">
        <v>0</v>
      </c>
      <c r="Q355" s="223">
        <v>0</v>
      </c>
      <c r="R355" s="223">
        <v>0</v>
      </c>
      <c r="S355" s="223">
        <v>0</v>
      </c>
      <c r="T355" s="223">
        <v>0</v>
      </c>
      <c r="U355" s="223">
        <v>0</v>
      </c>
      <c r="V355" s="223">
        <v>0</v>
      </c>
      <c r="W355" s="223">
        <v>0</v>
      </c>
      <c r="X355" s="223">
        <v>0</v>
      </c>
      <c r="Y355" s="223">
        <v>0</v>
      </c>
    </row>
    <row r="356" spans="1:25">
      <c r="A356" s="216">
        <v>45170</v>
      </c>
      <c r="B356" t="s">
        <v>43</v>
      </c>
      <c r="C356">
        <v>5</v>
      </c>
      <c r="D356" t="s">
        <v>458</v>
      </c>
      <c r="E356" s="217">
        <v>45170</v>
      </c>
      <c r="F356">
        <v>240</v>
      </c>
      <c r="G356" t="s">
        <v>254</v>
      </c>
      <c r="L356" s="222" t="s">
        <v>451</v>
      </c>
      <c r="M356" s="223">
        <v>0</v>
      </c>
      <c r="N356" s="223">
        <v>0</v>
      </c>
      <c r="O356" s="223">
        <v>0</v>
      </c>
      <c r="P356" s="223">
        <v>0</v>
      </c>
      <c r="Q356" s="223">
        <v>0</v>
      </c>
      <c r="R356" s="223">
        <v>0</v>
      </c>
      <c r="S356" s="223">
        <v>0</v>
      </c>
      <c r="T356" s="223">
        <v>0</v>
      </c>
      <c r="U356" s="223">
        <v>0</v>
      </c>
      <c r="V356" s="223">
        <v>0</v>
      </c>
      <c r="W356" s="223">
        <v>0</v>
      </c>
      <c r="X356" s="223">
        <v>0</v>
      </c>
      <c r="Y356" s="223">
        <v>0</v>
      </c>
    </row>
    <row r="357" spans="1:25">
      <c r="A357" s="216">
        <v>45170</v>
      </c>
      <c r="B357" t="s">
        <v>43</v>
      </c>
      <c r="C357">
        <v>5</v>
      </c>
      <c r="D357" t="s">
        <v>458</v>
      </c>
      <c r="E357" s="217">
        <v>45170</v>
      </c>
      <c r="F357">
        <v>-69</v>
      </c>
      <c r="G357" t="s">
        <v>255</v>
      </c>
      <c r="L357" s="222" t="s">
        <v>452</v>
      </c>
      <c r="M357" s="223">
        <v>-30</v>
      </c>
      <c r="N357" s="223">
        <v>-30</v>
      </c>
      <c r="O357" s="223">
        <v>-30</v>
      </c>
      <c r="P357" s="223">
        <v>-74</v>
      </c>
      <c r="Q357" s="223">
        <v>-28</v>
      </c>
      <c r="R357" s="223">
        <v>-93</v>
      </c>
      <c r="S357" s="223">
        <v>-27</v>
      </c>
      <c r="T357" s="223">
        <v>-8</v>
      </c>
      <c r="U357" s="223">
        <v>-36</v>
      </c>
      <c r="V357" s="223">
        <v>-29</v>
      </c>
      <c r="W357" s="223">
        <v>-30</v>
      </c>
      <c r="X357" s="223">
        <v>-30</v>
      </c>
      <c r="Y357" s="223">
        <v>-445</v>
      </c>
    </row>
    <row r="358" spans="1:25">
      <c r="A358" s="216">
        <v>45170</v>
      </c>
      <c r="B358" t="s">
        <v>43</v>
      </c>
      <c r="C358">
        <v>5</v>
      </c>
      <c r="D358" t="s">
        <v>458</v>
      </c>
      <c r="E358" s="217">
        <v>45170</v>
      </c>
      <c r="F358">
        <v>-829</v>
      </c>
      <c r="G358" t="s">
        <v>256</v>
      </c>
      <c r="L358" s="222" t="s">
        <v>433</v>
      </c>
      <c r="M358" s="223">
        <v>17717</v>
      </c>
      <c r="N358" s="223">
        <v>17717</v>
      </c>
      <c r="O358" s="223">
        <v>17717</v>
      </c>
      <c r="P358" s="223">
        <v>15786</v>
      </c>
      <c r="Q358" s="223">
        <v>16898</v>
      </c>
      <c r="R358" s="223">
        <v>20907</v>
      </c>
      <c r="S358" s="223">
        <v>18945</v>
      </c>
      <c r="T358" s="223">
        <v>16789</v>
      </c>
      <c r="U358" s="223">
        <v>16807</v>
      </c>
      <c r="V358" s="223">
        <v>17716</v>
      </c>
      <c r="W358" s="223">
        <v>17716</v>
      </c>
      <c r="X358" s="223">
        <v>17716</v>
      </c>
      <c r="Y358" s="223">
        <v>212431</v>
      </c>
    </row>
    <row r="359" spans="1:25">
      <c r="A359" s="216">
        <v>45170</v>
      </c>
      <c r="B359" t="s">
        <v>43</v>
      </c>
      <c r="C359">
        <v>5</v>
      </c>
      <c r="D359" t="s">
        <v>458</v>
      </c>
      <c r="E359" s="217">
        <v>45170</v>
      </c>
      <c r="F359">
        <v>60</v>
      </c>
      <c r="G359" t="s">
        <v>257</v>
      </c>
      <c r="L359" s="222" t="s">
        <v>445</v>
      </c>
      <c r="M359" s="223">
        <v>4398</v>
      </c>
      <c r="N359" s="223">
        <v>4400</v>
      </c>
      <c r="O359" s="223">
        <v>4399</v>
      </c>
      <c r="P359" s="223">
        <v>3670</v>
      </c>
      <c r="Q359" s="223">
        <v>3794</v>
      </c>
      <c r="R359" s="223">
        <v>3820</v>
      </c>
      <c r="S359" s="223">
        <v>4215</v>
      </c>
      <c r="T359" s="223">
        <v>4102</v>
      </c>
      <c r="U359" s="223">
        <v>3578</v>
      </c>
      <c r="V359" s="223">
        <v>4374</v>
      </c>
      <c r="W359" s="223">
        <v>4375</v>
      </c>
      <c r="X359" s="223">
        <v>4373</v>
      </c>
      <c r="Y359" s="223">
        <v>49498</v>
      </c>
    </row>
    <row r="360" spans="1:25">
      <c r="A360" s="216">
        <v>45170</v>
      </c>
      <c r="B360" t="s">
        <v>43</v>
      </c>
      <c r="C360">
        <v>5</v>
      </c>
      <c r="D360" t="s">
        <v>458</v>
      </c>
      <c r="E360" s="217">
        <v>45170</v>
      </c>
      <c r="F360">
        <v>60</v>
      </c>
      <c r="G360" t="s">
        <v>258</v>
      </c>
      <c r="L360" s="222" t="s">
        <v>453</v>
      </c>
      <c r="M360" s="223">
        <v>0</v>
      </c>
      <c r="N360" s="223">
        <v>0</v>
      </c>
      <c r="O360" s="223">
        <v>0</v>
      </c>
      <c r="P360" s="223">
        <v>0</v>
      </c>
      <c r="Q360" s="223">
        <v>0</v>
      </c>
      <c r="R360" s="223">
        <v>0</v>
      </c>
      <c r="S360" s="223">
        <v>0</v>
      </c>
      <c r="T360" s="223">
        <v>0</v>
      </c>
      <c r="U360" s="223">
        <v>0</v>
      </c>
      <c r="V360" s="223">
        <v>0</v>
      </c>
      <c r="W360" s="223">
        <v>0</v>
      </c>
      <c r="X360" s="223">
        <v>0</v>
      </c>
      <c r="Y360" s="223">
        <v>0</v>
      </c>
    </row>
    <row r="361" spans="1:25">
      <c r="A361" s="216">
        <v>45170</v>
      </c>
      <c r="B361" t="s">
        <v>43</v>
      </c>
      <c r="C361">
        <v>5</v>
      </c>
      <c r="D361" t="s">
        <v>458</v>
      </c>
      <c r="E361" s="217">
        <v>45170</v>
      </c>
      <c r="F361">
        <v>60</v>
      </c>
      <c r="G361" t="s">
        <v>259</v>
      </c>
      <c r="L361" s="222" t="s">
        <v>454</v>
      </c>
      <c r="M361" s="223">
        <v>46</v>
      </c>
      <c r="N361" s="223">
        <v>45</v>
      </c>
      <c r="O361" s="223">
        <v>45</v>
      </c>
      <c r="P361" s="223">
        <v>38</v>
      </c>
      <c r="Q361" s="223">
        <v>36</v>
      </c>
      <c r="R361" s="223">
        <v>54</v>
      </c>
      <c r="S361" s="223">
        <v>39</v>
      </c>
      <c r="T361" s="223">
        <v>32</v>
      </c>
      <c r="U361" s="223">
        <v>39</v>
      </c>
      <c r="V361" s="223">
        <v>46</v>
      </c>
      <c r="W361" s="223">
        <v>46</v>
      </c>
      <c r="X361" s="223">
        <v>46</v>
      </c>
      <c r="Y361" s="223">
        <v>512</v>
      </c>
    </row>
    <row r="362" spans="1:25">
      <c r="A362" s="216">
        <v>45170</v>
      </c>
      <c r="B362" t="s">
        <v>43</v>
      </c>
      <c r="C362">
        <v>5</v>
      </c>
      <c r="D362" t="s">
        <v>458</v>
      </c>
      <c r="E362" s="217">
        <v>45170</v>
      </c>
      <c r="F362">
        <v>60</v>
      </c>
      <c r="G362" t="s">
        <v>260</v>
      </c>
      <c r="L362" s="222" t="s">
        <v>455</v>
      </c>
      <c r="M362" s="223">
        <v>10</v>
      </c>
      <c r="N362" s="223">
        <v>10</v>
      </c>
      <c r="O362" s="223">
        <v>11</v>
      </c>
      <c r="P362" s="223">
        <v>10</v>
      </c>
      <c r="Q362" s="223">
        <v>10</v>
      </c>
      <c r="R362" s="223">
        <v>10</v>
      </c>
      <c r="S362" s="223">
        <v>10</v>
      </c>
      <c r="T362" s="223">
        <v>10</v>
      </c>
      <c r="U362" s="223">
        <v>10</v>
      </c>
      <c r="V362" s="223">
        <v>10</v>
      </c>
      <c r="W362" s="223">
        <v>10</v>
      </c>
      <c r="X362" s="223">
        <v>10</v>
      </c>
      <c r="Y362" s="223">
        <v>121</v>
      </c>
    </row>
    <row r="363" spans="1:25">
      <c r="A363" s="216">
        <v>45170</v>
      </c>
      <c r="B363" t="s">
        <v>43</v>
      </c>
      <c r="C363">
        <v>5</v>
      </c>
      <c r="D363" t="s">
        <v>458</v>
      </c>
      <c r="E363" s="217">
        <v>45170</v>
      </c>
      <c r="F363">
        <v>60</v>
      </c>
      <c r="G363" t="s">
        <v>261</v>
      </c>
      <c r="L363" s="222" t="s">
        <v>456</v>
      </c>
      <c r="M363" s="223">
        <v>-5</v>
      </c>
      <c r="N363" s="223">
        <v>-5</v>
      </c>
      <c r="O363" s="223">
        <v>-5</v>
      </c>
      <c r="P363" s="223">
        <v>-84</v>
      </c>
      <c r="Q363" s="223">
        <v>-98</v>
      </c>
      <c r="R363" s="223">
        <v>-90</v>
      </c>
      <c r="S363" s="223">
        <v>-73</v>
      </c>
      <c r="T363" s="223">
        <v>-58</v>
      </c>
      <c r="U363" s="223">
        <v>-67</v>
      </c>
      <c r="V363" s="223">
        <v>-5</v>
      </c>
      <c r="W363" s="223">
        <v>-5</v>
      </c>
      <c r="X363" s="223">
        <v>-5</v>
      </c>
      <c r="Y363" s="223">
        <v>-500</v>
      </c>
    </row>
    <row r="364" spans="1:25">
      <c r="A364" s="216">
        <v>45170</v>
      </c>
      <c r="B364" t="s">
        <v>43</v>
      </c>
      <c r="C364">
        <v>5</v>
      </c>
      <c r="D364" t="s">
        <v>458</v>
      </c>
      <c r="E364" s="217">
        <v>45170</v>
      </c>
      <c r="F364">
        <v>60</v>
      </c>
      <c r="G364" t="s">
        <v>262</v>
      </c>
      <c r="L364" s="222" t="s">
        <v>457</v>
      </c>
      <c r="M364" s="223">
        <v>0</v>
      </c>
      <c r="N364" s="223">
        <v>0</v>
      </c>
      <c r="O364" s="223">
        <v>0</v>
      </c>
      <c r="P364" s="223">
        <v>0</v>
      </c>
      <c r="Q364" s="223">
        <v>0</v>
      </c>
      <c r="R364" s="223">
        <v>0</v>
      </c>
      <c r="S364" s="223">
        <v>0</v>
      </c>
      <c r="T364" s="223">
        <v>0</v>
      </c>
      <c r="U364" s="223">
        <v>0</v>
      </c>
      <c r="V364" s="223">
        <v>0</v>
      </c>
      <c r="W364" s="223">
        <v>0</v>
      </c>
      <c r="X364" s="223">
        <v>0</v>
      </c>
      <c r="Y364" s="223">
        <v>0</v>
      </c>
    </row>
    <row r="365" spans="1:25">
      <c r="A365" s="216">
        <v>45170</v>
      </c>
      <c r="B365" t="s">
        <v>43</v>
      </c>
      <c r="C365">
        <v>5</v>
      </c>
      <c r="D365" t="s">
        <v>458</v>
      </c>
      <c r="E365" s="217">
        <v>45170</v>
      </c>
      <c r="F365">
        <v>-1169</v>
      </c>
      <c r="G365" t="s">
        <v>434</v>
      </c>
      <c r="L365" s="222" t="s">
        <v>458</v>
      </c>
      <c r="M365" s="223">
        <v>2111</v>
      </c>
      <c r="N365" s="223">
        <v>2111</v>
      </c>
      <c r="O365" s="223">
        <v>2111</v>
      </c>
      <c r="P365" s="223">
        <v>867</v>
      </c>
      <c r="Q365" s="223">
        <v>1162</v>
      </c>
      <c r="R365" s="223">
        <v>6186</v>
      </c>
      <c r="S365" s="223">
        <v>4814</v>
      </c>
      <c r="T365" s="223">
        <v>1835</v>
      </c>
      <c r="U365" s="223">
        <v>1831</v>
      </c>
      <c r="V365" s="223">
        <v>2112</v>
      </c>
      <c r="W365" s="223">
        <v>2111</v>
      </c>
      <c r="X365" s="223">
        <v>2111</v>
      </c>
      <c r="Y365" s="223">
        <v>29362</v>
      </c>
    </row>
    <row r="366" spans="1:25">
      <c r="A366" s="216">
        <v>45170</v>
      </c>
      <c r="B366" t="s">
        <v>43</v>
      </c>
      <c r="C366">
        <v>6</v>
      </c>
      <c r="D366" t="s">
        <v>448</v>
      </c>
      <c r="E366" s="217">
        <v>45170</v>
      </c>
      <c r="F366">
        <v>7145</v>
      </c>
      <c r="G366" t="s">
        <v>251</v>
      </c>
      <c r="L366" s="222" t="s">
        <v>459</v>
      </c>
      <c r="M366" s="223">
        <v>1166</v>
      </c>
      <c r="N366" s="223">
        <v>1166</v>
      </c>
      <c r="O366" s="223">
        <v>1166</v>
      </c>
      <c r="P366" s="223">
        <v>1330</v>
      </c>
      <c r="Q366" s="223">
        <v>1393</v>
      </c>
      <c r="R366" s="223">
        <v>1501</v>
      </c>
      <c r="S366" s="223">
        <v>1376</v>
      </c>
      <c r="T366" s="223">
        <v>1371</v>
      </c>
      <c r="U366" s="223">
        <v>1493</v>
      </c>
      <c r="V366" s="223">
        <v>1166</v>
      </c>
      <c r="W366" s="223">
        <v>1166</v>
      </c>
      <c r="X366" s="223">
        <v>1166</v>
      </c>
      <c r="Y366" s="223">
        <v>15460</v>
      </c>
    </row>
    <row r="367" spans="1:25">
      <c r="A367" s="216">
        <v>45170</v>
      </c>
      <c r="B367" t="s">
        <v>43</v>
      </c>
      <c r="C367">
        <v>6</v>
      </c>
      <c r="D367" t="s">
        <v>448</v>
      </c>
      <c r="E367" s="217">
        <v>45170</v>
      </c>
      <c r="F367">
        <v>7084</v>
      </c>
      <c r="G367" t="s">
        <v>252</v>
      </c>
      <c r="L367" s="222" t="s">
        <v>460</v>
      </c>
      <c r="M367" s="223">
        <v>21205</v>
      </c>
      <c r="N367" s="223">
        <v>21205</v>
      </c>
      <c r="O367" s="223">
        <v>21205</v>
      </c>
      <c r="P367" s="223">
        <v>18861</v>
      </c>
      <c r="Q367" s="223">
        <v>20618</v>
      </c>
      <c r="R367" s="223">
        <v>20419</v>
      </c>
      <c r="S367" s="223">
        <v>19423</v>
      </c>
      <c r="T367" s="223">
        <v>20293</v>
      </c>
      <c r="U367" s="223">
        <v>19701</v>
      </c>
      <c r="V367" s="223">
        <v>21204</v>
      </c>
      <c r="W367" s="223">
        <v>21204</v>
      </c>
      <c r="X367" s="223">
        <v>21204</v>
      </c>
      <c r="Y367" s="223">
        <v>246542</v>
      </c>
    </row>
    <row r="368" spans="1:25">
      <c r="A368" s="216">
        <v>45170</v>
      </c>
      <c r="B368" t="s">
        <v>43</v>
      </c>
      <c r="C368">
        <v>6</v>
      </c>
      <c r="D368" t="s">
        <v>448</v>
      </c>
      <c r="E368" s="217">
        <v>45170</v>
      </c>
      <c r="F368">
        <v>8501</v>
      </c>
      <c r="G368" t="s">
        <v>253</v>
      </c>
      <c r="L368" s="221" t="s">
        <v>461</v>
      </c>
      <c r="M368" s="223">
        <v>346527.84899999999</v>
      </c>
      <c r="N368" s="223">
        <v>346527.84899999999</v>
      </c>
      <c r="O368" s="223">
        <v>346482.84899999999</v>
      </c>
      <c r="P368" s="223">
        <v>348768</v>
      </c>
      <c r="Q368" s="223">
        <v>349932</v>
      </c>
      <c r="R368" s="223">
        <v>350359.65500000003</v>
      </c>
      <c r="S368" s="223">
        <v>339991.717</v>
      </c>
      <c r="T368" s="223">
        <v>348128</v>
      </c>
      <c r="U368" s="223">
        <v>336878.13500000001</v>
      </c>
      <c r="V368" s="223">
        <v>346527.84899999999</v>
      </c>
      <c r="W368" s="223">
        <v>346527.84899999999</v>
      </c>
      <c r="X368" s="223">
        <v>346527.84899999999</v>
      </c>
      <c r="Y368" s="223">
        <v>4153179.6009999998</v>
      </c>
    </row>
    <row r="369" spans="1:25">
      <c r="A369" s="216">
        <v>45170</v>
      </c>
      <c r="B369" t="s">
        <v>43</v>
      </c>
      <c r="C369">
        <v>6</v>
      </c>
      <c r="D369" t="s">
        <v>448</v>
      </c>
      <c r="E369" s="217">
        <v>45170</v>
      </c>
      <c r="F369">
        <v>6747</v>
      </c>
      <c r="G369" t="s">
        <v>254</v>
      </c>
      <c r="L369" s="222" t="s">
        <v>435</v>
      </c>
      <c r="M369" s="223">
        <v>0</v>
      </c>
      <c r="N369" s="223">
        <v>0</v>
      </c>
      <c r="O369" s="223">
        <v>0</v>
      </c>
      <c r="P369" s="223">
        <v>0</v>
      </c>
      <c r="Q369" s="223">
        <v>0</v>
      </c>
      <c r="R369" s="223">
        <v>0</v>
      </c>
      <c r="S369" s="223">
        <v>0</v>
      </c>
      <c r="T369" s="223">
        <v>0</v>
      </c>
      <c r="U369" s="223">
        <v>0</v>
      </c>
      <c r="V369" s="223">
        <v>0</v>
      </c>
      <c r="W369" s="223">
        <v>0</v>
      </c>
      <c r="X369" s="223">
        <v>0</v>
      </c>
      <c r="Y369" s="223">
        <v>0</v>
      </c>
    </row>
    <row r="370" spans="1:25">
      <c r="A370" s="216">
        <v>45170</v>
      </c>
      <c r="B370" t="s">
        <v>43</v>
      </c>
      <c r="C370">
        <v>6</v>
      </c>
      <c r="D370" t="s">
        <v>448</v>
      </c>
      <c r="E370" s="217">
        <v>45170</v>
      </c>
      <c r="F370">
        <v>6876</v>
      </c>
      <c r="G370" t="s">
        <v>255</v>
      </c>
      <c r="L370" s="222" t="s">
        <v>436</v>
      </c>
      <c r="M370" s="223">
        <v>0</v>
      </c>
      <c r="N370" s="223">
        <v>0</v>
      </c>
      <c r="O370" s="223">
        <v>0</v>
      </c>
      <c r="P370" s="223">
        <v>0</v>
      </c>
      <c r="Q370" s="223">
        <v>0</v>
      </c>
      <c r="R370" s="223">
        <v>0</v>
      </c>
      <c r="S370" s="223">
        <v>0</v>
      </c>
      <c r="T370" s="223">
        <v>0</v>
      </c>
      <c r="U370" s="223">
        <v>0</v>
      </c>
      <c r="V370" s="223">
        <v>0</v>
      </c>
      <c r="W370" s="223">
        <v>0</v>
      </c>
      <c r="X370" s="223">
        <v>0</v>
      </c>
      <c r="Y370" s="223">
        <v>0</v>
      </c>
    </row>
    <row r="371" spans="1:25">
      <c r="A371" s="216">
        <v>45170</v>
      </c>
      <c r="B371" t="s">
        <v>43</v>
      </c>
      <c r="C371">
        <v>6</v>
      </c>
      <c r="D371" t="s">
        <v>448</v>
      </c>
      <c r="E371" s="217">
        <v>45170</v>
      </c>
      <c r="F371">
        <v>8048</v>
      </c>
      <c r="G371" t="s">
        <v>256</v>
      </c>
      <c r="L371" s="222" t="s">
        <v>437</v>
      </c>
      <c r="M371" s="223">
        <v>0</v>
      </c>
      <c r="N371" s="223">
        <v>0</v>
      </c>
      <c r="O371" s="223">
        <v>0</v>
      </c>
      <c r="P371" s="223">
        <v>0</v>
      </c>
      <c r="Q371" s="223">
        <v>0</v>
      </c>
      <c r="R371" s="223">
        <v>0</v>
      </c>
      <c r="S371" s="223">
        <v>0</v>
      </c>
      <c r="T371" s="223">
        <v>0</v>
      </c>
      <c r="U371" s="223">
        <v>0</v>
      </c>
      <c r="V371" s="223">
        <v>0</v>
      </c>
      <c r="W371" s="223">
        <v>0</v>
      </c>
      <c r="X371" s="223">
        <v>0</v>
      </c>
      <c r="Y371" s="223">
        <v>0</v>
      </c>
    </row>
    <row r="372" spans="1:25">
      <c r="A372" s="216">
        <v>45170</v>
      </c>
      <c r="B372" t="s">
        <v>43</v>
      </c>
      <c r="C372">
        <v>6</v>
      </c>
      <c r="D372" t="s">
        <v>448</v>
      </c>
      <c r="E372" s="217">
        <v>45170</v>
      </c>
      <c r="F372">
        <v>7268</v>
      </c>
      <c r="G372" t="s">
        <v>257</v>
      </c>
      <c r="L372" s="222" t="s">
        <v>438</v>
      </c>
      <c r="M372" s="223">
        <v>86631.849000000002</v>
      </c>
      <c r="N372" s="223">
        <v>86631.849000000002</v>
      </c>
      <c r="O372" s="223">
        <v>86621.349000000002</v>
      </c>
      <c r="P372" s="223">
        <v>87192</v>
      </c>
      <c r="Q372" s="223">
        <v>87483</v>
      </c>
      <c r="R372" s="223">
        <v>87589.654999999999</v>
      </c>
      <c r="S372" s="223">
        <v>84997.717000000004</v>
      </c>
      <c r="T372" s="223">
        <v>87032</v>
      </c>
      <c r="U372" s="223">
        <v>84219.634999999995</v>
      </c>
      <c r="V372" s="223">
        <v>86631.849000000002</v>
      </c>
      <c r="W372" s="223">
        <v>86631.849000000002</v>
      </c>
      <c r="X372" s="223">
        <v>86631.849000000002</v>
      </c>
      <c r="Y372" s="223">
        <v>1038294.601</v>
      </c>
    </row>
    <row r="373" spans="1:25">
      <c r="A373" s="216">
        <v>45170</v>
      </c>
      <c r="B373" t="s">
        <v>43</v>
      </c>
      <c r="C373">
        <v>6</v>
      </c>
      <c r="D373" t="s">
        <v>448</v>
      </c>
      <c r="E373" s="217">
        <v>45170</v>
      </c>
      <c r="F373">
        <v>7240</v>
      </c>
      <c r="G373" t="s">
        <v>258</v>
      </c>
      <c r="L373" s="222" t="s">
        <v>439</v>
      </c>
      <c r="M373" s="223">
        <v>0</v>
      </c>
      <c r="N373" s="223">
        <v>0</v>
      </c>
      <c r="O373" s="223">
        <v>0</v>
      </c>
      <c r="P373" s="223">
        <v>0</v>
      </c>
      <c r="Q373" s="223">
        <v>0</v>
      </c>
      <c r="R373" s="223">
        <v>0</v>
      </c>
      <c r="S373" s="223">
        <v>0</v>
      </c>
      <c r="T373" s="223">
        <v>0</v>
      </c>
      <c r="U373" s="223">
        <v>0</v>
      </c>
      <c r="V373" s="223">
        <v>0</v>
      </c>
      <c r="W373" s="223">
        <v>0</v>
      </c>
      <c r="X373" s="223">
        <v>0</v>
      </c>
      <c r="Y373" s="223">
        <v>0</v>
      </c>
    </row>
    <row r="374" spans="1:25">
      <c r="A374" s="216">
        <v>45170</v>
      </c>
      <c r="B374" t="s">
        <v>43</v>
      </c>
      <c r="C374">
        <v>6</v>
      </c>
      <c r="D374" t="s">
        <v>448</v>
      </c>
      <c r="E374" s="217">
        <v>45170</v>
      </c>
      <c r="F374">
        <v>7240</v>
      </c>
      <c r="G374" t="s">
        <v>259</v>
      </c>
      <c r="L374" s="222" t="s">
        <v>440</v>
      </c>
      <c r="M374" s="223">
        <v>0</v>
      </c>
      <c r="N374" s="223">
        <v>0</v>
      </c>
      <c r="O374" s="223">
        <v>0</v>
      </c>
      <c r="P374" s="223">
        <v>0</v>
      </c>
      <c r="Q374" s="223">
        <v>0</v>
      </c>
      <c r="R374" s="223">
        <v>0</v>
      </c>
      <c r="S374" s="223">
        <v>0</v>
      </c>
      <c r="T374" s="223">
        <v>0</v>
      </c>
      <c r="U374" s="223">
        <v>0</v>
      </c>
      <c r="V374" s="223">
        <v>0</v>
      </c>
      <c r="W374" s="223">
        <v>0</v>
      </c>
      <c r="X374" s="223">
        <v>0</v>
      </c>
      <c r="Y374" s="223">
        <v>0</v>
      </c>
    </row>
    <row r="375" spans="1:25">
      <c r="A375" s="216">
        <v>45170</v>
      </c>
      <c r="B375" t="s">
        <v>43</v>
      </c>
      <c r="C375">
        <v>6</v>
      </c>
      <c r="D375" t="s">
        <v>448</v>
      </c>
      <c r="E375" s="217">
        <v>45170</v>
      </c>
      <c r="F375">
        <v>7231</v>
      </c>
      <c r="G375" t="s">
        <v>260</v>
      </c>
      <c r="L375" s="222" t="s">
        <v>441</v>
      </c>
      <c r="M375" s="223">
        <v>83326</v>
      </c>
      <c r="N375" s="223">
        <v>83326</v>
      </c>
      <c r="O375" s="223">
        <v>83315.5</v>
      </c>
      <c r="P375" s="223">
        <v>83169</v>
      </c>
      <c r="Q375" s="223">
        <v>83124</v>
      </c>
      <c r="R375" s="223">
        <v>84053</v>
      </c>
      <c r="S375" s="223">
        <v>81225</v>
      </c>
      <c r="T375" s="223">
        <v>83267</v>
      </c>
      <c r="U375" s="223">
        <v>80956</v>
      </c>
      <c r="V375" s="223">
        <v>83326</v>
      </c>
      <c r="W375" s="223">
        <v>83326</v>
      </c>
      <c r="X375" s="223">
        <v>83326</v>
      </c>
      <c r="Y375" s="223">
        <v>995739.5</v>
      </c>
    </row>
    <row r="376" spans="1:25">
      <c r="A376" s="216">
        <v>45170</v>
      </c>
      <c r="B376" t="s">
        <v>43</v>
      </c>
      <c r="C376">
        <v>6</v>
      </c>
      <c r="D376" t="s">
        <v>448</v>
      </c>
      <c r="E376" s="217">
        <v>45170</v>
      </c>
      <c r="F376">
        <v>7230</v>
      </c>
      <c r="G376" t="s">
        <v>261</v>
      </c>
      <c r="L376" s="222" t="s">
        <v>442</v>
      </c>
      <c r="M376" s="223">
        <v>86632</v>
      </c>
      <c r="N376" s="223">
        <v>86632</v>
      </c>
      <c r="O376" s="223">
        <v>86620.5</v>
      </c>
      <c r="P376" s="223">
        <v>87192</v>
      </c>
      <c r="Q376" s="223">
        <v>87483</v>
      </c>
      <c r="R376" s="223">
        <v>87590</v>
      </c>
      <c r="S376" s="223">
        <v>84998</v>
      </c>
      <c r="T376" s="223">
        <v>87032</v>
      </c>
      <c r="U376" s="223">
        <v>84219.5</v>
      </c>
      <c r="V376" s="223">
        <v>86632</v>
      </c>
      <c r="W376" s="223">
        <v>86632</v>
      </c>
      <c r="X376" s="223">
        <v>86632</v>
      </c>
      <c r="Y376" s="223">
        <v>1038295</v>
      </c>
    </row>
    <row r="377" spans="1:25">
      <c r="A377" s="216">
        <v>45170</v>
      </c>
      <c r="B377" t="s">
        <v>43</v>
      </c>
      <c r="C377">
        <v>6</v>
      </c>
      <c r="D377" t="s">
        <v>448</v>
      </c>
      <c r="E377" s="217">
        <v>45170</v>
      </c>
      <c r="F377">
        <v>7422</v>
      </c>
      <c r="G377" t="s">
        <v>262</v>
      </c>
      <c r="L377" s="222" t="s">
        <v>443</v>
      </c>
      <c r="M377" s="223">
        <v>0</v>
      </c>
      <c r="N377" s="223">
        <v>0</v>
      </c>
      <c r="O377" s="223">
        <v>0</v>
      </c>
      <c r="P377" s="223">
        <v>0</v>
      </c>
      <c r="Q377" s="223">
        <v>0</v>
      </c>
      <c r="R377" s="223">
        <v>0</v>
      </c>
      <c r="S377" s="223">
        <v>0</v>
      </c>
      <c r="T377" s="223">
        <v>0</v>
      </c>
      <c r="U377" s="223">
        <v>0</v>
      </c>
      <c r="V377" s="223">
        <v>0</v>
      </c>
      <c r="W377" s="223">
        <v>0</v>
      </c>
      <c r="X377" s="223">
        <v>0</v>
      </c>
      <c r="Y377" s="223">
        <v>0</v>
      </c>
    </row>
    <row r="378" spans="1:25">
      <c r="A378" s="216">
        <v>45170</v>
      </c>
      <c r="B378" t="s">
        <v>43</v>
      </c>
      <c r="C378">
        <v>6</v>
      </c>
      <c r="D378" t="s">
        <v>448</v>
      </c>
      <c r="E378" s="217">
        <v>45170</v>
      </c>
      <c r="F378">
        <v>88032</v>
      </c>
      <c r="G378" t="s">
        <v>434</v>
      </c>
      <c r="L378" s="222" t="s">
        <v>444</v>
      </c>
      <c r="M378" s="223">
        <v>0</v>
      </c>
      <c r="N378" s="223">
        <v>0</v>
      </c>
      <c r="O378" s="223">
        <v>0</v>
      </c>
      <c r="P378" s="223">
        <v>0</v>
      </c>
      <c r="Q378" s="223">
        <v>0</v>
      </c>
      <c r="R378" s="223">
        <v>0</v>
      </c>
      <c r="S378" s="223">
        <v>0</v>
      </c>
      <c r="T378" s="223">
        <v>0</v>
      </c>
      <c r="U378" s="223">
        <v>0</v>
      </c>
      <c r="V378" s="223">
        <v>0</v>
      </c>
      <c r="W378" s="223">
        <v>0</v>
      </c>
      <c r="X378" s="223">
        <v>0</v>
      </c>
      <c r="Y378" s="223">
        <v>0</v>
      </c>
    </row>
    <row r="379" spans="1:25">
      <c r="A379" s="216">
        <v>45170</v>
      </c>
      <c r="B379" t="s">
        <v>43</v>
      </c>
      <c r="C379">
        <v>7</v>
      </c>
      <c r="D379" t="s">
        <v>442</v>
      </c>
      <c r="E379" s="217">
        <v>45170</v>
      </c>
      <c r="F379">
        <v>160913</v>
      </c>
      <c r="G379" t="s">
        <v>251</v>
      </c>
      <c r="L379" s="222" t="s">
        <v>446</v>
      </c>
      <c r="M379" s="223">
        <v>0.150999999998021</v>
      </c>
      <c r="N379" s="223">
        <v>0.150999999998021</v>
      </c>
      <c r="O379" s="223">
        <v>-0.84900000000197895</v>
      </c>
      <c r="P379" s="223">
        <v>0</v>
      </c>
      <c r="Q379" s="223">
        <v>0</v>
      </c>
      <c r="R379" s="223">
        <v>0.34500000000116399</v>
      </c>
      <c r="S379" s="223">
        <v>0.28299999999580899</v>
      </c>
      <c r="T379" s="223">
        <v>0</v>
      </c>
      <c r="U379" s="223">
        <v>-0.13499999999476101</v>
      </c>
      <c r="V379" s="223">
        <v>0.150999999998021</v>
      </c>
      <c r="W379" s="223">
        <v>0.150999999998021</v>
      </c>
      <c r="X379" s="223">
        <v>0.150999999998021</v>
      </c>
      <c r="Y379" s="223">
        <v>0.398999999975786</v>
      </c>
    </row>
    <row r="380" spans="1:25">
      <c r="A380" s="216">
        <v>45170</v>
      </c>
      <c r="B380" t="s">
        <v>43</v>
      </c>
      <c r="C380">
        <v>7</v>
      </c>
      <c r="D380" t="s">
        <v>442</v>
      </c>
      <c r="E380" s="217">
        <v>45170</v>
      </c>
      <c r="F380">
        <v>171711</v>
      </c>
      <c r="G380" t="s">
        <v>252</v>
      </c>
      <c r="L380" s="222" t="s">
        <v>447</v>
      </c>
      <c r="M380" s="223">
        <v>0</v>
      </c>
      <c r="N380" s="223">
        <v>0</v>
      </c>
      <c r="O380" s="223">
        <v>0</v>
      </c>
      <c r="P380" s="223">
        <v>0</v>
      </c>
      <c r="Q380" s="223">
        <v>0</v>
      </c>
      <c r="R380" s="223">
        <v>0</v>
      </c>
      <c r="S380" s="223">
        <v>0</v>
      </c>
      <c r="T380" s="223">
        <v>0</v>
      </c>
      <c r="U380" s="223">
        <v>0</v>
      </c>
      <c r="V380" s="223">
        <v>0</v>
      </c>
      <c r="W380" s="223">
        <v>0</v>
      </c>
      <c r="X380" s="223">
        <v>0</v>
      </c>
      <c r="Y380" s="223">
        <v>0</v>
      </c>
    </row>
    <row r="381" spans="1:25">
      <c r="A381" s="216">
        <v>45170</v>
      </c>
      <c r="B381" t="s">
        <v>43</v>
      </c>
      <c r="C381">
        <v>7</v>
      </c>
      <c r="D381" t="s">
        <v>442</v>
      </c>
      <c r="E381" s="217">
        <v>45170</v>
      </c>
      <c r="F381">
        <v>183102</v>
      </c>
      <c r="G381" t="s">
        <v>253</v>
      </c>
      <c r="L381" s="222" t="s">
        <v>448</v>
      </c>
      <c r="M381" s="223">
        <v>0</v>
      </c>
      <c r="N381" s="223">
        <v>0</v>
      </c>
      <c r="O381" s="223">
        <v>0</v>
      </c>
      <c r="P381" s="223">
        <v>0</v>
      </c>
      <c r="Q381" s="223">
        <v>0</v>
      </c>
      <c r="R381" s="223">
        <v>0</v>
      </c>
      <c r="S381" s="223">
        <v>0</v>
      </c>
      <c r="T381" s="223">
        <v>0</v>
      </c>
      <c r="U381" s="223">
        <v>0</v>
      </c>
      <c r="V381" s="223">
        <v>0</v>
      </c>
      <c r="W381" s="223">
        <v>0</v>
      </c>
      <c r="X381" s="223">
        <v>0</v>
      </c>
      <c r="Y381" s="223">
        <v>0</v>
      </c>
    </row>
    <row r="382" spans="1:25">
      <c r="A382" s="216">
        <v>45170</v>
      </c>
      <c r="B382" t="s">
        <v>43</v>
      </c>
      <c r="C382">
        <v>7</v>
      </c>
      <c r="D382" t="s">
        <v>442</v>
      </c>
      <c r="E382" s="217">
        <v>45170</v>
      </c>
      <c r="F382">
        <v>183203</v>
      </c>
      <c r="G382" t="s">
        <v>254</v>
      </c>
      <c r="L382" s="222" t="s">
        <v>449</v>
      </c>
      <c r="M382" s="223">
        <v>2587</v>
      </c>
      <c r="N382" s="223">
        <v>2587</v>
      </c>
      <c r="O382" s="223">
        <v>2587</v>
      </c>
      <c r="P382" s="223">
        <v>3300</v>
      </c>
      <c r="Q382" s="223">
        <v>3300</v>
      </c>
      <c r="R382" s="223">
        <v>2984</v>
      </c>
      <c r="S382" s="223">
        <v>2900</v>
      </c>
      <c r="T382" s="223">
        <v>3000</v>
      </c>
      <c r="U382" s="223">
        <v>2587</v>
      </c>
      <c r="V382" s="223">
        <v>2587</v>
      </c>
      <c r="W382" s="223">
        <v>2587</v>
      </c>
      <c r="X382" s="223">
        <v>2587</v>
      </c>
      <c r="Y382" s="223">
        <v>33593</v>
      </c>
    </row>
    <row r="383" spans="1:25">
      <c r="A383" s="216">
        <v>45170</v>
      </c>
      <c r="B383" t="s">
        <v>43</v>
      </c>
      <c r="C383">
        <v>7</v>
      </c>
      <c r="D383" t="s">
        <v>442</v>
      </c>
      <c r="E383" s="217">
        <v>45170</v>
      </c>
      <c r="F383">
        <v>175230</v>
      </c>
      <c r="G383" t="s">
        <v>255</v>
      </c>
      <c r="L383" s="222" t="s">
        <v>450</v>
      </c>
      <c r="M383" s="223">
        <v>0</v>
      </c>
      <c r="N383" s="223">
        <v>0</v>
      </c>
      <c r="O383" s="223">
        <v>0</v>
      </c>
      <c r="P383" s="223">
        <v>0</v>
      </c>
      <c r="Q383" s="223">
        <v>0</v>
      </c>
      <c r="R383" s="223">
        <v>0</v>
      </c>
      <c r="S383" s="223">
        <v>0</v>
      </c>
      <c r="T383" s="223">
        <v>0</v>
      </c>
      <c r="U383" s="223">
        <v>0</v>
      </c>
      <c r="V383" s="223">
        <v>0</v>
      </c>
      <c r="W383" s="223">
        <v>0</v>
      </c>
      <c r="X383" s="223">
        <v>0</v>
      </c>
      <c r="Y383" s="223">
        <v>0</v>
      </c>
    </row>
    <row r="384" spans="1:25">
      <c r="A384" s="216">
        <v>45170</v>
      </c>
      <c r="B384" t="s">
        <v>43</v>
      </c>
      <c r="C384">
        <v>7</v>
      </c>
      <c r="D384" t="s">
        <v>442</v>
      </c>
      <c r="E384" s="217">
        <v>45170</v>
      </c>
      <c r="F384">
        <v>172941</v>
      </c>
      <c r="G384" t="s">
        <v>256</v>
      </c>
      <c r="L384" s="222" t="s">
        <v>451</v>
      </c>
      <c r="M384" s="223">
        <v>0</v>
      </c>
      <c r="N384" s="223">
        <v>0</v>
      </c>
      <c r="O384" s="223">
        <v>0</v>
      </c>
      <c r="P384" s="223">
        <v>0</v>
      </c>
      <c r="Q384" s="223">
        <v>0</v>
      </c>
      <c r="R384" s="223">
        <v>0</v>
      </c>
      <c r="S384" s="223">
        <v>0</v>
      </c>
      <c r="T384" s="223">
        <v>0</v>
      </c>
      <c r="U384" s="223">
        <v>0</v>
      </c>
      <c r="V384" s="223">
        <v>0</v>
      </c>
      <c r="W384" s="223">
        <v>0</v>
      </c>
      <c r="X384" s="223">
        <v>0</v>
      </c>
      <c r="Y384" s="223">
        <v>0</v>
      </c>
    </row>
    <row r="385" spans="1:25">
      <c r="A385" s="216">
        <v>45170</v>
      </c>
      <c r="B385" t="s">
        <v>43</v>
      </c>
      <c r="C385">
        <v>7</v>
      </c>
      <c r="D385" t="s">
        <v>442</v>
      </c>
      <c r="E385" s="217">
        <v>45170</v>
      </c>
      <c r="F385">
        <v>174258</v>
      </c>
      <c r="G385" t="s">
        <v>257</v>
      </c>
      <c r="L385" s="222" t="s">
        <v>452</v>
      </c>
      <c r="M385" s="223">
        <v>0</v>
      </c>
      <c r="N385" s="223">
        <v>0</v>
      </c>
      <c r="O385" s="223">
        <v>0</v>
      </c>
      <c r="P385" s="223">
        <v>0</v>
      </c>
      <c r="Q385" s="223">
        <v>0</v>
      </c>
      <c r="R385" s="223">
        <v>0</v>
      </c>
      <c r="S385" s="223">
        <v>0</v>
      </c>
      <c r="T385" s="223">
        <v>0</v>
      </c>
      <c r="U385" s="223">
        <v>0</v>
      </c>
      <c r="V385" s="223">
        <v>0</v>
      </c>
      <c r="W385" s="223">
        <v>0</v>
      </c>
      <c r="X385" s="223">
        <v>0</v>
      </c>
      <c r="Y385" s="223">
        <v>0</v>
      </c>
    </row>
    <row r="386" spans="1:25">
      <c r="A386" s="216">
        <v>45170</v>
      </c>
      <c r="B386" t="s">
        <v>43</v>
      </c>
      <c r="C386">
        <v>7</v>
      </c>
      <c r="D386" t="s">
        <v>442</v>
      </c>
      <c r="E386" s="217">
        <v>45170</v>
      </c>
      <c r="F386">
        <v>174313</v>
      </c>
      <c r="G386" t="s">
        <v>258</v>
      </c>
      <c r="L386" s="222" t="s">
        <v>433</v>
      </c>
      <c r="M386" s="223">
        <v>653.84900000000005</v>
      </c>
      <c r="N386" s="223">
        <v>653.84900000000005</v>
      </c>
      <c r="O386" s="223">
        <v>653.84900000000005</v>
      </c>
      <c r="P386" s="223">
        <v>598</v>
      </c>
      <c r="Q386" s="223">
        <v>934</v>
      </c>
      <c r="R386" s="223">
        <v>402.65499999999997</v>
      </c>
      <c r="S386" s="223">
        <v>722.71699999999998</v>
      </c>
      <c r="T386" s="223">
        <v>615</v>
      </c>
      <c r="U386" s="223">
        <v>611.63499999999999</v>
      </c>
      <c r="V386" s="223">
        <v>653.84900000000005</v>
      </c>
      <c r="W386" s="223">
        <v>653.84900000000005</v>
      </c>
      <c r="X386" s="223">
        <v>653.84900000000005</v>
      </c>
      <c r="Y386" s="223">
        <v>7807.1009999999997</v>
      </c>
    </row>
    <row r="387" spans="1:25">
      <c r="A387" s="216">
        <v>45170</v>
      </c>
      <c r="B387" t="s">
        <v>43</v>
      </c>
      <c r="C387">
        <v>7</v>
      </c>
      <c r="D387" t="s">
        <v>442</v>
      </c>
      <c r="E387" s="217">
        <v>45170</v>
      </c>
      <c r="F387">
        <v>177296</v>
      </c>
      <c r="G387" t="s">
        <v>259</v>
      </c>
      <c r="L387" s="222" t="s">
        <v>445</v>
      </c>
      <c r="M387" s="223">
        <v>65</v>
      </c>
      <c r="N387" s="223">
        <v>65</v>
      </c>
      <c r="O387" s="223">
        <v>65</v>
      </c>
      <c r="P387" s="223">
        <v>125</v>
      </c>
      <c r="Q387" s="223">
        <v>125</v>
      </c>
      <c r="R387" s="223">
        <v>150</v>
      </c>
      <c r="S387" s="223">
        <v>150</v>
      </c>
      <c r="T387" s="223">
        <v>150</v>
      </c>
      <c r="U387" s="223">
        <v>65</v>
      </c>
      <c r="V387" s="223">
        <v>65</v>
      </c>
      <c r="W387" s="223">
        <v>65</v>
      </c>
      <c r="X387" s="223">
        <v>65</v>
      </c>
      <c r="Y387" s="223">
        <v>1155</v>
      </c>
    </row>
    <row r="388" spans="1:25">
      <c r="A388" s="216">
        <v>45170</v>
      </c>
      <c r="B388" t="s">
        <v>43</v>
      </c>
      <c r="C388">
        <v>7</v>
      </c>
      <c r="D388" t="s">
        <v>442</v>
      </c>
      <c r="E388" s="217">
        <v>45170</v>
      </c>
      <c r="F388">
        <v>178920</v>
      </c>
      <c r="G388" t="s">
        <v>260</v>
      </c>
      <c r="L388" s="222" t="s">
        <v>453</v>
      </c>
      <c r="M388" s="223">
        <v>0</v>
      </c>
      <c r="N388" s="223">
        <v>0</v>
      </c>
      <c r="O388" s="223">
        <v>0</v>
      </c>
      <c r="P388" s="223">
        <v>0</v>
      </c>
      <c r="Q388" s="223">
        <v>0</v>
      </c>
      <c r="R388" s="223">
        <v>0</v>
      </c>
      <c r="S388" s="223">
        <v>0</v>
      </c>
      <c r="T388" s="223">
        <v>0</v>
      </c>
      <c r="U388" s="223">
        <v>0</v>
      </c>
      <c r="V388" s="223">
        <v>0</v>
      </c>
      <c r="W388" s="223">
        <v>0</v>
      </c>
      <c r="X388" s="223">
        <v>0</v>
      </c>
      <c r="Y388" s="223">
        <v>0</v>
      </c>
    </row>
    <row r="389" spans="1:25">
      <c r="A389" s="216">
        <v>45170</v>
      </c>
      <c r="B389" t="s">
        <v>43</v>
      </c>
      <c r="C389">
        <v>7</v>
      </c>
      <c r="D389" t="s">
        <v>442</v>
      </c>
      <c r="E389" s="217">
        <v>45170</v>
      </c>
      <c r="F389">
        <v>176191</v>
      </c>
      <c r="G389" t="s">
        <v>261</v>
      </c>
      <c r="L389" s="222" t="s">
        <v>454</v>
      </c>
      <c r="M389" s="223">
        <v>0</v>
      </c>
      <c r="N389" s="223">
        <v>0</v>
      </c>
      <c r="O389" s="223">
        <v>0</v>
      </c>
      <c r="P389" s="223">
        <v>0</v>
      </c>
      <c r="Q389" s="223">
        <v>0</v>
      </c>
      <c r="R389" s="223">
        <v>0</v>
      </c>
      <c r="S389" s="223">
        <v>0</v>
      </c>
      <c r="T389" s="223">
        <v>0</v>
      </c>
      <c r="U389" s="223">
        <v>0</v>
      </c>
      <c r="V389" s="223">
        <v>0</v>
      </c>
      <c r="W389" s="223">
        <v>0</v>
      </c>
      <c r="X389" s="223">
        <v>0</v>
      </c>
      <c r="Y389" s="223">
        <v>0</v>
      </c>
    </row>
    <row r="390" spans="1:25">
      <c r="A390" s="216">
        <v>45170</v>
      </c>
      <c r="B390" t="s">
        <v>43</v>
      </c>
      <c r="C390">
        <v>7</v>
      </c>
      <c r="D390" t="s">
        <v>442</v>
      </c>
      <c r="E390" s="217">
        <v>45170</v>
      </c>
      <c r="F390">
        <v>178184</v>
      </c>
      <c r="G390" t="s">
        <v>262</v>
      </c>
      <c r="L390" s="222" t="s">
        <v>455</v>
      </c>
      <c r="M390" s="223">
        <v>0</v>
      </c>
      <c r="N390" s="223">
        <v>0</v>
      </c>
      <c r="O390" s="223">
        <v>0</v>
      </c>
      <c r="P390" s="223">
        <v>0</v>
      </c>
      <c r="Q390" s="223">
        <v>0</v>
      </c>
      <c r="R390" s="223">
        <v>0</v>
      </c>
      <c r="S390" s="223">
        <v>0</v>
      </c>
      <c r="T390" s="223">
        <v>0</v>
      </c>
      <c r="U390" s="223">
        <v>0</v>
      </c>
      <c r="V390" s="223">
        <v>0</v>
      </c>
      <c r="W390" s="223">
        <v>0</v>
      </c>
      <c r="X390" s="223">
        <v>0</v>
      </c>
      <c r="Y390" s="223">
        <v>0</v>
      </c>
    </row>
    <row r="391" spans="1:25">
      <c r="A391" s="216">
        <v>45170</v>
      </c>
      <c r="B391" t="s">
        <v>43</v>
      </c>
      <c r="C391">
        <v>7</v>
      </c>
      <c r="D391" t="s">
        <v>442</v>
      </c>
      <c r="E391" s="217">
        <v>45170</v>
      </c>
      <c r="F391">
        <v>2106262</v>
      </c>
      <c r="G391" t="s">
        <v>434</v>
      </c>
      <c r="L391" s="222" t="s">
        <v>456</v>
      </c>
      <c r="M391" s="223">
        <v>0</v>
      </c>
      <c r="N391" s="223">
        <v>0</v>
      </c>
      <c r="O391" s="223">
        <v>0</v>
      </c>
      <c r="P391" s="223">
        <v>0</v>
      </c>
      <c r="Q391" s="223">
        <v>0</v>
      </c>
      <c r="R391" s="223">
        <v>0</v>
      </c>
      <c r="S391" s="223">
        <v>0</v>
      </c>
      <c r="T391" s="223">
        <v>0</v>
      </c>
      <c r="U391" s="223">
        <v>0</v>
      </c>
      <c r="V391" s="223">
        <v>0</v>
      </c>
      <c r="W391" s="223">
        <v>0</v>
      </c>
      <c r="X391" s="223">
        <v>0</v>
      </c>
      <c r="Y391" s="223">
        <v>0</v>
      </c>
    </row>
    <row r="392" spans="1:25">
      <c r="A392" s="216">
        <v>45170</v>
      </c>
      <c r="B392" t="s">
        <v>43</v>
      </c>
      <c r="C392">
        <v>1</v>
      </c>
      <c r="D392" t="s">
        <v>453</v>
      </c>
      <c r="E392" s="217">
        <v>45170</v>
      </c>
      <c r="F392">
        <v>148705</v>
      </c>
      <c r="G392" t="s">
        <v>251</v>
      </c>
      <c r="L392" s="222" t="s">
        <v>457</v>
      </c>
      <c r="M392" s="223">
        <v>0</v>
      </c>
      <c r="N392" s="223">
        <v>0</v>
      </c>
      <c r="O392" s="223">
        <v>0</v>
      </c>
      <c r="P392" s="223">
        <v>0</v>
      </c>
      <c r="Q392" s="223">
        <v>0</v>
      </c>
      <c r="R392" s="223">
        <v>0</v>
      </c>
      <c r="S392" s="223">
        <v>0</v>
      </c>
      <c r="T392" s="223">
        <v>0</v>
      </c>
      <c r="U392" s="223">
        <v>0</v>
      </c>
      <c r="V392" s="223">
        <v>0</v>
      </c>
      <c r="W392" s="223">
        <v>0</v>
      </c>
      <c r="X392" s="223">
        <v>0</v>
      </c>
      <c r="Y392" s="223">
        <v>0</v>
      </c>
    </row>
    <row r="393" spans="1:25">
      <c r="A393" s="216">
        <v>45170</v>
      </c>
      <c r="B393" t="s">
        <v>43</v>
      </c>
      <c r="C393">
        <v>1</v>
      </c>
      <c r="D393" t="s">
        <v>453</v>
      </c>
      <c r="E393" s="217">
        <v>45170</v>
      </c>
      <c r="F393">
        <v>159794</v>
      </c>
      <c r="G393" t="s">
        <v>252</v>
      </c>
      <c r="L393" s="222" t="s">
        <v>458</v>
      </c>
      <c r="M393" s="223">
        <v>0</v>
      </c>
      <c r="N393" s="223">
        <v>0</v>
      </c>
      <c r="O393" s="223">
        <v>0</v>
      </c>
      <c r="P393" s="223">
        <v>0</v>
      </c>
      <c r="Q393" s="223">
        <v>0</v>
      </c>
      <c r="R393" s="223">
        <v>0</v>
      </c>
      <c r="S393" s="223">
        <v>0</v>
      </c>
      <c r="T393" s="223">
        <v>0</v>
      </c>
      <c r="U393" s="223">
        <v>0</v>
      </c>
      <c r="V393" s="223">
        <v>0</v>
      </c>
      <c r="W393" s="223">
        <v>0</v>
      </c>
      <c r="X393" s="223">
        <v>0</v>
      </c>
      <c r="Y393" s="223">
        <v>0</v>
      </c>
    </row>
    <row r="394" spans="1:25">
      <c r="A394" s="216">
        <v>45170</v>
      </c>
      <c r="B394" t="s">
        <v>43</v>
      </c>
      <c r="C394">
        <v>1</v>
      </c>
      <c r="D394" t="s">
        <v>453</v>
      </c>
      <c r="E394" s="217">
        <v>45170</v>
      </c>
      <c r="F394">
        <v>169880</v>
      </c>
      <c r="G394" t="s">
        <v>253</v>
      </c>
      <c r="L394" s="222" t="s">
        <v>459</v>
      </c>
      <c r="M394" s="223">
        <v>86632</v>
      </c>
      <c r="N394" s="223">
        <v>86632</v>
      </c>
      <c r="O394" s="223">
        <v>86620.5</v>
      </c>
      <c r="P394" s="223">
        <v>87192</v>
      </c>
      <c r="Q394" s="223">
        <v>87483</v>
      </c>
      <c r="R394" s="223">
        <v>87590</v>
      </c>
      <c r="S394" s="223">
        <v>84998</v>
      </c>
      <c r="T394" s="223">
        <v>87032</v>
      </c>
      <c r="U394" s="223">
        <v>84219.5</v>
      </c>
      <c r="V394" s="223">
        <v>86632</v>
      </c>
      <c r="W394" s="223">
        <v>86632</v>
      </c>
      <c r="X394" s="223">
        <v>86632</v>
      </c>
      <c r="Y394" s="223">
        <v>1038295</v>
      </c>
    </row>
    <row r="395" spans="1:25">
      <c r="A395" s="216">
        <v>45170</v>
      </c>
      <c r="B395" t="s">
        <v>43</v>
      </c>
      <c r="C395">
        <v>1</v>
      </c>
      <c r="D395" t="s">
        <v>453</v>
      </c>
      <c r="E395" s="217">
        <v>45170</v>
      </c>
      <c r="F395">
        <v>170934</v>
      </c>
      <c r="G395" t="s">
        <v>254</v>
      </c>
      <c r="L395" s="222" t="s">
        <v>460</v>
      </c>
      <c r="M395" s="223">
        <v>0</v>
      </c>
      <c r="N395" s="223">
        <v>0</v>
      </c>
      <c r="O395" s="223">
        <v>0</v>
      </c>
      <c r="P395" s="223">
        <v>0</v>
      </c>
      <c r="Q395" s="223">
        <v>0</v>
      </c>
      <c r="R395" s="223">
        <v>0</v>
      </c>
      <c r="S395" s="223">
        <v>0</v>
      </c>
      <c r="T395" s="223">
        <v>0</v>
      </c>
      <c r="U395" s="223">
        <v>0</v>
      </c>
      <c r="V395" s="223">
        <v>0</v>
      </c>
      <c r="W395" s="223">
        <v>0</v>
      </c>
      <c r="X395" s="223">
        <v>0</v>
      </c>
      <c r="Y395" s="223">
        <v>0</v>
      </c>
    </row>
    <row r="396" spans="1:25">
      <c r="A396" s="216">
        <v>45170</v>
      </c>
      <c r="B396" t="s">
        <v>43</v>
      </c>
      <c r="C396">
        <v>1</v>
      </c>
      <c r="D396" t="s">
        <v>453</v>
      </c>
      <c r="E396" s="217">
        <v>45170</v>
      </c>
      <c r="F396">
        <v>162991</v>
      </c>
      <c r="G396" t="s">
        <v>255</v>
      </c>
      <c r="L396" s="220" t="s">
        <v>131</v>
      </c>
      <c r="M396" s="223">
        <v>4411800.4441676512</v>
      </c>
      <c r="N396" s="223">
        <v>4406502.2217131741</v>
      </c>
      <c r="O396" s="223">
        <v>4947369.9968215683</v>
      </c>
      <c r="P396" s="223">
        <v>3998098.2909466662</v>
      </c>
      <c r="Q396" s="223">
        <v>4139517.3655999997</v>
      </c>
      <c r="R396" s="223">
        <v>4524627.1896199975</v>
      </c>
      <c r="S396" s="223">
        <v>4454517.2214790611</v>
      </c>
      <c r="T396" s="223">
        <v>4286330.9319434725</v>
      </c>
      <c r="U396" s="223">
        <v>4236708.2347499989</v>
      </c>
      <c r="V396" s="223">
        <v>4452536.1241488233</v>
      </c>
      <c r="W396" s="223">
        <v>4395484.9110168107</v>
      </c>
      <c r="X396" s="223">
        <v>4523105.8902934901</v>
      </c>
      <c r="Y396" s="223">
        <v>52776598.822500713</v>
      </c>
    </row>
    <row r="397" spans="1:25">
      <c r="A397" s="216">
        <v>45170</v>
      </c>
      <c r="B397" t="s">
        <v>43</v>
      </c>
      <c r="C397">
        <v>1</v>
      </c>
      <c r="D397" t="s">
        <v>453</v>
      </c>
      <c r="E397" s="217">
        <v>45170</v>
      </c>
      <c r="F397">
        <v>160642</v>
      </c>
      <c r="G397" t="s">
        <v>256</v>
      </c>
    </row>
    <row r="398" spans="1:25">
      <c r="A398" s="216">
        <v>45170</v>
      </c>
      <c r="B398" t="s">
        <v>43</v>
      </c>
      <c r="C398">
        <v>1</v>
      </c>
      <c r="D398" t="s">
        <v>453</v>
      </c>
      <c r="E398" s="217">
        <v>45170</v>
      </c>
      <c r="F398">
        <v>161633</v>
      </c>
      <c r="G398" t="s">
        <v>257</v>
      </c>
    </row>
    <row r="399" spans="1:25">
      <c r="A399" s="216">
        <v>45170</v>
      </c>
      <c r="B399" t="s">
        <v>43</v>
      </c>
      <c r="C399">
        <v>1</v>
      </c>
      <c r="D399" t="s">
        <v>453</v>
      </c>
      <c r="E399" s="217">
        <v>45170</v>
      </c>
      <c r="F399">
        <v>161877</v>
      </c>
      <c r="G399" t="s">
        <v>258</v>
      </c>
    </row>
    <row r="400" spans="1:25">
      <c r="A400" s="216">
        <v>45170</v>
      </c>
      <c r="B400" t="s">
        <v>43</v>
      </c>
      <c r="C400">
        <v>1</v>
      </c>
      <c r="D400" t="s">
        <v>453</v>
      </c>
      <c r="E400" s="217">
        <v>45170</v>
      </c>
      <c r="F400">
        <v>164569</v>
      </c>
      <c r="G400" t="s">
        <v>259</v>
      </c>
    </row>
    <row r="401" spans="1:7">
      <c r="A401" s="216">
        <v>45170</v>
      </c>
      <c r="B401" t="s">
        <v>43</v>
      </c>
      <c r="C401">
        <v>1</v>
      </c>
      <c r="D401" t="s">
        <v>453</v>
      </c>
      <c r="E401" s="217">
        <v>45170</v>
      </c>
      <c r="F401">
        <v>166493</v>
      </c>
      <c r="G401" t="s">
        <v>260</v>
      </c>
    </row>
    <row r="402" spans="1:7">
      <c r="A402" s="216">
        <v>45170</v>
      </c>
      <c r="B402" t="s">
        <v>43</v>
      </c>
      <c r="C402">
        <v>1</v>
      </c>
      <c r="D402" t="s">
        <v>453</v>
      </c>
      <c r="E402" s="217">
        <v>45170</v>
      </c>
      <c r="F402">
        <v>163765</v>
      </c>
      <c r="G402" t="s">
        <v>261</v>
      </c>
    </row>
    <row r="403" spans="1:7">
      <c r="A403" s="216">
        <v>45170</v>
      </c>
      <c r="B403" t="s">
        <v>43</v>
      </c>
      <c r="C403">
        <v>1</v>
      </c>
      <c r="D403" t="s">
        <v>453</v>
      </c>
      <c r="E403" s="217">
        <v>45170</v>
      </c>
      <c r="F403">
        <v>165565</v>
      </c>
      <c r="G403" t="s">
        <v>262</v>
      </c>
    </row>
    <row r="404" spans="1:7">
      <c r="A404" s="216">
        <v>45170</v>
      </c>
      <c r="B404" t="s">
        <v>43</v>
      </c>
      <c r="C404">
        <v>1</v>
      </c>
      <c r="D404" t="s">
        <v>453</v>
      </c>
      <c r="E404" s="217">
        <v>45170</v>
      </c>
      <c r="F404">
        <v>1956848</v>
      </c>
      <c r="G404" t="s">
        <v>434</v>
      </c>
    </row>
    <row r="405" spans="1:7">
      <c r="A405" s="216">
        <v>45170</v>
      </c>
      <c r="B405" t="s">
        <v>43</v>
      </c>
      <c r="C405">
        <v>2</v>
      </c>
      <c r="D405" t="s">
        <v>436</v>
      </c>
      <c r="E405" s="217">
        <v>45170</v>
      </c>
      <c r="F405">
        <v>0</v>
      </c>
      <c r="G405" t="s">
        <v>251</v>
      </c>
    </row>
    <row r="406" spans="1:7">
      <c r="A406" s="216">
        <v>45170</v>
      </c>
      <c r="B406" t="s">
        <v>43</v>
      </c>
      <c r="C406">
        <v>2</v>
      </c>
      <c r="D406" t="s">
        <v>436</v>
      </c>
      <c r="E406" s="217">
        <v>45170</v>
      </c>
      <c r="F406">
        <v>0</v>
      </c>
      <c r="G406" t="s">
        <v>252</v>
      </c>
    </row>
    <row r="407" spans="1:7">
      <c r="A407" s="216">
        <v>45170</v>
      </c>
      <c r="B407" t="s">
        <v>43</v>
      </c>
      <c r="C407">
        <v>2</v>
      </c>
      <c r="D407" t="s">
        <v>436</v>
      </c>
      <c r="E407" s="217">
        <v>45170</v>
      </c>
      <c r="F407">
        <v>0</v>
      </c>
      <c r="G407" t="s">
        <v>253</v>
      </c>
    </row>
    <row r="408" spans="1:7">
      <c r="A408" s="216">
        <v>45170</v>
      </c>
      <c r="B408" t="s">
        <v>43</v>
      </c>
      <c r="C408">
        <v>2</v>
      </c>
      <c r="D408" t="s">
        <v>436</v>
      </c>
      <c r="E408" s="217">
        <v>45170</v>
      </c>
      <c r="F408">
        <v>92</v>
      </c>
      <c r="G408" t="s">
        <v>254</v>
      </c>
    </row>
    <row r="409" spans="1:7">
      <c r="A409" s="216">
        <v>45170</v>
      </c>
      <c r="B409" t="s">
        <v>43</v>
      </c>
      <c r="C409">
        <v>2</v>
      </c>
      <c r="D409" t="s">
        <v>436</v>
      </c>
      <c r="E409" s="217">
        <v>45170</v>
      </c>
      <c r="F409">
        <v>0</v>
      </c>
      <c r="G409" t="s">
        <v>255</v>
      </c>
    </row>
    <row r="410" spans="1:7">
      <c r="A410" s="216">
        <v>45170</v>
      </c>
      <c r="B410" t="s">
        <v>43</v>
      </c>
      <c r="C410">
        <v>2</v>
      </c>
      <c r="D410" t="s">
        <v>436</v>
      </c>
      <c r="E410" s="217">
        <v>45170</v>
      </c>
      <c r="F410">
        <v>0</v>
      </c>
      <c r="G410" t="s">
        <v>256</v>
      </c>
    </row>
    <row r="411" spans="1:7">
      <c r="A411" s="216">
        <v>45170</v>
      </c>
      <c r="B411" t="s">
        <v>43</v>
      </c>
      <c r="C411">
        <v>2</v>
      </c>
      <c r="D411" t="s">
        <v>436</v>
      </c>
      <c r="E411" s="217">
        <v>45170</v>
      </c>
      <c r="F411">
        <v>159</v>
      </c>
      <c r="G411" t="s">
        <v>257</v>
      </c>
    </row>
    <row r="412" spans="1:7">
      <c r="A412" s="216">
        <v>45170</v>
      </c>
      <c r="B412" t="s">
        <v>43</v>
      </c>
      <c r="C412">
        <v>2</v>
      </c>
      <c r="D412" t="s">
        <v>436</v>
      </c>
      <c r="E412" s="217">
        <v>45170</v>
      </c>
      <c r="F412">
        <v>0</v>
      </c>
      <c r="G412" t="s">
        <v>258</v>
      </c>
    </row>
    <row r="413" spans="1:7">
      <c r="A413" s="216">
        <v>45170</v>
      </c>
      <c r="B413" t="s">
        <v>43</v>
      </c>
      <c r="C413">
        <v>2</v>
      </c>
      <c r="D413" t="s">
        <v>436</v>
      </c>
      <c r="E413" s="217">
        <v>45170</v>
      </c>
      <c r="F413">
        <v>291</v>
      </c>
      <c r="G413" t="s">
        <v>259</v>
      </c>
    </row>
    <row r="414" spans="1:7">
      <c r="A414" s="216">
        <v>45170</v>
      </c>
      <c r="B414" t="s">
        <v>43</v>
      </c>
      <c r="C414">
        <v>2</v>
      </c>
      <c r="D414" t="s">
        <v>436</v>
      </c>
      <c r="E414" s="217">
        <v>45170</v>
      </c>
      <c r="F414">
        <v>0</v>
      </c>
      <c r="G414" t="s">
        <v>260</v>
      </c>
    </row>
    <row r="415" spans="1:7">
      <c r="A415" s="216">
        <v>45170</v>
      </c>
      <c r="B415" t="s">
        <v>43</v>
      </c>
      <c r="C415">
        <v>2</v>
      </c>
      <c r="D415" t="s">
        <v>436</v>
      </c>
      <c r="E415" s="217">
        <v>45170</v>
      </c>
      <c r="F415">
        <v>0</v>
      </c>
      <c r="G415" t="s">
        <v>261</v>
      </c>
    </row>
    <row r="416" spans="1:7">
      <c r="A416" s="216">
        <v>45170</v>
      </c>
      <c r="B416" t="s">
        <v>43</v>
      </c>
      <c r="C416">
        <v>2</v>
      </c>
      <c r="D416" t="s">
        <v>436</v>
      </c>
      <c r="E416" s="217">
        <v>45170</v>
      </c>
      <c r="F416">
        <v>0</v>
      </c>
      <c r="G416" t="s">
        <v>262</v>
      </c>
    </row>
    <row r="417" spans="1:7">
      <c r="A417" s="216">
        <v>45170</v>
      </c>
      <c r="B417" t="s">
        <v>43</v>
      </c>
      <c r="C417">
        <v>2</v>
      </c>
      <c r="D417" t="s">
        <v>436</v>
      </c>
      <c r="E417" s="217">
        <v>45170</v>
      </c>
      <c r="F417">
        <v>542</v>
      </c>
      <c r="G417" t="s">
        <v>434</v>
      </c>
    </row>
    <row r="418" spans="1:7">
      <c r="A418" s="216">
        <v>45170</v>
      </c>
      <c r="B418" t="s">
        <v>43</v>
      </c>
      <c r="C418">
        <v>3</v>
      </c>
      <c r="D418" t="s">
        <v>459</v>
      </c>
      <c r="E418" s="217">
        <v>45170</v>
      </c>
      <c r="F418">
        <v>808</v>
      </c>
      <c r="G418" t="s">
        <v>251</v>
      </c>
    </row>
    <row r="419" spans="1:7">
      <c r="A419" s="216">
        <v>45170</v>
      </c>
      <c r="B419" t="s">
        <v>43</v>
      </c>
      <c r="C419">
        <v>3</v>
      </c>
      <c r="D419" t="s">
        <v>459</v>
      </c>
      <c r="E419" s="217">
        <v>45170</v>
      </c>
      <c r="F419">
        <v>995</v>
      </c>
      <c r="G419" t="s">
        <v>252</v>
      </c>
    </row>
    <row r="420" spans="1:7">
      <c r="A420" s="216">
        <v>45170</v>
      </c>
      <c r="B420" t="s">
        <v>43</v>
      </c>
      <c r="C420">
        <v>3</v>
      </c>
      <c r="D420" t="s">
        <v>459</v>
      </c>
      <c r="E420" s="217">
        <v>45170</v>
      </c>
      <c r="F420">
        <v>1117</v>
      </c>
      <c r="G420" t="s">
        <v>253</v>
      </c>
    </row>
    <row r="421" spans="1:7">
      <c r="A421" s="216">
        <v>45170</v>
      </c>
      <c r="B421" t="s">
        <v>43</v>
      </c>
      <c r="C421">
        <v>3</v>
      </c>
      <c r="D421" t="s">
        <v>459</v>
      </c>
      <c r="E421" s="217">
        <v>45170</v>
      </c>
      <c r="F421">
        <v>942</v>
      </c>
      <c r="G421" t="s">
        <v>254</v>
      </c>
    </row>
    <row r="422" spans="1:7">
      <c r="A422" s="216">
        <v>45170</v>
      </c>
      <c r="B422" t="s">
        <v>43</v>
      </c>
      <c r="C422">
        <v>3</v>
      </c>
      <c r="D422" t="s">
        <v>459</v>
      </c>
      <c r="E422" s="217">
        <v>45170</v>
      </c>
      <c r="F422">
        <v>1082</v>
      </c>
      <c r="G422" t="s">
        <v>255</v>
      </c>
    </row>
    <row r="423" spans="1:7">
      <c r="A423" s="216">
        <v>45170</v>
      </c>
      <c r="B423" t="s">
        <v>43</v>
      </c>
      <c r="C423">
        <v>3</v>
      </c>
      <c r="D423" t="s">
        <v>459</v>
      </c>
      <c r="E423" s="217">
        <v>45170</v>
      </c>
      <c r="F423">
        <v>969</v>
      </c>
      <c r="G423" t="s">
        <v>256</v>
      </c>
    </row>
    <row r="424" spans="1:7">
      <c r="A424" s="216">
        <v>45170</v>
      </c>
      <c r="B424" t="s">
        <v>43</v>
      </c>
      <c r="C424">
        <v>3</v>
      </c>
      <c r="D424" t="s">
        <v>459</v>
      </c>
      <c r="E424" s="217">
        <v>45170</v>
      </c>
      <c r="F424">
        <v>973</v>
      </c>
      <c r="G424" t="s">
        <v>257</v>
      </c>
    </row>
    <row r="425" spans="1:7">
      <c r="A425" s="216">
        <v>45170</v>
      </c>
      <c r="B425" t="s">
        <v>43</v>
      </c>
      <c r="C425">
        <v>3</v>
      </c>
      <c r="D425" t="s">
        <v>459</v>
      </c>
      <c r="E425" s="217">
        <v>45170</v>
      </c>
      <c r="F425">
        <v>971</v>
      </c>
      <c r="G425" t="s">
        <v>258</v>
      </c>
    </row>
    <row r="426" spans="1:7">
      <c r="A426" s="216">
        <v>45170</v>
      </c>
      <c r="B426" t="s">
        <v>43</v>
      </c>
      <c r="C426">
        <v>3</v>
      </c>
      <c r="D426" t="s">
        <v>459</v>
      </c>
      <c r="E426" s="217">
        <v>45170</v>
      </c>
      <c r="F426">
        <v>971</v>
      </c>
      <c r="G426" t="s">
        <v>259</v>
      </c>
    </row>
    <row r="427" spans="1:7">
      <c r="A427" s="216">
        <v>45170</v>
      </c>
      <c r="B427" t="s">
        <v>43</v>
      </c>
      <c r="C427">
        <v>3</v>
      </c>
      <c r="D427" t="s">
        <v>459</v>
      </c>
      <c r="E427" s="217">
        <v>45170</v>
      </c>
      <c r="F427">
        <v>971</v>
      </c>
      <c r="G427" t="s">
        <v>260</v>
      </c>
    </row>
    <row r="428" spans="1:7">
      <c r="A428" s="216">
        <v>45170</v>
      </c>
      <c r="B428" t="s">
        <v>43</v>
      </c>
      <c r="C428">
        <v>3</v>
      </c>
      <c r="D428" t="s">
        <v>459</v>
      </c>
      <c r="E428" s="217">
        <v>45170</v>
      </c>
      <c r="F428">
        <v>971</v>
      </c>
      <c r="G428" t="s">
        <v>261</v>
      </c>
    </row>
    <row r="429" spans="1:7">
      <c r="A429" s="216">
        <v>45170</v>
      </c>
      <c r="B429" t="s">
        <v>43</v>
      </c>
      <c r="C429">
        <v>3</v>
      </c>
      <c r="D429" t="s">
        <v>459</v>
      </c>
      <c r="E429" s="217">
        <v>45170</v>
      </c>
      <c r="F429">
        <v>972</v>
      </c>
      <c r="G429" t="s">
        <v>262</v>
      </c>
    </row>
    <row r="430" spans="1:7">
      <c r="A430" s="216">
        <v>45170</v>
      </c>
      <c r="B430" t="s">
        <v>43</v>
      </c>
      <c r="C430">
        <v>3</v>
      </c>
      <c r="D430" t="s">
        <v>459</v>
      </c>
      <c r="E430" s="217">
        <v>45170</v>
      </c>
      <c r="F430">
        <v>11742</v>
      </c>
      <c r="G430" t="s">
        <v>434</v>
      </c>
    </row>
    <row r="431" spans="1:7">
      <c r="A431" s="216">
        <v>45170</v>
      </c>
      <c r="B431" t="s">
        <v>43</v>
      </c>
      <c r="C431">
        <v>4</v>
      </c>
      <c r="D431" t="s">
        <v>460</v>
      </c>
      <c r="E431" s="217">
        <v>45170</v>
      </c>
      <c r="F431">
        <v>3911</v>
      </c>
      <c r="G431" t="s">
        <v>251</v>
      </c>
    </row>
    <row r="432" spans="1:7">
      <c r="A432" s="216">
        <v>45170</v>
      </c>
      <c r="B432" t="s">
        <v>43</v>
      </c>
      <c r="C432">
        <v>4</v>
      </c>
      <c r="D432" t="s">
        <v>460</v>
      </c>
      <c r="E432" s="217">
        <v>45170</v>
      </c>
      <c r="F432">
        <v>4096</v>
      </c>
      <c r="G432" t="s">
        <v>252</v>
      </c>
    </row>
    <row r="433" spans="1:7">
      <c r="A433" s="216">
        <v>45170</v>
      </c>
      <c r="B433" t="s">
        <v>43</v>
      </c>
      <c r="C433">
        <v>4</v>
      </c>
      <c r="D433" t="s">
        <v>460</v>
      </c>
      <c r="E433" s="217">
        <v>45170</v>
      </c>
      <c r="F433">
        <v>4561</v>
      </c>
      <c r="G433" t="s">
        <v>253</v>
      </c>
    </row>
    <row r="434" spans="1:7">
      <c r="A434" s="216">
        <v>45170</v>
      </c>
      <c r="B434" t="s">
        <v>43</v>
      </c>
      <c r="C434">
        <v>4</v>
      </c>
      <c r="D434" t="s">
        <v>460</v>
      </c>
      <c r="E434" s="217">
        <v>45170</v>
      </c>
      <c r="F434">
        <v>4248</v>
      </c>
      <c r="G434" t="s">
        <v>254</v>
      </c>
    </row>
    <row r="435" spans="1:7">
      <c r="A435" s="216">
        <v>45170</v>
      </c>
      <c r="B435" t="s">
        <v>43</v>
      </c>
      <c r="C435">
        <v>4</v>
      </c>
      <c r="D435" t="s">
        <v>460</v>
      </c>
      <c r="E435" s="217">
        <v>45170</v>
      </c>
      <c r="F435">
        <v>4350</v>
      </c>
      <c r="G435" t="s">
        <v>255</v>
      </c>
    </row>
    <row r="436" spans="1:7">
      <c r="A436" s="216">
        <v>45170</v>
      </c>
      <c r="B436" t="s">
        <v>43</v>
      </c>
      <c r="C436">
        <v>4</v>
      </c>
      <c r="D436" t="s">
        <v>460</v>
      </c>
      <c r="E436" s="217">
        <v>45170</v>
      </c>
      <c r="F436">
        <v>4111</v>
      </c>
      <c r="G436" t="s">
        <v>256</v>
      </c>
    </row>
    <row r="437" spans="1:7">
      <c r="A437" s="216">
        <v>45170</v>
      </c>
      <c r="B437" t="s">
        <v>43</v>
      </c>
      <c r="C437">
        <v>4</v>
      </c>
      <c r="D437" t="s">
        <v>460</v>
      </c>
      <c r="E437" s="217">
        <v>45170</v>
      </c>
      <c r="F437">
        <v>4165</v>
      </c>
      <c r="G437" t="s">
        <v>257</v>
      </c>
    </row>
    <row r="438" spans="1:7">
      <c r="A438" s="216">
        <v>45170</v>
      </c>
      <c r="B438" t="s">
        <v>43</v>
      </c>
      <c r="C438">
        <v>4</v>
      </c>
      <c r="D438" t="s">
        <v>460</v>
      </c>
      <c r="E438" s="217">
        <v>45170</v>
      </c>
      <c r="F438">
        <v>4165</v>
      </c>
      <c r="G438" t="s">
        <v>258</v>
      </c>
    </row>
    <row r="439" spans="1:7">
      <c r="A439" s="216">
        <v>45170</v>
      </c>
      <c r="B439" t="s">
        <v>43</v>
      </c>
      <c r="C439">
        <v>4</v>
      </c>
      <c r="D439" t="s">
        <v>460</v>
      </c>
      <c r="E439" s="217">
        <v>45170</v>
      </c>
      <c r="F439">
        <v>4165</v>
      </c>
      <c r="G439" t="s">
        <v>259</v>
      </c>
    </row>
    <row r="440" spans="1:7">
      <c r="A440" s="216">
        <v>45170</v>
      </c>
      <c r="B440" t="s">
        <v>43</v>
      </c>
      <c r="C440">
        <v>4</v>
      </c>
      <c r="D440" t="s">
        <v>460</v>
      </c>
      <c r="E440" s="217">
        <v>45170</v>
      </c>
      <c r="F440">
        <v>4165</v>
      </c>
      <c r="G440" t="s">
        <v>260</v>
      </c>
    </row>
    <row r="441" spans="1:7">
      <c r="A441" s="216">
        <v>45170</v>
      </c>
      <c r="B441" t="s">
        <v>43</v>
      </c>
      <c r="C441">
        <v>4</v>
      </c>
      <c r="D441" t="s">
        <v>460</v>
      </c>
      <c r="E441" s="217">
        <v>45170</v>
      </c>
      <c r="F441">
        <v>4165</v>
      </c>
      <c r="G441" t="s">
        <v>261</v>
      </c>
    </row>
    <row r="442" spans="1:7">
      <c r="A442" s="216">
        <v>45170</v>
      </c>
      <c r="B442" t="s">
        <v>43</v>
      </c>
      <c r="C442">
        <v>4</v>
      </c>
      <c r="D442" t="s">
        <v>460</v>
      </c>
      <c r="E442" s="217">
        <v>45170</v>
      </c>
      <c r="F442">
        <v>4165</v>
      </c>
      <c r="G442" t="s">
        <v>262</v>
      </c>
    </row>
    <row r="443" spans="1:7">
      <c r="A443" s="216">
        <v>45170</v>
      </c>
      <c r="B443" t="s">
        <v>43</v>
      </c>
      <c r="C443">
        <v>4</v>
      </c>
      <c r="D443" t="s">
        <v>460</v>
      </c>
      <c r="E443" s="217">
        <v>45170</v>
      </c>
      <c r="F443">
        <v>50267</v>
      </c>
      <c r="G443" t="s">
        <v>434</v>
      </c>
    </row>
    <row r="444" spans="1:7">
      <c r="A444" s="216">
        <v>45170</v>
      </c>
      <c r="B444" t="s">
        <v>43</v>
      </c>
      <c r="C444">
        <v>8</v>
      </c>
      <c r="D444" t="s">
        <v>451</v>
      </c>
      <c r="E444" s="217">
        <v>45170</v>
      </c>
      <c r="F444">
        <v>18650</v>
      </c>
      <c r="G444" t="s">
        <v>251</v>
      </c>
    </row>
    <row r="445" spans="1:7">
      <c r="A445" s="216">
        <v>45170</v>
      </c>
      <c r="B445" t="s">
        <v>43</v>
      </c>
      <c r="C445">
        <v>8</v>
      </c>
      <c r="D445" t="s">
        <v>451</v>
      </c>
      <c r="E445" s="217">
        <v>45170</v>
      </c>
      <c r="F445">
        <v>18254</v>
      </c>
      <c r="G445" t="s">
        <v>252</v>
      </c>
    </row>
    <row r="446" spans="1:7">
      <c r="A446" s="216">
        <v>45170</v>
      </c>
      <c r="B446" t="s">
        <v>43</v>
      </c>
      <c r="C446">
        <v>8</v>
      </c>
      <c r="D446" t="s">
        <v>451</v>
      </c>
      <c r="E446" s="217">
        <v>45170</v>
      </c>
      <c r="F446">
        <v>18914</v>
      </c>
      <c r="G446" t="s">
        <v>253</v>
      </c>
    </row>
    <row r="447" spans="1:7">
      <c r="A447" s="216">
        <v>45170</v>
      </c>
      <c r="B447" t="s">
        <v>43</v>
      </c>
      <c r="C447">
        <v>8</v>
      </c>
      <c r="D447" t="s">
        <v>451</v>
      </c>
      <c r="E447" s="217">
        <v>45170</v>
      </c>
      <c r="F447">
        <v>19128</v>
      </c>
      <c r="G447" t="s">
        <v>254</v>
      </c>
    </row>
    <row r="448" spans="1:7">
      <c r="A448" s="216">
        <v>45170</v>
      </c>
      <c r="B448" t="s">
        <v>43</v>
      </c>
      <c r="C448">
        <v>8</v>
      </c>
      <c r="D448" t="s">
        <v>451</v>
      </c>
      <c r="E448" s="217">
        <v>45170</v>
      </c>
      <c r="F448">
        <v>18171</v>
      </c>
      <c r="G448" t="s">
        <v>255</v>
      </c>
    </row>
    <row r="449" spans="1:7">
      <c r="A449" s="216">
        <v>45170</v>
      </c>
      <c r="B449" t="s">
        <v>43</v>
      </c>
      <c r="C449">
        <v>8</v>
      </c>
      <c r="D449" t="s">
        <v>451</v>
      </c>
      <c r="E449" s="217">
        <v>45170</v>
      </c>
      <c r="F449">
        <v>19019</v>
      </c>
      <c r="G449" t="s">
        <v>256</v>
      </c>
    </row>
    <row r="450" spans="1:7">
      <c r="A450" s="216">
        <v>45170</v>
      </c>
      <c r="B450" t="s">
        <v>43</v>
      </c>
      <c r="C450">
        <v>8</v>
      </c>
      <c r="D450" t="s">
        <v>451</v>
      </c>
      <c r="E450" s="217">
        <v>45170</v>
      </c>
      <c r="F450">
        <v>18870</v>
      </c>
      <c r="G450" t="s">
        <v>257</v>
      </c>
    </row>
    <row r="451" spans="1:7">
      <c r="A451" s="216">
        <v>45170</v>
      </c>
      <c r="B451" t="s">
        <v>43</v>
      </c>
      <c r="C451">
        <v>8</v>
      </c>
      <c r="D451" t="s">
        <v>451</v>
      </c>
      <c r="E451" s="217">
        <v>45170</v>
      </c>
      <c r="F451">
        <v>18667</v>
      </c>
      <c r="G451" t="s">
        <v>258</v>
      </c>
    </row>
    <row r="452" spans="1:7">
      <c r="A452" s="216">
        <v>45170</v>
      </c>
      <c r="B452" t="s">
        <v>43</v>
      </c>
      <c r="C452">
        <v>8</v>
      </c>
      <c r="D452" t="s">
        <v>451</v>
      </c>
      <c r="E452" s="217">
        <v>45170</v>
      </c>
      <c r="F452">
        <v>18870</v>
      </c>
      <c r="G452" t="s">
        <v>259</v>
      </c>
    </row>
    <row r="453" spans="1:7">
      <c r="A453" s="216">
        <v>45170</v>
      </c>
      <c r="B453" t="s">
        <v>43</v>
      </c>
      <c r="C453">
        <v>8</v>
      </c>
      <c r="D453" t="s">
        <v>451</v>
      </c>
      <c r="E453" s="217">
        <v>45170</v>
      </c>
      <c r="F453">
        <v>18870</v>
      </c>
      <c r="G453" t="s">
        <v>260</v>
      </c>
    </row>
    <row r="454" spans="1:7">
      <c r="A454" s="216">
        <v>45170</v>
      </c>
      <c r="B454" t="s">
        <v>43</v>
      </c>
      <c r="C454">
        <v>8</v>
      </c>
      <c r="D454" t="s">
        <v>451</v>
      </c>
      <c r="E454" s="217">
        <v>45170</v>
      </c>
      <c r="F454">
        <v>18262</v>
      </c>
      <c r="G454" t="s">
        <v>261</v>
      </c>
    </row>
    <row r="455" spans="1:7">
      <c r="A455" s="216">
        <v>45170</v>
      </c>
      <c r="B455" t="s">
        <v>43</v>
      </c>
      <c r="C455">
        <v>8</v>
      </c>
      <c r="D455" t="s">
        <v>451</v>
      </c>
      <c r="E455" s="217">
        <v>45170</v>
      </c>
      <c r="F455">
        <v>18870</v>
      </c>
      <c r="G455" t="s">
        <v>262</v>
      </c>
    </row>
    <row r="456" spans="1:7">
      <c r="A456" s="216">
        <v>45170</v>
      </c>
      <c r="B456" t="s">
        <v>43</v>
      </c>
      <c r="C456">
        <v>8</v>
      </c>
      <c r="D456" t="s">
        <v>451</v>
      </c>
      <c r="E456" s="217">
        <v>45170</v>
      </c>
      <c r="F456">
        <v>224545</v>
      </c>
      <c r="G456" t="s">
        <v>434</v>
      </c>
    </row>
    <row r="457" spans="1:7">
      <c r="A457" s="216">
        <v>45170</v>
      </c>
      <c r="B457" t="s">
        <v>43</v>
      </c>
      <c r="C457">
        <v>9</v>
      </c>
      <c r="D457" t="s">
        <v>450</v>
      </c>
      <c r="E457" s="217">
        <v>45170</v>
      </c>
      <c r="F457">
        <v>9311</v>
      </c>
      <c r="G457" t="s">
        <v>251</v>
      </c>
    </row>
    <row r="458" spans="1:7">
      <c r="A458" s="216">
        <v>45170</v>
      </c>
      <c r="B458" t="s">
        <v>43</v>
      </c>
      <c r="C458">
        <v>9</v>
      </c>
      <c r="D458" t="s">
        <v>450</v>
      </c>
      <c r="E458" s="217">
        <v>45170</v>
      </c>
      <c r="F458">
        <v>10367</v>
      </c>
      <c r="G458" t="s">
        <v>252</v>
      </c>
    </row>
    <row r="459" spans="1:7">
      <c r="A459" s="216">
        <v>45170</v>
      </c>
      <c r="B459" t="s">
        <v>43</v>
      </c>
      <c r="C459">
        <v>9</v>
      </c>
      <c r="D459" t="s">
        <v>450</v>
      </c>
      <c r="E459" s="217">
        <v>45170</v>
      </c>
      <c r="F459">
        <v>11368</v>
      </c>
      <c r="G459" t="s">
        <v>253</v>
      </c>
    </row>
    <row r="460" spans="1:7">
      <c r="A460" s="216">
        <v>45170</v>
      </c>
      <c r="B460" t="s">
        <v>43</v>
      </c>
      <c r="C460">
        <v>9</v>
      </c>
      <c r="D460" t="s">
        <v>450</v>
      </c>
      <c r="E460" s="217">
        <v>45170</v>
      </c>
      <c r="F460">
        <v>10969</v>
      </c>
      <c r="G460" t="s">
        <v>254</v>
      </c>
    </row>
    <row r="461" spans="1:7">
      <c r="A461" s="216">
        <v>45170</v>
      </c>
      <c r="B461" t="s">
        <v>43</v>
      </c>
      <c r="C461">
        <v>9</v>
      </c>
      <c r="D461" t="s">
        <v>450</v>
      </c>
      <c r="E461" s="217">
        <v>45170</v>
      </c>
      <c r="F461">
        <v>12193</v>
      </c>
      <c r="G461" t="s">
        <v>255</v>
      </c>
    </row>
    <row r="462" spans="1:7">
      <c r="A462" s="216">
        <v>45170</v>
      </c>
      <c r="B462" t="s">
        <v>43</v>
      </c>
      <c r="C462">
        <v>9</v>
      </c>
      <c r="D462" t="s">
        <v>450</v>
      </c>
      <c r="E462" s="217">
        <v>45170</v>
      </c>
      <c r="F462">
        <v>10794</v>
      </c>
      <c r="G462" t="s">
        <v>256</v>
      </c>
    </row>
    <row r="463" spans="1:7">
      <c r="A463" s="216">
        <v>45170</v>
      </c>
      <c r="B463" t="s">
        <v>43</v>
      </c>
      <c r="C463">
        <v>9</v>
      </c>
      <c r="D463" t="s">
        <v>450</v>
      </c>
      <c r="E463" s="217">
        <v>45170</v>
      </c>
      <c r="F463">
        <v>11038</v>
      </c>
      <c r="G463" t="s">
        <v>257</v>
      </c>
    </row>
    <row r="464" spans="1:7">
      <c r="A464" s="216">
        <v>45170</v>
      </c>
      <c r="B464" t="s">
        <v>43</v>
      </c>
      <c r="C464">
        <v>9</v>
      </c>
      <c r="D464" t="s">
        <v>450</v>
      </c>
      <c r="E464" s="217">
        <v>45170</v>
      </c>
      <c r="F464">
        <v>10886</v>
      </c>
      <c r="G464" t="s">
        <v>258</v>
      </c>
    </row>
    <row r="465" spans="1:7">
      <c r="A465" s="216">
        <v>45170</v>
      </c>
      <c r="B465" t="s">
        <v>43</v>
      </c>
      <c r="C465">
        <v>9</v>
      </c>
      <c r="D465" t="s">
        <v>450</v>
      </c>
      <c r="E465" s="217">
        <v>45170</v>
      </c>
      <c r="F465">
        <v>10751</v>
      </c>
      <c r="G465" t="s">
        <v>259</v>
      </c>
    </row>
    <row r="466" spans="1:7">
      <c r="A466" s="216">
        <v>45170</v>
      </c>
      <c r="B466" t="s">
        <v>43</v>
      </c>
      <c r="C466">
        <v>9</v>
      </c>
      <c r="D466" t="s">
        <v>450</v>
      </c>
      <c r="E466" s="217">
        <v>45170</v>
      </c>
      <c r="F466">
        <v>11326</v>
      </c>
      <c r="G466" t="s">
        <v>260</v>
      </c>
    </row>
    <row r="467" spans="1:7">
      <c r="A467" s="216">
        <v>45170</v>
      </c>
      <c r="B467" t="s">
        <v>43</v>
      </c>
      <c r="C467">
        <v>9</v>
      </c>
      <c r="D467" t="s">
        <v>450</v>
      </c>
      <c r="E467" s="217">
        <v>45170</v>
      </c>
      <c r="F467">
        <v>10296</v>
      </c>
      <c r="G467" t="s">
        <v>261</v>
      </c>
    </row>
    <row r="468" spans="1:7">
      <c r="A468" s="216">
        <v>45170</v>
      </c>
      <c r="B468" t="s">
        <v>43</v>
      </c>
      <c r="C468">
        <v>9</v>
      </c>
      <c r="D468" t="s">
        <v>450</v>
      </c>
      <c r="E468" s="217">
        <v>45170</v>
      </c>
      <c r="F468">
        <v>10462</v>
      </c>
      <c r="G468" t="s">
        <v>262</v>
      </c>
    </row>
    <row r="469" spans="1:7">
      <c r="A469" s="216">
        <v>45170</v>
      </c>
      <c r="B469" t="s">
        <v>43</v>
      </c>
      <c r="C469">
        <v>9</v>
      </c>
      <c r="D469" t="s">
        <v>450</v>
      </c>
      <c r="E469" s="217">
        <v>45170</v>
      </c>
      <c r="F469">
        <v>129761</v>
      </c>
      <c r="G469" t="s">
        <v>434</v>
      </c>
    </row>
    <row r="470" spans="1:7">
      <c r="A470" s="216">
        <v>45170</v>
      </c>
      <c r="B470" t="s">
        <v>43</v>
      </c>
      <c r="C470">
        <v>10</v>
      </c>
      <c r="D470" t="s">
        <v>433</v>
      </c>
      <c r="E470" s="217">
        <v>45170</v>
      </c>
      <c r="F470">
        <v>81090</v>
      </c>
      <c r="G470" t="s">
        <v>251</v>
      </c>
    </row>
    <row r="471" spans="1:7">
      <c r="A471" s="216">
        <v>45170</v>
      </c>
      <c r="B471" t="s">
        <v>43</v>
      </c>
      <c r="C471">
        <v>10</v>
      </c>
      <c r="D471" t="s">
        <v>433</v>
      </c>
      <c r="E471" s="217">
        <v>45170</v>
      </c>
      <c r="F471">
        <v>85302</v>
      </c>
      <c r="G471" t="s">
        <v>252</v>
      </c>
    </row>
    <row r="472" spans="1:7">
      <c r="A472" s="216">
        <v>45170</v>
      </c>
      <c r="B472" t="s">
        <v>43</v>
      </c>
      <c r="C472">
        <v>10</v>
      </c>
      <c r="D472" t="s">
        <v>433</v>
      </c>
      <c r="E472" s="217">
        <v>45170</v>
      </c>
      <c r="F472">
        <v>102663</v>
      </c>
      <c r="G472" t="s">
        <v>253</v>
      </c>
    </row>
    <row r="473" spans="1:7">
      <c r="A473" s="216">
        <v>45170</v>
      </c>
      <c r="B473" t="s">
        <v>43</v>
      </c>
      <c r="C473">
        <v>10</v>
      </c>
      <c r="D473" t="s">
        <v>433</v>
      </c>
      <c r="E473" s="217">
        <v>45170</v>
      </c>
      <c r="F473">
        <v>96188</v>
      </c>
      <c r="G473" t="s">
        <v>254</v>
      </c>
    </row>
    <row r="474" spans="1:7">
      <c r="A474" s="216">
        <v>45170</v>
      </c>
      <c r="B474" t="s">
        <v>43</v>
      </c>
      <c r="C474">
        <v>10</v>
      </c>
      <c r="D474" t="s">
        <v>433</v>
      </c>
      <c r="E474" s="217">
        <v>45170</v>
      </c>
      <c r="F474">
        <v>87990</v>
      </c>
      <c r="G474" t="s">
        <v>255</v>
      </c>
    </row>
    <row r="475" spans="1:7">
      <c r="A475" s="216">
        <v>45170</v>
      </c>
      <c r="B475" t="s">
        <v>43</v>
      </c>
      <c r="C475">
        <v>10</v>
      </c>
      <c r="D475" t="s">
        <v>433</v>
      </c>
      <c r="E475" s="217">
        <v>45170</v>
      </c>
      <c r="F475">
        <v>86790</v>
      </c>
      <c r="G475" t="s">
        <v>256</v>
      </c>
    </row>
    <row r="476" spans="1:7">
      <c r="A476" s="216">
        <v>45170</v>
      </c>
      <c r="B476" t="s">
        <v>43</v>
      </c>
      <c r="C476">
        <v>10</v>
      </c>
      <c r="D476" t="s">
        <v>433</v>
      </c>
      <c r="E476" s="217">
        <v>45170</v>
      </c>
      <c r="F476">
        <v>87602</v>
      </c>
      <c r="G476" t="s">
        <v>257</v>
      </c>
    </row>
    <row r="477" spans="1:7">
      <c r="A477" s="216">
        <v>45170</v>
      </c>
      <c r="B477" t="s">
        <v>43</v>
      </c>
      <c r="C477">
        <v>10</v>
      </c>
      <c r="D477" t="s">
        <v>433</v>
      </c>
      <c r="E477" s="217">
        <v>45170</v>
      </c>
      <c r="F477">
        <v>87667</v>
      </c>
      <c r="G477" t="s">
        <v>258</v>
      </c>
    </row>
    <row r="478" spans="1:7">
      <c r="A478" s="216">
        <v>45170</v>
      </c>
      <c r="B478" t="s">
        <v>43</v>
      </c>
      <c r="C478">
        <v>10</v>
      </c>
      <c r="D478" t="s">
        <v>433</v>
      </c>
      <c r="E478" s="217">
        <v>45170</v>
      </c>
      <c r="F478">
        <v>87642</v>
      </c>
      <c r="G478" t="s">
        <v>259</v>
      </c>
    </row>
    <row r="479" spans="1:7">
      <c r="A479" s="216">
        <v>45170</v>
      </c>
      <c r="B479" t="s">
        <v>43</v>
      </c>
      <c r="C479">
        <v>10</v>
      </c>
      <c r="D479" t="s">
        <v>433</v>
      </c>
      <c r="E479" s="217">
        <v>45170</v>
      </c>
      <c r="F479">
        <v>87965</v>
      </c>
      <c r="G479" t="s">
        <v>260</v>
      </c>
    </row>
    <row r="480" spans="1:7">
      <c r="A480" s="216">
        <v>45170</v>
      </c>
      <c r="B480" t="s">
        <v>43</v>
      </c>
      <c r="C480">
        <v>10</v>
      </c>
      <c r="D480" t="s">
        <v>433</v>
      </c>
      <c r="E480" s="217">
        <v>45170</v>
      </c>
      <c r="F480">
        <v>87795</v>
      </c>
      <c r="G480" t="s">
        <v>261</v>
      </c>
    </row>
    <row r="481" spans="1:7">
      <c r="A481" s="216">
        <v>45170</v>
      </c>
      <c r="B481" t="s">
        <v>43</v>
      </c>
      <c r="C481">
        <v>10</v>
      </c>
      <c r="D481" t="s">
        <v>433</v>
      </c>
      <c r="E481" s="217">
        <v>45170</v>
      </c>
      <c r="F481">
        <v>87659</v>
      </c>
      <c r="G481" t="s">
        <v>262</v>
      </c>
    </row>
    <row r="482" spans="1:7">
      <c r="A482" s="216">
        <v>45170</v>
      </c>
      <c r="B482" t="s">
        <v>43</v>
      </c>
      <c r="C482">
        <v>10</v>
      </c>
      <c r="D482" t="s">
        <v>433</v>
      </c>
      <c r="E482" s="217">
        <v>45170</v>
      </c>
      <c r="F482">
        <v>1066353</v>
      </c>
      <c r="G482" t="s">
        <v>434</v>
      </c>
    </row>
    <row r="483" spans="1:7">
      <c r="A483" s="216">
        <v>45170</v>
      </c>
      <c r="B483" t="s">
        <v>43</v>
      </c>
      <c r="C483">
        <v>11</v>
      </c>
      <c r="D483" t="s">
        <v>445</v>
      </c>
      <c r="E483" s="217">
        <v>45170</v>
      </c>
      <c r="F483">
        <v>16004</v>
      </c>
      <c r="G483" t="s">
        <v>251</v>
      </c>
    </row>
    <row r="484" spans="1:7">
      <c r="A484" s="216">
        <v>45170</v>
      </c>
      <c r="B484" t="s">
        <v>43</v>
      </c>
      <c r="C484">
        <v>11</v>
      </c>
      <c r="D484" t="s">
        <v>445</v>
      </c>
      <c r="E484" s="217">
        <v>45170</v>
      </c>
      <c r="F484">
        <v>18405</v>
      </c>
      <c r="G484" t="s">
        <v>252</v>
      </c>
    </row>
    <row r="485" spans="1:7">
      <c r="A485" s="216">
        <v>45170</v>
      </c>
      <c r="B485" t="s">
        <v>43</v>
      </c>
      <c r="C485">
        <v>11</v>
      </c>
      <c r="D485" t="s">
        <v>445</v>
      </c>
      <c r="E485" s="217">
        <v>45170</v>
      </c>
      <c r="F485">
        <v>18429</v>
      </c>
      <c r="G485" t="s">
        <v>253</v>
      </c>
    </row>
    <row r="486" spans="1:7">
      <c r="A486" s="216">
        <v>45170</v>
      </c>
      <c r="B486" t="s">
        <v>43</v>
      </c>
      <c r="C486">
        <v>11</v>
      </c>
      <c r="D486" t="s">
        <v>445</v>
      </c>
      <c r="E486" s="217">
        <v>45170</v>
      </c>
      <c r="F486">
        <v>17149</v>
      </c>
      <c r="G486" t="s">
        <v>254</v>
      </c>
    </row>
    <row r="487" spans="1:7">
      <c r="A487" s="216">
        <v>45170</v>
      </c>
      <c r="B487" t="s">
        <v>43</v>
      </c>
      <c r="C487">
        <v>11</v>
      </c>
      <c r="D487" t="s">
        <v>445</v>
      </c>
      <c r="E487" s="217">
        <v>45170</v>
      </c>
      <c r="F487">
        <v>18832</v>
      </c>
      <c r="G487" t="s">
        <v>255</v>
      </c>
    </row>
    <row r="488" spans="1:7">
      <c r="A488" s="216">
        <v>45170</v>
      </c>
      <c r="B488" t="s">
        <v>43</v>
      </c>
      <c r="C488">
        <v>11</v>
      </c>
      <c r="D488" t="s">
        <v>445</v>
      </c>
      <c r="E488" s="217">
        <v>45170</v>
      </c>
      <c r="F488">
        <v>18748</v>
      </c>
      <c r="G488" t="s">
        <v>256</v>
      </c>
    </row>
    <row r="489" spans="1:7">
      <c r="A489" s="216">
        <v>45170</v>
      </c>
      <c r="B489" t="s">
        <v>43</v>
      </c>
      <c r="C489">
        <v>11</v>
      </c>
      <c r="D489" t="s">
        <v>445</v>
      </c>
      <c r="E489" s="217">
        <v>45170</v>
      </c>
      <c r="F489">
        <v>15318</v>
      </c>
      <c r="G489" t="s">
        <v>257</v>
      </c>
    </row>
    <row r="490" spans="1:7">
      <c r="A490" s="216">
        <v>45170</v>
      </c>
      <c r="B490" t="s">
        <v>43</v>
      </c>
      <c r="C490">
        <v>11</v>
      </c>
      <c r="D490" t="s">
        <v>445</v>
      </c>
      <c r="E490" s="217">
        <v>45170</v>
      </c>
      <c r="F490">
        <v>14285</v>
      </c>
      <c r="G490" t="s">
        <v>258</v>
      </c>
    </row>
    <row r="491" spans="1:7">
      <c r="A491" s="216">
        <v>45170</v>
      </c>
      <c r="B491" t="s">
        <v>43</v>
      </c>
      <c r="C491">
        <v>11</v>
      </c>
      <c r="D491" t="s">
        <v>445</v>
      </c>
      <c r="E491" s="217">
        <v>45170</v>
      </c>
      <c r="F491">
        <v>14302</v>
      </c>
      <c r="G491" t="s">
        <v>259</v>
      </c>
    </row>
    <row r="492" spans="1:7">
      <c r="A492" s="216">
        <v>45170</v>
      </c>
      <c r="B492" t="s">
        <v>43</v>
      </c>
      <c r="C492">
        <v>11</v>
      </c>
      <c r="D492" t="s">
        <v>445</v>
      </c>
      <c r="E492" s="217">
        <v>45170</v>
      </c>
      <c r="F492">
        <v>14491</v>
      </c>
      <c r="G492" t="s">
        <v>260</v>
      </c>
    </row>
    <row r="493" spans="1:7">
      <c r="A493" s="216">
        <v>45170</v>
      </c>
      <c r="B493" t="s">
        <v>43</v>
      </c>
      <c r="C493">
        <v>11</v>
      </c>
      <c r="D493" t="s">
        <v>445</v>
      </c>
      <c r="E493" s="217">
        <v>45170</v>
      </c>
      <c r="F493">
        <v>14505</v>
      </c>
      <c r="G493" t="s">
        <v>261</v>
      </c>
    </row>
    <row r="494" spans="1:7">
      <c r="A494" s="216">
        <v>45170</v>
      </c>
      <c r="B494" t="s">
        <v>43</v>
      </c>
      <c r="C494">
        <v>11</v>
      </c>
      <c r="D494" t="s">
        <v>445</v>
      </c>
      <c r="E494" s="217">
        <v>45170</v>
      </c>
      <c r="F494">
        <v>14661</v>
      </c>
      <c r="G494" t="s">
        <v>262</v>
      </c>
    </row>
    <row r="495" spans="1:7">
      <c r="A495" s="216">
        <v>45170</v>
      </c>
      <c r="B495" t="s">
        <v>43</v>
      </c>
      <c r="C495">
        <v>11</v>
      </c>
      <c r="D495" t="s">
        <v>445</v>
      </c>
      <c r="E495" s="217">
        <v>45170</v>
      </c>
      <c r="F495">
        <v>195129</v>
      </c>
      <c r="G495" t="s">
        <v>434</v>
      </c>
    </row>
    <row r="496" spans="1:7">
      <c r="A496" s="216">
        <v>45170</v>
      </c>
      <c r="B496" t="s">
        <v>43</v>
      </c>
      <c r="C496">
        <v>12</v>
      </c>
      <c r="D496" t="s">
        <v>454</v>
      </c>
      <c r="E496" s="217">
        <v>45170</v>
      </c>
      <c r="F496">
        <v>6528</v>
      </c>
      <c r="G496" t="s">
        <v>251</v>
      </c>
    </row>
    <row r="497" spans="1:7">
      <c r="A497" s="216">
        <v>45170</v>
      </c>
      <c r="B497" t="s">
        <v>43</v>
      </c>
      <c r="C497">
        <v>12</v>
      </c>
      <c r="D497" t="s">
        <v>454</v>
      </c>
      <c r="E497" s="217">
        <v>45170</v>
      </c>
      <c r="F497">
        <v>7625</v>
      </c>
      <c r="G497" t="s">
        <v>252</v>
      </c>
    </row>
    <row r="498" spans="1:7">
      <c r="A498" s="216">
        <v>45170</v>
      </c>
      <c r="B498" t="s">
        <v>43</v>
      </c>
      <c r="C498">
        <v>12</v>
      </c>
      <c r="D498" t="s">
        <v>454</v>
      </c>
      <c r="E498" s="217">
        <v>45170</v>
      </c>
      <c r="F498">
        <v>7879</v>
      </c>
      <c r="G498" t="s">
        <v>253</v>
      </c>
    </row>
    <row r="499" spans="1:7">
      <c r="A499" s="216">
        <v>45170</v>
      </c>
      <c r="B499" t="s">
        <v>43</v>
      </c>
      <c r="C499">
        <v>12</v>
      </c>
      <c r="D499" t="s">
        <v>454</v>
      </c>
      <c r="E499" s="217">
        <v>45170</v>
      </c>
      <c r="F499">
        <v>8113</v>
      </c>
      <c r="G499" t="s">
        <v>254</v>
      </c>
    </row>
    <row r="500" spans="1:7">
      <c r="A500" s="216">
        <v>45170</v>
      </c>
      <c r="B500" t="s">
        <v>43</v>
      </c>
      <c r="C500">
        <v>12</v>
      </c>
      <c r="D500" t="s">
        <v>454</v>
      </c>
      <c r="E500" s="217">
        <v>45170</v>
      </c>
      <c r="F500">
        <v>8408</v>
      </c>
      <c r="G500" t="s">
        <v>255</v>
      </c>
    </row>
    <row r="501" spans="1:7">
      <c r="A501" s="216">
        <v>45170</v>
      </c>
      <c r="B501" t="s">
        <v>43</v>
      </c>
      <c r="C501">
        <v>12</v>
      </c>
      <c r="D501" t="s">
        <v>454</v>
      </c>
      <c r="E501" s="217">
        <v>45170</v>
      </c>
      <c r="F501">
        <v>7711</v>
      </c>
      <c r="G501" t="s">
        <v>256</v>
      </c>
    </row>
    <row r="502" spans="1:7">
      <c r="A502" s="216">
        <v>45170</v>
      </c>
      <c r="B502" t="s">
        <v>43</v>
      </c>
      <c r="C502">
        <v>12</v>
      </c>
      <c r="D502" t="s">
        <v>454</v>
      </c>
      <c r="E502" s="217">
        <v>45170</v>
      </c>
      <c r="F502">
        <v>8039</v>
      </c>
      <c r="G502" t="s">
        <v>257</v>
      </c>
    </row>
    <row r="503" spans="1:7">
      <c r="A503" s="216">
        <v>45170</v>
      </c>
      <c r="B503" t="s">
        <v>43</v>
      </c>
      <c r="C503">
        <v>12</v>
      </c>
      <c r="D503" t="s">
        <v>454</v>
      </c>
      <c r="E503" s="217">
        <v>45170</v>
      </c>
      <c r="F503">
        <v>8015</v>
      </c>
      <c r="G503" t="s">
        <v>258</v>
      </c>
    </row>
    <row r="504" spans="1:7">
      <c r="A504" s="216">
        <v>45170</v>
      </c>
      <c r="B504" t="s">
        <v>43</v>
      </c>
      <c r="C504">
        <v>12</v>
      </c>
      <c r="D504" t="s">
        <v>454</v>
      </c>
      <c r="E504" s="217">
        <v>45170</v>
      </c>
      <c r="F504">
        <v>8018</v>
      </c>
      <c r="G504" t="s">
        <v>259</v>
      </c>
    </row>
    <row r="505" spans="1:7">
      <c r="A505" s="216">
        <v>45170</v>
      </c>
      <c r="B505" t="s">
        <v>43</v>
      </c>
      <c r="C505">
        <v>12</v>
      </c>
      <c r="D505" t="s">
        <v>454</v>
      </c>
      <c r="E505" s="217">
        <v>45170</v>
      </c>
      <c r="F505">
        <v>8038</v>
      </c>
      <c r="G505" t="s">
        <v>260</v>
      </c>
    </row>
    <row r="506" spans="1:7">
      <c r="A506" s="216">
        <v>45170</v>
      </c>
      <c r="B506" t="s">
        <v>43</v>
      </c>
      <c r="C506">
        <v>12</v>
      </c>
      <c r="D506" t="s">
        <v>454</v>
      </c>
      <c r="E506" s="217">
        <v>45170</v>
      </c>
      <c r="F506">
        <v>7909</v>
      </c>
      <c r="G506" t="s">
        <v>261</v>
      </c>
    </row>
    <row r="507" spans="1:7">
      <c r="A507" s="216">
        <v>45170</v>
      </c>
      <c r="B507" t="s">
        <v>43</v>
      </c>
      <c r="C507">
        <v>12</v>
      </c>
      <c r="D507" t="s">
        <v>454</v>
      </c>
      <c r="E507" s="217">
        <v>45170</v>
      </c>
      <c r="F507">
        <v>8044</v>
      </c>
      <c r="G507" t="s">
        <v>262</v>
      </c>
    </row>
    <row r="508" spans="1:7">
      <c r="A508" s="216">
        <v>45170</v>
      </c>
      <c r="B508" t="s">
        <v>43</v>
      </c>
      <c r="C508">
        <v>12</v>
      </c>
      <c r="D508" t="s">
        <v>454</v>
      </c>
      <c r="E508" s="217">
        <v>45170</v>
      </c>
      <c r="F508">
        <v>94327</v>
      </c>
      <c r="G508" t="s">
        <v>434</v>
      </c>
    </row>
    <row r="509" spans="1:7">
      <c r="A509" s="216">
        <v>45170</v>
      </c>
      <c r="B509" t="s">
        <v>43</v>
      </c>
      <c r="C509">
        <v>13</v>
      </c>
      <c r="D509" t="s">
        <v>441</v>
      </c>
      <c r="E509" s="217">
        <v>45170</v>
      </c>
      <c r="F509">
        <v>26228</v>
      </c>
      <c r="G509" t="s">
        <v>251</v>
      </c>
    </row>
    <row r="510" spans="1:7">
      <c r="A510" s="216">
        <v>45170</v>
      </c>
      <c r="B510" t="s">
        <v>43</v>
      </c>
      <c r="C510">
        <v>13</v>
      </c>
      <c r="D510" t="s">
        <v>441</v>
      </c>
      <c r="E510" s="217">
        <v>45170</v>
      </c>
      <c r="F510">
        <v>28071</v>
      </c>
      <c r="G510" t="s">
        <v>252</v>
      </c>
    </row>
    <row r="511" spans="1:7">
      <c r="A511" s="216">
        <v>45170</v>
      </c>
      <c r="B511" t="s">
        <v>43</v>
      </c>
      <c r="C511">
        <v>13</v>
      </c>
      <c r="D511" t="s">
        <v>441</v>
      </c>
      <c r="E511" s="217">
        <v>45170</v>
      </c>
      <c r="F511">
        <v>27614</v>
      </c>
      <c r="G511" t="s">
        <v>253</v>
      </c>
    </row>
    <row r="512" spans="1:7">
      <c r="A512" s="216">
        <v>45170</v>
      </c>
      <c r="B512" t="s">
        <v>43</v>
      </c>
      <c r="C512">
        <v>13</v>
      </c>
      <c r="D512" t="s">
        <v>441</v>
      </c>
      <c r="E512" s="217">
        <v>45170</v>
      </c>
      <c r="F512">
        <v>29113</v>
      </c>
      <c r="G512" t="s">
        <v>254</v>
      </c>
    </row>
    <row r="513" spans="1:7">
      <c r="A513" s="216">
        <v>45170</v>
      </c>
      <c r="B513" t="s">
        <v>43</v>
      </c>
      <c r="C513">
        <v>13</v>
      </c>
      <c r="D513" t="s">
        <v>441</v>
      </c>
      <c r="E513" s="217">
        <v>45170</v>
      </c>
      <c r="F513">
        <v>28912</v>
      </c>
      <c r="G513" t="s">
        <v>255</v>
      </c>
    </row>
    <row r="514" spans="1:7">
      <c r="A514" s="216">
        <v>45170</v>
      </c>
      <c r="B514" t="s">
        <v>43</v>
      </c>
      <c r="C514">
        <v>13</v>
      </c>
      <c r="D514" t="s">
        <v>441</v>
      </c>
      <c r="E514" s="217">
        <v>45170</v>
      </c>
      <c r="F514">
        <v>27065</v>
      </c>
      <c r="G514" t="s">
        <v>256</v>
      </c>
    </row>
    <row r="515" spans="1:7">
      <c r="A515" s="216">
        <v>45170</v>
      </c>
      <c r="B515" t="s">
        <v>43</v>
      </c>
      <c r="C515">
        <v>13</v>
      </c>
      <c r="D515" t="s">
        <v>441</v>
      </c>
      <c r="E515" s="217">
        <v>45170</v>
      </c>
      <c r="F515">
        <v>28099</v>
      </c>
      <c r="G515" t="s">
        <v>257</v>
      </c>
    </row>
    <row r="516" spans="1:7">
      <c r="A516" s="216">
        <v>45170</v>
      </c>
      <c r="B516" t="s">
        <v>43</v>
      </c>
      <c r="C516">
        <v>13</v>
      </c>
      <c r="D516" t="s">
        <v>441</v>
      </c>
      <c r="E516" s="217">
        <v>45170</v>
      </c>
      <c r="F516">
        <v>27959</v>
      </c>
      <c r="G516" t="s">
        <v>258</v>
      </c>
    </row>
    <row r="517" spans="1:7">
      <c r="A517" s="216">
        <v>45170</v>
      </c>
      <c r="B517" t="s">
        <v>43</v>
      </c>
      <c r="C517">
        <v>13</v>
      </c>
      <c r="D517" t="s">
        <v>441</v>
      </c>
      <c r="E517" s="217">
        <v>45170</v>
      </c>
      <c r="F517">
        <v>27890</v>
      </c>
      <c r="G517" t="s">
        <v>259</v>
      </c>
    </row>
    <row r="518" spans="1:7">
      <c r="A518" s="216">
        <v>45170</v>
      </c>
      <c r="B518" t="s">
        <v>43</v>
      </c>
      <c r="C518">
        <v>13</v>
      </c>
      <c r="D518" t="s">
        <v>441</v>
      </c>
      <c r="E518" s="217">
        <v>45170</v>
      </c>
      <c r="F518">
        <v>27845</v>
      </c>
      <c r="G518" t="s">
        <v>260</v>
      </c>
    </row>
    <row r="519" spans="1:7">
      <c r="A519" s="216">
        <v>45170</v>
      </c>
      <c r="B519" t="s">
        <v>43</v>
      </c>
      <c r="C519">
        <v>13</v>
      </c>
      <c r="D519" t="s">
        <v>441</v>
      </c>
      <c r="E519" s="217">
        <v>45170</v>
      </c>
      <c r="F519">
        <v>27817</v>
      </c>
      <c r="G519" t="s">
        <v>261</v>
      </c>
    </row>
    <row r="520" spans="1:7">
      <c r="A520" s="216">
        <v>45170</v>
      </c>
      <c r="B520" t="s">
        <v>43</v>
      </c>
      <c r="C520">
        <v>13</v>
      </c>
      <c r="D520" t="s">
        <v>441</v>
      </c>
      <c r="E520" s="217">
        <v>45170</v>
      </c>
      <c r="F520">
        <v>27807</v>
      </c>
      <c r="G520" t="s">
        <v>262</v>
      </c>
    </row>
    <row r="521" spans="1:7">
      <c r="A521" s="216">
        <v>45170</v>
      </c>
      <c r="B521" t="s">
        <v>43</v>
      </c>
      <c r="C521">
        <v>13</v>
      </c>
      <c r="D521" t="s">
        <v>441</v>
      </c>
      <c r="E521" s="217">
        <v>45170</v>
      </c>
      <c r="F521">
        <v>334420</v>
      </c>
      <c r="G521" t="s">
        <v>434</v>
      </c>
    </row>
    <row r="522" spans="1:7">
      <c r="A522" s="216">
        <v>45170</v>
      </c>
      <c r="B522" t="s">
        <v>43</v>
      </c>
      <c r="C522">
        <v>14</v>
      </c>
      <c r="D522" t="s">
        <v>447</v>
      </c>
      <c r="E522" s="217">
        <v>45170</v>
      </c>
      <c r="F522">
        <v>0</v>
      </c>
      <c r="G522" t="s">
        <v>251</v>
      </c>
    </row>
    <row r="523" spans="1:7">
      <c r="A523" s="216">
        <v>45170</v>
      </c>
      <c r="B523" t="s">
        <v>43</v>
      </c>
      <c r="C523">
        <v>14</v>
      </c>
      <c r="D523" t="s">
        <v>447</v>
      </c>
      <c r="E523" s="217">
        <v>45170</v>
      </c>
      <c r="F523">
        <v>0</v>
      </c>
      <c r="G523" t="s">
        <v>252</v>
      </c>
    </row>
    <row r="524" spans="1:7">
      <c r="A524" s="216">
        <v>45170</v>
      </c>
      <c r="B524" t="s">
        <v>43</v>
      </c>
      <c r="C524">
        <v>14</v>
      </c>
      <c r="D524" t="s">
        <v>447</v>
      </c>
      <c r="E524" s="217">
        <v>45170</v>
      </c>
      <c r="F524">
        <v>0</v>
      </c>
      <c r="G524" t="s">
        <v>253</v>
      </c>
    </row>
    <row r="525" spans="1:7">
      <c r="A525" s="216">
        <v>45170</v>
      </c>
      <c r="B525" t="s">
        <v>43</v>
      </c>
      <c r="C525">
        <v>14</v>
      </c>
      <c r="D525" t="s">
        <v>447</v>
      </c>
      <c r="E525" s="217">
        <v>45170</v>
      </c>
      <c r="F525">
        <v>0</v>
      </c>
      <c r="G525" t="s">
        <v>254</v>
      </c>
    </row>
    <row r="526" spans="1:7">
      <c r="A526" s="216">
        <v>45170</v>
      </c>
      <c r="B526" t="s">
        <v>43</v>
      </c>
      <c r="C526">
        <v>14</v>
      </c>
      <c r="D526" t="s">
        <v>447</v>
      </c>
      <c r="E526" s="217">
        <v>45170</v>
      </c>
      <c r="F526">
        <v>0</v>
      </c>
      <c r="G526" t="s">
        <v>255</v>
      </c>
    </row>
    <row r="527" spans="1:7">
      <c r="A527" s="216">
        <v>45170</v>
      </c>
      <c r="B527" t="s">
        <v>43</v>
      </c>
      <c r="C527">
        <v>14</v>
      </c>
      <c r="D527" t="s">
        <v>447</v>
      </c>
      <c r="E527" s="217">
        <v>45170</v>
      </c>
      <c r="F527">
        <v>0</v>
      </c>
      <c r="G527" t="s">
        <v>256</v>
      </c>
    </row>
    <row r="528" spans="1:7">
      <c r="A528" s="216">
        <v>45170</v>
      </c>
      <c r="B528" t="s">
        <v>43</v>
      </c>
      <c r="C528">
        <v>14</v>
      </c>
      <c r="D528" t="s">
        <v>447</v>
      </c>
      <c r="E528" s="217">
        <v>45170</v>
      </c>
      <c r="F528">
        <v>0</v>
      </c>
      <c r="G528" t="s">
        <v>257</v>
      </c>
    </row>
    <row r="529" spans="1:7">
      <c r="A529" s="216">
        <v>45170</v>
      </c>
      <c r="B529" t="s">
        <v>43</v>
      </c>
      <c r="C529">
        <v>14</v>
      </c>
      <c r="D529" t="s">
        <v>447</v>
      </c>
      <c r="E529" s="217">
        <v>45170</v>
      </c>
      <c r="F529">
        <v>0</v>
      </c>
      <c r="G529" t="s">
        <v>258</v>
      </c>
    </row>
    <row r="530" spans="1:7">
      <c r="A530" s="216">
        <v>45170</v>
      </c>
      <c r="B530" t="s">
        <v>43</v>
      </c>
      <c r="C530">
        <v>14</v>
      </c>
      <c r="D530" t="s">
        <v>447</v>
      </c>
      <c r="E530" s="217">
        <v>45170</v>
      </c>
      <c r="F530">
        <v>0</v>
      </c>
      <c r="G530" t="s">
        <v>259</v>
      </c>
    </row>
    <row r="531" spans="1:7">
      <c r="A531" s="216">
        <v>45170</v>
      </c>
      <c r="B531" t="s">
        <v>43</v>
      </c>
      <c r="C531">
        <v>14</v>
      </c>
      <c r="D531" t="s">
        <v>447</v>
      </c>
      <c r="E531" s="217">
        <v>45170</v>
      </c>
      <c r="F531">
        <v>0</v>
      </c>
      <c r="G531" t="s">
        <v>260</v>
      </c>
    </row>
    <row r="532" spans="1:7">
      <c r="A532" s="216">
        <v>45170</v>
      </c>
      <c r="B532" t="s">
        <v>43</v>
      </c>
      <c r="C532">
        <v>14</v>
      </c>
      <c r="D532" t="s">
        <v>447</v>
      </c>
      <c r="E532" s="217">
        <v>45170</v>
      </c>
      <c r="F532">
        <v>0</v>
      </c>
      <c r="G532" t="s">
        <v>261</v>
      </c>
    </row>
    <row r="533" spans="1:7">
      <c r="A533" s="216">
        <v>45170</v>
      </c>
      <c r="B533" t="s">
        <v>43</v>
      </c>
      <c r="C533">
        <v>14</v>
      </c>
      <c r="D533" t="s">
        <v>447</v>
      </c>
      <c r="E533" s="217">
        <v>45170</v>
      </c>
      <c r="F533">
        <v>0</v>
      </c>
      <c r="G533" t="s">
        <v>262</v>
      </c>
    </row>
    <row r="534" spans="1:7">
      <c r="A534" s="216">
        <v>45170</v>
      </c>
      <c r="B534" t="s">
        <v>43</v>
      </c>
      <c r="C534">
        <v>14</v>
      </c>
      <c r="D534" t="s">
        <v>447</v>
      </c>
      <c r="E534" s="217">
        <v>45170</v>
      </c>
      <c r="F534">
        <v>0</v>
      </c>
      <c r="G534" t="s">
        <v>434</v>
      </c>
    </row>
    <row r="535" spans="1:7">
      <c r="A535" s="216">
        <v>45170</v>
      </c>
      <c r="B535" t="s">
        <v>43</v>
      </c>
      <c r="C535">
        <v>15</v>
      </c>
      <c r="D535" t="s">
        <v>437</v>
      </c>
      <c r="E535" s="217">
        <v>45170</v>
      </c>
      <c r="F535">
        <v>10068</v>
      </c>
      <c r="G535" t="s">
        <v>251</v>
      </c>
    </row>
    <row r="536" spans="1:7">
      <c r="A536" s="216">
        <v>45170</v>
      </c>
      <c r="B536" t="s">
        <v>43</v>
      </c>
      <c r="C536">
        <v>15</v>
      </c>
      <c r="D536" t="s">
        <v>437</v>
      </c>
      <c r="E536" s="217">
        <v>45170</v>
      </c>
      <c r="F536">
        <v>10242</v>
      </c>
      <c r="G536" t="s">
        <v>252</v>
      </c>
    </row>
    <row r="537" spans="1:7">
      <c r="A537" s="216">
        <v>45170</v>
      </c>
      <c r="B537" t="s">
        <v>43</v>
      </c>
      <c r="C537">
        <v>15</v>
      </c>
      <c r="D537" t="s">
        <v>437</v>
      </c>
      <c r="E537" s="217">
        <v>45170</v>
      </c>
      <c r="F537">
        <v>10026</v>
      </c>
      <c r="G537" t="s">
        <v>253</v>
      </c>
    </row>
    <row r="538" spans="1:7">
      <c r="A538" s="216">
        <v>45170</v>
      </c>
      <c r="B538" t="s">
        <v>43</v>
      </c>
      <c r="C538">
        <v>15</v>
      </c>
      <c r="D538" t="s">
        <v>437</v>
      </c>
      <c r="E538" s="217">
        <v>45170</v>
      </c>
      <c r="F538">
        <v>12336</v>
      </c>
      <c r="G538" t="s">
        <v>254</v>
      </c>
    </row>
    <row r="539" spans="1:7">
      <c r="A539" s="216">
        <v>45170</v>
      </c>
      <c r="B539" t="s">
        <v>43</v>
      </c>
      <c r="C539">
        <v>15</v>
      </c>
      <c r="D539" t="s">
        <v>437</v>
      </c>
      <c r="E539" s="217">
        <v>45170</v>
      </c>
      <c r="F539">
        <v>11321</v>
      </c>
      <c r="G539" t="s">
        <v>255</v>
      </c>
    </row>
    <row r="540" spans="1:7">
      <c r="A540" s="216">
        <v>45170</v>
      </c>
      <c r="B540" t="s">
        <v>43</v>
      </c>
      <c r="C540">
        <v>15</v>
      </c>
      <c r="D540" t="s">
        <v>437</v>
      </c>
      <c r="E540" s="217">
        <v>45170</v>
      </c>
      <c r="F540">
        <v>10817</v>
      </c>
      <c r="G540" t="s">
        <v>256</v>
      </c>
    </row>
    <row r="541" spans="1:7">
      <c r="A541" s="216">
        <v>45170</v>
      </c>
      <c r="B541" t="s">
        <v>43</v>
      </c>
      <c r="C541">
        <v>15</v>
      </c>
      <c r="D541" t="s">
        <v>437</v>
      </c>
      <c r="E541" s="217">
        <v>45170</v>
      </c>
      <c r="F541">
        <v>10399</v>
      </c>
      <c r="G541" t="s">
        <v>257</v>
      </c>
    </row>
    <row r="542" spans="1:7">
      <c r="A542" s="216">
        <v>45170</v>
      </c>
      <c r="B542" t="s">
        <v>43</v>
      </c>
      <c r="C542">
        <v>15</v>
      </c>
      <c r="D542" t="s">
        <v>437</v>
      </c>
      <c r="E542" s="217">
        <v>45170</v>
      </c>
      <c r="F542">
        <v>10136</v>
      </c>
      <c r="G542" t="s">
        <v>258</v>
      </c>
    </row>
    <row r="543" spans="1:7">
      <c r="A543" s="216">
        <v>45170</v>
      </c>
      <c r="B543" t="s">
        <v>43</v>
      </c>
      <c r="C543">
        <v>15</v>
      </c>
      <c r="D543" t="s">
        <v>437</v>
      </c>
      <c r="E543" s="217">
        <v>45170</v>
      </c>
      <c r="F543">
        <v>10399</v>
      </c>
      <c r="G543" t="s">
        <v>259</v>
      </c>
    </row>
    <row r="544" spans="1:7">
      <c r="A544" s="216">
        <v>45170</v>
      </c>
      <c r="B544" t="s">
        <v>43</v>
      </c>
      <c r="C544">
        <v>15</v>
      </c>
      <c r="D544" t="s">
        <v>437</v>
      </c>
      <c r="E544" s="217">
        <v>45170</v>
      </c>
      <c r="F544">
        <v>10399</v>
      </c>
      <c r="G544" t="s">
        <v>260</v>
      </c>
    </row>
    <row r="545" spans="1:7">
      <c r="A545" s="216">
        <v>45170</v>
      </c>
      <c r="B545" t="s">
        <v>43</v>
      </c>
      <c r="C545">
        <v>15</v>
      </c>
      <c r="D545" t="s">
        <v>437</v>
      </c>
      <c r="E545" s="217">
        <v>45170</v>
      </c>
      <c r="F545">
        <v>9610</v>
      </c>
      <c r="G545" t="s">
        <v>261</v>
      </c>
    </row>
    <row r="546" spans="1:7">
      <c r="A546" s="216">
        <v>45170</v>
      </c>
      <c r="B546" t="s">
        <v>43</v>
      </c>
      <c r="C546">
        <v>15</v>
      </c>
      <c r="D546" t="s">
        <v>437</v>
      </c>
      <c r="E546" s="217">
        <v>45170</v>
      </c>
      <c r="F546">
        <v>10399</v>
      </c>
      <c r="G546" t="s">
        <v>262</v>
      </c>
    </row>
    <row r="547" spans="1:7">
      <c r="A547" s="216">
        <v>45170</v>
      </c>
      <c r="B547" t="s">
        <v>43</v>
      </c>
      <c r="C547">
        <v>15</v>
      </c>
      <c r="D547" t="s">
        <v>437</v>
      </c>
      <c r="E547" s="217">
        <v>45170</v>
      </c>
      <c r="F547">
        <v>126152</v>
      </c>
      <c r="G547" t="s">
        <v>434</v>
      </c>
    </row>
    <row r="548" spans="1:7">
      <c r="A548" s="216">
        <v>45170</v>
      </c>
      <c r="B548" t="s">
        <v>43</v>
      </c>
      <c r="C548">
        <v>16</v>
      </c>
      <c r="D548" t="s">
        <v>449</v>
      </c>
      <c r="E548" s="217">
        <v>45170</v>
      </c>
      <c r="F548">
        <v>2119</v>
      </c>
      <c r="G548" t="s">
        <v>251</v>
      </c>
    </row>
    <row r="549" spans="1:7">
      <c r="A549" s="216">
        <v>45170</v>
      </c>
      <c r="B549" t="s">
        <v>43</v>
      </c>
      <c r="C549">
        <v>16</v>
      </c>
      <c r="D549" t="s">
        <v>449</v>
      </c>
      <c r="E549" s="217">
        <v>45170</v>
      </c>
      <c r="F549">
        <v>2112</v>
      </c>
      <c r="G549" t="s">
        <v>252</v>
      </c>
    </row>
    <row r="550" spans="1:7">
      <c r="A550" s="216">
        <v>45170</v>
      </c>
      <c r="B550" t="s">
        <v>43</v>
      </c>
      <c r="C550">
        <v>16</v>
      </c>
      <c r="D550" t="s">
        <v>449</v>
      </c>
      <c r="E550" s="217">
        <v>45170</v>
      </c>
      <c r="F550">
        <v>2171</v>
      </c>
      <c r="G550" t="s">
        <v>253</v>
      </c>
    </row>
    <row r="551" spans="1:7">
      <c r="A551" s="216">
        <v>45170</v>
      </c>
      <c r="B551" t="s">
        <v>43</v>
      </c>
      <c r="C551">
        <v>16</v>
      </c>
      <c r="D551" t="s">
        <v>449</v>
      </c>
      <c r="E551" s="217">
        <v>45170</v>
      </c>
      <c r="F551">
        <v>2437</v>
      </c>
      <c r="G551" t="s">
        <v>254</v>
      </c>
    </row>
    <row r="552" spans="1:7">
      <c r="A552" s="216">
        <v>45170</v>
      </c>
      <c r="B552" t="s">
        <v>43</v>
      </c>
      <c r="C552">
        <v>16</v>
      </c>
      <c r="D552" t="s">
        <v>449</v>
      </c>
      <c r="E552" s="217">
        <v>45170</v>
      </c>
      <c r="F552">
        <v>1613</v>
      </c>
      <c r="G552" t="s">
        <v>255</v>
      </c>
    </row>
    <row r="553" spans="1:7">
      <c r="A553" s="216">
        <v>45170</v>
      </c>
      <c r="B553" t="s">
        <v>43</v>
      </c>
      <c r="C553">
        <v>16</v>
      </c>
      <c r="D553" t="s">
        <v>449</v>
      </c>
      <c r="E553" s="217">
        <v>45170</v>
      </c>
      <c r="F553">
        <v>2090</v>
      </c>
      <c r="G553" t="s">
        <v>256</v>
      </c>
    </row>
    <row r="554" spans="1:7">
      <c r="A554" s="216">
        <v>45170</v>
      </c>
      <c r="B554" t="s">
        <v>43</v>
      </c>
      <c r="C554">
        <v>16</v>
      </c>
      <c r="D554" t="s">
        <v>449</v>
      </c>
      <c r="E554" s="217">
        <v>45170</v>
      </c>
      <c r="F554">
        <v>1492</v>
      </c>
      <c r="G554" t="s">
        <v>257</v>
      </c>
    </row>
    <row r="555" spans="1:7">
      <c r="A555" s="216">
        <v>45170</v>
      </c>
      <c r="B555" t="s">
        <v>43</v>
      </c>
      <c r="C555">
        <v>16</v>
      </c>
      <c r="D555" t="s">
        <v>449</v>
      </c>
      <c r="E555" s="217">
        <v>45170</v>
      </c>
      <c r="F555">
        <v>1376</v>
      </c>
      <c r="G555" t="s">
        <v>258</v>
      </c>
    </row>
    <row r="556" spans="1:7">
      <c r="A556" s="216">
        <v>45170</v>
      </c>
      <c r="B556" t="s">
        <v>43</v>
      </c>
      <c r="C556">
        <v>16</v>
      </c>
      <c r="D556" t="s">
        <v>449</v>
      </c>
      <c r="E556" s="217">
        <v>45170</v>
      </c>
      <c r="F556">
        <v>1364</v>
      </c>
      <c r="G556" t="s">
        <v>259</v>
      </c>
    </row>
    <row r="557" spans="1:7">
      <c r="A557" s="216">
        <v>45170</v>
      </c>
      <c r="B557" t="s">
        <v>43</v>
      </c>
      <c r="C557">
        <v>16</v>
      </c>
      <c r="D557" t="s">
        <v>449</v>
      </c>
      <c r="E557" s="217">
        <v>45170</v>
      </c>
      <c r="F557">
        <v>1409</v>
      </c>
      <c r="G557" t="s">
        <v>260</v>
      </c>
    </row>
    <row r="558" spans="1:7">
      <c r="A558" s="216">
        <v>45170</v>
      </c>
      <c r="B558" t="s">
        <v>43</v>
      </c>
      <c r="C558">
        <v>16</v>
      </c>
      <c r="D558" t="s">
        <v>449</v>
      </c>
      <c r="E558" s="217">
        <v>45170</v>
      </c>
      <c r="F558">
        <v>1308</v>
      </c>
      <c r="G558" t="s">
        <v>261</v>
      </c>
    </row>
    <row r="559" spans="1:7">
      <c r="A559" s="216">
        <v>45170</v>
      </c>
      <c r="B559" t="s">
        <v>43</v>
      </c>
      <c r="C559">
        <v>16</v>
      </c>
      <c r="D559" t="s">
        <v>449</v>
      </c>
      <c r="E559" s="217">
        <v>45170</v>
      </c>
      <c r="F559">
        <v>1258</v>
      </c>
      <c r="G559" t="s">
        <v>262</v>
      </c>
    </row>
    <row r="560" spans="1:7">
      <c r="A560" s="216">
        <v>45170</v>
      </c>
      <c r="B560" t="s">
        <v>43</v>
      </c>
      <c r="C560">
        <v>16</v>
      </c>
      <c r="D560" t="s">
        <v>449</v>
      </c>
      <c r="E560" s="217">
        <v>45170</v>
      </c>
      <c r="F560">
        <v>20749</v>
      </c>
      <c r="G560" t="s">
        <v>434</v>
      </c>
    </row>
    <row r="561" spans="1:7">
      <c r="A561" s="216">
        <v>45170</v>
      </c>
      <c r="B561" t="s">
        <v>43</v>
      </c>
      <c r="C561">
        <v>17</v>
      </c>
      <c r="D561" t="s">
        <v>443</v>
      </c>
      <c r="E561" s="217">
        <v>45170</v>
      </c>
      <c r="F561">
        <v>242</v>
      </c>
      <c r="G561" t="s">
        <v>251</v>
      </c>
    </row>
    <row r="562" spans="1:7">
      <c r="A562" s="216">
        <v>45170</v>
      </c>
      <c r="B562" t="s">
        <v>43</v>
      </c>
      <c r="C562">
        <v>17</v>
      </c>
      <c r="D562" t="s">
        <v>443</v>
      </c>
      <c r="E562" s="217">
        <v>45170</v>
      </c>
      <c r="F562">
        <v>140</v>
      </c>
      <c r="G562" t="s">
        <v>252</v>
      </c>
    </row>
    <row r="563" spans="1:7">
      <c r="A563" s="216">
        <v>45170</v>
      </c>
      <c r="B563" t="s">
        <v>43</v>
      </c>
      <c r="C563">
        <v>17</v>
      </c>
      <c r="D563" t="s">
        <v>443</v>
      </c>
      <c r="E563" s="217">
        <v>45170</v>
      </c>
      <c r="F563">
        <v>299</v>
      </c>
      <c r="G563" t="s">
        <v>253</v>
      </c>
    </row>
    <row r="564" spans="1:7">
      <c r="A564" s="216">
        <v>45170</v>
      </c>
      <c r="B564" t="s">
        <v>43</v>
      </c>
      <c r="C564">
        <v>17</v>
      </c>
      <c r="D564" t="s">
        <v>443</v>
      </c>
      <c r="E564" s="217">
        <v>45170</v>
      </c>
      <c r="F564">
        <v>316</v>
      </c>
      <c r="G564" t="s">
        <v>254</v>
      </c>
    </row>
    <row r="565" spans="1:7">
      <c r="A565" s="216">
        <v>45170</v>
      </c>
      <c r="B565" t="s">
        <v>43</v>
      </c>
      <c r="C565">
        <v>17</v>
      </c>
      <c r="D565" t="s">
        <v>443</v>
      </c>
      <c r="E565" s="217">
        <v>45170</v>
      </c>
      <c r="F565">
        <v>333</v>
      </c>
      <c r="G565" t="s">
        <v>255</v>
      </c>
    </row>
    <row r="566" spans="1:7">
      <c r="A566" s="216">
        <v>45170</v>
      </c>
      <c r="B566" t="s">
        <v>43</v>
      </c>
      <c r="C566">
        <v>17</v>
      </c>
      <c r="D566" t="s">
        <v>443</v>
      </c>
      <c r="E566" s="217">
        <v>45170</v>
      </c>
      <c r="F566">
        <v>242</v>
      </c>
      <c r="G566" t="s">
        <v>256</v>
      </c>
    </row>
    <row r="567" spans="1:7">
      <c r="A567" s="216">
        <v>45170</v>
      </c>
      <c r="B567" t="s">
        <v>43</v>
      </c>
      <c r="C567">
        <v>17</v>
      </c>
      <c r="D567" t="s">
        <v>443</v>
      </c>
      <c r="E567" s="217">
        <v>45170</v>
      </c>
      <c r="F567">
        <v>264</v>
      </c>
      <c r="G567" t="s">
        <v>257</v>
      </c>
    </row>
    <row r="568" spans="1:7">
      <c r="A568" s="216">
        <v>45170</v>
      </c>
      <c r="B568" t="s">
        <v>43</v>
      </c>
      <c r="C568">
        <v>17</v>
      </c>
      <c r="D568" t="s">
        <v>443</v>
      </c>
      <c r="E568" s="217">
        <v>45170</v>
      </c>
      <c r="F568">
        <v>264</v>
      </c>
      <c r="G568" t="s">
        <v>258</v>
      </c>
    </row>
    <row r="569" spans="1:7">
      <c r="A569" s="216">
        <v>45170</v>
      </c>
      <c r="B569" t="s">
        <v>43</v>
      </c>
      <c r="C569">
        <v>17</v>
      </c>
      <c r="D569" t="s">
        <v>443</v>
      </c>
      <c r="E569" s="217">
        <v>45170</v>
      </c>
      <c r="F569">
        <v>264</v>
      </c>
      <c r="G569" t="s">
        <v>259</v>
      </c>
    </row>
    <row r="570" spans="1:7">
      <c r="A570" s="216">
        <v>45170</v>
      </c>
      <c r="B570" t="s">
        <v>43</v>
      </c>
      <c r="C570">
        <v>17</v>
      </c>
      <c r="D570" t="s">
        <v>443</v>
      </c>
      <c r="E570" s="217">
        <v>45170</v>
      </c>
      <c r="F570">
        <v>264</v>
      </c>
      <c r="G570" t="s">
        <v>260</v>
      </c>
    </row>
    <row r="571" spans="1:7">
      <c r="A571" s="216">
        <v>45170</v>
      </c>
      <c r="B571" t="s">
        <v>43</v>
      </c>
      <c r="C571">
        <v>17</v>
      </c>
      <c r="D571" t="s">
        <v>443</v>
      </c>
      <c r="E571" s="217">
        <v>45170</v>
      </c>
      <c r="F571">
        <v>264</v>
      </c>
      <c r="G571" t="s">
        <v>261</v>
      </c>
    </row>
    <row r="572" spans="1:7">
      <c r="A572" s="216">
        <v>45170</v>
      </c>
      <c r="B572" t="s">
        <v>43</v>
      </c>
      <c r="C572">
        <v>17</v>
      </c>
      <c r="D572" t="s">
        <v>443</v>
      </c>
      <c r="E572" s="217">
        <v>45170</v>
      </c>
      <c r="F572">
        <v>264</v>
      </c>
      <c r="G572" t="s">
        <v>262</v>
      </c>
    </row>
    <row r="573" spans="1:7">
      <c r="A573" s="216">
        <v>45170</v>
      </c>
      <c r="B573" t="s">
        <v>43</v>
      </c>
      <c r="C573">
        <v>17</v>
      </c>
      <c r="D573" t="s">
        <v>443</v>
      </c>
      <c r="E573" s="217">
        <v>45170</v>
      </c>
      <c r="F573">
        <v>3156</v>
      </c>
      <c r="G573" t="s">
        <v>434</v>
      </c>
    </row>
    <row r="574" spans="1:7">
      <c r="A574" s="216">
        <v>45170</v>
      </c>
      <c r="B574" t="s">
        <v>43</v>
      </c>
      <c r="C574">
        <v>18</v>
      </c>
      <c r="D574" t="s">
        <v>444</v>
      </c>
      <c r="E574" s="217">
        <v>45170</v>
      </c>
      <c r="F574">
        <v>339</v>
      </c>
      <c r="G574" t="s">
        <v>251</v>
      </c>
    </row>
    <row r="575" spans="1:7">
      <c r="A575" s="216">
        <v>45170</v>
      </c>
      <c r="B575" t="s">
        <v>43</v>
      </c>
      <c r="C575">
        <v>18</v>
      </c>
      <c r="D575" t="s">
        <v>444</v>
      </c>
      <c r="E575" s="217">
        <v>45170</v>
      </c>
      <c r="F575">
        <v>778</v>
      </c>
      <c r="G575" t="s">
        <v>252</v>
      </c>
    </row>
    <row r="576" spans="1:7">
      <c r="A576" s="216">
        <v>45170</v>
      </c>
      <c r="B576" t="s">
        <v>43</v>
      </c>
      <c r="C576">
        <v>18</v>
      </c>
      <c r="D576" t="s">
        <v>444</v>
      </c>
      <c r="E576" s="217">
        <v>45170</v>
      </c>
      <c r="F576">
        <v>-3553</v>
      </c>
      <c r="G576" t="s">
        <v>253</v>
      </c>
    </row>
    <row r="577" spans="1:7">
      <c r="A577" s="216">
        <v>45170</v>
      </c>
      <c r="B577" t="s">
        <v>43</v>
      </c>
      <c r="C577">
        <v>18</v>
      </c>
      <c r="D577" t="s">
        <v>444</v>
      </c>
      <c r="E577" s="217">
        <v>45170</v>
      </c>
      <c r="F577">
        <v>563</v>
      </c>
      <c r="G577" t="s">
        <v>254</v>
      </c>
    </row>
    <row r="578" spans="1:7">
      <c r="A578" s="216">
        <v>45170</v>
      </c>
      <c r="B578" t="s">
        <v>43</v>
      </c>
      <c r="C578">
        <v>18</v>
      </c>
      <c r="D578" t="s">
        <v>444</v>
      </c>
      <c r="E578" s="217">
        <v>45170</v>
      </c>
      <c r="F578">
        <v>477</v>
      </c>
      <c r="G578" t="s">
        <v>255</v>
      </c>
    </row>
    <row r="579" spans="1:7">
      <c r="A579" s="216">
        <v>45170</v>
      </c>
      <c r="B579" t="s">
        <v>43</v>
      </c>
      <c r="C579">
        <v>18</v>
      </c>
      <c r="D579" t="s">
        <v>444</v>
      </c>
      <c r="E579" s="217">
        <v>45170</v>
      </c>
      <c r="F579">
        <v>521</v>
      </c>
      <c r="G579" t="s">
        <v>256</v>
      </c>
    </row>
    <row r="580" spans="1:7">
      <c r="A580" s="216">
        <v>45170</v>
      </c>
      <c r="B580" t="s">
        <v>43</v>
      </c>
      <c r="C580">
        <v>18</v>
      </c>
      <c r="D580" t="s">
        <v>444</v>
      </c>
      <c r="E580" s="217">
        <v>45170</v>
      </c>
      <c r="F580">
        <v>533</v>
      </c>
      <c r="G580" t="s">
        <v>257</v>
      </c>
    </row>
    <row r="581" spans="1:7">
      <c r="A581" s="216">
        <v>45170</v>
      </c>
      <c r="B581" t="s">
        <v>43</v>
      </c>
      <c r="C581">
        <v>18</v>
      </c>
      <c r="D581" t="s">
        <v>444</v>
      </c>
      <c r="E581" s="217">
        <v>45170</v>
      </c>
      <c r="F581">
        <v>533</v>
      </c>
      <c r="G581" t="s">
        <v>258</v>
      </c>
    </row>
    <row r="582" spans="1:7">
      <c r="A582" s="216">
        <v>45170</v>
      </c>
      <c r="B582" t="s">
        <v>43</v>
      </c>
      <c r="C582">
        <v>18</v>
      </c>
      <c r="D582" t="s">
        <v>444</v>
      </c>
      <c r="E582" s="217">
        <v>45170</v>
      </c>
      <c r="F582">
        <v>533</v>
      </c>
      <c r="G582" t="s">
        <v>259</v>
      </c>
    </row>
    <row r="583" spans="1:7">
      <c r="A583" s="216">
        <v>45170</v>
      </c>
      <c r="B583" t="s">
        <v>43</v>
      </c>
      <c r="C583">
        <v>18</v>
      </c>
      <c r="D583" t="s">
        <v>444</v>
      </c>
      <c r="E583" s="217">
        <v>45170</v>
      </c>
      <c r="F583">
        <v>533</v>
      </c>
      <c r="G583" t="s">
        <v>260</v>
      </c>
    </row>
    <row r="584" spans="1:7">
      <c r="A584" s="216">
        <v>45170</v>
      </c>
      <c r="B584" t="s">
        <v>43</v>
      </c>
      <c r="C584">
        <v>18</v>
      </c>
      <c r="D584" t="s">
        <v>444</v>
      </c>
      <c r="E584" s="217">
        <v>45170</v>
      </c>
      <c r="F584">
        <v>533</v>
      </c>
      <c r="G584" t="s">
        <v>261</v>
      </c>
    </row>
    <row r="585" spans="1:7">
      <c r="A585" s="216">
        <v>45170</v>
      </c>
      <c r="B585" t="s">
        <v>43</v>
      </c>
      <c r="C585">
        <v>18</v>
      </c>
      <c r="D585" t="s">
        <v>444</v>
      </c>
      <c r="E585" s="217">
        <v>45170</v>
      </c>
      <c r="F585">
        <v>533</v>
      </c>
      <c r="G585" t="s">
        <v>262</v>
      </c>
    </row>
    <row r="586" spans="1:7">
      <c r="A586" s="216">
        <v>45170</v>
      </c>
      <c r="B586" t="s">
        <v>43</v>
      </c>
      <c r="C586">
        <v>18</v>
      </c>
      <c r="D586" t="s">
        <v>444</v>
      </c>
      <c r="E586" s="217">
        <v>45170</v>
      </c>
      <c r="F586">
        <v>2323</v>
      </c>
      <c r="G586" t="s">
        <v>434</v>
      </c>
    </row>
    <row r="587" spans="1:7">
      <c r="A587" s="216">
        <v>45170</v>
      </c>
      <c r="B587" t="s">
        <v>43</v>
      </c>
      <c r="C587">
        <v>19</v>
      </c>
      <c r="D587" t="s">
        <v>440</v>
      </c>
      <c r="E587" s="217">
        <v>45170</v>
      </c>
      <c r="F587">
        <v>0</v>
      </c>
      <c r="G587" t="s">
        <v>251</v>
      </c>
    </row>
    <row r="588" spans="1:7">
      <c r="A588" s="216">
        <v>45170</v>
      </c>
      <c r="B588" t="s">
        <v>43</v>
      </c>
      <c r="C588">
        <v>19</v>
      </c>
      <c r="D588" t="s">
        <v>440</v>
      </c>
      <c r="E588" s="217">
        <v>45170</v>
      </c>
      <c r="F588">
        <v>0</v>
      </c>
      <c r="G588" t="s">
        <v>252</v>
      </c>
    </row>
    <row r="589" spans="1:7">
      <c r="A589" s="216">
        <v>45170</v>
      </c>
      <c r="B589" t="s">
        <v>43</v>
      </c>
      <c r="C589">
        <v>19</v>
      </c>
      <c r="D589" t="s">
        <v>440</v>
      </c>
      <c r="E589" s="217">
        <v>45170</v>
      </c>
      <c r="F589">
        <v>0</v>
      </c>
      <c r="G589" t="s">
        <v>253</v>
      </c>
    </row>
    <row r="590" spans="1:7">
      <c r="A590" s="216">
        <v>45170</v>
      </c>
      <c r="B590" t="s">
        <v>43</v>
      </c>
      <c r="C590">
        <v>19</v>
      </c>
      <c r="D590" t="s">
        <v>440</v>
      </c>
      <c r="E590" s="217">
        <v>45170</v>
      </c>
      <c r="F590">
        <v>0</v>
      </c>
      <c r="G590" t="s">
        <v>254</v>
      </c>
    </row>
    <row r="591" spans="1:7">
      <c r="A591" s="216">
        <v>45170</v>
      </c>
      <c r="B591" t="s">
        <v>43</v>
      </c>
      <c r="C591">
        <v>19</v>
      </c>
      <c r="D591" t="s">
        <v>440</v>
      </c>
      <c r="E591" s="217">
        <v>45170</v>
      </c>
      <c r="F591">
        <v>0</v>
      </c>
      <c r="G591" t="s">
        <v>255</v>
      </c>
    </row>
    <row r="592" spans="1:7">
      <c r="A592" s="216">
        <v>45170</v>
      </c>
      <c r="B592" t="s">
        <v>43</v>
      </c>
      <c r="C592">
        <v>19</v>
      </c>
      <c r="D592" t="s">
        <v>440</v>
      </c>
      <c r="E592" s="217">
        <v>45170</v>
      </c>
      <c r="F592">
        <v>0</v>
      </c>
      <c r="G592" t="s">
        <v>256</v>
      </c>
    </row>
    <row r="593" spans="1:7">
      <c r="A593" s="216">
        <v>45170</v>
      </c>
      <c r="B593" t="s">
        <v>43</v>
      </c>
      <c r="C593">
        <v>19</v>
      </c>
      <c r="D593" t="s">
        <v>440</v>
      </c>
      <c r="E593" s="217">
        <v>45170</v>
      </c>
      <c r="F593">
        <v>0</v>
      </c>
      <c r="G593" t="s">
        <v>257</v>
      </c>
    </row>
    <row r="594" spans="1:7">
      <c r="A594" s="216">
        <v>45170</v>
      </c>
      <c r="B594" t="s">
        <v>43</v>
      </c>
      <c r="C594">
        <v>19</v>
      </c>
      <c r="D594" t="s">
        <v>440</v>
      </c>
      <c r="E594" s="217">
        <v>45170</v>
      </c>
      <c r="F594">
        <v>0</v>
      </c>
      <c r="G594" t="s">
        <v>258</v>
      </c>
    </row>
    <row r="595" spans="1:7">
      <c r="A595" s="216">
        <v>45170</v>
      </c>
      <c r="B595" t="s">
        <v>43</v>
      </c>
      <c r="C595">
        <v>19</v>
      </c>
      <c r="D595" t="s">
        <v>440</v>
      </c>
      <c r="E595" s="217">
        <v>45170</v>
      </c>
      <c r="F595">
        <v>0</v>
      </c>
      <c r="G595" t="s">
        <v>259</v>
      </c>
    </row>
    <row r="596" spans="1:7">
      <c r="A596" s="216">
        <v>45170</v>
      </c>
      <c r="B596" t="s">
        <v>43</v>
      </c>
      <c r="C596">
        <v>19</v>
      </c>
      <c r="D596" t="s">
        <v>440</v>
      </c>
      <c r="E596" s="217">
        <v>45170</v>
      </c>
      <c r="F596">
        <v>0</v>
      </c>
      <c r="G596" t="s">
        <v>260</v>
      </c>
    </row>
    <row r="597" spans="1:7">
      <c r="A597" s="216">
        <v>45170</v>
      </c>
      <c r="B597" t="s">
        <v>43</v>
      </c>
      <c r="C597">
        <v>19</v>
      </c>
      <c r="D597" t="s">
        <v>440</v>
      </c>
      <c r="E597" s="217">
        <v>45170</v>
      </c>
      <c r="F597">
        <v>0</v>
      </c>
      <c r="G597" t="s">
        <v>261</v>
      </c>
    </row>
    <row r="598" spans="1:7">
      <c r="A598" s="216">
        <v>45170</v>
      </c>
      <c r="B598" t="s">
        <v>43</v>
      </c>
      <c r="C598">
        <v>19</v>
      </c>
      <c r="D598" t="s">
        <v>440</v>
      </c>
      <c r="E598" s="217">
        <v>45170</v>
      </c>
      <c r="F598">
        <v>0</v>
      </c>
      <c r="G598" t="s">
        <v>262</v>
      </c>
    </row>
    <row r="599" spans="1:7">
      <c r="A599" s="216">
        <v>45170</v>
      </c>
      <c r="B599" t="s">
        <v>43</v>
      </c>
      <c r="C599">
        <v>19</v>
      </c>
      <c r="D599" t="s">
        <v>440</v>
      </c>
      <c r="E599" s="217">
        <v>45170</v>
      </c>
      <c r="F599">
        <v>0</v>
      </c>
      <c r="G599" t="s">
        <v>434</v>
      </c>
    </row>
    <row r="600" spans="1:7">
      <c r="A600" s="216">
        <v>45170</v>
      </c>
      <c r="B600" t="s">
        <v>43</v>
      </c>
      <c r="C600">
        <v>20</v>
      </c>
      <c r="D600" t="s">
        <v>456</v>
      </c>
      <c r="E600" s="217">
        <v>45170</v>
      </c>
      <c r="F600">
        <v>0</v>
      </c>
      <c r="G600" t="s">
        <v>251</v>
      </c>
    </row>
    <row r="601" spans="1:7">
      <c r="A601" s="216">
        <v>45170</v>
      </c>
      <c r="B601" t="s">
        <v>43</v>
      </c>
      <c r="C601">
        <v>20</v>
      </c>
      <c r="D601" t="s">
        <v>456</v>
      </c>
      <c r="E601" s="217">
        <v>45170</v>
      </c>
      <c r="F601">
        <v>0</v>
      </c>
      <c r="G601" t="s">
        <v>252</v>
      </c>
    </row>
    <row r="602" spans="1:7">
      <c r="A602" s="216">
        <v>45170</v>
      </c>
      <c r="B602" t="s">
        <v>43</v>
      </c>
      <c r="C602">
        <v>20</v>
      </c>
      <c r="D602" t="s">
        <v>456</v>
      </c>
      <c r="E602" s="217">
        <v>45170</v>
      </c>
      <c r="F602">
        <v>0</v>
      </c>
      <c r="G602" t="s">
        <v>253</v>
      </c>
    </row>
    <row r="603" spans="1:7">
      <c r="A603" s="216">
        <v>45170</v>
      </c>
      <c r="B603" t="s">
        <v>43</v>
      </c>
      <c r="C603">
        <v>20</v>
      </c>
      <c r="D603" t="s">
        <v>456</v>
      </c>
      <c r="E603" s="217">
        <v>45170</v>
      </c>
      <c r="F603">
        <v>0</v>
      </c>
      <c r="G603" t="s">
        <v>254</v>
      </c>
    </row>
    <row r="604" spans="1:7">
      <c r="A604" s="216">
        <v>45170</v>
      </c>
      <c r="B604" t="s">
        <v>43</v>
      </c>
      <c r="C604">
        <v>20</v>
      </c>
      <c r="D604" t="s">
        <v>456</v>
      </c>
      <c r="E604" s="217">
        <v>45170</v>
      </c>
      <c r="F604">
        <v>0</v>
      </c>
      <c r="G604" t="s">
        <v>255</v>
      </c>
    </row>
    <row r="605" spans="1:7">
      <c r="A605" s="216">
        <v>45170</v>
      </c>
      <c r="B605" t="s">
        <v>43</v>
      </c>
      <c r="C605">
        <v>20</v>
      </c>
      <c r="D605" t="s">
        <v>456</v>
      </c>
      <c r="E605" s="217">
        <v>45170</v>
      </c>
      <c r="F605">
        <v>0</v>
      </c>
      <c r="G605" t="s">
        <v>256</v>
      </c>
    </row>
    <row r="606" spans="1:7">
      <c r="A606" s="216">
        <v>45170</v>
      </c>
      <c r="B606" t="s">
        <v>43</v>
      </c>
      <c r="C606">
        <v>20</v>
      </c>
      <c r="D606" t="s">
        <v>456</v>
      </c>
      <c r="E606" s="217">
        <v>45170</v>
      </c>
      <c r="F606">
        <v>0</v>
      </c>
      <c r="G606" t="s">
        <v>257</v>
      </c>
    </row>
    <row r="607" spans="1:7">
      <c r="A607" s="216">
        <v>45170</v>
      </c>
      <c r="B607" t="s">
        <v>43</v>
      </c>
      <c r="C607">
        <v>20</v>
      </c>
      <c r="D607" t="s">
        <v>456</v>
      </c>
      <c r="E607" s="217">
        <v>45170</v>
      </c>
      <c r="F607">
        <v>0</v>
      </c>
      <c r="G607" t="s">
        <v>258</v>
      </c>
    </row>
    <row r="608" spans="1:7">
      <c r="A608" s="216">
        <v>45170</v>
      </c>
      <c r="B608" t="s">
        <v>43</v>
      </c>
      <c r="C608">
        <v>20</v>
      </c>
      <c r="D608" t="s">
        <v>456</v>
      </c>
      <c r="E608" s="217">
        <v>45170</v>
      </c>
      <c r="F608">
        <v>0</v>
      </c>
      <c r="G608" t="s">
        <v>259</v>
      </c>
    </row>
    <row r="609" spans="1:7">
      <c r="A609" s="216">
        <v>45170</v>
      </c>
      <c r="B609" t="s">
        <v>43</v>
      </c>
      <c r="C609">
        <v>20</v>
      </c>
      <c r="D609" t="s">
        <v>456</v>
      </c>
      <c r="E609" s="217">
        <v>45170</v>
      </c>
      <c r="F609">
        <v>0</v>
      </c>
      <c r="G609" t="s">
        <v>260</v>
      </c>
    </row>
    <row r="610" spans="1:7">
      <c r="A610" s="216">
        <v>45170</v>
      </c>
      <c r="B610" t="s">
        <v>43</v>
      </c>
      <c r="C610">
        <v>20</v>
      </c>
      <c r="D610" t="s">
        <v>456</v>
      </c>
      <c r="E610" s="217">
        <v>45170</v>
      </c>
      <c r="F610">
        <v>0</v>
      </c>
      <c r="G610" t="s">
        <v>261</v>
      </c>
    </row>
    <row r="611" spans="1:7">
      <c r="A611" s="216">
        <v>45170</v>
      </c>
      <c r="B611" t="s">
        <v>43</v>
      </c>
      <c r="C611">
        <v>20</v>
      </c>
      <c r="D611" t="s">
        <v>456</v>
      </c>
      <c r="E611" s="217">
        <v>45170</v>
      </c>
      <c r="F611">
        <v>0</v>
      </c>
      <c r="G611" t="s">
        <v>262</v>
      </c>
    </row>
    <row r="612" spans="1:7">
      <c r="A612" s="216">
        <v>45170</v>
      </c>
      <c r="B612" t="s">
        <v>43</v>
      </c>
      <c r="C612">
        <v>20</v>
      </c>
      <c r="D612" t="s">
        <v>456</v>
      </c>
      <c r="E612" s="217">
        <v>45170</v>
      </c>
      <c r="F612">
        <v>0</v>
      </c>
      <c r="G612" t="s">
        <v>434</v>
      </c>
    </row>
    <row r="613" spans="1:7">
      <c r="A613" s="216">
        <v>45170</v>
      </c>
      <c r="B613" t="s">
        <v>43</v>
      </c>
      <c r="C613">
        <v>21</v>
      </c>
      <c r="D613" t="s">
        <v>455</v>
      </c>
      <c r="E613" s="217">
        <v>45170</v>
      </c>
      <c r="F613">
        <v>0</v>
      </c>
      <c r="G613" t="s">
        <v>251</v>
      </c>
    </row>
    <row r="614" spans="1:7">
      <c r="A614" s="216">
        <v>45170</v>
      </c>
      <c r="B614" t="s">
        <v>43</v>
      </c>
      <c r="C614">
        <v>21</v>
      </c>
      <c r="D614" t="s">
        <v>455</v>
      </c>
      <c r="E614" s="217">
        <v>45170</v>
      </c>
      <c r="F614">
        <v>0</v>
      </c>
      <c r="G614" t="s">
        <v>252</v>
      </c>
    </row>
    <row r="615" spans="1:7">
      <c r="A615" s="216">
        <v>45170</v>
      </c>
      <c r="B615" t="s">
        <v>43</v>
      </c>
      <c r="C615">
        <v>21</v>
      </c>
      <c r="D615" t="s">
        <v>455</v>
      </c>
      <c r="E615" s="217">
        <v>45170</v>
      </c>
      <c r="F615">
        <v>0</v>
      </c>
      <c r="G615" t="s">
        <v>253</v>
      </c>
    </row>
    <row r="616" spans="1:7">
      <c r="A616" s="216">
        <v>45170</v>
      </c>
      <c r="B616" t="s">
        <v>43</v>
      </c>
      <c r="C616">
        <v>21</v>
      </c>
      <c r="D616" t="s">
        <v>455</v>
      </c>
      <c r="E616" s="217">
        <v>45170</v>
      </c>
      <c r="F616">
        <v>0</v>
      </c>
      <c r="G616" t="s">
        <v>254</v>
      </c>
    </row>
    <row r="617" spans="1:7">
      <c r="A617" s="216">
        <v>45170</v>
      </c>
      <c r="B617" t="s">
        <v>43</v>
      </c>
      <c r="C617">
        <v>21</v>
      </c>
      <c r="D617" t="s">
        <v>455</v>
      </c>
      <c r="E617" s="217">
        <v>45170</v>
      </c>
      <c r="F617">
        <v>0</v>
      </c>
      <c r="G617" t="s">
        <v>255</v>
      </c>
    </row>
    <row r="618" spans="1:7">
      <c r="A618" s="216">
        <v>45170</v>
      </c>
      <c r="B618" t="s">
        <v>43</v>
      </c>
      <c r="C618">
        <v>21</v>
      </c>
      <c r="D618" t="s">
        <v>455</v>
      </c>
      <c r="E618" s="217">
        <v>45170</v>
      </c>
      <c r="F618">
        <v>0</v>
      </c>
      <c r="G618" t="s">
        <v>256</v>
      </c>
    </row>
    <row r="619" spans="1:7">
      <c r="A619" s="216">
        <v>45170</v>
      </c>
      <c r="B619" t="s">
        <v>43</v>
      </c>
      <c r="C619">
        <v>21</v>
      </c>
      <c r="D619" t="s">
        <v>455</v>
      </c>
      <c r="E619" s="217">
        <v>45170</v>
      </c>
      <c r="F619">
        <v>0</v>
      </c>
      <c r="G619" t="s">
        <v>257</v>
      </c>
    </row>
    <row r="620" spans="1:7">
      <c r="A620" s="216">
        <v>45170</v>
      </c>
      <c r="B620" t="s">
        <v>43</v>
      </c>
      <c r="C620">
        <v>21</v>
      </c>
      <c r="D620" t="s">
        <v>455</v>
      </c>
      <c r="E620" s="217">
        <v>45170</v>
      </c>
      <c r="F620">
        <v>0</v>
      </c>
      <c r="G620" t="s">
        <v>258</v>
      </c>
    </row>
    <row r="621" spans="1:7">
      <c r="A621" s="216">
        <v>45170</v>
      </c>
      <c r="B621" t="s">
        <v>43</v>
      </c>
      <c r="C621">
        <v>21</v>
      </c>
      <c r="D621" t="s">
        <v>455</v>
      </c>
      <c r="E621" s="217">
        <v>45170</v>
      </c>
      <c r="F621">
        <v>0</v>
      </c>
      <c r="G621" t="s">
        <v>259</v>
      </c>
    </row>
    <row r="622" spans="1:7">
      <c r="A622" s="216">
        <v>45170</v>
      </c>
      <c r="B622" t="s">
        <v>43</v>
      </c>
      <c r="C622">
        <v>21</v>
      </c>
      <c r="D622" t="s">
        <v>455</v>
      </c>
      <c r="E622" s="217">
        <v>45170</v>
      </c>
      <c r="F622">
        <v>0</v>
      </c>
      <c r="G622" t="s">
        <v>260</v>
      </c>
    </row>
    <row r="623" spans="1:7">
      <c r="A623" s="216">
        <v>45170</v>
      </c>
      <c r="B623" t="s">
        <v>43</v>
      </c>
      <c r="C623">
        <v>21</v>
      </c>
      <c r="D623" t="s">
        <v>455</v>
      </c>
      <c r="E623" s="217">
        <v>45170</v>
      </c>
      <c r="F623">
        <v>0</v>
      </c>
      <c r="G623" t="s">
        <v>261</v>
      </c>
    </row>
    <row r="624" spans="1:7">
      <c r="A624" s="216">
        <v>45170</v>
      </c>
      <c r="B624" t="s">
        <v>43</v>
      </c>
      <c r="C624">
        <v>21</v>
      </c>
      <c r="D624" t="s">
        <v>455</v>
      </c>
      <c r="E624" s="217">
        <v>45170</v>
      </c>
      <c r="F624">
        <v>0</v>
      </c>
      <c r="G624" t="s">
        <v>262</v>
      </c>
    </row>
    <row r="625" spans="1:7">
      <c r="A625" s="216">
        <v>45170</v>
      </c>
      <c r="B625" t="s">
        <v>43</v>
      </c>
      <c r="C625">
        <v>21</v>
      </c>
      <c r="D625" t="s">
        <v>455</v>
      </c>
      <c r="E625" s="217">
        <v>45170</v>
      </c>
      <c r="F625">
        <v>0</v>
      </c>
      <c r="G625" t="s">
        <v>434</v>
      </c>
    </row>
    <row r="626" spans="1:7">
      <c r="A626" s="216">
        <v>45170</v>
      </c>
      <c r="B626" t="s">
        <v>43</v>
      </c>
      <c r="C626">
        <v>22</v>
      </c>
      <c r="D626" t="s">
        <v>439</v>
      </c>
      <c r="E626" s="217">
        <v>45170</v>
      </c>
      <c r="F626">
        <v>2367</v>
      </c>
      <c r="G626" t="s">
        <v>251</v>
      </c>
    </row>
    <row r="627" spans="1:7">
      <c r="A627" s="216">
        <v>45170</v>
      </c>
      <c r="B627" t="s">
        <v>43</v>
      </c>
      <c r="C627">
        <v>22</v>
      </c>
      <c r="D627" t="s">
        <v>439</v>
      </c>
      <c r="E627" s="217">
        <v>45170</v>
      </c>
      <c r="F627">
        <v>4387</v>
      </c>
      <c r="G627" t="s">
        <v>252</v>
      </c>
    </row>
    <row r="628" spans="1:7">
      <c r="A628" s="216">
        <v>45170</v>
      </c>
      <c r="B628" t="s">
        <v>43</v>
      </c>
      <c r="C628">
        <v>22</v>
      </c>
      <c r="D628" t="s">
        <v>439</v>
      </c>
      <c r="E628" s="217">
        <v>45170</v>
      </c>
      <c r="F628">
        <v>3717</v>
      </c>
      <c r="G628" t="s">
        <v>253</v>
      </c>
    </row>
    <row r="629" spans="1:7">
      <c r="A629" s="216">
        <v>45170</v>
      </c>
      <c r="B629" t="s">
        <v>43</v>
      </c>
      <c r="C629">
        <v>22</v>
      </c>
      <c r="D629" t="s">
        <v>439</v>
      </c>
      <c r="E629" s="217">
        <v>45170</v>
      </c>
      <c r="F629">
        <v>3490</v>
      </c>
      <c r="G629" t="s">
        <v>254</v>
      </c>
    </row>
    <row r="630" spans="1:7">
      <c r="A630" s="216">
        <v>45170</v>
      </c>
      <c r="B630" t="s">
        <v>43</v>
      </c>
      <c r="C630">
        <v>22</v>
      </c>
      <c r="D630" t="s">
        <v>439</v>
      </c>
      <c r="E630" s="217">
        <v>45170</v>
      </c>
      <c r="F630">
        <v>3490</v>
      </c>
      <c r="G630" t="s">
        <v>255</v>
      </c>
    </row>
    <row r="631" spans="1:7">
      <c r="A631" s="216">
        <v>45170</v>
      </c>
      <c r="B631" t="s">
        <v>43</v>
      </c>
      <c r="C631">
        <v>22</v>
      </c>
      <c r="D631" t="s">
        <v>439</v>
      </c>
      <c r="E631" s="217">
        <v>45170</v>
      </c>
      <c r="F631">
        <v>3490</v>
      </c>
      <c r="G631" t="s">
        <v>256</v>
      </c>
    </row>
    <row r="632" spans="1:7">
      <c r="A632" s="216">
        <v>45170</v>
      </c>
      <c r="B632" t="s">
        <v>43</v>
      </c>
      <c r="C632">
        <v>22</v>
      </c>
      <c r="D632" t="s">
        <v>439</v>
      </c>
      <c r="E632" s="217">
        <v>45170</v>
      </c>
      <c r="F632">
        <v>3490</v>
      </c>
      <c r="G632" t="s">
        <v>257</v>
      </c>
    </row>
    <row r="633" spans="1:7">
      <c r="A633" s="216">
        <v>45170</v>
      </c>
      <c r="B633" t="s">
        <v>43</v>
      </c>
      <c r="C633">
        <v>22</v>
      </c>
      <c r="D633" t="s">
        <v>439</v>
      </c>
      <c r="E633" s="217">
        <v>45170</v>
      </c>
      <c r="F633">
        <v>3490</v>
      </c>
      <c r="G633" t="s">
        <v>258</v>
      </c>
    </row>
    <row r="634" spans="1:7">
      <c r="A634" s="216">
        <v>45170</v>
      </c>
      <c r="B634" t="s">
        <v>43</v>
      </c>
      <c r="C634">
        <v>22</v>
      </c>
      <c r="D634" t="s">
        <v>439</v>
      </c>
      <c r="E634" s="217">
        <v>45170</v>
      </c>
      <c r="F634">
        <v>3490</v>
      </c>
      <c r="G634" t="s">
        <v>259</v>
      </c>
    </row>
    <row r="635" spans="1:7">
      <c r="A635" s="216">
        <v>45170</v>
      </c>
      <c r="B635" t="s">
        <v>43</v>
      </c>
      <c r="C635">
        <v>22</v>
      </c>
      <c r="D635" t="s">
        <v>439</v>
      </c>
      <c r="E635" s="217">
        <v>45170</v>
      </c>
      <c r="F635">
        <v>3490</v>
      </c>
      <c r="G635" t="s">
        <v>260</v>
      </c>
    </row>
    <row r="636" spans="1:7">
      <c r="A636" s="216">
        <v>45170</v>
      </c>
      <c r="B636" t="s">
        <v>43</v>
      </c>
      <c r="C636">
        <v>22</v>
      </c>
      <c r="D636" t="s">
        <v>439</v>
      </c>
      <c r="E636" s="217">
        <v>45170</v>
      </c>
      <c r="F636">
        <v>3490</v>
      </c>
      <c r="G636" t="s">
        <v>261</v>
      </c>
    </row>
    <row r="637" spans="1:7">
      <c r="A637" s="216">
        <v>45170</v>
      </c>
      <c r="B637" t="s">
        <v>43</v>
      </c>
      <c r="C637">
        <v>22</v>
      </c>
      <c r="D637" t="s">
        <v>439</v>
      </c>
      <c r="E637" s="217">
        <v>45170</v>
      </c>
      <c r="F637">
        <v>3490</v>
      </c>
      <c r="G637" t="s">
        <v>262</v>
      </c>
    </row>
    <row r="638" spans="1:7">
      <c r="A638" s="216">
        <v>45170</v>
      </c>
      <c r="B638" t="s">
        <v>43</v>
      </c>
      <c r="C638">
        <v>22</v>
      </c>
      <c r="D638" t="s">
        <v>439</v>
      </c>
      <c r="E638" s="217">
        <v>45170</v>
      </c>
      <c r="F638">
        <v>41881</v>
      </c>
      <c r="G638" t="s">
        <v>434</v>
      </c>
    </row>
    <row r="639" spans="1:7">
      <c r="A639" s="216">
        <v>45170</v>
      </c>
      <c r="B639" t="s">
        <v>43</v>
      </c>
      <c r="C639">
        <v>23</v>
      </c>
      <c r="D639" t="s">
        <v>435</v>
      </c>
      <c r="E639" s="217">
        <v>45170</v>
      </c>
      <c r="F639">
        <v>137</v>
      </c>
      <c r="G639" t="s">
        <v>251</v>
      </c>
    </row>
    <row r="640" spans="1:7">
      <c r="A640" s="216">
        <v>45170</v>
      </c>
      <c r="B640" t="s">
        <v>43</v>
      </c>
      <c r="C640">
        <v>23</v>
      </c>
      <c r="D640" t="s">
        <v>435</v>
      </c>
      <c r="E640" s="217">
        <v>45170</v>
      </c>
      <c r="F640">
        <v>138</v>
      </c>
      <c r="G640" t="s">
        <v>252</v>
      </c>
    </row>
    <row r="641" spans="1:7">
      <c r="A641" s="216">
        <v>45170</v>
      </c>
      <c r="B641" t="s">
        <v>43</v>
      </c>
      <c r="C641">
        <v>23</v>
      </c>
      <c r="D641" t="s">
        <v>435</v>
      </c>
      <c r="E641" s="217">
        <v>45170</v>
      </c>
      <c r="F641">
        <v>160</v>
      </c>
      <c r="G641" t="s">
        <v>253</v>
      </c>
    </row>
    <row r="642" spans="1:7">
      <c r="A642" s="216">
        <v>45170</v>
      </c>
      <c r="B642" t="s">
        <v>43</v>
      </c>
      <c r="C642">
        <v>23</v>
      </c>
      <c r="D642" t="s">
        <v>435</v>
      </c>
      <c r="E642" s="217">
        <v>45170</v>
      </c>
      <c r="F642">
        <v>145</v>
      </c>
      <c r="G642" t="s">
        <v>254</v>
      </c>
    </row>
    <row r="643" spans="1:7">
      <c r="A643" s="216">
        <v>45170</v>
      </c>
      <c r="B643" t="s">
        <v>43</v>
      </c>
      <c r="C643">
        <v>23</v>
      </c>
      <c r="D643" t="s">
        <v>435</v>
      </c>
      <c r="E643" s="217">
        <v>45170</v>
      </c>
      <c r="F643">
        <v>145</v>
      </c>
      <c r="G643" t="s">
        <v>255</v>
      </c>
    </row>
    <row r="644" spans="1:7">
      <c r="A644" s="216">
        <v>45170</v>
      </c>
      <c r="B644" t="s">
        <v>43</v>
      </c>
      <c r="C644">
        <v>23</v>
      </c>
      <c r="D644" t="s">
        <v>435</v>
      </c>
      <c r="E644" s="217">
        <v>45170</v>
      </c>
      <c r="F644">
        <v>145</v>
      </c>
      <c r="G644" t="s">
        <v>256</v>
      </c>
    </row>
    <row r="645" spans="1:7">
      <c r="A645" s="216">
        <v>45170</v>
      </c>
      <c r="B645" t="s">
        <v>43</v>
      </c>
      <c r="C645">
        <v>23</v>
      </c>
      <c r="D645" t="s">
        <v>435</v>
      </c>
      <c r="E645" s="217">
        <v>45170</v>
      </c>
      <c r="F645">
        <v>145</v>
      </c>
      <c r="G645" t="s">
        <v>257</v>
      </c>
    </row>
    <row r="646" spans="1:7">
      <c r="A646" s="216">
        <v>45170</v>
      </c>
      <c r="B646" t="s">
        <v>43</v>
      </c>
      <c r="C646">
        <v>23</v>
      </c>
      <c r="D646" t="s">
        <v>435</v>
      </c>
      <c r="E646" s="217">
        <v>45170</v>
      </c>
      <c r="F646">
        <v>145</v>
      </c>
      <c r="G646" t="s">
        <v>258</v>
      </c>
    </row>
    <row r="647" spans="1:7">
      <c r="A647" s="216">
        <v>45170</v>
      </c>
      <c r="B647" t="s">
        <v>43</v>
      </c>
      <c r="C647">
        <v>23</v>
      </c>
      <c r="D647" t="s">
        <v>435</v>
      </c>
      <c r="E647" s="217">
        <v>45170</v>
      </c>
      <c r="F647">
        <v>145</v>
      </c>
      <c r="G647" t="s">
        <v>259</v>
      </c>
    </row>
    <row r="648" spans="1:7">
      <c r="A648" s="216">
        <v>45170</v>
      </c>
      <c r="B648" t="s">
        <v>43</v>
      </c>
      <c r="C648">
        <v>23</v>
      </c>
      <c r="D648" t="s">
        <v>435</v>
      </c>
      <c r="E648" s="217">
        <v>45170</v>
      </c>
      <c r="F648">
        <v>145</v>
      </c>
      <c r="G648" t="s">
        <v>260</v>
      </c>
    </row>
    <row r="649" spans="1:7">
      <c r="A649" s="216">
        <v>45170</v>
      </c>
      <c r="B649" t="s">
        <v>43</v>
      </c>
      <c r="C649">
        <v>23</v>
      </c>
      <c r="D649" t="s">
        <v>435</v>
      </c>
      <c r="E649" s="217">
        <v>45170</v>
      </c>
      <c r="F649">
        <v>145</v>
      </c>
      <c r="G649" t="s">
        <v>261</v>
      </c>
    </row>
    <row r="650" spans="1:7">
      <c r="A650" s="216">
        <v>45170</v>
      </c>
      <c r="B650" t="s">
        <v>43</v>
      </c>
      <c r="C650">
        <v>23</v>
      </c>
      <c r="D650" t="s">
        <v>435</v>
      </c>
      <c r="E650" s="217">
        <v>45170</v>
      </c>
      <c r="F650">
        <v>145</v>
      </c>
      <c r="G650" t="s">
        <v>262</v>
      </c>
    </row>
    <row r="651" spans="1:7">
      <c r="A651" s="216">
        <v>45170</v>
      </c>
      <c r="B651" t="s">
        <v>43</v>
      </c>
      <c r="C651">
        <v>23</v>
      </c>
      <c r="D651" t="s">
        <v>435</v>
      </c>
      <c r="E651" s="217">
        <v>45170</v>
      </c>
      <c r="F651">
        <v>1740</v>
      </c>
      <c r="G651" t="s">
        <v>434</v>
      </c>
    </row>
    <row r="652" spans="1:7">
      <c r="A652" s="216">
        <v>45170</v>
      </c>
      <c r="B652" t="s">
        <v>43</v>
      </c>
      <c r="C652">
        <v>24</v>
      </c>
      <c r="D652" t="s">
        <v>457</v>
      </c>
      <c r="E652" s="217">
        <v>45170</v>
      </c>
      <c r="F652">
        <v>0</v>
      </c>
      <c r="G652" t="s">
        <v>251</v>
      </c>
    </row>
    <row r="653" spans="1:7">
      <c r="A653" s="216">
        <v>45170</v>
      </c>
      <c r="B653" t="s">
        <v>43</v>
      </c>
      <c r="C653">
        <v>24</v>
      </c>
      <c r="D653" t="s">
        <v>457</v>
      </c>
      <c r="E653" s="217">
        <v>45170</v>
      </c>
      <c r="F653">
        <v>0</v>
      </c>
      <c r="G653" t="s">
        <v>252</v>
      </c>
    </row>
    <row r="654" spans="1:7">
      <c r="A654" s="216">
        <v>45170</v>
      </c>
      <c r="B654" t="s">
        <v>43</v>
      </c>
      <c r="C654">
        <v>24</v>
      </c>
      <c r="D654" t="s">
        <v>457</v>
      </c>
      <c r="E654" s="217">
        <v>45170</v>
      </c>
      <c r="F654">
        <v>0</v>
      </c>
      <c r="G654" t="s">
        <v>253</v>
      </c>
    </row>
    <row r="655" spans="1:7">
      <c r="A655" s="216">
        <v>45170</v>
      </c>
      <c r="B655" t="s">
        <v>43</v>
      </c>
      <c r="C655">
        <v>24</v>
      </c>
      <c r="D655" t="s">
        <v>457</v>
      </c>
      <c r="E655" s="217">
        <v>45170</v>
      </c>
      <c r="F655">
        <v>0</v>
      </c>
      <c r="G655" t="s">
        <v>254</v>
      </c>
    </row>
    <row r="656" spans="1:7">
      <c r="A656" s="216">
        <v>45170</v>
      </c>
      <c r="B656" t="s">
        <v>43</v>
      </c>
      <c r="C656">
        <v>24</v>
      </c>
      <c r="D656" t="s">
        <v>457</v>
      </c>
      <c r="E656" s="217">
        <v>45170</v>
      </c>
      <c r="F656">
        <v>0</v>
      </c>
      <c r="G656" t="s">
        <v>255</v>
      </c>
    </row>
    <row r="657" spans="1:7">
      <c r="A657" s="216">
        <v>45170</v>
      </c>
      <c r="B657" t="s">
        <v>43</v>
      </c>
      <c r="C657">
        <v>24</v>
      </c>
      <c r="D657" t="s">
        <v>457</v>
      </c>
      <c r="E657" s="217">
        <v>45170</v>
      </c>
      <c r="F657">
        <v>0</v>
      </c>
      <c r="G657" t="s">
        <v>256</v>
      </c>
    </row>
    <row r="658" spans="1:7">
      <c r="A658" s="216">
        <v>45170</v>
      </c>
      <c r="B658" t="s">
        <v>43</v>
      </c>
      <c r="C658">
        <v>24</v>
      </c>
      <c r="D658" t="s">
        <v>457</v>
      </c>
      <c r="E658" s="217">
        <v>45170</v>
      </c>
      <c r="F658">
        <v>0</v>
      </c>
      <c r="G658" t="s">
        <v>257</v>
      </c>
    </row>
    <row r="659" spans="1:7">
      <c r="A659" s="216">
        <v>45170</v>
      </c>
      <c r="B659" t="s">
        <v>43</v>
      </c>
      <c r="C659">
        <v>24</v>
      </c>
      <c r="D659" t="s">
        <v>457</v>
      </c>
      <c r="E659" s="217">
        <v>45170</v>
      </c>
      <c r="F659">
        <v>0</v>
      </c>
      <c r="G659" t="s">
        <v>258</v>
      </c>
    </row>
    <row r="660" spans="1:7">
      <c r="A660" s="216">
        <v>45170</v>
      </c>
      <c r="B660" t="s">
        <v>43</v>
      </c>
      <c r="C660">
        <v>24</v>
      </c>
      <c r="D660" t="s">
        <v>457</v>
      </c>
      <c r="E660" s="217">
        <v>45170</v>
      </c>
      <c r="F660">
        <v>0</v>
      </c>
      <c r="G660" t="s">
        <v>259</v>
      </c>
    </row>
    <row r="661" spans="1:7">
      <c r="A661" s="216">
        <v>45170</v>
      </c>
      <c r="B661" t="s">
        <v>43</v>
      </c>
      <c r="C661">
        <v>24</v>
      </c>
      <c r="D661" t="s">
        <v>457</v>
      </c>
      <c r="E661" s="217">
        <v>45170</v>
      </c>
      <c r="F661">
        <v>0</v>
      </c>
      <c r="G661" t="s">
        <v>260</v>
      </c>
    </row>
    <row r="662" spans="1:7">
      <c r="A662" s="216">
        <v>45170</v>
      </c>
      <c r="B662" t="s">
        <v>43</v>
      </c>
      <c r="C662">
        <v>24</v>
      </c>
      <c r="D662" t="s">
        <v>457</v>
      </c>
      <c r="E662" s="217">
        <v>45170</v>
      </c>
      <c r="F662">
        <v>0</v>
      </c>
      <c r="G662" t="s">
        <v>261</v>
      </c>
    </row>
    <row r="663" spans="1:7">
      <c r="A663" s="216">
        <v>45170</v>
      </c>
      <c r="B663" t="s">
        <v>43</v>
      </c>
      <c r="C663">
        <v>24</v>
      </c>
      <c r="D663" t="s">
        <v>457</v>
      </c>
      <c r="E663" s="217">
        <v>45170</v>
      </c>
      <c r="F663">
        <v>0</v>
      </c>
      <c r="G663" t="s">
        <v>262</v>
      </c>
    </row>
    <row r="664" spans="1:7">
      <c r="A664" s="216">
        <v>45170</v>
      </c>
      <c r="B664" t="s">
        <v>43</v>
      </c>
      <c r="C664">
        <v>24</v>
      </c>
      <c r="D664" t="s">
        <v>457</v>
      </c>
      <c r="E664" s="217">
        <v>45170</v>
      </c>
      <c r="F664">
        <v>0</v>
      </c>
      <c r="G664" t="s">
        <v>434</v>
      </c>
    </row>
    <row r="665" spans="1:7">
      <c r="A665" s="216">
        <v>45170</v>
      </c>
      <c r="B665" t="s">
        <v>43</v>
      </c>
      <c r="C665">
        <v>25</v>
      </c>
      <c r="D665" t="s">
        <v>452</v>
      </c>
      <c r="E665" s="217">
        <v>45170</v>
      </c>
      <c r="F665">
        <v>0</v>
      </c>
      <c r="G665" t="s">
        <v>251</v>
      </c>
    </row>
    <row r="666" spans="1:7">
      <c r="A666" s="216">
        <v>45170</v>
      </c>
      <c r="B666" t="s">
        <v>43</v>
      </c>
      <c r="C666">
        <v>25</v>
      </c>
      <c r="D666" t="s">
        <v>452</v>
      </c>
      <c r="E666" s="217">
        <v>45170</v>
      </c>
      <c r="F666">
        <v>0</v>
      </c>
      <c r="G666" t="s">
        <v>252</v>
      </c>
    </row>
    <row r="667" spans="1:7">
      <c r="A667" s="216">
        <v>45170</v>
      </c>
      <c r="B667" t="s">
        <v>43</v>
      </c>
      <c r="C667">
        <v>25</v>
      </c>
      <c r="D667" t="s">
        <v>452</v>
      </c>
      <c r="E667" s="217">
        <v>45170</v>
      </c>
      <c r="F667">
        <v>0</v>
      </c>
      <c r="G667" t="s">
        <v>253</v>
      </c>
    </row>
    <row r="668" spans="1:7">
      <c r="A668" s="216">
        <v>45170</v>
      </c>
      <c r="B668" t="s">
        <v>43</v>
      </c>
      <c r="C668">
        <v>25</v>
      </c>
      <c r="D668" t="s">
        <v>452</v>
      </c>
      <c r="E668" s="217">
        <v>45170</v>
      </c>
      <c r="F668">
        <v>0</v>
      </c>
      <c r="G668" t="s">
        <v>254</v>
      </c>
    </row>
    <row r="669" spans="1:7">
      <c r="A669" s="216">
        <v>45170</v>
      </c>
      <c r="B669" t="s">
        <v>43</v>
      </c>
      <c r="C669">
        <v>25</v>
      </c>
      <c r="D669" t="s">
        <v>452</v>
      </c>
      <c r="E669" s="217">
        <v>45170</v>
      </c>
      <c r="F669">
        <v>0</v>
      </c>
      <c r="G669" t="s">
        <v>255</v>
      </c>
    </row>
    <row r="670" spans="1:7">
      <c r="A670" s="216">
        <v>45170</v>
      </c>
      <c r="B670" t="s">
        <v>43</v>
      </c>
      <c r="C670">
        <v>25</v>
      </c>
      <c r="D670" t="s">
        <v>452</v>
      </c>
      <c r="E670" s="217">
        <v>45170</v>
      </c>
      <c r="F670">
        <v>0</v>
      </c>
      <c r="G670" t="s">
        <v>256</v>
      </c>
    </row>
    <row r="671" spans="1:7">
      <c r="A671" s="216">
        <v>45170</v>
      </c>
      <c r="B671" t="s">
        <v>43</v>
      </c>
      <c r="C671">
        <v>25</v>
      </c>
      <c r="D671" t="s">
        <v>452</v>
      </c>
      <c r="E671" s="217">
        <v>45170</v>
      </c>
      <c r="F671">
        <v>0</v>
      </c>
      <c r="G671" t="s">
        <v>257</v>
      </c>
    </row>
    <row r="672" spans="1:7">
      <c r="A672" s="216">
        <v>45170</v>
      </c>
      <c r="B672" t="s">
        <v>43</v>
      </c>
      <c r="C672">
        <v>25</v>
      </c>
      <c r="D672" t="s">
        <v>452</v>
      </c>
      <c r="E672" s="217">
        <v>45170</v>
      </c>
      <c r="F672">
        <v>0</v>
      </c>
      <c r="G672" t="s">
        <v>258</v>
      </c>
    </row>
    <row r="673" spans="1:7">
      <c r="A673" s="216">
        <v>45170</v>
      </c>
      <c r="B673" t="s">
        <v>43</v>
      </c>
      <c r="C673">
        <v>25</v>
      </c>
      <c r="D673" t="s">
        <v>452</v>
      </c>
      <c r="E673" s="217">
        <v>45170</v>
      </c>
      <c r="F673">
        <v>0</v>
      </c>
      <c r="G673" t="s">
        <v>259</v>
      </c>
    </row>
    <row r="674" spans="1:7">
      <c r="A674" s="216">
        <v>45170</v>
      </c>
      <c r="B674" t="s">
        <v>43</v>
      </c>
      <c r="C674">
        <v>25</v>
      </c>
      <c r="D674" t="s">
        <v>452</v>
      </c>
      <c r="E674" s="217">
        <v>45170</v>
      </c>
      <c r="F674">
        <v>0</v>
      </c>
      <c r="G674" t="s">
        <v>260</v>
      </c>
    </row>
    <row r="675" spans="1:7">
      <c r="A675" s="216">
        <v>45170</v>
      </c>
      <c r="B675" t="s">
        <v>43</v>
      </c>
      <c r="C675">
        <v>25</v>
      </c>
      <c r="D675" t="s">
        <v>452</v>
      </c>
      <c r="E675" s="217">
        <v>45170</v>
      </c>
      <c r="F675">
        <v>0</v>
      </c>
      <c r="G675" t="s">
        <v>261</v>
      </c>
    </row>
    <row r="676" spans="1:7">
      <c r="A676" s="216">
        <v>45170</v>
      </c>
      <c r="B676" t="s">
        <v>43</v>
      </c>
      <c r="C676">
        <v>25</v>
      </c>
      <c r="D676" t="s">
        <v>452</v>
      </c>
      <c r="E676" s="217">
        <v>45170</v>
      </c>
      <c r="F676">
        <v>-141</v>
      </c>
      <c r="G676" t="s">
        <v>262</v>
      </c>
    </row>
    <row r="677" spans="1:7">
      <c r="A677" s="216">
        <v>45170</v>
      </c>
      <c r="B677" t="s">
        <v>43</v>
      </c>
      <c r="C677">
        <v>25</v>
      </c>
      <c r="D677" t="s">
        <v>452</v>
      </c>
      <c r="E677" s="217">
        <v>45170</v>
      </c>
      <c r="F677">
        <v>-141</v>
      </c>
      <c r="G677" t="s">
        <v>434</v>
      </c>
    </row>
    <row r="678" spans="1:7">
      <c r="A678" s="216">
        <v>45170</v>
      </c>
      <c r="B678" t="s">
        <v>43</v>
      </c>
      <c r="C678">
        <v>26</v>
      </c>
      <c r="D678" t="s">
        <v>438</v>
      </c>
      <c r="E678" s="217">
        <v>45170</v>
      </c>
      <c r="F678">
        <v>173083</v>
      </c>
      <c r="G678" t="s">
        <v>251</v>
      </c>
    </row>
    <row r="679" spans="1:7">
      <c r="A679" s="216">
        <v>45170</v>
      </c>
      <c r="B679" t="s">
        <v>43</v>
      </c>
      <c r="C679">
        <v>26</v>
      </c>
      <c r="D679" t="s">
        <v>438</v>
      </c>
      <c r="E679" s="217">
        <v>45170</v>
      </c>
      <c r="F679">
        <v>185821</v>
      </c>
      <c r="G679" t="s">
        <v>252</v>
      </c>
    </row>
    <row r="680" spans="1:7">
      <c r="A680" s="216">
        <v>45170</v>
      </c>
      <c r="B680" t="s">
        <v>43</v>
      </c>
      <c r="C680">
        <v>26</v>
      </c>
      <c r="D680" t="s">
        <v>438</v>
      </c>
      <c r="E680" s="217">
        <v>45170</v>
      </c>
      <c r="F680">
        <v>199687</v>
      </c>
      <c r="G680" t="s">
        <v>253</v>
      </c>
    </row>
    <row r="681" spans="1:7">
      <c r="A681" s="216">
        <v>45170</v>
      </c>
      <c r="B681" t="s">
        <v>43</v>
      </c>
      <c r="C681">
        <v>26</v>
      </c>
      <c r="D681" t="s">
        <v>438</v>
      </c>
      <c r="E681" s="217">
        <v>45170</v>
      </c>
      <c r="F681">
        <v>199947</v>
      </c>
      <c r="G681" t="s">
        <v>254</v>
      </c>
    </row>
    <row r="682" spans="1:7">
      <c r="A682" s="216">
        <v>45170</v>
      </c>
      <c r="B682" t="s">
        <v>43</v>
      </c>
      <c r="C682">
        <v>26</v>
      </c>
      <c r="D682" t="s">
        <v>438</v>
      </c>
      <c r="E682" s="217">
        <v>45170</v>
      </c>
      <c r="F682">
        <v>191885</v>
      </c>
      <c r="G682" t="s">
        <v>255</v>
      </c>
    </row>
    <row r="683" spans="1:7">
      <c r="A683" s="216">
        <v>45170</v>
      </c>
      <c r="B683" t="s">
        <v>43</v>
      </c>
      <c r="C683">
        <v>26</v>
      </c>
      <c r="D683" t="s">
        <v>438</v>
      </c>
      <c r="E683" s="217">
        <v>45170</v>
      </c>
      <c r="F683">
        <v>187432</v>
      </c>
      <c r="G683" t="s">
        <v>256</v>
      </c>
    </row>
    <row r="684" spans="1:7">
      <c r="A684" s="216">
        <v>45170</v>
      </c>
      <c r="B684" t="s">
        <v>43</v>
      </c>
      <c r="C684">
        <v>26</v>
      </c>
      <c r="D684" t="s">
        <v>438</v>
      </c>
      <c r="E684" s="217">
        <v>45170</v>
      </c>
      <c r="F684">
        <v>185289</v>
      </c>
      <c r="G684" t="s">
        <v>257</v>
      </c>
    </row>
    <row r="685" spans="1:7">
      <c r="A685" s="216">
        <v>45170</v>
      </c>
      <c r="B685" t="s">
        <v>43</v>
      </c>
      <c r="C685">
        <v>26</v>
      </c>
      <c r="D685" t="s">
        <v>438</v>
      </c>
      <c r="E685" s="217">
        <v>45170</v>
      </c>
      <c r="F685">
        <v>183423</v>
      </c>
      <c r="G685" t="s">
        <v>258</v>
      </c>
    </row>
    <row r="686" spans="1:7">
      <c r="A686" s="216">
        <v>45170</v>
      </c>
      <c r="B686" t="s">
        <v>43</v>
      </c>
      <c r="C686">
        <v>26</v>
      </c>
      <c r="D686" t="s">
        <v>438</v>
      </c>
      <c r="E686" s="217">
        <v>45170</v>
      </c>
      <c r="F686">
        <v>183668</v>
      </c>
      <c r="G686" t="s">
        <v>259</v>
      </c>
    </row>
    <row r="687" spans="1:7">
      <c r="A687" s="216">
        <v>45170</v>
      </c>
      <c r="B687" t="s">
        <v>43</v>
      </c>
      <c r="C687">
        <v>26</v>
      </c>
      <c r="D687" t="s">
        <v>438</v>
      </c>
      <c r="E687" s="217">
        <v>45170</v>
      </c>
      <c r="F687">
        <v>184775</v>
      </c>
      <c r="G687" t="s">
        <v>260</v>
      </c>
    </row>
    <row r="688" spans="1:7">
      <c r="A688" s="216">
        <v>45170</v>
      </c>
      <c r="B688" t="s">
        <v>43</v>
      </c>
      <c r="C688">
        <v>26</v>
      </c>
      <c r="D688" t="s">
        <v>438</v>
      </c>
      <c r="E688" s="217">
        <v>45170</v>
      </c>
      <c r="F688">
        <v>181934</v>
      </c>
      <c r="G688" t="s">
        <v>261</v>
      </c>
    </row>
    <row r="689" spans="1:7">
      <c r="A689" s="216">
        <v>45170</v>
      </c>
      <c r="B689" t="s">
        <v>43</v>
      </c>
      <c r="C689">
        <v>26</v>
      </c>
      <c r="D689" t="s">
        <v>438</v>
      </c>
      <c r="E689" s="217">
        <v>45170</v>
      </c>
      <c r="F689">
        <v>183451</v>
      </c>
      <c r="G689" t="s">
        <v>262</v>
      </c>
    </row>
    <row r="690" spans="1:7">
      <c r="A690" s="216">
        <v>45170</v>
      </c>
      <c r="B690" t="s">
        <v>43</v>
      </c>
      <c r="C690">
        <v>26</v>
      </c>
      <c r="D690" t="s">
        <v>438</v>
      </c>
      <c r="E690" s="217">
        <v>45170</v>
      </c>
      <c r="F690">
        <v>2240395</v>
      </c>
      <c r="G690" t="s">
        <v>434</v>
      </c>
    </row>
    <row r="691" spans="1:7">
      <c r="A691" s="216">
        <v>45170</v>
      </c>
      <c r="B691" t="s">
        <v>43</v>
      </c>
      <c r="C691">
        <v>27</v>
      </c>
      <c r="D691" t="s">
        <v>446</v>
      </c>
      <c r="E691" s="217">
        <v>45170</v>
      </c>
      <c r="F691">
        <v>-12170</v>
      </c>
      <c r="G691" t="s">
        <v>251</v>
      </c>
    </row>
    <row r="692" spans="1:7">
      <c r="A692" s="216">
        <v>45170</v>
      </c>
      <c r="B692" t="s">
        <v>43</v>
      </c>
      <c r="C692">
        <v>27</v>
      </c>
      <c r="D692" t="s">
        <v>446</v>
      </c>
      <c r="E692" s="217">
        <v>45170</v>
      </c>
      <c r="F692">
        <v>-14110</v>
      </c>
      <c r="G692" t="s">
        <v>252</v>
      </c>
    </row>
    <row r="693" spans="1:7">
      <c r="A693" s="216">
        <v>45170</v>
      </c>
      <c r="B693" t="s">
        <v>43</v>
      </c>
      <c r="C693">
        <v>27</v>
      </c>
      <c r="D693" t="s">
        <v>446</v>
      </c>
      <c r="E693" s="217">
        <v>45170</v>
      </c>
      <c r="F693">
        <v>-16585</v>
      </c>
      <c r="G693" t="s">
        <v>253</v>
      </c>
    </row>
    <row r="694" spans="1:7">
      <c r="A694" s="216">
        <v>45170</v>
      </c>
      <c r="B694" t="s">
        <v>43</v>
      </c>
      <c r="C694">
        <v>27</v>
      </c>
      <c r="D694" t="s">
        <v>446</v>
      </c>
      <c r="E694" s="217">
        <v>45170</v>
      </c>
      <c r="F694">
        <v>-16744</v>
      </c>
      <c r="G694" t="s">
        <v>254</v>
      </c>
    </row>
    <row r="695" spans="1:7">
      <c r="A695" s="216">
        <v>45170</v>
      </c>
      <c r="B695" t="s">
        <v>43</v>
      </c>
      <c r="C695">
        <v>27</v>
      </c>
      <c r="D695" t="s">
        <v>446</v>
      </c>
      <c r="E695" s="217">
        <v>45170</v>
      </c>
      <c r="F695">
        <v>-16655</v>
      </c>
      <c r="G695" t="s">
        <v>255</v>
      </c>
    </row>
    <row r="696" spans="1:7">
      <c r="A696" s="216">
        <v>45170</v>
      </c>
      <c r="B696" t="s">
        <v>43</v>
      </c>
      <c r="C696">
        <v>27</v>
      </c>
      <c r="D696" t="s">
        <v>446</v>
      </c>
      <c r="E696" s="217">
        <v>45170</v>
      </c>
      <c r="F696">
        <v>-14491</v>
      </c>
      <c r="G696" t="s">
        <v>256</v>
      </c>
    </row>
    <row r="697" spans="1:7">
      <c r="A697" s="216">
        <v>45170</v>
      </c>
      <c r="B697" t="s">
        <v>43</v>
      </c>
      <c r="C697">
        <v>27</v>
      </c>
      <c r="D697" t="s">
        <v>446</v>
      </c>
      <c r="E697" s="217">
        <v>45170</v>
      </c>
      <c r="F697">
        <v>-11031</v>
      </c>
      <c r="G697" t="s">
        <v>257</v>
      </c>
    </row>
    <row r="698" spans="1:7">
      <c r="A698" s="216">
        <v>45170</v>
      </c>
      <c r="B698" t="s">
        <v>43</v>
      </c>
      <c r="C698">
        <v>27</v>
      </c>
      <c r="D698" t="s">
        <v>446</v>
      </c>
      <c r="E698" s="217">
        <v>45170</v>
      </c>
      <c r="F698">
        <v>-9110</v>
      </c>
      <c r="G698" t="s">
        <v>258</v>
      </c>
    </row>
    <row r="699" spans="1:7">
      <c r="A699" s="216">
        <v>45170</v>
      </c>
      <c r="B699" t="s">
        <v>43</v>
      </c>
      <c r="C699">
        <v>27</v>
      </c>
      <c r="D699" t="s">
        <v>446</v>
      </c>
      <c r="E699" s="217">
        <v>45170</v>
      </c>
      <c r="F699">
        <v>-6372</v>
      </c>
      <c r="G699" t="s">
        <v>259</v>
      </c>
    </row>
    <row r="700" spans="1:7">
      <c r="A700" s="216">
        <v>45170</v>
      </c>
      <c r="B700" t="s">
        <v>43</v>
      </c>
      <c r="C700">
        <v>27</v>
      </c>
      <c r="D700" t="s">
        <v>446</v>
      </c>
      <c r="E700" s="217">
        <v>45170</v>
      </c>
      <c r="F700">
        <v>-5855</v>
      </c>
      <c r="G700" t="s">
        <v>260</v>
      </c>
    </row>
    <row r="701" spans="1:7">
      <c r="A701" s="216">
        <v>45170</v>
      </c>
      <c r="B701" t="s">
        <v>43</v>
      </c>
      <c r="C701">
        <v>27</v>
      </c>
      <c r="D701" t="s">
        <v>446</v>
      </c>
      <c r="E701" s="217">
        <v>45170</v>
      </c>
      <c r="F701">
        <v>-5743</v>
      </c>
      <c r="G701" t="s">
        <v>261</v>
      </c>
    </row>
    <row r="702" spans="1:7">
      <c r="A702" s="216">
        <v>45170</v>
      </c>
      <c r="B702" t="s">
        <v>43</v>
      </c>
      <c r="C702">
        <v>27</v>
      </c>
      <c r="D702" t="s">
        <v>446</v>
      </c>
      <c r="E702" s="217">
        <v>45170</v>
      </c>
      <c r="F702">
        <v>-5267</v>
      </c>
      <c r="G702" t="s">
        <v>262</v>
      </c>
    </row>
    <row r="703" spans="1:7">
      <c r="A703" s="216">
        <v>45170</v>
      </c>
      <c r="B703" t="s">
        <v>43</v>
      </c>
      <c r="C703">
        <v>27</v>
      </c>
      <c r="D703" t="s">
        <v>446</v>
      </c>
      <c r="E703" s="217">
        <v>45170</v>
      </c>
      <c r="F703">
        <v>-134133</v>
      </c>
      <c r="G703" t="s">
        <v>434</v>
      </c>
    </row>
    <row r="704" spans="1:7">
      <c r="A704" s="216">
        <v>45170</v>
      </c>
      <c r="B704" t="s">
        <v>44</v>
      </c>
      <c r="C704">
        <v>1</v>
      </c>
      <c r="D704" t="s">
        <v>453</v>
      </c>
      <c r="E704" s="217">
        <v>45170</v>
      </c>
      <c r="F704">
        <v>94338</v>
      </c>
      <c r="G704" t="s">
        <v>251</v>
      </c>
    </row>
    <row r="705" spans="1:7">
      <c r="A705" s="216">
        <v>45170</v>
      </c>
      <c r="B705" t="s">
        <v>44</v>
      </c>
      <c r="C705">
        <v>1</v>
      </c>
      <c r="D705" t="s">
        <v>453</v>
      </c>
      <c r="E705" s="217">
        <v>45170</v>
      </c>
      <c r="F705">
        <v>103445</v>
      </c>
      <c r="G705" t="s">
        <v>252</v>
      </c>
    </row>
    <row r="706" spans="1:7">
      <c r="A706" s="216">
        <v>45170</v>
      </c>
      <c r="B706" t="s">
        <v>44</v>
      </c>
      <c r="C706">
        <v>1</v>
      </c>
      <c r="D706" t="s">
        <v>453</v>
      </c>
      <c r="E706" s="217">
        <v>45170</v>
      </c>
      <c r="F706">
        <v>102923</v>
      </c>
      <c r="G706" t="s">
        <v>253</v>
      </c>
    </row>
    <row r="707" spans="1:7">
      <c r="A707" s="216">
        <v>45170</v>
      </c>
      <c r="B707" t="s">
        <v>44</v>
      </c>
      <c r="C707">
        <v>1</v>
      </c>
      <c r="D707" t="s">
        <v>453</v>
      </c>
      <c r="E707" s="217">
        <v>45170</v>
      </c>
      <c r="F707">
        <v>111350</v>
      </c>
      <c r="G707" t="s">
        <v>254</v>
      </c>
    </row>
    <row r="708" spans="1:7">
      <c r="A708" s="216">
        <v>45170</v>
      </c>
      <c r="B708" t="s">
        <v>44</v>
      </c>
      <c r="C708">
        <v>1</v>
      </c>
      <c r="D708" t="s">
        <v>453</v>
      </c>
      <c r="E708" s="217">
        <v>45170</v>
      </c>
      <c r="F708">
        <v>99856</v>
      </c>
      <c r="G708" t="s">
        <v>255</v>
      </c>
    </row>
    <row r="709" spans="1:7">
      <c r="A709" s="216">
        <v>45170</v>
      </c>
      <c r="B709" t="s">
        <v>44</v>
      </c>
      <c r="C709">
        <v>1</v>
      </c>
      <c r="D709" t="s">
        <v>453</v>
      </c>
      <c r="E709" s="217">
        <v>45170</v>
      </c>
      <c r="F709">
        <v>97742</v>
      </c>
      <c r="G709" t="s">
        <v>256</v>
      </c>
    </row>
    <row r="710" spans="1:7">
      <c r="A710" s="216">
        <v>45170</v>
      </c>
      <c r="B710" t="s">
        <v>44</v>
      </c>
      <c r="C710">
        <v>1</v>
      </c>
      <c r="D710" t="s">
        <v>453</v>
      </c>
      <c r="E710" s="217">
        <v>45170</v>
      </c>
      <c r="F710">
        <v>104567.54988095201</v>
      </c>
      <c r="G710" t="s">
        <v>257</v>
      </c>
    </row>
    <row r="711" spans="1:7">
      <c r="A711" s="216">
        <v>45170</v>
      </c>
      <c r="B711" t="s">
        <v>44</v>
      </c>
      <c r="C711">
        <v>1</v>
      </c>
      <c r="D711" t="s">
        <v>453</v>
      </c>
      <c r="E711" s="217">
        <v>45170</v>
      </c>
      <c r="F711">
        <v>103750.12130952399</v>
      </c>
      <c r="G711" t="s">
        <v>258</v>
      </c>
    </row>
    <row r="712" spans="1:7">
      <c r="A712" s="216">
        <v>45170</v>
      </c>
      <c r="B712" t="s">
        <v>44</v>
      </c>
      <c r="C712">
        <v>1</v>
      </c>
      <c r="D712" t="s">
        <v>453</v>
      </c>
      <c r="E712" s="217">
        <v>45170</v>
      </c>
      <c r="F712">
        <v>103857.04988095201</v>
      </c>
      <c r="G712" t="s">
        <v>259</v>
      </c>
    </row>
    <row r="713" spans="1:7">
      <c r="A713" s="216">
        <v>45170</v>
      </c>
      <c r="B713" t="s">
        <v>44</v>
      </c>
      <c r="C713">
        <v>1</v>
      </c>
      <c r="D713" t="s">
        <v>453</v>
      </c>
      <c r="E713" s="217">
        <v>45170</v>
      </c>
      <c r="F713">
        <v>104001.04988095201</v>
      </c>
      <c r="G713" t="s">
        <v>260</v>
      </c>
    </row>
    <row r="714" spans="1:7">
      <c r="A714" s="216">
        <v>45170</v>
      </c>
      <c r="B714" t="s">
        <v>44</v>
      </c>
      <c r="C714">
        <v>1</v>
      </c>
      <c r="D714" t="s">
        <v>453</v>
      </c>
      <c r="E714" s="217">
        <v>45170</v>
      </c>
      <c r="F714">
        <v>102916.04988095201</v>
      </c>
      <c r="G714" t="s">
        <v>261</v>
      </c>
    </row>
    <row r="715" spans="1:7">
      <c r="A715" s="216">
        <v>45170</v>
      </c>
      <c r="B715" t="s">
        <v>44</v>
      </c>
      <c r="C715">
        <v>1</v>
      </c>
      <c r="D715" t="s">
        <v>453</v>
      </c>
      <c r="E715" s="217">
        <v>45170</v>
      </c>
      <c r="F715">
        <v>128707.764166667</v>
      </c>
      <c r="G715" t="s">
        <v>262</v>
      </c>
    </row>
    <row r="716" spans="1:7">
      <c r="A716" s="216">
        <v>45170</v>
      </c>
      <c r="B716" t="s">
        <v>44</v>
      </c>
      <c r="C716">
        <v>1</v>
      </c>
      <c r="D716" t="s">
        <v>453</v>
      </c>
      <c r="E716" s="217">
        <v>45170</v>
      </c>
      <c r="F716">
        <v>1257453.585</v>
      </c>
      <c r="G716" t="s">
        <v>434</v>
      </c>
    </row>
    <row r="717" spans="1:7">
      <c r="A717" s="216">
        <v>45170</v>
      </c>
      <c r="B717" t="s">
        <v>44</v>
      </c>
      <c r="C717">
        <v>2</v>
      </c>
      <c r="D717" t="s">
        <v>436</v>
      </c>
      <c r="E717" s="217">
        <v>45170</v>
      </c>
      <c r="F717">
        <v>0</v>
      </c>
      <c r="G717" t="s">
        <v>251</v>
      </c>
    </row>
    <row r="718" spans="1:7">
      <c r="A718" s="216">
        <v>45170</v>
      </c>
      <c r="B718" t="s">
        <v>44</v>
      </c>
      <c r="C718">
        <v>2</v>
      </c>
      <c r="D718" t="s">
        <v>436</v>
      </c>
      <c r="E718" s="217">
        <v>45170</v>
      </c>
      <c r="F718">
        <v>0</v>
      </c>
      <c r="G718" t="s">
        <v>252</v>
      </c>
    </row>
    <row r="719" spans="1:7">
      <c r="A719" s="216">
        <v>45170</v>
      </c>
      <c r="B719" t="s">
        <v>44</v>
      </c>
      <c r="C719">
        <v>2</v>
      </c>
      <c r="D719" t="s">
        <v>436</v>
      </c>
      <c r="E719" s="217">
        <v>45170</v>
      </c>
      <c r="F719">
        <v>0</v>
      </c>
      <c r="G719" t="s">
        <v>253</v>
      </c>
    </row>
    <row r="720" spans="1:7">
      <c r="A720" s="216">
        <v>45170</v>
      </c>
      <c r="B720" t="s">
        <v>44</v>
      </c>
      <c r="C720">
        <v>2</v>
      </c>
      <c r="D720" t="s">
        <v>436</v>
      </c>
      <c r="E720" s="217">
        <v>45170</v>
      </c>
      <c r="F720">
        <v>0</v>
      </c>
      <c r="G720" t="s">
        <v>254</v>
      </c>
    </row>
    <row r="721" spans="1:7">
      <c r="A721" s="216">
        <v>45170</v>
      </c>
      <c r="B721" t="s">
        <v>44</v>
      </c>
      <c r="C721">
        <v>2</v>
      </c>
      <c r="D721" t="s">
        <v>436</v>
      </c>
      <c r="E721" s="217">
        <v>45170</v>
      </c>
      <c r="F721">
        <v>0</v>
      </c>
      <c r="G721" t="s">
        <v>255</v>
      </c>
    </row>
    <row r="722" spans="1:7">
      <c r="A722" s="216">
        <v>45170</v>
      </c>
      <c r="B722" t="s">
        <v>44</v>
      </c>
      <c r="C722">
        <v>2</v>
      </c>
      <c r="D722" t="s">
        <v>436</v>
      </c>
      <c r="E722" s="217">
        <v>45170</v>
      </c>
      <c r="F722">
        <v>0</v>
      </c>
      <c r="G722" t="s">
        <v>256</v>
      </c>
    </row>
    <row r="723" spans="1:7">
      <c r="A723" s="216">
        <v>45170</v>
      </c>
      <c r="B723" t="s">
        <v>44</v>
      </c>
      <c r="C723">
        <v>2</v>
      </c>
      <c r="D723" t="s">
        <v>436</v>
      </c>
      <c r="E723" s="217">
        <v>45170</v>
      </c>
      <c r="F723">
        <v>0</v>
      </c>
      <c r="G723" t="s">
        <v>257</v>
      </c>
    </row>
    <row r="724" spans="1:7">
      <c r="A724" s="216">
        <v>45170</v>
      </c>
      <c r="B724" t="s">
        <v>44</v>
      </c>
      <c r="C724">
        <v>2</v>
      </c>
      <c r="D724" t="s">
        <v>436</v>
      </c>
      <c r="E724" s="217">
        <v>45170</v>
      </c>
      <c r="F724">
        <v>0</v>
      </c>
      <c r="G724" t="s">
        <v>258</v>
      </c>
    </row>
    <row r="725" spans="1:7">
      <c r="A725" s="216">
        <v>45170</v>
      </c>
      <c r="B725" t="s">
        <v>44</v>
      </c>
      <c r="C725">
        <v>2</v>
      </c>
      <c r="D725" t="s">
        <v>436</v>
      </c>
      <c r="E725" s="217">
        <v>45170</v>
      </c>
      <c r="F725">
        <v>0</v>
      </c>
      <c r="G725" t="s">
        <v>259</v>
      </c>
    </row>
    <row r="726" spans="1:7">
      <c r="A726" s="216">
        <v>45170</v>
      </c>
      <c r="B726" t="s">
        <v>44</v>
      </c>
      <c r="C726">
        <v>2</v>
      </c>
      <c r="D726" t="s">
        <v>436</v>
      </c>
      <c r="E726" s="217">
        <v>45170</v>
      </c>
      <c r="F726">
        <v>0</v>
      </c>
      <c r="G726" t="s">
        <v>260</v>
      </c>
    </row>
    <row r="727" spans="1:7">
      <c r="A727" s="216">
        <v>45170</v>
      </c>
      <c r="B727" t="s">
        <v>44</v>
      </c>
      <c r="C727">
        <v>2</v>
      </c>
      <c r="D727" t="s">
        <v>436</v>
      </c>
      <c r="E727" s="217">
        <v>45170</v>
      </c>
      <c r="F727">
        <v>0</v>
      </c>
      <c r="G727" t="s">
        <v>261</v>
      </c>
    </row>
    <row r="728" spans="1:7">
      <c r="A728" s="216">
        <v>45170</v>
      </c>
      <c r="B728" t="s">
        <v>44</v>
      </c>
      <c r="C728">
        <v>2</v>
      </c>
      <c r="D728" t="s">
        <v>436</v>
      </c>
      <c r="E728" s="217">
        <v>45170</v>
      </c>
      <c r="F728">
        <v>0</v>
      </c>
      <c r="G728" t="s">
        <v>262</v>
      </c>
    </row>
    <row r="729" spans="1:7">
      <c r="A729" s="216">
        <v>45170</v>
      </c>
      <c r="B729" t="s">
        <v>44</v>
      </c>
      <c r="C729">
        <v>2</v>
      </c>
      <c r="D729" t="s">
        <v>436</v>
      </c>
      <c r="E729" s="217">
        <v>45170</v>
      </c>
      <c r="F729">
        <v>0</v>
      </c>
      <c r="G729" t="s">
        <v>434</v>
      </c>
    </row>
    <row r="730" spans="1:7">
      <c r="A730" s="216">
        <v>45170</v>
      </c>
      <c r="B730" t="s">
        <v>44</v>
      </c>
      <c r="C730">
        <v>3</v>
      </c>
      <c r="D730" t="s">
        <v>459</v>
      </c>
      <c r="E730" s="217">
        <v>45170</v>
      </c>
      <c r="F730">
        <v>6947</v>
      </c>
      <c r="G730" t="s">
        <v>251</v>
      </c>
    </row>
    <row r="731" spans="1:7">
      <c r="A731" s="216">
        <v>45170</v>
      </c>
      <c r="B731" t="s">
        <v>44</v>
      </c>
      <c r="C731">
        <v>3</v>
      </c>
      <c r="D731" t="s">
        <v>459</v>
      </c>
      <c r="E731" s="217">
        <v>45170</v>
      </c>
      <c r="F731">
        <v>8673</v>
      </c>
      <c r="G731" t="s">
        <v>252</v>
      </c>
    </row>
    <row r="732" spans="1:7">
      <c r="A732" s="216">
        <v>45170</v>
      </c>
      <c r="B732" t="s">
        <v>44</v>
      </c>
      <c r="C732">
        <v>3</v>
      </c>
      <c r="D732" t="s">
        <v>459</v>
      </c>
      <c r="E732" s="217">
        <v>45170</v>
      </c>
      <c r="F732">
        <v>8916</v>
      </c>
      <c r="G732" t="s">
        <v>253</v>
      </c>
    </row>
    <row r="733" spans="1:7">
      <c r="A733" s="216">
        <v>45170</v>
      </c>
      <c r="B733" t="s">
        <v>44</v>
      </c>
      <c r="C733">
        <v>3</v>
      </c>
      <c r="D733" t="s">
        <v>459</v>
      </c>
      <c r="E733" s="217">
        <v>45170</v>
      </c>
      <c r="F733">
        <v>8406</v>
      </c>
      <c r="G733" t="s">
        <v>254</v>
      </c>
    </row>
    <row r="734" spans="1:7">
      <c r="A734" s="216">
        <v>45170</v>
      </c>
      <c r="B734" t="s">
        <v>44</v>
      </c>
      <c r="C734">
        <v>3</v>
      </c>
      <c r="D734" t="s">
        <v>459</v>
      </c>
      <c r="E734" s="217">
        <v>45170</v>
      </c>
      <c r="F734">
        <v>9310</v>
      </c>
      <c r="G734" t="s">
        <v>255</v>
      </c>
    </row>
    <row r="735" spans="1:7">
      <c r="A735" s="216">
        <v>45170</v>
      </c>
      <c r="B735" t="s">
        <v>44</v>
      </c>
      <c r="C735">
        <v>3</v>
      </c>
      <c r="D735" t="s">
        <v>459</v>
      </c>
      <c r="E735" s="217">
        <v>45170</v>
      </c>
      <c r="F735">
        <v>7975</v>
      </c>
      <c r="G735" t="s">
        <v>256</v>
      </c>
    </row>
    <row r="736" spans="1:7">
      <c r="A736" s="216">
        <v>45170</v>
      </c>
      <c r="B736" t="s">
        <v>44</v>
      </c>
      <c r="C736">
        <v>3</v>
      </c>
      <c r="D736" t="s">
        <v>459</v>
      </c>
      <c r="E736" s="217">
        <v>45170</v>
      </c>
      <c r="F736">
        <v>8110.5714285714303</v>
      </c>
      <c r="G736" t="s">
        <v>257</v>
      </c>
    </row>
    <row r="737" spans="1:7">
      <c r="A737" s="216">
        <v>45170</v>
      </c>
      <c r="B737" t="s">
        <v>44</v>
      </c>
      <c r="C737">
        <v>3</v>
      </c>
      <c r="D737" t="s">
        <v>459</v>
      </c>
      <c r="E737" s="217">
        <v>45170</v>
      </c>
      <c r="F737">
        <v>7774.5714285714303</v>
      </c>
      <c r="G737" t="s">
        <v>258</v>
      </c>
    </row>
    <row r="738" spans="1:7">
      <c r="A738" s="216">
        <v>45170</v>
      </c>
      <c r="B738" t="s">
        <v>44</v>
      </c>
      <c r="C738">
        <v>3</v>
      </c>
      <c r="D738" t="s">
        <v>459</v>
      </c>
      <c r="E738" s="217">
        <v>45170</v>
      </c>
      <c r="F738">
        <v>7755.5714285714303</v>
      </c>
      <c r="G738" t="s">
        <v>259</v>
      </c>
    </row>
    <row r="739" spans="1:7">
      <c r="A739" s="216">
        <v>45170</v>
      </c>
      <c r="B739" t="s">
        <v>44</v>
      </c>
      <c r="C739">
        <v>3</v>
      </c>
      <c r="D739" t="s">
        <v>459</v>
      </c>
      <c r="E739" s="217">
        <v>45170</v>
      </c>
      <c r="F739">
        <v>7750.5714285714303</v>
      </c>
      <c r="G739" t="s">
        <v>260</v>
      </c>
    </row>
    <row r="740" spans="1:7">
      <c r="A740" s="216">
        <v>45170</v>
      </c>
      <c r="B740" t="s">
        <v>44</v>
      </c>
      <c r="C740">
        <v>3</v>
      </c>
      <c r="D740" t="s">
        <v>459</v>
      </c>
      <c r="E740" s="217">
        <v>45170</v>
      </c>
      <c r="F740">
        <v>7750.5714285714303</v>
      </c>
      <c r="G740" t="s">
        <v>261</v>
      </c>
    </row>
    <row r="741" spans="1:7">
      <c r="A741" s="216">
        <v>45170</v>
      </c>
      <c r="B741" t="s">
        <v>44</v>
      </c>
      <c r="C741">
        <v>3</v>
      </c>
      <c r="D741" t="s">
        <v>459</v>
      </c>
      <c r="E741" s="217">
        <v>45170</v>
      </c>
      <c r="F741">
        <v>7570.5714285714303</v>
      </c>
      <c r="G741" t="s">
        <v>262</v>
      </c>
    </row>
    <row r="742" spans="1:7">
      <c r="A742" s="216">
        <v>45170</v>
      </c>
      <c r="B742" t="s">
        <v>44</v>
      </c>
      <c r="C742">
        <v>3</v>
      </c>
      <c r="D742" t="s">
        <v>459</v>
      </c>
      <c r="E742" s="217">
        <v>45170</v>
      </c>
      <c r="F742">
        <v>96939.428571428594</v>
      </c>
      <c r="G742" t="s">
        <v>434</v>
      </c>
    </row>
    <row r="743" spans="1:7">
      <c r="A743" s="216">
        <v>45170</v>
      </c>
      <c r="B743" t="s">
        <v>44</v>
      </c>
      <c r="C743">
        <v>4</v>
      </c>
      <c r="D743" t="s">
        <v>460</v>
      </c>
      <c r="E743" s="217">
        <v>45170</v>
      </c>
      <c r="F743">
        <v>26175</v>
      </c>
      <c r="G743" t="s">
        <v>251</v>
      </c>
    </row>
    <row r="744" spans="1:7">
      <c r="A744" s="216">
        <v>45170</v>
      </c>
      <c r="B744" t="s">
        <v>44</v>
      </c>
      <c r="C744">
        <v>4</v>
      </c>
      <c r="D744" t="s">
        <v>460</v>
      </c>
      <c r="E744" s="217">
        <v>45170</v>
      </c>
      <c r="F744">
        <v>25538</v>
      </c>
      <c r="G744" t="s">
        <v>252</v>
      </c>
    </row>
    <row r="745" spans="1:7">
      <c r="A745" s="216">
        <v>45170</v>
      </c>
      <c r="B745" t="s">
        <v>44</v>
      </c>
      <c r="C745">
        <v>4</v>
      </c>
      <c r="D745" t="s">
        <v>460</v>
      </c>
      <c r="E745" s="217">
        <v>45170</v>
      </c>
      <c r="F745">
        <v>36078</v>
      </c>
      <c r="G745" t="s">
        <v>253</v>
      </c>
    </row>
    <row r="746" spans="1:7">
      <c r="A746" s="216">
        <v>45170</v>
      </c>
      <c r="B746" t="s">
        <v>44</v>
      </c>
      <c r="C746">
        <v>4</v>
      </c>
      <c r="D746" t="s">
        <v>460</v>
      </c>
      <c r="E746" s="217">
        <v>45170</v>
      </c>
      <c r="F746">
        <v>25229</v>
      </c>
      <c r="G746" t="s">
        <v>254</v>
      </c>
    </row>
    <row r="747" spans="1:7">
      <c r="A747" s="216">
        <v>45170</v>
      </c>
      <c r="B747" t="s">
        <v>44</v>
      </c>
      <c r="C747">
        <v>4</v>
      </c>
      <c r="D747" t="s">
        <v>460</v>
      </c>
      <c r="E747" s="217">
        <v>45170</v>
      </c>
      <c r="F747">
        <v>29327</v>
      </c>
      <c r="G747" t="s">
        <v>255</v>
      </c>
    </row>
    <row r="748" spans="1:7">
      <c r="A748" s="216">
        <v>45170</v>
      </c>
      <c r="B748" t="s">
        <v>44</v>
      </c>
      <c r="C748">
        <v>4</v>
      </c>
      <c r="D748" t="s">
        <v>460</v>
      </c>
      <c r="E748" s="217">
        <v>45170</v>
      </c>
      <c r="F748">
        <v>29397</v>
      </c>
      <c r="G748" t="s">
        <v>256</v>
      </c>
    </row>
    <row r="749" spans="1:7">
      <c r="A749" s="216">
        <v>45170</v>
      </c>
      <c r="B749" t="s">
        <v>44</v>
      </c>
      <c r="C749">
        <v>4</v>
      </c>
      <c r="D749" t="s">
        <v>460</v>
      </c>
      <c r="E749" s="217">
        <v>45170</v>
      </c>
      <c r="F749">
        <v>27869</v>
      </c>
      <c r="G749" t="s">
        <v>257</v>
      </c>
    </row>
    <row r="750" spans="1:7">
      <c r="A750" s="216">
        <v>45170</v>
      </c>
      <c r="B750" t="s">
        <v>44</v>
      </c>
      <c r="C750">
        <v>4</v>
      </c>
      <c r="D750" t="s">
        <v>460</v>
      </c>
      <c r="E750" s="217">
        <v>45170</v>
      </c>
      <c r="F750">
        <v>27997</v>
      </c>
      <c r="G750" t="s">
        <v>258</v>
      </c>
    </row>
    <row r="751" spans="1:7">
      <c r="A751" s="216">
        <v>45170</v>
      </c>
      <c r="B751" t="s">
        <v>44</v>
      </c>
      <c r="C751">
        <v>4</v>
      </c>
      <c r="D751" t="s">
        <v>460</v>
      </c>
      <c r="E751" s="217">
        <v>45170</v>
      </c>
      <c r="F751">
        <v>27997</v>
      </c>
      <c r="G751" t="s">
        <v>259</v>
      </c>
    </row>
    <row r="752" spans="1:7">
      <c r="A752" s="216">
        <v>45170</v>
      </c>
      <c r="B752" t="s">
        <v>44</v>
      </c>
      <c r="C752">
        <v>4</v>
      </c>
      <c r="D752" t="s">
        <v>460</v>
      </c>
      <c r="E752" s="217">
        <v>45170</v>
      </c>
      <c r="F752">
        <v>27997</v>
      </c>
      <c r="G752" t="s">
        <v>260</v>
      </c>
    </row>
    <row r="753" spans="1:7">
      <c r="A753" s="216">
        <v>45170</v>
      </c>
      <c r="B753" t="s">
        <v>44</v>
      </c>
      <c r="C753">
        <v>4</v>
      </c>
      <c r="D753" t="s">
        <v>460</v>
      </c>
      <c r="E753" s="217">
        <v>45170</v>
      </c>
      <c r="F753">
        <v>27997</v>
      </c>
      <c r="G753" t="s">
        <v>261</v>
      </c>
    </row>
    <row r="754" spans="1:7">
      <c r="A754" s="216">
        <v>45170</v>
      </c>
      <c r="B754" t="s">
        <v>44</v>
      </c>
      <c r="C754">
        <v>4</v>
      </c>
      <c r="D754" t="s">
        <v>460</v>
      </c>
      <c r="E754" s="217">
        <v>45170</v>
      </c>
      <c r="F754">
        <v>28031</v>
      </c>
      <c r="G754" t="s">
        <v>262</v>
      </c>
    </row>
    <row r="755" spans="1:7">
      <c r="A755" s="216">
        <v>45170</v>
      </c>
      <c r="B755" t="s">
        <v>44</v>
      </c>
      <c r="C755">
        <v>4</v>
      </c>
      <c r="D755" t="s">
        <v>460</v>
      </c>
      <c r="E755" s="217">
        <v>45170</v>
      </c>
      <c r="F755">
        <v>339632</v>
      </c>
      <c r="G755" t="s">
        <v>434</v>
      </c>
    </row>
    <row r="756" spans="1:7">
      <c r="A756" s="216">
        <v>45170</v>
      </c>
      <c r="B756" t="s">
        <v>44</v>
      </c>
      <c r="C756">
        <v>5</v>
      </c>
      <c r="D756" t="s">
        <v>458</v>
      </c>
      <c r="E756" s="217">
        <v>45170</v>
      </c>
      <c r="F756">
        <v>1238</v>
      </c>
      <c r="G756" t="s">
        <v>251</v>
      </c>
    </row>
    <row r="757" spans="1:7">
      <c r="A757" s="216">
        <v>45170</v>
      </c>
      <c r="B757" t="s">
        <v>44</v>
      </c>
      <c r="C757">
        <v>5</v>
      </c>
      <c r="D757" t="s">
        <v>458</v>
      </c>
      <c r="E757" s="217">
        <v>45170</v>
      </c>
      <c r="F757">
        <v>1113</v>
      </c>
      <c r="G757" t="s">
        <v>252</v>
      </c>
    </row>
    <row r="758" spans="1:7">
      <c r="A758" s="216">
        <v>45170</v>
      </c>
      <c r="B758" t="s">
        <v>44</v>
      </c>
      <c r="C758">
        <v>5</v>
      </c>
      <c r="D758" t="s">
        <v>458</v>
      </c>
      <c r="E758" s="217">
        <v>45170</v>
      </c>
      <c r="F758">
        <v>1145</v>
      </c>
      <c r="G758" t="s">
        <v>253</v>
      </c>
    </row>
    <row r="759" spans="1:7">
      <c r="A759" s="216">
        <v>45170</v>
      </c>
      <c r="B759" t="s">
        <v>44</v>
      </c>
      <c r="C759">
        <v>5</v>
      </c>
      <c r="D759" t="s">
        <v>458</v>
      </c>
      <c r="E759" s="217">
        <v>45170</v>
      </c>
      <c r="F759">
        <v>1196</v>
      </c>
      <c r="G759" t="s">
        <v>254</v>
      </c>
    </row>
    <row r="760" spans="1:7">
      <c r="A760" s="216">
        <v>45170</v>
      </c>
      <c r="B760" t="s">
        <v>44</v>
      </c>
      <c r="C760">
        <v>5</v>
      </c>
      <c r="D760" t="s">
        <v>458</v>
      </c>
      <c r="E760" s="217">
        <v>45170</v>
      </c>
      <c r="F760">
        <v>1294</v>
      </c>
      <c r="G760" t="s">
        <v>255</v>
      </c>
    </row>
    <row r="761" spans="1:7">
      <c r="A761" s="216">
        <v>45170</v>
      </c>
      <c r="B761" t="s">
        <v>44</v>
      </c>
      <c r="C761">
        <v>5</v>
      </c>
      <c r="D761" t="s">
        <v>458</v>
      </c>
      <c r="E761" s="217">
        <v>45170</v>
      </c>
      <c r="F761">
        <v>1099</v>
      </c>
      <c r="G761" t="s">
        <v>256</v>
      </c>
    </row>
    <row r="762" spans="1:7">
      <c r="A762" s="216">
        <v>45170</v>
      </c>
      <c r="B762" t="s">
        <v>44</v>
      </c>
      <c r="C762">
        <v>5</v>
      </c>
      <c r="D762" t="s">
        <v>458</v>
      </c>
      <c r="E762" s="217">
        <v>45170</v>
      </c>
      <c r="F762">
        <v>1115.73583333333</v>
      </c>
      <c r="G762" t="s">
        <v>257</v>
      </c>
    </row>
    <row r="763" spans="1:7">
      <c r="A763" s="216">
        <v>45170</v>
      </c>
      <c r="B763" t="s">
        <v>44</v>
      </c>
      <c r="C763">
        <v>5</v>
      </c>
      <c r="D763" t="s">
        <v>458</v>
      </c>
      <c r="E763" s="217">
        <v>45170</v>
      </c>
      <c r="F763">
        <v>1115.73583333333</v>
      </c>
      <c r="G763" t="s">
        <v>258</v>
      </c>
    </row>
    <row r="764" spans="1:7">
      <c r="A764" s="216">
        <v>45170</v>
      </c>
      <c r="B764" t="s">
        <v>44</v>
      </c>
      <c r="C764">
        <v>5</v>
      </c>
      <c r="D764" t="s">
        <v>458</v>
      </c>
      <c r="E764" s="217">
        <v>45170</v>
      </c>
      <c r="F764">
        <v>1115.73583333333</v>
      </c>
      <c r="G764" t="s">
        <v>259</v>
      </c>
    </row>
    <row r="765" spans="1:7">
      <c r="A765" s="216">
        <v>45170</v>
      </c>
      <c r="B765" t="s">
        <v>44</v>
      </c>
      <c r="C765">
        <v>5</v>
      </c>
      <c r="D765" t="s">
        <v>458</v>
      </c>
      <c r="E765" s="217">
        <v>45170</v>
      </c>
      <c r="F765">
        <v>1115.73583333333</v>
      </c>
      <c r="G765" t="s">
        <v>260</v>
      </c>
    </row>
    <row r="766" spans="1:7">
      <c r="A766" s="216">
        <v>45170</v>
      </c>
      <c r="B766" t="s">
        <v>44</v>
      </c>
      <c r="C766">
        <v>5</v>
      </c>
      <c r="D766" t="s">
        <v>458</v>
      </c>
      <c r="E766" s="217">
        <v>45170</v>
      </c>
      <c r="F766">
        <v>1115.73583333333</v>
      </c>
      <c r="G766" t="s">
        <v>261</v>
      </c>
    </row>
    <row r="767" spans="1:7">
      <c r="A767" s="216">
        <v>45170</v>
      </c>
      <c r="B767" t="s">
        <v>44</v>
      </c>
      <c r="C767">
        <v>5</v>
      </c>
      <c r="D767" t="s">
        <v>458</v>
      </c>
      <c r="E767" s="217">
        <v>45170</v>
      </c>
      <c r="F767">
        <v>1115.73583333333</v>
      </c>
      <c r="G767" t="s">
        <v>262</v>
      </c>
    </row>
    <row r="768" spans="1:7">
      <c r="A768" s="216">
        <v>45170</v>
      </c>
      <c r="B768" t="s">
        <v>44</v>
      </c>
      <c r="C768">
        <v>5</v>
      </c>
      <c r="D768" t="s">
        <v>458</v>
      </c>
      <c r="E768" s="217">
        <v>45170</v>
      </c>
      <c r="F768">
        <v>13779.415000000001</v>
      </c>
      <c r="G768" t="s">
        <v>434</v>
      </c>
    </row>
    <row r="769" spans="1:7">
      <c r="A769" s="216">
        <v>45170</v>
      </c>
      <c r="B769" t="s">
        <v>44</v>
      </c>
      <c r="C769">
        <v>6</v>
      </c>
      <c r="D769" t="s">
        <v>448</v>
      </c>
      <c r="E769" s="217">
        <v>45170</v>
      </c>
      <c r="F769">
        <v>10046</v>
      </c>
      <c r="G769" t="s">
        <v>251</v>
      </c>
    </row>
    <row r="770" spans="1:7">
      <c r="A770" s="216">
        <v>45170</v>
      </c>
      <c r="B770" t="s">
        <v>44</v>
      </c>
      <c r="C770">
        <v>6</v>
      </c>
      <c r="D770" t="s">
        <v>448</v>
      </c>
      <c r="E770" s="217">
        <v>45170</v>
      </c>
      <c r="F770">
        <v>10047</v>
      </c>
      <c r="G770" t="s">
        <v>252</v>
      </c>
    </row>
    <row r="771" spans="1:7">
      <c r="A771" s="216">
        <v>45170</v>
      </c>
      <c r="B771" t="s">
        <v>44</v>
      </c>
      <c r="C771">
        <v>6</v>
      </c>
      <c r="D771" t="s">
        <v>448</v>
      </c>
      <c r="E771" s="217">
        <v>45170</v>
      </c>
      <c r="F771">
        <v>10092</v>
      </c>
      <c r="G771" t="s">
        <v>253</v>
      </c>
    </row>
    <row r="772" spans="1:7">
      <c r="A772" s="216">
        <v>45170</v>
      </c>
      <c r="B772" t="s">
        <v>44</v>
      </c>
      <c r="C772">
        <v>6</v>
      </c>
      <c r="D772" t="s">
        <v>448</v>
      </c>
      <c r="E772" s="217">
        <v>45170</v>
      </c>
      <c r="F772">
        <v>10428</v>
      </c>
      <c r="G772" t="s">
        <v>254</v>
      </c>
    </row>
    <row r="773" spans="1:7">
      <c r="A773" s="216">
        <v>45170</v>
      </c>
      <c r="B773" t="s">
        <v>44</v>
      </c>
      <c r="C773">
        <v>6</v>
      </c>
      <c r="D773" t="s">
        <v>448</v>
      </c>
      <c r="E773" s="217">
        <v>45170</v>
      </c>
      <c r="F773">
        <v>8550</v>
      </c>
      <c r="G773" t="s">
        <v>255</v>
      </c>
    </row>
    <row r="774" spans="1:7">
      <c r="A774" s="216">
        <v>45170</v>
      </c>
      <c r="B774" t="s">
        <v>44</v>
      </c>
      <c r="C774">
        <v>6</v>
      </c>
      <c r="D774" t="s">
        <v>448</v>
      </c>
      <c r="E774" s="217">
        <v>45170</v>
      </c>
      <c r="F774">
        <v>12146</v>
      </c>
      <c r="G774" t="s">
        <v>256</v>
      </c>
    </row>
    <row r="775" spans="1:7">
      <c r="A775" s="216">
        <v>45170</v>
      </c>
      <c r="B775" t="s">
        <v>44</v>
      </c>
      <c r="C775">
        <v>6</v>
      </c>
      <c r="D775" t="s">
        <v>448</v>
      </c>
      <c r="E775" s="217">
        <v>45170</v>
      </c>
      <c r="F775">
        <v>8475</v>
      </c>
      <c r="G775" t="s">
        <v>257</v>
      </c>
    </row>
    <row r="776" spans="1:7">
      <c r="A776" s="216">
        <v>45170</v>
      </c>
      <c r="B776" t="s">
        <v>44</v>
      </c>
      <c r="C776">
        <v>6</v>
      </c>
      <c r="D776" t="s">
        <v>448</v>
      </c>
      <c r="E776" s="217">
        <v>45170</v>
      </c>
      <c r="F776">
        <v>9789</v>
      </c>
      <c r="G776" t="s">
        <v>258</v>
      </c>
    </row>
    <row r="777" spans="1:7">
      <c r="A777" s="216">
        <v>45170</v>
      </c>
      <c r="B777" t="s">
        <v>44</v>
      </c>
      <c r="C777">
        <v>6</v>
      </c>
      <c r="D777" t="s">
        <v>448</v>
      </c>
      <c r="E777" s="217">
        <v>45170</v>
      </c>
      <c r="F777">
        <v>9756</v>
      </c>
      <c r="G777" t="s">
        <v>259</v>
      </c>
    </row>
    <row r="778" spans="1:7">
      <c r="A778" s="216">
        <v>45170</v>
      </c>
      <c r="B778" t="s">
        <v>44</v>
      </c>
      <c r="C778">
        <v>6</v>
      </c>
      <c r="D778" t="s">
        <v>448</v>
      </c>
      <c r="E778" s="217">
        <v>45170</v>
      </c>
      <c r="F778">
        <v>9661</v>
      </c>
      <c r="G778" t="s">
        <v>260</v>
      </c>
    </row>
    <row r="779" spans="1:7">
      <c r="A779" s="216">
        <v>45170</v>
      </c>
      <c r="B779" t="s">
        <v>44</v>
      </c>
      <c r="C779">
        <v>6</v>
      </c>
      <c r="D779" t="s">
        <v>448</v>
      </c>
      <c r="E779" s="217">
        <v>45170</v>
      </c>
      <c r="F779">
        <v>10158</v>
      </c>
      <c r="G779" t="s">
        <v>261</v>
      </c>
    </row>
    <row r="780" spans="1:7">
      <c r="A780" s="216">
        <v>45170</v>
      </c>
      <c r="B780" t="s">
        <v>44</v>
      </c>
      <c r="C780">
        <v>6</v>
      </c>
      <c r="D780" t="s">
        <v>448</v>
      </c>
      <c r="E780" s="217">
        <v>45170</v>
      </c>
      <c r="F780">
        <v>10458</v>
      </c>
      <c r="G780" t="s">
        <v>262</v>
      </c>
    </row>
    <row r="781" spans="1:7">
      <c r="A781" s="216">
        <v>45170</v>
      </c>
      <c r="B781" t="s">
        <v>44</v>
      </c>
      <c r="C781">
        <v>6</v>
      </c>
      <c r="D781" t="s">
        <v>448</v>
      </c>
      <c r="E781" s="217">
        <v>45170</v>
      </c>
      <c r="F781">
        <v>119606</v>
      </c>
      <c r="G781" t="s">
        <v>434</v>
      </c>
    </row>
    <row r="782" spans="1:7">
      <c r="A782" s="216">
        <v>45170</v>
      </c>
      <c r="B782" t="s">
        <v>44</v>
      </c>
      <c r="C782">
        <v>7</v>
      </c>
      <c r="D782" t="s">
        <v>442</v>
      </c>
      <c r="E782" s="217">
        <v>45170</v>
      </c>
      <c r="F782">
        <v>138744</v>
      </c>
      <c r="G782" t="s">
        <v>251</v>
      </c>
    </row>
    <row r="783" spans="1:7">
      <c r="A783" s="216">
        <v>45170</v>
      </c>
      <c r="B783" t="s">
        <v>44</v>
      </c>
      <c r="C783">
        <v>7</v>
      </c>
      <c r="D783" t="s">
        <v>442</v>
      </c>
      <c r="E783" s="217">
        <v>45170</v>
      </c>
      <c r="F783">
        <v>148816</v>
      </c>
      <c r="G783" t="s">
        <v>252</v>
      </c>
    </row>
    <row r="784" spans="1:7">
      <c r="A784" s="216">
        <v>45170</v>
      </c>
      <c r="B784" t="s">
        <v>44</v>
      </c>
      <c r="C784">
        <v>7</v>
      </c>
      <c r="D784" t="s">
        <v>442</v>
      </c>
      <c r="E784" s="217">
        <v>45170</v>
      </c>
      <c r="F784">
        <v>159154</v>
      </c>
      <c r="G784" t="s">
        <v>253</v>
      </c>
    </row>
    <row r="785" spans="1:7">
      <c r="A785" s="216">
        <v>45170</v>
      </c>
      <c r="B785" t="s">
        <v>44</v>
      </c>
      <c r="C785">
        <v>7</v>
      </c>
      <c r="D785" t="s">
        <v>442</v>
      </c>
      <c r="E785" s="217">
        <v>45170</v>
      </c>
      <c r="F785">
        <v>156609</v>
      </c>
      <c r="G785" t="s">
        <v>254</v>
      </c>
    </row>
    <row r="786" spans="1:7">
      <c r="A786" s="216">
        <v>45170</v>
      </c>
      <c r="B786" t="s">
        <v>44</v>
      </c>
      <c r="C786">
        <v>7</v>
      </c>
      <c r="D786" t="s">
        <v>442</v>
      </c>
      <c r="E786" s="217">
        <v>45170</v>
      </c>
      <c r="F786">
        <v>148337</v>
      </c>
      <c r="G786" t="s">
        <v>255</v>
      </c>
    </row>
    <row r="787" spans="1:7">
      <c r="A787" s="216">
        <v>45170</v>
      </c>
      <c r="B787" t="s">
        <v>44</v>
      </c>
      <c r="C787">
        <v>7</v>
      </c>
      <c r="D787" t="s">
        <v>442</v>
      </c>
      <c r="E787" s="217">
        <v>45170</v>
      </c>
      <c r="F787">
        <v>148359</v>
      </c>
      <c r="G787" t="s">
        <v>256</v>
      </c>
    </row>
    <row r="788" spans="1:7">
      <c r="A788" s="216">
        <v>45170</v>
      </c>
      <c r="B788" t="s">
        <v>44</v>
      </c>
      <c r="C788">
        <v>7</v>
      </c>
      <c r="D788" t="s">
        <v>442</v>
      </c>
      <c r="E788" s="217">
        <v>45170</v>
      </c>
      <c r="F788">
        <v>150137.85714285701</v>
      </c>
      <c r="G788" t="s">
        <v>257</v>
      </c>
    </row>
    <row r="789" spans="1:7">
      <c r="A789" s="216">
        <v>45170</v>
      </c>
      <c r="B789" t="s">
        <v>44</v>
      </c>
      <c r="C789">
        <v>7</v>
      </c>
      <c r="D789" t="s">
        <v>442</v>
      </c>
      <c r="E789" s="217">
        <v>45170</v>
      </c>
      <c r="F789">
        <v>150426.42857142899</v>
      </c>
      <c r="G789" t="s">
        <v>258</v>
      </c>
    </row>
    <row r="790" spans="1:7">
      <c r="A790" s="216">
        <v>45170</v>
      </c>
      <c r="B790" t="s">
        <v>44</v>
      </c>
      <c r="C790">
        <v>7</v>
      </c>
      <c r="D790" t="s">
        <v>442</v>
      </c>
      <c r="E790" s="217">
        <v>45170</v>
      </c>
      <c r="F790">
        <v>150481.35714285701</v>
      </c>
      <c r="G790" t="s">
        <v>259</v>
      </c>
    </row>
    <row r="791" spans="1:7">
      <c r="A791" s="216">
        <v>45170</v>
      </c>
      <c r="B791" t="s">
        <v>44</v>
      </c>
      <c r="C791">
        <v>7</v>
      </c>
      <c r="D791" t="s">
        <v>442</v>
      </c>
      <c r="E791" s="217">
        <v>45170</v>
      </c>
      <c r="F791">
        <v>150525.35714285701</v>
      </c>
      <c r="G791" t="s">
        <v>260</v>
      </c>
    </row>
    <row r="792" spans="1:7">
      <c r="A792" s="216">
        <v>45170</v>
      </c>
      <c r="B792" t="s">
        <v>44</v>
      </c>
      <c r="C792">
        <v>7</v>
      </c>
      <c r="D792" t="s">
        <v>442</v>
      </c>
      <c r="E792" s="217">
        <v>45170</v>
      </c>
      <c r="F792">
        <v>149937.35714285701</v>
      </c>
      <c r="G792" t="s">
        <v>261</v>
      </c>
    </row>
    <row r="793" spans="1:7">
      <c r="A793" s="216">
        <v>45170</v>
      </c>
      <c r="B793" t="s">
        <v>44</v>
      </c>
      <c r="C793">
        <v>7</v>
      </c>
      <c r="D793" t="s">
        <v>442</v>
      </c>
      <c r="E793" s="217">
        <v>45170</v>
      </c>
      <c r="F793">
        <v>175883.071428572</v>
      </c>
      <c r="G793" t="s">
        <v>262</v>
      </c>
    </row>
    <row r="794" spans="1:7">
      <c r="A794" s="216">
        <v>45170</v>
      </c>
      <c r="B794" t="s">
        <v>44</v>
      </c>
      <c r="C794">
        <v>7</v>
      </c>
      <c r="D794" t="s">
        <v>442</v>
      </c>
      <c r="E794" s="217">
        <v>45170</v>
      </c>
      <c r="F794">
        <v>1827410.42857143</v>
      </c>
      <c r="G794" t="s">
        <v>434</v>
      </c>
    </row>
    <row r="795" spans="1:7">
      <c r="A795" s="216">
        <v>45170</v>
      </c>
      <c r="B795" t="s">
        <v>44</v>
      </c>
      <c r="C795">
        <v>8</v>
      </c>
      <c r="D795" t="s">
        <v>451</v>
      </c>
      <c r="E795" s="217">
        <v>45170</v>
      </c>
      <c r="F795">
        <v>14048</v>
      </c>
      <c r="G795" t="s">
        <v>251</v>
      </c>
    </row>
    <row r="796" spans="1:7">
      <c r="A796" s="216">
        <v>45170</v>
      </c>
      <c r="B796" t="s">
        <v>44</v>
      </c>
      <c r="C796">
        <v>8</v>
      </c>
      <c r="D796" t="s">
        <v>451</v>
      </c>
      <c r="E796" s="217">
        <v>45170</v>
      </c>
      <c r="F796">
        <v>14387</v>
      </c>
      <c r="G796" t="s">
        <v>252</v>
      </c>
    </row>
    <row r="797" spans="1:7">
      <c r="A797" s="216">
        <v>45170</v>
      </c>
      <c r="B797" t="s">
        <v>44</v>
      </c>
      <c r="C797">
        <v>8</v>
      </c>
      <c r="D797" t="s">
        <v>451</v>
      </c>
      <c r="E797" s="217">
        <v>45170</v>
      </c>
      <c r="F797">
        <v>14371</v>
      </c>
      <c r="G797" t="s">
        <v>253</v>
      </c>
    </row>
    <row r="798" spans="1:7">
      <c r="A798" s="216">
        <v>45170</v>
      </c>
      <c r="B798" t="s">
        <v>44</v>
      </c>
      <c r="C798">
        <v>8</v>
      </c>
      <c r="D798" t="s">
        <v>451</v>
      </c>
      <c r="E798" s="217">
        <v>45170</v>
      </c>
      <c r="F798">
        <v>14022</v>
      </c>
      <c r="G798" t="s">
        <v>254</v>
      </c>
    </row>
    <row r="799" spans="1:7">
      <c r="A799" s="216">
        <v>45170</v>
      </c>
      <c r="B799" t="s">
        <v>44</v>
      </c>
      <c r="C799">
        <v>8</v>
      </c>
      <c r="D799" t="s">
        <v>451</v>
      </c>
      <c r="E799" s="217">
        <v>45170</v>
      </c>
      <c r="F799">
        <v>14164</v>
      </c>
      <c r="G799" t="s">
        <v>255</v>
      </c>
    </row>
    <row r="800" spans="1:7">
      <c r="A800" s="216">
        <v>45170</v>
      </c>
      <c r="B800" t="s">
        <v>44</v>
      </c>
      <c r="C800">
        <v>8</v>
      </c>
      <c r="D800" t="s">
        <v>451</v>
      </c>
      <c r="E800" s="217">
        <v>45170</v>
      </c>
      <c r="F800">
        <v>14622</v>
      </c>
      <c r="G800" t="s">
        <v>256</v>
      </c>
    </row>
    <row r="801" spans="1:7">
      <c r="A801" s="216">
        <v>45170</v>
      </c>
      <c r="B801" t="s">
        <v>44</v>
      </c>
      <c r="C801">
        <v>8</v>
      </c>
      <c r="D801" t="s">
        <v>451</v>
      </c>
      <c r="E801" s="217">
        <v>45170</v>
      </c>
      <c r="F801">
        <v>14303</v>
      </c>
      <c r="G801" t="s">
        <v>257</v>
      </c>
    </row>
    <row r="802" spans="1:7">
      <c r="A802" s="216">
        <v>45170</v>
      </c>
      <c r="B802" t="s">
        <v>44</v>
      </c>
      <c r="C802">
        <v>8</v>
      </c>
      <c r="D802" t="s">
        <v>451</v>
      </c>
      <c r="E802" s="217">
        <v>45170</v>
      </c>
      <c r="F802">
        <v>14206</v>
      </c>
      <c r="G802" t="s">
        <v>258</v>
      </c>
    </row>
    <row r="803" spans="1:7">
      <c r="A803" s="216">
        <v>45170</v>
      </c>
      <c r="B803" t="s">
        <v>44</v>
      </c>
      <c r="C803">
        <v>8</v>
      </c>
      <c r="D803" t="s">
        <v>451</v>
      </c>
      <c r="E803" s="217">
        <v>45170</v>
      </c>
      <c r="F803">
        <v>14314.9285714286</v>
      </c>
      <c r="G803" t="s">
        <v>259</v>
      </c>
    </row>
    <row r="804" spans="1:7">
      <c r="A804" s="216">
        <v>45170</v>
      </c>
      <c r="B804" t="s">
        <v>44</v>
      </c>
      <c r="C804">
        <v>8</v>
      </c>
      <c r="D804" t="s">
        <v>451</v>
      </c>
      <c r="E804" s="217">
        <v>45170</v>
      </c>
      <c r="F804">
        <v>14298.9285714286</v>
      </c>
      <c r="G804" t="s">
        <v>260</v>
      </c>
    </row>
    <row r="805" spans="1:7">
      <c r="A805" s="216">
        <v>45170</v>
      </c>
      <c r="B805" t="s">
        <v>44</v>
      </c>
      <c r="C805">
        <v>8</v>
      </c>
      <c r="D805" t="s">
        <v>451</v>
      </c>
      <c r="E805" s="217">
        <v>45170</v>
      </c>
      <c r="F805">
        <v>14154.9285714286</v>
      </c>
      <c r="G805" t="s">
        <v>261</v>
      </c>
    </row>
    <row r="806" spans="1:7">
      <c r="A806" s="216">
        <v>45170</v>
      </c>
      <c r="B806" t="s">
        <v>44</v>
      </c>
      <c r="C806">
        <v>8</v>
      </c>
      <c r="D806" t="s">
        <v>451</v>
      </c>
      <c r="E806" s="217">
        <v>45170</v>
      </c>
      <c r="F806">
        <v>14228.9285714286</v>
      </c>
      <c r="G806" t="s">
        <v>262</v>
      </c>
    </row>
    <row r="807" spans="1:7">
      <c r="A807" s="216">
        <v>45170</v>
      </c>
      <c r="B807" t="s">
        <v>44</v>
      </c>
      <c r="C807">
        <v>8</v>
      </c>
      <c r="D807" t="s">
        <v>451</v>
      </c>
      <c r="E807" s="217">
        <v>45170</v>
      </c>
      <c r="F807">
        <v>171120.714285714</v>
      </c>
      <c r="G807" t="s">
        <v>434</v>
      </c>
    </row>
    <row r="808" spans="1:7">
      <c r="A808" s="216">
        <v>45170</v>
      </c>
      <c r="B808" t="s">
        <v>44</v>
      </c>
      <c r="C808">
        <v>9</v>
      </c>
      <c r="D808" t="s">
        <v>450</v>
      </c>
      <c r="E808" s="217">
        <v>45170</v>
      </c>
      <c r="F808">
        <v>7245</v>
      </c>
      <c r="G808" t="s">
        <v>251</v>
      </c>
    </row>
    <row r="809" spans="1:7">
      <c r="A809" s="216">
        <v>45170</v>
      </c>
      <c r="B809" t="s">
        <v>44</v>
      </c>
      <c r="C809">
        <v>9</v>
      </c>
      <c r="D809" t="s">
        <v>450</v>
      </c>
      <c r="E809" s="217">
        <v>45170</v>
      </c>
      <c r="F809">
        <v>7356</v>
      </c>
      <c r="G809" t="s">
        <v>252</v>
      </c>
    </row>
    <row r="810" spans="1:7">
      <c r="A810" s="216">
        <v>45170</v>
      </c>
      <c r="B810" t="s">
        <v>44</v>
      </c>
      <c r="C810">
        <v>9</v>
      </c>
      <c r="D810" t="s">
        <v>450</v>
      </c>
      <c r="E810" s="217">
        <v>45170</v>
      </c>
      <c r="F810">
        <v>8003</v>
      </c>
      <c r="G810" t="s">
        <v>253</v>
      </c>
    </row>
    <row r="811" spans="1:7">
      <c r="A811" s="216">
        <v>45170</v>
      </c>
      <c r="B811" t="s">
        <v>44</v>
      </c>
      <c r="C811">
        <v>9</v>
      </c>
      <c r="D811" t="s">
        <v>450</v>
      </c>
      <c r="E811" s="217">
        <v>45170</v>
      </c>
      <c r="F811">
        <v>8164</v>
      </c>
      <c r="G811" t="s">
        <v>254</v>
      </c>
    </row>
    <row r="812" spans="1:7">
      <c r="A812" s="216">
        <v>45170</v>
      </c>
      <c r="B812" t="s">
        <v>44</v>
      </c>
      <c r="C812">
        <v>9</v>
      </c>
      <c r="D812" t="s">
        <v>450</v>
      </c>
      <c r="E812" s="217">
        <v>45170</v>
      </c>
      <c r="F812">
        <v>7735</v>
      </c>
      <c r="G812" t="s">
        <v>255</v>
      </c>
    </row>
    <row r="813" spans="1:7">
      <c r="A813" s="216">
        <v>45170</v>
      </c>
      <c r="B813" t="s">
        <v>44</v>
      </c>
      <c r="C813">
        <v>9</v>
      </c>
      <c r="D813" t="s">
        <v>450</v>
      </c>
      <c r="E813" s="217">
        <v>45170</v>
      </c>
      <c r="F813">
        <v>7828</v>
      </c>
      <c r="G813" t="s">
        <v>256</v>
      </c>
    </row>
    <row r="814" spans="1:7">
      <c r="A814" s="216">
        <v>45170</v>
      </c>
      <c r="B814" t="s">
        <v>44</v>
      </c>
      <c r="C814">
        <v>9</v>
      </c>
      <c r="D814" t="s">
        <v>450</v>
      </c>
      <c r="E814" s="217">
        <v>45170</v>
      </c>
      <c r="F814">
        <v>7675</v>
      </c>
      <c r="G814" t="s">
        <v>257</v>
      </c>
    </row>
    <row r="815" spans="1:7">
      <c r="A815" s="216">
        <v>45170</v>
      </c>
      <c r="B815" t="s">
        <v>44</v>
      </c>
      <c r="C815">
        <v>9</v>
      </c>
      <c r="D815" t="s">
        <v>450</v>
      </c>
      <c r="E815" s="217">
        <v>45170</v>
      </c>
      <c r="F815">
        <v>7798</v>
      </c>
      <c r="G815" t="s">
        <v>258</v>
      </c>
    </row>
    <row r="816" spans="1:7">
      <c r="A816" s="216">
        <v>45170</v>
      </c>
      <c r="B816" t="s">
        <v>44</v>
      </c>
      <c r="C816">
        <v>9</v>
      </c>
      <c r="D816" t="s">
        <v>450</v>
      </c>
      <c r="E816" s="217">
        <v>45170</v>
      </c>
      <c r="F816">
        <v>7676</v>
      </c>
      <c r="G816" t="s">
        <v>259</v>
      </c>
    </row>
    <row r="817" spans="1:7">
      <c r="A817" s="216">
        <v>45170</v>
      </c>
      <c r="B817" t="s">
        <v>44</v>
      </c>
      <c r="C817">
        <v>9</v>
      </c>
      <c r="D817" t="s">
        <v>450</v>
      </c>
      <c r="E817" s="217">
        <v>45170</v>
      </c>
      <c r="F817">
        <v>7659</v>
      </c>
      <c r="G817" t="s">
        <v>260</v>
      </c>
    </row>
    <row r="818" spans="1:7">
      <c r="A818" s="216">
        <v>45170</v>
      </c>
      <c r="B818" t="s">
        <v>44</v>
      </c>
      <c r="C818">
        <v>9</v>
      </c>
      <c r="D818" t="s">
        <v>450</v>
      </c>
      <c r="E818" s="217">
        <v>45170</v>
      </c>
      <c r="F818">
        <v>7505</v>
      </c>
      <c r="G818" t="s">
        <v>261</v>
      </c>
    </row>
    <row r="819" spans="1:7">
      <c r="A819" s="216">
        <v>45170</v>
      </c>
      <c r="B819" t="s">
        <v>44</v>
      </c>
      <c r="C819">
        <v>9</v>
      </c>
      <c r="D819" t="s">
        <v>450</v>
      </c>
      <c r="E819" s="217">
        <v>45170</v>
      </c>
      <c r="F819">
        <v>7788</v>
      </c>
      <c r="G819" t="s">
        <v>262</v>
      </c>
    </row>
    <row r="820" spans="1:7">
      <c r="A820" s="216">
        <v>45170</v>
      </c>
      <c r="B820" t="s">
        <v>44</v>
      </c>
      <c r="C820">
        <v>9</v>
      </c>
      <c r="D820" t="s">
        <v>450</v>
      </c>
      <c r="E820" s="217">
        <v>45170</v>
      </c>
      <c r="F820">
        <v>92432</v>
      </c>
      <c r="G820" t="s">
        <v>434</v>
      </c>
    </row>
    <row r="821" spans="1:7">
      <c r="A821" s="216">
        <v>45170</v>
      </c>
      <c r="B821" t="s">
        <v>44</v>
      </c>
      <c r="C821">
        <v>10</v>
      </c>
      <c r="D821" t="s">
        <v>433</v>
      </c>
      <c r="E821" s="217">
        <v>45170</v>
      </c>
      <c r="F821">
        <v>68092</v>
      </c>
      <c r="G821" t="s">
        <v>251</v>
      </c>
    </row>
    <row r="822" spans="1:7">
      <c r="A822" s="216">
        <v>45170</v>
      </c>
      <c r="B822" t="s">
        <v>44</v>
      </c>
      <c r="C822">
        <v>10</v>
      </c>
      <c r="D822" t="s">
        <v>433</v>
      </c>
      <c r="E822" s="217">
        <v>45170</v>
      </c>
      <c r="F822">
        <v>70434</v>
      </c>
      <c r="G822" t="s">
        <v>252</v>
      </c>
    </row>
    <row r="823" spans="1:7">
      <c r="A823" s="216">
        <v>45170</v>
      </c>
      <c r="B823" t="s">
        <v>44</v>
      </c>
      <c r="C823">
        <v>10</v>
      </c>
      <c r="D823" t="s">
        <v>433</v>
      </c>
      <c r="E823" s="217">
        <v>45170</v>
      </c>
      <c r="F823">
        <v>83477</v>
      </c>
      <c r="G823" t="s">
        <v>253</v>
      </c>
    </row>
    <row r="824" spans="1:7">
      <c r="A824" s="216">
        <v>45170</v>
      </c>
      <c r="B824" t="s">
        <v>44</v>
      </c>
      <c r="C824">
        <v>10</v>
      </c>
      <c r="D824" t="s">
        <v>433</v>
      </c>
      <c r="E824" s="217">
        <v>45170</v>
      </c>
      <c r="F824">
        <v>79607</v>
      </c>
      <c r="G824" t="s">
        <v>254</v>
      </c>
    </row>
    <row r="825" spans="1:7">
      <c r="A825" s="216">
        <v>45170</v>
      </c>
      <c r="B825" t="s">
        <v>44</v>
      </c>
      <c r="C825">
        <v>10</v>
      </c>
      <c r="D825" t="s">
        <v>433</v>
      </c>
      <c r="E825" s="217">
        <v>45170</v>
      </c>
      <c r="F825">
        <v>71821</v>
      </c>
      <c r="G825" t="s">
        <v>255</v>
      </c>
    </row>
    <row r="826" spans="1:7">
      <c r="A826" s="216">
        <v>45170</v>
      </c>
      <c r="B826" t="s">
        <v>44</v>
      </c>
      <c r="C826">
        <v>10</v>
      </c>
      <c r="D826" t="s">
        <v>433</v>
      </c>
      <c r="E826" s="217">
        <v>45170</v>
      </c>
      <c r="F826">
        <v>71858</v>
      </c>
      <c r="G826" t="s">
        <v>256</v>
      </c>
    </row>
    <row r="827" spans="1:7">
      <c r="A827" s="216">
        <v>45170</v>
      </c>
      <c r="B827" t="s">
        <v>44</v>
      </c>
      <c r="C827">
        <v>10</v>
      </c>
      <c r="D827" t="s">
        <v>433</v>
      </c>
      <c r="E827" s="217">
        <v>45170</v>
      </c>
      <c r="F827">
        <v>71977.428571428594</v>
      </c>
      <c r="G827" t="s">
        <v>257</v>
      </c>
    </row>
    <row r="828" spans="1:7">
      <c r="A828" s="216">
        <v>45170</v>
      </c>
      <c r="B828" t="s">
        <v>44</v>
      </c>
      <c r="C828">
        <v>10</v>
      </c>
      <c r="D828" t="s">
        <v>433</v>
      </c>
      <c r="E828" s="217">
        <v>45170</v>
      </c>
      <c r="F828">
        <v>71825</v>
      </c>
      <c r="G828" t="s">
        <v>258</v>
      </c>
    </row>
    <row r="829" spans="1:7">
      <c r="A829" s="216">
        <v>45170</v>
      </c>
      <c r="B829" t="s">
        <v>44</v>
      </c>
      <c r="C829">
        <v>10</v>
      </c>
      <c r="D829" t="s">
        <v>433</v>
      </c>
      <c r="E829" s="217">
        <v>45170</v>
      </c>
      <c r="F829">
        <v>71840</v>
      </c>
      <c r="G829" t="s">
        <v>259</v>
      </c>
    </row>
    <row r="830" spans="1:7">
      <c r="A830" s="216">
        <v>45170</v>
      </c>
      <c r="B830" t="s">
        <v>44</v>
      </c>
      <c r="C830">
        <v>10</v>
      </c>
      <c r="D830" t="s">
        <v>433</v>
      </c>
      <c r="E830" s="217">
        <v>45170</v>
      </c>
      <c r="F830">
        <v>71823</v>
      </c>
      <c r="G830" t="s">
        <v>260</v>
      </c>
    </row>
    <row r="831" spans="1:7">
      <c r="A831" s="216">
        <v>45170</v>
      </c>
      <c r="B831" t="s">
        <v>44</v>
      </c>
      <c r="C831">
        <v>10</v>
      </c>
      <c r="D831" t="s">
        <v>433</v>
      </c>
      <c r="E831" s="217">
        <v>45170</v>
      </c>
      <c r="F831">
        <v>71752</v>
      </c>
      <c r="G831" t="s">
        <v>261</v>
      </c>
    </row>
    <row r="832" spans="1:7">
      <c r="A832" s="216">
        <v>45170</v>
      </c>
      <c r="B832" t="s">
        <v>44</v>
      </c>
      <c r="C832">
        <v>10</v>
      </c>
      <c r="D832" t="s">
        <v>433</v>
      </c>
      <c r="E832" s="217">
        <v>45170</v>
      </c>
      <c r="F832">
        <v>72202</v>
      </c>
      <c r="G832" t="s">
        <v>262</v>
      </c>
    </row>
    <row r="833" spans="1:7">
      <c r="A833" s="216">
        <v>45170</v>
      </c>
      <c r="B833" t="s">
        <v>44</v>
      </c>
      <c r="C833">
        <v>10</v>
      </c>
      <c r="D833" t="s">
        <v>433</v>
      </c>
      <c r="E833" s="217">
        <v>45170</v>
      </c>
      <c r="F833">
        <v>876708.42857142899</v>
      </c>
      <c r="G833" t="s">
        <v>434</v>
      </c>
    </row>
    <row r="834" spans="1:7">
      <c r="A834" s="216">
        <v>45170</v>
      </c>
      <c r="B834" t="s">
        <v>44</v>
      </c>
      <c r="C834">
        <v>11</v>
      </c>
      <c r="D834" t="s">
        <v>445</v>
      </c>
      <c r="E834" s="217">
        <v>45170</v>
      </c>
      <c r="F834">
        <v>15410</v>
      </c>
      <c r="G834" t="s">
        <v>251</v>
      </c>
    </row>
    <row r="835" spans="1:7">
      <c r="A835" s="216">
        <v>45170</v>
      </c>
      <c r="B835" t="s">
        <v>44</v>
      </c>
      <c r="C835">
        <v>11</v>
      </c>
      <c r="D835" t="s">
        <v>445</v>
      </c>
      <c r="E835" s="217">
        <v>45170</v>
      </c>
      <c r="F835">
        <v>20243</v>
      </c>
      <c r="G835" t="s">
        <v>252</v>
      </c>
    </row>
    <row r="836" spans="1:7">
      <c r="A836" s="216">
        <v>45170</v>
      </c>
      <c r="B836" t="s">
        <v>44</v>
      </c>
      <c r="C836">
        <v>11</v>
      </c>
      <c r="D836" t="s">
        <v>445</v>
      </c>
      <c r="E836" s="217">
        <v>45170</v>
      </c>
      <c r="F836">
        <v>17168</v>
      </c>
      <c r="G836" t="s">
        <v>253</v>
      </c>
    </row>
    <row r="837" spans="1:7">
      <c r="A837" s="216">
        <v>45170</v>
      </c>
      <c r="B837" t="s">
        <v>44</v>
      </c>
      <c r="C837">
        <v>11</v>
      </c>
      <c r="D837" t="s">
        <v>445</v>
      </c>
      <c r="E837" s="217">
        <v>45170</v>
      </c>
      <c r="F837">
        <v>18353</v>
      </c>
      <c r="G837" t="s">
        <v>254</v>
      </c>
    </row>
    <row r="838" spans="1:7">
      <c r="A838" s="216">
        <v>45170</v>
      </c>
      <c r="B838" t="s">
        <v>44</v>
      </c>
      <c r="C838">
        <v>11</v>
      </c>
      <c r="D838" t="s">
        <v>445</v>
      </c>
      <c r="E838" s="217">
        <v>45170</v>
      </c>
      <c r="F838">
        <v>16964</v>
      </c>
      <c r="G838" t="s">
        <v>255</v>
      </c>
    </row>
    <row r="839" spans="1:7">
      <c r="A839" s="216">
        <v>45170</v>
      </c>
      <c r="B839" t="s">
        <v>44</v>
      </c>
      <c r="C839">
        <v>11</v>
      </c>
      <c r="D839" t="s">
        <v>445</v>
      </c>
      <c r="E839" s="217">
        <v>45170</v>
      </c>
      <c r="F839">
        <v>19071</v>
      </c>
      <c r="G839" t="s">
        <v>256</v>
      </c>
    </row>
    <row r="840" spans="1:7">
      <c r="A840" s="216">
        <v>45170</v>
      </c>
      <c r="B840" t="s">
        <v>44</v>
      </c>
      <c r="C840">
        <v>11</v>
      </c>
      <c r="D840" t="s">
        <v>445</v>
      </c>
      <c r="E840" s="217">
        <v>45170</v>
      </c>
      <c r="F840">
        <v>18487.278333333299</v>
      </c>
      <c r="G840" t="s">
        <v>257</v>
      </c>
    </row>
    <row r="841" spans="1:7">
      <c r="A841" s="216">
        <v>45170</v>
      </c>
      <c r="B841" t="s">
        <v>44</v>
      </c>
      <c r="C841">
        <v>11</v>
      </c>
      <c r="D841" t="s">
        <v>445</v>
      </c>
      <c r="E841" s="217">
        <v>45170</v>
      </c>
      <c r="F841">
        <v>17943.278333333299</v>
      </c>
      <c r="G841" t="s">
        <v>258</v>
      </c>
    </row>
    <row r="842" spans="1:7">
      <c r="A842" s="216">
        <v>45170</v>
      </c>
      <c r="B842" t="s">
        <v>44</v>
      </c>
      <c r="C842">
        <v>11</v>
      </c>
      <c r="D842" t="s">
        <v>445</v>
      </c>
      <c r="E842" s="217">
        <v>45170</v>
      </c>
      <c r="F842">
        <v>18022.278333333299</v>
      </c>
      <c r="G842" t="s">
        <v>259</v>
      </c>
    </row>
    <row r="843" spans="1:7">
      <c r="A843" s="216">
        <v>45170</v>
      </c>
      <c r="B843" t="s">
        <v>44</v>
      </c>
      <c r="C843">
        <v>11</v>
      </c>
      <c r="D843" t="s">
        <v>445</v>
      </c>
      <c r="E843" s="217">
        <v>45170</v>
      </c>
      <c r="F843">
        <v>18097.278333333299</v>
      </c>
      <c r="G843" t="s">
        <v>260</v>
      </c>
    </row>
    <row r="844" spans="1:7">
      <c r="A844" s="216">
        <v>45170</v>
      </c>
      <c r="B844" t="s">
        <v>44</v>
      </c>
      <c r="C844">
        <v>11</v>
      </c>
      <c r="D844" t="s">
        <v>445</v>
      </c>
      <c r="E844" s="217">
        <v>45170</v>
      </c>
      <c r="F844">
        <v>17944.278333333299</v>
      </c>
      <c r="G844" t="s">
        <v>261</v>
      </c>
    </row>
    <row r="845" spans="1:7">
      <c r="A845" s="216">
        <v>45170</v>
      </c>
      <c r="B845" t="s">
        <v>44</v>
      </c>
      <c r="C845">
        <v>11</v>
      </c>
      <c r="D845" t="s">
        <v>445</v>
      </c>
      <c r="E845" s="217">
        <v>45170</v>
      </c>
      <c r="F845">
        <v>17555.9926190476</v>
      </c>
      <c r="G845" t="s">
        <v>262</v>
      </c>
    </row>
    <row r="846" spans="1:7">
      <c r="A846" s="216">
        <v>45170</v>
      </c>
      <c r="B846" t="s">
        <v>44</v>
      </c>
      <c r="C846">
        <v>11</v>
      </c>
      <c r="D846" t="s">
        <v>445</v>
      </c>
      <c r="E846" s="217">
        <v>45170</v>
      </c>
      <c r="F846">
        <v>215259.38428571401</v>
      </c>
      <c r="G846" t="s">
        <v>434</v>
      </c>
    </row>
    <row r="847" spans="1:7">
      <c r="A847" s="216">
        <v>45170</v>
      </c>
      <c r="B847" t="s">
        <v>44</v>
      </c>
      <c r="C847">
        <v>12</v>
      </c>
      <c r="D847" t="s">
        <v>454</v>
      </c>
      <c r="E847" s="217">
        <v>45170</v>
      </c>
      <c r="F847">
        <v>10095</v>
      </c>
      <c r="G847" t="s">
        <v>251</v>
      </c>
    </row>
    <row r="848" spans="1:7">
      <c r="A848" s="216">
        <v>45170</v>
      </c>
      <c r="B848" t="s">
        <v>44</v>
      </c>
      <c r="C848">
        <v>12</v>
      </c>
      <c r="D848" t="s">
        <v>454</v>
      </c>
      <c r="E848" s="217">
        <v>45170</v>
      </c>
      <c r="F848">
        <v>11533</v>
      </c>
      <c r="G848" t="s">
        <v>252</v>
      </c>
    </row>
    <row r="849" spans="1:7">
      <c r="A849" s="216">
        <v>45170</v>
      </c>
      <c r="B849" t="s">
        <v>44</v>
      </c>
      <c r="C849">
        <v>12</v>
      </c>
      <c r="D849" t="s">
        <v>454</v>
      </c>
      <c r="E849" s="217">
        <v>45170</v>
      </c>
      <c r="F849">
        <v>9602</v>
      </c>
      <c r="G849" t="s">
        <v>253</v>
      </c>
    </row>
    <row r="850" spans="1:7">
      <c r="A850" s="216">
        <v>45170</v>
      </c>
      <c r="B850" t="s">
        <v>44</v>
      </c>
      <c r="C850">
        <v>12</v>
      </c>
      <c r="D850" t="s">
        <v>454</v>
      </c>
      <c r="E850" s="217">
        <v>45170</v>
      </c>
      <c r="F850">
        <v>11528</v>
      </c>
      <c r="G850" t="s">
        <v>254</v>
      </c>
    </row>
    <row r="851" spans="1:7">
      <c r="A851" s="216">
        <v>45170</v>
      </c>
      <c r="B851" t="s">
        <v>44</v>
      </c>
      <c r="C851">
        <v>12</v>
      </c>
      <c r="D851" t="s">
        <v>454</v>
      </c>
      <c r="E851" s="217">
        <v>45170</v>
      </c>
      <c r="F851">
        <v>11523</v>
      </c>
      <c r="G851" t="s">
        <v>255</v>
      </c>
    </row>
    <row r="852" spans="1:7">
      <c r="A852" s="216">
        <v>45170</v>
      </c>
      <c r="B852" t="s">
        <v>44</v>
      </c>
      <c r="C852">
        <v>12</v>
      </c>
      <c r="D852" t="s">
        <v>454</v>
      </c>
      <c r="E852" s="217">
        <v>45170</v>
      </c>
      <c r="F852">
        <v>11509</v>
      </c>
      <c r="G852" t="s">
        <v>256</v>
      </c>
    </row>
    <row r="853" spans="1:7">
      <c r="A853" s="216">
        <v>45170</v>
      </c>
      <c r="B853" t="s">
        <v>44</v>
      </c>
      <c r="C853">
        <v>12</v>
      </c>
      <c r="D853" t="s">
        <v>454</v>
      </c>
      <c r="E853" s="217">
        <v>45170</v>
      </c>
      <c r="F853">
        <v>11663</v>
      </c>
      <c r="G853" t="s">
        <v>257</v>
      </c>
    </row>
    <row r="854" spans="1:7">
      <c r="A854" s="216">
        <v>45170</v>
      </c>
      <c r="B854" t="s">
        <v>44</v>
      </c>
      <c r="C854">
        <v>12</v>
      </c>
      <c r="D854" t="s">
        <v>454</v>
      </c>
      <c r="E854" s="217">
        <v>45170</v>
      </c>
      <c r="F854">
        <v>11562</v>
      </c>
      <c r="G854" t="s">
        <v>258</v>
      </c>
    </row>
    <row r="855" spans="1:7">
      <c r="A855" s="216">
        <v>45170</v>
      </c>
      <c r="B855" t="s">
        <v>44</v>
      </c>
      <c r="C855">
        <v>12</v>
      </c>
      <c r="D855" t="s">
        <v>454</v>
      </c>
      <c r="E855" s="217">
        <v>45170</v>
      </c>
      <c r="F855">
        <v>11539</v>
      </c>
      <c r="G855" t="s">
        <v>259</v>
      </c>
    </row>
    <row r="856" spans="1:7">
      <c r="A856" s="216">
        <v>45170</v>
      </c>
      <c r="B856" t="s">
        <v>44</v>
      </c>
      <c r="C856">
        <v>12</v>
      </c>
      <c r="D856" t="s">
        <v>454</v>
      </c>
      <c r="E856" s="217">
        <v>45170</v>
      </c>
      <c r="F856">
        <v>11558</v>
      </c>
      <c r="G856" t="s">
        <v>260</v>
      </c>
    </row>
    <row r="857" spans="1:7">
      <c r="A857" s="216">
        <v>45170</v>
      </c>
      <c r="B857" t="s">
        <v>44</v>
      </c>
      <c r="C857">
        <v>12</v>
      </c>
      <c r="D857" t="s">
        <v>454</v>
      </c>
      <c r="E857" s="217">
        <v>45170</v>
      </c>
      <c r="F857">
        <v>11458</v>
      </c>
      <c r="G857" t="s">
        <v>261</v>
      </c>
    </row>
    <row r="858" spans="1:7">
      <c r="A858" s="216">
        <v>45170</v>
      </c>
      <c r="B858" t="s">
        <v>44</v>
      </c>
      <c r="C858">
        <v>12</v>
      </c>
      <c r="D858" t="s">
        <v>454</v>
      </c>
      <c r="E858" s="217">
        <v>45170</v>
      </c>
      <c r="F858">
        <v>11545</v>
      </c>
      <c r="G858" t="s">
        <v>262</v>
      </c>
    </row>
    <row r="859" spans="1:7">
      <c r="A859" s="216">
        <v>45170</v>
      </c>
      <c r="B859" t="s">
        <v>44</v>
      </c>
      <c r="C859">
        <v>12</v>
      </c>
      <c r="D859" t="s">
        <v>454</v>
      </c>
      <c r="E859" s="217">
        <v>45170</v>
      </c>
      <c r="F859">
        <v>135115</v>
      </c>
      <c r="G859" t="s">
        <v>434</v>
      </c>
    </row>
    <row r="860" spans="1:7">
      <c r="A860" s="216">
        <v>45170</v>
      </c>
      <c r="B860" t="s">
        <v>44</v>
      </c>
      <c r="C860">
        <v>13</v>
      </c>
      <c r="D860" t="s">
        <v>441</v>
      </c>
      <c r="E860" s="217">
        <v>45170</v>
      </c>
      <c r="F860">
        <v>19569</v>
      </c>
      <c r="G860" t="s">
        <v>251</v>
      </c>
    </row>
    <row r="861" spans="1:7">
      <c r="A861" s="216">
        <v>45170</v>
      </c>
      <c r="B861" t="s">
        <v>44</v>
      </c>
      <c r="C861">
        <v>13</v>
      </c>
      <c r="D861" t="s">
        <v>441</v>
      </c>
      <c r="E861" s="217">
        <v>45170</v>
      </c>
      <c r="F861">
        <v>19933</v>
      </c>
      <c r="G861" t="s">
        <v>252</v>
      </c>
    </row>
    <row r="862" spans="1:7">
      <c r="A862" s="216">
        <v>45170</v>
      </c>
      <c r="B862" t="s">
        <v>44</v>
      </c>
      <c r="C862">
        <v>13</v>
      </c>
      <c r="D862" t="s">
        <v>441</v>
      </c>
      <c r="E862" s="217">
        <v>45170</v>
      </c>
      <c r="F862">
        <v>20197</v>
      </c>
      <c r="G862" t="s">
        <v>253</v>
      </c>
    </row>
    <row r="863" spans="1:7">
      <c r="A863" s="216">
        <v>45170</v>
      </c>
      <c r="B863" t="s">
        <v>44</v>
      </c>
      <c r="C863">
        <v>13</v>
      </c>
      <c r="D863" t="s">
        <v>441</v>
      </c>
      <c r="E863" s="217">
        <v>45170</v>
      </c>
      <c r="F863">
        <v>19862</v>
      </c>
      <c r="G863" t="s">
        <v>254</v>
      </c>
    </row>
    <row r="864" spans="1:7">
      <c r="A864" s="216">
        <v>45170</v>
      </c>
      <c r="B864" t="s">
        <v>44</v>
      </c>
      <c r="C864">
        <v>13</v>
      </c>
      <c r="D864" t="s">
        <v>441</v>
      </c>
      <c r="E864" s="217">
        <v>45170</v>
      </c>
      <c r="F864">
        <v>20089</v>
      </c>
      <c r="G864" t="s">
        <v>255</v>
      </c>
    </row>
    <row r="865" spans="1:7">
      <c r="A865" s="216">
        <v>45170</v>
      </c>
      <c r="B865" t="s">
        <v>44</v>
      </c>
      <c r="C865">
        <v>13</v>
      </c>
      <c r="D865" t="s">
        <v>441</v>
      </c>
      <c r="E865" s="217">
        <v>45170</v>
      </c>
      <c r="F865">
        <v>18220</v>
      </c>
      <c r="G865" t="s">
        <v>256</v>
      </c>
    </row>
    <row r="866" spans="1:7">
      <c r="A866" s="216">
        <v>45170</v>
      </c>
      <c r="B866" t="s">
        <v>44</v>
      </c>
      <c r="C866">
        <v>13</v>
      </c>
      <c r="D866" t="s">
        <v>441</v>
      </c>
      <c r="E866" s="217">
        <v>45170</v>
      </c>
      <c r="F866">
        <v>18321.714285714301</v>
      </c>
      <c r="G866" t="s">
        <v>257</v>
      </c>
    </row>
    <row r="867" spans="1:7">
      <c r="A867" s="216">
        <v>45170</v>
      </c>
      <c r="B867" t="s">
        <v>44</v>
      </c>
      <c r="C867">
        <v>13</v>
      </c>
      <c r="D867" t="s">
        <v>441</v>
      </c>
      <c r="E867" s="217">
        <v>45170</v>
      </c>
      <c r="F867">
        <v>19243.714285714301</v>
      </c>
      <c r="G867" t="s">
        <v>258</v>
      </c>
    </row>
    <row r="868" spans="1:7">
      <c r="A868" s="216">
        <v>45170</v>
      </c>
      <c r="B868" t="s">
        <v>44</v>
      </c>
      <c r="C868">
        <v>13</v>
      </c>
      <c r="D868" t="s">
        <v>441</v>
      </c>
      <c r="E868" s="217">
        <v>45170</v>
      </c>
      <c r="F868">
        <v>19243.714285714301</v>
      </c>
      <c r="G868" t="s">
        <v>259</v>
      </c>
    </row>
    <row r="869" spans="1:7">
      <c r="A869" s="216">
        <v>45170</v>
      </c>
      <c r="B869" t="s">
        <v>44</v>
      </c>
      <c r="C869">
        <v>13</v>
      </c>
      <c r="D869" t="s">
        <v>441</v>
      </c>
      <c r="E869" s="217">
        <v>45170</v>
      </c>
      <c r="F869">
        <v>19243.714285714301</v>
      </c>
      <c r="G869" t="s">
        <v>260</v>
      </c>
    </row>
    <row r="870" spans="1:7">
      <c r="A870" s="216">
        <v>45170</v>
      </c>
      <c r="B870" t="s">
        <v>44</v>
      </c>
      <c r="C870">
        <v>13</v>
      </c>
      <c r="D870" t="s">
        <v>441</v>
      </c>
      <c r="E870" s="217">
        <v>45170</v>
      </c>
      <c r="F870">
        <v>19243.714285714301</v>
      </c>
      <c r="G870" t="s">
        <v>261</v>
      </c>
    </row>
    <row r="871" spans="1:7">
      <c r="A871" s="216">
        <v>45170</v>
      </c>
      <c r="B871" t="s">
        <v>44</v>
      </c>
      <c r="C871">
        <v>13</v>
      </c>
      <c r="D871" t="s">
        <v>441</v>
      </c>
      <c r="E871" s="217">
        <v>45170</v>
      </c>
      <c r="F871">
        <v>19959.714285714301</v>
      </c>
      <c r="G871" t="s">
        <v>262</v>
      </c>
    </row>
    <row r="872" spans="1:7">
      <c r="A872" s="216">
        <v>45170</v>
      </c>
      <c r="B872" t="s">
        <v>44</v>
      </c>
      <c r="C872">
        <v>13</v>
      </c>
      <c r="D872" t="s">
        <v>441</v>
      </c>
      <c r="E872" s="217">
        <v>45170</v>
      </c>
      <c r="F872">
        <v>233126.285714286</v>
      </c>
      <c r="G872" t="s">
        <v>434</v>
      </c>
    </row>
    <row r="873" spans="1:7">
      <c r="A873" s="216">
        <v>45170</v>
      </c>
      <c r="B873" t="s">
        <v>44</v>
      </c>
      <c r="C873">
        <v>14</v>
      </c>
      <c r="D873" t="s">
        <v>447</v>
      </c>
      <c r="E873" s="217">
        <v>45170</v>
      </c>
      <c r="F873">
        <v>0</v>
      </c>
      <c r="G873" t="s">
        <v>251</v>
      </c>
    </row>
    <row r="874" spans="1:7">
      <c r="A874" s="216">
        <v>45170</v>
      </c>
      <c r="B874" t="s">
        <v>44</v>
      </c>
      <c r="C874">
        <v>14</v>
      </c>
      <c r="D874" t="s">
        <v>447</v>
      </c>
      <c r="E874" s="217">
        <v>45170</v>
      </c>
      <c r="F874">
        <v>0</v>
      </c>
      <c r="G874" t="s">
        <v>252</v>
      </c>
    </row>
    <row r="875" spans="1:7">
      <c r="A875" s="216">
        <v>45170</v>
      </c>
      <c r="B875" t="s">
        <v>44</v>
      </c>
      <c r="C875">
        <v>14</v>
      </c>
      <c r="D875" t="s">
        <v>447</v>
      </c>
      <c r="E875" s="217">
        <v>45170</v>
      </c>
      <c r="F875">
        <v>0</v>
      </c>
      <c r="G875" t="s">
        <v>253</v>
      </c>
    </row>
    <row r="876" spans="1:7">
      <c r="A876" s="216">
        <v>45170</v>
      </c>
      <c r="B876" t="s">
        <v>44</v>
      </c>
      <c r="C876">
        <v>14</v>
      </c>
      <c r="D876" t="s">
        <v>447</v>
      </c>
      <c r="E876" s="217">
        <v>45170</v>
      </c>
      <c r="F876">
        <v>0</v>
      </c>
      <c r="G876" t="s">
        <v>254</v>
      </c>
    </row>
    <row r="877" spans="1:7">
      <c r="A877" s="216">
        <v>45170</v>
      </c>
      <c r="B877" t="s">
        <v>44</v>
      </c>
      <c r="C877">
        <v>14</v>
      </c>
      <c r="D877" t="s">
        <v>447</v>
      </c>
      <c r="E877" s="217">
        <v>45170</v>
      </c>
      <c r="F877">
        <v>0</v>
      </c>
      <c r="G877" t="s">
        <v>255</v>
      </c>
    </row>
    <row r="878" spans="1:7">
      <c r="A878" s="216">
        <v>45170</v>
      </c>
      <c r="B878" t="s">
        <v>44</v>
      </c>
      <c r="C878">
        <v>14</v>
      </c>
      <c r="D878" t="s">
        <v>447</v>
      </c>
      <c r="E878" s="217">
        <v>45170</v>
      </c>
      <c r="F878">
        <v>0</v>
      </c>
      <c r="G878" t="s">
        <v>256</v>
      </c>
    </row>
    <row r="879" spans="1:7">
      <c r="A879" s="216">
        <v>45170</v>
      </c>
      <c r="B879" t="s">
        <v>44</v>
      </c>
      <c r="C879">
        <v>14</v>
      </c>
      <c r="D879" t="s">
        <v>447</v>
      </c>
      <c r="E879" s="217">
        <v>45170</v>
      </c>
      <c r="F879">
        <v>0</v>
      </c>
      <c r="G879" t="s">
        <v>257</v>
      </c>
    </row>
    <row r="880" spans="1:7">
      <c r="A880" s="216">
        <v>45170</v>
      </c>
      <c r="B880" t="s">
        <v>44</v>
      </c>
      <c r="C880">
        <v>14</v>
      </c>
      <c r="D880" t="s">
        <v>447</v>
      </c>
      <c r="E880" s="217">
        <v>45170</v>
      </c>
      <c r="F880">
        <v>0</v>
      </c>
      <c r="G880" t="s">
        <v>258</v>
      </c>
    </row>
    <row r="881" spans="1:7">
      <c r="A881" s="216">
        <v>45170</v>
      </c>
      <c r="B881" t="s">
        <v>44</v>
      </c>
      <c r="C881">
        <v>14</v>
      </c>
      <c r="D881" t="s">
        <v>447</v>
      </c>
      <c r="E881" s="217">
        <v>45170</v>
      </c>
      <c r="F881">
        <v>0</v>
      </c>
      <c r="G881" t="s">
        <v>259</v>
      </c>
    </row>
    <row r="882" spans="1:7">
      <c r="A882" s="216">
        <v>45170</v>
      </c>
      <c r="B882" t="s">
        <v>44</v>
      </c>
      <c r="C882">
        <v>14</v>
      </c>
      <c r="D882" t="s">
        <v>447</v>
      </c>
      <c r="E882" s="217">
        <v>45170</v>
      </c>
      <c r="F882">
        <v>0</v>
      </c>
      <c r="G882" t="s">
        <v>260</v>
      </c>
    </row>
    <row r="883" spans="1:7">
      <c r="A883" s="216">
        <v>45170</v>
      </c>
      <c r="B883" t="s">
        <v>44</v>
      </c>
      <c r="C883">
        <v>14</v>
      </c>
      <c r="D883" t="s">
        <v>447</v>
      </c>
      <c r="E883" s="217">
        <v>45170</v>
      </c>
      <c r="F883">
        <v>0</v>
      </c>
      <c r="G883" t="s">
        <v>261</v>
      </c>
    </row>
    <row r="884" spans="1:7">
      <c r="A884" s="216">
        <v>45170</v>
      </c>
      <c r="B884" t="s">
        <v>44</v>
      </c>
      <c r="C884">
        <v>14</v>
      </c>
      <c r="D884" t="s">
        <v>447</v>
      </c>
      <c r="E884" s="217">
        <v>45170</v>
      </c>
      <c r="F884">
        <v>0</v>
      </c>
      <c r="G884" t="s">
        <v>262</v>
      </c>
    </row>
    <row r="885" spans="1:7">
      <c r="A885" s="216">
        <v>45170</v>
      </c>
      <c r="B885" t="s">
        <v>44</v>
      </c>
      <c r="C885">
        <v>14</v>
      </c>
      <c r="D885" t="s">
        <v>447</v>
      </c>
      <c r="E885" s="217">
        <v>45170</v>
      </c>
      <c r="F885">
        <v>0</v>
      </c>
      <c r="G885" t="s">
        <v>434</v>
      </c>
    </row>
    <row r="886" spans="1:7">
      <c r="A886" s="216">
        <v>45170</v>
      </c>
      <c r="B886" t="s">
        <v>44</v>
      </c>
      <c r="C886">
        <v>15</v>
      </c>
      <c r="D886" t="s">
        <v>437</v>
      </c>
      <c r="E886" s="217">
        <v>45170</v>
      </c>
      <c r="F886">
        <v>7061</v>
      </c>
      <c r="G886" t="s">
        <v>251</v>
      </c>
    </row>
    <row r="887" spans="1:7">
      <c r="A887" s="216">
        <v>45170</v>
      </c>
      <c r="B887" t="s">
        <v>44</v>
      </c>
      <c r="C887">
        <v>15</v>
      </c>
      <c r="D887" t="s">
        <v>437</v>
      </c>
      <c r="E887" s="217">
        <v>45170</v>
      </c>
      <c r="F887">
        <v>7268</v>
      </c>
      <c r="G887" t="s">
        <v>252</v>
      </c>
    </row>
    <row r="888" spans="1:7">
      <c r="A888" s="216">
        <v>45170</v>
      </c>
      <c r="B888" t="s">
        <v>44</v>
      </c>
      <c r="C888">
        <v>15</v>
      </c>
      <c r="D888" t="s">
        <v>437</v>
      </c>
      <c r="E888" s="217">
        <v>45170</v>
      </c>
      <c r="F888">
        <v>8854</v>
      </c>
      <c r="G888" t="s">
        <v>253</v>
      </c>
    </row>
    <row r="889" spans="1:7">
      <c r="A889" s="216">
        <v>45170</v>
      </c>
      <c r="B889" t="s">
        <v>44</v>
      </c>
      <c r="C889">
        <v>15</v>
      </c>
      <c r="D889" t="s">
        <v>437</v>
      </c>
      <c r="E889" s="217">
        <v>45170</v>
      </c>
      <c r="F889">
        <v>7776</v>
      </c>
      <c r="G889" t="s">
        <v>254</v>
      </c>
    </row>
    <row r="890" spans="1:7">
      <c r="A890" s="216">
        <v>45170</v>
      </c>
      <c r="B890" t="s">
        <v>44</v>
      </c>
      <c r="C890">
        <v>15</v>
      </c>
      <c r="D890" t="s">
        <v>437</v>
      </c>
      <c r="E890" s="217">
        <v>45170</v>
      </c>
      <c r="F890">
        <v>8111</v>
      </c>
      <c r="G890" t="s">
        <v>255</v>
      </c>
    </row>
    <row r="891" spans="1:7">
      <c r="A891" s="216">
        <v>45170</v>
      </c>
      <c r="B891" t="s">
        <v>44</v>
      </c>
      <c r="C891">
        <v>15</v>
      </c>
      <c r="D891" t="s">
        <v>437</v>
      </c>
      <c r="E891" s="217">
        <v>45170</v>
      </c>
      <c r="F891">
        <v>7408</v>
      </c>
      <c r="G891" t="s">
        <v>256</v>
      </c>
    </row>
    <row r="892" spans="1:7">
      <c r="A892" s="216">
        <v>45170</v>
      </c>
      <c r="B892" t="s">
        <v>44</v>
      </c>
      <c r="C892">
        <v>15</v>
      </c>
      <c r="D892" t="s">
        <v>437</v>
      </c>
      <c r="E892" s="217">
        <v>45170</v>
      </c>
      <c r="F892">
        <v>7716</v>
      </c>
      <c r="G892" t="s">
        <v>257</v>
      </c>
    </row>
    <row r="893" spans="1:7">
      <c r="A893" s="216">
        <v>45170</v>
      </c>
      <c r="B893" t="s">
        <v>44</v>
      </c>
      <c r="C893">
        <v>15</v>
      </c>
      <c r="D893" t="s">
        <v>437</v>
      </c>
      <c r="E893" s="217">
        <v>45170</v>
      </c>
      <c r="F893">
        <v>7705</v>
      </c>
      <c r="G893" t="s">
        <v>258</v>
      </c>
    </row>
    <row r="894" spans="1:7">
      <c r="A894" s="216">
        <v>45170</v>
      </c>
      <c r="B894" t="s">
        <v>44</v>
      </c>
      <c r="C894">
        <v>15</v>
      </c>
      <c r="D894" t="s">
        <v>437</v>
      </c>
      <c r="E894" s="217">
        <v>45170</v>
      </c>
      <c r="F894">
        <v>7702</v>
      </c>
      <c r="G894" t="s">
        <v>259</v>
      </c>
    </row>
    <row r="895" spans="1:7">
      <c r="A895" s="216">
        <v>45170</v>
      </c>
      <c r="B895" t="s">
        <v>44</v>
      </c>
      <c r="C895">
        <v>15</v>
      </c>
      <c r="D895" t="s">
        <v>437</v>
      </c>
      <c r="E895" s="217">
        <v>45170</v>
      </c>
      <c r="F895">
        <v>7702</v>
      </c>
      <c r="G895" t="s">
        <v>260</v>
      </c>
    </row>
    <row r="896" spans="1:7">
      <c r="A896" s="216">
        <v>45170</v>
      </c>
      <c r="B896" t="s">
        <v>44</v>
      </c>
      <c r="C896">
        <v>15</v>
      </c>
      <c r="D896" t="s">
        <v>437</v>
      </c>
      <c r="E896" s="217">
        <v>45170</v>
      </c>
      <c r="F896">
        <v>7736</v>
      </c>
      <c r="G896" t="s">
        <v>261</v>
      </c>
    </row>
    <row r="897" spans="1:7">
      <c r="A897" s="216">
        <v>45170</v>
      </c>
      <c r="B897" t="s">
        <v>44</v>
      </c>
      <c r="C897">
        <v>15</v>
      </c>
      <c r="D897" t="s">
        <v>437</v>
      </c>
      <c r="E897" s="217">
        <v>45170</v>
      </c>
      <c r="F897">
        <v>7715</v>
      </c>
      <c r="G897" t="s">
        <v>262</v>
      </c>
    </row>
    <row r="898" spans="1:7">
      <c r="A898" s="216">
        <v>45170</v>
      </c>
      <c r="B898" t="s">
        <v>44</v>
      </c>
      <c r="C898">
        <v>15</v>
      </c>
      <c r="D898" t="s">
        <v>437</v>
      </c>
      <c r="E898" s="217">
        <v>45170</v>
      </c>
      <c r="F898">
        <v>92754</v>
      </c>
      <c r="G898" t="s">
        <v>434</v>
      </c>
    </row>
    <row r="899" spans="1:7">
      <c r="A899" s="216">
        <v>45170</v>
      </c>
      <c r="B899" t="s">
        <v>44</v>
      </c>
      <c r="C899">
        <v>16</v>
      </c>
      <c r="D899" t="s">
        <v>449</v>
      </c>
      <c r="E899" s="217">
        <v>45170</v>
      </c>
      <c r="F899">
        <v>2459</v>
      </c>
      <c r="G899" t="s">
        <v>251</v>
      </c>
    </row>
    <row r="900" spans="1:7">
      <c r="A900" s="216">
        <v>45170</v>
      </c>
      <c r="B900" t="s">
        <v>44</v>
      </c>
      <c r="C900">
        <v>16</v>
      </c>
      <c r="D900" t="s">
        <v>449</v>
      </c>
      <c r="E900" s="217">
        <v>45170</v>
      </c>
      <c r="F900">
        <v>2166</v>
      </c>
      <c r="G900" t="s">
        <v>252</v>
      </c>
    </row>
    <row r="901" spans="1:7">
      <c r="A901" s="216">
        <v>45170</v>
      </c>
      <c r="B901" t="s">
        <v>44</v>
      </c>
      <c r="C901">
        <v>16</v>
      </c>
      <c r="D901" t="s">
        <v>449</v>
      </c>
      <c r="E901" s="217">
        <v>45170</v>
      </c>
      <c r="F901">
        <v>2287</v>
      </c>
      <c r="G901" t="s">
        <v>253</v>
      </c>
    </row>
    <row r="902" spans="1:7">
      <c r="A902" s="216">
        <v>45170</v>
      </c>
      <c r="B902" t="s">
        <v>44</v>
      </c>
      <c r="C902">
        <v>16</v>
      </c>
      <c r="D902" t="s">
        <v>449</v>
      </c>
      <c r="E902" s="217">
        <v>45170</v>
      </c>
      <c r="F902">
        <v>1963</v>
      </c>
      <c r="G902" t="s">
        <v>254</v>
      </c>
    </row>
    <row r="903" spans="1:7">
      <c r="A903" s="216">
        <v>45170</v>
      </c>
      <c r="B903" t="s">
        <v>44</v>
      </c>
      <c r="C903">
        <v>16</v>
      </c>
      <c r="D903" t="s">
        <v>449</v>
      </c>
      <c r="E903" s="217">
        <v>45170</v>
      </c>
      <c r="F903">
        <v>2288</v>
      </c>
      <c r="G903" t="s">
        <v>255</v>
      </c>
    </row>
    <row r="904" spans="1:7">
      <c r="A904" s="216">
        <v>45170</v>
      </c>
      <c r="B904" t="s">
        <v>44</v>
      </c>
      <c r="C904">
        <v>16</v>
      </c>
      <c r="D904" t="s">
        <v>449</v>
      </c>
      <c r="E904" s="217">
        <v>45170</v>
      </c>
      <c r="F904">
        <v>1943</v>
      </c>
      <c r="G904" t="s">
        <v>256</v>
      </c>
    </row>
    <row r="905" spans="1:7">
      <c r="A905" s="216">
        <v>45170</v>
      </c>
      <c r="B905" t="s">
        <v>44</v>
      </c>
      <c r="C905">
        <v>16</v>
      </c>
      <c r="D905" t="s">
        <v>449</v>
      </c>
      <c r="E905" s="217">
        <v>45170</v>
      </c>
      <c r="F905">
        <v>2253.7142857142899</v>
      </c>
      <c r="G905" t="s">
        <v>257</v>
      </c>
    </row>
    <row r="906" spans="1:7">
      <c r="A906" s="216">
        <v>45170</v>
      </c>
      <c r="B906" t="s">
        <v>44</v>
      </c>
      <c r="C906">
        <v>16</v>
      </c>
      <c r="D906" t="s">
        <v>449</v>
      </c>
      <c r="E906" s="217">
        <v>45170</v>
      </c>
      <c r="F906">
        <v>2402.7142857142899</v>
      </c>
      <c r="G906" t="s">
        <v>258</v>
      </c>
    </row>
    <row r="907" spans="1:7">
      <c r="A907" s="216">
        <v>45170</v>
      </c>
      <c r="B907" t="s">
        <v>44</v>
      </c>
      <c r="C907">
        <v>16</v>
      </c>
      <c r="D907" t="s">
        <v>449</v>
      </c>
      <c r="E907" s="217">
        <v>45170</v>
      </c>
      <c r="F907">
        <v>2402.7142857142899</v>
      </c>
      <c r="G907" t="s">
        <v>259</v>
      </c>
    </row>
    <row r="908" spans="1:7">
      <c r="A908" s="216">
        <v>45170</v>
      </c>
      <c r="B908" t="s">
        <v>44</v>
      </c>
      <c r="C908">
        <v>16</v>
      </c>
      <c r="D908" t="s">
        <v>449</v>
      </c>
      <c r="E908" s="217">
        <v>45170</v>
      </c>
      <c r="F908">
        <v>2402.7142857142899</v>
      </c>
      <c r="G908" t="s">
        <v>260</v>
      </c>
    </row>
    <row r="909" spans="1:7">
      <c r="A909" s="216">
        <v>45170</v>
      </c>
      <c r="B909" t="s">
        <v>44</v>
      </c>
      <c r="C909">
        <v>16</v>
      </c>
      <c r="D909" t="s">
        <v>449</v>
      </c>
      <c r="E909" s="217">
        <v>45170</v>
      </c>
      <c r="F909">
        <v>2402.7142857142899</v>
      </c>
      <c r="G909" t="s">
        <v>261</v>
      </c>
    </row>
    <row r="910" spans="1:7">
      <c r="A910" s="216">
        <v>45170</v>
      </c>
      <c r="B910" t="s">
        <v>44</v>
      </c>
      <c r="C910">
        <v>16</v>
      </c>
      <c r="D910" t="s">
        <v>449</v>
      </c>
      <c r="E910" s="217">
        <v>45170</v>
      </c>
      <c r="F910">
        <v>2313.7142857142799</v>
      </c>
      <c r="G910" t="s">
        <v>262</v>
      </c>
    </row>
    <row r="911" spans="1:7">
      <c r="A911" s="216">
        <v>45170</v>
      </c>
      <c r="B911" t="s">
        <v>44</v>
      </c>
      <c r="C911">
        <v>16</v>
      </c>
      <c r="D911" t="s">
        <v>449</v>
      </c>
      <c r="E911" s="217">
        <v>45170</v>
      </c>
      <c r="F911">
        <v>27284.285714285699</v>
      </c>
      <c r="G911" t="s">
        <v>434</v>
      </c>
    </row>
    <row r="912" spans="1:7">
      <c r="A912" s="216">
        <v>45170</v>
      </c>
      <c r="B912" t="s">
        <v>44</v>
      </c>
      <c r="C912">
        <v>17</v>
      </c>
      <c r="D912" t="s">
        <v>443</v>
      </c>
      <c r="E912" s="217">
        <v>45170</v>
      </c>
      <c r="F912">
        <v>30</v>
      </c>
      <c r="G912" t="s">
        <v>251</v>
      </c>
    </row>
    <row r="913" spans="1:7">
      <c r="A913" s="216">
        <v>45170</v>
      </c>
      <c r="B913" t="s">
        <v>44</v>
      </c>
      <c r="C913">
        <v>17</v>
      </c>
      <c r="D913" t="s">
        <v>443</v>
      </c>
      <c r="E913" s="217">
        <v>45170</v>
      </c>
      <c r="F913">
        <v>151</v>
      </c>
      <c r="G913" t="s">
        <v>252</v>
      </c>
    </row>
    <row r="914" spans="1:7">
      <c r="A914" s="216">
        <v>45170</v>
      </c>
      <c r="B914" t="s">
        <v>44</v>
      </c>
      <c r="C914">
        <v>17</v>
      </c>
      <c r="D914" t="s">
        <v>443</v>
      </c>
      <c r="E914" s="217">
        <v>45170</v>
      </c>
      <c r="F914">
        <v>194</v>
      </c>
      <c r="G914" t="s">
        <v>253</v>
      </c>
    </row>
    <row r="915" spans="1:7">
      <c r="A915" s="216">
        <v>45170</v>
      </c>
      <c r="B915" t="s">
        <v>44</v>
      </c>
      <c r="C915">
        <v>17</v>
      </c>
      <c r="D915" t="s">
        <v>443</v>
      </c>
      <c r="E915" s="217">
        <v>45170</v>
      </c>
      <c r="F915">
        <v>263</v>
      </c>
      <c r="G915" t="s">
        <v>254</v>
      </c>
    </row>
    <row r="916" spans="1:7">
      <c r="A916" s="216">
        <v>45170</v>
      </c>
      <c r="B916" t="s">
        <v>44</v>
      </c>
      <c r="C916">
        <v>17</v>
      </c>
      <c r="D916" t="s">
        <v>443</v>
      </c>
      <c r="E916" s="217">
        <v>45170</v>
      </c>
      <c r="F916">
        <v>192</v>
      </c>
      <c r="G916" t="s">
        <v>255</v>
      </c>
    </row>
    <row r="917" spans="1:7">
      <c r="A917" s="216">
        <v>45170</v>
      </c>
      <c r="B917" t="s">
        <v>44</v>
      </c>
      <c r="C917">
        <v>17</v>
      </c>
      <c r="D917" t="s">
        <v>443</v>
      </c>
      <c r="E917" s="217">
        <v>45170</v>
      </c>
      <c r="F917">
        <v>210</v>
      </c>
      <c r="G917" t="s">
        <v>256</v>
      </c>
    </row>
    <row r="918" spans="1:7">
      <c r="A918" s="216">
        <v>45170</v>
      </c>
      <c r="B918" t="s">
        <v>44</v>
      </c>
      <c r="C918">
        <v>17</v>
      </c>
      <c r="D918" t="s">
        <v>443</v>
      </c>
      <c r="E918" s="217">
        <v>45170</v>
      </c>
      <c r="F918">
        <v>0</v>
      </c>
      <c r="G918" t="s">
        <v>257</v>
      </c>
    </row>
    <row r="919" spans="1:7">
      <c r="A919" s="216">
        <v>45170</v>
      </c>
      <c r="B919" t="s">
        <v>44</v>
      </c>
      <c r="C919">
        <v>17</v>
      </c>
      <c r="D919" t="s">
        <v>443</v>
      </c>
      <c r="E919" s="217">
        <v>45170</v>
      </c>
      <c r="F919">
        <v>0</v>
      </c>
      <c r="G919" t="s">
        <v>258</v>
      </c>
    </row>
    <row r="920" spans="1:7">
      <c r="A920" s="216">
        <v>45170</v>
      </c>
      <c r="B920" t="s">
        <v>44</v>
      </c>
      <c r="C920">
        <v>17</v>
      </c>
      <c r="D920" t="s">
        <v>443</v>
      </c>
      <c r="E920" s="217">
        <v>45170</v>
      </c>
      <c r="F920">
        <v>0</v>
      </c>
      <c r="G920" t="s">
        <v>259</v>
      </c>
    </row>
    <row r="921" spans="1:7">
      <c r="A921" s="216">
        <v>45170</v>
      </c>
      <c r="B921" t="s">
        <v>44</v>
      </c>
      <c r="C921">
        <v>17</v>
      </c>
      <c r="D921" t="s">
        <v>443</v>
      </c>
      <c r="E921" s="217">
        <v>45170</v>
      </c>
      <c r="F921">
        <v>0</v>
      </c>
      <c r="G921" t="s">
        <v>260</v>
      </c>
    </row>
    <row r="922" spans="1:7">
      <c r="A922" s="216">
        <v>45170</v>
      </c>
      <c r="B922" t="s">
        <v>44</v>
      </c>
      <c r="C922">
        <v>17</v>
      </c>
      <c r="D922" t="s">
        <v>443</v>
      </c>
      <c r="E922" s="217">
        <v>45170</v>
      </c>
      <c r="F922">
        <v>0</v>
      </c>
      <c r="G922" t="s">
        <v>261</v>
      </c>
    </row>
    <row r="923" spans="1:7">
      <c r="A923" s="216">
        <v>45170</v>
      </c>
      <c r="B923" t="s">
        <v>44</v>
      </c>
      <c r="C923">
        <v>17</v>
      </c>
      <c r="D923" t="s">
        <v>443</v>
      </c>
      <c r="E923" s="217">
        <v>45170</v>
      </c>
      <c r="F923">
        <v>0</v>
      </c>
      <c r="G923" t="s">
        <v>262</v>
      </c>
    </row>
    <row r="924" spans="1:7">
      <c r="A924" s="216">
        <v>45170</v>
      </c>
      <c r="B924" t="s">
        <v>44</v>
      </c>
      <c r="C924">
        <v>17</v>
      </c>
      <c r="D924" t="s">
        <v>443</v>
      </c>
      <c r="E924" s="217">
        <v>45170</v>
      </c>
      <c r="F924">
        <v>1040</v>
      </c>
      <c r="G924" t="s">
        <v>434</v>
      </c>
    </row>
    <row r="925" spans="1:7">
      <c r="A925" s="216">
        <v>45170</v>
      </c>
      <c r="B925" t="s">
        <v>44</v>
      </c>
      <c r="C925">
        <v>18</v>
      </c>
      <c r="D925" t="s">
        <v>444</v>
      </c>
      <c r="E925" s="217">
        <v>45170</v>
      </c>
      <c r="F925">
        <v>0</v>
      </c>
      <c r="G925" t="s">
        <v>251</v>
      </c>
    </row>
    <row r="926" spans="1:7">
      <c r="A926" s="216">
        <v>45170</v>
      </c>
      <c r="B926" t="s">
        <v>44</v>
      </c>
      <c r="C926">
        <v>18</v>
      </c>
      <c r="D926" t="s">
        <v>444</v>
      </c>
      <c r="E926" s="217">
        <v>45170</v>
      </c>
      <c r="F926">
        <v>0</v>
      </c>
      <c r="G926" t="s">
        <v>252</v>
      </c>
    </row>
    <row r="927" spans="1:7">
      <c r="A927" s="216">
        <v>45170</v>
      </c>
      <c r="B927" t="s">
        <v>44</v>
      </c>
      <c r="C927">
        <v>18</v>
      </c>
      <c r="D927" t="s">
        <v>444</v>
      </c>
      <c r="E927" s="217">
        <v>45170</v>
      </c>
      <c r="F927">
        <v>0</v>
      </c>
      <c r="G927" t="s">
        <v>253</v>
      </c>
    </row>
    <row r="928" spans="1:7">
      <c r="A928" s="216">
        <v>45170</v>
      </c>
      <c r="B928" t="s">
        <v>44</v>
      </c>
      <c r="C928">
        <v>18</v>
      </c>
      <c r="D928" t="s">
        <v>444</v>
      </c>
      <c r="E928" s="217">
        <v>45170</v>
      </c>
      <c r="F928">
        <v>0</v>
      </c>
      <c r="G928" t="s">
        <v>254</v>
      </c>
    </row>
    <row r="929" spans="1:7">
      <c r="A929" s="216">
        <v>45170</v>
      </c>
      <c r="B929" t="s">
        <v>44</v>
      </c>
      <c r="C929">
        <v>18</v>
      </c>
      <c r="D929" t="s">
        <v>444</v>
      </c>
      <c r="E929" s="217">
        <v>45170</v>
      </c>
      <c r="F929">
        <v>0</v>
      </c>
      <c r="G929" t="s">
        <v>255</v>
      </c>
    </row>
    <row r="930" spans="1:7">
      <c r="A930" s="216">
        <v>45170</v>
      </c>
      <c r="B930" t="s">
        <v>44</v>
      </c>
      <c r="C930">
        <v>18</v>
      </c>
      <c r="D930" t="s">
        <v>444</v>
      </c>
      <c r="E930" s="217">
        <v>45170</v>
      </c>
      <c r="F930">
        <v>0</v>
      </c>
      <c r="G930" t="s">
        <v>256</v>
      </c>
    </row>
    <row r="931" spans="1:7">
      <c r="A931" s="216">
        <v>45170</v>
      </c>
      <c r="B931" t="s">
        <v>44</v>
      </c>
      <c r="C931">
        <v>18</v>
      </c>
      <c r="D931" t="s">
        <v>444</v>
      </c>
      <c r="E931" s="217">
        <v>45170</v>
      </c>
      <c r="F931">
        <v>0</v>
      </c>
      <c r="G931" t="s">
        <v>257</v>
      </c>
    </row>
    <row r="932" spans="1:7">
      <c r="A932" s="216">
        <v>45170</v>
      </c>
      <c r="B932" t="s">
        <v>44</v>
      </c>
      <c r="C932">
        <v>18</v>
      </c>
      <c r="D932" t="s">
        <v>444</v>
      </c>
      <c r="E932" s="217">
        <v>45170</v>
      </c>
      <c r="F932">
        <v>0</v>
      </c>
      <c r="G932" t="s">
        <v>258</v>
      </c>
    </row>
    <row r="933" spans="1:7">
      <c r="A933" s="216">
        <v>45170</v>
      </c>
      <c r="B933" t="s">
        <v>44</v>
      </c>
      <c r="C933">
        <v>18</v>
      </c>
      <c r="D933" t="s">
        <v>444</v>
      </c>
      <c r="E933" s="217">
        <v>45170</v>
      </c>
      <c r="F933">
        <v>0</v>
      </c>
      <c r="G933" t="s">
        <v>259</v>
      </c>
    </row>
    <row r="934" spans="1:7">
      <c r="A934" s="216">
        <v>45170</v>
      </c>
      <c r="B934" t="s">
        <v>44</v>
      </c>
      <c r="C934">
        <v>18</v>
      </c>
      <c r="D934" t="s">
        <v>444</v>
      </c>
      <c r="E934" s="217">
        <v>45170</v>
      </c>
      <c r="F934">
        <v>0</v>
      </c>
      <c r="G934" t="s">
        <v>260</v>
      </c>
    </row>
    <row r="935" spans="1:7">
      <c r="A935" s="216">
        <v>45170</v>
      </c>
      <c r="B935" t="s">
        <v>44</v>
      </c>
      <c r="C935">
        <v>18</v>
      </c>
      <c r="D935" t="s">
        <v>444</v>
      </c>
      <c r="E935" s="217">
        <v>45170</v>
      </c>
      <c r="F935">
        <v>0</v>
      </c>
      <c r="G935" t="s">
        <v>261</v>
      </c>
    </row>
    <row r="936" spans="1:7">
      <c r="A936" s="216">
        <v>45170</v>
      </c>
      <c r="B936" t="s">
        <v>44</v>
      </c>
      <c r="C936">
        <v>18</v>
      </c>
      <c r="D936" t="s">
        <v>444</v>
      </c>
      <c r="E936" s="217">
        <v>45170</v>
      </c>
      <c r="F936">
        <v>0</v>
      </c>
      <c r="G936" t="s">
        <v>262</v>
      </c>
    </row>
    <row r="937" spans="1:7">
      <c r="A937" s="216">
        <v>45170</v>
      </c>
      <c r="B937" t="s">
        <v>44</v>
      </c>
      <c r="C937">
        <v>18</v>
      </c>
      <c r="D937" t="s">
        <v>444</v>
      </c>
      <c r="E937" s="217">
        <v>45170</v>
      </c>
      <c r="F937">
        <v>0</v>
      </c>
      <c r="G937" t="s">
        <v>434</v>
      </c>
    </row>
    <row r="938" spans="1:7">
      <c r="A938" s="216">
        <v>45170</v>
      </c>
      <c r="B938" t="s">
        <v>44</v>
      </c>
      <c r="C938">
        <v>19</v>
      </c>
      <c r="D938" t="s">
        <v>440</v>
      </c>
      <c r="E938" s="217">
        <v>45170</v>
      </c>
      <c r="F938">
        <v>0</v>
      </c>
      <c r="G938" t="s">
        <v>251</v>
      </c>
    </row>
    <row r="939" spans="1:7">
      <c r="A939" s="216">
        <v>45170</v>
      </c>
      <c r="B939" t="s">
        <v>44</v>
      </c>
      <c r="C939">
        <v>19</v>
      </c>
      <c r="D939" t="s">
        <v>440</v>
      </c>
      <c r="E939" s="217">
        <v>45170</v>
      </c>
      <c r="F939">
        <v>0</v>
      </c>
      <c r="G939" t="s">
        <v>252</v>
      </c>
    </row>
    <row r="940" spans="1:7">
      <c r="A940" s="216">
        <v>45170</v>
      </c>
      <c r="B940" t="s">
        <v>44</v>
      </c>
      <c r="C940">
        <v>19</v>
      </c>
      <c r="D940" t="s">
        <v>440</v>
      </c>
      <c r="E940" s="217">
        <v>45170</v>
      </c>
      <c r="F940">
        <v>0</v>
      </c>
      <c r="G940" t="s">
        <v>253</v>
      </c>
    </row>
    <row r="941" spans="1:7">
      <c r="A941" s="216">
        <v>45170</v>
      </c>
      <c r="B941" t="s">
        <v>44</v>
      </c>
      <c r="C941">
        <v>19</v>
      </c>
      <c r="D941" t="s">
        <v>440</v>
      </c>
      <c r="E941" s="217">
        <v>45170</v>
      </c>
      <c r="F941">
        <v>0</v>
      </c>
      <c r="G941" t="s">
        <v>254</v>
      </c>
    </row>
    <row r="942" spans="1:7">
      <c r="A942" s="216">
        <v>45170</v>
      </c>
      <c r="B942" t="s">
        <v>44</v>
      </c>
      <c r="C942">
        <v>19</v>
      </c>
      <c r="D942" t="s">
        <v>440</v>
      </c>
      <c r="E942" s="217">
        <v>45170</v>
      </c>
      <c r="F942">
        <v>0</v>
      </c>
      <c r="G942" t="s">
        <v>255</v>
      </c>
    </row>
    <row r="943" spans="1:7">
      <c r="A943" s="216">
        <v>45170</v>
      </c>
      <c r="B943" t="s">
        <v>44</v>
      </c>
      <c r="C943">
        <v>19</v>
      </c>
      <c r="D943" t="s">
        <v>440</v>
      </c>
      <c r="E943" s="217">
        <v>45170</v>
      </c>
      <c r="F943">
        <v>0</v>
      </c>
      <c r="G943" t="s">
        <v>256</v>
      </c>
    </row>
    <row r="944" spans="1:7">
      <c r="A944" s="216">
        <v>45170</v>
      </c>
      <c r="B944" t="s">
        <v>44</v>
      </c>
      <c r="C944">
        <v>19</v>
      </c>
      <c r="D944" t="s">
        <v>440</v>
      </c>
      <c r="E944" s="217">
        <v>45170</v>
      </c>
      <c r="F944">
        <v>0</v>
      </c>
      <c r="G944" t="s">
        <v>257</v>
      </c>
    </row>
    <row r="945" spans="1:7">
      <c r="A945" s="216">
        <v>45170</v>
      </c>
      <c r="B945" t="s">
        <v>44</v>
      </c>
      <c r="C945">
        <v>19</v>
      </c>
      <c r="D945" t="s">
        <v>440</v>
      </c>
      <c r="E945" s="217">
        <v>45170</v>
      </c>
      <c r="F945">
        <v>0</v>
      </c>
      <c r="G945" t="s">
        <v>258</v>
      </c>
    </row>
    <row r="946" spans="1:7">
      <c r="A946" s="216">
        <v>45170</v>
      </c>
      <c r="B946" t="s">
        <v>44</v>
      </c>
      <c r="C946">
        <v>19</v>
      </c>
      <c r="D946" t="s">
        <v>440</v>
      </c>
      <c r="E946" s="217">
        <v>45170</v>
      </c>
      <c r="F946">
        <v>0</v>
      </c>
      <c r="G946" t="s">
        <v>259</v>
      </c>
    </row>
    <row r="947" spans="1:7">
      <c r="A947" s="216">
        <v>45170</v>
      </c>
      <c r="B947" t="s">
        <v>44</v>
      </c>
      <c r="C947">
        <v>19</v>
      </c>
      <c r="D947" t="s">
        <v>440</v>
      </c>
      <c r="E947" s="217">
        <v>45170</v>
      </c>
      <c r="F947">
        <v>0</v>
      </c>
      <c r="G947" t="s">
        <v>260</v>
      </c>
    </row>
    <row r="948" spans="1:7">
      <c r="A948" s="216">
        <v>45170</v>
      </c>
      <c r="B948" t="s">
        <v>44</v>
      </c>
      <c r="C948">
        <v>19</v>
      </c>
      <c r="D948" t="s">
        <v>440</v>
      </c>
      <c r="E948" s="217">
        <v>45170</v>
      </c>
      <c r="F948">
        <v>0</v>
      </c>
      <c r="G948" t="s">
        <v>261</v>
      </c>
    </row>
    <row r="949" spans="1:7">
      <c r="A949" s="216">
        <v>45170</v>
      </c>
      <c r="B949" t="s">
        <v>44</v>
      </c>
      <c r="C949">
        <v>19</v>
      </c>
      <c r="D949" t="s">
        <v>440</v>
      </c>
      <c r="E949" s="217">
        <v>45170</v>
      </c>
      <c r="F949">
        <v>0</v>
      </c>
      <c r="G949" t="s">
        <v>262</v>
      </c>
    </row>
    <row r="950" spans="1:7">
      <c r="A950" s="216">
        <v>45170</v>
      </c>
      <c r="B950" t="s">
        <v>44</v>
      </c>
      <c r="C950">
        <v>19</v>
      </c>
      <c r="D950" t="s">
        <v>440</v>
      </c>
      <c r="E950" s="217">
        <v>45170</v>
      </c>
      <c r="F950">
        <v>0</v>
      </c>
      <c r="G950" t="s">
        <v>434</v>
      </c>
    </row>
    <row r="951" spans="1:7">
      <c r="A951" s="216">
        <v>45170</v>
      </c>
      <c r="B951" t="s">
        <v>44</v>
      </c>
      <c r="C951">
        <v>20</v>
      </c>
      <c r="D951" t="s">
        <v>456</v>
      </c>
      <c r="E951" s="217">
        <v>45170</v>
      </c>
      <c r="F951">
        <v>0</v>
      </c>
      <c r="G951" t="s">
        <v>251</v>
      </c>
    </row>
    <row r="952" spans="1:7">
      <c r="A952" s="216">
        <v>45170</v>
      </c>
      <c r="B952" t="s">
        <v>44</v>
      </c>
      <c r="C952">
        <v>20</v>
      </c>
      <c r="D952" t="s">
        <v>456</v>
      </c>
      <c r="E952" s="217">
        <v>45170</v>
      </c>
      <c r="F952">
        <v>0</v>
      </c>
      <c r="G952" t="s">
        <v>252</v>
      </c>
    </row>
    <row r="953" spans="1:7">
      <c r="A953" s="216">
        <v>45170</v>
      </c>
      <c r="B953" t="s">
        <v>44</v>
      </c>
      <c r="C953">
        <v>20</v>
      </c>
      <c r="D953" t="s">
        <v>456</v>
      </c>
      <c r="E953" s="217">
        <v>45170</v>
      </c>
      <c r="F953">
        <v>0</v>
      </c>
      <c r="G953" t="s">
        <v>253</v>
      </c>
    </row>
    <row r="954" spans="1:7">
      <c r="A954" s="216">
        <v>45170</v>
      </c>
      <c r="B954" t="s">
        <v>44</v>
      </c>
      <c r="C954">
        <v>20</v>
      </c>
      <c r="D954" t="s">
        <v>456</v>
      </c>
      <c r="E954" s="217">
        <v>45170</v>
      </c>
      <c r="F954">
        <v>0</v>
      </c>
      <c r="G954" t="s">
        <v>254</v>
      </c>
    </row>
    <row r="955" spans="1:7">
      <c r="A955" s="216">
        <v>45170</v>
      </c>
      <c r="B955" t="s">
        <v>44</v>
      </c>
      <c r="C955">
        <v>20</v>
      </c>
      <c r="D955" t="s">
        <v>456</v>
      </c>
      <c r="E955" s="217">
        <v>45170</v>
      </c>
      <c r="F955">
        <v>0</v>
      </c>
      <c r="G955" t="s">
        <v>255</v>
      </c>
    </row>
    <row r="956" spans="1:7">
      <c r="A956" s="216">
        <v>45170</v>
      </c>
      <c r="B956" t="s">
        <v>44</v>
      </c>
      <c r="C956">
        <v>20</v>
      </c>
      <c r="D956" t="s">
        <v>456</v>
      </c>
      <c r="E956" s="217">
        <v>45170</v>
      </c>
      <c r="F956">
        <v>0</v>
      </c>
      <c r="G956" t="s">
        <v>256</v>
      </c>
    </row>
    <row r="957" spans="1:7">
      <c r="A957" s="216">
        <v>45170</v>
      </c>
      <c r="B957" t="s">
        <v>44</v>
      </c>
      <c r="C957">
        <v>20</v>
      </c>
      <c r="D957" t="s">
        <v>456</v>
      </c>
      <c r="E957" s="217">
        <v>45170</v>
      </c>
      <c r="F957">
        <v>0</v>
      </c>
      <c r="G957" t="s">
        <v>257</v>
      </c>
    </row>
    <row r="958" spans="1:7">
      <c r="A958" s="216">
        <v>45170</v>
      </c>
      <c r="B958" t="s">
        <v>44</v>
      </c>
      <c r="C958">
        <v>20</v>
      </c>
      <c r="D958" t="s">
        <v>456</v>
      </c>
      <c r="E958" s="217">
        <v>45170</v>
      </c>
      <c r="F958">
        <v>0</v>
      </c>
      <c r="G958" t="s">
        <v>258</v>
      </c>
    </row>
    <row r="959" spans="1:7">
      <c r="A959" s="216">
        <v>45170</v>
      </c>
      <c r="B959" t="s">
        <v>44</v>
      </c>
      <c r="C959">
        <v>20</v>
      </c>
      <c r="D959" t="s">
        <v>456</v>
      </c>
      <c r="E959" s="217">
        <v>45170</v>
      </c>
      <c r="F959">
        <v>0</v>
      </c>
      <c r="G959" t="s">
        <v>259</v>
      </c>
    </row>
    <row r="960" spans="1:7">
      <c r="A960" s="216">
        <v>45170</v>
      </c>
      <c r="B960" t="s">
        <v>44</v>
      </c>
      <c r="C960">
        <v>20</v>
      </c>
      <c r="D960" t="s">
        <v>456</v>
      </c>
      <c r="E960" s="217">
        <v>45170</v>
      </c>
      <c r="F960">
        <v>0</v>
      </c>
      <c r="G960" t="s">
        <v>260</v>
      </c>
    </row>
    <row r="961" spans="1:7">
      <c r="A961" s="216">
        <v>45170</v>
      </c>
      <c r="B961" t="s">
        <v>44</v>
      </c>
      <c r="C961">
        <v>20</v>
      </c>
      <c r="D961" t="s">
        <v>456</v>
      </c>
      <c r="E961" s="217">
        <v>45170</v>
      </c>
      <c r="F961">
        <v>0</v>
      </c>
      <c r="G961" t="s">
        <v>261</v>
      </c>
    </row>
    <row r="962" spans="1:7">
      <c r="A962" s="216">
        <v>45170</v>
      </c>
      <c r="B962" t="s">
        <v>44</v>
      </c>
      <c r="C962">
        <v>20</v>
      </c>
      <c r="D962" t="s">
        <v>456</v>
      </c>
      <c r="E962" s="217">
        <v>45170</v>
      </c>
      <c r="F962">
        <v>0</v>
      </c>
      <c r="G962" t="s">
        <v>262</v>
      </c>
    </row>
    <row r="963" spans="1:7">
      <c r="A963" s="216">
        <v>45170</v>
      </c>
      <c r="B963" t="s">
        <v>44</v>
      </c>
      <c r="C963">
        <v>20</v>
      </c>
      <c r="D963" t="s">
        <v>456</v>
      </c>
      <c r="E963" s="217">
        <v>45170</v>
      </c>
      <c r="F963">
        <v>0</v>
      </c>
      <c r="G963" t="s">
        <v>434</v>
      </c>
    </row>
    <row r="964" spans="1:7">
      <c r="A964" s="216">
        <v>45170</v>
      </c>
      <c r="B964" t="s">
        <v>44</v>
      </c>
      <c r="C964">
        <v>21</v>
      </c>
      <c r="D964" t="s">
        <v>455</v>
      </c>
      <c r="E964" s="217">
        <v>45170</v>
      </c>
      <c r="F964">
        <v>0</v>
      </c>
      <c r="G964" t="s">
        <v>251</v>
      </c>
    </row>
    <row r="965" spans="1:7">
      <c r="A965" s="216">
        <v>45170</v>
      </c>
      <c r="B965" t="s">
        <v>44</v>
      </c>
      <c r="C965">
        <v>21</v>
      </c>
      <c r="D965" t="s">
        <v>455</v>
      </c>
      <c r="E965" s="217">
        <v>45170</v>
      </c>
      <c r="F965">
        <v>0</v>
      </c>
      <c r="G965" t="s">
        <v>252</v>
      </c>
    </row>
    <row r="966" spans="1:7">
      <c r="A966" s="216">
        <v>45170</v>
      </c>
      <c r="B966" t="s">
        <v>44</v>
      </c>
      <c r="C966">
        <v>21</v>
      </c>
      <c r="D966" t="s">
        <v>455</v>
      </c>
      <c r="E966" s="217">
        <v>45170</v>
      </c>
      <c r="F966">
        <v>0</v>
      </c>
      <c r="G966" t="s">
        <v>253</v>
      </c>
    </row>
    <row r="967" spans="1:7">
      <c r="A967" s="216">
        <v>45170</v>
      </c>
      <c r="B967" t="s">
        <v>44</v>
      </c>
      <c r="C967">
        <v>21</v>
      </c>
      <c r="D967" t="s">
        <v>455</v>
      </c>
      <c r="E967" s="217">
        <v>45170</v>
      </c>
      <c r="F967">
        <v>0</v>
      </c>
      <c r="G967" t="s">
        <v>254</v>
      </c>
    </row>
    <row r="968" spans="1:7">
      <c r="A968" s="216">
        <v>45170</v>
      </c>
      <c r="B968" t="s">
        <v>44</v>
      </c>
      <c r="C968">
        <v>21</v>
      </c>
      <c r="D968" t="s">
        <v>455</v>
      </c>
      <c r="E968" s="217">
        <v>45170</v>
      </c>
      <c r="F968">
        <v>0</v>
      </c>
      <c r="G968" t="s">
        <v>255</v>
      </c>
    </row>
    <row r="969" spans="1:7">
      <c r="A969" s="216">
        <v>45170</v>
      </c>
      <c r="B969" t="s">
        <v>44</v>
      </c>
      <c r="C969">
        <v>21</v>
      </c>
      <c r="D969" t="s">
        <v>455</v>
      </c>
      <c r="E969" s="217">
        <v>45170</v>
      </c>
      <c r="F969">
        <v>0</v>
      </c>
      <c r="G969" t="s">
        <v>256</v>
      </c>
    </row>
    <row r="970" spans="1:7">
      <c r="A970" s="216">
        <v>45170</v>
      </c>
      <c r="B970" t="s">
        <v>44</v>
      </c>
      <c r="C970">
        <v>21</v>
      </c>
      <c r="D970" t="s">
        <v>455</v>
      </c>
      <c r="E970" s="217">
        <v>45170</v>
      </c>
      <c r="F970">
        <v>0</v>
      </c>
      <c r="G970" t="s">
        <v>257</v>
      </c>
    </row>
    <row r="971" spans="1:7">
      <c r="A971" s="216">
        <v>45170</v>
      </c>
      <c r="B971" t="s">
        <v>44</v>
      </c>
      <c r="C971">
        <v>21</v>
      </c>
      <c r="D971" t="s">
        <v>455</v>
      </c>
      <c r="E971" s="217">
        <v>45170</v>
      </c>
      <c r="F971">
        <v>0</v>
      </c>
      <c r="G971" t="s">
        <v>258</v>
      </c>
    </row>
    <row r="972" spans="1:7">
      <c r="A972" s="216">
        <v>45170</v>
      </c>
      <c r="B972" t="s">
        <v>44</v>
      </c>
      <c r="C972">
        <v>21</v>
      </c>
      <c r="D972" t="s">
        <v>455</v>
      </c>
      <c r="E972" s="217">
        <v>45170</v>
      </c>
      <c r="F972">
        <v>0</v>
      </c>
      <c r="G972" t="s">
        <v>259</v>
      </c>
    </row>
    <row r="973" spans="1:7">
      <c r="A973" s="216">
        <v>45170</v>
      </c>
      <c r="B973" t="s">
        <v>44</v>
      </c>
      <c r="C973">
        <v>21</v>
      </c>
      <c r="D973" t="s">
        <v>455</v>
      </c>
      <c r="E973" s="217">
        <v>45170</v>
      </c>
      <c r="F973">
        <v>0</v>
      </c>
      <c r="G973" t="s">
        <v>260</v>
      </c>
    </row>
    <row r="974" spans="1:7">
      <c r="A974" s="216">
        <v>45170</v>
      </c>
      <c r="B974" t="s">
        <v>44</v>
      </c>
      <c r="C974">
        <v>21</v>
      </c>
      <c r="D974" t="s">
        <v>455</v>
      </c>
      <c r="E974" s="217">
        <v>45170</v>
      </c>
      <c r="F974">
        <v>0</v>
      </c>
      <c r="G974" t="s">
        <v>261</v>
      </c>
    </row>
    <row r="975" spans="1:7">
      <c r="A975" s="216">
        <v>45170</v>
      </c>
      <c r="B975" t="s">
        <v>44</v>
      </c>
      <c r="C975">
        <v>21</v>
      </c>
      <c r="D975" t="s">
        <v>455</v>
      </c>
      <c r="E975" s="217">
        <v>45170</v>
      </c>
      <c r="F975">
        <v>0</v>
      </c>
      <c r="G975" t="s">
        <v>262</v>
      </c>
    </row>
    <row r="976" spans="1:7">
      <c r="A976" s="216">
        <v>45170</v>
      </c>
      <c r="B976" t="s">
        <v>44</v>
      </c>
      <c r="C976">
        <v>21</v>
      </c>
      <c r="D976" t="s">
        <v>455</v>
      </c>
      <c r="E976" s="217">
        <v>45170</v>
      </c>
      <c r="F976">
        <v>0</v>
      </c>
      <c r="G976" t="s">
        <v>434</v>
      </c>
    </row>
    <row r="977" spans="1:7">
      <c r="A977" s="216">
        <v>45170</v>
      </c>
      <c r="B977" t="s">
        <v>44</v>
      </c>
      <c r="C977">
        <v>22</v>
      </c>
      <c r="D977" t="s">
        <v>439</v>
      </c>
      <c r="E977" s="217">
        <v>45170</v>
      </c>
      <c r="F977">
        <v>3556</v>
      </c>
      <c r="G977" t="s">
        <v>251</v>
      </c>
    </row>
    <row r="978" spans="1:7">
      <c r="A978" s="216">
        <v>45170</v>
      </c>
      <c r="B978" t="s">
        <v>44</v>
      </c>
      <c r="C978">
        <v>22</v>
      </c>
      <c r="D978" t="s">
        <v>439</v>
      </c>
      <c r="E978" s="217">
        <v>45170</v>
      </c>
      <c r="F978">
        <v>3553</v>
      </c>
      <c r="G978" t="s">
        <v>252</v>
      </c>
    </row>
    <row r="979" spans="1:7">
      <c r="A979" s="216">
        <v>45170</v>
      </c>
      <c r="B979" t="s">
        <v>44</v>
      </c>
      <c r="C979">
        <v>22</v>
      </c>
      <c r="D979" t="s">
        <v>439</v>
      </c>
      <c r="E979" s="217">
        <v>45170</v>
      </c>
      <c r="F979">
        <v>3502.482</v>
      </c>
      <c r="G979" t="s">
        <v>253</v>
      </c>
    </row>
    <row r="980" spans="1:7">
      <c r="A980" s="216">
        <v>45170</v>
      </c>
      <c r="B980" t="s">
        <v>44</v>
      </c>
      <c r="C980">
        <v>22</v>
      </c>
      <c r="D980" t="s">
        <v>439</v>
      </c>
      <c r="E980" s="217">
        <v>45170</v>
      </c>
      <c r="F980">
        <v>3593</v>
      </c>
      <c r="G980" t="s">
        <v>254</v>
      </c>
    </row>
    <row r="981" spans="1:7">
      <c r="A981" s="216">
        <v>45170</v>
      </c>
      <c r="B981" t="s">
        <v>44</v>
      </c>
      <c r="C981">
        <v>22</v>
      </c>
      <c r="D981" t="s">
        <v>439</v>
      </c>
      <c r="E981" s="217">
        <v>45170</v>
      </c>
      <c r="F981">
        <v>3839</v>
      </c>
      <c r="G981" t="s">
        <v>255</v>
      </c>
    </row>
    <row r="982" spans="1:7">
      <c r="A982" s="216">
        <v>45170</v>
      </c>
      <c r="B982" t="s">
        <v>44</v>
      </c>
      <c r="C982">
        <v>22</v>
      </c>
      <c r="D982" t="s">
        <v>439</v>
      </c>
      <c r="E982" s="217">
        <v>45170</v>
      </c>
      <c r="F982">
        <v>4078</v>
      </c>
      <c r="G982" t="s">
        <v>256</v>
      </c>
    </row>
    <row r="983" spans="1:7">
      <c r="A983" s="216">
        <v>45170</v>
      </c>
      <c r="B983" t="s">
        <v>44</v>
      </c>
      <c r="C983">
        <v>22</v>
      </c>
      <c r="D983" t="s">
        <v>439</v>
      </c>
      <c r="E983" s="217">
        <v>45170</v>
      </c>
      <c r="F983">
        <v>3839</v>
      </c>
      <c r="G983" t="s">
        <v>257</v>
      </c>
    </row>
    <row r="984" spans="1:7">
      <c r="A984" s="216">
        <v>45170</v>
      </c>
      <c r="B984" t="s">
        <v>44</v>
      </c>
      <c r="C984">
        <v>22</v>
      </c>
      <c r="D984" t="s">
        <v>439</v>
      </c>
      <c r="E984" s="217">
        <v>45170</v>
      </c>
      <c r="F984">
        <v>3839</v>
      </c>
      <c r="G984" t="s">
        <v>258</v>
      </c>
    </row>
    <row r="985" spans="1:7">
      <c r="A985" s="216">
        <v>45170</v>
      </c>
      <c r="B985" t="s">
        <v>44</v>
      </c>
      <c r="C985">
        <v>22</v>
      </c>
      <c r="D985" t="s">
        <v>439</v>
      </c>
      <c r="E985" s="217">
        <v>45170</v>
      </c>
      <c r="F985">
        <v>3839</v>
      </c>
      <c r="G985" t="s">
        <v>259</v>
      </c>
    </row>
    <row r="986" spans="1:7">
      <c r="A986" s="216">
        <v>45170</v>
      </c>
      <c r="B986" t="s">
        <v>44</v>
      </c>
      <c r="C986">
        <v>22</v>
      </c>
      <c r="D986" t="s">
        <v>439</v>
      </c>
      <c r="E986" s="217">
        <v>45170</v>
      </c>
      <c r="F986">
        <v>3839</v>
      </c>
      <c r="G986" t="s">
        <v>260</v>
      </c>
    </row>
    <row r="987" spans="1:7">
      <c r="A987" s="216">
        <v>45170</v>
      </c>
      <c r="B987" t="s">
        <v>44</v>
      </c>
      <c r="C987">
        <v>22</v>
      </c>
      <c r="D987" t="s">
        <v>439</v>
      </c>
      <c r="E987" s="217">
        <v>45170</v>
      </c>
      <c r="F987">
        <v>3839</v>
      </c>
      <c r="G987" t="s">
        <v>261</v>
      </c>
    </row>
    <row r="988" spans="1:7">
      <c r="A988" s="216">
        <v>45170</v>
      </c>
      <c r="B988" t="s">
        <v>44</v>
      </c>
      <c r="C988">
        <v>22</v>
      </c>
      <c r="D988" t="s">
        <v>439</v>
      </c>
      <c r="E988" s="217">
        <v>45170</v>
      </c>
      <c r="F988">
        <v>3603</v>
      </c>
      <c r="G988" t="s">
        <v>262</v>
      </c>
    </row>
    <row r="989" spans="1:7">
      <c r="A989" s="216">
        <v>45170</v>
      </c>
      <c r="B989" t="s">
        <v>44</v>
      </c>
      <c r="C989">
        <v>22</v>
      </c>
      <c r="D989" t="s">
        <v>439</v>
      </c>
      <c r="E989" s="217">
        <v>45170</v>
      </c>
      <c r="F989">
        <v>44919.482000000004</v>
      </c>
      <c r="G989" t="s">
        <v>434</v>
      </c>
    </row>
    <row r="990" spans="1:7">
      <c r="A990" s="216">
        <v>45170</v>
      </c>
      <c r="B990" t="s">
        <v>44</v>
      </c>
      <c r="C990">
        <v>23</v>
      </c>
      <c r="D990" t="s">
        <v>435</v>
      </c>
      <c r="E990" s="217">
        <v>45170</v>
      </c>
      <c r="F990">
        <v>75</v>
      </c>
      <c r="G990" t="s">
        <v>251</v>
      </c>
    </row>
    <row r="991" spans="1:7">
      <c r="A991" s="216">
        <v>45170</v>
      </c>
      <c r="B991" t="s">
        <v>44</v>
      </c>
      <c r="C991">
        <v>23</v>
      </c>
      <c r="D991" t="s">
        <v>435</v>
      </c>
      <c r="E991" s="217">
        <v>45170</v>
      </c>
      <c r="F991">
        <v>78.5</v>
      </c>
      <c r="G991" t="s">
        <v>252</v>
      </c>
    </row>
    <row r="992" spans="1:7">
      <c r="A992" s="216">
        <v>45170</v>
      </c>
      <c r="B992" t="s">
        <v>44</v>
      </c>
      <c r="C992">
        <v>23</v>
      </c>
      <c r="D992" t="s">
        <v>435</v>
      </c>
      <c r="E992" s="217">
        <v>45170</v>
      </c>
      <c r="F992">
        <v>72.347999999999999</v>
      </c>
      <c r="G992" t="s">
        <v>253</v>
      </c>
    </row>
    <row r="993" spans="1:7">
      <c r="A993" s="216">
        <v>45170</v>
      </c>
      <c r="B993" t="s">
        <v>44</v>
      </c>
      <c r="C993">
        <v>23</v>
      </c>
      <c r="D993" t="s">
        <v>435</v>
      </c>
      <c r="E993" s="217">
        <v>45170</v>
      </c>
      <c r="F993">
        <v>75</v>
      </c>
      <c r="G993" t="s">
        <v>254</v>
      </c>
    </row>
    <row r="994" spans="1:7">
      <c r="A994" s="216">
        <v>45170</v>
      </c>
      <c r="B994" t="s">
        <v>44</v>
      </c>
      <c r="C994">
        <v>23</v>
      </c>
      <c r="D994" t="s">
        <v>435</v>
      </c>
      <c r="E994" s="217">
        <v>45170</v>
      </c>
      <c r="F994">
        <v>85</v>
      </c>
      <c r="G994" t="s">
        <v>255</v>
      </c>
    </row>
    <row r="995" spans="1:7">
      <c r="A995" s="216">
        <v>45170</v>
      </c>
      <c r="B995" t="s">
        <v>44</v>
      </c>
      <c r="C995">
        <v>23</v>
      </c>
      <c r="D995" t="s">
        <v>435</v>
      </c>
      <c r="E995" s="217">
        <v>45170</v>
      </c>
      <c r="F995">
        <v>85</v>
      </c>
      <c r="G995" t="s">
        <v>256</v>
      </c>
    </row>
    <row r="996" spans="1:7">
      <c r="A996" s="216">
        <v>45170</v>
      </c>
      <c r="B996" t="s">
        <v>44</v>
      </c>
      <c r="C996">
        <v>23</v>
      </c>
      <c r="D996" t="s">
        <v>435</v>
      </c>
      <c r="E996" s="217">
        <v>45170</v>
      </c>
      <c r="F996">
        <v>85</v>
      </c>
      <c r="G996" t="s">
        <v>257</v>
      </c>
    </row>
    <row r="997" spans="1:7">
      <c r="A997" s="216">
        <v>45170</v>
      </c>
      <c r="B997" t="s">
        <v>44</v>
      </c>
      <c r="C997">
        <v>23</v>
      </c>
      <c r="D997" t="s">
        <v>435</v>
      </c>
      <c r="E997" s="217">
        <v>45170</v>
      </c>
      <c r="F997">
        <v>85</v>
      </c>
      <c r="G997" t="s">
        <v>258</v>
      </c>
    </row>
    <row r="998" spans="1:7">
      <c r="A998" s="216">
        <v>45170</v>
      </c>
      <c r="B998" t="s">
        <v>44</v>
      </c>
      <c r="C998">
        <v>23</v>
      </c>
      <c r="D998" t="s">
        <v>435</v>
      </c>
      <c r="E998" s="217">
        <v>45170</v>
      </c>
      <c r="F998">
        <v>85</v>
      </c>
      <c r="G998" t="s">
        <v>259</v>
      </c>
    </row>
    <row r="999" spans="1:7">
      <c r="A999" s="216">
        <v>45170</v>
      </c>
      <c r="B999" t="s">
        <v>44</v>
      </c>
      <c r="C999">
        <v>23</v>
      </c>
      <c r="D999" t="s">
        <v>435</v>
      </c>
      <c r="E999" s="217">
        <v>45170</v>
      </c>
      <c r="F999">
        <v>85</v>
      </c>
      <c r="G999" t="s">
        <v>260</v>
      </c>
    </row>
    <row r="1000" spans="1:7">
      <c r="A1000" s="216">
        <v>45170</v>
      </c>
      <c r="B1000" t="s">
        <v>44</v>
      </c>
      <c r="C1000">
        <v>23</v>
      </c>
      <c r="D1000" t="s">
        <v>435</v>
      </c>
      <c r="E1000" s="217">
        <v>45170</v>
      </c>
      <c r="F1000">
        <v>85</v>
      </c>
      <c r="G1000" t="s">
        <v>261</v>
      </c>
    </row>
    <row r="1001" spans="1:7">
      <c r="A1001" s="216">
        <v>45170</v>
      </c>
      <c r="B1001" t="s">
        <v>44</v>
      </c>
      <c r="C1001">
        <v>23</v>
      </c>
      <c r="D1001" t="s">
        <v>435</v>
      </c>
      <c r="E1001" s="217">
        <v>45170</v>
      </c>
      <c r="F1001">
        <v>25155</v>
      </c>
      <c r="G1001" t="s">
        <v>262</v>
      </c>
    </row>
    <row r="1002" spans="1:7">
      <c r="A1002" s="216">
        <v>45170</v>
      </c>
      <c r="B1002" t="s">
        <v>44</v>
      </c>
      <c r="C1002">
        <v>23</v>
      </c>
      <c r="D1002" t="s">
        <v>435</v>
      </c>
      <c r="E1002" s="217">
        <v>45170</v>
      </c>
      <c r="F1002">
        <v>26050.848000000002</v>
      </c>
      <c r="G1002" t="s">
        <v>434</v>
      </c>
    </row>
    <row r="1003" spans="1:7">
      <c r="A1003" s="216">
        <v>45170</v>
      </c>
      <c r="B1003" t="s">
        <v>44</v>
      </c>
      <c r="C1003">
        <v>24</v>
      </c>
      <c r="D1003" t="s">
        <v>457</v>
      </c>
      <c r="E1003" s="217">
        <v>45170</v>
      </c>
      <c r="F1003">
        <v>0</v>
      </c>
      <c r="G1003" t="s">
        <v>251</v>
      </c>
    </row>
    <row r="1004" spans="1:7">
      <c r="A1004" s="216">
        <v>45170</v>
      </c>
      <c r="B1004" t="s">
        <v>44</v>
      </c>
      <c r="C1004">
        <v>24</v>
      </c>
      <c r="D1004" t="s">
        <v>457</v>
      </c>
      <c r="E1004" s="217">
        <v>45170</v>
      </c>
      <c r="F1004">
        <v>0</v>
      </c>
      <c r="G1004" t="s">
        <v>252</v>
      </c>
    </row>
    <row r="1005" spans="1:7">
      <c r="A1005" s="216">
        <v>45170</v>
      </c>
      <c r="B1005" t="s">
        <v>44</v>
      </c>
      <c r="C1005">
        <v>24</v>
      </c>
      <c r="D1005" t="s">
        <v>457</v>
      </c>
      <c r="E1005" s="217">
        <v>45170</v>
      </c>
      <c r="F1005">
        <v>0</v>
      </c>
      <c r="G1005" t="s">
        <v>253</v>
      </c>
    </row>
    <row r="1006" spans="1:7">
      <c r="A1006" s="216">
        <v>45170</v>
      </c>
      <c r="B1006" t="s">
        <v>44</v>
      </c>
      <c r="C1006">
        <v>24</v>
      </c>
      <c r="D1006" t="s">
        <v>457</v>
      </c>
      <c r="E1006" s="217">
        <v>45170</v>
      </c>
      <c r="F1006">
        <v>0</v>
      </c>
      <c r="G1006" t="s">
        <v>254</v>
      </c>
    </row>
    <row r="1007" spans="1:7">
      <c r="A1007" s="216">
        <v>45170</v>
      </c>
      <c r="B1007" t="s">
        <v>44</v>
      </c>
      <c r="C1007">
        <v>24</v>
      </c>
      <c r="D1007" t="s">
        <v>457</v>
      </c>
      <c r="E1007" s="217">
        <v>45170</v>
      </c>
      <c r="F1007">
        <v>0</v>
      </c>
      <c r="G1007" t="s">
        <v>255</v>
      </c>
    </row>
    <row r="1008" spans="1:7">
      <c r="A1008" s="216">
        <v>45170</v>
      </c>
      <c r="B1008" t="s">
        <v>44</v>
      </c>
      <c r="C1008">
        <v>24</v>
      </c>
      <c r="D1008" t="s">
        <v>457</v>
      </c>
      <c r="E1008" s="217">
        <v>45170</v>
      </c>
      <c r="F1008">
        <v>0</v>
      </c>
      <c r="G1008" t="s">
        <v>256</v>
      </c>
    </row>
    <row r="1009" spans="1:7">
      <c r="A1009" s="216">
        <v>45170</v>
      </c>
      <c r="B1009" t="s">
        <v>44</v>
      </c>
      <c r="C1009">
        <v>24</v>
      </c>
      <c r="D1009" t="s">
        <v>457</v>
      </c>
      <c r="E1009" s="217">
        <v>45170</v>
      </c>
      <c r="F1009">
        <v>0</v>
      </c>
      <c r="G1009" t="s">
        <v>257</v>
      </c>
    </row>
    <row r="1010" spans="1:7">
      <c r="A1010" s="216">
        <v>45170</v>
      </c>
      <c r="B1010" t="s">
        <v>44</v>
      </c>
      <c r="C1010">
        <v>24</v>
      </c>
      <c r="D1010" t="s">
        <v>457</v>
      </c>
      <c r="E1010" s="217">
        <v>45170</v>
      </c>
      <c r="F1010">
        <v>0</v>
      </c>
      <c r="G1010" t="s">
        <v>258</v>
      </c>
    </row>
    <row r="1011" spans="1:7">
      <c r="A1011" s="216">
        <v>45170</v>
      </c>
      <c r="B1011" t="s">
        <v>44</v>
      </c>
      <c r="C1011">
        <v>24</v>
      </c>
      <c r="D1011" t="s">
        <v>457</v>
      </c>
      <c r="E1011" s="217">
        <v>45170</v>
      </c>
      <c r="F1011">
        <v>0</v>
      </c>
      <c r="G1011" t="s">
        <v>259</v>
      </c>
    </row>
    <row r="1012" spans="1:7">
      <c r="A1012" s="216">
        <v>45170</v>
      </c>
      <c r="B1012" t="s">
        <v>44</v>
      </c>
      <c r="C1012">
        <v>24</v>
      </c>
      <c r="D1012" t="s">
        <v>457</v>
      </c>
      <c r="E1012" s="217">
        <v>45170</v>
      </c>
      <c r="F1012">
        <v>0</v>
      </c>
      <c r="G1012" t="s">
        <v>260</v>
      </c>
    </row>
    <row r="1013" spans="1:7">
      <c r="A1013" s="216">
        <v>45170</v>
      </c>
      <c r="B1013" t="s">
        <v>44</v>
      </c>
      <c r="C1013">
        <v>24</v>
      </c>
      <c r="D1013" t="s">
        <v>457</v>
      </c>
      <c r="E1013" s="217">
        <v>45170</v>
      </c>
      <c r="F1013">
        <v>0</v>
      </c>
      <c r="G1013" t="s">
        <v>261</v>
      </c>
    </row>
    <row r="1014" spans="1:7">
      <c r="A1014" s="216">
        <v>45170</v>
      </c>
      <c r="B1014" t="s">
        <v>44</v>
      </c>
      <c r="C1014">
        <v>24</v>
      </c>
      <c r="D1014" t="s">
        <v>457</v>
      </c>
      <c r="E1014" s="217">
        <v>45170</v>
      </c>
      <c r="F1014">
        <v>0</v>
      </c>
      <c r="G1014" t="s">
        <v>262</v>
      </c>
    </row>
    <row r="1015" spans="1:7">
      <c r="A1015" s="216">
        <v>45170</v>
      </c>
      <c r="B1015" t="s">
        <v>44</v>
      </c>
      <c r="C1015">
        <v>24</v>
      </c>
      <c r="D1015" t="s">
        <v>457</v>
      </c>
      <c r="E1015" s="217">
        <v>45170</v>
      </c>
      <c r="F1015">
        <v>0</v>
      </c>
      <c r="G1015" t="s">
        <v>434</v>
      </c>
    </row>
    <row r="1016" spans="1:7">
      <c r="A1016" s="216">
        <v>45170</v>
      </c>
      <c r="B1016" t="s">
        <v>44</v>
      </c>
      <c r="C1016">
        <v>25</v>
      </c>
      <c r="D1016" t="s">
        <v>452</v>
      </c>
      <c r="E1016" s="217">
        <v>45170</v>
      </c>
      <c r="F1016">
        <v>0</v>
      </c>
      <c r="G1016" t="s">
        <v>251</v>
      </c>
    </row>
    <row r="1017" spans="1:7">
      <c r="A1017" s="216">
        <v>45170</v>
      </c>
      <c r="B1017" t="s">
        <v>44</v>
      </c>
      <c r="C1017">
        <v>25</v>
      </c>
      <c r="D1017" t="s">
        <v>452</v>
      </c>
      <c r="E1017" s="217">
        <v>45170</v>
      </c>
      <c r="F1017">
        <v>0</v>
      </c>
      <c r="G1017" t="s">
        <v>252</v>
      </c>
    </row>
    <row r="1018" spans="1:7">
      <c r="A1018" s="216">
        <v>45170</v>
      </c>
      <c r="B1018" t="s">
        <v>44</v>
      </c>
      <c r="C1018">
        <v>25</v>
      </c>
      <c r="D1018" t="s">
        <v>452</v>
      </c>
      <c r="E1018" s="217">
        <v>45170</v>
      </c>
      <c r="F1018">
        <v>0</v>
      </c>
      <c r="G1018" t="s">
        <v>253</v>
      </c>
    </row>
    <row r="1019" spans="1:7">
      <c r="A1019" s="216">
        <v>45170</v>
      </c>
      <c r="B1019" t="s">
        <v>44</v>
      </c>
      <c r="C1019">
        <v>25</v>
      </c>
      <c r="D1019" t="s">
        <v>452</v>
      </c>
      <c r="E1019" s="217">
        <v>45170</v>
      </c>
      <c r="F1019">
        <v>0</v>
      </c>
      <c r="G1019" t="s">
        <v>254</v>
      </c>
    </row>
    <row r="1020" spans="1:7">
      <c r="A1020" s="216">
        <v>45170</v>
      </c>
      <c r="B1020" t="s">
        <v>44</v>
      </c>
      <c r="C1020">
        <v>25</v>
      </c>
      <c r="D1020" t="s">
        <v>452</v>
      </c>
      <c r="E1020" s="217">
        <v>45170</v>
      </c>
      <c r="F1020">
        <v>0</v>
      </c>
      <c r="G1020" t="s">
        <v>255</v>
      </c>
    </row>
    <row r="1021" spans="1:7">
      <c r="A1021" s="216">
        <v>45170</v>
      </c>
      <c r="B1021" t="s">
        <v>44</v>
      </c>
      <c r="C1021">
        <v>25</v>
      </c>
      <c r="D1021" t="s">
        <v>452</v>
      </c>
      <c r="E1021" s="217">
        <v>45170</v>
      </c>
      <c r="F1021">
        <v>0</v>
      </c>
      <c r="G1021" t="s">
        <v>256</v>
      </c>
    </row>
    <row r="1022" spans="1:7">
      <c r="A1022" s="216">
        <v>45170</v>
      </c>
      <c r="B1022" t="s">
        <v>44</v>
      </c>
      <c r="C1022">
        <v>25</v>
      </c>
      <c r="D1022" t="s">
        <v>452</v>
      </c>
      <c r="E1022" s="217">
        <v>45170</v>
      </c>
      <c r="F1022">
        <v>0</v>
      </c>
      <c r="G1022" t="s">
        <v>257</v>
      </c>
    </row>
    <row r="1023" spans="1:7">
      <c r="A1023" s="216">
        <v>45170</v>
      </c>
      <c r="B1023" t="s">
        <v>44</v>
      </c>
      <c r="C1023">
        <v>25</v>
      </c>
      <c r="D1023" t="s">
        <v>452</v>
      </c>
      <c r="E1023" s="217">
        <v>45170</v>
      </c>
      <c r="F1023">
        <v>0</v>
      </c>
      <c r="G1023" t="s">
        <v>258</v>
      </c>
    </row>
    <row r="1024" spans="1:7">
      <c r="A1024" s="216">
        <v>45170</v>
      </c>
      <c r="B1024" t="s">
        <v>44</v>
      </c>
      <c r="C1024">
        <v>25</v>
      </c>
      <c r="D1024" t="s">
        <v>452</v>
      </c>
      <c r="E1024" s="217">
        <v>45170</v>
      </c>
      <c r="F1024">
        <v>0</v>
      </c>
      <c r="G1024" t="s">
        <v>259</v>
      </c>
    </row>
    <row r="1025" spans="1:7">
      <c r="A1025" s="216">
        <v>45170</v>
      </c>
      <c r="B1025" t="s">
        <v>44</v>
      </c>
      <c r="C1025">
        <v>25</v>
      </c>
      <c r="D1025" t="s">
        <v>452</v>
      </c>
      <c r="E1025" s="217">
        <v>45170</v>
      </c>
      <c r="F1025">
        <v>0</v>
      </c>
      <c r="G1025" t="s">
        <v>260</v>
      </c>
    </row>
    <row r="1026" spans="1:7">
      <c r="A1026" s="216">
        <v>45170</v>
      </c>
      <c r="B1026" t="s">
        <v>44</v>
      </c>
      <c r="C1026">
        <v>25</v>
      </c>
      <c r="D1026" t="s">
        <v>452</v>
      </c>
      <c r="E1026" s="217">
        <v>45170</v>
      </c>
      <c r="F1026">
        <v>0</v>
      </c>
      <c r="G1026" t="s">
        <v>261</v>
      </c>
    </row>
    <row r="1027" spans="1:7">
      <c r="A1027" s="216">
        <v>45170</v>
      </c>
      <c r="B1027" t="s">
        <v>44</v>
      </c>
      <c r="C1027">
        <v>25</v>
      </c>
      <c r="D1027" t="s">
        <v>452</v>
      </c>
      <c r="E1027" s="217">
        <v>45170</v>
      </c>
      <c r="F1027">
        <v>0</v>
      </c>
      <c r="G1027" t="s">
        <v>262</v>
      </c>
    </row>
    <row r="1028" spans="1:7">
      <c r="A1028" s="216">
        <v>45170</v>
      </c>
      <c r="B1028" t="s">
        <v>44</v>
      </c>
      <c r="C1028">
        <v>25</v>
      </c>
      <c r="D1028" t="s">
        <v>452</v>
      </c>
      <c r="E1028" s="217">
        <v>45170</v>
      </c>
      <c r="F1028">
        <v>0</v>
      </c>
      <c r="G1028" t="s">
        <v>434</v>
      </c>
    </row>
    <row r="1029" spans="1:7">
      <c r="A1029" s="216">
        <v>45170</v>
      </c>
      <c r="B1029" t="s">
        <v>44</v>
      </c>
      <c r="C1029">
        <v>26</v>
      </c>
      <c r="D1029" t="s">
        <v>438</v>
      </c>
      <c r="E1029" s="217">
        <v>45170</v>
      </c>
      <c r="F1029">
        <v>147640</v>
      </c>
      <c r="G1029" t="s">
        <v>251</v>
      </c>
    </row>
    <row r="1030" spans="1:7">
      <c r="A1030" s="216">
        <v>45170</v>
      </c>
      <c r="B1030" t="s">
        <v>44</v>
      </c>
      <c r="C1030">
        <v>26</v>
      </c>
      <c r="D1030" t="s">
        <v>438</v>
      </c>
      <c r="E1030" s="217">
        <v>45170</v>
      </c>
      <c r="F1030">
        <v>157102.5</v>
      </c>
      <c r="G1030" t="s">
        <v>252</v>
      </c>
    </row>
    <row r="1031" spans="1:7">
      <c r="A1031" s="216">
        <v>45170</v>
      </c>
      <c r="B1031" t="s">
        <v>44</v>
      </c>
      <c r="C1031">
        <v>26</v>
      </c>
      <c r="D1031" t="s">
        <v>438</v>
      </c>
      <c r="E1031" s="217">
        <v>45170</v>
      </c>
      <c r="F1031">
        <v>167727.82999999999</v>
      </c>
      <c r="G1031" t="s">
        <v>253</v>
      </c>
    </row>
    <row r="1032" spans="1:7">
      <c r="A1032" s="216">
        <v>45170</v>
      </c>
      <c r="B1032" t="s">
        <v>44</v>
      </c>
      <c r="C1032">
        <v>26</v>
      </c>
      <c r="D1032" t="s">
        <v>438</v>
      </c>
      <c r="E1032" s="217">
        <v>45170</v>
      </c>
      <c r="F1032">
        <v>165206</v>
      </c>
      <c r="G1032" t="s">
        <v>254</v>
      </c>
    </row>
    <row r="1033" spans="1:7">
      <c r="A1033" s="216">
        <v>45170</v>
      </c>
      <c r="B1033" t="s">
        <v>44</v>
      </c>
      <c r="C1033">
        <v>26</v>
      </c>
      <c r="D1033" t="s">
        <v>438</v>
      </c>
      <c r="E1033" s="217">
        <v>45170</v>
      </c>
      <c r="F1033">
        <v>156811</v>
      </c>
      <c r="G1033" t="s">
        <v>255</v>
      </c>
    </row>
    <row r="1034" spans="1:7">
      <c r="A1034" s="216">
        <v>45170</v>
      </c>
      <c r="B1034" t="s">
        <v>44</v>
      </c>
      <c r="C1034">
        <v>26</v>
      </c>
      <c r="D1034" t="s">
        <v>438</v>
      </c>
      <c r="E1034" s="217">
        <v>45170</v>
      </c>
      <c r="F1034">
        <v>156832</v>
      </c>
      <c r="G1034" t="s">
        <v>256</v>
      </c>
    </row>
    <row r="1035" spans="1:7">
      <c r="A1035" s="216">
        <v>45170</v>
      </c>
      <c r="B1035" t="s">
        <v>44</v>
      </c>
      <c r="C1035">
        <v>26</v>
      </c>
      <c r="D1035" t="s">
        <v>438</v>
      </c>
      <c r="E1035" s="217">
        <v>45170</v>
      </c>
      <c r="F1035">
        <v>156321.13547618999</v>
      </c>
      <c r="G1035" t="s">
        <v>257</v>
      </c>
    </row>
    <row r="1036" spans="1:7">
      <c r="A1036" s="216">
        <v>45170</v>
      </c>
      <c r="B1036" t="s">
        <v>44</v>
      </c>
      <c r="C1036">
        <v>26</v>
      </c>
      <c r="D1036" t="s">
        <v>438</v>
      </c>
      <c r="E1036" s="217">
        <v>45170</v>
      </c>
      <c r="F1036">
        <v>156609.70690476199</v>
      </c>
      <c r="G1036" t="s">
        <v>258</v>
      </c>
    </row>
    <row r="1037" spans="1:7">
      <c r="A1037" s="216">
        <v>45170</v>
      </c>
      <c r="B1037" t="s">
        <v>44</v>
      </c>
      <c r="C1037">
        <v>26</v>
      </c>
      <c r="D1037" t="s">
        <v>438</v>
      </c>
      <c r="E1037" s="217">
        <v>45170</v>
      </c>
      <c r="F1037">
        <v>156664.63547618999</v>
      </c>
      <c r="G1037" t="s">
        <v>259</v>
      </c>
    </row>
    <row r="1038" spans="1:7">
      <c r="A1038" s="216">
        <v>45170</v>
      </c>
      <c r="B1038" t="s">
        <v>44</v>
      </c>
      <c r="C1038">
        <v>26</v>
      </c>
      <c r="D1038" t="s">
        <v>438</v>
      </c>
      <c r="E1038" s="217">
        <v>45170</v>
      </c>
      <c r="F1038">
        <v>156708.63547618999</v>
      </c>
      <c r="G1038" t="s">
        <v>260</v>
      </c>
    </row>
    <row r="1039" spans="1:7">
      <c r="A1039" s="216">
        <v>45170</v>
      </c>
      <c r="B1039" t="s">
        <v>44</v>
      </c>
      <c r="C1039">
        <v>26</v>
      </c>
      <c r="D1039" t="s">
        <v>438</v>
      </c>
      <c r="E1039" s="217">
        <v>45170</v>
      </c>
      <c r="F1039">
        <v>156120.63547618999</v>
      </c>
      <c r="G1039" t="s">
        <v>261</v>
      </c>
    </row>
    <row r="1040" spans="1:7">
      <c r="A1040" s="216">
        <v>45170</v>
      </c>
      <c r="B1040" t="s">
        <v>44</v>
      </c>
      <c r="C1040">
        <v>26</v>
      </c>
      <c r="D1040" t="s">
        <v>438</v>
      </c>
      <c r="E1040" s="217">
        <v>45170</v>
      </c>
      <c r="F1040">
        <v>182066.349761905</v>
      </c>
      <c r="G1040" t="s">
        <v>262</v>
      </c>
    </row>
    <row r="1041" spans="1:7">
      <c r="A1041" s="216">
        <v>45170</v>
      </c>
      <c r="B1041" t="s">
        <v>44</v>
      </c>
      <c r="C1041">
        <v>26</v>
      </c>
      <c r="D1041" t="s">
        <v>438</v>
      </c>
      <c r="E1041" s="217">
        <v>45170</v>
      </c>
      <c r="F1041">
        <v>1915810.42857143</v>
      </c>
      <c r="G1041" t="s">
        <v>434</v>
      </c>
    </row>
    <row r="1042" spans="1:7">
      <c r="A1042" s="216">
        <v>45170</v>
      </c>
      <c r="B1042" t="s">
        <v>44</v>
      </c>
      <c r="C1042">
        <v>27</v>
      </c>
      <c r="D1042" t="s">
        <v>446</v>
      </c>
      <c r="E1042" s="217">
        <v>45170</v>
      </c>
      <c r="F1042">
        <v>-8896</v>
      </c>
      <c r="G1042" t="s">
        <v>251</v>
      </c>
    </row>
    <row r="1043" spans="1:7">
      <c r="A1043" s="216">
        <v>45170</v>
      </c>
      <c r="B1043" t="s">
        <v>44</v>
      </c>
      <c r="C1043">
        <v>27</v>
      </c>
      <c r="D1043" t="s">
        <v>446</v>
      </c>
      <c r="E1043" s="217">
        <v>45170</v>
      </c>
      <c r="F1043">
        <v>-8286.5</v>
      </c>
      <c r="G1043" t="s">
        <v>252</v>
      </c>
    </row>
    <row r="1044" spans="1:7">
      <c r="A1044" s="216">
        <v>45170</v>
      </c>
      <c r="B1044" t="s">
        <v>44</v>
      </c>
      <c r="C1044">
        <v>27</v>
      </c>
      <c r="D1044" t="s">
        <v>446</v>
      </c>
      <c r="E1044" s="217">
        <v>45170</v>
      </c>
      <c r="F1044">
        <v>-8573.8299999999908</v>
      </c>
      <c r="G1044" t="s">
        <v>253</v>
      </c>
    </row>
    <row r="1045" spans="1:7">
      <c r="A1045" s="216">
        <v>45170</v>
      </c>
      <c r="B1045" t="s">
        <v>44</v>
      </c>
      <c r="C1045">
        <v>27</v>
      </c>
      <c r="D1045" t="s">
        <v>446</v>
      </c>
      <c r="E1045" s="217">
        <v>45170</v>
      </c>
      <c r="F1045">
        <v>-8597</v>
      </c>
      <c r="G1045" t="s">
        <v>254</v>
      </c>
    </row>
    <row r="1046" spans="1:7">
      <c r="A1046" s="216">
        <v>45170</v>
      </c>
      <c r="B1046" t="s">
        <v>44</v>
      </c>
      <c r="C1046">
        <v>27</v>
      </c>
      <c r="D1046" t="s">
        <v>446</v>
      </c>
      <c r="E1046" s="217">
        <v>45170</v>
      </c>
      <c r="F1046">
        <v>-8474</v>
      </c>
      <c r="G1046" t="s">
        <v>255</v>
      </c>
    </row>
    <row r="1047" spans="1:7">
      <c r="A1047" s="216">
        <v>45170</v>
      </c>
      <c r="B1047" t="s">
        <v>44</v>
      </c>
      <c r="C1047">
        <v>27</v>
      </c>
      <c r="D1047" t="s">
        <v>446</v>
      </c>
      <c r="E1047" s="217">
        <v>45170</v>
      </c>
      <c r="F1047">
        <v>-8473</v>
      </c>
      <c r="G1047" t="s">
        <v>256</v>
      </c>
    </row>
    <row r="1048" spans="1:7">
      <c r="A1048" s="216">
        <v>45170</v>
      </c>
      <c r="B1048" t="s">
        <v>44</v>
      </c>
      <c r="C1048">
        <v>27</v>
      </c>
      <c r="D1048" t="s">
        <v>446</v>
      </c>
      <c r="E1048" s="217">
        <v>45170</v>
      </c>
      <c r="F1048">
        <v>-6183.27833333332</v>
      </c>
      <c r="G1048" t="s">
        <v>257</v>
      </c>
    </row>
    <row r="1049" spans="1:7">
      <c r="A1049" s="216">
        <v>45170</v>
      </c>
      <c r="B1049" t="s">
        <v>44</v>
      </c>
      <c r="C1049">
        <v>27</v>
      </c>
      <c r="D1049" t="s">
        <v>446</v>
      </c>
      <c r="E1049" s="217">
        <v>45170</v>
      </c>
      <c r="F1049">
        <v>-6183.27833333332</v>
      </c>
      <c r="G1049" t="s">
        <v>258</v>
      </c>
    </row>
    <row r="1050" spans="1:7">
      <c r="A1050" s="216">
        <v>45170</v>
      </c>
      <c r="B1050" t="s">
        <v>44</v>
      </c>
      <c r="C1050">
        <v>27</v>
      </c>
      <c r="D1050" t="s">
        <v>446</v>
      </c>
      <c r="E1050" s="217">
        <v>45170</v>
      </c>
      <c r="F1050">
        <v>-6183.27833333332</v>
      </c>
      <c r="G1050" t="s">
        <v>259</v>
      </c>
    </row>
    <row r="1051" spans="1:7">
      <c r="A1051" s="216">
        <v>45170</v>
      </c>
      <c r="B1051" t="s">
        <v>44</v>
      </c>
      <c r="C1051">
        <v>27</v>
      </c>
      <c r="D1051" t="s">
        <v>446</v>
      </c>
      <c r="E1051" s="217">
        <v>45170</v>
      </c>
      <c r="F1051">
        <v>-6183.27833333332</v>
      </c>
      <c r="G1051" t="s">
        <v>260</v>
      </c>
    </row>
    <row r="1052" spans="1:7">
      <c r="A1052" s="216">
        <v>45170</v>
      </c>
      <c r="B1052" t="s">
        <v>44</v>
      </c>
      <c r="C1052">
        <v>27</v>
      </c>
      <c r="D1052" t="s">
        <v>446</v>
      </c>
      <c r="E1052" s="217">
        <v>45170</v>
      </c>
      <c r="F1052">
        <v>-6183.27833333332</v>
      </c>
      <c r="G1052" t="s">
        <v>261</v>
      </c>
    </row>
    <row r="1053" spans="1:7">
      <c r="A1053" s="216">
        <v>45170</v>
      </c>
      <c r="B1053" t="s">
        <v>44</v>
      </c>
      <c r="C1053">
        <v>27</v>
      </c>
      <c r="D1053" t="s">
        <v>446</v>
      </c>
      <c r="E1053" s="217">
        <v>45170</v>
      </c>
      <c r="F1053">
        <v>-6183.2783333329999</v>
      </c>
      <c r="G1053" t="s">
        <v>262</v>
      </c>
    </row>
    <row r="1054" spans="1:7">
      <c r="A1054" s="216">
        <v>45170</v>
      </c>
      <c r="B1054" t="s">
        <v>44</v>
      </c>
      <c r="C1054">
        <v>27</v>
      </c>
      <c r="D1054" t="s">
        <v>446</v>
      </c>
      <c r="E1054" s="217">
        <v>45170</v>
      </c>
      <c r="F1054">
        <v>-88399.999999999796</v>
      </c>
      <c r="G1054" t="s">
        <v>434</v>
      </c>
    </row>
    <row r="1055" spans="1:7">
      <c r="A1055" s="216">
        <v>45170</v>
      </c>
      <c r="B1055" t="s">
        <v>45</v>
      </c>
      <c r="C1055">
        <v>1</v>
      </c>
      <c r="D1055" t="s">
        <v>453</v>
      </c>
      <c r="E1055" s="217">
        <v>45170</v>
      </c>
      <c r="F1055">
        <v>97133</v>
      </c>
      <c r="G1055" t="s">
        <v>251</v>
      </c>
    </row>
    <row r="1056" spans="1:7">
      <c r="A1056" s="216">
        <v>45170</v>
      </c>
      <c r="B1056" t="s">
        <v>45</v>
      </c>
      <c r="C1056">
        <v>1</v>
      </c>
      <c r="D1056" t="s">
        <v>453</v>
      </c>
      <c r="E1056" s="217">
        <v>45170</v>
      </c>
      <c r="F1056">
        <v>102121</v>
      </c>
      <c r="G1056" t="s">
        <v>252</v>
      </c>
    </row>
    <row r="1057" spans="1:7">
      <c r="A1057" s="216">
        <v>45170</v>
      </c>
      <c r="B1057" t="s">
        <v>45</v>
      </c>
      <c r="C1057">
        <v>1</v>
      </c>
      <c r="D1057" t="s">
        <v>453</v>
      </c>
      <c r="E1057" s="217">
        <v>45170</v>
      </c>
      <c r="F1057">
        <v>115073</v>
      </c>
      <c r="G1057" t="s">
        <v>253</v>
      </c>
    </row>
    <row r="1058" spans="1:7">
      <c r="A1058" s="216">
        <v>45170</v>
      </c>
      <c r="B1058" t="s">
        <v>45</v>
      </c>
      <c r="C1058">
        <v>1</v>
      </c>
      <c r="D1058" t="s">
        <v>453</v>
      </c>
      <c r="E1058" s="217">
        <v>45170</v>
      </c>
      <c r="F1058">
        <v>109636</v>
      </c>
      <c r="G1058" t="s">
        <v>254</v>
      </c>
    </row>
    <row r="1059" spans="1:7">
      <c r="A1059" s="216">
        <v>45170</v>
      </c>
      <c r="B1059" t="s">
        <v>45</v>
      </c>
      <c r="C1059">
        <v>1</v>
      </c>
      <c r="D1059" t="s">
        <v>453</v>
      </c>
      <c r="E1059" s="217">
        <v>45170</v>
      </c>
      <c r="F1059">
        <v>104213</v>
      </c>
      <c r="G1059" t="s">
        <v>255</v>
      </c>
    </row>
    <row r="1060" spans="1:7">
      <c r="A1060" s="216">
        <v>45170</v>
      </c>
      <c r="B1060" t="s">
        <v>45</v>
      </c>
      <c r="C1060">
        <v>1</v>
      </c>
      <c r="D1060" t="s">
        <v>453</v>
      </c>
      <c r="E1060" s="217">
        <v>45170</v>
      </c>
      <c r="F1060">
        <v>102422</v>
      </c>
      <c r="G1060" t="s">
        <v>256</v>
      </c>
    </row>
    <row r="1061" spans="1:7">
      <c r="A1061" s="216">
        <v>45170</v>
      </c>
      <c r="B1061" t="s">
        <v>45</v>
      </c>
      <c r="C1061">
        <v>1</v>
      </c>
      <c r="D1061" t="s">
        <v>453</v>
      </c>
      <c r="E1061" s="217">
        <v>45170</v>
      </c>
      <c r="F1061">
        <v>110705</v>
      </c>
      <c r="G1061" t="s">
        <v>257</v>
      </c>
    </row>
    <row r="1062" spans="1:7">
      <c r="A1062" s="216">
        <v>45170</v>
      </c>
      <c r="B1062" t="s">
        <v>45</v>
      </c>
      <c r="C1062">
        <v>1</v>
      </c>
      <c r="D1062" t="s">
        <v>453</v>
      </c>
      <c r="E1062" s="217">
        <v>45170</v>
      </c>
      <c r="F1062">
        <v>107947</v>
      </c>
      <c r="G1062" t="s">
        <v>258</v>
      </c>
    </row>
    <row r="1063" spans="1:7">
      <c r="A1063" s="216">
        <v>45170</v>
      </c>
      <c r="B1063" t="s">
        <v>45</v>
      </c>
      <c r="C1063">
        <v>1</v>
      </c>
      <c r="D1063" t="s">
        <v>453</v>
      </c>
      <c r="E1063" s="217">
        <v>45170</v>
      </c>
      <c r="F1063">
        <v>108260</v>
      </c>
      <c r="G1063" t="s">
        <v>259</v>
      </c>
    </row>
    <row r="1064" spans="1:7">
      <c r="A1064" s="216">
        <v>45170</v>
      </c>
      <c r="B1064" t="s">
        <v>45</v>
      </c>
      <c r="C1064">
        <v>1</v>
      </c>
      <c r="D1064" t="s">
        <v>453</v>
      </c>
      <c r="E1064" s="217">
        <v>45170</v>
      </c>
      <c r="F1064">
        <v>107196</v>
      </c>
      <c r="G1064" t="s">
        <v>260</v>
      </c>
    </row>
    <row r="1065" spans="1:7">
      <c r="A1065" s="216">
        <v>45170</v>
      </c>
      <c r="B1065" t="s">
        <v>45</v>
      </c>
      <c r="C1065">
        <v>1</v>
      </c>
      <c r="D1065" t="s">
        <v>453</v>
      </c>
      <c r="E1065" s="217">
        <v>45170</v>
      </c>
      <c r="F1065">
        <v>107310</v>
      </c>
      <c r="G1065" t="s">
        <v>261</v>
      </c>
    </row>
    <row r="1066" spans="1:7">
      <c r="A1066" s="216">
        <v>45170</v>
      </c>
      <c r="B1066" t="s">
        <v>45</v>
      </c>
      <c r="C1066">
        <v>1</v>
      </c>
      <c r="D1066" t="s">
        <v>453</v>
      </c>
      <c r="E1066" s="217">
        <v>45170</v>
      </c>
      <c r="F1066">
        <v>103883</v>
      </c>
      <c r="G1066" t="s">
        <v>262</v>
      </c>
    </row>
    <row r="1067" spans="1:7">
      <c r="A1067" s="216">
        <v>45170</v>
      </c>
      <c r="B1067" t="s">
        <v>45</v>
      </c>
      <c r="C1067">
        <v>1</v>
      </c>
      <c r="D1067" t="s">
        <v>453</v>
      </c>
      <c r="E1067" s="217">
        <v>45170</v>
      </c>
      <c r="F1067">
        <v>1275899</v>
      </c>
      <c r="G1067" t="s">
        <v>434</v>
      </c>
    </row>
    <row r="1068" spans="1:7">
      <c r="A1068" s="216">
        <v>45170</v>
      </c>
      <c r="B1068" t="s">
        <v>45</v>
      </c>
      <c r="C1068">
        <v>2</v>
      </c>
      <c r="D1068" t="s">
        <v>436</v>
      </c>
      <c r="E1068" s="217">
        <v>45170</v>
      </c>
      <c r="F1068">
        <v>23</v>
      </c>
      <c r="G1068" t="s">
        <v>251</v>
      </c>
    </row>
    <row r="1069" spans="1:7">
      <c r="A1069" s="216">
        <v>45170</v>
      </c>
      <c r="B1069" t="s">
        <v>45</v>
      </c>
      <c r="C1069">
        <v>2</v>
      </c>
      <c r="D1069" t="s">
        <v>436</v>
      </c>
      <c r="E1069" s="217">
        <v>45170</v>
      </c>
      <c r="F1069">
        <v>0</v>
      </c>
      <c r="G1069" t="s">
        <v>252</v>
      </c>
    </row>
    <row r="1070" spans="1:7">
      <c r="A1070" s="216">
        <v>45170</v>
      </c>
      <c r="B1070" t="s">
        <v>45</v>
      </c>
      <c r="C1070">
        <v>2</v>
      </c>
      <c r="D1070" t="s">
        <v>436</v>
      </c>
      <c r="E1070" s="217">
        <v>45170</v>
      </c>
      <c r="F1070">
        <v>-16</v>
      </c>
      <c r="G1070" t="s">
        <v>253</v>
      </c>
    </row>
    <row r="1071" spans="1:7">
      <c r="A1071" s="216">
        <v>45170</v>
      </c>
      <c r="B1071" t="s">
        <v>45</v>
      </c>
      <c r="C1071">
        <v>2</v>
      </c>
      <c r="D1071" t="s">
        <v>436</v>
      </c>
      <c r="E1071" s="217">
        <v>45170</v>
      </c>
      <c r="F1071">
        <v>0</v>
      </c>
      <c r="G1071" t="s">
        <v>254</v>
      </c>
    </row>
    <row r="1072" spans="1:7">
      <c r="A1072" s="216">
        <v>45170</v>
      </c>
      <c r="B1072" t="s">
        <v>45</v>
      </c>
      <c r="C1072">
        <v>2</v>
      </c>
      <c r="D1072" t="s">
        <v>436</v>
      </c>
      <c r="E1072" s="217">
        <v>45170</v>
      </c>
      <c r="F1072">
        <v>37</v>
      </c>
      <c r="G1072" t="s">
        <v>255</v>
      </c>
    </row>
    <row r="1073" spans="1:7">
      <c r="A1073" s="216">
        <v>45170</v>
      </c>
      <c r="B1073" t="s">
        <v>45</v>
      </c>
      <c r="C1073">
        <v>2</v>
      </c>
      <c r="D1073" t="s">
        <v>436</v>
      </c>
      <c r="E1073" s="217">
        <v>45170</v>
      </c>
      <c r="F1073">
        <v>0</v>
      </c>
      <c r="G1073" t="s">
        <v>256</v>
      </c>
    </row>
    <row r="1074" spans="1:7">
      <c r="A1074" s="216">
        <v>45170</v>
      </c>
      <c r="B1074" t="s">
        <v>45</v>
      </c>
      <c r="C1074">
        <v>2</v>
      </c>
      <c r="D1074" t="s">
        <v>436</v>
      </c>
      <c r="E1074" s="217">
        <v>45170</v>
      </c>
      <c r="F1074">
        <v>0</v>
      </c>
      <c r="G1074" t="s">
        <v>257</v>
      </c>
    </row>
    <row r="1075" spans="1:7">
      <c r="A1075" s="216">
        <v>45170</v>
      </c>
      <c r="B1075" t="s">
        <v>45</v>
      </c>
      <c r="C1075">
        <v>2</v>
      </c>
      <c r="D1075" t="s">
        <v>436</v>
      </c>
      <c r="E1075" s="217">
        <v>45170</v>
      </c>
      <c r="F1075">
        <v>0</v>
      </c>
      <c r="G1075" t="s">
        <v>258</v>
      </c>
    </row>
    <row r="1076" spans="1:7">
      <c r="A1076" s="216">
        <v>45170</v>
      </c>
      <c r="B1076" t="s">
        <v>45</v>
      </c>
      <c r="C1076">
        <v>2</v>
      </c>
      <c r="D1076" t="s">
        <v>436</v>
      </c>
      <c r="E1076" s="217">
        <v>45170</v>
      </c>
      <c r="F1076">
        <v>0</v>
      </c>
      <c r="G1076" t="s">
        <v>259</v>
      </c>
    </row>
    <row r="1077" spans="1:7">
      <c r="A1077" s="216">
        <v>45170</v>
      </c>
      <c r="B1077" t="s">
        <v>45</v>
      </c>
      <c r="C1077">
        <v>2</v>
      </c>
      <c r="D1077" t="s">
        <v>436</v>
      </c>
      <c r="E1077" s="217">
        <v>45170</v>
      </c>
      <c r="F1077">
        <v>0</v>
      </c>
      <c r="G1077" t="s">
        <v>260</v>
      </c>
    </row>
    <row r="1078" spans="1:7">
      <c r="A1078" s="216">
        <v>45170</v>
      </c>
      <c r="B1078" t="s">
        <v>45</v>
      </c>
      <c r="C1078">
        <v>2</v>
      </c>
      <c r="D1078" t="s">
        <v>436</v>
      </c>
      <c r="E1078" s="217">
        <v>45170</v>
      </c>
      <c r="F1078">
        <v>0</v>
      </c>
      <c r="G1078" t="s">
        <v>261</v>
      </c>
    </row>
    <row r="1079" spans="1:7">
      <c r="A1079" s="216">
        <v>45170</v>
      </c>
      <c r="B1079" t="s">
        <v>45</v>
      </c>
      <c r="C1079">
        <v>2</v>
      </c>
      <c r="D1079" t="s">
        <v>436</v>
      </c>
      <c r="E1079" s="217">
        <v>45170</v>
      </c>
      <c r="F1079">
        <v>156</v>
      </c>
      <c r="G1079" t="s">
        <v>262</v>
      </c>
    </row>
    <row r="1080" spans="1:7">
      <c r="A1080" s="216">
        <v>45170</v>
      </c>
      <c r="B1080" t="s">
        <v>45</v>
      </c>
      <c r="C1080">
        <v>2</v>
      </c>
      <c r="D1080" t="s">
        <v>436</v>
      </c>
      <c r="E1080" s="217">
        <v>45170</v>
      </c>
      <c r="F1080">
        <v>200</v>
      </c>
      <c r="G1080" t="s">
        <v>434</v>
      </c>
    </row>
    <row r="1081" spans="1:7">
      <c r="A1081" s="216">
        <v>45170</v>
      </c>
      <c r="B1081" t="s">
        <v>45</v>
      </c>
      <c r="C1081">
        <v>3</v>
      </c>
      <c r="D1081" t="s">
        <v>459</v>
      </c>
      <c r="E1081" s="217">
        <v>45170</v>
      </c>
      <c r="F1081">
        <v>6810</v>
      </c>
      <c r="G1081" t="s">
        <v>251</v>
      </c>
    </row>
    <row r="1082" spans="1:7">
      <c r="A1082" s="216">
        <v>45170</v>
      </c>
      <c r="B1082" t="s">
        <v>45</v>
      </c>
      <c r="C1082">
        <v>3</v>
      </c>
      <c r="D1082" t="s">
        <v>459</v>
      </c>
      <c r="E1082" s="217">
        <v>45170</v>
      </c>
      <c r="F1082">
        <v>6904</v>
      </c>
      <c r="G1082" t="s">
        <v>252</v>
      </c>
    </row>
    <row r="1083" spans="1:7">
      <c r="A1083" s="216">
        <v>45170</v>
      </c>
      <c r="B1083" t="s">
        <v>45</v>
      </c>
      <c r="C1083">
        <v>3</v>
      </c>
      <c r="D1083" t="s">
        <v>459</v>
      </c>
      <c r="E1083" s="217">
        <v>45170</v>
      </c>
      <c r="F1083">
        <v>7676</v>
      </c>
      <c r="G1083" t="s">
        <v>253</v>
      </c>
    </row>
    <row r="1084" spans="1:7">
      <c r="A1084" s="216">
        <v>45170</v>
      </c>
      <c r="B1084" t="s">
        <v>45</v>
      </c>
      <c r="C1084">
        <v>3</v>
      </c>
      <c r="D1084" t="s">
        <v>459</v>
      </c>
      <c r="E1084" s="217">
        <v>45170</v>
      </c>
      <c r="F1084">
        <v>7262</v>
      </c>
      <c r="G1084" t="s">
        <v>254</v>
      </c>
    </row>
    <row r="1085" spans="1:7">
      <c r="A1085" s="216">
        <v>45170</v>
      </c>
      <c r="B1085" t="s">
        <v>45</v>
      </c>
      <c r="C1085">
        <v>3</v>
      </c>
      <c r="D1085" t="s">
        <v>459</v>
      </c>
      <c r="E1085" s="217">
        <v>45170</v>
      </c>
      <c r="F1085">
        <v>8181</v>
      </c>
      <c r="G1085" t="s">
        <v>255</v>
      </c>
    </row>
    <row r="1086" spans="1:7">
      <c r="A1086" s="216">
        <v>45170</v>
      </c>
      <c r="B1086" t="s">
        <v>45</v>
      </c>
      <c r="C1086">
        <v>3</v>
      </c>
      <c r="D1086" t="s">
        <v>459</v>
      </c>
      <c r="E1086" s="217">
        <v>45170</v>
      </c>
      <c r="F1086">
        <v>5957</v>
      </c>
      <c r="G1086" t="s">
        <v>256</v>
      </c>
    </row>
    <row r="1087" spans="1:7">
      <c r="A1087" s="216">
        <v>45170</v>
      </c>
      <c r="B1087" t="s">
        <v>45</v>
      </c>
      <c r="C1087">
        <v>3</v>
      </c>
      <c r="D1087" t="s">
        <v>459</v>
      </c>
      <c r="E1087" s="217">
        <v>45170</v>
      </c>
      <c r="F1087">
        <v>6885</v>
      </c>
      <c r="G1087" t="s">
        <v>257</v>
      </c>
    </row>
    <row r="1088" spans="1:7">
      <c r="A1088" s="216">
        <v>45170</v>
      </c>
      <c r="B1088" t="s">
        <v>45</v>
      </c>
      <c r="C1088">
        <v>3</v>
      </c>
      <c r="D1088" t="s">
        <v>459</v>
      </c>
      <c r="E1088" s="217">
        <v>45170</v>
      </c>
      <c r="F1088">
        <v>6885</v>
      </c>
      <c r="G1088" t="s">
        <v>258</v>
      </c>
    </row>
    <row r="1089" spans="1:7">
      <c r="A1089" s="216">
        <v>45170</v>
      </c>
      <c r="B1089" t="s">
        <v>45</v>
      </c>
      <c r="C1089">
        <v>3</v>
      </c>
      <c r="D1089" t="s">
        <v>459</v>
      </c>
      <c r="E1089" s="217">
        <v>45170</v>
      </c>
      <c r="F1089">
        <v>6885</v>
      </c>
      <c r="G1089" t="s">
        <v>259</v>
      </c>
    </row>
    <row r="1090" spans="1:7">
      <c r="A1090" s="216">
        <v>45170</v>
      </c>
      <c r="B1090" t="s">
        <v>45</v>
      </c>
      <c r="C1090">
        <v>3</v>
      </c>
      <c r="D1090" t="s">
        <v>459</v>
      </c>
      <c r="E1090" s="217">
        <v>45170</v>
      </c>
      <c r="F1090">
        <v>6885</v>
      </c>
      <c r="G1090" t="s">
        <v>260</v>
      </c>
    </row>
    <row r="1091" spans="1:7">
      <c r="A1091" s="216">
        <v>45170</v>
      </c>
      <c r="B1091" t="s">
        <v>45</v>
      </c>
      <c r="C1091">
        <v>3</v>
      </c>
      <c r="D1091" t="s">
        <v>459</v>
      </c>
      <c r="E1091" s="217">
        <v>45170</v>
      </c>
      <c r="F1091">
        <v>6885</v>
      </c>
      <c r="G1091" t="s">
        <v>261</v>
      </c>
    </row>
    <row r="1092" spans="1:7">
      <c r="A1092" s="216">
        <v>45170</v>
      </c>
      <c r="B1092" t="s">
        <v>45</v>
      </c>
      <c r="C1092">
        <v>3</v>
      </c>
      <c r="D1092" t="s">
        <v>459</v>
      </c>
      <c r="E1092" s="217">
        <v>45170</v>
      </c>
      <c r="F1092">
        <v>6885</v>
      </c>
      <c r="G1092" t="s">
        <v>262</v>
      </c>
    </row>
    <row r="1093" spans="1:7">
      <c r="A1093" s="216">
        <v>45170</v>
      </c>
      <c r="B1093" t="s">
        <v>45</v>
      </c>
      <c r="C1093">
        <v>3</v>
      </c>
      <c r="D1093" t="s">
        <v>459</v>
      </c>
      <c r="E1093" s="217">
        <v>45170</v>
      </c>
      <c r="F1093">
        <v>84100</v>
      </c>
      <c r="G1093" t="s">
        <v>434</v>
      </c>
    </row>
    <row r="1094" spans="1:7">
      <c r="A1094" s="216">
        <v>45170</v>
      </c>
      <c r="B1094" t="s">
        <v>45</v>
      </c>
      <c r="C1094">
        <v>4</v>
      </c>
      <c r="D1094" t="s">
        <v>460</v>
      </c>
      <c r="E1094" s="217">
        <v>45170</v>
      </c>
      <c r="F1094">
        <v>1018</v>
      </c>
      <c r="G1094" t="s">
        <v>251</v>
      </c>
    </row>
    <row r="1095" spans="1:7">
      <c r="A1095" s="216">
        <v>45170</v>
      </c>
      <c r="B1095" t="s">
        <v>45</v>
      </c>
      <c r="C1095">
        <v>4</v>
      </c>
      <c r="D1095" t="s">
        <v>460</v>
      </c>
      <c r="E1095" s="217">
        <v>45170</v>
      </c>
      <c r="F1095">
        <v>997</v>
      </c>
      <c r="G1095" t="s">
        <v>252</v>
      </c>
    </row>
    <row r="1096" spans="1:7">
      <c r="A1096" s="216">
        <v>45170</v>
      </c>
      <c r="B1096" t="s">
        <v>45</v>
      </c>
      <c r="C1096">
        <v>4</v>
      </c>
      <c r="D1096" t="s">
        <v>460</v>
      </c>
      <c r="E1096" s="217">
        <v>45170</v>
      </c>
      <c r="F1096">
        <v>1004</v>
      </c>
      <c r="G1096" t="s">
        <v>253</v>
      </c>
    </row>
    <row r="1097" spans="1:7">
      <c r="A1097" s="216">
        <v>45170</v>
      </c>
      <c r="B1097" t="s">
        <v>45</v>
      </c>
      <c r="C1097">
        <v>4</v>
      </c>
      <c r="D1097" t="s">
        <v>460</v>
      </c>
      <c r="E1097" s="217">
        <v>45170</v>
      </c>
      <c r="F1097">
        <v>995</v>
      </c>
      <c r="G1097" t="s">
        <v>254</v>
      </c>
    </row>
    <row r="1098" spans="1:7">
      <c r="A1098" s="216">
        <v>45170</v>
      </c>
      <c r="B1098" t="s">
        <v>45</v>
      </c>
      <c r="C1098">
        <v>4</v>
      </c>
      <c r="D1098" t="s">
        <v>460</v>
      </c>
      <c r="E1098" s="217">
        <v>45170</v>
      </c>
      <c r="F1098">
        <v>993</v>
      </c>
      <c r="G1098" t="s">
        <v>255</v>
      </c>
    </row>
    <row r="1099" spans="1:7">
      <c r="A1099" s="216">
        <v>45170</v>
      </c>
      <c r="B1099" t="s">
        <v>45</v>
      </c>
      <c r="C1099">
        <v>4</v>
      </c>
      <c r="D1099" t="s">
        <v>460</v>
      </c>
      <c r="E1099" s="217">
        <v>45170</v>
      </c>
      <c r="F1099">
        <v>996</v>
      </c>
      <c r="G1099" t="s">
        <v>256</v>
      </c>
    </row>
    <row r="1100" spans="1:7">
      <c r="A1100" s="216">
        <v>45170</v>
      </c>
      <c r="B1100" t="s">
        <v>45</v>
      </c>
      <c r="C1100">
        <v>4</v>
      </c>
      <c r="D1100" t="s">
        <v>460</v>
      </c>
      <c r="E1100" s="217">
        <v>45170</v>
      </c>
      <c r="F1100">
        <v>1018</v>
      </c>
      <c r="G1100" t="s">
        <v>257</v>
      </c>
    </row>
    <row r="1101" spans="1:7">
      <c r="A1101" s="216">
        <v>45170</v>
      </c>
      <c r="B1101" t="s">
        <v>45</v>
      </c>
      <c r="C1101">
        <v>4</v>
      </c>
      <c r="D1101" t="s">
        <v>460</v>
      </c>
      <c r="E1101" s="217">
        <v>45170</v>
      </c>
      <c r="F1101">
        <v>1018</v>
      </c>
      <c r="G1101" t="s">
        <v>258</v>
      </c>
    </row>
    <row r="1102" spans="1:7">
      <c r="A1102" s="216">
        <v>45170</v>
      </c>
      <c r="B1102" t="s">
        <v>45</v>
      </c>
      <c r="C1102">
        <v>4</v>
      </c>
      <c r="D1102" t="s">
        <v>460</v>
      </c>
      <c r="E1102" s="217">
        <v>45170</v>
      </c>
      <c r="F1102">
        <v>1018</v>
      </c>
      <c r="G1102" t="s">
        <v>259</v>
      </c>
    </row>
    <row r="1103" spans="1:7">
      <c r="A1103" s="216">
        <v>45170</v>
      </c>
      <c r="B1103" t="s">
        <v>45</v>
      </c>
      <c r="C1103">
        <v>4</v>
      </c>
      <c r="D1103" t="s">
        <v>460</v>
      </c>
      <c r="E1103" s="217">
        <v>45170</v>
      </c>
      <c r="F1103">
        <v>1018</v>
      </c>
      <c r="G1103" t="s">
        <v>260</v>
      </c>
    </row>
    <row r="1104" spans="1:7">
      <c r="A1104" s="216">
        <v>45170</v>
      </c>
      <c r="B1104" t="s">
        <v>45</v>
      </c>
      <c r="C1104">
        <v>4</v>
      </c>
      <c r="D1104" t="s">
        <v>460</v>
      </c>
      <c r="E1104" s="217">
        <v>45170</v>
      </c>
      <c r="F1104">
        <v>1018</v>
      </c>
      <c r="G1104" t="s">
        <v>261</v>
      </c>
    </row>
    <row r="1105" spans="1:7">
      <c r="A1105" s="216">
        <v>45170</v>
      </c>
      <c r="B1105" t="s">
        <v>45</v>
      </c>
      <c r="C1105">
        <v>4</v>
      </c>
      <c r="D1105" t="s">
        <v>460</v>
      </c>
      <c r="E1105" s="217">
        <v>45170</v>
      </c>
      <c r="F1105">
        <v>1018</v>
      </c>
      <c r="G1105" t="s">
        <v>262</v>
      </c>
    </row>
    <row r="1106" spans="1:7">
      <c r="A1106" s="216">
        <v>45170</v>
      </c>
      <c r="B1106" t="s">
        <v>45</v>
      </c>
      <c r="C1106">
        <v>4</v>
      </c>
      <c r="D1106" t="s">
        <v>460</v>
      </c>
      <c r="E1106" s="217">
        <v>45170</v>
      </c>
      <c r="F1106">
        <v>12111</v>
      </c>
      <c r="G1106" t="s">
        <v>434</v>
      </c>
    </row>
    <row r="1107" spans="1:7">
      <c r="A1107" s="216">
        <v>45170</v>
      </c>
      <c r="B1107" t="s">
        <v>45</v>
      </c>
      <c r="C1107">
        <v>5</v>
      </c>
      <c r="D1107" t="s">
        <v>458</v>
      </c>
      <c r="E1107" s="217">
        <v>45170</v>
      </c>
      <c r="F1107">
        <v>10</v>
      </c>
      <c r="G1107" t="s">
        <v>251</v>
      </c>
    </row>
    <row r="1108" spans="1:7">
      <c r="A1108" s="216">
        <v>45170</v>
      </c>
      <c r="B1108" t="s">
        <v>45</v>
      </c>
      <c r="C1108">
        <v>5</v>
      </c>
      <c r="D1108" t="s">
        <v>458</v>
      </c>
      <c r="E1108" s="217">
        <v>45170</v>
      </c>
      <c r="F1108">
        <v>-570</v>
      </c>
      <c r="G1108" t="s">
        <v>252</v>
      </c>
    </row>
    <row r="1109" spans="1:7">
      <c r="A1109" s="216">
        <v>45170</v>
      </c>
      <c r="B1109" t="s">
        <v>45</v>
      </c>
      <c r="C1109">
        <v>5</v>
      </c>
      <c r="D1109" t="s">
        <v>458</v>
      </c>
      <c r="E1109" s="217">
        <v>45170</v>
      </c>
      <c r="F1109">
        <v>-67</v>
      </c>
      <c r="G1109" t="s">
        <v>253</v>
      </c>
    </row>
    <row r="1110" spans="1:7">
      <c r="A1110" s="216">
        <v>45170</v>
      </c>
      <c r="B1110" t="s">
        <v>45</v>
      </c>
      <c r="C1110">
        <v>5</v>
      </c>
      <c r="D1110" t="s">
        <v>458</v>
      </c>
      <c r="E1110" s="217">
        <v>45170</v>
      </c>
      <c r="F1110">
        <v>264</v>
      </c>
      <c r="G1110" t="s">
        <v>254</v>
      </c>
    </row>
    <row r="1111" spans="1:7">
      <c r="A1111" s="216">
        <v>45170</v>
      </c>
      <c r="B1111" t="s">
        <v>45</v>
      </c>
      <c r="C1111">
        <v>5</v>
      </c>
      <c r="D1111" t="s">
        <v>458</v>
      </c>
      <c r="E1111" s="217">
        <v>45170</v>
      </c>
      <c r="F1111">
        <v>-582</v>
      </c>
      <c r="G1111" t="s">
        <v>255</v>
      </c>
    </row>
    <row r="1112" spans="1:7">
      <c r="A1112" s="216">
        <v>45170</v>
      </c>
      <c r="B1112" t="s">
        <v>45</v>
      </c>
      <c r="C1112">
        <v>5</v>
      </c>
      <c r="D1112" t="s">
        <v>458</v>
      </c>
      <c r="E1112" s="217">
        <v>45170</v>
      </c>
      <c r="F1112">
        <v>-73</v>
      </c>
      <c r="G1112" t="s">
        <v>256</v>
      </c>
    </row>
    <row r="1113" spans="1:7">
      <c r="A1113" s="216">
        <v>45170</v>
      </c>
      <c r="B1113" t="s">
        <v>45</v>
      </c>
      <c r="C1113">
        <v>5</v>
      </c>
      <c r="D1113" t="s">
        <v>458</v>
      </c>
      <c r="E1113" s="217">
        <v>45170</v>
      </c>
      <c r="F1113">
        <v>10</v>
      </c>
      <c r="G1113" t="s">
        <v>257</v>
      </c>
    </row>
    <row r="1114" spans="1:7">
      <c r="A1114" s="216">
        <v>45170</v>
      </c>
      <c r="B1114" t="s">
        <v>45</v>
      </c>
      <c r="C1114">
        <v>5</v>
      </c>
      <c r="D1114" t="s">
        <v>458</v>
      </c>
      <c r="E1114" s="217">
        <v>45170</v>
      </c>
      <c r="F1114">
        <v>10</v>
      </c>
      <c r="G1114" t="s">
        <v>258</v>
      </c>
    </row>
    <row r="1115" spans="1:7">
      <c r="A1115" s="216">
        <v>45170</v>
      </c>
      <c r="B1115" t="s">
        <v>45</v>
      </c>
      <c r="C1115">
        <v>5</v>
      </c>
      <c r="D1115" t="s">
        <v>458</v>
      </c>
      <c r="E1115" s="217">
        <v>45170</v>
      </c>
      <c r="F1115">
        <v>10</v>
      </c>
      <c r="G1115" t="s">
        <v>259</v>
      </c>
    </row>
    <row r="1116" spans="1:7">
      <c r="A1116" s="216">
        <v>45170</v>
      </c>
      <c r="B1116" t="s">
        <v>45</v>
      </c>
      <c r="C1116">
        <v>5</v>
      </c>
      <c r="D1116" t="s">
        <v>458</v>
      </c>
      <c r="E1116" s="217">
        <v>45170</v>
      </c>
      <c r="F1116">
        <v>10</v>
      </c>
      <c r="G1116" t="s">
        <v>260</v>
      </c>
    </row>
    <row r="1117" spans="1:7">
      <c r="A1117" s="216">
        <v>45170</v>
      </c>
      <c r="B1117" t="s">
        <v>45</v>
      </c>
      <c r="C1117">
        <v>5</v>
      </c>
      <c r="D1117" t="s">
        <v>458</v>
      </c>
      <c r="E1117" s="217">
        <v>45170</v>
      </c>
      <c r="F1117">
        <v>10</v>
      </c>
      <c r="G1117" t="s">
        <v>261</v>
      </c>
    </row>
    <row r="1118" spans="1:7">
      <c r="A1118" s="216">
        <v>45170</v>
      </c>
      <c r="B1118" t="s">
        <v>45</v>
      </c>
      <c r="C1118">
        <v>5</v>
      </c>
      <c r="D1118" t="s">
        <v>458</v>
      </c>
      <c r="E1118" s="217">
        <v>45170</v>
      </c>
      <c r="F1118">
        <v>10</v>
      </c>
      <c r="G1118" t="s">
        <v>262</v>
      </c>
    </row>
    <row r="1119" spans="1:7">
      <c r="A1119" s="216">
        <v>45170</v>
      </c>
      <c r="B1119" t="s">
        <v>45</v>
      </c>
      <c r="C1119">
        <v>5</v>
      </c>
      <c r="D1119" t="s">
        <v>458</v>
      </c>
      <c r="E1119" s="217">
        <v>45170</v>
      </c>
      <c r="F1119">
        <v>-958</v>
      </c>
      <c r="G1119" t="s">
        <v>434</v>
      </c>
    </row>
    <row r="1120" spans="1:7">
      <c r="A1120" s="216">
        <v>45170</v>
      </c>
      <c r="B1120" t="s">
        <v>45</v>
      </c>
      <c r="C1120">
        <v>6</v>
      </c>
      <c r="D1120" t="s">
        <v>448</v>
      </c>
      <c r="E1120" s="217">
        <v>45170</v>
      </c>
      <c r="F1120">
        <v>3455</v>
      </c>
      <c r="G1120" t="s">
        <v>251</v>
      </c>
    </row>
    <row r="1121" spans="1:7">
      <c r="A1121" s="216">
        <v>45170</v>
      </c>
      <c r="B1121" t="s">
        <v>45</v>
      </c>
      <c r="C1121">
        <v>6</v>
      </c>
      <c r="D1121" t="s">
        <v>448</v>
      </c>
      <c r="E1121" s="217">
        <v>45170</v>
      </c>
      <c r="F1121">
        <v>3394</v>
      </c>
      <c r="G1121" t="s">
        <v>252</v>
      </c>
    </row>
    <row r="1122" spans="1:7">
      <c r="A1122" s="216">
        <v>45170</v>
      </c>
      <c r="B1122" t="s">
        <v>45</v>
      </c>
      <c r="C1122">
        <v>6</v>
      </c>
      <c r="D1122" t="s">
        <v>448</v>
      </c>
      <c r="E1122" s="217">
        <v>45170</v>
      </c>
      <c r="F1122">
        <v>3437</v>
      </c>
      <c r="G1122" t="s">
        <v>253</v>
      </c>
    </row>
    <row r="1123" spans="1:7">
      <c r="A1123" s="216">
        <v>45170</v>
      </c>
      <c r="B1123" t="s">
        <v>45</v>
      </c>
      <c r="C1123">
        <v>6</v>
      </c>
      <c r="D1123" t="s">
        <v>448</v>
      </c>
      <c r="E1123" s="217">
        <v>45170</v>
      </c>
      <c r="F1123">
        <v>3439</v>
      </c>
      <c r="G1123" t="s">
        <v>254</v>
      </c>
    </row>
    <row r="1124" spans="1:7">
      <c r="A1124" s="216">
        <v>45170</v>
      </c>
      <c r="B1124" t="s">
        <v>45</v>
      </c>
      <c r="C1124">
        <v>6</v>
      </c>
      <c r="D1124" t="s">
        <v>448</v>
      </c>
      <c r="E1124" s="217">
        <v>45170</v>
      </c>
      <c r="F1124">
        <v>3210</v>
      </c>
      <c r="G1124" t="s">
        <v>255</v>
      </c>
    </row>
    <row r="1125" spans="1:7">
      <c r="A1125" s="216">
        <v>45170</v>
      </c>
      <c r="B1125" t="s">
        <v>45</v>
      </c>
      <c r="C1125">
        <v>6</v>
      </c>
      <c r="D1125" t="s">
        <v>448</v>
      </c>
      <c r="E1125" s="217">
        <v>45170</v>
      </c>
      <c r="F1125">
        <v>3980</v>
      </c>
      <c r="G1125" t="s">
        <v>256</v>
      </c>
    </row>
    <row r="1126" spans="1:7">
      <c r="A1126" s="216">
        <v>45170</v>
      </c>
      <c r="B1126" t="s">
        <v>45</v>
      </c>
      <c r="C1126">
        <v>6</v>
      </c>
      <c r="D1126" t="s">
        <v>448</v>
      </c>
      <c r="E1126" s="217">
        <v>45170</v>
      </c>
      <c r="F1126">
        <v>3455</v>
      </c>
      <c r="G1126" t="s">
        <v>257</v>
      </c>
    </row>
    <row r="1127" spans="1:7">
      <c r="A1127" s="216">
        <v>45170</v>
      </c>
      <c r="B1127" t="s">
        <v>45</v>
      </c>
      <c r="C1127">
        <v>6</v>
      </c>
      <c r="D1127" t="s">
        <v>448</v>
      </c>
      <c r="E1127" s="217">
        <v>45170</v>
      </c>
      <c r="F1127">
        <v>3455</v>
      </c>
      <c r="G1127" t="s">
        <v>258</v>
      </c>
    </row>
    <row r="1128" spans="1:7">
      <c r="A1128" s="216">
        <v>45170</v>
      </c>
      <c r="B1128" t="s">
        <v>45</v>
      </c>
      <c r="C1128">
        <v>6</v>
      </c>
      <c r="D1128" t="s">
        <v>448</v>
      </c>
      <c r="E1128" s="217">
        <v>45170</v>
      </c>
      <c r="F1128">
        <v>3455</v>
      </c>
      <c r="G1128" t="s">
        <v>259</v>
      </c>
    </row>
    <row r="1129" spans="1:7">
      <c r="A1129" s="216">
        <v>45170</v>
      </c>
      <c r="B1129" t="s">
        <v>45</v>
      </c>
      <c r="C1129">
        <v>6</v>
      </c>
      <c r="D1129" t="s">
        <v>448</v>
      </c>
      <c r="E1129" s="217">
        <v>45170</v>
      </c>
      <c r="F1129">
        <v>3455</v>
      </c>
      <c r="G1129" t="s">
        <v>260</v>
      </c>
    </row>
    <row r="1130" spans="1:7">
      <c r="A1130" s="216">
        <v>45170</v>
      </c>
      <c r="B1130" t="s">
        <v>45</v>
      </c>
      <c r="C1130">
        <v>6</v>
      </c>
      <c r="D1130" t="s">
        <v>448</v>
      </c>
      <c r="E1130" s="217">
        <v>45170</v>
      </c>
      <c r="F1130">
        <v>3455</v>
      </c>
      <c r="G1130" t="s">
        <v>261</v>
      </c>
    </row>
    <row r="1131" spans="1:7">
      <c r="A1131" s="216">
        <v>45170</v>
      </c>
      <c r="B1131" t="s">
        <v>45</v>
      </c>
      <c r="C1131">
        <v>6</v>
      </c>
      <c r="D1131" t="s">
        <v>448</v>
      </c>
      <c r="E1131" s="217">
        <v>45170</v>
      </c>
      <c r="F1131">
        <v>3455</v>
      </c>
      <c r="G1131" t="s">
        <v>262</v>
      </c>
    </row>
    <row r="1132" spans="1:7">
      <c r="A1132" s="216">
        <v>45170</v>
      </c>
      <c r="B1132" t="s">
        <v>45</v>
      </c>
      <c r="C1132">
        <v>6</v>
      </c>
      <c r="D1132" t="s">
        <v>448</v>
      </c>
      <c r="E1132" s="217">
        <v>45170</v>
      </c>
      <c r="F1132">
        <v>41645</v>
      </c>
      <c r="G1132" t="s">
        <v>434</v>
      </c>
    </row>
    <row r="1133" spans="1:7">
      <c r="A1133" s="216">
        <v>45170</v>
      </c>
      <c r="B1133" t="s">
        <v>45</v>
      </c>
      <c r="C1133">
        <v>7</v>
      </c>
      <c r="D1133" t="s">
        <v>442</v>
      </c>
      <c r="E1133" s="217">
        <v>45170</v>
      </c>
      <c r="F1133">
        <v>108449</v>
      </c>
      <c r="G1133" t="s">
        <v>251</v>
      </c>
    </row>
    <row r="1134" spans="1:7">
      <c r="A1134" s="216">
        <v>45170</v>
      </c>
      <c r="B1134" t="s">
        <v>45</v>
      </c>
      <c r="C1134">
        <v>7</v>
      </c>
      <c r="D1134" t="s">
        <v>442</v>
      </c>
      <c r="E1134" s="217">
        <v>45170</v>
      </c>
      <c r="F1134">
        <v>112846</v>
      </c>
      <c r="G1134" t="s">
        <v>252</v>
      </c>
    </row>
    <row r="1135" spans="1:7">
      <c r="A1135" s="216">
        <v>45170</v>
      </c>
      <c r="B1135" t="s">
        <v>45</v>
      </c>
      <c r="C1135">
        <v>7</v>
      </c>
      <c r="D1135" t="s">
        <v>442</v>
      </c>
      <c r="E1135" s="217">
        <v>45170</v>
      </c>
      <c r="F1135">
        <v>127107</v>
      </c>
      <c r="G1135" t="s">
        <v>253</v>
      </c>
    </row>
    <row r="1136" spans="1:7">
      <c r="A1136" s="216">
        <v>45170</v>
      </c>
      <c r="B1136" t="s">
        <v>45</v>
      </c>
      <c r="C1136">
        <v>7</v>
      </c>
      <c r="D1136" t="s">
        <v>442</v>
      </c>
      <c r="E1136" s="217">
        <v>45170</v>
      </c>
      <c r="F1136">
        <v>121596</v>
      </c>
      <c r="G1136" t="s">
        <v>254</v>
      </c>
    </row>
    <row r="1137" spans="1:7">
      <c r="A1137" s="216">
        <v>45170</v>
      </c>
      <c r="B1137" t="s">
        <v>45</v>
      </c>
      <c r="C1137">
        <v>7</v>
      </c>
      <c r="D1137" t="s">
        <v>442</v>
      </c>
      <c r="E1137" s="217">
        <v>45170</v>
      </c>
      <c r="F1137">
        <v>116052</v>
      </c>
      <c r="G1137" t="s">
        <v>255</v>
      </c>
    </row>
    <row r="1138" spans="1:7">
      <c r="A1138" s="216">
        <v>45170</v>
      </c>
      <c r="B1138" t="s">
        <v>45</v>
      </c>
      <c r="C1138">
        <v>7</v>
      </c>
      <c r="D1138" t="s">
        <v>442</v>
      </c>
      <c r="E1138" s="217">
        <v>45170</v>
      </c>
      <c r="F1138">
        <v>113282</v>
      </c>
      <c r="G1138" t="s">
        <v>256</v>
      </c>
    </row>
    <row r="1139" spans="1:7">
      <c r="A1139" s="216">
        <v>45170</v>
      </c>
      <c r="B1139" t="s">
        <v>45</v>
      </c>
      <c r="C1139">
        <v>7</v>
      </c>
      <c r="D1139" t="s">
        <v>442</v>
      </c>
      <c r="E1139" s="217">
        <v>45170</v>
      </c>
      <c r="F1139">
        <v>122073</v>
      </c>
      <c r="G1139" t="s">
        <v>257</v>
      </c>
    </row>
    <row r="1140" spans="1:7">
      <c r="A1140" s="216">
        <v>45170</v>
      </c>
      <c r="B1140" t="s">
        <v>45</v>
      </c>
      <c r="C1140">
        <v>7</v>
      </c>
      <c r="D1140" t="s">
        <v>442</v>
      </c>
      <c r="E1140" s="217">
        <v>45170</v>
      </c>
      <c r="F1140">
        <v>119315</v>
      </c>
      <c r="G1140" t="s">
        <v>258</v>
      </c>
    </row>
    <row r="1141" spans="1:7">
      <c r="A1141" s="216">
        <v>45170</v>
      </c>
      <c r="B1141" t="s">
        <v>45</v>
      </c>
      <c r="C1141">
        <v>7</v>
      </c>
      <c r="D1141" t="s">
        <v>442</v>
      </c>
      <c r="E1141" s="217">
        <v>45170</v>
      </c>
      <c r="F1141">
        <v>119628</v>
      </c>
      <c r="G1141" t="s">
        <v>259</v>
      </c>
    </row>
    <row r="1142" spans="1:7">
      <c r="A1142" s="216">
        <v>45170</v>
      </c>
      <c r="B1142" t="s">
        <v>45</v>
      </c>
      <c r="C1142">
        <v>7</v>
      </c>
      <c r="D1142" t="s">
        <v>442</v>
      </c>
      <c r="E1142" s="217">
        <v>45170</v>
      </c>
      <c r="F1142">
        <v>118564</v>
      </c>
      <c r="G1142" t="s">
        <v>260</v>
      </c>
    </row>
    <row r="1143" spans="1:7">
      <c r="A1143" s="216">
        <v>45170</v>
      </c>
      <c r="B1143" t="s">
        <v>45</v>
      </c>
      <c r="C1143">
        <v>7</v>
      </c>
      <c r="D1143" t="s">
        <v>442</v>
      </c>
      <c r="E1143" s="217">
        <v>45170</v>
      </c>
      <c r="F1143">
        <v>118678</v>
      </c>
      <c r="G1143" t="s">
        <v>261</v>
      </c>
    </row>
    <row r="1144" spans="1:7">
      <c r="A1144" s="216">
        <v>45170</v>
      </c>
      <c r="B1144" t="s">
        <v>45</v>
      </c>
      <c r="C1144">
        <v>7</v>
      </c>
      <c r="D1144" t="s">
        <v>442</v>
      </c>
      <c r="E1144" s="217">
        <v>45170</v>
      </c>
      <c r="F1144">
        <v>115407</v>
      </c>
      <c r="G1144" t="s">
        <v>262</v>
      </c>
    </row>
    <row r="1145" spans="1:7">
      <c r="A1145" s="216">
        <v>45170</v>
      </c>
      <c r="B1145" t="s">
        <v>45</v>
      </c>
      <c r="C1145">
        <v>7</v>
      </c>
      <c r="D1145" t="s">
        <v>442</v>
      </c>
      <c r="E1145" s="217">
        <v>45170</v>
      </c>
      <c r="F1145">
        <v>1412997</v>
      </c>
      <c r="G1145" t="s">
        <v>434</v>
      </c>
    </row>
    <row r="1146" spans="1:7">
      <c r="A1146" s="216">
        <v>45170</v>
      </c>
      <c r="B1146" t="s">
        <v>45</v>
      </c>
      <c r="C1146">
        <v>8</v>
      </c>
      <c r="D1146" t="s">
        <v>451</v>
      </c>
      <c r="E1146" s="217">
        <v>45170</v>
      </c>
      <c r="F1146">
        <v>12115</v>
      </c>
      <c r="G1146" t="s">
        <v>251</v>
      </c>
    </row>
    <row r="1147" spans="1:7">
      <c r="A1147" s="216">
        <v>45170</v>
      </c>
      <c r="B1147" t="s">
        <v>45</v>
      </c>
      <c r="C1147">
        <v>8</v>
      </c>
      <c r="D1147" t="s">
        <v>451</v>
      </c>
      <c r="E1147" s="217">
        <v>45170</v>
      </c>
      <c r="F1147">
        <v>11918</v>
      </c>
      <c r="G1147" t="s">
        <v>252</v>
      </c>
    </row>
    <row r="1148" spans="1:7">
      <c r="A1148" s="216">
        <v>45170</v>
      </c>
      <c r="B1148" t="s">
        <v>45</v>
      </c>
      <c r="C1148">
        <v>8</v>
      </c>
      <c r="D1148" t="s">
        <v>451</v>
      </c>
      <c r="E1148" s="217">
        <v>45170</v>
      </c>
      <c r="F1148">
        <v>13127</v>
      </c>
      <c r="G1148" t="s">
        <v>253</v>
      </c>
    </row>
    <row r="1149" spans="1:7">
      <c r="A1149" s="216">
        <v>45170</v>
      </c>
      <c r="B1149" t="s">
        <v>45</v>
      </c>
      <c r="C1149">
        <v>8</v>
      </c>
      <c r="D1149" t="s">
        <v>451</v>
      </c>
      <c r="E1149" s="217">
        <v>45170</v>
      </c>
      <c r="F1149">
        <v>12624</v>
      </c>
      <c r="G1149" t="s">
        <v>254</v>
      </c>
    </row>
    <row r="1150" spans="1:7">
      <c r="A1150" s="216">
        <v>45170</v>
      </c>
      <c r="B1150" t="s">
        <v>45</v>
      </c>
      <c r="C1150">
        <v>8</v>
      </c>
      <c r="D1150" t="s">
        <v>451</v>
      </c>
      <c r="E1150" s="217">
        <v>45170</v>
      </c>
      <c r="F1150">
        <v>13280</v>
      </c>
      <c r="G1150" t="s">
        <v>255</v>
      </c>
    </row>
    <row r="1151" spans="1:7">
      <c r="A1151" s="216">
        <v>45170</v>
      </c>
      <c r="B1151" t="s">
        <v>45</v>
      </c>
      <c r="C1151">
        <v>8</v>
      </c>
      <c r="D1151" t="s">
        <v>451</v>
      </c>
      <c r="E1151" s="217">
        <v>45170</v>
      </c>
      <c r="F1151">
        <v>12706</v>
      </c>
      <c r="G1151" t="s">
        <v>256</v>
      </c>
    </row>
    <row r="1152" spans="1:7">
      <c r="A1152" s="216">
        <v>45170</v>
      </c>
      <c r="B1152" t="s">
        <v>45</v>
      </c>
      <c r="C1152">
        <v>8</v>
      </c>
      <c r="D1152" t="s">
        <v>451</v>
      </c>
      <c r="E1152" s="217">
        <v>45170</v>
      </c>
      <c r="F1152">
        <v>12710</v>
      </c>
      <c r="G1152" t="s">
        <v>257</v>
      </c>
    </row>
    <row r="1153" spans="1:7">
      <c r="A1153" s="216">
        <v>45170</v>
      </c>
      <c r="B1153" t="s">
        <v>45</v>
      </c>
      <c r="C1153">
        <v>8</v>
      </c>
      <c r="D1153" t="s">
        <v>451</v>
      </c>
      <c r="E1153" s="217">
        <v>45170</v>
      </c>
      <c r="F1153">
        <v>12840</v>
      </c>
      <c r="G1153" t="s">
        <v>258</v>
      </c>
    </row>
    <row r="1154" spans="1:7">
      <c r="A1154" s="216">
        <v>45170</v>
      </c>
      <c r="B1154" t="s">
        <v>45</v>
      </c>
      <c r="C1154">
        <v>8</v>
      </c>
      <c r="D1154" t="s">
        <v>451</v>
      </c>
      <c r="E1154" s="217">
        <v>45170</v>
      </c>
      <c r="F1154">
        <v>12840</v>
      </c>
      <c r="G1154" t="s">
        <v>259</v>
      </c>
    </row>
    <row r="1155" spans="1:7">
      <c r="A1155" s="216">
        <v>45170</v>
      </c>
      <c r="B1155" t="s">
        <v>45</v>
      </c>
      <c r="C1155">
        <v>8</v>
      </c>
      <c r="D1155" t="s">
        <v>451</v>
      </c>
      <c r="E1155" s="217">
        <v>45170</v>
      </c>
      <c r="F1155">
        <v>12840</v>
      </c>
      <c r="G1155" t="s">
        <v>260</v>
      </c>
    </row>
    <row r="1156" spans="1:7">
      <c r="A1156" s="216">
        <v>45170</v>
      </c>
      <c r="B1156" t="s">
        <v>45</v>
      </c>
      <c r="C1156">
        <v>8</v>
      </c>
      <c r="D1156" t="s">
        <v>451</v>
      </c>
      <c r="E1156" s="217">
        <v>45170</v>
      </c>
      <c r="F1156">
        <v>12840</v>
      </c>
      <c r="G1156" t="s">
        <v>261</v>
      </c>
    </row>
    <row r="1157" spans="1:7">
      <c r="A1157" s="216">
        <v>45170</v>
      </c>
      <c r="B1157" t="s">
        <v>45</v>
      </c>
      <c r="C1157">
        <v>8</v>
      </c>
      <c r="D1157" t="s">
        <v>451</v>
      </c>
      <c r="E1157" s="217">
        <v>45170</v>
      </c>
      <c r="F1157">
        <v>13073</v>
      </c>
      <c r="G1157" t="s">
        <v>262</v>
      </c>
    </row>
    <row r="1158" spans="1:7">
      <c r="A1158" s="216">
        <v>45170</v>
      </c>
      <c r="B1158" t="s">
        <v>45</v>
      </c>
      <c r="C1158">
        <v>8</v>
      </c>
      <c r="D1158" t="s">
        <v>451</v>
      </c>
      <c r="E1158" s="217">
        <v>45170</v>
      </c>
      <c r="F1158">
        <v>152913</v>
      </c>
      <c r="G1158" t="s">
        <v>434</v>
      </c>
    </row>
    <row r="1159" spans="1:7">
      <c r="A1159" s="216">
        <v>45170</v>
      </c>
      <c r="B1159" t="s">
        <v>45</v>
      </c>
      <c r="C1159">
        <v>9</v>
      </c>
      <c r="D1159" t="s">
        <v>450</v>
      </c>
      <c r="E1159" s="217">
        <v>45170</v>
      </c>
      <c r="F1159">
        <v>8680</v>
      </c>
      <c r="G1159" t="s">
        <v>251</v>
      </c>
    </row>
    <row r="1160" spans="1:7">
      <c r="A1160" s="216">
        <v>45170</v>
      </c>
      <c r="B1160" t="s">
        <v>45</v>
      </c>
      <c r="C1160">
        <v>9</v>
      </c>
      <c r="D1160" t="s">
        <v>450</v>
      </c>
      <c r="E1160" s="217">
        <v>45170</v>
      </c>
      <c r="F1160">
        <v>9370</v>
      </c>
      <c r="G1160" t="s">
        <v>252</v>
      </c>
    </row>
    <row r="1161" spans="1:7">
      <c r="A1161" s="216">
        <v>45170</v>
      </c>
      <c r="B1161" t="s">
        <v>45</v>
      </c>
      <c r="C1161">
        <v>9</v>
      </c>
      <c r="D1161" t="s">
        <v>450</v>
      </c>
      <c r="E1161" s="217">
        <v>45170</v>
      </c>
      <c r="F1161">
        <v>8867</v>
      </c>
      <c r="G1161" t="s">
        <v>253</v>
      </c>
    </row>
    <row r="1162" spans="1:7">
      <c r="A1162" s="216">
        <v>45170</v>
      </c>
      <c r="B1162" t="s">
        <v>45</v>
      </c>
      <c r="C1162">
        <v>9</v>
      </c>
      <c r="D1162" t="s">
        <v>450</v>
      </c>
      <c r="E1162" s="217">
        <v>45170</v>
      </c>
      <c r="F1162">
        <v>8758</v>
      </c>
      <c r="G1162" t="s">
        <v>254</v>
      </c>
    </row>
    <row r="1163" spans="1:7">
      <c r="A1163" s="216">
        <v>45170</v>
      </c>
      <c r="B1163" t="s">
        <v>45</v>
      </c>
      <c r="C1163">
        <v>9</v>
      </c>
      <c r="D1163" t="s">
        <v>450</v>
      </c>
      <c r="E1163" s="217">
        <v>45170</v>
      </c>
      <c r="F1163">
        <v>8795</v>
      </c>
      <c r="G1163" t="s">
        <v>255</v>
      </c>
    </row>
    <row r="1164" spans="1:7">
      <c r="A1164" s="216">
        <v>45170</v>
      </c>
      <c r="B1164" t="s">
        <v>45</v>
      </c>
      <c r="C1164">
        <v>9</v>
      </c>
      <c r="D1164" t="s">
        <v>450</v>
      </c>
      <c r="E1164" s="217">
        <v>45170</v>
      </c>
      <c r="F1164">
        <v>7796</v>
      </c>
      <c r="G1164" t="s">
        <v>256</v>
      </c>
    </row>
    <row r="1165" spans="1:7">
      <c r="A1165" s="216">
        <v>45170</v>
      </c>
      <c r="B1165" t="s">
        <v>45</v>
      </c>
      <c r="C1165">
        <v>9</v>
      </c>
      <c r="D1165" t="s">
        <v>450</v>
      </c>
      <c r="E1165" s="217">
        <v>45170</v>
      </c>
      <c r="F1165">
        <v>8172</v>
      </c>
      <c r="G1165" t="s">
        <v>257</v>
      </c>
    </row>
    <row r="1166" spans="1:7">
      <c r="A1166" s="216">
        <v>45170</v>
      </c>
      <c r="B1166" t="s">
        <v>45</v>
      </c>
      <c r="C1166">
        <v>9</v>
      </c>
      <c r="D1166" t="s">
        <v>450</v>
      </c>
      <c r="E1166" s="217">
        <v>45170</v>
      </c>
      <c r="F1166">
        <v>8872</v>
      </c>
      <c r="G1166" t="s">
        <v>258</v>
      </c>
    </row>
    <row r="1167" spans="1:7">
      <c r="A1167" s="216">
        <v>45170</v>
      </c>
      <c r="B1167" t="s">
        <v>45</v>
      </c>
      <c r="C1167">
        <v>9</v>
      </c>
      <c r="D1167" t="s">
        <v>450</v>
      </c>
      <c r="E1167" s="217">
        <v>45170</v>
      </c>
      <c r="F1167">
        <v>8872</v>
      </c>
      <c r="G1167" t="s">
        <v>259</v>
      </c>
    </row>
    <row r="1168" spans="1:7">
      <c r="A1168" s="216">
        <v>45170</v>
      </c>
      <c r="B1168" t="s">
        <v>45</v>
      </c>
      <c r="C1168">
        <v>9</v>
      </c>
      <c r="D1168" t="s">
        <v>450</v>
      </c>
      <c r="E1168" s="217">
        <v>45170</v>
      </c>
      <c r="F1168">
        <v>8172</v>
      </c>
      <c r="G1168" t="s">
        <v>260</v>
      </c>
    </row>
    <row r="1169" spans="1:7">
      <c r="A1169" s="216">
        <v>45170</v>
      </c>
      <c r="B1169" t="s">
        <v>45</v>
      </c>
      <c r="C1169">
        <v>9</v>
      </c>
      <c r="D1169" t="s">
        <v>450</v>
      </c>
      <c r="E1169" s="217">
        <v>45170</v>
      </c>
      <c r="F1169">
        <v>8172</v>
      </c>
      <c r="G1169" t="s">
        <v>261</v>
      </c>
    </row>
    <row r="1170" spans="1:7">
      <c r="A1170" s="216">
        <v>45170</v>
      </c>
      <c r="B1170" t="s">
        <v>45</v>
      </c>
      <c r="C1170">
        <v>9</v>
      </c>
      <c r="D1170" t="s">
        <v>450</v>
      </c>
      <c r="E1170" s="217">
        <v>45170</v>
      </c>
      <c r="F1170">
        <v>8486</v>
      </c>
      <c r="G1170" t="s">
        <v>262</v>
      </c>
    </row>
    <row r="1171" spans="1:7">
      <c r="A1171" s="216">
        <v>45170</v>
      </c>
      <c r="B1171" t="s">
        <v>45</v>
      </c>
      <c r="C1171">
        <v>9</v>
      </c>
      <c r="D1171" t="s">
        <v>450</v>
      </c>
      <c r="E1171" s="217">
        <v>45170</v>
      </c>
      <c r="F1171">
        <v>103012</v>
      </c>
      <c r="G1171" t="s">
        <v>434</v>
      </c>
    </row>
    <row r="1172" spans="1:7">
      <c r="A1172" s="216">
        <v>45170</v>
      </c>
      <c r="B1172" t="s">
        <v>45</v>
      </c>
      <c r="C1172">
        <v>10</v>
      </c>
      <c r="D1172" t="s">
        <v>433</v>
      </c>
      <c r="E1172" s="217">
        <v>45170</v>
      </c>
      <c r="F1172">
        <v>51950</v>
      </c>
      <c r="G1172" t="s">
        <v>251</v>
      </c>
    </row>
    <row r="1173" spans="1:7">
      <c r="A1173" s="216">
        <v>45170</v>
      </c>
      <c r="B1173" t="s">
        <v>45</v>
      </c>
      <c r="C1173">
        <v>10</v>
      </c>
      <c r="D1173" t="s">
        <v>433</v>
      </c>
      <c r="E1173" s="217">
        <v>45170</v>
      </c>
      <c r="F1173">
        <v>52205</v>
      </c>
      <c r="G1173" t="s">
        <v>252</v>
      </c>
    </row>
    <row r="1174" spans="1:7">
      <c r="A1174" s="216">
        <v>45170</v>
      </c>
      <c r="B1174" t="s">
        <v>45</v>
      </c>
      <c r="C1174">
        <v>10</v>
      </c>
      <c r="D1174" t="s">
        <v>433</v>
      </c>
      <c r="E1174" s="217">
        <v>45170</v>
      </c>
      <c r="F1174">
        <v>63719</v>
      </c>
      <c r="G1174" t="s">
        <v>253</v>
      </c>
    </row>
    <row r="1175" spans="1:7">
      <c r="A1175" s="216">
        <v>45170</v>
      </c>
      <c r="B1175" t="s">
        <v>45</v>
      </c>
      <c r="C1175">
        <v>10</v>
      </c>
      <c r="D1175" t="s">
        <v>433</v>
      </c>
      <c r="E1175" s="217">
        <v>45170</v>
      </c>
      <c r="F1175">
        <v>60804</v>
      </c>
      <c r="G1175" t="s">
        <v>254</v>
      </c>
    </row>
    <row r="1176" spans="1:7">
      <c r="A1176" s="216">
        <v>45170</v>
      </c>
      <c r="B1176" t="s">
        <v>45</v>
      </c>
      <c r="C1176">
        <v>10</v>
      </c>
      <c r="D1176" t="s">
        <v>433</v>
      </c>
      <c r="E1176" s="217">
        <v>45170</v>
      </c>
      <c r="F1176">
        <v>54238</v>
      </c>
      <c r="G1176" t="s">
        <v>255</v>
      </c>
    </row>
    <row r="1177" spans="1:7">
      <c r="A1177" s="216">
        <v>45170</v>
      </c>
      <c r="B1177" t="s">
        <v>45</v>
      </c>
      <c r="C1177">
        <v>10</v>
      </c>
      <c r="D1177" t="s">
        <v>433</v>
      </c>
      <c r="E1177" s="217">
        <v>45170</v>
      </c>
      <c r="F1177">
        <v>54810</v>
      </c>
      <c r="G1177" t="s">
        <v>256</v>
      </c>
    </row>
    <row r="1178" spans="1:7">
      <c r="A1178" s="216">
        <v>45170</v>
      </c>
      <c r="B1178" t="s">
        <v>45</v>
      </c>
      <c r="C1178">
        <v>10</v>
      </c>
      <c r="D1178" t="s">
        <v>433</v>
      </c>
      <c r="E1178" s="217">
        <v>45170</v>
      </c>
      <c r="F1178">
        <v>58714</v>
      </c>
      <c r="G1178" t="s">
        <v>257</v>
      </c>
    </row>
    <row r="1179" spans="1:7">
      <c r="A1179" s="216">
        <v>45170</v>
      </c>
      <c r="B1179" t="s">
        <v>45</v>
      </c>
      <c r="C1179">
        <v>10</v>
      </c>
      <c r="D1179" t="s">
        <v>433</v>
      </c>
      <c r="E1179" s="217">
        <v>45170</v>
      </c>
      <c r="F1179">
        <v>56364</v>
      </c>
      <c r="G1179" t="s">
        <v>258</v>
      </c>
    </row>
    <row r="1180" spans="1:7">
      <c r="A1180" s="216">
        <v>45170</v>
      </c>
      <c r="B1180" t="s">
        <v>45</v>
      </c>
      <c r="C1180">
        <v>10</v>
      </c>
      <c r="D1180" t="s">
        <v>433</v>
      </c>
      <c r="E1180" s="217">
        <v>45170</v>
      </c>
      <c r="F1180">
        <v>56404</v>
      </c>
      <c r="G1180" t="s">
        <v>259</v>
      </c>
    </row>
    <row r="1181" spans="1:7">
      <c r="A1181" s="216">
        <v>45170</v>
      </c>
      <c r="B1181" t="s">
        <v>45</v>
      </c>
      <c r="C1181">
        <v>10</v>
      </c>
      <c r="D1181" t="s">
        <v>433</v>
      </c>
      <c r="E1181" s="217">
        <v>45170</v>
      </c>
      <c r="F1181">
        <v>56104</v>
      </c>
      <c r="G1181" t="s">
        <v>260</v>
      </c>
    </row>
    <row r="1182" spans="1:7">
      <c r="A1182" s="216">
        <v>45170</v>
      </c>
      <c r="B1182" t="s">
        <v>45</v>
      </c>
      <c r="C1182">
        <v>10</v>
      </c>
      <c r="D1182" t="s">
        <v>433</v>
      </c>
      <c r="E1182" s="217">
        <v>45170</v>
      </c>
      <c r="F1182">
        <v>56104</v>
      </c>
      <c r="G1182" t="s">
        <v>261</v>
      </c>
    </row>
    <row r="1183" spans="1:7">
      <c r="A1183" s="216">
        <v>45170</v>
      </c>
      <c r="B1183" t="s">
        <v>45</v>
      </c>
      <c r="C1183">
        <v>10</v>
      </c>
      <c r="D1183" t="s">
        <v>433</v>
      </c>
      <c r="E1183" s="217">
        <v>45170</v>
      </c>
      <c r="F1183">
        <v>56184</v>
      </c>
      <c r="G1183" t="s">
        <v>262</v>
      </c>
    </row>
    <row r="1184" spans="1:7">
      <c r="A1184" s="216">
        <v>45170</v>
      </c>
      <c r="B1184" t="s">
        <v>45</v>
      </c>
      <c r="C1184">
        <v>10</v>
      </c>
      <c r="D1184" t="s">
        <v>433</v>
      </c>
      <c r="E1184" s="217">
        <v>45170</v>
      </c>
      <c r="F1184">
        <v>677600</v>
      </c>
      <c r="G1184" t="s">
        <v>434</v>
      </c>
    </row>
    <row r="1185" spans="1:7">
      <c r="A1185" s="216">
        <v>45170</v>
      </c>
      <c r="B1185" t="s">
        <v>45</v>
      </c>
      <c r="C1185">
        <v>11</v>
      </c>
      <c r="D1185" t="s">
        <v>445</v>
      </c>
      <c r="E1185" s="217">
        <v>45170</v>
      </c>
      <c r="F1185">
        <v>8415</v>
      </c>
      <c r="G1185" t="s">
        <v>251</v>
      </c>
    </row>
    <row r="1186" spans="1:7">
      <c r="A1186" s="216">
        <v>45170</v>
      </c>
      <c r="B1186" t="s">
        <v>45</v>
      </c>
      <c r="C1186">
        <v>11</v>
      </c>
      <c r="D1186" t="s">
        <v>445</v>
      </c>
      <c r="E1186" s="217">
        <v>45170</v>
      </c>
      <c r="F1186">
        <v>9324</v>
      </c>
      <c r="G1186" t="s">
        <v>252</v>
      </c>
    </row>
    <row r="1187" spans="1:7">
      <c r="A1187" s="216">
        <v>45170</v>
      </c>
      <c r="B1187" t="s">
        <v>45</v>
      </c>
      <c r="C1187">
        <v>11</v>
      </c>
      <c r="D1187" t="s">
        <v>445</v>
      </c>
      <c r="E1187" s="217">
        <v>45170</v>
      </c>
      <c r="F1187">
        <v>13175</v>
      </c>
      <c r="G1187" t="s">
        <v>253</v>
      </c>
    </row>
    <row r="1188" spans="1:7">
      <c r="A1188" s="216">
        <v>45170</v>
      </c>
      <c r="B1188" t="s">
        <v>45</v>
      </c>
      <c r="C1188">
        <v>11</v>
      </c>
      <c r="D1188" t="s">
        <v>445</v>
      </c>
      <c r="E1188" s="217">
        <v>45170</v>
      </c>
      <c r="F1188">
        <v>9236</v>
      </c>
      <c r="G1188" t="s">
        <v>254</v>
      </c>
    </row>
    <row r="1189" spans="1:7">
      <c r="A1189" s="216">
        <v>45170</v>
      </c>
      <c r="B1189" t="s">
        <v>45</v>
      </c>
      <c r="C1189">
        <v>11</v>
      </c>
      <c r="D1189" t="s">
        <v>445</v>
      </c>
      <c r="E1189" s="217">
        <v>45170</v>
      </c>
      <c r="F1189">
        <v>9311</v>
      </c>
      <c r="G1189" t="s">
        <v>255</v>
      </c>
    </row>
    <row r="1190" spans="1:7">
      <c r="A1190" s="216">
        <v>45170</v>
      </c>
      <c r="B1190" t="s">
        <v>45</v>
      </c>
      <c r="C1190">
        <v>11</v>
      </c>
      <c r="D1190" t="s">
        <v>445</v>
      </c>
      <c r="E1190" s="217">
        <v>45170</v>
      </c>
      <c r="F1190">
        <v>10344</v>
      </c>
      <c r="G1190" t="s">
        <v>256</v>
      </c>
    </row>
    <row r="1191" spans="1:7">
      <c r="A1191" s="216">
        <v>45170</v>
      </c>
      <c r="B1191" t="s">
        <v>45</v>
      </c>
      <c r="C1191">
        <v>11</v>
      </c>
      <c r="D1191" t="s">
        <v>445</v>
      </c>
      <c r="E1191" s="217">
        <v>45170</v>
      </c>
      <c r="F1191">
        <v>10767</v>
      </c>
      <c r="G1191" t="s">
        <v>257</v>
      </c>
    </row>
    <row r="1192" spans="1:7">
      <c r="A1192" s="216">
        <v>45170</v>
      </c>
      <c r="B1192" t="s">
        <v>45</v>
      </c>
      <c r="C1192">
        <v>11</v>
      </c>
      <c r="D1192" t="s">
        <v>445</v>
      </c>
      <c r="E1192" s="217">
        <v>45170</v>
      </c>
      <c r="F1192">
        <v>10927</v>
      </c>
      <c r="G1192" t="s">
        <v>258</v>
      </c>
    </row>
    <row r="1193" spans="1:7">
      <c r="A1193" s="216">
        <v>45170</v>
      </c>
      <c r="B1193" t="s">
        <v>45</v>
      </c>
      <c r="C1193">
        <v>11</v>
      </c>
      <c r="D1193" t="s">
        <v>445</v>
      </c>
      <c r="E1193" s="217">
        <v>45170</v>
      </c>
      <c r="F1193">
        <v>10977</v>
      </c>
      <c r="G1193" t="s">
        <v>259</v>
      </c>
    </row>
    <row r="1194" spans="1:7">
      <c r="A1194" s="216">
        <v>45170</v>
      </c>
      <c r="B1194" t="s">
        <v>45</v>
      </c>
      <c r="C1194">
        <v>11</v>
      </c>
      <c r="D1194" t="s">
        <v>445</v>
      </c>
      <c r="E1194" s="217">
        <v>45170</v>
      </c>
      <c r="F1194">
        <v>11063</v>
      </c>
      <c r="G1194" t="s">
        <v>260</v>
      </c>
    </row>
    <row r="1195" spans="1:7">
      <c r="A1195" s="216">
        <v>45170</v>
      </c>
      <c r="B1195" t="s">
        <v>45</v>
      </c>
      <c r="C1195">
        <v>11</v>
      </c>
      <c r="D1195" t="s">
        <v>445</v>
      </c>
      <c r="E1195" s="217">
        <v>45170</v>
      </c>
      <c r="F1195">
        <v>11177</v>
      </c>
      <c r="G1195" t="s">
        <v>261</v>
      </c>
    </row>
    <row r="1196" spans="1:7">
      <c r="A1196" s="216">
        <v>45170</v>
      </c>
      <c r="B1196" t="s">
        <v>45</v>
      </c>
      <c r="C1196">
        <v>11</v>
      </c>
      <c r="D1196" t="s">
        <v>445</v>
      </c>
      <c r="E1196" s="217">
        <v>45170</v>
      </c>
      <c r="F1196">
        <v>10065</v>
      </c>
      <c r="G1196" t="s">
        <v>262</v>
      </c>
    </row>
    <row r="1197" spans="1:7">
      <c r="A1197" s="216">
        <v>45170</v>
      </c>
      <c r="B1197" t="s">
        <v>45</v>
      </c>
      <c r="C1197">
        <v>11</v>
      </c>
      <c r="D1197" t="s">
        <v>445</v>
      </c>
      <c r="E1197" s="217">
        <v>45170</v>
      </c>
      <c r="F1197">
        <v>124781</v>
      </c>
      <c r="G1197" t="s">
        <v>434</v>
      </c>
    </row>
    <row r="1198" spans="1:7">
      <c r="A1198" s="216">
        <v>45170</v>
      </c>
      <c r="B1198" t="s">
        <v>45</v>
      </c>
      <c r="C1198">
        <v>12</v>
      </c>
      <c r="D1198" t="s">
        <v>454</v>
      </c>
      <c r="E1198" s="217">
        <v>45170</v>
      </c>
      <c r="F1198">
        <v>3649</v>
      </c>
      <c r="G1198" t="s">
        <v>251</v>
      </c>
    </row>
    <row r="1199" spans="1:7">
      <c r="A1199" s="216">
        <v>45170</v>
      </c>
      <c r="B1199" t="s">
        <v>45</v>
      </c>
      <c r="C1199">
        <v>12</v>
      </c>
      <c r="D1199" t="s">
        <v>454</v>
      </c>
      <c r="E1199" s="217">
        <v>45170</v>
      </c>
      <c r="F1199">
        <v>5213</v>
      </c>
      <c r="G1199" t="s">
        <v>252</v>
      </c>
    </row>
    <row r="1200" spans="1:7">
      <c r="A1200" s="216">
        <v>45170</v>
      </c>
      <c r="B1200" t="s">
        <v>45</v>
      </c>
      <c r="C1200">
        <v>12</v>
      </c>
      <c r="D1200" t="s">
        <v>454</v>
      </c>
      <c r="E1200" s="217">
        <v>45170</v>
      </c>
      <c r="F1200">
        <v>4563</v>
      </c>
      <c r="G1200" t="s">
        <v>253</v>
      </c>
    </row>
    <row r="1201" spans="1:7">
      <c r="A1201" s="216">
        <v>45170</v>
      </c>
      <c r="B1201" t="s">
        <v>45</v>
      </c>
      <c r="C1201">
        <v>12</v>
      </c>
      <c r="D1201" t="s">
        <v>454</v>
      </c>
      <c r="E1201" s="217">
        <v>45170</v>
      </c>
      <c r="F1201">
        <v>4408</v>
      </c>
      <c r="G1201" t="s">
        <v>254</v>
      </c>
    </row>
    <row r="1202" spans="1:7">
      <c r="A1202" s="216">
        <v>45170</v>
      </c>
      <c r="B1202" t="s">
        <v>45</v>
      </c>
      <c r="C1202">
        <v>12</v>
      </c>
      <c r="D1202" t="s">
        <v>454</v>
      </c>
      <c r="E1202" s="217">
        <v>45170</v>
      </c>
      <c r="F1202">
        <v>4462</v>
      </c>
      <c r="G1202" t="s">
        <v>255</v>
      </c>
    </row>
    <row r="1203" spans="1:7">
      <c r="A1203" s="216">
        <v>45170</v>
      </c>
      <c r="B1203" t="s">
        <v>45</v>
      </c>
      <c r="C1203">
        <v>12</v>
      </c>
      <c r="D1203" t="s">
        <v>454</v>
      </c>
      <c r="E1203" s="217">
        <v>45170</v>
      </c>
      <c r="F1203">
        <v>4774</v>
      </c>
      <c r="G1203" t="s">
        <v>256</v>
      </c>
    </row>
    <row r="1204" spans="1:7">
      <c r="A1204" s="216">
        <v>45170</v>
      </c>
      <c r="B1204" t="s">
        <v>45</v>
      </c>
      <c r="C1204">
        <v>12</v>
      </c>
      <c r="D1204" t="s">
        <v>454</v>
      </c>
      <c r="E1204" s="217">
        <v>45170</v>
      </c>
      <c r="F1204">
        <v>4597</v>
      </c>
      <c r="G1204" t="s">
        <v>257</v>
      </c>
    </row>
    <row r="1205" spans="1:7">
      <c r="A1205" s="216">
        <v>45170</v>
      </c>
      <c r="B1205" t="s">
        <v>45</v>
      </c>
      <c r="C1205">
        <v>12</v>
      </c>
      <c r="D1205" t="s">
        <v>454</v>
      </c>
      <c r="E1205" s="217">
        <v>45170</v>
      </c>
      <c r="F1205">
        <v>4597</v>
      </c>
      <c r="G1205" t="s">
        <v>258</v>
      </c>
    </row>
    <row r="1206" spans="1:7">
      <c r="A1206" s="216">
        <v>45170</v>
      </c>
      <c r="B1206" t="s">
        <v>45</v>
      </c>
      <c r="C1206">
        <v>12</v>
      </c>
      <c r="D1206" t="s">
        <v>454</v>
      </c>
      <c r="E1206" s="217">
        <v>45170</v>
      </c>
      <c r="F1206">
        <v>4597</v>
      </c>
      <c r="G1206" t="s">
        <v>259</v>
      </c>
    </row>
    <row r="1207" spans="1:7">
      <c r="A1207" s="216">
        <v>45170</v>
      </c>
      <c r="B1207" t="s">
        <v>45</v>
      </c>
      <c r="C1207">
        <v>12</v>
      </c>
      <c r="D1207" t="s">
        <v>454</v>
      </c>
      <c r="E1207" s="217">
        <v>45170</v>
      </c>
      <c r="F1207">
        <v>4647</v>
      </c>
      <c r="G1207" t="s">
        <v>260</v>
      </c>
    </row>
    <row r="1208" spans="1:7">
      <c r="A1208" s="216">
        <v>45170</v>
      </c>
      <c r="B1208" t="s">
        <v>45</v>
      </c>
      <c r="C1208">
        <v>12</v>
      </c>
      <c r="D1208" t="s">
        <v>454</v>
      </c>
      <c r="E1208" s="217">
        <v>45170</v>
      </c>
      <c r="F1208">
        <v>4647</v>
      </c>
      <c r="G1208" t="s">
        <v>261</v>
      </c>
    </row>
    <row r="1209" spans="1:7">
      <c r="A1209" s="216">
        <v>45170</v>
      </c>
      <c r="B1209" t="s">
        <v>45</v>
      </c>
      <c r="C1209">
        <v>12</v>
      </c>
      <c r="D1209" t="s">
        <v>454</v>
      </c>
      <c r="E1209" s="217">
        <v>45170</v>
      </c>
      <c r="F1209">
        <v>4647</v>
      </c>
      <c r="G1209" t="s">
        <v>262</v>
      </c>
    </row>
    <row r="1210" spans="1:7">
      <c r="A1210" s="216">
        <v>45170</v>
      </c>
      <c r="B1210" t="s">
        <v>45</v>
      </c>
      <c r="C1210">
        <v>12</v>
      </c>
      <c r="D1210" t="s">
        <v>454</v>
      </c>
      <c r="E1210" s="217">
        <v>45170</v>
      </c>
      <c r="F1210">
        <v>54801</v>
      </c>
      <c r="G1210" t="s">
        <v>434</v>
      </c>
    </row>
    <row r="1211" spans="1:7">
      <c r="A1211" s="216">
        <v>45170</v>
      </c>
      <c r="B1211" t="s">
        <v>45</v>
      </c>
      <c r="C1211">
        <v>13</v>
      </c>
      <c r="D1211" t="s">
        <v>441</v>
      </c>
      <c r="E1211" s="217">
        <v>45170</v>
      </c>
      <c r="F1211">
        <v>21227</v>
      </c>
      <c r="G1211" t="s">
        <v>251</v>
      </c>
    </row>
    <row r="1212" spans="1:7">
      <c r="A1212" s="216">
        <v>45170</v>
      </c>
      <c r="B1212" t="s">
        <v>45</v>
      </c>
      <c r="C1212">
        <v>13</v>
      </c>
      <c r="D1212" t="s">
        <v>441</v>
      </c>
      <c r="E1212" s="217">
        <v>45170</v>
      </c>
      <c r="F1212">
        <v>20588</v>
      </c>
      <c r="G1212" t="s">
        <v>252</v>
      </c>
    </row>
    <row r="1213" spans="1:7">
      <c r="A1213" s="216">
        <v>45170</v>
      </c>
      <c r="B1213" t="s">
        <v>45</v>
      </c>
      <c r="C1213">
        <v>13</v>
      </c>
      <c r="D1213" t="s">
        <v>441</v>
      </c>
      <c r="E1213" s="217">
        <v>45170</v>
      </c>
      <c r="F1213">
        <v>22214</v>
      </c>
      <c r="G1213" t="s">
        <v>253</v>
      </c>
    </row>
    <row r="1214" spans="1:7">
      <c r="A1214" s="216">
        <v>45170</v>
      </c>
      <c r="B1214" t="s">
        <v>45</v>
      </c>
      <c r="C1214">
        <v>13</v>
      </c>
      <c r="D1214" t="s">
        <v>441</v>
      </c>
      <c r="E1214" s="217">
        <v>45170</v>
      </c>
      <c r="F1214">
        <v>21920</v>
      </c>
      <c r="G1214" t="s">
        <v>254</v>
      </c>
    </row>
    <row r="1215" spans="1:7">
      <c r="A1215" s="216">
        <v>45170</v>
      </c>
      <c r="B1215" t="s">
        <v>45</v>
      </c>
      <c r="C1215">
        <v>13</v>
      </c>
      <c r="D1215" t="s">
        <v>441</v>
      </c>
      <c r="E1215" s="217">
        <v>45170</v>
      </c>
      <c r="F1215">
        <v>21997</v>
      </c>
      <c r="G1215" t="s">
        <v>255</v>
      </c>
    </row>
    <row r="1216" spans="1:7">
      <c r="A1216" s="216">
        <v>45170</v>
      </c>
      <c r="B1216" t="s">
        <v>45</v>
      </c>
      <c r="C1216">
        <v>13</v>
      </c>
      <c r="D1216" t="s">
        <v>441</v>
      </c>
      <c r="E1216" s="217">
        <v>45170</v>
      </c>
      <c r="F1216">
        <v>21409</v>
      </c>
      <c r="G1216" t="s">
        <v>256</v>
      </c>
    </row>
    <row r="1217" spans="1:7">
      <c r="A1217" s="216">
        <v>45170</v>
      </c>
      <c r="B1217" t="s">
        <v>45</v>
      </c>
      <c r="C1217">
        <v>13</v>
      </c>
      <c r="D1217" t="s">
        <v>441</v>
      </c>
      <c r="E1217" s="217">
        <v>45170</v>
      </c>
      <c r="F1217">
        <v>23258</v>
      </c>
      <c r="G1217" t="s">
        <v>257</v>
      </c>
    </row>
    <row r="1218" spans="1:7">
      <c r="A1218" s="216">
        <v>45170</v>
      </c>
      <c r="B1218" t="s">
        <v>45</v>
      </c>
      <c r="C1218">
        <v>13</v>
      </c>
      <c r="D1218" t="s">
        <v>441</v>
      </c>
      <c r="E1218" s="217">
        <v>45170</v>
      </c>
      <c r="F1218">
        <v>21860</v>
      </c>
      <c r="G1218" t="s">
        <v>258</v>
      </c>
    </row>
    <row r="1219" spans="1:7">
      <c r="A1219" s="216">
        <v>45170</v>
      </c>
      <c r="B1219" t="s">
        <v>45</v>
      </c>
      <c r="C1219">
        <v>13</v>
      </c>
      <c r="D1219" t="s">
        <v>441</v>
      </c>
      <c r="E1219" s="217">
        <v>45170</v>
      </c>
      <c r="F1219">
        <v>22083</v>
      </c>
      <c r="G1219" t="s">
        <v>259</v>
      </c>
    </row>
    <row r="1220" spans="1:7">
      <c r="A1220" s="216">
        <v>45170</v>
      </c>
      <c r="B1220" t="s">
        <v>45</v>
      </c>
      <c r="C1220">
        <v>13</v>
      </c>
      <c r="D1220" t="s">
        <v>441</v>
      </c>
      <c r="E1220" s="217">
        <v>45170</v>
      </c>
      <c r="F1220">
        <v>22083</v>
      </c>
      <c r="G1220" t="s">
        <v>260</v>
      </c>
    </row>
    <row r="1221" spans="1:7">
      <c r="A1221" s="216">
        <v>45170</v>
      </c>
      <c r="B1221" t="s">
        <v>45</v>
      </c>
      <c r="C1221">
        <v>13</v>
      </c>
      <c r="D1221" t="s">
        <v>441</v>
      </c>
      <c r="E1221" s="217">
        <v>45170</v>
      </c>
      <c r="F1221">
        <v>22083</v>
      </c>
      <c r="G1221" t="s">
        <v>261</v>
      </c>
    </row>
    <row r="1222" spans="1:7">
      <c r="A1222" s="216">
        <v>45170</v>
      </c>
      <c r="B1222" t="s">
        <v>45</v>
      </c>
      <c r="C1222">
        <v>13</v>
      </c>
      <c r="D1222" t="s">
        <v>441</v>
      </c>
      <c r="E1222" s="217">
        <v>45170</v>
      </c>
      <c r="F1222">
        <v>22059</v>
      </c>
      <c r="G1222" t="s">
        <v>262</v>
      </c>
    </row>
    <row r="1223" spans="1:7">
      <c r="A1223" s="216">
        <v>45170</v>
      </c>
      <c r="B1223" t="s">
        <v>45</v>
      </c>
      <c r="C1223">
        <v>13</v>
      </c>
      <c r="D1223" t="s">
        <v>441</v>
      </c>
      <c r="E1223" s="217">
        <v>45170</v>
      </c>
      <c r="F1223">
        <v>262781</v>
      </c>
      <c r="G1223" t="s">
        <v>434</v>
      </c>
    </row>
    <row r="1224" spans="1:7">
      <c r="A1224" s="216">
        <v>45170</v>
      </c>
      <c r="B1224" t="s">
        <v>45</v>
      </c>
      <c r="C1224">
        <v>14</v>
      </c>
      <c r="D1224" t="s">
        <v>447</v>
      </c>
      <c r="E1224" s="217">
        <v>45170</v>
      </c>
      <c r="F1224">
        <v>293</v>
      </c>
      <c r="G1224" t="s">
        <v>251</v>
      </c>
    </row>
    <row r="1225" spans="1:7">
      <c r="A1225" s="216">
        <v>45170</v>
      </c>
      <c r="B1225" t="s">
        <v>45</v>
      </c>
      <c r="C1225">
        <v>14</v>
      </c>
      <c r="D1225" t="s">
        <v>447</v>
      </c>
      <c r="E1225" s="217">
        <v>45170</v>
      </c>
      <c r="F1225">
        <v>293</v>
      </c>
      <c r="G1225" t="s">
        <v>252</v>
      </c>
    </row>
    <row r="1226" spans="1:7">
      <c r="A1226" s="216">
        <v>45170</v>
      </c>
      <c r="B1226" t="s">
        <v>45</v>
      </c>
      <c r="C1226">
        <v>14</v>
      </c>
      <c r="D1226" t="s">
        <v>447</v>
      </c>
      <c r="E1226" s="217">
        <v>45170</v>
      </c>
      <c r="F1226">
        <v>293</v>
      </c>
      <c r="G1226" t="s">
        <v>253</v>
      </c>
    </row>
    <row r="1227" spans="1:7">
      <c r="A1227" s="216">
        <v>45170</v>
      </c>
      <c r="B1227" t="s">
        <v>45</v>
      </c>
      <c r="C1227">
        <v>14</v>
      </c>
      <c r="D1227" t="s">
        <v>447</v>
      </c>
      <c r="E1227" s="217">
        <v>45170</v>
      </c>
      <c r="F1227">
        <v>316</v>
      </c>
      <c r="G1227" t="s">
        <v>254</v>
      </c>
    </row>
    <row r="1228" spans="1:7">
      <c r="A1228" s="216">
        <v>45170</v>
      </c>
      <c r="B1228" t="s">
        <v>45</v>
      </c>
      <c r="C1228">
        <v>14</v>
      </c>
      <c r="D1228" t="s">
        <v>447</v>
      </c>
      <c r="E1228" s="217">
        <v>45170</v>
      </c>
      <c r="F1228">
        <v>624</v>
      </c>
      <c r="G1228" t="s">
        <v>255</v>
      </c>
    </row>
    <row r="1229" spans="1:7">
      <c r="A1229" s="216">
        <v>45170</v>
      </c>
      <c r="B1229" t="s">
        <v>45</v>
      </c>
      <c r="C1229">
        <v>14</v>
      </c>
      <c r="D1229" t="s">
        <v>447</v>
      </c>
      <c r="E1229" s="217">
        <v>45170</v>
      </c>
      <c r="F1229">
        <v>363</v>
      </c>
      <c r="G1229" t="s">
        <v>256</v>
      </c>
    </row>
    <row r="1230" spans="1:7">
      <c r="A1230" s="216">
        <v>45170</v>
      </c>
      <c r="B1230" t="s">
        <v>45</v>
      </c>
      <c r="C1230">
        <v>14</v>
      </c>
      <c r="D1230" t="s">
        <v>447</v>
      </c>
      <c r="E1230" s="217">
        <v>45170</v>
      </c>
      <c r="F1230">
        <v>322</v>
      </c>
      <c r="G1230" t="s">
        <v>257</v>
      </c>
    </row>
    <row r="1231" spans="1:7">
      <c r="A1231" s="216">
        <v>45170</v>
      </c>
      <c r="B1231" t="s">
        <v>45</v>
      </c>
      <c r="C1231">
        <v>14</v>
      </c>
      <c r="D1231" t="s">
        <v>447</v>
      </c>
      <c r="E1231" s="217">
        <v>45170</v>
      </c>
      <c r="F1231">
        <v>322</v>
      </c>
      <c r="G1231" t="s">
        <v>258</v>
      </c>
    </row>
    <row r="1232" spans="1:7">
      <c r="A1232" s="216">
        <v>45170</v>
      </c>
      <c r="B1232" t="s">
        <v>45</v>
      </c>
      <c r="C1232">
        <v>14</v>
      </c>
      <c r="D1232" t="s">
        <v>447</v>
      </c>
      <c r="E1232" s="217">
        <v>45170</v>
      </c>
      <c r="F1232">
        <v>322</v>
      </c>
      <c r="G1232" t="s">
        <v>259</v>
      </c>
    </row>
    <row r="1233" spans="1:7">
      <c r="A1233" s="216">
        <v>45170</v>
      </c>
      <c r="B1233" t="s">
        <v>45</v>
      </c>
      <c r="C1233">
        <v>14</v>
      </c>
      <c r="D1233" t="s">
        <v>447</v>
      </c>
      <c r="E1233" s="217">
        <v>45170</v>
      </c>
      <c r="F1233">
        <v>322</v>
      </c>
      <c r="G1233" t="s">
        <v>260</v>
      </c>
    </row>
    <row r="1234" spans="1:7">
      <c r="A1234" s="216">
        <v>45170</v>
      </c>
      <c r="B1234" t="s">
        <v>45</v>
      </c>
      <c r="C1234">
        <v>14</v>
      </c>
      <c r="D1234" t="s">
        <v>447</v>
      </c>
      <c r="E1234" s="217">
        <v>45170</v>
      </c>
      <c r="F1234">
        <v>322</v>
      </c>
      <c r="G1234" t="s">
        <v>261</v>
      </c>
    </row>
    <row r="1235" spans="1:7">
      <c r="A1235" s="216">
        <v>45170</v>
      </c>
      <c r="B1235" t="s">
        <v>45</v>
      </c>
      <c r="C1235">
        <v>14</v>
      </c>
      <c r="D1235" t="s">
        <v>447</v>
      </c>
      <c r="E1235" s="217">
        <v>45170</v>
      </c>
      <c r="F1235">
        <v>322</v>
      </c>
      <c r="G1235" t="s">
        <v>262</v>
      </c>
    </row>
    <row r="1236" spans="1:7">
      <c r="A1236" s="216">
        <v>45170</v>
      </c>
      <c r="B1236" t="s">
        <v>45</v>
      </c>
      <c r="C1236">
        <v>14</v>
      </c>
      <c r="D1236" t="s">
        <v>447</v>
      </c>
      <c r="E1236" s="217">
        <v>45170</v>
      </c>
      <c r="F1236">
        <v>4114</v>
      </c>
      <c r="G1236" t="s">
        <v>434</v>
      </c>
    </row>
    <row r="1237" spans="1:7">
      <c r="A1237" s="216">
        <v>45170</v>
      </c>
      <c r="B1237" t="s">
        <v>45</v>
      </c>
      <c r="C1237">
        <v>15</v>
      </c>
      <c r="D1237" t="s">
        <v>437</v>
      </c>
      <c r="E1237" s="217">
        <v>45170</v>
      </c>
      <c r="F1237">
        <v>5630</v>
      </c>
      <c r="G1237" t="s">
        <v>251</v>
      </c>
    </row>
    <row r="1238" spans="1:7">
      <c r="A1238" s="216">
        <v>45170</v>
      </c>
      <c r="B1238" t="s">
        <v>45</v>
      </c>
      <c r="C1238">
        <v>15</v>
      </c>
      <c r="D1238" t="s">
        <v>437</v>
      </c>
      <c r="E1238" s="217">
        <v>45170</v>
      </c>
      <c r="F1238">
        <v>5588</v>
      </c>
      <c r="G1238" t="s">
        <v>252</v>
      </c>
    </row>
    <row r="1239" spans="1:7">
      <c r="A1239" s="216">
        <v>45170</v>
      </c>
      <c r="B1239" t="s">
        <v>45</v>
      </c>
      <c r="C1239">
        <v>15</v>
      </c>
      <c r="D1239" t="s">
        <v>437</v>
      </c>
      <c r="E1239" s="217">
        <v>45170</v>
      </c>
      <c r="F1239">
        <v>5829</v>
      </c>
      <c r="G1239" t="s">
        <v>253</v>
      </c>
    </row>
    <row r="1240" spans="1:7">
      <c r="A1240" s="216">
        <v>45170</v>
      </c>
      <c r="B1240" t="s">
        <v>45</v>
      </c>
      <c r="C1240">
        <v>15</v>
      </c>
      <c r="D1240" t="s">
        <v>437</v>
      </c>
      <c r="E1240" s="217">
        <v>45170</v>
      </c>
      <c r="F1240">
        <v>6106</v>
      </c>
      <c r="G1240" t="s">
        <v>254</v>
      </c>
    </row>
    <row r="1241" spans="1:7">
      <c r="A1241" s="216">
        <v>45170</v>
      </c>
      <c r="B1241" t="s">
        <v>45</v>
      </c>
      <c r="C1241">
        <v>15</v>
      </c>
      <c r="D1241" t="s">
        <v>437</v>
      </c>
      <c r="E1241" s="217">
        <v>45170</v>
      </c>
      <c r="F1241">
        <v>5732</v>
      </c>
      <c r="G1241" t="s">
        <v>255</v>
      </c>
    </row>
    <row r="1242" spans="1:7">
      <c r="A1242" s="216">
        <v>45170</v>
      </c>
      <c r="B1242" t="s">
        <v>45</v>
      </c>
      <c r="C1242">
        <v>15</v>
      </c>
      <c r="D1242" t="s">
        <v>437</v>
      </c>
      <c r="E1242" s="217">
        <v>45170</v>
      </c>
      <c r="F1242">
        <v>1654</v>
      </c>
      <c r="G1242" t="s">
        <v>256</v>
      </c>
    </row>
    <row r="1243" spans="1:7">
      <c r="A1243" s="216">
        <v>45170</v>
      </c>
      <c r="B1243" t="s">
        <v>45</v>
      </c>
      <c r="C1243">
        <v>15</v>
      </c>
      <c r="D1243" t="s">
        <v>437</v>
      </c>
      <c r="E1243" s="217">
        <v>45170</v>
      </c>
      <c r="F1243">
        <v>5782</v>
      </c>
      <c r="G1243" t="s">
        <v>257</v>
      </c>
    </row>
    <row r="1244" spans="1:7">
      <c r="A1244" s="216">
        <v>45170</v>
      </c>
      <c r="B1244" t="s">
        <v>45</v>
      </c>
      <c r="C1244">
        <v>15</v>
      </c>
      <c r="D1244" t="s">
        <v>437</v>
      </c>
      <c r="E1244" s="217">
        <v>45170</v>
      </c>
      <c r="F1244">
        <v>5782</v>
      </c>
      <c r="G1244" t="s">
        <v>258</v>
      </c>
    </row>
    <row r="1245" spans="1:7">
      <c r="A1245" s="216">
        <v>45170</v>
      </c>
      <c r="B1245" t="s">
        <v>45</v>
      </c>
      <c r="C1245">
        <v>15</v>
      </c>
      <c r="D1245" t="s">
        <v>437</v>
      </c>
      <c r="E1245" s="217">
        <v>45170</v>
      </c>
      <c r="F1245">
        <v>5782</v>
      </c>
      <c r="G1245" t="s">
        <v>259</v>
      </c>
    </row>
    <row r="1246" spans="1:7">
      <c r="A1246" s="216">
        <v>45170</v>
      </c>
      <c r="B1246" t="s">
        <v>45</v>
      </c>
      <c r="C1246">
        <v>15</v>
      </c>
      <c r="D1246" t="s">
        <v>437</v>
      </c>
      <c r="E1246" s="217">
        <v>45170</v>
      </c>
      <c r="F1246">
        <v>5782</v>
      </c>
      <c r="G1246" t="s">
        <v>260</v>
      </c>
    </row>
    <row r="1247" spans="1:7">
      <c r="A1247" s="216">
        <v>45170</v>
      </c>
      <c r="B1247" t="s">
        <v>45</v>
      </c>
      <c r="C1247">
        <v>15</v>
      </c>
      <c r="D1247" t="s">
        <v>437</v>
      </c>
      <c r="E1247" s="217">
        <v>45170</v>
      </c>
      <c r="F1247">
        <v>5782</v>
      </c>
      <c r="G1247" t="s">
        <v>261</v>
      </c>
    </row>
    <row r="1248" spans="1:7">
      <c r="A1248" s="216">
        <v>45170</v>
      </c>
      <c r="B1248" t="s">
        <v>45</v>
      </c>
      <c r="C1248">
        <v>15</v>
      </c>
      <c r="D1248" t="s">
        <v>437</v>
      </c>
      <c r="E1248" s="217">
        <v>45170</v>
      </c>
      <c r="F1248">
        <v>5778</v>
      </c>
      <c r="G1248" t="s">
        <v>262</v>
      </c>
    </row>
    <row r="1249" spans="1:7">
      <c r="A1249" s="216">
        <v>45170</v>
      </c>
      <c r="B1249" t="s">
        <v>45</v>
      </c>
      <c r="C1249">
        <v>15</v>
      </c>
      <c r="D1249" t="s">
        <v>437</v>
      </c>
      <c r="E1249" s="217">
        <v>45170</v>
      </c>
      <c r="F1249">
        <v>65227</v>
      </c>
      <c r="G1249" t="s">
        <v>434</v>
      </c>
    </row>
    <row r="1250" spans="1:7">
      <c r="A1250" s="216">
        <v>45170</v>
      </c>
      <c r="B1250" t="s">
        <v>45</v>
      </c>
      <c r="C1250">
        <v>16</v>
      </c>
      <c r="D1250" t="s">
        <v>449</v>
      </c>
      <c r="E1250" s="217">
        <v>45170</v>
      </c>
      <c r="F1250">
        <v>905</v>
      </c>
      <c r="G1250" t="s">
        <v>251</v>
      </c>
    </row>
    <row r="1251" spans="1:7">
      <c r="A1251" s="216">
        <v>45170</v>
      </c>
      <c r="B1251" t="s">
        <v>45</v>
      </c>
      <c r="C1251">
        <v>16</v>
      </c>
      <c r="D1251" t="s">
        <v>449</v>
      </c>
      <c r="E1251" s="217">
        <v>45170</v>
      </c>
      <c r="F1251">
        <v>1511</v>
      </c>
      <c r="G1251" t="s">
        <v>252</v>
      </c>
    </row>
    <row r="1252" spans="1:7">
      <c r="A1252" s="216">
        <v>45170</v>
      </c>
      <c r="B1252" t="s">
        <v>45</v>
      </c>
      <c r="C1252">
        <v>16</v>
      </c>
      <c r="D1252" t="s">
        <v>449</v>
      </c>
      <c r="E1252" s="217">
        <v>45170</v>
      </c>
      <c r="F1252">
        <v>1057</v>
      </c>
      <c r="G1252" t="s">
        <v>253</v>
      </c>
    </row>
    <row r="1253" spans="1:7">
      <c r="A1253" s="216">
        <v>45170</v>
      </c>
      <c r="B1253" t="s">
        <v>45</v>
      </c>
      <c r="C1253">
        <v>16</v>
      </c>
      <c r="D1253" t="s">
        <v>449</v>
      </c>
      <c r="E1253" s="217">
        <v>45170</v>
      </c>
      <c r="F1253">
        <v>1293</v>
      </c>
      <c r="G1253" t="s">
        <v>254</v>
      </c>
    </row>
    <row r="1254" spans="1:7">
      <c r="A1254" s="216">
        <v>45170</v>
      </c>
      <c r="B1254" t="s">
        <v>45</v>
      </c>
      <c r="C1254">
        <v>16</v>
      </c>
      <c r="D1254" t="s">
        <v>449</v>
      </c>
      <c r="E1254" s="217">
        <v>45170</v>
      </c>
      <c r="F1254">
        <v>1540</v>
      </c>
      <c r="G1254" t="s">
        <v>255</v>
      </c>
    </row>
    <row r="1255" spans="1:7">
      <c r="A1255" s="216">
        <v>45170</v>
      </c>
      <c r="B1255" t="s">
        <v>45</v>
      </c>
      <c r="C1255">
        <v>16</v>
      </c>
      <c r="D1255" t="s">
        <v>449</v>
      </c>
      <c r="E1255" s="217">
        <v>45170</v>
      </c>
      <c r="F1255">
        <v>1696</v>
      </c>
      <c r="G1255" t="s">
        <v>256</v>
      </c>
    </row>
    <row r="1256" spans="1:7">
      <c r="A1256" s="216">
        <v>45170</v>
      </c>
      <c r="B1256" t="s">
        <v>45</v>
      </c>
      <c r="C1256">
        <v>16</v>
      </c>
      <c r="D1256" t="s">
        <v>449</v>
      </c>
      <c r="E1256" s="217">
        <v>45170</v>
      </c>
      <c r="F1256">
        <v>1360</v>
      </c>
      <c r="G1256" t="s">
        <v>257</v>
      </c>
    </row>
    <row r="1257" spans="1:7">
      <c r="A1257" s="216">
        <v>45170</v>
      </c>
      <c r="B1257" t="s">
        <v>45</v>
      </c>
      <c r="C1257">
        <v>16</v>
      </c>
      <c r="D1257" t="s">
        <v>449</v>
      </c>
      <c r="E1257" s="217">
        <v>45170</v>
      </c>
      <c r="F1257">
        <v>1360</v>
      </c>
      <c r="G1257" t="s">
        <v>258</v>
      </c>
    </row>
    <row r="1258" spans="1:7">
      <c r="A1258" s="216">
        <v>45170</v>
      </c>
      <c r="B1258" t="s">
        <v>45</v>
      </c>
      <c r="C1258">
        <v>16</v>
      </c>
      <c r="D1258" t="s">
        <v>449</v>
      </c>
      <c r="E1258" s="217">
        <v>45170</v>
      </c>
      <c r="F1258">
        <v>1360</v>
      </c>
      <c r="G1258" t="s">
        <v>259</v>
      </c>
    </row>
    <row r="1259" spans="1:7">
      <c r="A1259" s="216">
        <v>45170</v>
      </c>
      <c r="B1259" t="s">
        <v>45</v>
      </c>
      <c r="C1259">
        <v>16</v>
      </c>
      <c r="D1259" t="s">
        <v>449</v>
      </c>
      <c r="E1259" s="217">
        <v>45170</v>
      </c>
      <c r="F1259">
        <v>1160</v>
      </c>
      <c r="G1259" t="s">
        <v>260</v>
      </c>
    </row>
    <row r="1260" spans="1:7">
      <c r="A1260" s="216">
        <v>45170</v>
      </c>
      <c r="B1260" t="s">
        <v>45</v>
      </c>
      <c r="C1260">
        <v>16</v>
      </c>
      <c r="D1260" t="s">
        <v>449</v>
      </c>
      <c r="E1260" s="217">
        <v>45170</v>
      </c>
      <c r="F1260">
        <v>1160</v>
      </c>
      <c r="G1260" t="s">
        <v>261</v>
      </c>
    </row>
    <row r="1261" spans="1:7">
      <c r="A1261" s="216">
        <v>45170</v>
      </c>
      <c r="B1261" t="s">
        <v>45</v>
      </c>
      <c r="C1261">
        <v>16</v>
      </c>
      <c r="D1261" t="s">
        <v>449</v>
      </c>
      <c r="E1261" s="217">
        <v>45170</v>
      </c>
      <c r="F1261">
        <v>1160</v>
      </c>
      <c r="G1261" t="s">
        <v>262</v>
      </c>
    </row>
    <row r="1262" spans="1:7">
      <c r="A1262" s="216">
        <v>45170</v>
      </c>
      <c r="B1262" t="s">
        <v>45</v>
      </c>
      <c r="C1262">
        <v>16</v>
      </c>
      <c r="D1262" t="s">
        <v>449</v>
      </c>
      <c r="E1262" s="217">
        <v>45170</v>
      </c>
      <c r="F1262">
        <v>15562</v>
      </c>
      <c r="G1262" t="s">
        <v>434</v>
      </c>
    </row>
    <row r="1263" spans="1:7">
      <c r="A1263" s="216">
        <v>45170</v>
      </c>
      <c r="B1263" t="s">
        <v>45</v>
      </c>
      <c r="C1263">
        <v>17</v>
      </c>
      <c r="D1263" t="s">
        <v>443</v>
      </c>
      <c r="E1263" s="217">
        <v>45170</v>
      </c>
      <c r="F1263">
        <v>179</v>
      </c>
      <c r="G1263" t="s">
        <v>251</v>
      </c>
    </row>
    <row r="1264" spans="1:7">
      <c r="A1264" s="216">
        <v>45170</v>
      </c>
      <c r="B1264" t="s">
        <v>45</v>
      </c>
      <c r="C1264">
        <v>17</v>
      </c>
      <c r="D1264" t="s">
        <v>443</v>
      </c>
      <c r="E1264" s="217">
        <v>45170</v>
      </c>
      <c r="F1264">
        <v>150</v>
      </c>
      <c r="G1264" t="s">
        <v>252</v>
      </c>
    </row>
    <row r="1265" spans="1:7">
      <c r="A1265" s="216">
        <v>45170</v>
      </c>
      <c r="B1265" t="s">
        <v>45</v>
      </c>
      <c r="C1265">
        <v>17</v>
      </c>
      <c r="D1265" t="s">
        <v>443</v>
      </c>
      <c r="E1265" s="217">
        <v>45170</v>
      </c>
      <c r="F1265">
        <v>171</v>
      </c>
      <c r="G1265" t="s">
        <v>253</v>
      </c>
    </row>
    <row r="1266" spans="1:7">
      <c r="A1266" s="216">
        <v>45170</v>
      </c>
      <c r="B1266" t="s">
        <v>45</v>
      </c>
      <c r="C1266">
        <v>17</v>
      </c>
      <c r="D1266" t="s">
        <v>443</v>
      </c>
      <c r="E1266" s="217">
        <v>45170</v>
      </c>
      <c r="F1266">
        <v>246</v>
      </c>
      <c r="G1266" t="s">
        <v>254</v>
      </c>
    </row>
    <row r="1267" spans="1:7">
      <c r="A1267" s="216">
        <v>45170</v>
      </c>
      <c r="B1267" t="s">
        <v>45</v>
      </c>
      <c r="C1267">
        <v>17</v>
      </c>
      <c r="D1267" t="s">
        <v>443</v>
      </c>
      <c r="E1267" s="217">
        <v>45170</v>
      </c>
      <c r="F1267">
        <v>375</v>
      </c>
      <c r="G1267" t="s">
        <v>255</v>
      </c>
    </row>
    <row r="1268" spans="1:7">
      <c r="A1268" s="216">
        <v>45170</v>
      </c>
      <c r="B1268" t="s">
        <v>45</v>
      </c>
      <c r="C1268">
        <v>17</v>
      </c>
      <c r="D1268" t="s">
        <v>443</v>
      </c>
      <c r="E1268" s="217">
        <v>45170</v>
      </c>
      <c r="F1268">
        <v>136</v>
      </c>
      <c r="G1268" t="s">
        <v>256</v>
      </c>
    </row>
    <row r="1269" spans="1:7">
      <c r="A1269" s="216">
        <v>45170</v>
      </c>
      <c r="B1269" t="s">
        <v>45</v>
      </c>
      <c r="C1269">
        <v>17</v>
      </c>
      <c r="D1269" t="s">
        <v>443</v>
      </c>
      <c r="E1269" s="217">
        <v>45170</v>
      </c>
      <c r="F1269">
        <v>269</v>
      </c>
      <c r="G1269" t="s">
        <v>257</v>
      </c>
    </row>
    <row r="1270" spans="1:7">
      <c r="A1270" s="216">
        <v>45170</v>
      </c>
      <c r="B1270" t="s">
        <v>45</v>
      </c>
      <c r="C1270">
        <v>17</v>
      </c>
      <c r="D1270" t="s">
        <v>443</v>
      </c>
      <c r="E1270" s="217">
        <v>45170</v>
      </c>
      <c r="F1270">
        <v>269</v>
      </c>
      <c r="G1270" t="s">
        <v>258</v>
      </c>
    </row>
    <row r="1271" spans="1:7">
      <c r="A1271" s="216">
        <v>45170</v>
      </c>
      <c r="B1271" t="s">
        <v>45</v>
      </c>
      <c r="C1271">
        <v>17</v>
      </c>
      <c r="D1271" t="s">
        <v>443</v>
      </c>
      <c r="E1271" s="217">
        <v>45170</v>
      </c>
      <c r="F1271">
        <v>269</v>
      </c>
      <c r="G1271" t="s">
        <v>259</v>
      </c>
    </row>
    <row r="1272" spans="1:7">
      <c r="A1272" s="216">
        <v>45170</v>
      </c>
      <c r="B1272" t="s">
        <v>45</v>
      </c>
      <c r="C1272">
        <v>17</v>
      </c>
      <c r="D1272" t="s">
        <v>443</v>
      </c>
      <c r="E1272" s="217">
        <v>45170</v>
      </c>
      <c r="F1272">
        <v>269</v>
      </c>
      <c r="G1272" t="s">
        <v>260</v>
      </c>
    </row>
    <row r="1273" spans="1:7">
      <c r="A1273" s="216">
        <v>45170</v>
      </c>
      <c r="B1273" t="s">
        <v>45</v>
      </c>
      <c r="C1273">
        <v>17</v>
      </c>
      <c r="D1273" t="s">
        <v>443</v>
      </c>
      <c r="E1273" s="217">
        <v>45170</v>
      </c>
      <c r="F1273">
        <v>269</v>
      </c>
      <c r="G1273" t="s">
        <v>261</v>
      </c>
    </row>
    <row r="1274" spans="1:7">
      <c r="A1274" s="216">
        <v>45170</v>
      </c>
      <c r="B1274" t="s">
        <v>45</v>
      </c>
      <c r="C1274">
        <v>17</v>
      </c>
      <c r="D1274" t="s">
        <v>443</v>
      </c>
      <c r="E1274" s="217">
        <v>45170</v>
      </c>
      <c r="F1274">
        <v>169</v>
      </c>
      <c r="G1274" t="s">
        <v>262</v>
      </c>
    </row>
    <row r="1275" spans="1:7">
      <c r="A1275" s="216">
        <v>45170</v>
      </c>
      <c r="B1275" t="s">
        <v>45</v>
      </c>
      <c r="C1275">
        <v>17</v>
      </c>
      <c r="D1275" t="s">
        <v>443</v>
      </c>
      <c r="E1275" s="217">
        <v>45170</v>
      </c>
      <c r="F1275">
        <v>2771</v>
      </c>
      <c r="G1275" t="s">
        <v>434</v>
      </c>
    </row>
    <row r="1276" spans="1:7">
      <c r="A1276" s="216">
        <v>45170</v>
      </c>
      <c r="B1276" t="s">
        <v>45</v>
      </c>
      <c r="C1276">
        <v>18</v>
      </c>
      <c r="D1276" t="s">
        <v>444</v>
      </c>
      <c r="E1276" s="217">
        <v>45170</v>
      </c>
      <c r="F1276">
        <v>0</v>
      </c>
      <c r="G1276" t="s">
        <v>251</v>
      </c>
    </row>
    <row r="1277" spans="1:7">
      <c r="A1277" s="216">
        <v>45170</v>
      </c>
      <c r="B1277" t="s">
        <v>45</v>
      </c>
      <c r="C1277">
        <v>18</v>
      </c>
      <c r="D1277" t="s">
        <v>444</v>
      </c>
      <c r="E1277" s="217">
        <v>45170</v>
      </c>
      <c r="F1277">
        <v>0</v>
      </c>
      <c r="G1277" t="s">
        <v>252</v>
      </c>
    </row>
    <row r="1278" spans="1:7">
      <c r="A1278" s="216">
        <v>45170</v>
      </c>
      <c r="B1278" t="s">
        <v>45</v>
      </c>
      <c r="C1278">
        <v>18</v>
      </c>
      <c r="D1278" t="s">
        <v>444</v>
      </c>
      <c r="E1278" s="217">
        <v>45170</v>
      </c>
      <c r="F1278">
        <v>0</v>
      </c>
      <c r="G1278" t="s">
        <v>253</v>
      </c>
    </row>
    <row r="1279" spans="1:7">
      <c r="A1279" s="216">
        <v>45170</v>
      </c>
      <c r="B1279" t="s">
        <v>45</v>
      </c>
      <c r="C1279">
        <v>18</v>
      </c>
      <c r="D1279" t="s">
        <v>444</v>
      </c>
      <c r="E1279" s="217">
        <v>45170</v>
      </c>
      <c r="F1279">
        <v>0</v>
      </c>
      <c r="G1279" t="s">
        <v>254</v>
      </c>
    </row>
    <row r="1280" spans="1:7">
      <c r="A1280" s="216">
        <v>45170</v>
      </c>
      <c r="B1280" t="s">
        <v>45</v>
      </c>
      <c r="C1280">
        <v>18</v>
      </c>
      <c r="D1280" t="s">
        <v>444</v>
      </c>
      <c r="E1280" s="217">
        <v>45170</v>
      </c>
      <c r="F1280">
        <v>0</v>
      </c>
      <c r="G1280" t="s">
        <v>255</v>
      </c>
    </row>
    <row r="1281" spans="1:7">
      <c r="A1281" s="216">
        <v>45170</v>
      </c>
      <c r="B1281" t="s">
        <v>45</v>
      </c>
      <c r="C1281">
        <v>18</v>
      </c>
      <c r="D1281" t="s">
        <v>444</v>
      </c>
      <c r="E1281" s="217">
        <v>45170</v>
      </c>
      <c r="F1281">
        <v>0</v>
      </c>
      <c r="G1281" t="s">
        <v>256</v>
      </c>
    </row>
    <row r="1282" spans="1:7">
      <c r="A1282" s="216">
        <v>45170</v>
      </c>
      <c r="B1282" t="s">
        <v>45</v>
      </c>
      <c r="C1282">
        <v>18</v>
      </c>
      <c r="D1282" t="s">
        <v>444</v>
      </c>
      <c r="E1282" s="217">
        <v>45170</v>
      </c>
      <c r="F1282">
        <v>0</v>
      </c>
      <c r="G1282" t="s">
        <v>257</v>
      </c>
    </row>
    <row r="1283" spans="1:7">
      <c r="A1283" s="216">
        <v>45170</v>
      </c>
      <c r="B1283" t="s">
        <v>45</v>
      </c>
      <c r="C1283">
        <v>18</v>
      </c>
      <c r="D1283" t="s">
        <v>444</v>
      </c>
      <c r="E1283" s="217">
        <v>45170</v>
      </c>
      <c r="F1283">
        <v>0</v>
      </c>
      <c r="G1283" t="s">
        <v>258</v>
      </c>
    </row>
    <row r="1284" spans="1:7">
      <c r="A1284" s="216">
        <v>45170</v>
      </c>
      <c r="B1284" t="s">
        <v>45</v>
      </c>
      <c r="C1284">
        <v>18</v>
      </c>
      <c r="D1284" t="s">
        <v>444</v>
      </c>
      <c r="E1284" s="217">
        <v>45170</v>
      </c>
      <c r="F1284">
        <v>0</v>
      </c>
      <c r="G1284" t="s">
        <v>259</v>
      </c>
    </row>
    <row r="1285" spans="1:7">
      <c r="A1285" s="216">
        <v>45170</v>
      </c>
      <c r="B1285" t="s">
        <v>45</v>
      </c>
      <c r="C1285">
        <v>18</v>
      </c>
      <c r="D1285" t="s">
        <v>444</v>
      </c>
      <c r="E1285" s="217">
        <v>45170</v>
      </c>
      <c r="F1285">
        <v>0</v>
      </c>
      <c r="G1285" t="s">
        <v>260</v>
      </c>
    </row>
    <row r="1286" spans="1:7">
      <c r="A1286" s="216">
        <v>45170</v>
      </c>
      <c r="B1286" t="s">
        <v>45</v>
      </c>
      <c r="C1286">
        <v>18</v>
      </c>
      <c r="D1286" t="s">
        <v>444</v>
      </c>
      <c r="E1286" s="217">
        <v>45170</v>
      </c>
      <c r="F1286">
        <v>0</v>
      </c>
      <c r="G1286" t="s">
        <v>261</v>
      </c>
    </row>
    <row r="1287" spans="1:7">
      <c r="A1287" s="216">
        <v>45170</v>
      </c>
      <c r="B1287" t="s">
        <v>45</v>
      </c>
      <c r="C1287">
        <v>18</v>
      </c>
      <c r="D1287" t="s">
        <v>444</v>
      </c>
      <c r="E1287" s="217">
        <v>45170</v>
      </c>
      <c r="F1287">
        <v>0</v>
      </c>
      <c r="G1287" t="s">
        <v>262</v>
      </c>
    </row>
    <row r="1288" spans="1:7">
      <c r="A1288" s="216">
        <v>45170</v>
      </c>
      <c r="B1288" t="s">
        <v>45</v>
      </c>
      <c r="C1288">
        <v>18</v>
      </c>
      <c r="D1288" t="s">
        <v>444</v>
      </c>
      <c r="E1288" s="217">
        <v>45170</v>
      </c>
      <c r="F1288">
        <v>0</v>
      </c>
      <c r="G1288" t="s">
        <v>434</v>
      </c>
    </row>
    <row r="1289" spans="1:7">
      <c r="A1289" s="216">
        <v>45170</v>
      </c>
      <c r="B1289" t="s">
        <v>45</v>
      </c>
      <c r="C1289">
        <v>19</v>
      </c>
      <c r="D1289" t="s">
        <v>440</v>
      </c>
      <c r="E1289" s="217">
        <v>45170</v>
      </c>
      <c r="F1289">
        <v>0</v>
      </c>
      <c r="G1289" t="s">
        <v>251</v>
      </c>
    </row>
    <row r="1290" spans="1:7">
      <c r="A1290" s="216">
        <v>45170</v>
      </c>
      <c r="B1290" t="s">
        <v>45</v>
      </c>
      <c r="C1290">
        <v>19</v>
      </c>
      <c r="D1290" t="s">
        <v>440</v>
      </c>
      <c r="E1290" s="217">
        <v>45170</v>
      </c>
      <c r="F1290">
        <v>0</v>
      </c>
      <c r="G1290" t="s">
        <v>252</v>
      </c>
    </row>
    <row r="1291" spans="1:7">
      <c r="A1291" s="216">
        <v>45170</v>
      </c>
      <c r="B1291" t="s">
        <v>45</v>
      </c>
      <c r="C1291">
        <v>19</v>
      </c>
      <c r="D1291" t="s">
        <v>440</v>
      </c>
      <c r="E1291" s="217">
        <v>45170</v>
      </c>
      <c r="F1291">
        <v>0</v>
      </c>
      <c r="G1291" t="s">
        <v>253</v>
      </c>
    </row>
    <row r="1292" spans="1:7">
      <c r="A1292" s="216">
        <v>45170</v>
      </c>
      <c r="B1292" t="s">
        <v>45</v>
      </c>
      <c r="C1292">
        <v>19</v>
      </c>
      <c r="D1292" t="s">
        <v>440</v>
      </c>
      <c r="E1292" s="217">
        <v>45170</v>
      </c>
      <c r="F1292">
        <v>0</v>
      </c>
      <c r="G1292" t="s">
        <v>254</v>
      </c>
    </row>
    <row r="1293" spans="1:7">
      <c r="A1293" s="216">
        <v>45170</v>
      </c>
      <c r="B1293" t="s">
        <v>45</v>
      </c>
      <c r="C1293">
        <v>19</v>
      </c>
      <c r="D1293" t="s">
        <v>440</v>
      </c>
      <c r="E1293" s="217">
        <v>45170</v>
      </c>
      <c r="F1293">
        <v>0</v>
      </c>
      <c r="G1293" t="s">
        <v>255</v>
      </c>
    </row>
    <row r="1294" spans="1:7">
      <c r="A1294" s="216">
        <v>45170</v>
      </c>
      <c r="B1294" t="s">
        <v>45</v>
      </c>
      <c r="C1294">
        <v>19</v>
      </c>
      <c r="D1294" t="s">
        <v>440</v>
      </c>
      <c r="E1294" s="217">
        <v>45170</v>
      </c>
      <c r="F1294">
        <v>0</v>
      </c>
      <c r="G1294" t="s">
        <v>256</v>
      </c>
    </row>
    <row r="1295" spans="1:7">
      <c r="A1295" s="216">
        <v>45170</v>
      </c>
      <c r="B1295" t="s">
        <v>45</v>
      </c>
      <c r="C1295">
        <v>19</v>
      </c>
      <c r="D1295" t="s">
        <v>440</v>
      </c>
      <c r="E1295" s="217">
        <v>45170</v>
      </c>
      <c r="F1295">
        <v>0</v>
      </c>
      <c r="G1295" t="s">
        <v>257</v>
      </c>
    </row>
    <row r="1296" spans="1:7">
      <c r="A1296" s="216">
        <v>45170</v>
      </c>
      <c r="B1296" t="s">
        <v>45</v>
      </c>
      <c r="C1296">
        <v>19</v>
      </c>
      <c r="D1296" t="s">
        <v>440</v>
      </c>
      <c r="E1296" s="217">
        <v>45170</v>
      </c>
      <c r="F1296">
        <v>0</v>
      </c>
      <c r="G1296" t="s">
        <v>258</v>
      </c>
    </row>
    <row r="1297" spans="1:7">
      <c r="A1297" s="216">
        <v>45170</v>
      </c>
      <c r="B1297" t="s">
        <v>45</v>
      </c>
      <c r="C1297">
        <v>19</v>
      </c>
      <c r="D1297" t="s">
        <v>440</v>
      </c>
      <c r="E1297" s="217">
        <v>45170</v>
      </c>
      <c r="F1297">
        <v>0</v>
      </c>
      <c r="G1297" t="s">
        <v>259</v>
      </c>
    </row>
    <row r="1298" spans="1:7">
      <c r="A1298" s="216">
        <v>45170</v>
      </c>
      <c r="B1298" t="s">
        <v>45</v>
      </c>
      <c r="C1298">
        <v>19</v>
      </c>
      <c r="D1298" t="s">
        <v>440</v>
      </c>
      <c r="E1298" s="217">
        <v>45170</v>
      </c>
      <c r="F1298">
        <v>0</v>
      </c>
      <c r="G1298" t="s">
        <v>260</v>
      </c>
    </row>
    <row r="1299" spans="1:7">
      <c r="A1299" s="216">
        <v>45170</v>
      </c>
      <c r="B1299" t="s">
        <v>45</v>
      </c>
      <c r="C1299">
        <v>19</v>
      </c>
      <c r="D1299" t="s">
        <v>440</v>
      </c>
      <c r="E1299" s="217">
        <v>45170</v>
      </c>
      <c r="F1299">
        <v>0</v>
      </c>
      <c r="G1299" t="s">
        <v>261</v>
      </c>
    </row>
    <row r="1300" spans="1:7">
      <c r="A1300" s="216">
        <v>45170</v>
      </c>
      <c r="B1300" t="s">
        <v>45</v>
      </c>
      <c r="C1300">
        <v>19</v>
      </c>
      <c r="D1300" t="s">
        <v>440</v>
      </c>
      <c r="E1300" s="217">
        <v>45170</v>
      </c>
      <c r="F1300">
        <v>0</v>
      </c>
      <c r="G1300" t="s">
        <v>262</v>
      </c>
    </row>
    <row r="1301" spans="1:7">
      <c r="A1301" s="216">
        <v>45170</v>
      </c>
      <c r="B1301" t="s">
        <v>45</v>
      </c>
      <c r="C1301">
        <v>19</v>
      </c>
      <c r="D1301" t="s">
        <v>440</v>
      </c>
      <c r="E1301" s="217">
        <v>45170</v>
      </c>
      <c r="F1301">
        <v>0</v>
      </c>
      <c r="G1301" t="s">
        <v>434</v>
      </c>
    </row>
    <row r="1302" spans="1:7">
      <c r="A1302" s="216">
        <v>45170</v>
      </c>
      <c r="B1302" t="s">
        <v>45</v>
      </c>
      <c r="C1302">
        <v>20</v>
      </c>
      <c r="D1302" t="s">
        <v>456</v>
      </c>
      <c r="E1302" s="217">
        <v>45170</v>
      </c>
      <c r="F1302">
        <v>0</v>
      </c>
      <c r="G1302" t="s">
        <v>251</v>
      </c>
    </row>
    <row r="1303" spans="1:7">
      <c r="A1303" s="216">
        <v>45170</v>
      </c>
      <c r="B1303" t="s">
        <v>45</v>
      </c>
      <c r="C1303">
        <v>20</v>
      </c>
      <c r="D1303" t="s">
        <v>456</v>
      </c>
      <c r="E1303" s="217">
        <v>45170</v>
      </c>
      <c r="F1303">
        <v>0</v>
      </c>
      <c r="G1303" t="s">
        <v>252</v>
      </c>
    </row>
    <row r="1304" spans="1:7">
      <c r="A1304" s="216">
        <v>45170</v>
      </c>
      <c r="B1304" t="s">
        <v>45</v>
      </c>
      <c r="C1304">
        <v>20</v>
      </c>
      <c r="D1304" t="s">
        <v>456</v>
      </c>
      <c r="E1304" s="217">
        <v>45170</v>
      </c>
      <c r="F1304">
        <v>0</v>
      </c>
      <c r="G1304" t="s">
        <v>253</v>
      </c>
    </row>
    <row r="1305" spans="1:7">
      <c r="A1305" s="216">
        <v>45170</v>
      </c>
      <c r="B1305" t="s">
        <v>45</v>
      </c>
      <c r="C1305">
        <v>20</v>
      </c>
      <c r="D1305" t="s">
        <v>456</v>
      </c>
      <c r="E1305" s="217">
        <v>45170</v>
      </c>
      <c r="F1305">
        <v>0</v>
      </c>
      <c r="G1305" t="s">
        <v>254</v>
      </c>
    </row>
    <row r="1306" spans="1:7">
      <c r="A1306" s="216">
        <v>45170</v>
      </c>
      <c r="B1306" t="s">
        <v>45</v>
      </c>
      <c r="C1306">
        <v>20</v>
      </c>
      <c r="D1306" t="s">
        <v>456</v>
      </c>
      <c r="E1306" s="217">
        <v>45170</v>
      </c>
      <c r="F1306">
        <v>0</v>
      </c>
      <c r="G1306" t="s">
        <v>255</v>
      </c>
    </row>
    <row r="1307" spans="1:7">
      <c r="A1307" s="216">
        <v>45170</v>
      </c>
      <c r="B1307" t="s">
        <v>45</v>
      </c>
      <c r="C1307">
        <v>20</v>
      </c>
      <c r="D1307" t="s">
        <v>456</v>
      </c>
      <c r="E1307" s="217">
        <v>45170</v>
      </c>
      <c r="F1307">
        <v>0</v>
      </c>
      <c r="G1307" t="s">
        <v>256</v>
      </c>
    </row>
    <row r="1308" spans="1:7">
      <c r="A1308" s="216">
        <v>45170</v>
      </c>
      <c r="B1308" t="s">
        <v>45</v>
      </c>
      <c r="C1308">
        <v>20</v>
      </c>
      <c r="D1308" t="s">
        <v>456</v>
      </c>
      <c r="E1308" s="217">
        <v>45170</v>
      </c>
      <c r="F1308">
        <v>0</v>
      </c>
      <c r="G1308" t="s">
        <v>257</v>
      </c>
    </row>
    <row r="1309" spans="1:7">
      <c r="A1309" s="216">
        <v>45170</v>
      </c>
      <c r="B1309" t="s">
        <v>45</v>
      </c>
      <c r="C1309">
        <v>20</v>
      </c>
      <c r="D1309" t="s">
        <v>456</v>
      </c>
      <c r="E1309" s="217">
        <v>45170</v>
      </c>
      <c r="F1309">
        <v>0</v>
      </c>
      <c r="G1309" t="s">
        <v>258</v>
      </c>
    </row>
    <row r="1310" spans="1:7">
      <c r="A1310" s="216">
        <v>45170</v>
      </c>
      <c r="B1310" t="s">
        <v>45</v>
      </c>
      <c r="C1310">
        <v>20</v>
      </c>
      <c r="D1310" t="s">
        <v>456</v>
      </c>
      <c r="E1310" s="217">
        <v>45170</v>
      </c>
      <c r="F1310">
        <v>0</v>
      </c>
      <c r="G1310" t="s">
        <v>259</v>
      </c>
    </row>
    <row r="1311" spans="1:7">
      <c r="A1311" s="216">
        <v>45170</v>
      </c>
      <c r="B1311" t="s">
        <v>45</v>
      </c>
      <c r="C1311">
        <v>20</v>
      </c>
      <c r="D1311" t="s">
        <v>456</v>
      </c>
      <c r="E1311" s="217">
        <v>45170</v>
      </c>
      <c r="F1311">
        <v>0</v>
      </c>
      <c r="G1311" t="s">
        <v>260</v>
      </c>
    </row>
    <row r="1312" spans="1:7">
      <c r="A1312" s="216">
        <v>45170</v>
      </c>
      <c r="B1312" t="s">
        <v>45</v>
      </c>
      <c r="C1312">
        <v>20</v>
      </c>
      <c r="D1312" t="s">
        <v>456</v>
      </c>
      <c r="E1312" s="217">
        <v>45170</v>
      </c>
      <c r="F1312">
        <v>0</v>
      </c>
      <c r="G1312" t="s">
        <v>261</v>
      </c>
    </row>
    <row r="1313" spans="1:7">
      <c r="A1313" s="216">
        <v>45170</v>
      </c>
      <c r="B1313" t="s">
        <v>45</v>
      </c>
      <c r="C1313">
        <v>20</v>
      </c>
      <c r="D1313" t="s">
        <v>456</v>
      </c>
      <c r="E1313" s="217">
        <v>45170</v>
      </c>
      <c r="F1313">
        <v>0</v>
      </c>
      <c r="G1313" t="s">
        <v>262</v>
      </c>
    </row>
    <row r="1314" spans="1:7">
      <c r="A1314" s="216">
        <v>45170</v>
      </c>
      <c r="B1314" t="s">
        <v>45</v>
      </c>
      <c r="C1314">
        <v>20</v>
      </c>
      <c r="D1314" t="s">
        <v>456</v>
      </c>
      <c r="E1314" s="217">
        <v>45170</v>
      </c>
      <c r="F1314">
        <v>0</v>
      </c>
      <c r="G1314" t="s">
        <v>434</v>
      </c>
    </row>
    <row r="1315" spans="1:7">
      <c r="A1315" s="216">
        <v>45170</v>
      </c>
      <c r="B1315" t="s">
        <v>45</v>
      </c>
      <c r="C1315">
        <v>21</v>
      </c>
      <c r="D1315" t="s">
        <v>455</v>
      </c>
      <c r="E1315" s="217">
        <v>45170</v>
      </c>
      <c r="F1315">
        <v>0</v>
      </c>
      <c r="G1315" t="s">
        <v>251</v>
      </c>
    </row>
    <row r="1316" spans="1:7">
      <c r="A1316" s="216">
        <v>45170</v>
      </c>
      <c r="B1316" t="s">
        <v>45</v>
      </c>
      <c r="C1316">
        <v>21</v>
      </c>
      <c r="D1316" t="s">
        <v>455</v>
      </c>
      <c r="E1316" s="217">
        <v>45170</v>
      </c>
      <c r="F1316">
        <v>0</v>
      </c>
      <c r="G1316" t="s">
        <v>252</v>
      </c>
    </row>
    <row r="1317" spans="1:7">
      <c r="A1317" s="216">
        <v>45170</v>
      </c>
      <c r="B1317" t="s">
        <v>45</v>
      </c>
      <c r="C1317">
        <v>21</v>
      </c>
      <c r="D1317" t="s">
        <v>455</v>
      </c>
      <c r="E1317" s="217">
        <v>45170</v>
      </c>
      <c r="F1317">
        <v>0</v>
      </c>
      <c r="G1317" t="s">
        <v>253</v>
      </c>
    </row>
    <row r="1318" spans="1:7">
      <c r="A1318" s="216">
        <v>45170</v>
      </c>
      <c r="B1318" t="s">
        <v>45</v>
      </c>
      <c r="C1318">
        <v>21</v>
      </c>
      <c r="D1318" t="s">
        <v>455</v>
      </c>
      <c r="E1318" s="217">
        <v>45170</v>
      </c>
      <c r="F1318">
        <v>0</v>
      </c>
      <c r="G1318" t="s">
        <v>254</v>
      </c>
    </row>
    <row r="1319" spans="1:7">
      <c r="A1319" s="216">
        <v>45170</v>
      </c>
      <c r="B1319" t="s">
        <v>45</v>
      </c>
      <c r="C1319">
        <v>21</v>
      </c>
      <c r="D1319" t="s">
        <v>455</v>
      </c>
      <c r="E1319" s="217">
        <v>45170</v>
      </c>
      <c r="F1319">
        <v>0</v>
      </c>
      <c r="G1319" t="s">
        <v>255</v>
      </c>
    </row>
    <row r="1320" spans="1:7">
      <c r="A1320" s="216">
        <v>45170</v>
      </c>
      <c r="B1320" t="s">
        <v>45</v>
      </c>
      <c r="C1320">
        <v>21</v>
      </c>
      <c r="D1320" t="s">
        <v>455</v>
      </c>
      <c r="E1320" s="217">
        <v>45170</v>
      </c>
      <c r="F1320">
        <v>0</v>
      </c>
      <c r="G1320" t="s">
        <v>256</v>
      </c>
    </row>
    <row r="1321" spans="1:7">
      <c r="A1321" s="216">
        <v>45170</v>
      </c>
      <c r="B1321" t="s">
        <v>45</v>
      </c>
      <c r="C1321">
        <v>21</v>
      </c>
      <c r="D1321" t="s">
        <v>455</v>
      </c>
      <c r="E1321" s="217">
        <v>45170</v>
      </c>
      <c r="F1321">
        <v>0</v>
      </c>
      <c r="G1321" t="s">
        <v>257</v>
      </c>
    </row>
    <row r="1322" spans="1:7">
      <c r="A1322" s="216">
        <v>45170</v>
      </c>
      <c r="B1322" t="s">
        <v>45</v>
      </c>
      <c r="C1322">
        <v>21</v>
      </c>
      <c r="D1322" t="s">
        <v>455</v>
      </c>
      <c r="E1322" s="217">
        <v>45170</v>
      </c>
      <c r="F1322">
        <v>0</v>
      </c>
      <c r="G1322" t="s">
        <v>258</v>
      </c>
    </row>
    <row r="1323" spans="1:7">
      <c r="A1323" s="216">
        <v>45170</v>
      </c>
      <c r="B1323" t="s">
        <v>45</v>
      </c>
      <c r="C1323">
        <v>21</v>
      </c>
      <c r="D1323" t="s">
        <v>455</v>
      </c>
      <c r="E1323" s="217">
        <v>45170</v>
      </c>
      <c r="F1323">
        <v>0</v>
      </c>
      <c r="G1323" t="s">
        <v>259</v>
      </c>
    </row>
    <row r="1324" spans="1:7">
      <c r="A1324" s="216">
        <v>45170</v>
      </c>
      <c r="B1324" t="s">
        <v>45</v>
      </c>
      <c r="C1324">
        <v>21</v>
      </c>
      <c r="D1324" t="s">
        <v>455</v>
      </c>
      <c r="E1324" s="217">
        <v>45170</v>
      </c>
      <c r="F1324">
        <v>0</v>
      </c>
      <c r="G1324" t="s">
        <v>260</v>
      </c>
    </row>
    <row r="1325" spans="1:7">
      <c r="A1325" s="216">
        <v>45170</v>
      </c>
      <c r="B1325" t="s">
        <v>45</v>
      </c>
      <c r="C1325">
        <v>21</v>
      </c>
      <c r="D1325" t="s">
        <v>455</v>
      </c>
      <c r="E1325" s="217">
        <v>45170</v>
      </c>
      <c r="F1325">
        <v>0</v>
      </c>
      <c r="G1325" t="s">
        <v>261</v>
      </c>
    </row>
    <row r="1326" spans="1:7">
      <c r="A1326" s="216">
        <v>45170</v>
      </c>
      <c r="B1326" t="s">
        <v>45</v>
      </c>
      <c r="C1326">
        <v>21</v>
      </c>
      <c r="D1326" t="s">
        <v>455</v>
      </c>
      <c r="E1326" s="217">
        <v>45170</v>
      </c>
      <c r="F1326">
        <v>0</v>
      </c>
      <c r="G1326" t="s">
        <v>262</v>
      </c>
    </row>
    <row r="1327" spans="1:7">
      <c r="A1327" s="216">
        <v>45170</v>
      </c>
      <c r="B1327" t="s">
        <v>45</v>
      </c>
      <c r="C1327">
        <v>21</v>
      </c>
      <c r="D1327" t="s">
        <v>455</v>
      </c>
      <c r="E1327" s="217">
        <v>45170</v>
      </c>
      <c r="F1327">
        <v>0</v>
      </c>
      <c r="G1327" t="s">
        <v>434</v>
      </c>
    </row>
    <row r="1328" spans="1:7">
      <c r="A1328" s="216">
        <v>45170</v>
      </c>
      <c r="B1328" t="s">
        <v>45</v>
      </c>
      <c r="C1328">
        <v>22</v>
      </c>
      <c r="D1328" t="s">
        <v>439</v>
      </c>
      <c r="E1328" s="217">
        <v>45170</v>
      </c>
      <c r="F1328">
        <v>2010</v>
      </c>
      <c r="G1328" t="s">
        <v>251</v>
      </c>
    </row>
    <row r="1329" spans="1:7">
      <c r="A1329" s="216">
        <v>45170</v>
      </c>
      <c r="B1329" t="s">
        <v>45</v>
      </c>
      <c r="C1329">
        <v>22</v>
      </c>
      <c r="D1329" t="s">
        <v>439</v>
      </c>
      <c r="E1329" s="217">
        <v>45170</v>
      </c>
      <c r="F1329">
        <v>3449</v>
      </c>
      <c r="G1329" t="s">
        <v>252</v>
      </c>
    </row>
    <row r="1330" spans="1:7">
      <c r="A1330" s="216">
        <v>45170</v>
      </c>
      <c r="B1330" t="s">
        <v>45</v>
      </c>
      <c r="C1330">
        <v>22</v>
      </c>
      <c r="D1330" t="s">
        <v>439</v>
      </c>
      <c r="E1330" s="217">
        <v>45170</v>
      </c>
      <c r="F1330">
        <v>2897</v>
      </c>
      <c r="G1330" t="s">
        <v>253</v>
      </c>
    </row>
    <row r="1331" spans="1:7">
      <c r="A1331" s="216">
        <v>45170</v>
      </c>
      <c r="B1331" t="s">
        <v>45</v>
      </c>
      <c r="C1331">
        <v>22</v>
      </c>
      <c r="D1331" t="s">
        <v>439</v>
      </c>
      <c r="E1331" s="217">
        <v>45170</v>
      </c>
      <c r="F1331">
        <v>2785</v>
      </c>
      <c r="G1331" t="s">
        <v>254</v>
      </c>
    </row>
    <row r="1332" spans="1:7">
      <c r="A1332" s="216">
        <v>45170</v>
      </c>
      <c r="B1332" t="s">
        <v>45</v>
      </c>
      <c r="C1332">
        <v>22</v>
      </c>
      <c r="D1332" t="s">
        <v>439</v>
      </c>
      <c r="E1332" s="217">
        <v>45170</v>
      </c>
      <c r="F1332">
        <v>2391</v>
      </c>
      <c r="G1332" t="s">
        <v>255</v>
      </c>
    </row>
    <row r="1333" spans="1:7">
      <c r="A1333" s="216">
        <v>45170</v>
      </c>
      <c r="B1333" t="s">
        <v>45</v>
      </c>
      <c r="C1333">
        <v>22</v>
      </c>
      <c r="D1333" t="s">
        <v>439</v>
      </c>
      <c r="E1333" s="217">
        <v>45170</v>
      </c>
      <c r="F1333">
        <v>2722</v>
      </c>
      <c r="G1333" t="s">
        <v>256</v>
      </c>
    </row>
    <row r="1334" spans="1:7">
      <c r="A1334" s="216">
        <v>45170</v>
      </c>
      <c r="B1334" t="s">
        <v>45</v>
      </c>
      <c r="C1334">
        <v>22</v>
      </c>
      <c r="D1334" t="s">
        <v>439</v>
      </c>
      <c r="E1334" s="217">
        <v>45170</v>
      </c>
      <c r="F1334">
        <v>2698.9</v>
      </c>
      <c r="G1334" t="s">
        <v>257</v>
      </c>
    </row>
    <row r="1335" spans="1:7">
      <c r="A1335" s="216">
        <v>45170</v>
      </c>
      <c r="B1335" t="s">
        <v>45</v>
      </c>
      <c r="C1335">
        <v>22</v>
      </c>
      <c r="D1335" t="s">
        <v>439</v>
      </c>
      <c r="E1335" s="217">
        <v>45170</v>
      </c>
      <c r="F1335">
        <v>2698.9</v>
      </c>
      <c r="G1335" t="s">
        <v>258</v>
      </c>
    </row>
    <row r="1336" spans="1:7">
      <c r="A1336" s="216">
        <v>45170</v>
      </c>
      <c r="B1336" t="s">
        <v>45</v>
      </c>
      <c r="C1336">
        <v>22</v>
      </c>
      <c r="D1336" t="s">
        <v>439</v>
      </c>
      <c r="E1336" s="217">
        <v>45170</v>
      </c>
      <c r="F1336">
        <v>2698.9</v>
      </c>
      <c r="G1336" t="s">
        <v>259</v>
      </c>
    </row>
    <row r="1337" spans="1:7">
      <c r="A1337" s="216">
        <v>45170</v>
      </c>
      <c r="B1337" t="s">
        <v>45</v>
      </c>
      <c r="C1337">
        <v>22</v>
      </c>
      <c r="D1337" t="s">
        <v>439</v>
      </c>
      <c r="E1337" s="217">
        <v>45170</v>
      </c>
      <c r="F1337">
        <v>2698.9</v>
      </c>
      <c r="G1337" t="s">
        <v>260</v>
      </c>
    </row>
    <row r="1338" spans="1:7">
      <c r="A1338" s="216">
        <v>45170</v>
      </c>
      <c r="B1338" t="s">
        <v>45</v>
      </c>
      <c r="C1338">
        <v>22</v>
      </c>
      <c r="D1338" t="s">
        <v>439</v>
      </c>
      <c r="E1338" s="217">
        <v>45170</v>
      </c>
      <c r="F1338">
        <v>2698.9</v>
      </c>
      <c r="G1338" t="s">
        <v>261</v>
      </c>
    </row>
    <row r="1339" spans="1:7">
      <c r="A1339" s="216">
        <v>45170</v>
      </c>
      <c r="B1339" t="s">
        <v>45</v>
      </c>
      <c r="C1339">
        <v>22</v>
      </c>
      <c r="D1339" t="s">
        <v>439</v>
      </c>
      <c r="E1339" s="217">
        <v>45170</v>
      </c>
      <c r="F1339">
        <v>2797.9</v>
      </c>
      <c r="G1339" t="s">
        <v>262</v>
      </c>
    </row>
    <row r="1340" spans="1:7">
      <c r="A1340" s="216">
        <v>45170</v>
      </c>
      <c r="B1340" t="s">
        <v>45</v>
      </c>
      <c r="C1340">
        <v>22</v>
      </c>
      <c r="D1340" t="s">
        <v>439</v>
      </c>
      <c r="E1340" s="217">
        <v>45170</v>
      </c>
      <c r="F1340">
        <v>32546.400000000001</v>
      </c>
      <c r="G1340" t="s">
        <v>434</v>
      </c>
    </row>
    <row r="1341" spans="1:7">
      <c r="A1341" s="216">
        <v>45170</v>
      </c>
      <c r="B1341" t="s">
        <v>45</v>
      </c>
      <c r="C1341">
        <v>23</v>
      </c>
      <c r="D1341" t="s">
        <v>435</v>
      </c>
      <c r="E1341" s="217">
        <v>45170</v>
      </c>
      <c r="F1341">
        <v>10</v>
      </c>
      <c r="G1341" t="s">
        <v>251</v>
      </c>
    </row>
    <row r="1342" spans="1:7">
      <c r="A1342" s="216">
        <v>45170</v>
      </c>
      <c r="B1342" t="s">
        <v>45</v>
      </c>
      <c r="C1342">
        <v>23</v>
      </c>
      <c r="D1342" t="s">
        <v>435</v>
      </c>
      <c r="E1342" s="217">
        <v>45170</v>
      </c>
      <c r="F1342">
        <v>10</v>
      </c>
      <c r="G1342" t="s">
        <v>252</v>
      </c>
    </row>
    <row r="1343" spans="1:7">
      <c r="A1343" s="216">
        <v>45170</v>
      </c>
      <c r="B1343" t="s">
        <v>45</v>
      </c>
      <c r="C1343">
        <v>23</v>
      </c>
      <c r="D1343" t="s">
        <v>435</v>
      </c>
      <c r="E1343" s="217">
        <v>45170</v>
      </c>
      <c r="F1343">
        <v>148</v>
      </c>
      <c r="G1343" t="s">
        <v>253</v>
      </c>
    </row>
    <row r="1344" spans="1:7">
      <c r="A1344" s="216">
        <v>45170</v>
      </c>
      <c r="B1344" t="s">
        <v>45</v>
      </c>
      <c r="C1344">
        <v>23</v>
      </c>
      <c r="D1344" t="s">
        <v>435</v>
      </c>
      <c r="E1344" s="217">
        <v>45170</v>
      </c>
      <c r="F1344">
        <v>56</v>
      </c>
      <c r="G1344" t="s">
        <v>254</v>
      </c>
    </row>
    <row r="1345" spans="1:7">
      <c r="A1345" s="216">
        <v>45170</v>
      </c>
      <c r="B1345" t="s">
        <v>45</v>
      </c>
      <c r="C1345">
        <v>23</v>
      </c>
      <c r="D1345" t="s">
        <v>435</v>
      </c>
      <c r="E1345" s="217">
        <v>45170</v>
      </c>
      <c r="F1345">
        <v>56</v>
      </c>
      <c r="G1345" t="s">
        <v>255</v>
      </c>
    </row>
    <row r="1346" spans="1:7">
      <c r="A1346" s="216">
        <v>45170</v>
      </c>
      <c r="B1346" t="s">
        <v>45</v>
      </c>
      <c r="C1346">
        <v>23</v>
      </c>
      <c r="D1346" t="s">
        <v>435</v>
      </c>
      <c r="E1346" s="217">
        <v>45170</v>
      </c>
      <c r="F1346">
        <v>56</v>
      </c>
      <c r="G1346" t="s">
        <v>256</v>
      </c>
    </row>
    <row r="1347" spans="1:7">
      <c r="A1347" s="216">
        <v>45170</v>
      </c>
      <c r="B1347" t="s">
        <v>45</v>
      </c>
      <c r="C1347">
        <v>23</v>
      </c>
      <c r="D1347" t="s">
        <v>435</v>
      </c>
      <c r="E1347" s="217">
        <v>45170</v>
      </c>
      <c r="F1347">
        <v>56</v>
      </c>
      <c r="G1347" t="s">
        <v>257</v>
      </c>
    </row>
    <row r="1348" spans="1:7">
      <c r="A1348" s="216">
        <v>45170</v>
      </c>
      <c r="B1348" t="s">
        <v>45</v>
      </c>
      <c r="C1348">
        <v>23</v>
      </c>
      <c r="D1348" t="s">
        <v>435</v>
      </c>
      <c r="E1348" s="217">
        <v>45170</v>
      </c>
      <c r="F1348">
        <v>56</v>
      </c>
      <c r="G1348" t="s">
        <v>258</v>
      </c>
    </row>
    <row r="1349" spans="1:7">
      <c r="A1349" s="216">
        <v>45170</v>
      </c>
      <c r="B1349" t="s">
        <v>45</v>
      </c>
      <c r="C1349">
        <v>23</v>
      </c>
      <c r="D1349" t="s">
        <v>435</v>
      </c>
      <c r="E1349" s="217">
        <v>45170</v>
      </c>
      <c r="F1349">
        <v>56</v>
      </c>
      <c r="G1349" t="s">
        <v>259</v>
      </c>
    </row>
    <row r="1350" spans="1:7">
      <c r="A1350" s="216">
        <v>45170</v>
      </c>
      <c r="B1350" t="s">
        <v>45</v>
      </c>
      <c r="C1350">
        <v>23</v>
      </c>
      <c r="D1350" t="s">
        <v>435</v>
      </c>
      <c r="E1350" s="217">
        <v>45170</v>
      </c>
      <c r="F1350">
        <v>56</v>
      </c>
      <c r="G1350" t="s">
        <v>260</v>
      </c>
    </row>
    <row r="1351" spans="1:7">
      <c r="A1351" s="216">
        <v>45170</v>
      </c>
      <c r="B1351" t="s">
        <v>45</v>
      </c>
      <c r="C1351">
        <v>23</v>
      </c>
      <c r="D1351" t="s">
        <v>435</v>
      </c>
      <c r="E1351" s="217">
        <v>45170</v>
      </c>
      <c r="F1351">
        <v>56</v>
      </c>
      <c r="G1351" t="s">
        <v>261</v>
      </c>
    </row>
    <row r="1352" spans="1:7">
      <c r="A1352" s="216">
        <v>45170</v>
      </c>
      <c r="B1352" t="s">
        <v>45</v>
      </c>
      <c r="C1352">
        <v>23</v>
      </c>
      <c r="D1352" t="s">
        <v>435</v>
      </c>
      <c r="E1352" s="217">
        <v>45170</v>
      </c>
      <c r="F1352">
        <v>-4092</v>
      </c>
      <c r="G1352" t="s">
        <v>262</v>
      </c>
    </row>
    <row r="1353" spans="1:7">
      <c r="A1353" s="216">
        <v>45170</v>
      </c>
      <c r="B1353" t="s">
        <v>45</v>
      </c>
      <c r="C1353">
        <v>23</v>
      </c>
      <c r="D1353" t="s">
        <v>435</v>
      </c>
      <c r="E1353" s="217">
        <v>45170</v>
      </c>
      <c r="F1353">
        <v>-3476</v>
      </c>
      <c r="G1353" t="s">
        <v>434</v>
      </c>
    </row>
    <row r="1354" spans="1:7">
      <c r="A1354" s="216">
        <v>45170</v>
      </c>
      <c r="B1354" t="s">
        <v>45</v>
      </c>
      <c r="C1354">
        <v>24</v>
      </c>
      <c r="D1354" t="s">
        <v>457</v>
      </c>
      <c r="E1354" s="217">
        <v>45170</v>
      </c>
      <c r="F1354">
        <v>0</v>
      </c>
      <c r="G1354" t="s">
        <v>251</v>
      </c>
    </row>
    <row r="1355" spans="1:7">
      <c r="A1355" s="216">
        <v>45170</v>
      </c>
      <c r="B1355" t="s">
        <v>45</v>
      </c>
      <c r="C1355">
        <v>24</v>
      </c>
      <c r="D1355" t="s">
        <v>457</v>
      </c>
      <c r="E1355" s="217">
        <v>45170</v>
      </c>
      <c r="F1355">
        <v>0</v>
      </c>
      <c r="G1355" t="s">
        <v>252</v>
      </c>
    </row>
    <row r="1356" spans="1:7">
      <c r="A1356" s="216">
        <v>45170</v>
      </c>
      <c r="B1356" t="s">
        <v>45</v>
      </c>
      <c r="C1356">
        <v>24</v>
      </c>
      <c r="D1356" t="s">
        <v>457</v>
      </c>
      <c r="E1356" s="217">
        <v>45170</v>
      </c>
      <c r="F1356">
        <v>0</v>
      </c>
      <c r="G1356" t="s">
        <v>253</v>
      </c>
    </row>
    <row r="1357" spans="1:7">
      <c r="A1357" s="216">
        <v>45170</v>
      </c>
      <c r="B1357" t="s">
        <v>45</v>
      </c>
      <c r="C1357">
        <v>24</v>
      </c>
      <c r="D1357" t="s">
        <v>457</v>
      </c>
      <c r="E1357" s="217">
        <v>45170</v>
      </c>
      <c r="F1357">
        <v>0</v>
      </c>
      <c r="G1357" t="s">
        <v>254</v>
      </c>
    </row>
    <row r="1358" spans="1:7">
      <c r="A1358" s="216">
        <v>45170</v>
      </c>
      <c r="B1358" t="s">
        <v>45</v>
      </c>
      <c r="C1358">
        <v>24</v>
      </c>
      <c r="D1358" t="s">
        <v>457</v>
      </c>
      <c r="E1358" s="217">
        <v>45170</v>
      </c>
      <c r="F1358">
        <v>0</v>
      </c>
      <c r="G1358" t="s">
        <v>255</v>
      </c>
    </row>
    <row r="1359" spans="1:7">
      <c r="A1359" s="216">
        <v>45170</v>
      </c>
      <c r="B1359" t="s">
        <v>45</v>
      </c>
      <c r="C1359">
        <v>24</v>
      </c>
      <c r="D1359" t="s">
        <v>457</v>
      </c>
      <c r="E1359" s="217">
        <v>45170</v>
      </c>
      <c r="F1359">
        <v>0</v>
      </c>
      <c r="G1359" t="s">
        <v>256</v>
      </c>
    </row>
    <row r="1360" spans="1:7">
      <c r="A1360" s="216">
        <v>45170</v>
      </c>
      <c r="B1360" t="s">
        <v>45</v>
      </c>
      <c r="C1360">
        <v>24</v>
      </c>
      <c r="D1360" t="s">
        <v>457</v>
      </c>
      <c r="E1360" s="217">
        <v>45170</v>
      </c>
      <c r="F1360">
        <v>0</v>
      </c>
      <c r="G1360" t="s">
        <v>257</v>
      </c>
    </row>
    <row r="1361" spans="1:7">
      <c r="A1361" s="216">
        <v>45170</v>
      </c>
      <c r="B1361" t="s">
        <v>45</v>
      </c>
      <c r="C1361">
        <v>24</v>
      </c>
      <c r="D1361" t="s">
        <v>457</v>
      </c>
      <c r="E1361" s="217">
        <v>45170</v>
      </c>
      <c r="F1361">
        <v>0</v>
      </c>
      <c r="G1361" t="s">
        <v>258</v>
      </c>
    </row>
    <row r="1362" spans="1:7">
      <c r="A1362" s="216">
        <v>45170</v>
      </c>
      <c r="B1362" t="s">
        <v>45</v>
      </c>
      <c r="C1362">
        <v>24</v>
      </c>
      <c r="D1362" t="s">
        <v>457</v>
      </c>
      <c r="E1362" s="217">
        <v>45170</v>
      </c>
      <c r="F1362">
        <v>0</v>
      </c>
      <c r="G1362" t="s">
        <v>259</v>
      </c>
    </row>
    <row r="1363" spans="1:7">
      <c r="A1363" s="216">
        <v>45170</v>
      </c>
      <c r="B1363" t="s">
        <v>45</v>
      </c>
      <c r="C1363">
        <v>24</v>
      </c>
      <c r="D1363" t="s">
        <v>457</v>
      </c>
      <c r="E1363" s="217">
        <v>45170</v>
      </c>
      <c r="F1363">
        <v>0</v>
      </c>
      <c r="G1363" t="s">
        <v>260</v>
      </c>
    </row>
    <row r="1364" spans="1:7">
      <c r="A1364" s="216">
        <v>45170</v>
      </c>
      <c r="B1364" t="s">
        <v>45</v>
      </c>
      <c r="C1364">
        <v>24</v>
      </c>
      <c r="D1364" t="s">
        <v>457</v>
      </c>
      <c r="E1364" s="217">
        <v>45170</v>
      </c>
      <c r="F1364">
        <v>0</v>
      </c>
      <c r="G1364" t="s">
        <v>261</v>
      </c>
    </row>
    <row r="1365" spans="1:7">
      <c r="A1365" s="216">
        <v>45170</v>
      </c>
      <c r="B1365" t="s">
        <v>45</v>
      </c>
      <c r="C1365">
        <v>24</v>
      </c>
      <c r="D1365" t="s">
        <v>457</v>
      </c>
      <c r="E1365" s="217">
        <v>45170</v>
      </c>
      <c r="F1365">
        <v>0</v>
      </c>
      <c r="G1365" t="s">
        <v>262</v>
      </c>
    </row>
    <row r="1366" spans="1:7">
      <c r="A1366" s="216">
        <v>45170</v>
      </c>
      <c r="B1366" t="s">
        <v>45</v>
      </c>
      <c r="C1366">
        <v>24</v>
      </c>
      <c r="D1366" t="s">
        <v>457</v>
      </c>
      <c r="E1366" s="217">
        <v>45170</v>
      </c>
      <c r="F1366">
        <v>0</v>
      </c>
      <c r="G1366" t="s">
        <v>434</v>
      </c>
    </row>
    <row r="1367" spans="1:7">
      <c r="A1367" s="216">
        <v>45170</v>
      </c>
      <c r="B1367" t="s">
        <v>45</v>
      </c>
      <c r="C1367">
        <v>25</v>
      </c>
      <c r="D1367" t="s">
        <v>452</v>
      </c>
      <c r="E1367" s="217">
        <v>45170</v>
      </c>
      <c r="F1367">
        <v>0</v>
      </c>
      <c r="G1367" t="s">
        <v>251</v>
      </c>
    </row>
    <row r="1368" spans="1:7">
      <c r="A1368" s="216">
        <v>45170</v>
      </c>
      <c r="B1368" t="s">
        <v>45</v>
      </c>
      <c r="C1368">
        <v>25</v>
      </c>
      <c r="D1368" t="s">
        <v>452</v>
      </c>
      <c r="E1368" s="217">
        <v>45170</v>
      </c>
      <c r="F1368">
        <v>-3</v>
      </c>
      <c r="G1368" t="s">
        <v>252</v>
      </c>
    </row>
    <row r="1369" spans="1:7">
      <c r="A1369" s="216">
        <v>45170</v>
      </c>
      <c r="B1369" t="s">
        <v>45</v>
      </c>
      <c r="C1369">
        <v>25</v>
      </c>
      <c r="D1369" t="s">
        <v>452</v>
      </c>
      <c r="E1369" s="217">
        <v>45170</v>
      </c>
      <c r="F1369">
        <v>-1</v>
      </c>
      <c r="G1369" t="s">
        <v>253</v>
      </c>
    </row>
    <row r="1370" spans="1:7">
      <c r="A1370" s="216">
        <v>45170</v>
      </c>
      <c r="B1370" t="s">
        <v>45</v>
      </c>
      <c r="C1370">
        <v>25</v>
      </c>
      <c r="D1370" t="s">
        <v>452</v>
      </c>
      <c r="E1370" s="217">
        <v>45170</v>
      </c>
      <c r="F1370">
        <v>1</v>
      </c>
      <c r="G1370" t="s">
        <v>254</v>
      </c>
    </row>
    <row r="1371" spans="1:7">
      <c r="A1371" s="216">
        <v>45170</v>
      </c>
      <c r="B1371" t="s">
        <v>45</v>
      </c>
      <c r="C1371">
        <v>25</v>
      </c>
      <c r="D1371" t="s">
        <v>452</v>
      </c>
      <c r="E1371" s="217">
        <v>45170</v>
      </c>
      <c r="F1371">
        <v>-14</v>
      </c>
      <c r="G1371" t="s">
        <v>255</v>
      </c>
    </row>
    <row r="1372" spans="1:7">
      <c r="A1372" s="216">
        <v>45170</v>
      </c>
      <c r="B1372" t="s">
        <v>45</v>
      </c>
      <c r="C1372">
        <v>25</v>
      </c>
      <c r="D1372" t="s">
        <v>452</v>
      </c>
      <c r="E1372" s="217">
        <v>45170</v>
      </c>
      <c r="F1372">
        <v>-19</v>
      </c>
      <c r="G1372" t="s">
        <v>256</v>
      </c>
    </row>
    <row r="1373" spans="1:7">
      <c r="A1373" s="216">
        <v>45170</v>
      </c>
      <c r="B1373" t="s">
        <v>45</v>
      </c>
      <c r="C1373">
        <v>25</v>
      </c>
      <c r="D1373" t="s">
        <v>452</v>
      </c>
      <c r="E1373" s="217">
        <v>45170</v>
      </c>
      <c r="F1373">
        <v>0</v>
      </c>
      <c r="G1373" t="s">
        <v>257</v>
      </c>
    </row>
    <row r="1374" spans="1:7">
      <c r="A1374" s="216">
        <v>45170</v>
      </c>
      <c r="B1374" t="s">
        <v>45</v>
      </c>
      <c r="C1374">
        <v>25</v>
      </c>
      <c r="D1374" t="s">
        <v>452</v>
      </c>
      <c r="E1374" s="217">
        <v>45170</v>
      </c>
      <c r="F1374">
        <v>0</v>
      </c>
      <c r="G1374" t="s">
        <v>258</v>
      </c>
    </row>
    <row r="1375" spans="1:7">
      <c r="A1375" s="216">
        <v>45170</v>
      </c>
      <c r="B1375" t="s">
        <v>45</v>
      </c>
      <c r="C1375">
        <v>25</v>
      </c>
      <c r="D1375" t="s">
        <v>452</v>
      </c>
      <c r="E1375" s="217">
        <v>45170</v>
      </c>
      <c r="F1375">
        <v>0</v>
      </c>
      <c r="G1375" t="s">
        <v>259</v>
      </c>
    </row>
    <row r="1376" spans="1:7">
      <c r="A1376" s="216">
        <v>45170</v>
      </c>
      <c r="B1376" t="s">
        <v>45</v>
      </c>
      <c r="C1376">
        <v>25</v>
      </c>
      <c r="D1376" t="s">
        <v>452</v>
      </c>
      <c r="E1376" s="217">
        <v>45170</v>
      </c>
      <c r="F1376">
        <v>0</v>
      </c>
      <c r="G1376" t="s">
        <v>260</v>
      </c>
    </row>
    <row r="1377" spans="1:7">
      <c r="A1377" s="216">
        <v>45170</v>
      </c>
      <c r="B1377" t="s">
        <v>45</v>
      </c>
      <c r="C1377">
        <v>25</v>
      </c>
      <c r="D1377" t="s">
        <v>452</v>
      </c>
      <c r="E1377" s="217">
        <v>45170</v>
      </c>
      <c r="F1377">
        <v>0</v>
      </c>
      <c r="G1377" t="s">
        <v>261</v>
      </c>
    </row>
    <row r="1378" spans="1:7">
      <c r="A1378" s="216">
        <v>45170</v>
      </c>
      <c r="B1378" t="s">
        <v>45</v>
      </c>
      <c r="C1378">
        <v>25</v>
      </c>
      <c r="D1378" t="s">
        <v>452</v>
      </c>
      <c r="E1378" s="217">
        <v>45170</v>
      </c>
      <c r="F1378">
        <v>0</v>
      </c>
      <c r="G1378" t="s">
        <v>262</v>
      </c>
    </row>
    <row r="1379" spans="1:7">
      <c r="A1379" s="216">
        <v>45170</v>
      </c>
      <c r="B1379" t="s">
        <v>45</v>
      </c>
      <c r="C1379">
        <v>25</v>
      </c>
      <c r="D1379" t="s">
        <v>452</v>
      </c>
      <c r="E1379" s="217">
        <v>45170</v>
      </c>
      <c r="F1379">
        <v>-36</v>
      </c>
      <c r="G1379" t="s">
        <v>434</v>
      </c>
    </row>
    <row r="1380" spans="1:7">
      <c r="A1380" s="216">
        <v>45170</v>
      </c>
      <c r="B1380" t="s">
        <v>45</v>
      </c>
      <c r="C1380">
        <v>26</v>
      </c>
      <c r="D1380" t="s">
        <v>438</v>
      </c>
      <c r="E1380" s="217">
        <v>45170</v>
      </c>
      <c r="F1380">
        <v>115063</v>
      </c>
      <c r="G1380" t="s">
        <v>251</v>
      </c>
    </row>
    <row r="1381" spans="1:7">
      <c r="A1381" s="216">
        <v>45170</v>
      </c>
      <c r="B1381" t="s">
        <v>45</v>
      </c>
      <c r="C1381">
        <v>26</v>
      </c>
      <c r="D1381" t="s">
        <v>438</v>
      </c>
      <c r="E1381" s="217">
        <v>45170</v>
      </c>
      <c r="F1381">
        <v>119616</v>
      </c>
      <c r="G1381" t="s">
        <v>252</v>
      </c>
    </row>
    <row r="1382" spans="1:7">
      <c r="A1382" s="216">
        <v>45170</v>
      </c>
      <c r="B1382" t="s">
        <v>45</v>
      </c>
      <c r="C1382">
        <v>26</v>
      </c>
      <c r="D1382" t="s">
        <v>438</v>
      </c>
      <c r="E1382" s="217">
        <v>45170</v>
      </c>
      <c r="F1382">
        <v>136059</v>
      </c>
      <c r="G1382" t="s">
        <v>253</v>
      </c>
    </row>
    <row r="1383" spans="1:7">
      <c r="A1383" s="216">
        <v>45170</v>
      </c>
      <c r="B1383" t="s">
        <v>45</v>
      </c>
      <c r="C1383">
        <v>26</v>
      </c>
      <c r="D1383" t="s">
        <v>438</v>
      </c>
      <c r="E1383" s="217">
        <v>45170</v>
      </c>
      <c r="F1383">
        <v>128553</v>
      </c>
      <c r="G1383" t="s">
        <v>254</v>
      </c>
    </row>
    <row r="1384" spans="1:7">
      <c r="A1384" s="216">
        <v>45170</v>
      </c>
      <c r="B1384" t="s">
        <v>45</v>
      </c>
      <c r="C1384">
        <v>26</v>
      </c>
      <c r="D1384" t="s">
        <v>438</v>
      </c>
      <c r="E1384" s="217">
        <v>45170</v>
      </c>
      <c r="F1384">
        <v>122787</v>
      </c>
      <c r="G1384" t="s">
        <v>255</v>
      </c>
    </row>
    <row r="1385" spans="1:7">
      <c r="A1385" s="216">
        <v>45170</v>
      </c>
      <c r="B1385" t="s">
        <v>45</v>
      </c>
      <c r="C1385">
        <v>26</v>
      </c>
      <c r="D1385" t="s">
        <v>438</v>
      </c>
      <c r="E1385" s="217">
        <v>45170</v>
      </c>
      <c r="F1385">
        <v>118447</v>
      </c>
      <c r="G1385" t="s">
        <v>256</v>
      </c>
    </row>
    <row r="1386" spans="1:7">
      <c r="A1386" s="216">
        <v>45170</v>
      </c>
      <c r="B1386" t="s">
        <v>45</v>
      </c>
      <c r="C1386">
        <v>26</v>
      </c>
      <c r="D1386" t="s">
        <v>438</v>
      </c>
      <c r="E1386" s="217">
        <v>45170</v>
      </c>
      <c r="F1386">
        <v>128705.9</v>
      </c>
      <c r="G1386" t="s">
        <v>257</v>
      </c>
    </row>
    <row r="1387" spans="1:7">
      <c r="A1387" s="216">
        <v>45170</v>
      </c>
      <c r="B1387" t="s">
        <v>45</v>
      </c>
      <c r="C1387">
        <v>26</v>
      </c>
      <c r="D1387" t="s">
        <v>438</v>
      </c>
      <c r="E1387" s="217">
        <v>45170</v>
      </c>
      <c r="F1387">
        <v>125947.9</v>
      </c>
      <c r="G1387" t="s">
        <v>258</v>
      </c>
    </row>
    <row r="1388" spans="1:7">
      <c r="A1388" s="216">
        <v>45170</v>
      </c>
      <c r="B1388" t="s">
        <v>45</v>
      </c>
      <c r="C1388">
        <v>26</v>
      </c>
      <c r="D1388" t="s">
        <v>438</v>
      </c>
      <c r="E1388" s="217">
        <v>45170</v>
      </c>
      <c r="F1388">
        <v>126260.9</v>
      </c>
      <c r="G1388" t="s">
        <v>259</v>
      </c>
    </row>
    <row r="1389" spans="1:7">
      <c r="A1389" s="216">
        <v>45170</v>
      </c>
      <c r="B1389" t="s">
        <v>45</v>
      </c>
      <c r="C1389">
        <v>26</v>
      </c>
      <c r="D1389" t="s">
        <v>438</v>
      </c>
      <c r="E1389" s="217">
        <v>45170</v>
      </c>
      <c r="F1389">
        <v>125196.9</v>
      </c>
      <c r="G1389" t="s">
        <v>260</v>
      </c>
    </row>
    <row r="1390" spans="1:7">
      <c r="A1390" s="216">
        <v>45170</v>
      </c>
      <c r="B1390" t="s">
        <v>45</v>
      </c>
      <c r="C1390">
        <v>26</v>
      </c>
      <c r="D1390" t="s">
        <v>438</v>
      </c>
      <c r="E1390" s="217">
        <v>45170</v>
      </c>
      <c r="F1390">
        <v>125310.9</v>
      </c>
      <c r="G1390" t="s">
        <v>261</v>
      </c>
    </row>
    <row r="1391" spans="1:7">
      <c r="A1391" s="216">
        <v>45170</v>
      </c>
      <c r="B1391" t="s">
        <v>45</v>
      </c>
      <c r="C1391">
        <v>26</v>
      </c>
      <c r="D1391" t="s">
        <v>438</v>
      </c>
      <c r="E1391" s="217">
        <v>45170</v>
      </c>
      <c r="F1391">
        <v>120648.9</v>
      </c>
      <c r="G1391" t="s">
        <v>262</v>
      </c>
    </row>
    <row r="1392" spans="1:7">
      <c r="A1392" s="216">
        <v>45170</v>
      </c>
      <c r="B1392" t="s">
        <v>45</v>
      </c>
      <c r="C1392">
        <v>26</v>
      </c>
      <c r="D1392" t="s">
        <v>438</v>
      </c>
      <c r="E1392" s="217">
        <v>45170</v>
      </c>
      <c r="F1392">
        <v>1492596.4</v>
      </c>
      <c r="G1392" t="s">
        <v>434</v>
      </c>
    </row>
    <row r="1393" spans="1:7">
      <c r="A1393" s="216">
        <v>45170</v>
      </c>
      <c r="B1393" t="s">
        <v>45</v>
      </c>
      <c r="C1393">
        <v>27</v>
      </c>
      <c r="D1393" t="s">
        <v>446</v>
      </c>
      <c r="E1393" s="217">
        <v>45170</v>
      </c>
      <c r="F1393">
        <v>-6614</v>
      </c>
      <c r="G1393" t="s">
        <v>251</v>
      </c>
    </row>
    <row r="1394" spans="1:7">
      <c r="A1394" s="216">
        <v>45170</v>
      </c>
      <c r="B1394" t="s">
        <v>45</v>
      </c>
      <c r="C1394">
        <v>27</v>
      </c>
      <c r="D1394" t="s">
        <v>446</v>
      </c>
      <c r="E1394" s="217">
        <v>45170</v>
      </c>
      <c r="F1394">
        <v>-6770</v>
      </c>
      <c r="G1394" t="s">
        <v>252</v>
      </c>
    </row>
    <row r="1395" spans="1:7">
      <c r="A1395" s="216">
        <v>45170</v>
      </c>
      <c r="B1395" t="s">
        <v>45</v>
      </c>
      <c r="C1395">
        <v>27</v>
      </c>
      <c r="D1395" t="s">
        <v>446</v>
      </c>
      <c r="E1395" s="217">
        <v>45170</v>
      </c>
      <c r="F1395">
        <v>-8952</v>
      </c>
      <c r="G1395" t="s">
        <v>253</v>
      </c>
    </row>
    <row r="1396" spans="1:7">
      <c r="A1396" s="216">
        <v>45170</v>
      </c>
      <c r="B1396" t="s">
        <v>45</v>
      </c>
      <c r="C1396">
        <v>27</v>
      </c>
      <c r="D1396" t="s">
        <v>446</v>
      </c>
      <c r="E1396" s="217">
        <v>45170</v>
      </c>
      <c r="F1396">
        <v>-6957</v>
      </c>
      <c r="G1396" t="s">
        <v>254</v>
      </c>
    </row>
    <row r="1397" spans="1:7">
      <c r="A1397" s="216">
        <v>45170</v>
      </c>
      <c r="B1397" t="s">
        <v>45</v>
      </c>
      <c r="C1397">
        <v>27</v>
      </c>
      <c r="D1397" t="s">
        <v>446</v>
      </c>
      <c r="E1397" s="217">
        <v>45170</v>
      </c>
      <c r="F1397">
        <v>-6735</v>
      </c>
      <c r="G1397" t="s">
        <v>255</v>
      </c>
    </row>
    <row r="1398" spans="1:7">
      <c r="A1398" s="216">
        <v>45170</v>
      </c>
      <c r="B1398" t="s">
        <v>45</v>
      </c>
      <c r="C1398">
        <v>27</v>
      </c>
      <c r="D1398" t="s">
        <v>446</v>
      </c>
      <c r="E1398" s="217">
        <v>45170</v>
      </c>
      <c r="F1398">
        <v>-5165</v>
      </c>
      <c r="G1398" t="s">
        <v>256</v>
      </c>
    </row>
    <row r="1399" spans="1:7">
      <c r="A1399" s="216">
        <v>45170</v>
      </c>
      <c r="B1399" t="s">
        <v>45</v>
      </c>
      <c r="C1399">
        <v>27</v>
      </c>
      <c r="D1399" t="s">
        <v>446</v>
      </c>
      <c r="E1399" s="217">
        <v>45170</v>
      </c>
      <c r="F1399">
        <v>-6632.8999999999896</v>
      </c>
      <c r="G1399" t="s">
        <v>257</v>
      </c>
    </row>
    <row r="1400" spans="1:7">
      <c r="A1400" s="216">
        <v>45170</v>
      </c>
      <c r="B1400" t="s">
        <v>45</v>
      </c>
      <c r="C1400">
        <v>27</v>
      </c>
      <c r="D1400" t="s">
        <v>446</v>
      </c>
      <c r="E1400" s="217">
        <v>45170</v>
      </c>
      <c r="F1400">
        <v>-6632.8999999999896</v>
      </c>
      <c r="G1400" t="s">
        <v>258</v>
      </c>
    </row>
    <row r="1401" spans="1:7">
      <c r="A1401" s="216">
        <v>45170</v>
      </c>
      <c r="B1401" t="s">
        <v>45</v>
      </c>
      <c r="C1401">
        <v>27</v>
      </c>
      <c r="D1401" t="s">
        <v>446</v>
      </c>
      <c r="E1401" s="217">
        <v>45170</v>
      </c>
      <c r="F1401">
        <v>-6632.8999999999896</v>
      </c>
      <c r="G1401" t="s">
        <v>259</v>
      </c>
    </row>
    <row r="1402" spans="1:7">
      <c r="A1402" s="216">
        <v>45170</v>
      </c>
      <c r="B1402" t="s">
        <v>45</v>
      </c>
      <c r="C1402">
        <v>27</v>
      </c>
      <c r="D1402" t="s">
        <v>446</v>
      </c>
      <c r="E1402" s="217">
        <v>45170</v>
      </c>
      <c r="F1402">
        <v>-6632.8999999999896</v>
      </c>
      <c r="G1402" t="s">
        <v>260</v>
      </c>
    </row>
    <row r="1403" spans="1:7">
      <c r="A1403" s="216">
        <v>45170</v>
      </c>
      <c r="B1403" t="s">
        <v>45</v>
      </c>
      <c r="C1403">
        <v>27</v>
      </c>
      <c r="D1403" t="s">
        <v>446</v>
      </c>
      <c r="E1403" s="217">
        <v>45170</v>
      </c>
      <c r="F1403">
        <v>-6632.8999999999896</v>
      </c>
      <c r="G1403" t="s">
        <v>261</v>
      </c>
    </row>
    <row r="1404" spans="1:7">
      <c r="A1404" s="216">
        <v>45170</v>
      </c>
      <c r="B1404" t="s">
        <v>45</v>
      </c>
      <c r="C1404">
        <v>27</v>
      </c>
      <c r="D1404" t="s">
        <v>446</v>
      </c>
      <c r="E1404" s="217">
        <v>45170</v>
      </c>
      <c r="F1404">
        <v>-5241.8999999999896</v>
      </c>
      <c r="G1404" t="s">
        <v>262</v>
      </c>
    </row>
    <row r="1405" spans="1:7">
      <c r="A1405" s="216">
        <v>45170</v>
      </c>
      <c r="B1405" t="s">
        <v>45</v>
      </c>
      <c r="C1405">
        <v>27</v>
      </c>
      <c r="D1405" t="s">
        <v>446</v>
      </c>
      <c r="E1405" s="217">
        <v>45170</v>
      </c>
      <c r="F1405">
        <v>-79599.399999999907</v>
      </c>
      <c r="G1405" t="s">
        <v>434</v>
      </c>
    </row>
    <row r="1406" spans="1:7">
      <c r="A1406" s="216">
        <v>45170</v>
      </c>
      <c r="B1406" t="s">
        <v>52</v>
      </c>
      <c r="C1406">
        <v>1</v>
      </c>
      <c r="D1406" t="s">
        <v>453</v>
      </c>
      <c r="E1406" s="217">
        <v>45170</v>
      </c>
      <c r="F1406">
        <v>8708</v>
      </c>
      <c r="G1406" t="s">
        <v>251</v>
      </c>
    </row>
    <row r="1407" spans="1:7">
      <c r="A1407" s="216">
        <v>45170</v>
      </c>
      <c r="B1407" t="s">
        <v>52</v>
      </c>
      <c r="C1407">
        <v>1</v>
      </c>
      <c r="D1407" t="s">
        <v>453</v>
      </c>
      <c r="E1407" s="217">
        <v>45170</v>
      </c>
      <c r="F1407">
        <v>8958</v>
      </c>
      <c r="G1407" t="s">
        <v>252</v>
      </c>
    </row>
    <row r="1408" spans="1:7">
      <c r="A1408" s="216">
        <v>45170</v>
      </c>
      <c r="B1408" t="s">
        <v>52</v>
      </c>
      <c r="C1408">
        <v>1</v>
      </c>
      <c r="D1408" t="s">
        <v>453</v>
      </c>
      <c r="E1408" s="217">
        <v>45170</v>
      </c>
      <c r="F1408">
        <v>10308</v>
      </c>
      <c r="G1408" t="s">
        <v>253</v>
      </c>
    </row>
    <row r="1409" spans="1:7">
      <c r="A1409" s="216">
        <v>45170</v>
      </c>
      <c r="B1409" t="s">
        <v>52</v>
      </c>
      <c r="C1409">
        <v>1</v>
      </c>
      <c r="D1409" t="s">
        <v>453</v>
      </c>
      <c r="E1409" s="217">
        <v>45170</v>
      </c>
      <c r="F1409">
        <v>10093</v>
      </c>
      <c r="G1409" t="s">
        <v>254</v>
      </c>
    </row>
    <row r="1410" spans="1:7">
      <c r="A1410" s="216">
        <v>45170</v>
      </c>
      <c r="B1410" t="s">
        <v>52</v>
      </c>
      <c r="C1410">
        <v>1</v>
      </c>
      <c r="D1410" t="s">
        <v>453</v>
      </c>
      <c r="E1410" s="217">
        <v>45170</v>
      </c>
      <c r="F1410">
        <v>8786</v>
      </c>
      <c r="G1410" t="s">
        <v>255</v>
      </c>
    </row>
    <row r="1411" spans="1:7">
      <c r="A1411" s="216">
        <v>45170</v>
      </c>
      <c r="B1411" t="s">
        <v>52</v>
      </c>
      <c r="C1411">
        <v>1</v>
      </c>
      <c r="D1411" t="s">
        <v>453</v>
      </c>
      <c r="E1411" s="217">
        <v>45170</v>
      </c>
      <c r="F1411">
        <v>8759</v>
      </c>
      <c r="G1411" t="s">
        <v>256</v>
      </c>
    </row>
    <row r="1412" spans="1:7">
      <c r="A1412" s="216">
        <v>45170</v>
      </c>
      <c r="B1412" t="s">
        <v>52</v>
      </c>
      <c r="C1412">
        <v>1</v>
      </c>
      <c r="D1412" t="s">
        <v>453</v>
      </c>
      <c r="E1412" s="217">
        <v>45170</v>
      </c>
      <c r="F1412">
        <v>10601</v>
      </c>
      <c r="G1412" t="s">
        <v>257</v>
      </c>
    </row>
    <row r="1413" spans="1:7">
      <c r="A1413" s="216">
        <v>45170</v>
      </c>
      <c r="B1413" t="s">
        <v>52</v>
      </c>
      <c r="C1413">
        <v>1</v>
      </c>
      <c r="D1413" t="s">
        <v>453</v>
      </c>
      <c r="E1413" s="217">
        <v>45170</v>
      </c>
      <c r="F1413">
        <v>10117</v>
      </c>
      <c r="G1413" t="s">
        <v>258</v>
      </c>
    </row>
    <row r="1414" spans="1:7">
      <c r="A1414" s="216">
        <v>45170</v>
      </c>
      <c r="B1414" t="s">
        <v>52</v>
      </c>
      <c r="C1414">
        <v>1</v>
      </c>
      <c r="D1414" t="s">
        <v>453</v>
      </c>
      <c r="E1414" s="217">
        <v>45170</v>
      </c>
      <c r="F1414">
        <v>10829</v>
      </c>
      <c r="G1414" t="s">
        <v>259</v>
      </c>
    </row>
    <row r="1415" spans="1:7">
      <c r="A1415" s="216">
        <v>45170</v>
      </c>
      <c r="B1415" t="s">
        <v>52</v>
      </c>
      <c r="C1415">
        <v>1</v>
      </c>
      <c r="D1415" t="s">
        <v>453</v>
      </c>
      <c r="E1415" s="217">
        <v>45170</v>
      </c>
      <c r="F1415">
        <v>10534</v>
      </c>
      <c r="G1415" t="s">
        <v>260</v>
      </c>
    </row>
    <row r="1416" spans="1:7">
      <c r="A1416" s="216">
        <v>45170</v>
      </c>
      <c r="B1416" t="s">
        <v>52</v>
      </c>
      <c r="C1416">
        <v>1</v>
      </c>
      <c r="D1416" t="s">
        <v>453</v>
      </c>
      <c r="E1416" s="217">
        <v>45170</v>
      </c>
      <c r="F1416">
        <v>10186</v>
      </c>
      <c r="G1416" t="s">
        <v>261</v>
      </c>
    </row>
    <row r="1417" spans="1:7">
      <c r="A1417" s="216">
        <v>45170</v>
      </c>
      <c r="B1417" t="s">
        <v>52</v>
      </c>
      <c r="C1417">
        <v>1</v>
      </c>
      <c r="D1417" t="s">
        <v>453</v>
      </c>
      <c r="E1417" s="217">
        <v>45170</v>
      </c>
      <c r="F1417">
        <v>11210</v>
      </c>
      <c r="G1417" t="s">
        <v>262</v>
      </c>
    </row>
    <row r="1418" spans="1:7">
      <c r="A1418" s="216">
        <v>45170</v>
      </c>
      <c r="B1418" t="s">
        <v>52</v>
      </c>
      <c r="C1418">
        <v>1</v>
      </c>
      <c r="D1418" t="s">
        <v>453</v>
      </c>
      <c r="E1418" s="217">
        <v>45170</v>
      </c>
      <c r="F1418">
        <v>119089</v>
      </c>
      <c r="G1418" t="s">
        <v>434</v>
      </c>
    </row>
    <row r="1419" spans="1:7">
      <c r="A1419" s="216">
        <v>45170</v>
      </c>
      <c r="B1419" t="s">
        <v>52</v>
      </c>
      <c r="C1419">
        <v>2</v>
      </c>
      <c r="D1419" t="s">
        <v>436</v>
      </c>
      <c r="E1419" s="217">
        <v>45170</v>
      </c>
      <c r="F1419">
        <v>0</v>
      </c>
      <c r="G1419" t="s">
        <v>251</v>
      </c>
    </row>
    <row r="1420" spans="1:7">
      <c r="A1420" s="216">
        <v>45170</v>
      </c>
      <c r="B1420" t="s">
        <v>52</v>
      </c>
      <c r="C1420">
        <v>2</v>
      </c>
      <c r="D1420" t="s">
        <v>436</v>
      </c>
      <c r="E1420" s="217">
        <v>45170</v>
      </c>
      <c r="F1420">
        <v>0</v>
      </c>
      <c r="G1420" t="s">
        <v>252</v>
      </c>
    </row>
    <row r="1421" spans="1:7">
      <c r="A1421" s="216">
        <v>45170</v>
      </c>
      <c r="B1421" t="s">
        <v>52</v>
      </c>
      <c r="C1421">
        <v>2</v>
      </c>
      <c r="D1421" t="s">
        <v>436</v>
      </c>
      <c r="E1421" s="217">
        <v>45170</v>
      </c>
      <c r="F1421">
        <v>0</v>
      </c>
      <c r="G1421" t="s">
        <v>253</v>
      </c>
    </row>
    <row r="1422" spans="1:7">
      <c r="A1422" s="216">
        <v>45170</v>
      </c>
      <c r="B1422" t="s">
        <v>52</v>
      </c>
      <c r="C1422">
        <v>2</v>
      </c>
      <c r="D1422" t="s">
        <v>436</v>
      </c>
      <c r="E1422" s="217">
        <v>45170</v>
      </c>
      <c r="F1422">
        <v>0</v>
      </c>
      <c r="G1422" t="s">
        <v>254</v>
      </c>
    </row>
    <row r="1423" spans="1:7">
      <c r="A1423" s="216">
        <v>45170</v>
      </c>
      <c r="B1423" t="s">
        <v>52</v>
      </c>
      <c r="C1423">
        <v>2</v>
      </c>
      <c r="D1423" t="s">
        <v>436</v>
      </c>
      <c r="E1423" s="217">
        <v>45170</v>
      </c>
      <c r="F1423">
        <v>0</v>
      </c>
      <c r="G1423" t="s">
        <v>255</v>
      </c>
    </row>
    <row r="1424" spans="1:7">
      <c r="A1424" s="216">
        <v>45170</v>
      </c>
      <c r="B1424" t="s">
        <v>52</v>
      </c>
      <c r="C1424">
        <v>2</v>
      </c>
      <c r="D1424" t="s">
        <v>436</v>
      </c>
      <c r="E1424" s="217">
        <v>45170</v>
      </c>
      <c r="F1424">
        <v>0</v>
      </c>
      <c r="G1424" t="s">
        <v>256</v>
      </c>
    </row>
    <row r="1425" spans="1:7">
      <c r="A1425" s="216">
        <v>45170</v>
      </c>
      <c r="B1425" t="s">
        <v>52</v>
      </c>
      <c r="C1425">
        <v>2</v>
      </c>
      <c r="D1425" t="s">
        <v>436</v>
      </c>
      <c r="E1425" s="217">
        <v>45170</v>
      </c>
      <c r="F1425">
        <v>0</v>
      </c>
      <c r="G1425" t="s">
        <v>257</v>
      </c>
    </row>
    <row r="1426" spans="1:7">
      <c r="A1426" s="216">
        <v>45170</v>
      </c>
      <c r="B1426" t="s">
        <v>52</v>
      </c>
      <c r="C1426">
        <v>2</v>
      </c>
      <c r="D1426" t="s">
        <v>436</v>
      </c>
      <c r="E1426" s="217">
        <v>45170</v>
      </c>
      <c r="F1426">
        <v>0</v>
      </c>
      <c r="G1426" t="s">
        <v>258</v>
      </c>
    </row>
    <row r="1427" spans="1:7">
      <c r="A1427" s="216">
        <v>45170</v>
      </c>
      <c r="B1427" t="s">
        <v>52</v>
      </c>
      <c r="C1427">
        <v>2</v>
      </c>
      <c r="D1427" t="s">
        <v>436</v>
      </c>
      <c r="E1427" s="217">
        <v>45170</v>
      </c>
      <c r="F1427">
        <v>0</v>
      </c>
      <c r="G1427" t="s">
        <v>259</v>
      </c>
    </row>
    <row r="1428" spans="1:7">
      <c r="A1428" s="216">
        <v>45170</v>
      </c>
      <c r="B1428" t="s">
        <v>52</v>
      </c>
      <c r="C1428">
        <v>2</v>
      </c>
      <c r="D1428" t="s">
        <v>436</v>
      </c>
      <c r="E1428" s="217">
        <v>45170</v>
      </c>
      <c r="F1428">
        <v>0</v>
      </c>
      <c r="G1428" t="s">
        <v>260</v>
      </c>
    </row>
    <row r="1429" spans="1:7">
      <c r="A1429" s="216">
        <v>45170</v>
      </c>
      <c r="B1429" t="s">
        <v>52</v>
      </c>
      <c r="C1429">
        <v>2</v>
      </c>
      <c r="D1429" t="s">
        <v>436</v>
      </c>
      <c r="E1429" s="217">
        <v>45170</v>
      </c>
      <c r="F1429">
        <v>0</v>
      </c>
      <c r="G1429" t="s">
        <v>261</v>
      </c>
    </row>
    <row r="1430" spans="1:7">
      <c r="A1430" s="216">
        <v>45170</v>
      </c>
      <c r="B1430" t="s">
        <v>52</v>
      </c>
      <c r="C1430">
        <v>2</v>
      </c>
      <c r="D1430" t="s">
        <v>436</v>
      </c>
      <c r="E1430" s="217">
        <v>45170</v>
      </c>
      <c r="F1430">
        <v>0</v>
      </c>
      <c r="G1430" t="s">
        <v>262</v>
      </c>
    </row>
    <row r="1431" spans="1:7">
      <c r="A1431" s="216">
        <v>45170</v>
      </c>
      <c r="B1431" t="s">
        <v>52</v>
      </c>
      <c r="C1431">
        <v>2</v>
      </c>
      <c r="D1431" t="s">
        <v>436</v>
      </c>
      <c r="E1431" s="217">
        <v>45170</v>
      </c>
      <c r="F1431">
        <v>0</v>
      </c>
      <c r="G1431" t="s">
        <v>434</v>
      </c>
    </row>
    <row r="1432" spans="1:7">
      <c r="A1432" s="216">
        <v>45170</v>
      </c>
      <c r="B1432" t="s">
        <v>52</v>
      </c>
      <c r="C1432">
        <v>3</v>
      </c>
      <c r="D1432" t="s">
        <v>459</v>
      </c>
      <c r="E1432" s="217">
        <v>45170</v>
      </c>
      <c r="F1432">
        <v>3275</v>
      </c>
      <c r="G1432" t="s">
        <v>251</v>
      </c>
    </row>
    <row r="1433" spans="1:7">
      <c r="A1433" s="216">
        <v>45170</v>
      </c>
      <c r="B1433" t="s">
        <v>52</v>
      </c>
      <c r="C1433">
        <v>3</v>
      </c>
      <c r="D1433" t="s">
        <v>459</v>
      </c>
      <c r="E1433" s="217">
        <v>45170</v>
      </c>
      <c r="F1433">
        <v>3452</v>
      </c>
      <c r="G1433" t="s">
        <v>252</v>
      </c>
    </row>
    <row r="1434" spans="1:7">
      <c r="A1434" s="216">
        <v>45170</v>
      </c>
      <c r="B1434" t="s">
        <v>52</v>
      </c>
      <c r="C1434">
        <v>3</v>
      </c>
      <c r="D1434" t="s">
        <v>459</v>
      </c>
      <c r="E1434" s="217">
        <v>45170</v>
      </c>
      <c r="F1434">
        <v>3278</v>
      </c>
      <c r="G1434" t="s">
        <v>253</v>
      </c>
    </row>
    <row r="1435" spans="1:7">
      <c r="A1435" s="216">
        <v>45170</v>
      </c>
      <c r="B1435" t="s">
        <v>52</v>
      </c>
      <c r="C1435">
        <v>3</v>
      </c>
      <c r="D1435" t="s">
        <v>459</v>
      </c>
      <c r="E1435" s="217">
        <v>45170</v>
      </c>
      <c r="F1435">
        <v>3692</v>
      </c>
      <c r="G1435" t="s">
        <v>254</v>
      </c>
    </row>
    <row r="1436" spans="1:7">
      <c r="A1436" s="216">
        <v>45170</v>
      </c>
      <c r="B1436" t="s">
        <v>52</v>
      </c>
      <c r="C1436">
        <v>3</v>
      </c>
      <c r="D1436" t="s">
        <v>459</v>
      </c>
      <c r="E1436" s="217">
        <v>45170</v>
      </c>
      <c r="F1436">
        <v>3585</v>
      </c>
      <c r="G1436" t="s">
        <v>255</v>
      </c>
    </row>
    <row r="1437" spans="1:7">
      <c r="A1437" s="216">
        <v>45170</v>
      </c>
      <c r="B1437" t="s">
        <v>52</v>
      </c>
      <c r="C1437">
        <v>3</v>
      </c>
      <c r="D1437" t="s">
        <v>459</v>
      </c>
      <c r="E1437" s="217">
        <v>45170</v>
      </c>
      <c r="F1437">
        <v>3592</v>
      </c>
      <c r="G1437" t="s">
        <v>256</v>
      </c>
    </row>
    <row r="1438" spans="1:7">
      <c r="A1438" s="216">
        <v>45170</v>
      </c>
      <c r="B1438" t="s">
        <v>52</v>
      </c>
      <c r="C1438">
        <v>3</v>
      </c>
      <c r="D1438" t="s">
        <v>459</v>
      </c>
      <c r="E1438" s="217">
        <v>45170</v>
      </c>
      <c r="F1438">
        <v>3592</v>
      </c>
      <c r="G1438" t="s">
        <v>257</v>
      </c>
    </row>
    <row r="1439" spans="1:7">
      <c r="A1439" s="216">
        <v>45170</v>
      </c>
      <c r="B1439" t="s">
        <v>52</v>
      </c>
      <c r="C1439">
        <v>3</v>
      </c>
      <c r="D1439" t="s">
        <v>459</v>
      </c>
      <c r="E1439" s="217">
        <v>45170</v>
      </c>
      <c r="F1439">
        <v>3592</v>
      </c>
      <c r="G1439" t="s">
        <v>258</v>
      </c>
    </row>
    <row r="1440" spans="1:7">
      <c r="A1440" s="216">
        <v>45170</v>
      </c>
      <c r="B1440" t="s">
        <v>52</v>
      </c>
      <c r="C1440">
        <v>3</v>
      </c>
      <c r="D1440" t="s">
        <v>459</v>
      </c>
      <c r="E1440" s="217">
        <v>45170</v>
      </c>
      <c r="F1440">
        <v>3592</v>
      </c>
      <c r="G1440" t="s">
        <v>259</v>
      </c>
    </row>
    <row r="1441" spans="1:7">
      <c r="A1441" s="216">
        <v>45170</v>
      </c>
      <c r="B1441" t="s">
        <v>52</v>
      </c>
      <c r="C1441">
        <v>3</v>
      </c>
      <c r="D1441" t="s">
        <v>459</v>
      </c>
      <c r="E1441" s="217">
        <v>45170</v>
      </c>
      <c r="F1441">
        <v>3592</v>
      </c>
      <c r="G1441" t="s">
        <v>260</v>
      </c>
    </row>
    <row r="1442" spans="1:7">
      <c r="A1442" s="216">
        <v>45170</v>
      </c>
      <c r="B1442" t="s">
        <v>52</v>
      </c>
      <c r="C1442">
        <v>3</v>
      </c>
      <c r="D1442" t="s">
        <v>459</v>
      </c>
      <c r="E1442" s="217">
        <v>45170</v>
      </c>
      <c r="F1442">
        <v>3592</v>
      </c>
      <c r="G1442" t="s">
        <v>261</v>
      </c>
    </row>
    <row r="1443" spans="1:7">
      <c r="A1443" s="216">
        <v>45170</v>
      </c>
      <c r="B1443" t="s">
        <v>52</v>
      </c>
      <c r="C1443">
        <v>3</v>
      </c>
      <c r="D1443" t="s">
        <v>459</v>
      </c>
      <c r="E1443" s="217">
        <v>45170</v>
      </c>
      <c r="F1443">
        <v>3586</v>
      </c>
      <c r="G1443" t="s">
        <v>262</v>
      </c>
    </row>
    <row r="1444" spans="1:7">
      <c r="A1444" s="216">
        <v>45170</v>
      </c>
      <c r="B1444" t="s">
        <v>52</v>
      </c>
      <c r="C1444">
        <v>3</v>
      </c>
      <c r="D1444" t="s">
        <v>459</v>
      </c>
      <c r="E1444" s="217">
        <v>45170</v>
      </c>
      <c r="F1444">
        <v>42420</v>
      </c>
      <c r="G1444" t="s">
        <v>434</v>
      </c>
    </row>
    <row r="1445" spans="1:7">
      <c r="A1445" s="216">
        <v>45170</v>
      </c>
      <c r="B1445" t="s">
        <v>52</v>
      </c>
      <c r="C1445">
        <v>4</v>
      </c>
      <c r="D1445" t="s">
        <v>460</v>
      </c>
      <c r="E1445" s="217">
        <v>45170</v>
      </c>
      <c r="F1445">
        <v>17</v>
      </c>
      <c r="G1445" t="s">
        <v>251</v>
      </c>
    </row>
    <row r="1446" spans="1:7">
      <c r="A1446" s="216">
        <v>45170</v>
      </c>
      <c r="B1446" t="s">
        <v>52</v>
      </c>
      <c r="C1446">
        <v>4</v>
      </c>
      <c r="D1446" t="s">
        <v>460</v>
      </c>
      <c r="E1446" s="217">
        <v>45170</v>
      </c>
      <c r="F1446">
        <v>18</v>
      </c>
      <c r="G1446" t="s">
        <v>252</v>
      </c>
    </row>
    <row r="1447" spans="1:7">
      <c r="A1447" s="216">
        <v>45170</v>
      </c>
      <c r="B1447" t="s">
        <v>52</v>
      </c>
      <c r="C1447">
        <v>4</v>
      </c>
      <c r="D1447" t="s">
        <v>460</v>
      </c>
      <c r="E1447" s="217">
        <v>45170</v>
      </c>
      <c r="F1447">
        <v>43</v>
      </c>
      <c r="G1447" t="s">
        <v>253</v>
      </c>
    </row>
    <row r="1448" spans="1:7">
      <c r="A1448" s="216">
        <v>45170</v>
      </c>
      <c r="B1448" t="s">
        <v>52</v>
      </c>
      <c r="C1448">
        <v>4</v>
      </c>
      <c r="D1448" t="s">
        <v>460</v>
      </c>
      <c r="E1448" s="217">
        <v>45170</v>
      </c>
      <c r="F1448">
        <v>23</v>
      </c>
      <c r="G1448" t="s">
        <v>254</v>
      </c>
    </row>
    <row r="1449" spans="1:7">
      <c r="A1449" s="216">
        <v>45170</v>
      </c>
      <c r="B1449" t="s">
        <v>52</v>
      </c>
      <c r="C1449">
        <v>4</v>
      </c>
      <c r="D1449" t="s">
        <v>460</v>
      </c>
      <c r="E1449" s="217">
        <v>45170</v>
      </c>
      <c r="F1449">
        <v>18</v>
      </c>
      <c r="G1449" t="s">
        <v>255</v>
      </c>
    </row>
    <row r="1450" spans="1:7">
      <c r="A1450" s="216">
        <v>45170</v>
      </c>
      <c r="B1450" t="s">
        <v>52</v>
      </c>
      <c r="C1450">
        <v>4</v>
      </c>
      <c r="D1450" t="s">
        <v>460</v>
      </c>
      <c r="E1450" s="217">
        <v>45170</v>
      </c>
      <c r="F1450">
        <v>17</v>
      </c>
      <c r="G1450" t="s">
        <v>256</v>
      </c>
    </row>
    <row r="1451" spans="1:7">
      <c r="A1451" s="216">
        <v>45170</v>
      </c>
      <c r="B1451" t="s">
        <v>52</v>
      </c>
      <c r="C1451">
        <v>4</v>
      </c>
      <c r="D1451" t="s">
        <v>460</v>
      </c>
      <c r="E1451" s="217">
        <v>45170</v>
      </c>
      <c r="F1451">
        <v>18</v>
      </c>
      <c r="G1451" t="s">
        <v>257</v>
      </c>
    </row>
    <row r="1452" spans="1:7">
      <c r="A1452" s="216">
        <v>45170</v>
      </c>
      <c r="B1452" t="s">
        <v>52</v>
      </c>
      <c r="C1452">
        <v>4</v>
      </c>
      <c r="D1452" t="s">
        <v>460</v>
      </c>
      <c r="E1452" s="217">
        <v>45170</v>
      </c>
      <c r="F1452">
        <v>18</v>
      </c>
      <c r="G1452" t="s">
        <v>258</v>
      </c>
    </row>
    <row r="1453" spans="1:7">
      <c r="A1453" s="216">
        <v>45170</v>
      </c>
      <c r="B1453" t="s">
        <v>52</v>
      </c>
      <c r="C1453">
        <v>4</v>
      </c>
      <c r="D1453" t="s">
        <v>460</v>
      </c>
      <c r="E1453" s="217">
        <v>45170</v>
      </c>
      <c r="F1453">
        <v>18</v>
      </c>
      <c r="G1453" t="s">
        <v>259</v>
      </c>
    </row>
    <row r="1454" spans="1:7">
      <c r="A1454" s="216">
        <v>45170</v>
      </c>
      <c r="B1454" t="s">
        <v>52</v>
      </c>
      <c r="C1454">
        <v>4</v>
      </c>
      <c r="D1454" t="s">
        <v>460</v>
      </c>
      <c r="E1454" s="217">
        <v>45170</v>
      </c>
      <c r="F1454">
        <v>18</v>
      </c>
      <c r="G1454" t="s">
        <v>260</v>
      </c>
    </row>
    <row r="1455" spans="1:7">
      <c r="A1455" s="216">
        <v>45170</v>
      </c>
      <c r="B1455" t="s">
        <v>52</v>
      </c>
      <c r="C1455">
        <v>4</v>
      </c>
      <c r="D1455" t="s">
        <v>460</v>
      </c>
      <c r="E1455" s="217">
        <v>45170</v>
      </c>
      <c r="F1455">
        <v>18</v>
      </c>
      <c r="G1455" t="s">
        <v>261</v>
      </c>
    </row>
    <row r="1456" spans="1:7">
      <c r="A1456" s="216">
        <v>45170</v>
      </c>
      <c r="B1456" t="s">
        <v>52</v>
      </c>
      <c r="C1456">
        <v>4</v>
      </c>
      <c r="D1456" t="s">
        <v>460</v>
      </c>
      <c r="E1456" s="217">
        <v>45170</v>
      </c>
      <c r="F1456">
        <v>14</v>
      </c>
      <c r="G1456" t="s">
        <v>262</v>
      </c>
    </row>
    <row r="1457" spans="1:7">
      <c r="A1457" s="216">
        <v>45170</v>
      </c>
      <c r="B1457" t="s">
        <v>52</v>
      </c>
      <c r="C1457">
        <v>4</v>
      </c>
      <c r="D1457" t="s">
        <v>460</v>
      </c>
      <c r="E1457" s="217">
        <v>45170</v>
      </c>
      <c r="F1457">
        <v>240</v>
      </c>
      <c r="G1457" t="s">
        <v>434</v>
      </c>
    </row>
    <row r="1458" spans="1:7">
      <c r="A1458" s="216">
        <v>45170</v>
      </c>
      <c r="B1458" t="s">
        <v>52</v>
      </c>
      <c r="C1458">
        <v>5</v>
      </c>
      <c r="D1458" t="s">
        <v>458</v>
      </c>
      <c r="E1458" s="217">
        <v>45170</v>
      </c>
      <c r="F1458">
        <v>0</v>
      </c>
      <c r="G1458" t="s">
        <v>251</v>
      </c>
    </row>
    <row r="1459" spans="1:7">
      <c r="A1459" s="216">
        <v>45170</v>
      </c>
      <c r="B1459" t="s">
        <v>52</v>
      </c>
      <c r="C1459">
        <v>5</v>
      </c>
      <c r="D1459" t="s">
        <v>458</v>
      </c>
      <c r="E1459" s="217">
        <v>45170</v>
      </c>
      <c r="F1459">
        <v>4</v>
      </c>
      <c r="G1459" t="s">
        <v>252</v>
      </c>
    </row>
    <row r="1460" spans="1:7">
      <c r="A1460" s="216">
        <v>45170</v>
      </c>
      <c r="B1460" t="s">
        <v>52</v>
      </c>
      <c r="C1460">
        <v>5</v>
      </c>
      <c r="D1460" t="s">
        <v>458</v>
      </c>
      <c r="E1460" s="217">
        <v>45170</v>
      </c>
      <c r="F1460">
        <v>0</v>
      </c>
      <c r="G1460" t="s">
        <v>253</v>
      </c>
    </row>
    <row r="1461" spans="1:7">
      <c r="A1461" s="216">
        <v>45170</v>
      </c>
      <c r="B1461" t="s">
        <v>52</v>
      </c>
      <c r="C1461">
        <v>5</v>
      </c>
      <c r="D1461" t="s">
        <v>458</v>
      </c>
      <c r="E1461" s="217">
        <v>45170</v>
      </c>
      <c r="F1461">
        <v>0</v>
      </c>
      <c r="G1461" t="s">
        <v>254</v>
      </c>
    </row>
    <row r="1462" spans="1:7">
      <c r="A1462" s="216">
        <v>45170</v>
      </c>
      <c r="B1462" t="s">
        <v>52</v>
      </c>
      <c r="C1462">
        <v>5</v>
      </c>
      <c r="D1462" t="s">
        <v>458</v>
      </c>
      <c r="E1462" s="217">
        <v>45170</v>
      </c>
      <c r="F1462">
        <v>0</v>
      </c>
      <c r="G1462" t="s">
        <v>255</v>
      </c>
    </row>
    <row r="1463" spans="1:7">
      <c r="A1463" s="216">
        <v>45170</v>
      </c>
      <c r="B1463" t="s">
        <v>52</v>
      </c>
      <c r="C1463">
        <v>5</v>
      </c>
      <c r="D1463" t="s">
        <v>458</v>
      </c>
      <c r="E1463" s="217">
        <v>45170</v>
      </c>
      <c r="F1463">
        <v>0</v>
      </c>
      <c r="G1463" t="s">
        <v>256</v>
      </c>
    </row>
    <row r="1464" spans="1:7">
      <c r="A1464" s="216">
        <v>45170</v>
      </c>
      <c r="B1464" t="s">
        <v>52</v>
      </c>
      <c r="C1464">
        <v>5</v>
      </c>
      <c r="D1464" t="s">
        <v>458</v>
      </c>
      <c r="E1464" s="217">
        <v>45170</v>
      </c>
      <c r="F1464">
        <v>0</v>
      </c>
      <c r="G1464" t="s">
        <v>257</v>
      </c>
    </row>
    <row r="1465" spans="1:7">
      <c r="A1465" s="216">
        <v>45170</v>
      </c>
      <c r="B1465" t="s">
        <v>52</v>
      </c>
      <c r="C1465">
        <v>5</v>
      </c>
      <c r="D1465" t="s">
        <v>458</v>
      </c>
      <c r="E1465" s="217">
        <v>45170</v>
      </c>
      <c r="F1465">
        <v>0</v>
      </c>
      <c r="G1465" t="s">
        <v>258</v>
      </c>
    </row>
    <row r="1466" spans="1:7">
      <c r="A1466" s="216">
        <v>45170</v>
      </c>
      <c r="B1466" t="s">
        <v>52</v>
      </c>
      <c r="C1466">
        <v>5</v>
      </c>
      <c r="D1466" t="s">
        <v>458</v>
      </c>
      <c r="E1466" s="217">
        <v>45170</v>
      </c>
      <c r="F1466">
        <v>0</v>
      </c>
      <c r="G1466" t="s">
        <v>259</v>
      </c>
    </row>
    <row r="1467" spans="1:7">
      <c r="A1467" s="216">
        <v>45170</v>
      </c>
      <c r="B1467" t="s">
        <v>52</v>
      </c>
      <c r="C1467">
        <v>5</v>
      </c>
      <c r="D1467" t="s">
        <v>458</v>
      </c>
      <c r="E1467" s="217">
        <v>45170</v>
      </c>
      <c r="F1467">
        <v>0</v>
      </c>
      <c r="G1467" t="s">
        <v>260</v>
      </c>
    </row>
    <row r="1468" spans="1:7">
      <c r="A1468" s="216">
        <v>45170</v>
      </c>
      <c r="B1468" t="s">
        <v>52</v>
      </c>
      <c r="C1468">
        <v>5</v>
      </c>
      <c r="D1468" t="s">
        <v>458</v>
      </c>
      <c r="E1468" s="217">
        <v>45170</v>
      </c>
      <c r="F1468">
        <v>0</v>
      </c>
      <c r="G1468" t="s">
        <v>261</v>
      </c>
    </row>
    <row r="1469" spans="1:7">
      <c r="A1469" s="216">
        <v>45170</v>
      </c>
      <c r="B1469" t="s">
        <v>52</v>
      </c>
      <c r="C1469">
        <v>5</v>
      </c>
      <c r="D1469" t="s">
        <v>458</v>
      </c>
      <c r="E1469" s="217">
        <v>45170</v>
      </c>
      <c r="F1469">
        <v>0</v>
      </c>
      <c r="G1469" t="s">
        <v>262</v>
      </c>
    </row>
    <row r="1470" spans="1:7">
      <c r="A1470" s="216">
        <v>45170</v>
      </c>
      <c r="B1470" t="s">
        <v>52</v>
      </c>
      <c r="C1470">
        <v>5</v>
      </c>
      <c r="D1470" t="s">
        <v>458</v>
      </c>
      <c r="E1470" s="217">
        <v>45170</v>
      </c>
      <c r="F1470">
        <v>4</v>
      </c>
      <c r="G1470" t="s">
        <v>434</v>
      </c>
    </row>
    <row r="1471" spans="1:7">
      <c r="A1471" s="216">
        <v>45170</v>
      </c>
      <c r="B1471" t="s">
        <v>52</v>
      </c>
      <c r="C1471">
        <v>6</v>
      </c>
      <c r="D1471" t="s">
        <v>448</v>
      </c>
      <c r="E1471" s="217">
        <v>45170</v>
      </c>
      <c r="F1471">
        <v>84</v>
      </c>
      <c r="G1471" t="s">
        <v>251</v>
      </c>
    </row>
    <row r="1472" spans="1:7">
      <c r="A1472" s="216">
        <v>45170</v>
      </c>
      <c r="B1472" t="s">
        <v>52</v>
      </c>
      <c r="C1472">
        <v>6</v>
      </c>
      <c r="D1472" t="s">
        <v>448</v>
      </c>
      <c r="E1472" s="217">
        <v>45170</v>
      </c>
      <c r="F1472">
        <v>88</v>
      </c>
      <c r="G1472" t="s">
        <v>252</v>
      </c>
    </row>
    <row r="1473" spans="1:7">
      <c r="A1473" s="216">
        <v>45170</v>
      </c>
      <c r="B1473" t="s">
        <v>52</v>
      </c>
      <c r="C1473">
        <v>6</v>
      </c>
      <c r="D1473" t="s">
        <v>448</v>
      </c>
      <c r="E1473" s="217">
        <v>45170</v>
      </c>
      <c r="F1473">
        <v>79</v>
      </c>
      <c r="G1473" t="s">
        <v>253</v>
      </c>
    </row>
    <row r="1474" spans="1:7">
      <c r="A1474" s="216">
        <v>45170</v>
      </c>
      <c r="B1474" t="s">
        <v>52</v>
      </c>
      <c r="C1474">
        <v>6</v>
      </c>
      <c r="D1474" t="s">
        <v>448</v>
      </c>
      <c r="E1474" s="217">
        <v>45170</v>
      </c>
      <c r="F1474">
        <v>160</v>
      </c>
      <c r="G1474" t="s">
        <v>254</v>
      </c>
    </row>
    <row r="1475" spans="1:7">
      <c r="A1475" s="216">
        <v>45170</v>
      </c>
      <c r="B1475" t="s">
        <v>52</v>
      </c>
      <c r="C1475">
        <v>6</v>
      </c>
      <c r="D1475" t="s">
        <v>448</v>
      </c>
      <c r="E1475" s="217">
        <v>45170</v>
      </c>
      <c r="F1475">
        <v>62</v>
      </c>
      <c r="G1475" t="s">
        <v>255</v>
      </c>
    </row>
    <row r="1476" spans="1:7">
      <c r="A1476" s="216">
        <v>45170</v>
      </c>
      <c r="B1476" t="s">
        <v>52</v>
      </c>
      <c r="C1476">
        <v>6</v>
      </c>
      <c r="D1476" t="s">
        <v>448</v>
      </c>
      <c r="E1476" s="217">
        <v>45170</v>
      </c>
      <c r="F1476">
        <v>74</v>
      </c>
      <c r="G1476" t="s">
        <v>256</v>
      </c>
    </row>
    <row r="1477" spans="1:7">
      <c r="A1477" s="216">
        <v>45170</v>
      </c>
      <c r="B1477" t="s">
        <v>52</v>
      </c>
      <c r="C1477">
        <v>6</v>
      </c>
      <c r="D1477" t="s">
        <v>448</v>
      </c>
      <c r="E1477" s="217">
        <v>45170</v>
      </c>
      <c r="F1477">
        <v>80</v>
      </c>
      <c r="G1477" t="s">
        <v>257</v>
      </c>
    </row>
    <row r="1478" spans="1:7">
      <c r="A1478" s="216">
        <v>45170</v>
      </c>
      <c r="B1478" t="s">
        <v>52</v>
      </c>
      <c r="C1478">
        <v>6</v>
      </c>
      <c r="D1478" t="s">
        <v>448</v>
      </c>
      <c r="E1478" s="217">
        <v>45170</v>
      </c>
      <c r="F1478">
        <v>80</v>
      </c>
      <c r="G1478" t="s">
        <v>258</v>
      </c>
    </row>
    <row r="1479" spans="1:7">
      <c r="A1479" s="216">
        <v>45170</v>
      </c>
      <c r="B1479" t="s">
        <v>52</v>
      </c>
      <c r="C1479">
        <v>6</v>
      </c>
      <c r="D1479" t="s">
        <v>448</v>
      </c>
      <c r="E1479" s="217">
        <v>45170</v>
      </c>
      <c r="F1479">
        <v>80</v>
      </c>
      <c r="G1479" t="s">
        <v>259</v>
      </c>
    </row>
    <row r="1480" spans="1:7">
      <c r="A1480" s="216">
        <v>45170</v>
      </c>
      <c r="B1480" t="s">
        <v>52</v>
      </c>
      <c r="C1480">
        <v>6</v>
      </c>
      <c r="D1480" t="s">
        <v>448</v>
      </c>
      <c r="E1480" s="217">
        <v>45170</v>
      </c>
      <c r="F1480">
        <v>80</v>
      </c>
      <c r="G1480" t="s">
        <v>260</v>
      </c>
    </row>
    <row r="1481" spans="1:7">
      <c r="A1481" s="216">
        <v>45170</v>
      </c>
      <c r="B1481" t="s">
        <v>52</v>
      </c>
      <c r="C1481">
        <v>6</v>
      </c>
      <c r="D1481" t="s">
        <v>448</v>
      </c>
      <c r="E1481" s="217">
        <v>45170</v>
      </c>
      <c r="F1481">
        <v>80</v>
      </c>
      <c r="G1481" t="s">
        <v>261</v>
      </c>
    </row>
    <row r="1482" spans="1:7">
      <c r="A1482" s="216">
        <v>45170</v>
      </c>
      <c r="B1482" t="s">
        <v>52</v>
      </c>
      <c r="C1482">
        <v>6</v>
      </c>
      <c r="D1482" t="s">
        <v>448</v>
      </c>
      <c r="E1482" s="217">
        <v>45170</v>
      </c>
      <c r="F1482">
        <v>76</v>
      </c>
      <c r="G1482" t="s">
        <v>262</v>
      </c>
    </row>
    <row r="1483" spans="1:7">
      <c r="A1483" s="216">
        <v>45170</v>
      </c>
      <c r="B1483" t="s">
        <v>52</v>
      </c>
      <c r="C1483">
        <v>6</v>
      </c>
      <c r="D1483" t="s">
        <v>448</v>
      </c>
      <c r="E1483" s="217">
        <v>45170</v>
      </c>
      <c r="F1483">
        <v>1023</v>
      </c>
      <c r="G1483" t="s">
        <v>434</v>
      </c>
    </row>
    <row r="1484" spans="1:7">
      <c r="A1484" s="216">
        <v>45170</v>
      </c>
      <c r="B1484" t="s">
        <v>52</v>
      </c>
      <c r="C1484">
        <v>7</v>
      </c>
      <c r="D1484" t="s">
        <v>442</v>
      </c>
      <c r="E1484" s="217">
        <v>45170</v>
      </c>
      <c r="F1484">
        <v>12084</v>
      </c>
      <c r="G1484" t="s">
        <v>251</v>
      </c>
    </row>
    <row r="1485" spans="1:7">
      <c r="A1485" s="216">
        <v>45170</v>
      </c>
      <c r="B1485" t="s">
        <v>52</v>
      </c>
      <c r="C1485">
        <v>7</v>
      </c>
      <c r="D1485" t="s">
        <v>442</v>
      </c>
      <c r="E1485" s="217">
        <v>45170</v>
      </c>
      <c r="F1485">
        <v>12520</v>
      </c>
      <c r="G1485" t="s">
        <v>252</v>
      </c>
    </row>
    <row r="1486" spans="1:7">
      <c r="A1486" s="216">
        <v>45170</v>
      </c>
      <c r="B1486" t="s">
        <v>52</v>
      </c>
      <c r="C1486">
        <v>7</v>
      </c>
      <c r="D1486" t="s">
        <v>442</v>
      </c>
      <c r="E1486" s="217">
        <v>45170</v>
      </c>
      <c r="F1486">
        <v>13708</v>
      </c>
      <c r="G1486" t="s">
        <v>253</v>
      </c>
    </row>
    <row r="1487" spans="1:7">
      <c r="A1487" s="216">
        <v>45170</v>
      </c>
      <c r="B1487" t="s">
        <v>52</v>
      </c>
      <c r="C1487">
        <v>7</v>
      </c>
      <c r="D1487" t="s">
        <v>442</v>
      </c>
      <c r="E1487" s="217">
        <v>45170</v>
      </c>
      <c r="F1487">
        <v>13968</v>
      </c>
      <c r="G1487" t="s">
        <v>254</v>
      </c>
    </row>
    <row r="1488" spans="1:7">
      <c r="A1488" s="216">
        <v>45170</v>
      </c>
      <c r="B1488" t="s">
        <v>52</v>
      </c>
      <c r="C1488">
        <v>7</v>
      </c>
      <c r="D1488" t="s">
        <v>442</v>
      </c>
      <c r="E1488" s="217">
        <v>45170</v>
      </c>
      <c r="F1488">
        <v>12451</v>
      </c>
      <c r="G1488" t="s">
        <v>255</v>
      </c>
    </row>
    <row r="1489" spans="1:7">
      <c r="A1489" s="216">
        <v>45170</v>
      </c>
      <c r="B1489" t="s">
        <v>52</v>
      </c>
      <c r="C1489">
        <v>7</v>
      </c>
      <c r="D1489" t="s">
        <v>442</v>
      </c>
      <c r="E1489" s="217">
        <v>45170</v>
      </c>
      <c r="F1489">
        <v>12442</v>
      </c>
      <c r="G1489" t="s">
        <v>256</v>
      </c>
    </row>
    <row r="1490" spans="1:7">
      <c r="A1490" s="216">
        <v>45170</v>
      </c>
      <c r="B1490" t="s">
        <v>52</v>
      </c>
      <c r="C1490">
        <v>7</v>
      </c>
      <c r="D1490" t="s">
        <v>442</v>
      </c>
      <c r="E1490" s="217">
        <v>45170</v>
      </c>
      <c r="F1490">
        <v>14291</v>
      </c>
      <c r="G1490" t="s">
        <v>257</v>
      </c>
    </row>
    <row r="1491" spans="1:7">
      <c r="A1491" s="216">
        <v>45170</v>
      </c>
      <c r="B1491" t="s">
        <v>52</v>
      </c>
      <c r="C1491">
        <v>7</v>
      </c>
      <c r="D1491" t="s">
        <v>442</v>
      </c>
      <c r="E1491" s="217">
        <v>45170</v>
      </c>
      <c r="F1491">
        <v>13807</v>
      </c>
      <c r="G1491" t="s">
        <v>258</v>
      </c>
    </row>
    <row r="1492" spans="1:7">
      <c r="A1492" s="216">
        <v>45170</v>
      </c>
      <c r="B1492" t="s">
        <v>52</v>
      </c>
      <c r="C1492">
        <v>7</v>
      </c>
      <c r="D1492" t="s">
        <v>442</v>
      </c>
      <c r="E1492" s="217">
        <v>45170</v>
      </c>
      <c r="F1492">
        <v>14519</v>
      </c>
      <c r="G1492" t="s">
        <v>259</v>
      </c>
    </row>
    <row r="1493" spans="1:7">
      <c r="A1493" s="216">
        <v>45170</v>
      </c>
      <c r="B1493" t="s">
        <v>52</v>
      </c>
      <c r="C1493">
        <v>7</v>
      </c>
      <c r="D1493" t="s">
        <v>442</v>
      </c>
      <c r="E1493" s="217">
        <v>45170</v>
      </c>
      <c r="F1493">
        <v>14224</v>
      </c>
      <c r="G1493" t="s">
        <v>260</v>
      </c>
    </row>
    <row r="1494" spans="1:7">
      <c r="A1494" s="216">
        <v>45170</v>
      </c>
      <c r="B1494" t="s">
        <v>52</v>
      </c>
      <c r="C1494">
        <v>7</v>
      </c>
      <c r="D1494" t="s">
        <v>442</v>
      </c>
      <c r="E1494" s="217">
        <v>45170</v>
      </c>
      <c r="F1494">
        <v>13876</v>
      </c>
      <c r="G1494" t="s">
        <v>261</v>
      </c>
    </row>
    <row r="1495" spans="1:7">
      <c r="A1495" s="216">
        <v>45170</v>
      </c>
      <c r="B1495" t="s">
        <v>52</v>
      </c>
      <c r="C1495">
        <v>7</v>
      </c>
      <c r="D1495" t="s">
        <v>442</v>
      </c>
      <c r="E1495" s="217">
        <v>45170</v>
      </c>
      <c r="F1495">
        <v>14886</v>
      </c>
      <c r="G1495" t="s">
        <v>262</v>
      </c>
    </row>
    <row r="1496" spans="1:7">
      <c r="A1496" s="216">
        <v>45170</v>
      </c>
      <c r="B1496" t="s">
        <v>52</v>
      </c>
      <c r="C1496">
        <v>7</v>
      </c>
      <c r="D1496" t="s">
        <v>442</v>
      </c>
      <c r="E1496" s="217">
        <v>45170</v>
      </c>
      <c r="F1496">
        <v>162776</v>
      </c>
      <c r="G1496" t="s">
        <v>434</v>
      </c>
    </row>
    <row r="1497" spans="1:7">
      <c r="A1497" s="216">
        <v>45170</v>
      </c>
      <c r="B1497" t="s">
        <v>52</v>
      </c>
      <c r="C1497">
        <v>8</v>
      </c>
      <c r="D1497" t="s">
        <v>451</v>
      </c>
      <c r="E1497" s="217">
        <v>45170</v>
      </c>
      <c r="F1497">
        <v>0</v>
      </c>
      <c r="G1497" t="s">
        <v>251</v>
      </c>
    </row>
    <row r="1498" spans="1:7">
      <c r="A1498" s="216">
        <v>45170</v>
      </c>
      <c r="B1498" t="s">
        <v>52</v>
      </c>
      <c r="C1498">
        <v>8</v>
      </c>
      <c r="D1498" t="s">
        <v>451</v>
      </c>
      <c r="E1498" s="217">
        <v>45170</v>
      </c>
      <c r="F1498">
        <v>0</v>
      </c>
      <c r="G1498" t="s">
        <v>252</v>
      </c>
    </row>
    <row r="1499" spans="1:7">
      <c r="A1499" s="216">
        <v>45170</v>
      </c>
      <c r="B1499" t="s">
        <v>52</v>
      </c>
      <c r="C1499">
        <v>8</v>
      </c>
      <c r="D1499" t="s">
        <v>451</v>
      </c>
      <c r="E1499" s="217">
        <v>45170</v>
      </c>
      <c r="F1499">
        <v>0</v>
      </c>
      <c r="G1499" t="s">
        <v>253</v>
      </c>
    </row>
    <row r="1500" spans="1:7">
      <c r="A1500" s="216">
        <v>45170</v>
      </c>
      <c r="B1500" t="s">
        <v>52</v>
      </c>
      <c r="C1500">
        <v>8</v>
      </c>
      <c r="D1500" t="s">
        <v>451</v>
      </c>
      <c r="E1500" s="217">
        <v>45170</v>
      </c>
      <c r="F1500">
        <v>0</v>
      </c>
      <c r="G1500" t="s">
        <v>254</v>
      </c>
    </row>
    <row r="1501" spans="1:7">
      <c r="A1501" s="216">
        <v>45170</v>
      </c>
      <c r="B1501" t="s">
        <v>52</v>
      </c>
      <c r="C1501">
        <v>8</v>
      </c>
      <c r="D1501" t="s">
        <v>451</v>
      </c>
      <c r="E1501" s="217">
        <v>45170</v>
      </c>
      <c r="F1501">
        <v>0</v>
      </c>
      <c r="G1501" t="s">
        <v>255</v>
      </c>
    </row>
    <row r="1502" spans="1:7">
      <c r="A1502" s="216">
        <v>45170</v>
      </c>
      <c r="B1502" t="s">
        <v>52</v>
      </c>
      <c r="C1502">
        <v>8</v>
      </c>
      <c r="D1502" t="s">
        <v>451</v>
      </c>
      <c r="E1502" s="217">
        <v>45170</v>
      </c>
      <c r="F1502">
        <v>0</v>
      </c>
      <c r="G1502" t="s">
        <v>256</v>
      </c>
    </row>
    <row r="1503" spans="1:7">
      <c r="A1503" s="216">
        <v>45170</v>
      </c>
      <c r="B1503" t="s">
        <v>52</v>
      </c>
      <c r="C1503">
        <v>8</v>
      </c>
      <c r="D1503" t="s">
        <v>451</v>
      </c>
      <c r="E1503" s="217">
        <v>45170</v>
      </c>
      <c r="F1503">
        <v>0</v>
      </c>
      <c r="G1503" t="s">
        <v>257</v>
      </c>
    </row>
    <row r="1504" spans="1:7">
      <c r="A1504" s="216">
        <v>45170</v>
      </c>
      <c r="B1504" t="s">
        <v>52</v>
      </c>
      <c r="C1504">
        <v>8</v>
      </c>
      <c r="D1504" t="s">
        <v>451</v>
      </c>
      <c r="E1504" s="217">
        <v>45170</v>
      </c>
      <c r="F1504">
        <v>0</v>
      </c>
      <c r="G1504" t="s">
        <v>258</v>
      </c>
    </row>
    <row r="1505" spans="1:7">
      <c r="A1505" s="216">
        <v>45170</v>
      </c>
      <c r="B1505" t="s">
        <v>52</v>
      </c>
      <c r="C1505">
        <v>8</v>
      </c>
      <c r="D1505" t="s">
        <v>451</v>
      </c>
      <c r="E1505" s="217">
        <v>45170</v>
      </c>
      <c r="F1505">
        <v>0</v>
      </c>
      <c r="G1505" t="s">
        <v>259</v>
      </c>
    </row>
    <row r="1506" spans="1:7">
      <c r="A1506" s="216">
        <v>45170</v>
      </c>
      <c r="B1506" t="s">
        <v>52</v>
      </c>
      <c r="C1506">
        <v>8</v>
      </c>
      <c r="D1506" t="s">
        <v>451</v>
      </c>
      <c r="E1506" s="217">
        <v>45170</v>
      </c>
      <c r="F1506">
        <v>0</v>
      </c>
      <c r="G1506" t="s">
        <v>260</v>
      </c>
    </row>
    <row r="1507" spans="1:7">
      <c r="A1507" s="216">
        <v>45170</v>
      </c>
      <c r="B1507" t="s">
        <v>52</v>
      </c>
      <c r="C1507">
        <v>8</v>
      </c>
      <c r="D1507" t="s">
        <v>451</v>
      </c>
      <c r="E1507" s="217">
        <v>45170</v>
      </c>
      <c r="F1507">
        <v>0</v>
      </c>
      <c r="G1507" t="s">
        <v>261</v>
      </c>
    </row>
    <row r="1508" spans="1:7">
      <c r="A1508" s="216">
        <v>45170</v>
      </c>
      <c r="B1508" t="s">
        <v>52</v>
      </c>
      <c r="C1508">
        <v>8</v>
      </c>
      <c r="D1508" t="s">
        <v>451</v>
      </c>
      <c r="E1508" s="217">
        <v>45170</v>
      </c>
      <c r="F1508">
        <v>0</v>
      </c>
      <c r="G1508" t="s">
        <v>262</v>
      </c>
    </row>
    <row r="1509" spans="1:7">
      <c r="A1509" s="216">
        <v>45170</v>
      </c>
      <c r="B1509" t="s">
        <v>52</v>
      </c>
      <c r="C1509">
        <v>8</v>
      </c>
      <c r="D1509" t="s">
        <v>451</v>
      </c>
      <c r="E1509" s="217">
        <v>45170</v>
      </c>
      <c r="F1509">
        <v>0</v>
      </c>
      <c r="G1509" t="s">
        <v>434</v>
      </c>
    </row>
    <row r="1510" spans="1:7">
      <c r="A1510" s="216">
        <v>45170</v>
      </c>
      <c r="B1510" t="s">
        <v>52</v>
      </c>
      <c r="C1510">
        <v>9</v>
      </c>
      <c r="D1510" t="s">
        <v>450</v>
      </c>
      <c r="E1510" s="217">
        <v>45170</v>
      </c>
      <c r="F1510">
        <v>0</v>
      </c>
      <c r="G1510" t="s">
        <v>251</v>
      </c>
    </row>
    <row r="1511" spans="1:7">
      <c r="A1511" s="216">
        <v>45170</v>
      </c>
      <c r="B1511" t="s">
        <v>52</v>
      </c>
      <c r="C1511">
        <v>9</v>
      </c>
      <c r="D1511" t="s">
        <v>450</v>
      </c>
      <c r="E1511" s="217">
        <v>45170</v>
      </c>
      <c r="F1511">
        <v>0</v>
      </c>
      <c r="G1511" t="s">
        <v>252</v>
      </c>
    </row>
    <row r="1512" spans="1:7">
      <c r="A1512" s="216">
        <v>45170</v>
      </c>
      <c r="B1512" t="s">
        <v>52</v>
      </c>
      <c r="C1512">
        <v>9</v>
      </c>
      <c r="D1512" t="s">
        <v>450</v>
      </c>
      <c r="E1512" s="217">
        <v>45170</v>
      </c>
      <c r="F1512">
        <v>0</v>
      </c>
      <c r="G1512" t="s">
        <v>253</v>
      </c>
    </row>
    <row r="1513" spans="1:7">
      <c r="A1513" s="216">
        <v>45170</v>
      </c>
      <c r="B1513" t="s">
        <v>52</v>
      </c>
      <c r="C1513">
        <v>9</v>
      </c>
      <c r="D1513" t="s">
        <v>450</v>
      </c>
      <c r="E1513" s="217">
        <v>45170</v>
      </c>
      <c r="F1513">
        <v>0</v>
      </c>
      <c r="G1513" t="s">
        <v>254</v>
      </c>
    </row>
    <row r="1514" spans="1:7">
      <c r="A1514" s="216">
        <v>45170</v>
      </c>
      <c r="B1514" t="s">
        <v>52</v>
      </c>
      <c r="C1514">
        <v>9</v>
      </c>
      <c r="D1514" t="s">
        <v>450</v>
      </c>
      <c r="E1514" s="217">
        <v>45170</v>
      </c>
      <c r="F1514">
        <v>0</v>
      </c>
      <c r="G1514" t="s">
        <v>255</v>
      </c>
    </row>
    <row r="1515" spans="1:7">
      <c r="A1515" s="216">
        <v>45170</v>
      </c>
      <c r="B1515" t="s">
        <v>52</v>
      </c>
      <c r="C1515">
        <v>9</v>
      </c>
      <c r="D1515" t="s">
        <v>450</v>
      </c>
      <c r="E1515" s="217">
        <v>45170</v>
      </c>
      <c r="F1515">
        <v>0</v>
      </c>
      <c r="G1515" t="s">
        <v>256</v>
      </c>
    </row>
    <row r="1516" spans="1:7">
      <c r="A1516" s="216">
        <v>45170</v>
      </c>
      <c r="B1516" t="s">
        <v>52</v>
      </c>
      <c r="C1516">
        <v>9</v>
      </c>
      <c r="D1516" t="s">
        <v>450</v>
      </c>
      <c r="E1516" s="217">
        <v>45170</v>
      </c>
      <c r="F1516">
        <v>0</v>
      </c>
      <c r="G1516" t="s">
        <v>257</v>
      </c>
    </row>
    <row r="1517" spans="1:7">
      <c r="A1517" s="216">
        <v>45170</v>
      </c>
      <c r="B1517" t="s">
        <v>52</v>
      </c>
      <c r="C1517">
        <v>9</v>
      </c>
      <c r="D1517" t="s">
        <v>450</v>
      </c>
      <c r="E1517" s="217">
        <v>45170</v>
      </c>
      <c r="F1517">
        <v>0</v>
      </c>
      <c r="G1517" t="s">
        <v>258</v>
      </c>
    </row>
    <row r="1518" spans="1:7">
      <c r="A1518" s="216">
        <v>45170</v>
      </c>
      <c r="B1518" t="s">
        <v>52</v>
      </c>
      <c r="C1518">
        <v>9</v>
      </c>
      <c r="D1518" t="s">
        <v>450</v>
      </c>
      <c r="E1518" s="217">
        <v>45170</v>
      </c>
      <c r="F1518">
        <v>0</v>
      </c>
      <c r="G1518" t="s">
        <v>259</v>
      </c>
    </row>
    <row r="1519" spans="1:7">
      <c r="A1519" s="216">
        <v>45170</v>
      </c>
      <c r="B1519" t="s">
        <v>52</v>
      </c>
      <c r="C1519">
        <v>9</v>
      </c>
      <c r="D1519" t="s">
        <v>450</v>
      </c>
      <c r="E1519" s="217">
        <v>45170</v>
      </c>
      <c r="F1519">
        <v>0</v>
      </c>
      <c r="G1519" t="s">
        <v>260</v>
      </c>
    </row>
    <row r="1520" spans="1:7">
      <c r="A1520" s="216">
        <v>45170</v>
      </c>
      <c r="B1520" t="s">
        <v>52</v>
      </c>
      <c r="C1520">
        <v>9</v>
      </c>
      <c r="D1520" t="s">
        <v>450</v>
      </c>
      <c r="E1520" s="217">
        <v>45170</v>
      </c>
      <c r="F1520">
        <v>0</v>
      </c>
      <c r="G1520" t="s">
        <v>261</v>
      </c>
    </row>
    <row r="1521" spans="1:7">
      <c r="A1521" s="216">
        <v>45170</v>
      </c>
      <c r="B1521" t="s">
        <v>52</v>
      </c>
      <c r="C1521">
        <v>9</v>
      </c>
      <c r="D1521" t="s">
        <v>450</v>
      </c>
      <c r="E1521" s="217">
        <v>45170</v>
      </c>
      <c r="F1521">
        <v>0</v>
      </c>
      <c r="G1521" t="s">
        <v>262</v>
      </c>
    </row>
    <row r="1522" spans="1:7">
      <c r="A1522" s="216">
        <v>45170</v>
      </c>
      <c r="B1522" t="s">
        <v>52</v>
      </c>
      <c r="C1522">
        <v>9</v>
      </c>
      <c r="D1522" t="s">
        <v>450</v>
      </c>
      <c r="E1522" s="217">
        <v>45170</v>
      </c>
      <c r="F1522">
        <v>0</v>
      </c>
      <c r="G1522" t="s">
        <v>434</v>
      </c>
    </row>
    <row r="1523" spans="1:7">
      <c r="A1523" s="216">
        <v>45170</v>
      </c>
      <c r="B1523" t="s">
        <v>52</v>
      </c>
      <c r="C1523">
        <v>10</v>
      </c>
      <c r="D1523" t="s">
        <v>433</v>
      </c>
      <c r="E1523" s="217">
        <v>45170</v>
      </c>
      <c r="F1523">
        <v>4701</v>
      </c>
      <c r="G1523" t="s">
        <v>251</v>
      </c>
    </row>
    <row r="1524" spans="1:7">
      <c r="A1524" s="216">
        <v>45170</v>
      </c>
      <c r="B1524" t="s">
        <v>52</v>
      </c>
      <c r="C1524">
        <v>10</v>
      </c>
      <c r="D1524" t="s">
        <v>433</v>
      </c>
      <c r="E1524" s="217">
        <v>45170</v>
      </c>
      <c r="F1524">
        <v>4775</v>
      </c>
      <c r="G1524" t="s">
        <v>252</v>
      </c>
    </row>
    <row r="1525" spans="1:7">
      <c r="A1525" s="216">
        <v>45170</v>
      </c>
      <c r="B1525" t="s">
        <v>52</v>
      </c>
      <c r="C1525">
        <v>10</v>
      </c>
      <c r="D1525" t="s">
        <v>433</v>
      </c>
      <c r="E1525" s="217">
        <v>45170</v>
      </c>
      <c r="F1525">
        <v>5880</v>
      </c>
      <c r="G1525" t="s">
        <v>253</v>
      </c>
    </row>
    <row r="1526" spans="1:7">
      <c r="A1526" s="216">
        <v>45170</v>
      </c>
      <c r="B1526" t="s">
        <v>52</v>
      </c>
      <c r="C1526">
        <v>10</v>
      </c>
      <c r="D1526" t="s">
        <v>433</v>
      </c>
      <c r="E1526" s="217">
        <v>45170</v>
      </c>
      <c r="F1526">
        <v>5736</v>
      </c>
      <c r="G1526" t="s">
        <v>254</v>
      </c>
    </row>
    <row r="1527" spans="1:7">
      <c r="A1527" s="216">
        <v>45170</v>
      </c>
      <c r="B1527" t="s">
        <v>52</v>
      </c>
      <c r="C1527">
        <v>10</v>
      </c>
      <c r="D1527" t="s">
        <v>433</v>
      </c>
      <c r="E1527" s="217">
        <v>45170</v>
      </c>
      <c r="F1527">
        <v>5089</v>
      </c>
      <c r="G1527" t="s">
        <v>255</v>
      </c>
    </row>
    <row r="1528" spans="1:7">
      <c r="A1528" s="216">
        <v>45170</v>
      </c>
      <c r="B1528" t="s">
        <v>52</v>
      </c>
      <c r="C1528">
        <v>10</v>
      </c>
      <c r="D1528" t="s">
        <v>433</v>
      </c>
      <c r="E1528" s="217">
        <v>45170</v>
      </c>
      <c r="F1528">
        <v>5094</v>
      </c>
      <c r="G1528" t="s">
        <v>256</v>
      </c>
    </row>
    <row r="1529" spans="1:7">
      <c r="A1529" s="216">
        <v>45170</v>
      </c>
      <c r="B1529" t="s">
        <v>52</v>
      </c>
      <c r="C1529">
        <v>10</v>
      </c>
      <c r="D1529" t="s">
        <v>433</v>
      </c>
      <c r="E1529" s="217">
        <v>45170</v>
      </c>
      <c r="F1529">
        <v>5194</v>
      </c>
      <c r="G1529" t="s">
        <v>257</v>
      </c>
    </row>
    <row r="1530" spans="1:7">
      <c r="A1530" s="216">
        <v>45170</v>
      </c>
      <c r="B1530" t="s">
        <v>52</v>
      </c>
      <c r="C1530">
        <v>10</v>
      </c>
      <c r="D1530" t="s">
        <v>433</v>
      </c>
      <c r="E1530" s="217">
        <v>45170</v>
      </c>
      <c r="F1530">
        <v>5252</v>
      </c>
      <c r="G1530" t="s">
        <v>258</v>
      </c>
    </row>
    <row r="1531" spans="1:7">
      <c r="A1531" s="216">
        <v>45170</v>
      </c>
      <c r="B1531" t="s">
        <v>52</v>
      </c>
      <c r="C1531">
        <v>10</v>
      </c>
      <c r="D1531" t="s">
        <v>433</v>
      </c>
      <c r="E1531" s="217">
        <v>45170</v>
      </c>
      <c r="F1531">
        <v>5261</v>
      </c>
      <c r="G1531" t="s">
        <v>259</v>
      </c>
    </row>
    <row r="1532" spans="1:7">
      <c r="A1532" s="216">
        <v>45170</v>
      </c>
      <c r="B1532" t="s">
        <v>52</v>
      </c>
      <c r="C1532">
        <v>10</v>
      </c>
      <c r="D1532" t="s">
        <v>433</v>
      </c>
      <c r="E1532" s="217">
        <v>45170</v>
      </c>
      <c r="F1532">
        <v>5529</v>
      </c>
      <c r="G1532" t="s">
        <v>260</v>
      </c>
    </row>
    <row r="1533" spans="1:7">
      <c r="A1533" s="216">
        <v>45170</v>
      </c>
      <c r="B1533" t="s">
        <v>52</v>
      </c>
      <c r="C1533">
        <v>10</v>
      </c>
      <c r="D1533" t="s">
        <v>433</v>
      </c>
      <c r="E1533" s="217">
        <v>45170</v>
      </c>
      <c r="F1533">
        <v>5619</v>
      </c>
      <c r="G1533" t="s">
        <v>261</v>
      </c>
    </row>
    <row r="1534" spans="1:7">
      <c r="A1534" s="216">
        <v>45170</v>
      </c>
      <c r="B1534" t="s">
        <v>52</v>
      </c>
      <c r="C1534">
        <v>10</v>
      </c>
      <c r="D1534" t="s">
        <v>433</v>
      </c>
      <c r="E1534" s="217">
        <v>45170</v>
      </c>
      <c r="F1534">
        <v>5633</v>
      </c>
      <c r="G1534" t="s">
        <v>262</v>
      </c>
    </row>
    <row r="1535" spans="1:7">
      <c r="A1535" s="216">
        <v>45170</v>
      </c>
      <c r="B1535" t="s">
        <v>52</v>
      </c>
      <c r="C1535">
        <v>10</v>
      </c>
      <c r="D1535" t="s">
        <v>433</v>
      </c>
      <c r="E1535" s="217">
        <v>45170</v>
      </c>
      <c r="F1535">
        <v>63763</v>
      </c>
      <c r="G1535" t="s">
        <v>434</v>
      </c>
    </row>
    <row r="1536" spans="1:7">
      <c r="A1536" s="216">
        <v>45170</v>
      </c>
      <c r="B1536" t="s">
        <v>52</v>
      </c>
      <c r="C1536">
        <v>11</v>
      </c>
      <c r="D1536" t="s">
        <v>445</v>
      </c>
      <c r="E1536" s="217">
        <v>45170</v>
      </c>
      <c r="F1536">
        <v>6484</v>
      </c>
      <c r="G1536" t="s">
        <v>251</v>
      </c>
    </row>
    <row r="1537" spans="1:7">
      <c r="A1537" s="216">
        <v>45170</v>
      </c>
      <c r="B1537" t="s">
        <v>52</v>
      </c>
      <c r="C1537">
        <v>11</v>
      </c>
      <c r="D1537" t="s">
        <v>445</v>
      </c>
      <c r="E1537" s="217">
        <v>45170</v>
      </c>
      <c r="F1537">
        <v>6964</v>
      </c>
      <c r="G1537" t="s">
        <v>252</v>
      </c>
    </row>
    <row r="1538" spans="1:7">
      <c r="A1538" s="216">
        <v>45170</v>
      </c>
      <c r="B1538" t="s">
        <v>52</v>
      </c>
      <c r="C1538">
        <v>11</v>
      </c>
      <c r="D1538" t="s">
        <v>445</v>
      </c>
      <c r="E1538" s="217">
        <v>45170</v>
      </c>
      <c r="F1538">
        <v>7051</v>
      </c>
      <c r="G1538" t="s">
        <v>253</v>
      </c>
    </row>
    <row r="1539" spans="1:7">
      <c r="A1539" s="216">
        <v>45170</v>
      </c>
      <c r="B1539" t="s">
        <v>52</v>
      </c>
      <c r="C1539">
        <v>11</v>
      </c>
      <c r="D1539" t="s">
        <v>445</v>
      </c>
      <c r="E1539" s="217">
        <v>45170</v>
      </c>
      <c r="F1539">
        <v>7454</v>
      </c>
      <c r="G1539" t="s">
        <v>254</v>
      </c>
    </row>
    <row r="1540" spans="1:7">
      <c r="A1540" s="216">
        <v>45170</v>
      </c>
      <c r="B1540" t="s">
        <v>52</v>
      </c>
      <c r="C1540">
        <v>11</v>
      </c>
      <c r="D1540" t="s">
        <v>445</v>
      </c>
      <c r="E1540" s="217">
        <v>45170</v>
      </c>
      <c r="F1540">
        <v>6605</v>
      </c>
      <c r="G1540" t="s">
        <v>255</v>
      </c>
    </row>
    <row r="1541" spans="1:7">
      <c r="A1541" s="216">
        <v>45170</v>
      </c>
      <c r="B1541" t="s">
        <v>52</v>
      </c>
      <c r="C1541">
        <v>11</v>
      </c>
      <c r="D1541" t="s">
        <v>445</v>
      </c>
      <c r="E1541" s="217">
        <v>45170</v>
      </c>
      <c r="F1541">
        <v>6478</v>
      </c>
      <c r="G1541" t="s">
        <v>256</v>
      </c>
    </row>
    <row r="1542" spans="1:7">
      <c r="A1542" s="216">
        <v>45170</v>
      </c>
      <c r="B1542" t="s">
        <v>52</v>
      </c>
      <c r="C1542">
        <v>11</v>
      </c>
      <c r="D1542" t="s">
        <v>445</v>
      </c>
      <c r="E1542" s="217">
        <v>45170</v>
      </c>
      <c r="F1542">
        <v>8366</v>
      </c>
      <c r="G1542" t="s">
        <v>257</v>
      </c>
    </row>
    <row r="1543" spans="1:7">
      <c r="A1543" s="216">
        <v>45170</v>
      </c>
      <c r="B1543" t="s">
        <v>52</v>
      </c>
      <c r="C1543">
        <v>11</v>
      </c>
      <c r="D1543" t="s">
        <v>445</v>
      </c>
      <c r="E1543" s="217">
        <v>45170</v>
      </c>
      <c r="F1543">
        <v>7824</v>
      </c>
      <c r="G1543" t="s">
        <v>258</v>
      </c>
    </row>
    <row r="1544" spans="1:7">
      <c r="A1544" s="216">
        <v>45170</v>
      </c>
      <c r="B1544" t="s">
        <v>52</v>
      </c>
      <c r="C1544">
        <v>11</v>
      </c>
      <c r="D1544" t="s">
        <v>445</v>
      </c>
      <c r="E1544" s="217">
        <v>45170</v>
      </c>
      <c r="F1544">
        <v>8527</v>
      </c>
      <c r="G1544" t="s">
        <v>259</v>
      </c>
    </row>
    <row r="1545" spans="1:7">
      <c r="A1545" s="216">
        <v>45170</v>
      </c>
      <c r="B1545" t="s">
        <v>52</v>
      </c>
      <c r="C1545">
        <v>11</v>
      </c>
      <c r="D1545" t="s">
        <v>445</v>
      </c>
      <c r="E1545" s="217">
        <v>45170</v>
      </c>
      <c r="F1545">
        <v>7964</v>
      </c>
      <c r="G1545" t="s">
        <v>260</v>
      </c>
    </row>
    <row r="1546" spans="1:7">
      <c r="A1546" s="216">
        <v>45170</v>
      </c>
      <c r="B1546" t="s">
        <v>52</v>
      </c>
      <c r="C1546">
        <v>11</v>
      </c>
      <c r="D1546" t="s">
        <v>445</v>
      </c>
      <c r="E1546" s="217">
        <v>45170</v>
      </c>
      <c r="F1546">
        <v>7526</v>
      </c>
      <c r="G1546" t="s">
        <v>261</v>
      </c>
    </row>
    <row r="1547" spans="1:7">
      <c r="A1547" s="216">
        <v>45170</v>
      </c>
      <c r="B1547" t="s">
        <v>52</v>
      </c>
      <c r="C1547">
        <v>11</v>
      </c>
      <c r="D1547" t="s">
        <v>445</v>
      </c>
      <c r="E1547" s="217">
        <v>45170</v>
      </c>
      <c r="F1547">
        <v>8682</v>
      </c>
      <c r="G1547" t="s">
        <v>262</v>
      </c>
    </row>
    <row r="1548" spans="1:7">
      <c r="A1548" s="216">
        <v>45170</v>
      </c>
      <c r="B1548" t="s">
        <v>52</v>
      </c>
      <c r="C1548">
        <v>11</v>
      </c>
      <c r="D1548" t="s">
        <v>445</v>
      </c>
      <c r="E1548" s="217">
        <v>45170</v>
      </c>
      <c r="F1548">
        <v>89925</v>
      </c>
      <c r="G1548" t="s">
        <v>434</v>
      </c>
    </row>
    <row r="1549" spans="1:7">
      <c r="A1549" s="216">
        <v>45170</v>
      </c>
      <c r="B1549" t="s">
        <v>52</v>
      </c>
      <c r="C1549">
        <v>12</v>
      </c>
      <c r="D1549" t="s">
        <v>454</v>
      </c>
      <c r="E1549" s="217">
        <v>45170</v>
      </c>
      <c r="F1549">
        <v>0</v>
      </c>
      <c r="G1549" t="s">
        <v>251</v>
      </c>
    </row>
    <row r="1550" spans="1:7">
      <c r="A1550" s="216">
        <v>45170</v>
      </c>
      <c r="B1550" t="s">
        <v>52</v>
      </c>
      <c r="C1550">
        <v>12</v>
      </c>
      <c r="D1550" t="s">
        <v>454</v>
      </c>
      <c r="E1550" s="217">
        <v>45170</v>
      </c>
      <c r="F1550">
        <v>0</v>
      </c>
      <c r="G1550" t="s">
        <v>252</v>
      </c>
    </row>
    <row r="1551" spans="1:7">
      <c r="A1551" s="216">
        <v>45170</v>
      </c>
      <c r="B1551" t="s">
        <v>52</v>
      </c>
      <c r="C1551">
        <v>12</v>
      </c>
      <c r="D1551" t="s">
        <v>454</v>
      </c>
      <c r="E1551" s="217">
        <v>45170</v>
      </c>
      <c r="F1551">
        <v>0</v>
      </c>
      <c r="G1551" t="s">
        <v>253</v>
      </c>
    </row>
    <row r="1552" spans="1:7">
      <c r="A1552" s="216">
        <v>45170</v>
      </c>
      <c r="B1552" t="s">
        <v>52</v>
      </c>
      <c r="C1552">
        <v>12</v>
      </c>
      <c r="D1552" t="s">
        <v>454</v>
      </c>
      <c r="E1552" s="217">
        <v>45170</v>
      </c>
      <c r="F1552">
        <v>0</v>
      </c>
      <c r="G1552" t="s">
        <v>254</v>
      </c>
    </row>
    <row r="1553" spans="1:7">
      <c r="A1553" s="216">
        <v>45170</v>
      </c>
      <c r="B1553" t="s">
        <v>52</v>
      </c>
      <c r="C1553">
        <v>12</v>
      </c>
      <c r="D1553" t="s">
        <v>454</v>
      </c>
      <c r="E1553" s="217">
        <v>45170</v>
      </c>
      <c r="F1553">
        <v>0</v>
      </c>
      <c r="G1553" t="s">
        <v>255</v>
      </c>
    </row>
    <row r="1554" spans="1:7">
      <c r="A1554" s="216">
        <v>45170</v>
      </c>
      <c r="B1554" t="s">
        <v>52</v>
      </c>
      <c r="C1554">
        <v>12</v>
      </c>
      <c r="D1554" t="s">
        <v>454</v>
      </c>
      <c r="E1554" s="217">
        <v>45170</v>
      </c>
      <c r="F1554">
        <v>0</v>
      </c>
      <c r="G1554" t="s">
        <v>256</v>
      </c>
    </row>
    <row r="1555" spans="1:7">
      <c r="A1555" s="216">
        <v>45170</v>
      </c>
      <c r="B1555" t="s">
        <v>52</v>
      </c>
      <c r="C1555">
        <v>12</v>
      </c>
      <c r="D1555" t="s">
        <v>454</v>
      </c>
      <c r="E1555" s="217">
        <v>45170</v>
      </c>
      <c r="F1555">
        <v>0</v>
      </c>
      <c r="G1555" t="s">
        <v>257</v>
      </c>
    </row>
    <row r="1556" spans="1:7">
      <c r="A1556" s="216">
        <v>45170</v>
      </c>
      <c r="B1556" t="s">
        <v>52</v>
      </c>
      <c r="C1556">
        <v>12</v>
      </c>
      <c r="D1556" t="s">
        <v>454</v>
      </c>
      <c r="E1556" s="217">
        <v>45170</v>
      </c>
      <c r="F1556">
        <v>0</v>
      </c>
      <c r="G1556" t="s">
        <v>258</v>
      </c>
    </row>
    <row r="1557" spans="1:7">
      <c r="A1557" s="216">
        <v>45170</v>
      </c>
      <c r="B1557" t="s">
        <v>52</v>
      </c>
      <c r="C1557">
        <v>12</v>
      </c>
      <c r="D1557" t="s">
        <v>454</v>
      </c>
      <c r="E1557" s="217">
        <v>45170</v>
      </c>
      <c r="F1557">
        <v>0</v>
      </c>
      <c r="G1557" t="s">
        <v>259</v>
      </c>
    </row>
    <row r="1558" spans="1:7">
      <c r="A1558" s="216">
        <v>45170</v>
      </c>
      <c r="B1558" t="s">
        <v>52</v>
      </c>
      <c r="C1558">
        <v>12</v>
      </c>
      <c r="D1558" t="s">
        <v>454</v>
      </c>
      <c r="E1558" s="217">
        <v>45170</v>
      </c>
      <c r="F1558">
        <v>0</v>
      </c>
      <c r="G1558" t="s">
        <v>260</v>
      </c>
    </row>
    <row r="1559" spans="1:7">
      <c r="A1559" s="216">
        <v>45170</v>
      </c>
      <c r="B1559" t="s">
        <v>52</v>
      </c>
      <c r="C1559">
        <v>12</v>
      </c>
      <c r="D1559" t="s">
        <v>454</v>
      </c>
      <c r="E1559" s="217">
        <v>45170</v>
      </c>
      <c r="F1559">
        <v>0</v>
      </c>
      <c r="G1559" t="s">
        <v>261</v>
      </c>
    </row>
    <row r="1560" spans="1:7">
      <c r="A1560" s="216">
        <v>45170</v>
      </c>
      <c r="B1560" t="s">
        <v>52</v>
      </c>
      <c r="C1560">
        <v>12</v>
      </c>
      <c r="D1560" t="s">
        <v>454</v>
      </c>
      <c r="E1560" s="217">
        <v>45170</v>
      </c>
      <c r="F1560">
        <v>0</v>
      </c>
      <c r="G1560" t="s">
        <v>262</v>
      </c>
    </row>
    <row r="1561" spans="1:7">
      <c r="A1561" s="216">
        <v>45170</v>
      </c>
      <c r="B1561" t="s">
        <v>52</v>
      </c>
      <c r="C1561">
        <v>12</v>
      </c>
      <c r="D1561" t="s">
        <v>454</v>
      </c>
      <c r="E1561" s="217">
        <v>45170</v>
      </c>
      <c r="F1561">
        <v>0</v>
      </c>
      <c r="G1561" t="s">
        <v>434</v>
      </c>
    </row>
    <row r="1562" spans="1:7">
      <c r="A1562" s="216">
        <v>45170</v>
      </c>
      <c r="B1562" t="s">
        <v>52</v>
      </c>
      <c r="C1562">
        <v>13</v>
      </c>
      <c r="D1562" t="s">
        <v>441</v>
      </c>
      <c r="E1562" s="217">
        <v>45170</v>
      </c>
      <c r="F1562">
        <v>0</v>
      </c>
      <c r="G1562" t="s">
        <v>251</v>
      </c>
    </row>
    <row r="1563" spans="1:7">
      <c r="A1563" s="216">
        <v>45170</v>
      </c>
      <c r="B1563" t="s">
        <v>52</v>
      </c>
      <c r="C1563">
        <v>13</v>
      </c>
      <c r="D1563" t="s">
        <v>441</v>
      </c>
      <c r="E1563" s="217">
        <v>45170</v>
      </c>
      <c r="F1563">
        <v>0</v>
      </c>
      <c r="G1563" t="s">
        <v>252</v>
      </c>
    </row>
    <row r="1564" spans="1:7">
      <c r="A1564" s="216">
        <v>45170</v>
      </c>
      <c r="B1564" t="s">
        <v>52</v>
      </c>
      <c r="C1564">
        <v>13</v>
      </c>
      <c r="D1564" t="s">
        <v>441</v>
      </c>
      <c r="E1564" s="217">
        <v>45170</v>
      </c>
      <c r="F1564">
        <v>0</v>
      </c>
      <c r="G1564" t="s">
        <v>253</v>
      </c>
    </row>
    <row r="1565" spans="1:7">
      <c r="A1565" s="216">
        <v>45170</v>
      </c>
      <c r="B1565" t="s">
        <v>52</v>
      </c>
      <c r="C1565">
        <v>13</v>
      </c>
      <c r="D1565" t="s">
        <v>441</v>
      </c>
      <c r="E1565" s="217">
        <v>45170</v>
      </c>
      <c r="F1565">
        <v>0</v>
      </c>
      <c r="G1565" t="s">
        <v>254</v>
      </c>
    </row>
    <row r="1566" spans="1:7">
      <c r="A1566" s="216">
        <v>45170</v>
      </c>
      <c r="B1566" t="s">
        <v>52</v>
      </c>
      <c r="C1566">
        <v>13</v>
      </c>
      <c r="D1566" t="s">
        <v>441</v>
      </c>
      <c r="E1566" s="217">
        <v>45170</v>
      </c>
      <c r="F1566">
        <v>0</v>
      </c>
      <c r="G1566" t="s">
        <v>255</v>
      </c>
    </row>
    <row r="1567" spans="1:7">
      <c r="A1567" s="216">
        <v>45170</v>
      </c>
      <c r="B1567" t="s">
        <v>52</v>
      </c>
      <c r="C1567">
        <v>13</v>
      </c>
      <c r="D1567" t="s">
        <v>441</v>
      </c>
      <c r="E1567" s="217">
        <v>45170</v>
      </c>
      <c r="F1567">
        <v>0</v>
      </c>
      <c r="G1567" t="s">
        <v>256</v>
      </c>
    </row>
    <row r="1568" spans="1:7">
      <c r="A1568" s="216">
        <v>45170</v>
      </c>
      <c r="B1568" t="s">
        <v>52</v>
      </c>
      <c r="C1568">
        <v>13</v>
      </c>
      <c r="D1568" t="s">
        <v>441</v>
      </c>
      <c r="E1568" s="217">
        <v>45170</v>
      </c>
      <c r="F1568">
        <v>0</v>
      </c>
      <c r="G1568" t="s">
        <v>257</v>
      </c>
    </row>
    <row r="1569" spans="1:7">
      <c r="A1569" s="216">
        <v>45170</v>
      </c>
      <c r="B1569" t="s">
        <v>52</v>
      </c>
      <c r="C1569">
        <v>13</v>
      </c>
      <c r="D1569" t="s">
        <v>441</v>
      </c>
      <c r="E1569" s="217">
        <v>45170</v>
      </c>
      <c r="F1569">
        <v>0</v>
      </c>
      <c r="G1569" t="s">
        <v>258</v>
      </c>
    </row>
    <row r="1570" spans="1:7">
      <c r="A1570" s="216">
        <v>45170</v>
      </c>
      <c r="B1570" t="s">
        <v>52</v>
      </c>
      <c r="C1570">
        <v>13</v>
      </c>
      <c r="D1570" t="s">
        <v>441</v>
      </c>
      <c r="E1570" s="217">
        <v>45170</v>
      </c>
      <c r="F1570">
        <v>0</v>
      </c>
      <c r="G1570" t="s">
        <v>259</v>
      </c>
    </row>
    <row r="1571" spans="1:7">
      <c r="A1571" s="216">
        <v>45170</v>
      </c>
      <c r="B1571" t="s">
        <v>52</v>
      </c>
      <c r="C1571">
        <v>13</v>
      </c>
      <c r="D1571" t="s">
        <v>441</v>
      </c>
      <c r="E1571" s="217">
        <v>45170</v>
      </c>
      <c r="F1571">
        <v>0</v>
      </c>
      <c r="G1571" t="s">
        <v>260</v>
      </c>
    </row>
    <row r="1572" spans="1:7">
      <c r="A1572" s="216">
        <v>45170</v>
      </c>
      <c r="B1572" t="s">
        <v>52</v>
      </c>
      <c r="C1572">
        <v>13</v>
      </c>
      <c r="D1572" t="s">
        <v>441</v>
      </c>
      <c r="E1572" s="217">
        <v>45170</v>
      </c>
      <c r="F1572">
        <v>0</v>
      </c>
      <c r="G1572" t="s">
        <v>261</v>
      </c>
    </row>
    <row r="1573" spans="1:7">
      <c r="A1573" s="216">
        <v>45170</v>
      </c>
      <c r="B1573" t="s">
        <v>52</v>
      </c>
      <c r="C1573">
        <v>13</v>
      </c>
      <c r="D1573" t="s">
        <v>441</v>
      </c>
      <c r="E1573" s="217">
        <v>45170</v>
      </c>
      <c r="F1573">
        <v>0</v>
      </c>
      <c r="G1573" t="s">
        <v>262</v>
      </c>
    </row>
    <row r="1574" spans="1:7">
      <c r="A1574" s="216">
        <v>45170</v>
      </c>
      <c r="B1574" t="s">
        <v>52</v>
      </c>
      <c r="C1574">
        <v>13</v>
      </c>
      <c r="D1574" t="s">
        <v>441</v>
      </c>
      <c r="E1574" s="217">
        <v>45170</v>
      </c>
      <c r="F1574">
        <v>0</v>
      </c>
      <c r="G1574" t="s">
        <v>434</v>
      </c>
    </row>
    <row r="1575" spans="1:7">
      <c r="A1575" s="216">
        <v>45170</v>
      </c>
      <c r="B1575" t="s">
        <v>52</v>
      </c>
      <c r="C1575">
        <v>14</v>
      </c>
      <c r="D1575" t="s">
        <v>447</v>
      </c>
      <c r="E1575" s="217">
        <v>45170</v>
      </c>
      <c r="F1575">
        <v>0</v>
      </c>
      <c r="G1575" t="s">
        <v>251</v>
      </c>
    </row>
    <row r="1576" spans="1:7">
      <c r="A1576" s="216">
        <v>45170</v>
      </c>
      <c r="B1576" t="s">
        <v>52</v>
      </c>
      <c r="C1576">
        <v>14</v>
      </c>
      <c r="D1576" t="s">
        <v>447</v>
      </c>
      <c r="E1576" s="217">
        <v>45170</v>
      </c>
      <c r="F1576">
        <v>0</v>
      </c>
      <c r="G1576" t="s">
        <v>252</v>
      </c>
    </row>
    <row r="1577" spans="1:7">
      <c r="A1577" s="216">
        <v>45170</v>
      </c>
      <c r="B1577" t="s">
        <v>52</v>
      </c>
      <c r="C1577">
        <v>14</v>
      </c>
      <c r="D1577" t="s">
        <v>447</v>
      </c>
      <c r="E1577" s="217">
        <v>45170</v>
      </c>
      <c r="F1577">
        <v>0</v>
      </c>
      <c r="G1577" t="s">
        <v>253</v>
      </c>
    </row>
    <row r="1578" spans="1:7">
      <c r="A1578" s="216">
        <v>45170</v>
      </c>
      <c r="B1578" t="s">
        <v>52</v>
      </c>
      <c r="C1578">
        <v>14</v>
      </c>
      <c r="D1578" t="s">
        <v>447</v>
      </c>
      <c r="E1578" s="217">
        <v>45170</v>
      </c>
      <c r="F1578">
        <v>0</v>
      </c>
      <c r="G1578" t="s">
        <v>254</v>
      </c>
    </row>
    <row r="1579" spans="1:7">
      <c r="A1579" s="216">
        <v>45170</v>
      </c>
      <c r="B1579" t="s">
        <v>52</v>
      </c>
      <c r="C1579">
        <v>14</v>
      </c>
      <c r="D1579" t="s">
        <v>447</v>
      </c>
      <c r="E1579" s="217">
        <v>45170</v>
      </c>
      <c r="F1579">
        <v>0</v>
      </c>
      <c r="G1579" t="s">
        <v>255</v>
      </c>
    </row>
    <row r="1580" spans="1:7">
      <c r="A1580" s="216">
        <v>45170</v>
      </c>
      <c r="B1580" t="s">
        <v>52</v>
      </c>
      <c r="C1580">
        <v>14</v>
      </c>
      <c r="D1580" t="s">
        <v>447</v>
      </c>
      <c r="E1580" s="217">
        <v>45170</v>
      </c>
      <c r="F1580">
        <v>0</v>
      </c>
      <c r="G1580" t="s">
        <v>256</v>
      </c>
    </row>
    <row r="1581" spans="1:7">
      <c r="A1581" s="216">
        <v>45170</v>
      </c>
      <c r="B1581" t="s">
        <v>52</v>
      </c>
      <c r="C1581">
        <v>14</v>
      </c>
      <c r="D1581" t="s">
        <v>447</v>
      </c>
      <c r="E1581" s="217">
        <v>45170</v>
      </c>
      <c r="F1581">
        <v>0</v>
      </c>
      <c r="G1581" t="s">
        <v>257</v>
      </c>
    </row>
    <row r="1582" spans="1:7">
      <c r="A1582" s="216">
        <v>45170</v>
      </c>
      <c r="B1582" t="s">
        <v>52</v>
      </c>
      <c r="C1582">
        <v>14</v>
      </c>
      <c r="D1582" t="s">
        <v>447</v>
      </c>
      <c r="E1582" s="217">
        <v>45170</v>
      </c>
      <c r="F1582">
        <v>0</v>
      </c>
      <c r="G1582" t="s">
        <v>258</v>
      </c>
    </row>
    <row r="1583" spans="1:7">
      <c r="A1583" s="216">
        <v>45170</v>
      </c>
      <c r="B1583" t="s">
        <v>52</v>
      </c>
      <c r="C1583">
        <v>14</v>
      </c>
      <c r="D1583" t="s">
        <v>447</v>
      </c>
      <c r="E1583" s="217">
        <v>45170</v>
      </c>
      <c r="F1583">
        <v>0</v>
      </c>
      <c r="G1583" t="s">
        <v>259</v>
      </c>
    </row>
    <row r="1584" spans="1:7">
      <c r="A1584" s="216">
        <v>45170</v>
      </c>
      <c r="B1584" t="s">
        <v>52</v>
      </c>
      <c r="C1584">
        <v>14</v>
      </c>
      <c r="D1584" t="s">
        <v>447</v>
      </c>
      <c r="E1584" s="217">
        <v>45170</v>
      </c>
      <c r="F1584">
        <v>0</v>
      </c>
      <c r="G1584" t="s">
        <v>260</v>
      </c>
    </row>
    <row r="1585" spans="1:7">
      <c r="A1585" s="216">
        <v>45170</v>
      </c>
      <c r="B1585" t="s">
        <v>52</v>
      </c>
      <c r="C1585">
        <v>14</v>
      </c>
      <c r="D1585" t="s">
        <v>447</v>
      </c>
      <c r="E1585" s="217">
        <v>45170</v>
      </c>
      <c r="F1585">
        <v>0</v>
      </c>
      <c r="G1585" t="s">
        <v>261</v>
      </c>
    </row>
    <row r="1586" spans="1:7">
      <c r="A1586" s="216">
        <v>45170</v>
      </c>
      <c r="B1586" t="s">
        <v>52</v>
      </c>
      <c r="C1586">
        <v>14</v>
      </c>
      <c r="D1586" t="s">
        <v>447</v>
      </c>
      <c r="E1586" s="217">
        <v>45170</v>
      </c>
      <c r="F1586">
        <v>0</v>
      </c>
      <c r="G1586" t="s">
        <v>262</v>
      </c>
    </row>
    <row r="1587" spans="1:7">
      <c r="A1587" s="216">
        <v>45170</v>
      </c>
      <c r="B1587" t="s">
        <v>52</v>
      </c>
      <c r="C1587">
        <v>14</v>
      </c>
      <c r="D1587" t="s">
        <v>447</v>
      </c>
      <c r="E1587" s="217">
        <v>45170</v>
      </c>
      <c r="F1587">
        <v>0</v>
      </c>
      <c r="G1587" t="s">
        <v>434</v>
      </c>
    </row>
    <row r="1588" spans="1:7">
      <c r="A1588" s="216">
        <v>45170</v>
      </c>
      <c r="B1588" t="s">
        <v>52</v>
      </c>
      <c r="C1588">
        <v>15</v>
      </c>
      <c r="D1588" t="s">
        <v>437</v>
      </c>
      <c r="E1588" s="217">
        <v>45170</v>
      </c>
      <c r="F1588">
        <v>0</v>
      </c>
      <c r="G1588" t="s">
        <v>251</v>
      </c>
    </row>
    <row r="1589" spans="1:7">
      <c r="A1589" s="216">
        <v>45170</v>
      </c>
      <c r="B1589" t="s">
        <v>52</v>
      </c>
      <c r="C1589">
        <v>15</v>
      </c>
      <c r="D1589" t="s">
        <v>437</v>
      </c>
      <c r="E1589" s="217">
        <v>45170</v>
      </c>
      <c r="F1589">
        <v>0</v>
      </c>
      <c r="G1589" t="s">
        <v>252</v>
      </c>
    </row>
    <row r="1590" spans="1:7">
      <c r="A1590" s="216">
        <v>45170</v>
      </c>
      <c r="B1590" t="s">
        <v>52</v>
      </c>
      <c r="C1590">
        <v>15</v>
      </c>
      <c r="D1590" t="s">
        <v>437</v>
      </c>
      <c r="E1590" s="217">
        <v>45170</v>
      </c>
      <c r="F1590">
        <v>0</v>
      </c>
      <c r="G1590" t="s">
        <v>253</v>
      </c>
    </row>
    <row r="1591" spans="1:7">
      <c r="A1591" s="216">
        <v>45170</v>
      </c>
      <c r="B1591" t="s">
        <v>52</v>
      </c>
      <c r="C1591">
        <v>15</v>
      </c>
      <c r="D1591" t="s">
        <v>437</v>
      </c>
      <c r="E1591" s="217">
        <v>45170</v>
      </c>
      <c r="F1591">
        <v>0</v>
      </c>
      <c r="G1591" t="s">
        <v>254</v>
      </c>
    </row>
    <row r="1592" spans="1:7">
      <c r="A1592" s="216">
        <v>45170</v>
      </c>
      <c r="B1592" t="s">
        <v>52</v>
      </c>
      <c r="C1592">
        <v>15</v>
      </c>
      <c r="D1592" t="s">
        <v>437</v>
      </c>
      <c r="E1592" s="217">
        <v>45170</v>
      </c>
      <c r="F1592">
        <v>0</v>
      </c>
      <c r="G1592" t="s">
        <v>255</v>
      </c>
    </row>
    <row r="1593" spans="1:7">
      <c r="A1593" s="216">
        <v>45170</v>
      </c>
      <c r="B1593" t="s">
        <v>52</v>
      </c>
      <c r="C1593">
        <v>15</v>
      </c>
      <c r="D1593" t="s">
        <v>437</v>
      </c>
      <c r="E1593" s="217">
        <v>45170</v>
      </c>
      <c r="F1593">
        <v>0</v>
      </c>
      <c r="G1593" t="s">
        <v>256</v>
      </c>
    </row>
    <row r="1594" spans="1:7">
      <c r="A1594" s="216">
        <v>45170</v>
      </c>
      <c r="B1594" t="s">
        <v>52</v>
      </c>
      <c r="C1594">
        <v>15</v>
      </c>
      <c r="D1594" t="s">
        <v>437</v>
      </c>
      <c r="E1594" s="217">
        <v>45170</v>
      </c>
      <c r="F1594">
        <v>0</v>
      </c>
      <c r="G1594" t="s">
        <v>257</v>
      </c>
    </row>
    <row r="1595" spans="1:7">
      <c r="A1595" s="216">
        <v>45170</v>
      </c>
      <c r="B1595" t="s">
        <v>52</v>
      </c>
      <c r="C1595">
        <v>15</v>
      </c>
      <c r="D1595" t="s">
        <v>437</v>
      </c>
      <c r="E1595" s="217">
        <v>45170</v>
      </c>
      <c r="F1595">
        <v>0</v>
      </c>
      <c r="G1595" t="s">
        <v>258</v>
      </c>
    </row>
    <row r="1596" spans="1:7">
      <c r="A1596" s="216">
        <v>45170</v>
      </c>
      <c r="B1596" t="s">
        <v>52</v>
      </c>
      <c r="C1596">
        <v>15</v>
      </c>
      <c r="D1596" t="s">
        <v>437</v>
      </c>
      <c r="E1596" s="217">
        <v>45170</v>
      </c>
      <c r="F1596">
        <v>0</v>
      </c>
      <c r="G1596" t="s">
        <v>259</v>
      </c>
    </row>
    <row r="1597" spans="1:7">
      <c r="A1597" s="216">
        <v>45170</v>
      </c>
      <c r="B1597" t="s">
        <v>52</v>
      </c>
      <c r="C1597">
        <v>15</v>
      </c>
      <c r="D1597" t="s">
        <v>437</v>
      </c>
      <c r="E1597" s="217">
        <v>45170</v>
      </c>
      <c r="F1597">
        <v>0</v>
      </c>
      <c r="G1597" t="s">
        <v>260</v>
      </c>
    </row>
    <row r="1598" spans="1:7">
      <c r="A1598" s="216">
        <v>45170</v>
      </c>
      <c r="B1598" t="s">
        <v>52</v>
      </c>
      <c r="C1598">
        <v>15</v>
      </c>
      <c r="D1598" t="s">
        <v>437</v>
      </c>
      <c r="E1598" s="217">
        <v>45170</v>
      </c>
      <c r="F1598">
        <v>0</v>
      </c>
      <c r="G1598" t="s">
        <v>261</v>
      </c>
    </row>
    <row r="1599" spans="1:7">
      <c r="A1599" s="216">
        <v>45170</v>
      </c>
      <c r="B1599" t="s">
        <v>52</v>
      </c>
      <c r="C1599">
        <v>15</v>
      </c>
      <c r="D1599" t="s">
        <v>437</v>
      </c>
      <c r="E1599" s="217">
        <v>45170</v>
      </c>
      <c r="F1599">
        <v>0</v>
      </c>
      <c r="G1599" t="s">
        <v>262</v>
      </c>
    </row>
    <row r="1600" spans="1:7">
      <c r="A1600" s="216">
        <v>45170</v>
      </c>
      <c r="B1600" t="s">
        <v>52</v>
      </c>
      <c r="C1600">
        <v>15</v>
      </c>
      <c r="D1600" t="s">
        <v>437</v>
      </c>
      <c r="E1600" s="217">
        <v>45170</v>
      </c>
      <c r="F1600">
        <v>0</v>
      </c>
      <c r="G1600" t="s">
        <v>434</v>
      </c>
    </row>
    <row r="1601" spans="1:7">
      <c r="A1601" s="216">
        <v>45170</v>
      </c>
      <c r="B1601" t="s">
        <v>52</v>
      </c>
      <c r="C1601">
        <v>16</v>
      </c>
      <c r="D1601" t="s">
        <v>449</v>
      </c>
      <c r="E1601" s="217">
        <v>45170</v>
      </c>
      <c r="F1601">
        <v>0</v>
      </c>
      <c r="G1601" t="s">
        <v>251</v>
      </c>
    </row>
    <row r="1602" spans="1:7">
      <c r="A1602" s="216">
        <v>45170</v>
      </c>
      <c r="B1602" t="s">
        <v>52</v>
      </c>
      <c r="C1602">
        <v>16</v>
      </c>
      <c r="D1602" t="s">
        <v>449</v>
      </c>
      <c r="E1602" s="217">
        <v>45170</v>
      </c>
      <c r="F1602">
        <v>0</v>
      </c>
      <c r="G1602" t="s">
        <v>252</v>
      </c>
    </row>
    <row r="1603" spans="1:7">
      <c r="A1603" s="216">
        <v>45170</v>
      </c>
      <c r="B1603" t="s">
        <v>52</v>
      </c>
      <c r="C1603">
        <v>16</v>
      </c>
      <c r="D1603" t="s">
        <v>449</v>
      </c>
      <c r="E1603" s="217">
        <v>45170</v>
      </c>
      <c r="F1603">
        <v>0</v>
      </c>
      <c r="G1603" t="s">
        <v>253</v>
      </c>
    </row>
    <row r="1604" spans="1:7">
      <c r="A1604" s="216">
        <v>45170</v>
      </c>
      <c r="B1604" t="s">
        <v>52</v>
      </c>
      <c r="C1604">
        <v>16</v>
      </c>
      <c r="D1604" t="s">
        <v>449</v>
      </c>
      <c r="E1604" s="217">
        <v>45170</v>
      </c>
      <c r="F1604">
        <v>0</v>
      </c>
      <c r="G1604" t="s">
        <v>254</v>
      </c>
    </row>
    <row r="1605" spans="1:7">
      <c r="A1605" s="216">
        <v>45170</v>
      </c>
      <c r="B1605" t="s">
        <v>52</v>
      </c>
      <c r="C1605">
        <v>16</v>
      </c>
      <c r="D1605" t="s">
        <v>449</v>
      </c>
      <c r="E1605" s="217">
        <v>45170</v>
      </c>
      <c r="F1605">
        <v>0</v>
      </c>
      <c r="G1605" t="s">
        <v>255</v>
      </c>
    </row>
    <row r="1606" spans="1:7">
      <c r="A1606" s="216">
        <v>45170</v>
      </c>
      <c r="B1606" t="s">
        <v>52</v>
      </c>
      <c r="C1606">
        <v>16</v>
      </c>
      <c r="D1606" t="s">
        <v>449</v>
      </c>
      <c r="E1606" s="217">
        <v>45170</v>
      </c>
      <c r="F1606">
        <v>0</v>
      </c>
      <c r="G1606" t="s">
        <v>256</v>
      </c>
    </row>
    <row r="1607" spans="1:7">
      <c r="A1607" s="216">
        <v>45170</v>
      </c>
      <c r="B1607" t="s">
        <v>52</v>
      </c>
      <c r="C1607">
        <v>16</v>
      </c>
      <c r="D1607" t="s">
        <v>449</v>
      </c>
      <c r="E1607" s="217">
        <v>45170</v>
      </c>
      <c r="F1607">
        <v>0</v>
      </c>
      <c r="G1607" t="s">
        <v>257</v>
      </c>
    </row>
    <row r="1608" spans="1:7">
      <c r="A1608" s="216">
        <v>45170</v>
      </c>
      <c r="B1608" t="s">
        <v>52</v>
      </c>
      <c r="C1608">
        <v>16</v>
      </c>
      <c r="D1608" t="s">
        <v>449</v>
      </c>
      <c r="E1608" s="217">
        <v>45170</v>
      </c>
      <c r="F1608">
        <v>0</v>
      </c>
      <c r="G1608" t="s">
        <v>258</v>
      </c>
    </row>
    <row r="1609" spans="1:7">
      <c r="A1609" s="216">
        <v>45170</v>
      </c>
      <c r="B1609" t="s">
        <v>52</v>
      </c>
      <c r="C1609">
        <v>16</v>
      </c>
      <c r="D1609" t="s">
        <v>449</v>
      </c>
      <c r="E1609" s="217">
        <v>45170</v>
      </c>
      <c r="F1609">
        <v>0</v>
      </c>
      <c r="G1609" t="s">
        <v>259</v>
      </c>
    </row>
    <row r="1610" spans="1:7">
      <c r="A1610" s="216">
        <v>45170</v>
      </c>
      <c r="B1610" t="s">
        <v>52</v>
      </c>
      <c r="C1610">
        <v>16</v>
      </c>
      <c r="D1610" t="s">
        <v>449</v>
      </c>
      <c r="E1610" s="217">
        <v>45170</v>
      </c>
      <c r="F1610">
        <v>0</v>
      </c>
      <c r="G1610" t="s">
        <v>260</v>
      </c>
    </row>
    <row r="1611" spans="1:7">
      <c r="A1611" s="216">
        <v>45170</v>
      </c>
      <c r="B1611" t="s">
        <v>52</v>
      </c>
      <c r="C1611">
        <v>16</v>
      </c>
      <c r="D1611" t="s">
        <v>449</v>
      </c>
      <c r="E1611" s="217">
        <v>45170</v>
      </c>
      <c r="F1611">
        <v>0</v>
      </c>
      <c r="G1611" t="s">
        <v>261</v>
      </c>
    </row>
    <row r="1612" spans="1:7">
      <c r="A1612" s="216">
        <v>45170</v>
      </c>
      <c r="B1612" t="s">
        <v>52</v>
      </c>
      <c r="C1612">
        <v>16</v>
      </c>
      <c r="D1612" t="s">
        <v>449</v>
      </c>
      <c r="E1612" s="217">
        <v>45170</v>
      </c>
      <c r="F1612">
        <v>0</v>
      </c>
      <c r="G1612" t="s">
        <v>262</v>
      </c>
    </row>
    <row r="1613" spans="1:7">
      <c r="A1613" s="216">
        <v>45170</v>
      </c>
      <c r="B1613" t="s">
        <v>52</v>
      </c>
      <c r="C1613">
        <v>16</v>
      </c>
      <c r="D1613" t="s">
        <v>449</v>
      </c>
      <c r="E1613" s="217">
        <v>45170</v>
      </c>
      <c r="F1613">
        <v>0</v>
      </c>
      <c r="G1613" t="s">
        <v>434</v>
      </c>
    </row>
    <row r="1614" spans="1:7">
      <c r="A1614" s="216">
        <v>45170</v>
      </c>
      <c r="B1614" t="s">
        <v>52</v>
      </c>
      <c r="C1614">
        <v>17</v>
      </c>
      <c r="D1614" t="s">
        <v>443</v>
      </c>
      <c r="E1614" s="217">
        <v>45170</v>
      </c>
      <c r="F1614">
        <v>0</v>
      </c>
      <c r="G1614" t="s">
        <v>251</v>
      </c>
    </row>
    <row r="1615" spans="1:7">
      <c r="A1615" s="216">
        <v>45170</v>
      </c>
      <c r="B1615" t="s">
        <v>52</v>
      </c>
      <c r="C1615">
        <v>17</v>
      </c>
      <c r="D1615" t="s">
        <v>443</v>
      </c>
      <c r="E1615" s="217">
        <v>45170</v>
      </c>
      <c r="F1615">
        <v>0</v>
      </c>
      <c r="G1615" t="s">
        <v>252</v>
      </c>
    </row>
    <row r="1616" spans="1:7">
      <c r="A1616" s="216">
        <v>45170</v>
      </c>
      <c r="B1616" t="s">
        <v>52</v>
      </c>
      <c r="C1616">
        <v>17</v>
      </c>
      <c r="D1616" t="s">
        <v>443</v>
      </c>
      <c r="E1616" s="217">
        <v>45170</v>
      </c>
      <c r="F1616">
        <v>0</v>
      </c>
      <c r="G1616" t="s">
        <v>253</v>
      </c>
    </row>
    <row r="1617" spans="1:7">
      <c r="A1617" s="216">
        <v>45170</v>
      </c>
      <c r="B1617" t="s">
        <v>52</v>
      </c>
      <c r="C1617">
        <v>17</v>
      </c>
      <c r="D1617" t="s">
        <v>443</v>
      </c>
      <c r="E1617" s="217">
        <v>45170</v>
      </c>
      <c r="F1617">
        <v>0</v>
      </c>
      <c r="G1617" t="s">
        <v>254</v>
      </c>
    </row>
    <row r="1618" spans="1:7">
      <c r="A1618" s="216">
        <v>45170</v>
      </c>
      <c r="B1618" t="s">
        <v>52</v>
      </c>
      <c r="C1618">
        <v>17</v>
      </c>
      <c r="D1618" t="s">
        <v>443</v>
      </c>
      <c r="E1618" s="217">
        <v>45170</v>
      </c>
      <c r="F1618">
        <v>0</v>
      </c>
      <c r="G1618" t="s">
        <v>255</v>
      </c>
    </row>
    <row r="1619" spans="1:7">
      <c r="A1619" s="216">
        <v>45170</v>
      </c>
      <c r="B1619" t="s">
        <v>52</v>
      </c>
      <c r="C1619">
        <v>17</v>
      </c>
      <c r="D1619" t="s">
        <v>443</v>
      </c>
      <c r="E1619" s="217">
        <v>45170</v>
      </c>
      <c r="F1619">
        <v>0</v>
      </c>
      <c r="G1619" t="s">
        <v>256</v>
      </c>
    </row>
    <row r="1620" spans="1:7">
      <c r="A1620" s="216">
        <v>45170</v>
      </c>
      <c r="B1620" t="s">
        <v>52</v>
      </c>
      <c r="C1620">
        <v>17</v>
      </c>
      <c r="D1620" t="s">
        <v>443</v>
      </c>
      <c r="E1620" s="217">
        <v>45170</v>
      </c>
      <c r="F1620">
        <v>0</v>
      </c>
      <c r="G1620" t="s">
        <v>257</v>
      </c>
    </row>
    <row r="1621" spans="1:7">
      <c r="A1621" s="216">
        <v>45170</v>
      </c>
      <c r="B1621" t="s">
        <v>52</v>
      </c>
      <c r="C1621">
        <v>17</v>
      </c>
      <c r="D1621" t="s">
        <v>443</v>
      </c>
      <c r="E1621" s="217">
        <v>45170</v>
      </c>
      <c r="F1621">
        <v>0</v>
      </c>
      <c r="G1621" t="s">
        <v>258</v>
      </c>
    </row>
    <row r="1622" spans="1:7">
      <c r="A1622" s="216">
        <v>45170</v>
      </c>
      <c r="B1622" t="s">
        <v>52</v>
      </c>
      <c r="C1622">
        <v>17</v>
      </c>
      <c r="D1622" t="s">
        <v>443</v>
      </c>
      <c r="E1622" s="217">
        <v>45170</v>
      </c>
      <c r="F1622">
        <v>0</v>
      </c>
      <c r="G1622" t="s">
        <v>259</v>
      </c>
    </row>
    <row r="1623" spans="1:7">
      <c r="A1623" s="216">
        <v>45170</v>
      </c>
      <c r="B1623" t="s">
        <v>52</v>
      </c>
      <c r="C1623">
        <v>17</v>
      </c>
      <c r="D1623" t="s">
        <v>443</v>
      </c>
      <c r="E1623" s="217">
        <v>45170</v>
      </c>
      <c r="F1623">
        <v>0</v>
      </c>
      <c r="G1623" t="s">
        <v>260</v>
      </c>
    </row>
    <row r="1624" spans="1:7">
      <c r="A1624" s="216">
        <v>45170</v>
      </c>
      <c r="B1624" t="s">
        <v>52</v>
      </c>
      <c r="C1624">
        <v>17</v>
      </c>
      <c r="D1624" t="s">
        <v>443</v>
      </c>
      <c r="E1624" s="217">
        <v>45170</v>
      </c>
      <c r="F1624">
        <v>0</v>
      </c>
      <c r="G1624" t="s">
        <v>261</v>
      </c>
    </row>
    <row r="1625" spans="1:7">
      <c r="A1625" s="216">
        <v>45170</v>
      </c>
      <c r="B1625" t="s">
        <v>52</v>
      </c>
      <c r="C1625">
        <v>17</v>
      </c>
      <c r="D1625" t="s">
        <v>443</v>
      </c>
      <c r="E1625" s="217">
        <v>45170</v>
      </c>
      <c r="F1625">
        <v>0</v>
      </c>
      <c r="G1625" t="s">
        <v>262</v>
      </c>
    </row>
    <row r="1626" spans="1:7">
      <c r="A1626" s="216">
        <v>45170</v>
      </c>
      <c r="B1626" t="s">
        <v>52</v>
      </c>
      <c r="C1626">
        <v>17</v>
      </c>
      <c r="D1626" t="s">
        <v>443</v>
      </c>
      <c r="E1626" s="217">
        <v>45170</v>
      </c>
      <c r="F1626">
        <v>0</v>
      </c>
      <c r="G1626" t="s">
        <v>434</v>
      </c>
    </row>
    <row r="1627" spans="1:7">
      <c r="A1627" s="216">
        <v>45170</v>
      </c>
      <c r="B1627" t="s">
        <v>52</v>
      </c>
      <c r="C1627">
        <v>18</v>
      </c>
      <c r="D1627" t="s">
        <v>444</v>
      </c>
      <c r="E1627" s="217">
        <v>45170</v>
      </c>
      <c r="F1627">
        <v>0</v>
      </c>
      <c r="G1627" t="s">
        <v>251</v>
      </c>
    </row>
    <row r="1628" spans="1:7">
      <c r="A1628" s="216">
        <v>45170</v>
      </c>
      <c r="B1628" t="s">
        <v>52</v>
      </c>
      <c r="C1628">
        <v>18</v>
      </c>
      <c r="D1628" t="s">
        <v>444</v>
      </c>
      <c r="E1628" s="217">
        <v>45170</v>
      </c>
      <c r="F1628">
        <v>0</v>
      </c>
      <c r="G1628" t="s">
        <v>252</v>
      </c>
    </row>
    <row r="1629" spans="1:7">
      <c r="A1629" s="216">
        <v>45170</v>
      </c>
      <c r="B1629" t="s">
        <v>52</v>
      </c>
      <c r="C1629">
        <v>18</v>
      </c>
      <c r="D1629" t="s">
        <v>444</v>
      </c>
      <c r="E1629" s="217">
        <v>45170</v>
      </c>
      <c r="F1629">
        <v>0</v>
      </c>
      <c r="G1629" t="s">
        <v>253</v>
      </c>
    </row>
    <row r="1630" spans="1:7">
      <c r="A1630" s="216">
        <v>45170</v>
      </c>
      <c r="B1630" t="s">
        <v>52</v>
      </c>
      <c r="C1630">
        <v>18</v>
      </c>
      <c r="D1630" t="s">
        <v>444</v>
      </c>
      <c r="E1630" s="217">
        <v>45170</v>
      </c>
      <c r="F1630">
        <v>0</v>
      </c>
      <c r="G1630" t="s">
        <v>254</v>
      </c>
    </row>
    <row r="1631" spans="1:7">
      <c r="A1631" s="216">
        <v>45170</v>
      </c>
      <c r="B1631" t="s">
        <v>52</v>
      </c>
      <c r="C1631">
        <v>18</v>
      </c>
      <c r="D1631" t="s">
        <v>444</v>
      </c>
      <c r="E1631" s="217">
        <v>45170</v>
      </c>
      <c r="F1631">
        <v>0</v>
      </c>
      <c r="G1631" t="s">
        <v>255</v>
      </c>
    </row>
    <row r="1632" spans="1:7">
      <c r="A1632" s="216">
        <v>45170</v>
      </c>
      <c r="B1632" t="s">
        <v>52</v>
      </c>
      <c r="C1632">
        <v>18</v>
      </c>
      <c r="D1632" t="s">
        <v>444</v>
      </c>
      <c r="E1632" s="217">
        <v>45170</v>
      </c>
      <c r="F1632">
        <v>0</v>
      </c>
      <c r="G1632" t="s">
        <v>256</v>
      </c>
    </row>
    <row r="1633" spans="1:7">
      <c r="A1633" s="216">
        <v>45170</v>
      </c>
      <c r="B1633" t="s">
        <v>52</v>
      </c>
      <c r="C1633">
        <v>18</v>
      </c>
      <c r="D1633" t="s">
        <v>444</v>
      </c>
      <c r="E1633" s="217">
        <v>45170</v>
      </c>
      <c r="F1633">
        <v>0</v>
      </c>
      <c r="G1633" t="s">
        <v>257</v>
      </c>
    </row>
    <row r="1634" spans="1:7">
      <c r="A1634" s="216">
        <v>45170</v>
      </c>
      <c r="B1634" t="s">
        <v>52</v>
      </c>
      <c r="C1634">
        <v>18</v>
      </c>
      <c r="D1634" t="s">
        <v>444</v>
      </c>
      <c r="E1634" s="217">
        <v>45170</v>
      </c>
      <c r="F1634">
        <v>0</v>
      </c>
      <c r="G1634" t="s">
        <v>258</v>
      </c>
    </row>
    <row r="1635" spans="1:7">
      <c r="A1635" s="216">
        <v>45170</v>
      </c>
      <c r="B1635" t="s">
        <v>52</v>
      </c>
      <c r="C1635">
        <v>18</v>
      </c>
      <c r="D1635" t="s">
        <v>444</v>
      </c>
      <c r="E1635" s="217">
        <v>45170</v>
      </c>
      <c r="F1635">
        <v>0</v>
      </c>
      <c r="G1635" t="s">
        <v>259</v>
      </c>
    </row>
    <row r="1636" spans="1:7">
      <c r="A1636" s="216">
        <v>45170</v>
      </c>
      <c r="B1636" t="s">
        <v>52</v>
      </c>
      <c r="C1636">
        <v>18</v>
      </c>
      <c r="D1636" t="s">
        <v>444</v>
      </c>
      <c r="E1636" s="217">
        <v>45170</v>
      </c>
      <c r="F1636">
        <v>0</v>
      </c>
      <c r="G1636" t="s">
        <v>260</v>
      </c>
    </row>
    <row r="1637" spans="1:7">
      <c r="A1637" s="216">
        <v>45170</v>
      </c>
      <c r="B1637" t="s">
        <v>52</v>
      </c>
      <c r="C1637">
        <v>18</v>
      </c>
      <c r="D1637" t="s">
        <v>444</v>
      </c>
      <c r="E1637" s="217">
        <v>45170</v>
      </c>
      <c r="F1637">
        <v>0</v>
      </c>
      <c r="G1637" t="s">
        <v>261</v>
      </c>
    </row>
    <row r="1638" spans="1:7">
      <c r="A1638" s="216">
        <v>45170</v>
      </c>
      <c r="B1638" t="s">
        <v>52</v>
      </c>
      <c r="C1638">
        <v>18</v>
      </c>
      <c r="D1638" t="s">
        <v>444</v>
      </c>
      <c r="E1638" s="217">
        <v>45170</v>
      </c>
      <c r="F1638">
        <v>0</v>
      </c>
      <c r="G1638" t="s">
        <v>262</v>
      </c>
    </row>
    <row r="1639" spans="1:7">
      <c r="A1639" s="216">
        <v>45170</v>
      </c>
      <c r="B1639" t="s">
        <v>52</v>
      </c>
      <c r="C1639">
        <v>18</v>
      </c>
      <c r="D1639" t="s">
        <v>444</v>
      </c>
      <c r="E1639" s="217">
        <v>45170</v>
      </c>
      <c r="F1639">
        <v>0</v>
      </c>
      <c r="G1639" t="s">
        <v>434</v>
      </c>
    </row>
    <row r="1640" spans="1:7">
      <c r="A1640" s="216">
        <v>45170</v>
      </c>
      <c r="B1640" t="s">
        <v>52</v>
      </c>
      <c r="C1640">
        <v>19</v>
      </c>
      <c r="D1640" t="s">
        <v>440</v>
      </c>
      <c r="E1640" s="217">
        <v>45170</v>
      </c>
      <c r="F1640">
        <v>0</v>
      </c>
      <c r="G1640" t="s">
        <v>251</v>
      </c>
    </row>
    <row r="1641" spans="1:7">
      <c r="A1641" s="216">
        <v>45170</v>
      </c>
      <c r="B1641" t="s">
        <v>52</v>
      </c>
      <c r="C1641">
        <v>19</v>
      </c>
      <c r="D1641" t="s">
        <v>440</v>
      </c>
      <c r="E1641" s="217">
        <v>45170</v>
      </c>
      <c r="F1641">
        <v>0</v>
      </c>
      <c r="G1641" t="s">
        <v>252</v>
      </c>
    </row>
    <row r="1642" spans="1:7">
      <c r="A1642" s="216">
        <v>45170</v>
      </c>
      <c r="B1642" t="s">
        <v>52</v>
      </c>
      <c r="C1642">
        <v>19</v>
      </c>
      <c r="D1642" t="s">
        <v>440</v>
      </c>
      <c r="E1642" s="217">
        <v>45170</v>
      </c>
      <c r="F1642">
        <v>0</v>
      </c>
      <c r="G1642" t="s">
        <v>253</v>
      </c>
    </row>
    <row r="1643" spans="1:7">
      <c r="A1643" s="216">
        <v>45170</v>
      </c>
      <c r="B1643" t="s">
        <v>52</v>
      </c>
      <c r="C1643">
        <v>19</v>
      </c>
      <c r="D1643" t="s">
        <v>440</v>
      </c>
      <c r="E1643" s="217">
        <v>45170</v>
      </c>
      <c r="F1643">
        <v>0</v>
      </c>
      <c r="G1643" t="s">
        <v>254</v>
      </c>
    </row>
    <row r="1644" spans="1:7">
      <c r="A1644" s="216">
        <v>45170</v>
      </c>
      <c r="B1644" t="s">
        <v>52</v>
      </c>
      <c r="C1644">
        <v>19</v>
      </c>
      <c r="D1644" t="s">
        <v>440</v>
      </c>
      <c r="E1644" s="217">
        <v>45170</v>
      </c>
      <c r="F1644">
        <v>0</v>
      </c>
      <c r="G1644" t="s">
        <v>255</v>
      </c>
    </row>
    <row r="1645" spans="1:7">
      <c r="A1645" s="216">
        <v>45170</v>
      </c>
      <c r="B1645" t="s">
        <v>52</v>
      </c>
      <c r="C1645">
        <v>19</v>
      </c>
      <c r="D1645" t="s">
        <v>440</v>
      </c>
      <c r="E1645" s="217">
        <v>45170</v>
      </c>
      <c r="F1645">
        <v>0</v>
      </c>
      <c r="G1645" t="s">
        <v>256</v>
      </c>
    </row>
    <row r="1646" spans="1:7">
      <c r="A1646" s="216">
        <v>45170</v>
      </c>
      <c r="B1646" t="s">
        <v>52</v>
      </c>
      <c r="C1646">
        <v>19</v>
      </c>
      <c r="D1646" t="s">
        <v>440</v>
      </c>
      <c r="E1646" s="217">
        <v>45170</v>
      </c>
      <c r="F1646">
        <v>0</v>
      </c>
      <c r="G1646" t="s">
        <v>257</v>
      </c>
    </row>
    <row r="1647" spans="1:7">
      <c r="A1647" s="216">
        <v>45170</v>
      </c>
      <c r="B1647" t="s">
        <v>52</v>
      </c>
      <c r="C1647">
        <v>19</v>
      </c>
      <c r="D1647" t="s">
        <v>440</v>
      </c>
      <c r="E1647" s="217">
        <v>45170</v>
      </c>
      <c r="F1647">
        <v>0</v>
      </c>
      <c r="G1647" t="s">
        <v>258</v>
      </c>
    </row>
    <row r="1648" spans="1:7">
      <c r="A1648" s="216">
        <v>45170</v>
      </c>
      <c r="B1648" t="s">
        <v>52</v>
      </c>
      <c r="C1648">
        <v>19</v>
      </c>
      <c r="D1648" t="s">
        <v>440</v>
      </c>
      <c r="E1648" s="217">
        <v>45170</v>
      </c>
      <c r="F1648">
        <v>0</v>
      </c>
      <c r="G1648" t="s">
        <v>259</v>
      </c>
    </row>
    <row r="1649" spans="1:7">
      <c r="A1649" s="216">
        <v>45170</v>
      </c>
      <c r="B1649" t="s">
        <v>52</v>
      </c>
      <c r="C1649">
        <v>19</v>
      </c>
      <c r="D1649" t="s">
        <v>440</v>
      </c>
      <c r="E1649" s="217">
        <v>45170</v>
      </c>
      <c r="F1649">
        <v>0</v>
      </c>
      <c r="G1649" t="s">
        <v>260</v>
      </c>
    </row>
    <row r="1650" spans="1:7">
      <c r="A1650" s="216">
        <v>45170</v>
      </c>
      <c r="B1650" t="s">
        <v>52</v>
      </c>
      <c r="C1650">
        <v>19</v>
      </c>
      <c r="D1650" t="s">
        <v>440</v>
      </c>
      <c r="E1650" s="217">
        <v>45170</v>
      </c>
      <c r="F1650">
        <v>0</v>
      </c>
      <c r="G1650" t="s">
        <v>261</v>
      </c>
    </row>
    <row r="1651" spans="1:7">
      <c r="A1651" s="216">
        <v>45170</v>
      </c>
      <c r="B1651" t="s">
        <v>52</v>
      </c>
      <c r="C1651">
        <v>19</v>
      </c>
      <c r="D1651" t="s">
        <v>440</v>
      </c>
      <c r="E1651" s="217">
        <v>45170</v>
      </c>
      <c r="F1651">
        <v>0</v>
      </c>
      <c r="G1651" t="s">
        <v>262</v>
      </c>
    </row>
    <row r="1652" spans="1:7">
      <c r="A1652" s="216">
        <v>45170</v>
      </c>
      <c r="B1652" t="s">
        <v>52</v>
      </c>
      <c r="C1652">
        <v>19</v>
      </c>
      <c r="D1652" t="s">
        <v>440</v>
      </c>
      <c r="E1652" s="217">
        <v>45170</v>
      </c>
      <c r="F1652">
        <v>0</v>
      </c>
      <c r="G1652" t="s">
        <v>434</v>
      </c>
    </row>
    <row r="1653" spans="1:7">
      <c r="A1653" s="216">
        <v>45170</v>
      </c>
      <c r="B1653" t="s">
        <v>52</v>
      </c>
      <c r="C1653">
        <v>20</v>
      </c>
      <c r="D1653" t="s">
        <v>456</v>
      </c>
      <c r="E1653" s="217">
        <v>45170</v>
      </c>
      <c r="F1653">
        <v>0</v>
      </c>
      <c r="G1653" t="s">
        <v>251</v>
      </c>
    </row>
    <row r="1654" spans="1:7">
      <c r="A1654" s="216">
        <v>45170</v>
      </c>
      <c r="B1654" t="s">
        <v>52</v>
      </c>
      <c r="C1654">
        <v>20</v>
      </c>
      <c r="D1654" t="s">
        <v>456</v>
      </c>
      <c r="E1654" s="217">
        <v>45170</v>
      </c>
      <c r="F1654">
        <v>0</v>
      </c>
      <c r="G1654" t="s">
        <v>252</v>
      </c>
    </row>
    <row r="1655" spans="1:7">
      <c r="A1655" s="216">
        <v>45170</v>
      </c>
      <c r="B1655" t="s">
        <v>52</v>
      </c>
      <c r="C1655">
        <v>20</v>
      </c>
      <c r="D1655" t="s">
        <v>456</v>
      </c>
      <c r="E1655" s="217">
        <v>45170</v>
      </c>
      <c r="F1655">
        <v>0</v>
      </c>
      <c r="G1655" t="s">
        <v>253</v>
      </c>
    </row>
    <row r="1656" spans="1:7">
      <c r="A1656" s="216">
        <v>45170</v>
      </c>
      <c r="B1656" t="s">
        <v>52</v>
      </c>
      <c r="C1656">
        <v>20</v>
      </c>
      <c r="D1656" t="s">
        <v>456</v>
      </c>
      <c r="E1656" s="217">
        <v>45170</v>
      </c>
      <c r="F1656">
        <v>0</v>
      </c>
      <c r="G1656" t="s">
        <v>254</v>
      </c>
    </row>
    <row r="1657" spans="1:7">
      <c r="A1657" s="216">
        <v>45170</v>
      </c>
      <c r="B1657" t="s">
        <v>52</v>
      </c>
      <c r="C1657">
        <v>20</v>
      </c>
      <c r="D1657" t="s">
        <v>456</v>
      </c>
      <c r="E1657" s="217">
        <v>45170</v>
      </c>
      <c r="F1657">
        <v>0</v>
      </c>
      <c r="G1657" t="s">
        <v>255</v>
      </c>
    </row>
    <row r="1658" spans="1:7">
      <c r="A1658" s="216">
        <v>45170</v>
      </c>
      <c r="B1658" t="s">
        <v>52</v>
      </c>
      <c r="C1658">
        <v>20</v>
      </c>
      <c r="D1658" t="s">
        <v>456</v>
      </c>
      <c r="E1658" s="217">
        <v>45170</v>
      </c>
      <c r="F1658">
        <v>0</v>
      </c>
      <c r="G1658" t="s">
        <v>256</v>
      </c>
    </row>
    <row r="1659" spans="1:7">
      <c r="A1659" s="216">
        <v>45170</v>
      </c>
      <c r="B1659" t="s">
        <v>52</v>
      </c>
      <c r="C1659">
        <v>20</v>
      </c>
      <c r="D1659" t="s">
        <v>456</v>
      </c>
      <c r="E1659" s="217">
        <v>45170</v>
      </c>
      <c r="F1659">
        <v>0</v>
      </c>
      <c r="G1659" t="s">
        <v>257</v>
      </c>
    </row>
    <row r="1660" spans="1:7">
      <c r="A1660" s="216">
        <v>45170</v>
      </c>
      <c r="B1660" t="s">
        <v>52</v>
      </c>
      <c r="C1660">
        <v>20</v>
      </c>
      <c r="D1660" t="s">
        <v>456</v>
      </c>
      <c r="E1660" s="217">
        <v>45170</v>
      </c>
      <c r="F1660">
        <v>0</v>
      </c>
      <c r="G1660" t="s">
        <v>258</v>
      </c>
    </row>
    <row r="1661" spans="1:7">
      <c r="A1661" s="216">
        <v>45170</v>
      </c>
      <c r="B1661" t="s">
        <v>52</v>
      </c>
      <c r="C1661">
        <v>20</v>
      </c>
      <c r="D1661" t="s">
        <v>456</v>
      </c>
      <c r="E1661" s="217">
        <v>45170</v>
      </c>
      <c r="F1661">
        <v>0</v>
      </c>
      <c r="G1661" t="s">
        <v>259</v>
      </c>
    </row>
    <row r="1662" spans="1:7">
      <c r="A1662" s="216">
        <v>45170</v>
      </c>
      <c r="B1662" t="s">
        <v>52</v>
      </c>
      <c r="C1662">
        <v>20</v>
      </c>
      <c r="D1662" t="s">
        <v>456</v>
      </c>
      <c r="E1662" s="217">
        <v>45170</v>
      </c>
      <c r="F1662">
        <v>0</v>
      </c>
      <c r="G1662" t="s">
        <v>260</v>
      </c>
    </row>
    <row r="1663" spans="1:7">
      <c r="A1663" s="216">
        <v>45170</v>
      </c>
      <c r="B1663" t="s">
        <v>52</v>
      </c>
      <c r="C1663">
        <v>20</v>
      </c>
      <c r="D1663" t="s">
        <v>456</v>
      </c>
      <c r="E1663" s="217">
        <v>45170</v>
      </c>
      <c r="F1663">
        <v>0</v>
      </c>
      <c r="G1663" t="s">
        <v>261</v>
      </c>
    </row>
    <row r="1664" spans="1:7">
      <c r="A1664" s="216">
        <v>45170</v>
      </c>
      <c r="B1664" t="s">
        <v>52</v>
      </c>
      <c r="C1664">
        <v>20</v>
      </c>
      <c r="D1664" t="s">
        <v>456</v>
      </c>
      <c r="E1664" s="217">
        <v>45170</v>
      </c>
      <c r="F1664">
        <v>0</v>
      </c>
      <c r="G1664" t="s">
        <v>262</v>
      </c>
    </row>
    <row r="1665" spans="1:7">
      <c r="A1665" s="216">
        <v>45170</v>
      </c>
      <c r="B1665" t="s">
        <v>52</v>
      </c>
      <c r="C1665">
        <v>20</v>
      </c>
      <c r="D1665" t="s">
        <v>456</v>
      </c>
      <c r="E1665" s="217">
        <v>45170</v>
      </c>
      <c r="F1665">
        <v>0</v>
      </c>
      <c r="G1665" t="s">
        <v>434</v>
      </c>
    </row>
    <row r="1666" spans="1:7">
      <c r="A1666" s="216">
        <v>45170</v>
      </c>
      <c r="B1666" t="s">
        <v>52</v>
      </c>
      <c r="C1666">
        <v>21</v>
      </c>
      <c r="D1666" t="s">
        <v>455</v>
      </c>
      <c r="E1666" s="217">
        <v>45170</v>
      </c>
      <c r="F1666">
        <v>0</v>
      </c>
      <c r="G1666" t="s">
        <v>251</v>
      </c>
    </row>
    <row r="1667" spans="1:7">
      <c r="A1667" s="216">
        <v>45170</v>
      </c>
      <c r="B1667" t="s">
        <v>52</v>
      </c>
      <c r="C1667">
        <v>21</v>
      </c>
      <c r="D1667" t="s">
        <v>455</v>
      </c>
      <c r="E1667" s="217">
        <v>45170</v>
      </c>
      <c r="F1667">
        <v>0</v>
      </c>
      <c r="G1667" t="s">
        <v>252</v>
      </c>
    </row>
    <row r="1668" spans="1:7">
      <c r="A1668" s="216">
        <v>45170</v>
      </c>
      <c r="B1668" t="s">
        <v>52</v>
      </c>
      <c r="C1668">
        <v>21</v>
      </c>
      <c r="D1668" t="s">
        <v>455</v>
      </c>
      <c r="E1668" s="217">
        <v>45170</v>
      </c>
      <c r="F1668">
        <v>0</v>
      </c>
      <c r="G1668" t="s">
        <v>253</v>
      </c>
    </row>
    <row r="1669" spans="1:7">
      <c r="A1669" s="216">
        <v>45170</v>
      </c>
      <c r="B1669" t="s">
        <v>52</v>
      </c>
      <c r="C1669">
        <v>21</v>
      </c>
      <c r="D1669" t="s">
        <v>455</v>
      </c>
      <c r="E1669" s="217">
        <v>45170</v>
      </c>
      <c r="F1669">
        <v>0</v>
      </c>
      <c r="G1669" t="s">
        <v>254</v>
      </c>
    </row>
    <row r="1670" spans="1:7">
      <c r="A1670" s="216">
        <v>45170</v>
      </c>
      <c r="B1670" t="s">
        <v>52</v>
      </c>
      <c r="C1670">
        <v>21</v>
      </c>
      <c r="D1670" t="s">
        <v>455</v>
      </c>
      <c r="E1670" s="217">
        <v>45170</v>
      </c>
      <c r="F1670">
        <v>0</v>
      </c>
      <c r="G1670" t="s">
        <v>255</v>
      </c>
    </row>
    <row r="1671" spans="1:7">
      <c r="A1671" s="216">
        <v>45170</v>
      </c>
      <c r="B1671" t="s">
        <v>52</v>
      </c>
      <c r="C1671">
        <v>21</v>
      </c>
      <c r="D1671" t="s">
        <v>455</v>
      </c>
      <c r="E1671" s="217">
        <v>45170</v>
      </c>
      <c r="F1671">
        <v>0</v>
      </c>
      <c r="G1671" t="s">
        <v>256</v>
      </c>
    </row>
    <row r="1672" spans="1:7">
      <c r="A1672" s="216">
        <v>45170</v>
      </c>
      <c r="B1672" t="s">
        <v>52</v>
      </c>
      <c r="C1672">
        <v>21</v>
      </c>
      <c r="D1672" t="s">
        <v>455</v>
      </c>
      <c r="E1672" s="217">
        <v>45170</v>
      </c>
      <c r="F1672">
        <v>0</v>
      </c>
      <c r="G1672" t="s">
        <v>257</v>
      </c>
    </row>
    <row r="1673" spans="1:7">
      <c r="A1673" s="216">
        <v>45170</v>
      </c>
      <c r="B1673" t="s">
        <v>52</v>
      </c>
      <c r="C1673">
        <v>21</v>
      </c>
      <c r="D1673" t="s">
        <v>455</v>
      </c>
      <c r="E1673" s="217">
        <v>45170</v>
      </c>
      <c r="F1673">
        <v>0</v>
      </c>
      <c r="G1673" t="s">
        <v>258</v>
      </c>
    </row>
    <row r="1674" spans="1:7">
      <c r="A1674" s="216">
        <v>45170</v>
      </c>
      <c r="B1674" t="s">
        <v>52</v>
      </c>
      <c r="C1674">
        <v>21</v>
      </c>
      <c r="D1674" t="s">
        <v>455</v>
      </c>
      <c r="E1674" s="217">
        <v>45170</v>
      </c>
      <c r="F1674">
        <v>0</v>
      </c>
      <c r="G1674" t="s">
        <v>259</v>
      </c>
    </row>
    <row r="1675" spans="1:7">
      <c r="A1675" s="216">
        <v>45170</v>
      </c>
      <c r="B1675" t="s">
        <v>52</v>
      </c>
      <c r="C1675">
        <v>21</v>
      </c>
      <c r="D1675" t="s">
        <v>455</v>
      </c>
      <c r="E1675" s="217">
        <v>45170</v>
      </c>
      <c r="F1675">
        <v>0</v>
      </c>
      <c r="G1675" t="s">
        <v>260</v>
      </c>
    </row>
    <row r="1676" spans="1:7">
      <c r="A1676" s="216">
        <v>45170</v>
      </c>
      <c r="B1676" t="s">
        <v>52</v>
      </c>
      <c r="C1676">
        <v>21</v>
      </c>
      <c r="D1676" t="s">
        <v>455</v>
      </c>
      <c r="E1676" s="217">
        <v>45170</v>
      </c>
      <c r="F1676">
        <v>0</v>
      </c>
      <c r="G1676" t="s">
        <v>261</v>
      </c>
    </row>
    <row r="1677" spans="1:7">
      <c r="A1677" s="216">
        <v>45170</v>
      </c>
      <c r="B1677" t="s">
        <v>52</v>
      </c>
      <c r="C1677">
        <v>21</v>
      </c>
      <c r="D1677" t="s">
        <v>455</v>
      </c>
      <c r="E1677" s="217">
        <v>45170</v>
      </c>
      <c r="F1677">
        <v>0</v>
      </c>
      <c r="G1677" t="s">
        <v>262</v>
      </c>
    </row>
    <row r="1678" spans="1:7">
      <c r="A1678" s="216">
        <v>45170</v>
      </c>
      <c r="B1678" t="s">
        <v>52</v>
      </c>
      <c r="C1678">
        <v>21</v>
      </c>
      <c r="D1678" t="s">
        <v>455</v>
      </c>
      <c r="E1678" s="217">
        <v>45170</v>
      </c>
      <c r="F1678">
        <v>0</v>
      </c>
      <c r="G1678" t="s">
        <v>434</v>
      </c>
    </row>
    <row r="1679" spans="1:7">
      <c r="A1679" s="216">
        <v>45170</v>
      </c>
      <c r="B1679" t="s">
        <v>52</v>
      </c>
      <c r="C1679">
        <v>22</v>
      </c>
      <c r="D1679" t="s">
        <v>439</v>
      </c>
      <c r="E1679" s="217">
        <v>45170</v>
      </c>
      <c r="F1679">
        <v>937</v>
      </c>
      <c r="G1679" t="s">
        <v>251</v>
      </c>
    </row>
    <row r="1680" spans="1:7">
      <c r="A1680" s="216">
        <v>45170</v>
      </c>
      <c r="B1680" t="s">
        <v>52</v>
      </c>
      <c r="C1680">
        <v>22</v>
      </c>
      <c r="D1680" t="s">
        <v>439</v>
      </c>
      <c r="E1680" s="217">
        <v>45170</v>
      </c>
      <c r="F1680">
        <v>702</v>
      </c>
      <c r="G1680" t="s">
        <v>252</v>
      </c>
    </row>
    <row r="1681" spans="1:7">
      <c r="A1681" s="216">
        <v>45170</v>
      </c>
      <c r="B1681" t="s">
        <v>52</v>
      </c>
      <c r="C1681">
        <v>22</v>
      </c>
      <c r="D1681" t="s">
        <v>439</v>
      </c>
      <c r="E1681" s="217">
        <v>45170</v>
      </c>
      <c r="F1681">
        <v>737</v>
      </c>
      <c r="G1681" t="s">
        <v>253</v>
      </c>
    </row>
    <row r="1682" spans="1:7">
      <c r="A1682" s="216">
        <v>45170</v>
      </c>
      <c r="B1682" t="s">
        <v>52</v>
      </c>
      <c r="C1682">
        <v>22</v>
      </c>
      <c r="D1682" t="s">
        <v>439</v>
      </c>
      <c r="E1682" s="217">
        <v>45170</v>
      </c>
      <c r="F1682">
        <v>729</v>
      </c>
      <c r="G1682" t="s">
        <v>254</v>
      </c>
    </row>
    <row r="1683" spans="1:7">
      <c r="A1683" s="216">
        <v>45170</v>
      </c>
      <c r="B1683" t="s">
        <v>52</v>
      </c>
      <c r="C1683">
        <v>22</v>
      </c>
      <c r="D1683" t="s">
        <v>439</v>
      </c>
      <c r="E1683" s="217">
        <v>45170</v>
      </c>
      <c r="F1683">
        <v>735</v>
      </c>
      <c r="G1683" t="s">
        <v>255</v>
      </c>
    </row>
    <row r="1684" spans="1:7">
      <c r="A1684" s="216">
        <v>45170</v>
      </c>
      <c r="B1684" t="s">
        <v>52</v>
      </c>
      <c r="C1684">
        <v>22</v>
      </c>
      <c r="D1684" t="s">
        <v>439</v>
      </c>
      <c r="E1684" s="217">
        <v>45170</v>
      </c>
      <c r="F1684">
        <v>853</v>
      </c>
      <c r="G1684" t="s">
        <v>256</v>
      </c>
    </row>
    <row r="1685" spans="1:7">
      <c r="A1685" s="216">
        <v>45170</v>
      </c>
      <c r="B1685" t="s">
        <v>52</v>
      </c>
      <c r="C1685">
        <v>22</v>
      </c>
      <c r="D1685" t="s">
        <v>439</v>
      </c>
      <c r="E1685" s="217">
        <v>45170</v>
      </c>
      <c r="F1685">
        <v>731</v>
      </c>
      <c r="G1685" t="s">
        <v>257</v>
      </c>
    </row>
    <row r="1686" spans="1:7">
      <c r="A1686" s="216">
        <v>45170</v>
      </c>
      <c r="B1686" t="s">
        <v>52</v>
      </c>
      <c r="C1686">
        <v>22</v>
      </c>
      <c r="D1686" t="s">
        <v>439</v>
      </c>
      <c r="E1686" s="217">
        <v>45170</v>
      </c>
      <c r="F1686">
        <v>731</v>
      </c>
      <c r="G1686" t="s">
        <v>258</v>
      </c>
    </row>
    <row r="1687" spans="1:7">
      <c r="A1687" s="216">
        <v>45170</v>
      </c>
      <c r="B1687" t="s">
        <v>52</v>
      </c>
      <c r="C1687">
        <v>22</v>
      </c>
      <c r="D1687" t="s">
        <v>439</v>
      </c>
      <c r="E1687" s="217">
        <v>45170</v>
      </c>
      <c r="F1687">
        <v>731</v>
      </c>
      <c r="G1687" t="s">
        <v>259</v>
      </c>
    </row>
    <row r="1688" spans="1:7">
      <c r="A1688" s="216">
        <v>45170</v>
      </c>
      <c r="B1688" t="s">
        <v>52</v>
      </c>
      <c r="C1688">
        <v>22</v>
      </c>
      <c r="D1688" t="s">
        <v>439</v>
      </c>
      <c r="E1688" s="217">
        <v>45170</v>
      </c>
      <c r="F1688">
        <v>731</v>
      </c>
      <c r="G1688" t="s">
        <v>260</v>
      </c>
    </row>
    <row r="1689" spans="1:7">
      <c r="A1689" s="216">
        <v>45170</v>
      </c>
      <c r="B1689" t="s">
        <v>52</v>
      </c>
      <c r="C1689">
        <v>22</v>
      </c>
      <c r="D1689" t="s">
        <v>439</v>
      </c>
      <c r="E1689" s="217">
        <v>45170</v>
      </c>
      <c r="F1689">
        <v>731</v>
      </c>
      <c r="G1689" t="s">
        <v>261</v>
      </c>
    </row>
    <row r="1690" spans="1:7">
      <c r="A1690" s="216">
        <v>45170</v>
      </c>
      <c r="B1690" t="s">
        <v>52</v>
      </c>
      <c r="C1690">
        <v>22</v>
      </c>
      <c r="D1690" t="s">
        <v>439</v>
      </c>
      <c r="E1690" s="217">
        <v>45170</v>
      </c>
      <c r="F1690">
        <v>740</v>
      </c>
      <c r="G1690" t="s">
        <v>262</v>
      </c>
    </row>
    <row r="1691" spans="1:7">
      <c r="A1691" s="216">
        <v>45170</v>
      </c>
      <c r="B1691" t="s">
        <v>52</v>
      </c>
      <c r="C1691">
        <v>22</v>
      </c>
      <c r="D1691" t="s">
        <v>439</v>
      </c>
      <c r="E1691" s="217">
        <v>45170</v>
      </c>
      <c r="F1691">
        <v>9088</v>
      </c>
      <c r="G1691" t="s">
        <v>434</v>
      </c>
    </row>
    <row r="1692" spans="1:7">
      <c r="A1692" s="216">
        <v>45170</v>
      </c>
      <c r="B1692" t="s">
        <v>52</v>
      </c>
      <c r="C1692">
        <v>23</v>
      </c>
      <c r="D1692" t="s">
        <v>435</v>
      </c>
      <c r="E1692" s="217">
        <v>45170</v>
      </c>
      <c r="F1692">
        <v>0</v>
      </c>
      <c r="G1692" t="s">
        <v>251</v>
      </c>
    </row>
    <row r="1693" spans="1:7">
      <c r="A1693" s="216">
        <v>45170</v>
      </c>
      <c r="B1693" t="s">
        <v>52</v>
      </c>
      <c r="C1693">
        <v>23</v>
      </c>
      <c r="D1693" t="s">
        <v>435</v>
      </c>
      <c r="E1693" s="217">
        <v>45170</v>
      </c>
      <c r="F1693">
        <v>0</v>
      </c>
      <c r="G1693" t="s">
        <v>252</v>
      </c>
    </row>
    <row r="1694" spans="1:7">
      <c r="A1694" s="216">
        <v>45170</v>
      </c>
      <c r="B1694" t="s">
        <v>52</v>
      </c>
      <c r="C1694">
        <v>23</v>
      </c>
      <c r="D1694" t="s">
        <v>435</v>
      </c>
      <c r="E1694" s="217">
        <v>45170</v>
      </c>
      <c r="F1694">
        <v>0</v>
      </c>
      <c r="G1694" t="s">
        <v>253</v>
      </c>
    </row>
    <row r="1695" spans="1:7">
      <c r="A1695" s="216">
        <v>45170</v>
      </c>
      <c r="B1695" t="s">
        <v>52</v>
      </c>
      <c r="C1695">
        <v>23</v>
      </c>
      <c r="D1695" t="s">
        <v>435</v>
      </c>
      <c r="E1695" s="217">
        <v>45170</v>
      </c>
      <c r="F1695">
        <v>0</v>
      </c>
      <c r="G1695" t="s">
        <v>254</v>
      </c>
    </row>
    <row r="1696" spans="1:7">
      <c r="A1696" s="216">
        <v>45170</v>
      </c>
      <c r="B1696" t="s">
        <v>52</v>
      </c>
      <c r="C1696">
        <v>23</v>
      </c>
      <c r="D1696" t="s">
        <v>435</v>
      </c>
      <c r="E1696" s="217">
        <v>45170</v>
      </c>
      <c r="F1696">
        <v>0</v>
      </c>
      <c r="G1696" t="s">
        <v>255</v>
      </c>
    </row>
    <row r="1697" spans="1:7">
      <c r="A1697" s="216">
        <v>45170</v>
      </c>
      <c r="B1697" t="s">
        <v>52</v>
      </c>
      <c r="C1697">
        <v>23</v>
      </c>
      <c r="D1697" t="s">
        <v>435</v>
      </c>
      <c r="E1697" s="217">
        <v>45170</v>
      </c>
      <c r="F1697">
        <v>0</v>
      </c>
      <c r="G1697" t="s">
        <v>256</v>
      </c>
    </row>
    <row r="1698" spans="1:7">
      <c r="A1698" s="216">
        <v>45170</v>
      </c>
      <c r="B1698" t="s">
        <v>52</v>
      </c>
      <c r="C1698">
        <v>23</v>
      </c>
      <c r="D1698" t="s">
        <v>435</v>
      </c>
      <c r="E1698" s="217">
        <v>45170</v>
      </c>
      <c r="F1698">
        <v>0</v>
      </c>
      <c r="G1698" t="s">
        <v>257</v>
      </c>
    </row>
    <row r="1699" spans="1:7">
      <c r="A1699" s="216">
        <v>45170</v>
      </c>
      <c r="B1699" t="s">
        <v>52</v>
      </c>
      <c r="C1699">
        <v>23</v>
      </c>
      <c r="D1699" t="s">
        <v>435</v>
      </c>
      <c r="E1699" s="217">
        <v>45170</v>
      </c>
      <c r="F1699">
        <v>0</v>
      </c>
      <c r="G1699" t="s">
        <v>258</v>
      </c>
    </row>
    <row r="1700" spans="1:7">
      <c r="A1700" s="216">
        <v>45170</v>
      </c>
      <c r="B1700" t="s">
        <v>52</v>
      </c>
      <c r="C1700">
        <v>23</v>
      </c>
      <c r="D1700" t="s">
        <v>435</v>
      </c>
      <c r="E1700" s="217">
        <v>45170</v>
      </c>
      <c r="F1700">
        <v>0</v>
      </c>
      <c r="G1700" t="s">
        <v>259</v>
      </c>
    </row>
    <row r="1701" spans="1:7">
      <c r="A1701" s="216">
        <v>45170</v>
      </c>
      <c r="B1701" t="s">
        <v>52</v>
      </c>
      <c r="C1701">
        <v>23</v>
      </c>
      <c r="D1701" t="s">
        <v>435</v>
      </c>
      <c r="E1701" s="217">
        <v>45170</v>
      </c>
      <c r="F1701">
        <v>0</v>
      </c>
      <c r="G1701" t="s">
        <v>260</v>
      </c>
    </row>
    <row r="1702" spans="1:7">
      <c r="A1702" s="216">
        <v>45170</v>
      </c>
      <c r="B1702" t="s">
        <v>52</v>
      </c>
      <c r="C1702">
        <v>23</v>
      </c>
      <c r="D1702" t="s">
        <v>435</v>
      </c>
      <c r="E1702" s="217">
        <v>45170</v>
      </c>
      <c r="F1702">
        <v>0</v>
      </c>
      <c r="G1702" t="s">
        <v>261</v>
      </c>
    </row>
    <row r="1703" spans="1:7">
      <c r="A1703" s="216">
        <v>45170</v>
      </c>
      <c r="B1703" t="s">
        <v>52</v>
      </c>
      <c r="C1703">
        <v>23</v>
      </c>
      <c r="D1703" t="s">
        <v>435</v>
      </c>
      <c r="E1703" s="217">
        <v>45170</v>
      </c>
      <c r="F1703">
        <v>0</v>
      </c>
      <c r="G1703" t="s">
        <v>262</v>
      </c>
    </row>
    <row r="1704" spans="1:7">
      <c r="A1704" s="216">
        <v>45170</v>
      </c>
      <c r="B1704" t="s">
        <v>52</v>
      </c>
      <c r="C1704">
        <v>23</v>
      </c>
      <c r="D1704" t="s">
        <v>435</v>
      </c>
      <c r="E1704" s="217">
        <v>45170</v>
      </c>
      <c r="F1704">
        <v>0</v>
      </c>
      <c r="G1704" t="s">
        <v>434</v>
      </c>
    </row>
    <row r="1705" spans="1:7">
      <c r="A1705" s="216">
        <v>45170</v>
      </c>
      <c r="B1705" t="s">
        <v>52</v>
      </c>
      <c r="C1705">
        <v>24</v>
      </c>
      <c r="D1705" t="s">
        <v>457</v>
      </c>
      <c r="E1705" s="217">
        <v>45170</v>
      </c>
      <c r="F1705">
        <v>0</v>
      </c>
      <c r="G1705" t="s">
        <v>251</v>
      </c>
    </row>
    <row r="1706" spans="1:7">
      <c r="A1706" s="216">
        <v>45170</v>
      </c>
      <c r="B1706" t="s">
        <v>52</v>
      </c>
      <c r="C1706">
        <v>24</v>
      </c>
      <c r="D1706" t="s">
        <v>457</v>
      </c>
      <c r="E1706" s="217">
        <v>45170</v>
      </c>
      <c r="F1706">
        <v>0</v>
      </c>
      <c r="G1706" t="s">
        <v>252</v>
      </c>
    </row>
    <row r="1707" spans="1:7">
      <c r="A1707" s="216">
        <v>45170</v>
      </c>
      <c r="B1707" t="s">
        <v>52</v>
      </c>
      <c r="C1707">
        <v>24</v>
      </c>
      <c r="D1707" t="s">
        <v>457</v>
      </c>
      <c r="E1707" s="217">
        <v>45170</v>
      </c>
      <c r="F1707">
        <v>0</v>
      </c>
      <c r="G1707" t="s">
        <v>253</v>
      </c>
    </row>
    <row r="1708" spans="1:7">
      <c r="A1708" s="216">
        <v>45170</v>
      </c>
      <c r="B1708" t="s">
        <v>52</v>
      </c>
      <c r="C1708">
        <v>24</v>
      </c>
      <c r="D1708" t="s">
        <v>457</v>
      </c>
      <c r="E1708" s="217">
        <v>45170</v>
      </c>
      <c r="F1708">
        <v>0</v>
      </c>
      <c r="G1708" t="s">
        <v>254</v>
      </c>
    </row>
    <row r="1709" spans="1:7">
      <c r="A1709" s="216">
        <v>45170</v>
      </c>
      <c r="B1709" t="s">
        <v>52</v>
      </c>
      <c r="C1709">
        <v>24</v>
      </c>
      <c r="D1709" t="s">
        <v>457</v>
      </c>
      <c r="E1709" s="217">
        <v>45170</v>
      </c>
      <c r="F1709">
        <v>0</v>
      </c>
      <c r="G1709" t="s">
        <v>255</v>
      </c>
    </row>
    <row r="1710" spans="1:7">
      <c r="A1710" s="216">
        <v>45170</v>
      </c>
      <c r="B1710" t="s">
        <v>52</v>
      </c>
      <c r="C1710">
        <v>24</v>
      </c>
      <c r="D1710" t="s">
        <v>457</v>
      </c>
      <c r="E1710" s="217">
        <v>45170</v>
      </c>
      <c r="F1710">
        <v>0</v>
      </c>
      <c r="G1710" t="s">
        <v>256</v>
      </c>
    </row>
    <row r="1711" spans="1:7">
      <c r="A1711" s="216">
        <v>45170</v>
      </c>
      <c r="B1711" t="s">
        <v>52</v>
      </c>
      <c r="C1711">
        <v>24</v>
      </c>
      <c r="D1711" t="s">
        <v>457</v>
      </c>
      <c r="E1711" s="217">
        <v>45170</v>
      </c>
      <c r="F1711">
        <v>0</v>
      </c>
      <c r="G1711" t="s">
        <v>257</v>
      </c>
    </row>
    <row r="1712" spans="1:7">
      <c r="A1712" s="216">
        <v>45170</v>
      </c>
      <c r="B1712" t="s">
        <v>52</v>
      </c>
      <c r="C1712">
        <v>24</v>
      </c>
      <c r="D1712" t="s">
        <v>457</v>
      </c>
      <c r="E1712" s="217">
        <v>45170</v>
      </c>
      <c r="F1712">
        <v>0</v>
      </c>
      <c r="G1712" t="s">
        <v>258</v>
      </c>
    </row>
    <row r="1713" spans="1:7">
      <c r="A1713" s="216">
        <v>45170</v>
      </c>
      <c r="B1713" t="s">
        <v>52</v>
      </c>
      <c r="C1713">
        <v>24</v>
      </c>
      <c r="D1713" t="s">
        <v>457</v>
      </c>
      <c r="E1713" s="217">
        <v>45170</v>
      </c>
      <c r="F1713">
        <v>0</v>
      </c>
      <c r="G1713" t="s">
        <v>259</v>
      </c>
    </row>
    <row r="1714" spans="1:7">
      <c r="A1714" s="216">
        <v>45170</v>
      </c>
      <c r="B1714" t="s">
        <v>52</v>
      </c>
      <c r="C1714">
        <v>24</v>
      </c>
      <c r="D1714" t="s">
        <v>457</v>
      </c>
      <c r="E1714" s="217">
        <v>45170</v>
      </c>
      <c r="F1714">
        <v>0</v>
      </c>
      <c r="G1714" t="s">
        <v>260</v>
      </c>
    </row>
    <row r="1715" spans="1:7">
      <c r="A1715" s="216">
        <v>45170</v>
      </c>
      <c r="B1715" t="s">
        <v>52</v>
      </c>
      <c r="C1715">
        <v>24</v>
      </c>
      <c r="D1715" t="s">
        <v>457</v>
      </c>
      <c r="E1715" s="217">
        <v>45170</v>
      </c>
      <c r="F1715">
        <v>0</v>
      </c>
      <c r="G1715" t="s">
        <v>261</v>
      </c>
    </row>
    <row r="1716" spans="1:7">
      <c r="A1716" s="216">
        <v>45170</v>
      </c>
      <c r="B1716" t="s">
        <v>52</v>
      </c>
      <c r="C1716">
        <v>24</v>
      </c>
      <c r="D1716" t="s">
        <v>457</v>
      </c>
      <c r="E1716" s="217">
        <v>45170</v>
      </c>
      <c r="F1716">
        <v>0</v>
      </c>
      <c r="G1716" t="s">
        <v>262</v>
      </c>
    </row>
    <row r="1717" spans="1:7">
      <c r="A1717" s="216">
        <v>45170</v>
      </c>
      <c r="B1717" t="s">
        <v>52</v>
      </c>
      <c r="C1717">
        <v>24</v>
      </c>
      <c r="D1717" t="s">
        <v>457</v>
      </c>
      <c r="E1717" s="217">
        <v>45170</v>
      </c>
      <c r="F1717">
        <v>0</v>
      </c>
      <c r="G1717" t="s">
        <v>434</v>
      </c>
    </row>
    <row r="1718" spans="1:7">
      <c r="A1718" s="216">
        <v>45170</v>
      </c>
      <c r="B1718" t="s">
        <v>52</v>
      </c>
      <c r="C1718">
        <v>25</v>
      </c>
      <c r="D1718" t="s">
        <v>452</v>
      </c>
      <c r="E1718" s="217">
        <v>45170</v>
      </c>
      <c r="F1718">
        <v>0</v>
      </c>
      <c r="G1718" t="s">
        <v>251</v>
      </c>
    </row>
    <row r="1719" spans="1:7">
      <c r="A1719" s="216">
        <v>45170</v>
      </c>
      <c r="B1719" t="s">
        <v>52</v>
      </c>
      <c r="C1719">
        <v>25</v>
      </c>
      <c r="D1719" t="s">
        <v>452</v>
      </c>
      <c r="E1719" s="217">
        <v>45170</v>
      </c>
      <c r="F1719">
        <v>0</v>
      </c>
      <c r="G1719" t="s">
        <v>252</v>
      </c>
    </row>
    <row r="1720" spans="1:7">
      <c r="A1720" s="216">
        <v>45170</v>
      </c>
      <c r="B1720" t="s">
        <v>52</v>
      </c>
      <c r="C1720">
        <v>25</v>
      </c>
      <c r="D1720" t="s">
        <v>452</v>
      </c>
      <c r="E1720" s="217">
        <v>45170</v>
      </c>
      <c r="F1720">
        <v>0</v>
      </c>
      <c r="G1720" t="s">
        <v>253</v>
      </c>
    </row>
    <row r="1721" spans="1:7">
      <c r="A1721" s="216">
        <v>45170</v>
      </c>
      <c r="B1721" t="s">
        <v>52</v>
      </c>
      <c r="C1721">
        <v>25</v>
      </c>
      <c r="D1721" t="s">
        <v>452</v>
      </c>
      <c r="E1721" s="217">
        <v>45170</v>
      </c>
      <c r="F1721">
        <v>0</v>
      </c>
      <c r="G1721" t="s">
        <v>254</v>
      </c>
    </row>
    <row r="1722" spans="1:7">
      <c r="A1722" s="216">
        <v>45170</v>
      </c>
      <c r="B1722" t="s">
        <v>52</v>
      </c>
      <c r="C1722">
        <v>25</v>
      </c>
      <c r="D1722" t="s">
        <v>452</v>
      </c>
      <c r="E1722" s="217">
        <v>45170</v>
      </c>
      <c r="F1722">
        <v>0</v>
      </c>
      <c r="G1722" t="s">
        <v>255</v>
      </c>
    </row>
    <row r="1723" spans="1:7">
      <c r="A1723" s="216">
        <v>45170</v>
      </c>
      <c r="B1723" t="s">
        <v>52</v>
      </c>
      <c r="C1723">
        <v>25</v>
      </c>
      <c r="D1723" t="s">
        <v>452</v>
      </c>
      <c r="E1723" s="217">
        <v>45170</v>
      </c>
      <c r="F1723">
        <v>0</v>
      </c>
      <c r="G1723" t="s">
        <v>256</v>
      </c>
    </row>
    <row r="1724" spans="1:7">
      <c r="A1724" s="216">
        <v>45170</v>
      </c>
      <c r="B1724" t="s">
        <v>52</v>
      </c>
      <c r="C1724">
        <v>25</v>
      </c>
      <c r="D1724" t="s">
        <v>452</v>
      </c>
      <c r="E1724" s="217">
        <v>45170</v>
      </c>
      <c r="F1724">
        <v>0</v>
      </c>
      <c r="G1724" t="s">
        <v>257</v>
      </c>
    </row>
    <row r="1725" spans="1:7">
      <c r="A1725" s="216">
        <v>45170</v>
      </c>
      <c r="B1725" t="s">
        <v>52</v>
      </c>
      <c r="C1725">
        <v>25</v>
      </c>
      <c r="D1725" t="s">
        <v>452</v>
      </c>
      <c r="E1725" s="217">
        <v>45170</v>
      </c>
      <c r="F1725">
        <v>0</v>
      </c>
      <c r="G1725" t="s">
        <v>258</v>
      </c>
    </row>
    <row r="1726" spans="1:7">
      <c r="A1726" s="216">
        <v>45170</v>
      </c>
      <c r="B1726" t="s">
        <v>52</v>
      </c>
      <c r="C1726">
        <v>25</v>
      </c>
      <c r="D1726" t="s">
        <v>452</v>
      </c>
      <c r="E1726" s="217">
        <v>45170</v>
      </c>
      <c r="F1726">
        <v>0</v>
      </c>
      <c r="G1726" t="s">
        <v>259</v>
      </c>
    </row>
    <row r="1727" spans="1:7">
      <c r="A1727" s="216">
        <v>45170</v>
      </c>
      <c r="B1727" t="s">
        <v>52</v>
      </c>
      <c r="C1727">
        <v>25</v>
      </c>
      <c r="D1727" t="s">
        <v>452</v>
      </c>
      <c r="E1727" s="217">
        <v>45170</v>
      </c>
      <c r="F1727">
        <v>0</v>
      </c>
      <c r="G1727" t="s">
        <v>260</v>
      </c>
    </row>
    <row r="1728" spans="1:7">
      <c r="A1728" s="216">
        <v>45170</v>
      </c>
      <c r="B1728" t="s">
        <v>52</v>
      </c>
      <c r="C1728">
        <v>25</v>
      </c>
      <c r="D1728" t="s">
        <v>452</v>
      </c>
      <c r="E1728" s="217">
        <v>45170</v>
      </c>
      <c r="F1728">
        <v>0</v>
      </c>
      <c r="G1728" t="s">
        <v>261</v>
      </c>
    </row>
    <row r="1729" spans="1:7">
      <c r="A1729" s="216">
        <v>45170</v>
      </c>
      <c r="B1729" t="s">
        <v>52</v>
      </c>
      <c r="C1729">
        <v>25</v>
      </c>
      <c r="D1729" t="s">
        <v>452</v>
      </c>
      <c r="E1729" s="217">
        <v>45170</v>
      </c>
      <c r="F1729">
        <v>0</v>
      </c>
      <c r="G1729" t="s">
        <v>262</v>
      </c>
    </row>
    <row r="1730" spans="1:7">
      <c r="A1730" s="216">
        <v>45170</v>
      </c>
      <c r="B1730" t="s">
        <v>52</v>
      </c>
      <c r="C1730">
        <v>25</v>
      </c>
      <c r="D1730" t="s">
        <v>452</v>
      </c>
      <c r="E1730" s="217">
        <v>45170</v>
      </c>
      <c r="F1730">
        <v>0</v>
      </c>
      <c r="G1730" t="s">
        <v>434</v>
      </c>
    </row>
    <row r="1731" spans="1:7">
      <c r="A1731" s="216">
        <v>45170</v>
      </c>
      <c r="B1731" t="s">
        <v>52</v>
      </c>
      <c r="C1731">
        <v>26</v>
      </c>
      <c r="D1731" t="s">
        <v>438</v>
      </c>
      <c r="E1731" s="217">
        <v>45170</v>
      </c>
      <c r="F1731">
        <v>12122</v>
      </c>
      <c r="G1731" t="s">
        <v>251</v>
      </c>
    </row>
    <row r="1732" spans="1:7">
      <c r="A1732" s="216">
        <v>45170</v>
      </c>
      <c r="B1732" t="s">
        <v>52</v>
      </c>
      <c r="C1732">
        <v>26</v>
      </c>
      <c r="D1732" t="s">
        <v>438</v>
      </c>
      <c r="E1732" s="217">
        <v>45170</v>
      </c>
      <c r="F1732">
        <v>12441</v>
      </c>
      <c r="G1732" t="s">
        <v>252</v>
      </c>
    </row>
    <row r="1733" spans="1:7">
      <c r="A1733" s="216">
        <v>45170</v>
      </c>
      <c r="B1733" t="s">
        <v>52</v>
      </c>
      <c r="C1733">
        <v>26</v>
      </c>
      <c r="D1733" t="s">
        <v>438</v>
      </c>
      <c r="E1733" s="217">
        <v>45170</v>
      </c>
      <c r="F1733">
        <v>13668</v>
      </c>
      <c r="G1733" t="s">
        <v>253</v>
      </c>
    </row>
    <row r="1734" spans="1:7">
      <c r="A1734" s="216">
        <v>45170</v>
      </c>
      <c r="B1734" t="s">
        <v>52</v>
      </c>
      <c r="C1734">
        <v>26</v>
      </c>
      <c r="D1734" t="s">
        <v>438</v>
      </c>
      <c r="E1734" s="217">
        <v>45170</v>
      </c>
      <c r="F1734">
        <v>13919</v>
      </c>
      <c r="G1734" t="s">
        <v>254</v>
      </c>
    </row>
    <row r="1735" spans="1:7">
      <c r="A1735" s="216">
        <v>45170</v>
      </c>
      <c r="B1735" t="s">
        <v>52</v>
      </c>
      <c r="C1735">
        <v>26</v>
      </c>
      <c r="D1735" t="s">
        <v>438</v>
      </c>
      <c r="E1735" s="217">
        <v>45170</v>
      </c>
      <c r="F1735">
        <v>12429</v>
      </c>
      <c r="G1735" t="s">
        <v>255</v>
      </c>
    </row>
    <row r="1736" spans="1:7">
      <c r="A1736" s="216">
        <v>45170</v>
      </c>
      <c r="B1736" t="s">
        <v>52</v>
      </c>
      <c r="C1736">
        <v>26</v>
      </c>
      <c r="D1736" t="s">
        <v>438</v>
      </c>
      <c r="E1736" s="217">
        <v>45170</v>
      </c>
      <c r="F1736">
        <v>12425</v>
      </c>
      <c r="G1736" t="s">
        <v>256</v>
      </c>
    </row>
    <row r="1737" spans="1:7">
      <c r="A1737" s="216">
        <v>45170</v>
      </c>
      <c r="B1737" t="s">
        <v>52</v>
      </c>
      <c r="C1737">
        <v>26</v>
      </c>
      <c r="D1737" t="s">
        <v>438</v>
      </c>
      <c r="E1737" s="217">
        <v>45170</v>
      </c>
      <c r="F1737">
        <v>14291</v>
      </c>
      <c r="G1737" t="s">
        <v>257</v>
      </c>
    </row>
    <row r="1738" spans="1:7">
      <c r="A1738" s="216">
        <v>45170</v>
      </c>
      <c r="B1738" t="s">
        <v>52</v>
      </c>
      <c r="C1738">
        <v>26</v>
      </c>
      <c r="D1738" t="s">
        <v>438</v>
      </c>
      <c r="E1738" s="217">
        <v>45170</v>
      </c>
      <c r="F1738">
        <v>13807</v>
      </c>
      <c r="G1738" t="s">
        <v>258</v>
      </c>
    </row>
    <row r="1739" spans="1:7">
      <c r="A1739" s="216">
        <v>45170</v>
      </c>
      <c r="B1739" t="s">
        <v>52</v>
      </c>
      <c r="C1739">
        <v>26</v>
      </c>
      <c r="D1739" t="s">
        <v>438</v>
      </c>
      <c r="E1739" s="217">
        <v>45170</v>
      </c>
      <c r="F1739">
        <v>14519</v>
      </c>
      <c r="G1739" t="s">
        <v>259</v>
      </c>
    </row>
    <row r="1740" spans="1:7">
      <c r="A1740" s="216">
        <v>45170</v>
      </c>
      <c r="B1740" t="s">
        <v>52</v>
      </c>
      <c r="C1740">
        <v>26</v>
      </c>
      <c r="D1740" t="s">
        <v>438</v>
      </c>
      <c r="E1740" s="217">
        <v>45170</v>
      </c>
      <c r="F1740">
        <v>14224</v>
      </c>
      <c r="G1740" t="s">
        <v>260</v>
      </c>
    </row>
    <row r="1741" spans="1:7">
      <c r="A1741" s="216">
        <v>45170</v>
      </c>
      <c r="B1741" t="s">
        <v>52</v>
      </c>
      <c r="C1741">
        <v>26</v>
      </c>
      <c r="D1741" t="s">
        <v>438</v>
      </c>
      <c r="E1741" s="217">
        <v>45170</v>
      </c>
      <c r="F1741">
        <v>13876</v>
      </c>
      <c r="G1741" t="s">
        <v>261</v>
      </c>
    </row>
    <row r="1742" spans="1:7">
      <c r="A1742" s="216">
        <v>45170</v>
      </c>
      <c r="B1742" t="s">
        <v>52</v>
      </c>
      <c r="C1742">
        <v>26</v>
      </c>
      <c r="D1742" t="s">
        <v>438</v>
      </c>
      <c r="E1742" s="217">
        <v>45170</v>
      </c>
      <c r="F1742">
        <v>15055</v>
      </c>
      <c r="G1742" t="s">
        <v>262</v>
      </c>
    </row>
    <row r="1743" spans="1:7">
      <c r="A1743" s="216">
        <v>45170</v>
      </c>
      <c r="B1743" t="s">
        <v>52</v>
      </c>
      <c r="C1743">
        <v>26</v>
      </c>
      <c r="D1743" t="s">
        <v>438</v>
      </c>
      <c r="E1743" s="217">
        <v>45170</v>
      </c>
      <c r="F1743">
        <v>162776</v>
      </c>
      <c r="G1743" t="s">
        <v>434</v>
      </c>
    </row>
    <row r="1744" spans="1:7">
      <c r="A1744" s="216">
        <v>45170</v>
      </c>
      <c r="B1744" t="s">
        <v>52</v>
      </c>
      <c r="C1744">
        <v>27</v>
      </c>
      <c r="D1744" t="s">
        <v>446</v>
      </c>
      <c r="E1744" s="217">
        <v>45170</v>
      </c>
      <c r="F1744">
        <v>-38</v>
      </c>
      <c r="G1744" t="s">
        <v>251</v>
      </c>
    </row>
    <row r="1745" spans="1:7">
      <c r="A1745" s="216">
        <v>45170</v>
      </c>
      <c r="B1745" t="s">
        <v>52</v>
      </c>
      <c r="C1745">
        <v>27</v>
      </c>
      <c r="D1745" t="s">
        <v>446</v>
      </c>
      <c r="E1745" s="217">
        <v>45170</v>
      </c>
      <c r="F1745">
        <v>79</v>
      </c>
      <c r="G1745" t="s">
        <v>252</v>
      </c>
    </row>
    <row r="1746" spans="1:7">
      <c r="A1746" s="216">
        <v>45170</v>
      </c>
      <c r="B1746" t="s">
        <v>52</v>
      </c>
      <c r="C1746">
        <v>27</v>
      </c>
      <c r="D1746" t="s">
        <v>446</v>
      </c>
      <c r="E1746" s="217">
        <v>45170</v>
      </c>
      <c r="F1746">
        <v>40</v>
      </c>
      <c r="G1746" t="s">
        <v>253</v>
      </c>
    </row>
    <row r="1747" spans="1:7">
      <c r="A1747" s="216">
        <v>45170</v>
      </c>
      <c r="B1747" t="s">
        <v>52</v>
      </c>
      <c r="C1747">
        <v>27</v>
      </c>
      <c r="D1747" t="s">
        <v>446</v>
      </c>
      <c r="E1747" s="217">
        <v>45170</v>
      </c>
      <c r="F1747">
        <v>49</v>
      </c>
      <c r="G1747" t="s">
        <v>254</v>
      </c>
    </row>
    <row r="1748" spans="1:7">
      <c r="A1748" s="216">
        <v>45170</v>
      </c>
      <c r="B1748" t="s">
        <v>52</v>
      </c>
      <c r="C1748">
        <v>27</v>
      </c>
      <c r="D1748" t="s">
        <v>446</v>
      </c>
      <c r="E1748" s="217">
        <v>45170</v>
      </c>
      <c r="F1748">
        <v>22</v>
      </c>
      <c r="G1748" t="s">
        <v>255</v>
      </c>
    </row>
    <row r="1749" spans="1:7">
      <c r="A1749" s="216">
        <v>45170</v>
      </c>
      <c r="B1749" t="s">
        <v>52</v>
      </c>
      <c r="C1749">
        <v>27</v>
      </c>
      <c r="D1749" t="s">
        <v>446</v>
      </c>
      <c r="E1749" s="217">
        <v>45170</v>
      </c>
      <c r="F1749">
        <v>17</v>
      </c>
      <c r="G1749" t="s">
        <v>256</v>
      </c>
    </row>
    <row r="1750" spans="1:7">
      <c r="A1750" s="216">
        <v>45170</v>
      </c>
      <c r="B1750" t="s">
        <v>52</v>
      </c>
      <c r="C1750">
        <v>27</v>
      </c>
      <c r="D1750" t="s">
        <v>446</v>
      </c>
      <c r="E1750" s="217">
        <v>45170</v>
      </c>
      <c r="F1750">
        <v>0</v>
      </c>
      <c r="G1750" t="s">
        <v>257</v>
      </c>
    </row>
    <row r="1751" spans="1:7">
      <c r="A1751" s="216">
        <v>45170</v>
      </c>
      <c r="B1751" t="s">
        <v>52</v>
      </c>
      <c r="C1751">
        <v>27</v>
      </c>
      <c r="D1751" t="s">
        <v>446</v>
      </c>
      <c r="E1751" s="217">
        <v>45170</v>
      </c>
      <c r="F1751">
        <v>0</v>
      </c>
      <c r="G1751" t="s">
        <v>258</v>
      </c>
    </row>
    <row r="1752" spans="1:7">
      <c r="A1752" s="216">
        <v>45170</v>
      </c>
      <c r="B1752" t="s">
        <v>52</v>
      </c>
      <c r="C1752">
        <v>27</v>
      </c>
      <c r="D1752" t="s">
        <v>446</v>
      </c>
      <c r="E1752" s="217">
        <v>45170</v>
      </c>
      <c r="F1752">
        <v>0</v>
      </c>
      <c r="G1752" t="s">
        <v>259</v>
      </c>
    </row>
    <row r="1753" spans="1:7">
      <c r="A1753" s="216">
        <v>45170</v>
      </c>
      <c r="B1753" t="s">
        <v>52</v>
      </c>
      <c r="C1753">
        <v>27</v>
      </c>
      <c r="D1753" t="s">
        <v>446</v>
      </c>
      <c r="E1753" s="217">
        <v>45170</v>
      </c>
      <c r="F1753">
        <v>0</v>
      </c>
      <c r="G1753" t="s">
        <v>260</v>
      </c>
    </row>
    <row r="1754" spans="1:7">
      <c r="A1754" s="216">
        <v>45170</v>
      </c>
      <c r="B1754" t="s">
        <v>52</v>
      </c>
      <c r="C1754">
        <v>27</v>
      </c>
      <c r="D1754" t="s">
        <v>446</v>
      </c>
      <c r="E1754" s="217">
        <v>45170</v>
      </c>
      <c r="F1754">
        <v>0</v>
      </c>
      <c r="G1754" t="s">
        <v>261</v>
      </c>
    </row>
    <row r="1755" spans="1:7">
      <c r="A1755" s="216">
        <v>45170</v>
      </c>
      <c r="B1755" t="s">
        <v>52</v>
      </c>
      <c r="C1755">
        <v>27</v>
      </c>
      <c r="D1755" t="s">
        <v>446</v>
      </c>
      <c r="E1755" s="217">
        <v>45170</v>
      </c>
      <c r="F1755">
        <v>-169</v>
      </c>
      <c r="G1755" t="s">
        <v>262</v>
      </c>
    </row>
    <row r="1756" spans="1:7">
      <c r="A1756" s="216">
        <v>45170</v>
      </c>
      <c r="B1756" t="s">
        <v>52</v>
      </c>
      <c r="C1756">
        <v>27</v>
      </c>
      <c r="D1756" t="s">
        <v>446</v>
      </c>
      <c r="E1756" s="217">
        <v>45170</v>
      </c>
      <c r="F1756">
        <v>0</v>
      </c>
      <c r="G1756" t="s">
        <v>434</v>
      </c>
    </row>
    <row r="1757" spans="1:7">
      <c r="A1757" s="216">
        <v>45170</v>
      </c>
      <c r="B1757" t="s">
        <v>46</v>
      </c>
      <c r="C1757">
        <v>1</v>
      </c>
      <c r="D1757" t="s">
        <v>453</v>
      </c>
      <c r="E1757" s="217">
        <v>45170</v>
      </c>
      <c r="F1757">
        <v>83734</v>
      </c>
      <c r="G1757" t="s">
        <v>251</v>
      </c>
    </row>
    <row r="1758" spans="1:7">
      <c r="A1758" s="216">
        <v>45170</v>
      </c>
      <c r="B1758" t="s">
        <v>46</v>
      </c>
      <c r="C1758">
        <v>1</v>
      </c>
      <c r="D1758" t="s">
        <v>453</v>
      </c>
      <c r="E1758" s="217">
        <v>45170</v>
      </c>
      <c r="F1758">
        <v>86240.8</v>
      </c>
      <c r="G1758" t="s">
        <v>252</v>
      </c>
    </row>
    <row r="1759" spans="1:7">
      <c r="A1759" s="216">
        <v>45170</v>
      </c>
      <c r="B1759" t="s">
        <v>46</v>
      </c>
      <c r="C1759">
        <v>1</v>
      </c>
      <c r="D1759" t="s">
        <v>453</v>
      </c>
      <c r="E1759" s="217">
        <v>45170</v>
      </c>
      <c r="F1759">
        <v>92032.888000000006</v>
      </c>
      <c r="G1759" t="s">
        <v>253</v>
      </c>
    </row>
    <row r="1760" spans="1:7">
      <c r="A1760" s="216">
        <v>45170</v>
      </c>
      <c r="B1760" t="s">
        <v>46</v>
      </c>
      <c r="C1760">
        <v>1</v>
      </c>
      <c r="D1760" t="s">
        <v>453</v>
      </c>
      <c r="E1760" s="217">
        <v>45170</v>
      </c>
      <c r="F1760">
        <v>91291</v>
      </c>
      <c r="G1760" t="s">
        <v>254</v>
      </c>
    </row>
    <row r="1761" spans="1:7">
      <c r="A1761" s="216">
        <v>45170</v>
      </c>
      <c r="B1761" t="s">
        <v>46</v>
      </c>
      <c r="C1761">
        <v>1</v>
      </c>
      <c r="D1761" t="s">
        <v>453</v>
      </c>
      <c r="E1761" s="217">
        <v>45170</v>
      </c>
      <c r="F1761">
        <v>87000</v>
      </c>
      <c r="G1761" t="s">
        <v>255</v>
      </c>
    </row>
    <row r="1762" spans="1:7">
      <c r="A1762" s="216">
        <v>45170</v>
      </c>
      <c r="B1762" t="s">
        <v>46</v>
      </c>
      <c r="C1762">
        <v>1</v>
      </c>
      <c r="D1762" t="s">
        <v>453</v>
      </c>
      <c r="E1762" s="217">
        <v>45170</v>
      </c>
      <c r="F1762">
        <v>88043.308999999994</v>
      </c>
      <c r="G1762" t="s">
        <v>256</v>
      </c>
    </row>
    <row r="1763" spans="1:7">
      <c r="A1763" s="216">
        <v>45170</v>
      </c>
      <c r="B1763" t="s">
        <v>46</v>
      </c>
      <c r="C1763">
        <v>1</v>
      </c>
      <c r="D1763" t="s">
        <v>453</v>
      </c>
      <c r="E1763" s="217">
        <v>45170</v>
      </c>
      <c r="F1763">
        <v>94198.683655615794</v>
      </c>
      <c r="G1763" t="s">
        <v>257</v>
      </c>
    </row>
    <row r="1764" spans="1:7">
      <c r="A1764" s="216">
        <v>45170</v>
      </c>
      <c r="B1764" t="s">
        <v>46</v>
      </c>
      <c r="C1764">
        <v>1</v>
      </c>
      <c r="D1764" t="s">
        <v>453</v>
      </c>
      <c r="E1764" s="217">
        <v>45170</v>
      </c>
      <c r="F1764">
        <v>91374.785367470802</v>
      </c>
      <c r="G1764" t="s">
        <v>258</v>
      </c>
    </row>
    <row r="1765" spans="1:7">
      <c r="A1765" s="216">
        <v>45170</v>
      </c>
      <c r="B1765" t="s">
        <v>46</v>
      </c>
      <c r="C1765">
        <v>1</v>
      </c>
      <c r="D1765" t="s">
        <v>453</v>
      </c>
      <c r="E1765" s="217">
        <v>45170</v>
      </c>
      <c r="F1765">
        <v>90719.263991615298</v>
      </c>
      <c r="G1765" t="s">
        <v>259</v>
      </c>
    </row>
    <row r="1766" spans="1:7">
      <c r="A1766" s="216">
        <v>45170</v>
      </c>
      <c r="B1766" t="s">
        <v>46</v>
      </c>
      <c r="C1766">
        <v>1</v>
      </c>
      <c r="D1766" t="s">
        <v>453</v>
      </c>
      <c r="E1766" s="217">
        <v>45170</v>
      </c>
      <c r="F1766">
        <v>91022.454140780101</v>
      </c>
      <c r="G1766" t="s">
        <v>260</v>
      </c>
    </row>
    <row r="1767" spans="1:7">
      <c r="A1767" s="216">
        <v>45170</v>
      </c>
      <c r="B1767" t="s">
        <v>46</v>
      </c>
      <c r="C1767">
        <v>1</v>
      </c>
      <c r="D1767" t="s">
        <v>453</v>
      </c>
      <c r="E1767" s="217">
        <v>45170</v>
      </c>
      <c r="F1767">
        <v>88872.094386088196</v>
      </c>
      <c r="G1767" t="s">
        <v>261</v>
      </c>
    </row>
    <row r="1768" spans="1:7">
      <c r="A1768" s="216">
        <v>45170</v>
      </c>
      <c r="B1768" t="s">
        <v>46</v>
      </c>
      <c r="C1768">
        <v>1</v>
      </c>
      <c r="D1768" t="s">
        <v>453</v>
      </c>
      <c r="E1768" s="217">
        <v>45170</v>
      </c>
      <c r="F1768">
        <v>113423.465244466</v>
      </c>
      <c r="G1768" t="s">
        <v>262</v>
      </c>
    </row>
    <row r="1769" spans="1:7">
      <c r="A1769" s="216">
        <v>45170</v>
      </c>
      <c r="B1769" t="s">
        <v>46</v>
      </c>
      <c r="C1769">
        <v>1</v>
      </c>
      <c r="D1769" t="s">
        <v>453</v>
      </c>
      <c r="E1769" s="217">
        <v>45170</v>
      </c>
      <c r="F1769">
        <v>1097952.74378604</v>
      </c>
      <c r="G1769" t="s">
        <v>434</v>
      </c>
    </row>
    <row r="1770" spans="1:7">
      <c r="A1770" s="216">
        <v>45170</v>
      </c>
      <c r="B1770" t="s">
        <v>46</v>
      </c>
      <c r="C1770">
        <v>2</v>
      </c>
      <c r="D1770" t="s">
        <v>436</v>
      </c>
      <c r="E1770" s="217">
        <v>45170</v>
      </c>
      <c r="F1770">
        <v>0</v>
      </c>
      <c r="G1770" t="s">
        <v>251</v>
      </c>
    </row>
    <row r="1771" spans="1:7">
      <c r="A1771" s="216">
        <v>45170</v>
      </c>
      <c r="B1771" t="s">
        <v>46</v>
      </c>
      <c r="C1771">
        <v>2</v>
      </c>
      <c r="D1771" t="s">
        <v>436</v>
      </c>
      <c r="E1771" s="217">
        <v>45170</v>
      </c>
      <c r="F1771">
        <v>0</v>
      </c>
      <c r="G1771" t="s">
        <v>252</v>
      </c>
    </row>
    <row r="1772" spans="1:7">
      <c r="A1772" s="216">
        <v>45170</v>
      </c>
      <c r="B1772" t="s">
        <v>46</v>
      </c>
      <c r="C1772">
        <v>2</v>
      </c>
      <c r="D1772" t="s">
        <v>436</v>
      </c>
      <c r="E1772" s="217">
        <v>45170</v>
      </c>
      <c r="F1772">
        <v>0</v>
      </c>
      <c r="G1772" t="s">
        <v>253</v>
      </c>
    </row>
    <row r="1773" spans="1:7">
      <c r="A1773" s="216">
        <v>45170</v>
      </c>
      <c r="B1773" t="s">
        <v>46</v>
      </c>
      <c r="C1773">
        <v>2</v>
      </c>
      <c r="D1773" t="s">
        <v>436</v>
      </c>
      <c r="E1773" s="217">
        <v>45170</v>
      </c>
      <c r="F1773">
        <v>247</v>
      </c>
      <c r="G1773" t="s">
        <v>254</v>
      </c>
    </row>
    <row r="1774" spans="1:7">
      <c r="A1774" s="216">
        <v>45170</v>
      </c>
      <c r="B1774" t="s">
        <v>46</v>
      </c>
      <c r="C1774">
        <v>2</v>
      </c>
      <c r="D1774" t="s">
        <v>436</v>
      </c>
      <c r="E1774" s="217">
        <v>45170</v>
      </c>
      <c r="F1774">
        <v>0</v>
      </c>
      <c r="G1774" t="s">
        <v>255</v>
      </c>
    </row>
    <row r="1775" spans="1:7">
      <c r="A1775" s="216">
        <v>45170</v>
      </c>
      <c r="B1775" t="s">
        <v>46</v>
      </c>
      <c r="C1775">
        <v>2</v>
      </c>
      <c r="D1775" t="s">
        <v>436</v>
      </c>
      <c r="E1775" s="217">
        <v>45170</v>
      </c>
      <c r="F1775">
        <v>0</v>
      </c>
      <c r="G1775" t="s">
        <v>256</v>
      </c>
    </row>
    <row r="1776" spans="1:7">
      <c r="A1776" s="216">
        <v>45170</v>
      </c>
      <c r="B1776" t="s">
        <v>46</v>
      </c>
      <c r="C1776">
        <v>2</v>
      </c>
      <c r="D1776" t="s">
        <v>436</v>
      </c>
      <c r="E1776" s="217">
        <v>45170</v>
      </c>
      <c r="F1776">
        <v>66</v>
      </c>
      <c r="G1776" t="s">
        <v>257</v>
      </c>
    </row>
    <row r="1777" spans="1:7">
      <c r="A1777" s="216">
        <v>45170</v>
      </c>
      <c r="B1777" t="s">
        <v>46</v>
      </c>
      <c r="C1777">
        <v>2</v>
      </c>
      <c r="D1777" t="s">
        <v>436</v>
      </c>
      <c r="E1777" s="217">
        <v>45170</v>
      </c>
      <c r="F1777">
        <v>66</v>
      </c>
      <c r="G1777" t="s">
        <v>258</v>
      </c>
    </row>
    <row r="1778" spans="1:7">
      <c r="A1778" s="216">
        <v>45170</v>
      </c>
      <c r="B1778" t="s">
        <v>46</v>
      </c>
      <c r="C1778">
        <v>2</v>
      </c>
      <c r="D1778" t="s">
        <v>436</v>
      </c>
      <c r="E1778" s="217">
        <v>45170</v>
      </c>
      <c r="F1778">
        <v>66</v>
      </c>
      <c r="G1778" t="s">
        <v>259</v>
      </c>
    </row>
    <row r="1779" spans="1:7">
      <c r="A1779" s="216">
        <v>45170</v>
      </c>
      <c r="B1779" t="s">
        <v>46</v>
      </c>
      <c r="C1779">
        <v>2</v>
      </c>
      <c r="D1779" t="s">
        <v>436</v>
      </c>
      <c r="E1779" s="217">
        <v>45170</v>
      </c>
      <c r="F1779">
        <v>66</v>
      </c>
      <c r="G1779" t="s">
        <v>260</v>
      </c>
    </row>
    <row r="1780" spans="1:7">
      <c r="A1780" s="216">
        <v>45170</v>
      </c>
      <c r="B1780" t="s">
        <v>46</v>
      </c>
      <c r="C1780">
        <v>2</v>
      </c>
      <c r="D1780" t="s">
        <v>436</v>
      </c>
      <c r="E1780" s="217">
        <v>45170</v>
      </c>
      <c r="F1780">
        <v>66</v>
      </c>
      <c r="G1780" t="s">
        <v>261</v>
      </c>
    </row>
    <row r="1781" spans="1:7">
      <c r="A1781" s="216">
        <v>45170</v>
      </c>
      <c r="B1781" t="s">
        <v>46</v>
      </c>
      <c r="C1781">
        <v>2</v>
      </c>
      <c r="D1781" t="s">
        <v>436</v>
      </c>
      <c r="E1781" s="217">
        <v>45170</v>
      </c>
      <c r="F1781">
        <v>17</v>
      </c>
      <c r="G1781" t="s">
        <v>262</v>
      </c>
    </row>
    <row r="1782" spans="1:7">
      <c r="A1782" s="216">
        <v>45170</v>
      </c>
      <c r="B1782" t="s">
        <v>46</v>
      </c>
      <c r="C1782">
        <v>2</v>
      </c>
      <c r="D1782" t="s">
        <v>436</v>
      </c>
      <c r="E1782" s="217">
        <v>45170</v>
      </c>
      <c r="F1782">
        <v>594</v>
      </c>
      <c r="G1782" t="s">
        <v>434</v>
      </c>
    </row>
    <row r="1783" spans="1:7">
      <c r="A1783" s="216">
        <v>45170</v>
      </c>
      <c r="B1783" t="s">
        <v>46</v>
      </c>
      <c r="C1783">
        <v>3</v>
      </c>
      <c r="D1783" t="s">
        <v>459</v>
      </c>
      <c r="E1783" s="217">
        <v>45170</v>
      </c>
      <c r="F1783">
        <v>2547</v>
      </c>
      <c r="G1783" t="s">
        <v>251</v>
      </c>
    </row>
    <row r="1784" spans="1:7">
      <c r="A1784" s="216">
        <v>45170</v>
      </c>
      <c r="B1784" t="s">
        <v>46</v>
      </c>
      <c r="C1784">
        <v>3</v>
      </c>
      <c r="D1784" t="s">
        <v>459</v>
      </c>
      <c r="E1784" s="217">
        <v>45170</v>
      </c>
      <c r="F1784">
        <v>2663</v>
      </c>
      <c r="G1784" t="s">
        <v>252</v>
      </c>
    </row>
    <row r="1785" spans="1:7">
      <c r="A1785" s="216">
        <v>45170</v>
      </c>
      <c r="B1785" t="s">
        <v>46</v>
      </c>
      <c r="C1785">
        <v>3</v>
      </c>
      <c r="D1785" t="s">
        <v>459</v>
      </c>
      <c r="E1785" s="217">
        <v>45170</v>
      </c>
      <c r="F1785">
        <v>2980</v>
      </c>
      <c r="G1785" t="s">
        <v>253</v>
      </c>
    </row>
    <row r="1786" spans="1:7">
      <c r="A1786" s="216">
        <v>45170</v>
      </c>
      <c r="B1786" t="s">
        <v>46</v>
      </c>
      <c r="C1786">
        <v>3</v>
      </c>
      <c r="D1786" t="s">
        <v>459</v>
      </c>
      <c r="E1786" s="217">
        <v>45170</v>
      </c>
      <c r="F1786">
        <v>3255</v>
      </c>
      <c r="G1786" t="s">
        <v>254</v>
      </c>
    </row>
    <row r="1787" spans="1:7">
      <c r="A1787" s="216">
        <v>45170</v>
      </c>
      <c r="B1787" t="s">
        <v>46</v>
      </c>
      <c r="C1787">
        <v>3</v>
      </c>
      <c r="D1787" t="s">
        <v>459</v>
      </c>
      <c r="E1787" s="217">
        <v>45170</v>
      </c>
      <c r="F1787">
        <v>3353</v>
      </c>
      <c r="G1787" t="s">
        <v>255</v>
      </c>
    </row>
    <row r="1788" spans="1:7">
      <c r="A1788" s="216">
        <v>45170</v>
      </c>
      <c r="B1788" t="s">
        <v>46</v>
      </c>
      <c r="C1788">
        <v>3</v>
      </c>
      <c r="D1788" t="s">
        <v>459</v>
      </c>
      <c r="E1788" s="217">
        <v>45170</v>
      </c>
      <c r="F1788">
        <v>2624</v>
      </c>
      <c r="G1788" t="s">
        <v>256</v>
      </c>
    </row>
    <row r="1789" spans="1:7">
      <c r="A1789" s="216">
        <v>45170</v>
      </c>
      <c r="B1789" t="s">
        <v>46</v>
      </c>
      <c r="C1789">
        <v>3</v>
      </c>
      <c r="D1789" t="s">
        <v>459</v>
      </c>
      <c r="E1789" s="217">
        <v>45170</v>
      </c>
      <c r="F1789">
        <v>2852</v>
      </c>
      <c r="G1789" t="s">
        <v>257</v>
      </c>
    </row>
    <row r="1790" spans="1:7">
      <c r="A1790" s="216">
        <v>45170</v>
      </c>
      <c r="B1790" t="s">
        <v>46</v>
      </c>
      <c r="C1790">
        <v>3</v>
      </c>
      <c r="D1790" t="s">
        <v>459</v>
      </c>
      <c r="E1790" s="217">
        <v>45170</v>
      </c>
      <c r="F1790">
        <v>3094</v>
      </c>
      <c r="G1790" t="s">
        <v>258</v>
      </c>
    </row>
    <row r="1791" spans="1:7">
      <c r="A1791" s="216">
        <v>45170</v>
      </c>
      <c r="B1791" t="s">
        <v>46</v>
      </c>
      <c r="C1791">
        <v>3</v>
      </c>
      <c r="D1791" t="s">
        <v>459</v>
      </c>
      <c r="E1791" s="217">
        <v>45170</v>
      </c>
      <c r="F1791">
        <v>3112</v>
      </c>
      <c r="G1791" t="s">
        <v>259</v>
      </c>
    </row>
    <row r="1792" spans="1:7">
      <c r="A1792" s="216">
        <v>45170</v>
      </c>
      <c r="B1792" t="s">
        <v>46</v>
      </c>
      <c r="C1792">
        <v>3</v>
      </c>
      <c r="D1792" t="s">
        <v>459</v>
      </c>
      <c r="E1792" s="217">
        <v>45170</v>
      </c>
      <c r="F1792">
        <v>3107</v>
      </c>
      <c r="G1792" t="s">
        <v>260</v>
      </c>
    </row>
    <row r="1793" spans="1:7">
      <c r="A1793" s="216">
        <v>45170</v>
      </c>
      <c r="B1793" t="s">
        <v>46</v>
      </c>
      <c r="C1793">
        <v>3</v>
      </c>
      <c r="D1793" t="s">
        <v>459</v>
      </c>
      <c r="E1793" s="217">
        <v>45170</v>
      </c>
      <c r="F1793">
        <v>3081</v>
      </c>
      <c r="G1793" t="s">
        <v>261</v>
      </c>
    </row>
    <row r="1794" spans="1:7">
      <c r="A1794" s="216">
        <v>45170</v>
      </c>
      <c r="B1794" t="s">
        <v>46</v>
      </c>
      <c r="C1794">
        <v>3</v>
      </c>
      <c r="D1794" t="s">
        <v>459</v>
      </c>
      <c r="E1794" s="217">
        <v>45170</v>
      </c>
      <c r="F1794">
        <v>3145</v>
      </c>
      <c r="G1794" t="s">
        <v>262</v>
      </c>
    </row>
    <row r="1795" spans="1:7">
      <c r="A1795" s="216">
        <v>45170</v>
      </c>
      <c r="B1795" t="s">
        <v>46</v>
      </c>
      <c r="C1795">
        <v>3</v>
      </c>
      <c r="D1795" t="s">
        <v>459</v>
      </c>
      <c r="E1795" s="217">
        <v>45170</v>
      </c>
      <c r="F1795">
        <v>35813</v>
      </c>
      <c r="G1795" t="s">
        <v>434</v>
      </c>
    </row>
    <row r="1796" spans="1:7">
      <c r="A1796" s="216">
        <v>45170</v>
      </c>
      <c r="B1796" t="s">
        <v>46</v>
      </c>
      <c r="C1796">
        <v>4</v>
      </c>
      <c r="D1796" t="s">
        <v>460</v>
      </c>
      <c r="E1796" s="217">
        <v>45170</v>
      </c>
      <c r="F1796">
        <v>205</v>
      </c>
      <c r="G1796" t="s">
        <v>251</v>
      </c>
    </row>
    <row r="1797" spans="1:7">
      <c r="A1797" s="216">
        <v>45170</v>
      </c>
      <c r="B1797" t="s">
        <v>46</v>
      </c>
      <c r="C1797">
        <v>4</v>
      </c>
      <c r="D1797" t="s">
        <v>460</v>
      </c>
      <c r="E1797" s="217">
        <v>45170</v>
      </c>
      <c r="F1797">
        <v>279</v>
      </c>
      <c r="G1797" t="s">
        <v>252</v>
      </c>
    </row>
    <row r="1798" spans="1:7">
      <c r="A1798" s="216">
        <v>45170</v>
      </c>
      <c r="B1798" t="s">
        <v>46</v>
      </c>
      <c r="C1798">
        <v>4</v>
      </c>
      <c r="D1798" t="s">
        <v>460</v>
      </c>
      <c r="E1798" s="217">
        <v>45170</v>
      </c>
      <c r="F1798">
        <v>238</v>
      </c>
      <c r="G1798" t="s">
        <v>253</v>
      </c>
    </row>
    <row r="1799" spans="1:7">
      <c r="A1799" s="216">
        <v>45170</v>
      </c>
      <c r="B1799" t="s">
        <v>46</v>
      </c>
      <c r="C1799">
        <v>4</v>
      </c>
      <c r="D1799" t="s">
        <v>460</v>
      </c>
      <c r="E1799" s="217">
        <v>45170</v>
      </c>
      <c r="F1799">
        <v>330</v>
      </c>
      <c r="G1799" t="s">
        <v>254</v>
      </c>
    </row>
    <row r="1800" spans="1:7">
      <c r="A1800" s="216">
        <v>45170</v>
      </c>
      <c r="B1800" t="s">
        <v>46</v>
      </c>
      <c r="C1800">
        <v>4</v>
      </c>
      <c r="D1800" t="s">
        <v>460</v>
      </c>
      <c r="E1800" s="217">
        <v>45170</v>
      </c>
      <c r="F1800">
        <v>262</v>
      </c>
      <c r="G1800" t="s">
        <v>255</v>
      </c>
    </row>
    <row r="1801" spans="1:7">
      <c r="A1801" s="216">
        <v>45170</v>
      </c>
      <c r="B1801" t="s">
        <v>46</v>
      </c>
      <c r="C1801">
        <v>4</v>
      </c>
      <c r="D1801" t="s">
        <v>460</v>
      </c>
      <c r="E1801" s="217">
        <v>45170</v>
      </c>
      <c r="F1801">
        <v>269</v>
      </c>
      <c r="G1801" t="s">
        <v>256</v>
      </c>
    </row>
    <row r="1802" spans="1:7">
      <c r="A1802" s="216">
        <v>45170</v>
      </c>
      <c r="B1802" t="s">
        <v>46</v>
      </c>
      <c r="C1802">
        <v>4</v>
      </c>
      <c r="D1802" t="s">
        <v>460</v>
      </c>
      <c r="E1802" s="217">
        <v>45170</v>
      </c>
      <c r="F1802">
        <v>287</v>
      </c>
      <c r="G1802" t="s">
        <v>257</v>
      </c>
    </row>
    <row r="1803" spans="1:7">
      <c r="A1803" s="216">
        <v>45170</v>
      </c>
      <c r="B1803" t="s">
        <v>46</v>
      </c>
      <c r="C1803">
        <v>4</v>
      </c>
      <c r="D1803" t="s">
        <v>460</v>
      </c>
      <c r="E1803" s="217">
        <v>45170</v>
      </c>
      <c r="F1803">
        <v>287</v>
      </c>
      <c r="G1803" t="s">
        <v>258</v>
      </c>
    </row>
    <row r="1804" spans="1:7">
      <c r="A1804" s="216">
        <v>45170</v>
      </c>
      <c r="B1804" t="s">
        <v>46</v>
      </c>
      <c r="C1804">
        <v>4</v>
      </c>
      <c r="D1804" t="s">
        <v>460</v>
      </c>
      <c r="E1804" s="217">
        <v>45170</v>
      </c>
      <c r="F1804">
        <v>287</v>
      </c>
      <c r="G1804" t="s">
        <v>259</v>
      </c>
    </row>
    <row r="1805" spans="1:7">
      <c r="A1805" s="216">
        <v>45170</v>
      </c>
      <c r="B1805" t="s">
        <v>46</v>
      </c>
      <c r="C1805">
        <v>4</v>
      </c>
      <c r="D1805" t="s">
        <v>460</v>
      </c>
      <c r="E1805" s="217">
        <v>45170</v>
      </c>
      <c r="F1805">
        <v>287</v>
      </c>
      <c r="G1805" t="s">
        <v>260</v>
      </c>
    </row>
    <row r="1806" spans="1:7">
      <c r="A1806" s="216">
        <v>45170</v>
      </c>
      <c r="B1806" t="s">
        <v>46</v>
      </c>
      <c r="C1806">
        <v>4</v>
      </c>
      <c r="D1806" t="s">
        <v>460</v>
      </c>
      <c r="E1806" s="217">
        <v>45170</v>
      </c>
      <c r="F1806">
        <v>287</v>
      </c>
      <c r="G1806" t="s">
        <v>261</v>
      </c>
    </row>
    <row r="1807" spans="1:7">
      <c r="A1807" s="216">
        <v>45170</v>
      </c>
      <c r="B1807" t="s">
        <v>46</v>
      </c>
      <c r="C1807">
        <v>4</v>
      </c>
      <c r="D1807" t="s">
        <v>460</v>
      </c>
      <c r="E1807" s="217">
        <v>45170</v>
      </c>
      <c r="F1807">
        <v>287</v>
      </c>
      <c r="G1807" t="s">
        <v>262</v>
      </c>
    </row>
    <row r="1808" spans="1:7">
      <c r="A1808" s="216">
        <v>45170</v>
      </c>
      <c r="B1808" t="s">
        <v>46</v>
      </c>
      <c r="C1808">
        <v>4</v>
      </c>
      <c r="D1808" t="s">
        <v>460</v>
      </c>
      <c r="E1808" s="217">
        <v>45170</v>
      </c>
      <c r="F1808">
        <v>3305</v>
      </c>
      <c r="G1808" t="s">
        <v>434</v>
      </c>
    </row>
    <row r="1809" spans="1:7">
      <c r="A1809" s="216">
        <v>45170</v>
      </c>
      <c r="B1809" t="s">
        <v>46</v>
      </c>
      <c r="C1809">
        <v>5</v>
      </c>
      <c r="D1809" t="s">
        <v>458</v>
      </c>
      <c r="E1809" s="217">
        <v>45170</v>
      </c>
      <c r="F1809">
        <v>170</v>
      </c>
      <c r="G1809" t="s">
        <v>251</v>
      </c>
    </row>
    <row r="1810" spans="1:7">
      <c r="A1810" s="216">
        <v>45170</v>
      </c>
      <c r="B1810" t="s">
        <v>46</v>
      </c>
      <c r="C1810">
        <v>5</v>
      </c>
      <c r="D1810" t="s">
        <v>458</v>
      </c>
      <c r="E1810" s="217">
        <v>45170</v>
      </c>
      <c r="F1810">
        <v>140</v>
      </c>
      <c r="G1810" t="s">
        <v>252</v>
      </c>
    </row>
    <row r="1811" spans="1:7">
      <c r="A1811" s="216">
        <v>45170</v>
      </c>
      <c r="B1811" t="s">
        <v>46</v>
      </c>
      <c r="C1811">
        <v>5</v>
      </c>
      <c r="D1811" t="s">
        <v>458</v>
      </c>
      <c r="E1811" s="217">
        <v>45170</v>
      </c>
      <c r="F1811">
        <v>188</v>
      </c>
      <c r="G1811" t="s">
        <v>253</v>
      </c>
    </row>
    <row r="1812" spans="1:7">
      <c r="A1812" s="216">
        <v>45170</v>
      </c>
      <c r="B1812" t="s">
        <v>46</v>
      </c>
      <c r="C1812">
        <v>5</v>
      </c>
      <c r="D1812" t="s">
        <v>458</v>
      </c>
      <c r="E1812" s="217">
        <v>45170</v>
      </c>
      <c r="F1812">
        <v>144</v>
      </c>
      <c r="G1812" t="s">
        <v>254</v>
      </c>
    </row>
    <row r="1813" spans="1:7">
      <c r="A1813" s="216">
        <v>45170</v>
      </c>
      <c r="B1813" t="s">
        <v>46</v>
      </c>
      <c r="C1813">
        <v>5</v>
      </c>
      <c r="D1813" t="s">
        <v>458</v>
      </c>
      <c r="E1813" s="217">
        <v>45170</v>
      </c>
      <c r="F1813">
        <v>167</v>
      </c>
      <c r="G1813" t="s">
        <v>255</v>
      </c>
    </row>
    <row r="1814" spans="1:7">
      <c r="A1814" s="216">
        <v>45170</v>
      </c>
      <c r="B1814" t="s">
        <v>46</v>
      </c>
      <c r="C1814">
        <v>5</v>
      </c>
      <c r="D1814" t="s">
        <v>458</v>
      </c>
      <c r="E1814" s="217">
        <v>45170</v>
      </c>
      <c r="F1814">
        <v>116</v>
      </c>
      <c r="G1814" t="s">
        <v>256</v>
      </c>
    </row>
    <row r="1815" spans="1:7">
      <c r="A1815" s="216">
        <v>45170</v>
      </c>
      <c r="B1815" t="s">
        <v>46</v>
      </c>
      <c r="C1815">
        <v>5</v>
      </c>
      <c r="D1815" t="s">
        <v>458</v>
      </c>
      <c r="E1815" s="217">
        <v>45170</v>
      </c>
      <c r="F1815">
        <v>154.166666666667</v>
      </c>
      <c r="G1815" t="s">
        <v>257</v>
      </c>
    </row>
    <row r="1816" spans="1:7">
      <c r="A1816" s="216">
        <v>45170</v>
      </c>
      <c r="B1816" t="s">
        <v>46</v>
      </c>
      <c r="C1816">
        <v>5</v>
      </c>
      <c r="D1816" t="s">
        <v>458</v>
      </c>
      <c r="E1816" s="217">
        <v>45170</v>
      </c>
      <c r="F1816">
        <v>154.166666666667</v>
      </c>
      <c r="G1816" t="s">
        <v>258</v>
      </c>
    </row>
    <row r="1817" spans="1:7">
      <c r="A1817" s="216">
        <v>45170</v>
      </c>
      <c r="B1817" t="s">
        <v>46</v>
      </c>
      <c r="C1817">
        <v>5</v>
      </c>
      <c r="D1817" t="s">
        <v>458</v>
      </c>
      <c r="E1817" s="217">
        <v>45170</v>
      </c>
      <c r="F1817">
        <v>154.166666666667</v>
      </c>
      <c r="G1817" t="s">
        <v>259</v>
      </c>
    </row>
    <row r="1818" spans="1:7">
      <c r="A1818" s="216">
        <v>45170</v>
      </c>
      <c r="B1818" t="s">
        <v>46</v>
      </c>
      <c r="C1818">
        <v>5</v>
      </c>
      <c r="D1818" t="s">
        <v>458</v>
      </c>
      <c r="E1818" s="217">
        <v>45170</v>
      </c>
      <c r="F1818">
        <v>154.166666666667</v>
      </c>
      <c r="G1818" t="s">
        <v>260</v>
      </c>
    </row>
    <row r="1819" spans="1:7">
      <c r="A1819" s="216">
        <v>45170</v>
      </c>
      <c r="B1819" t="s">
        <v>46</v>
      </c>
      <c r="C1819">
        <v>5</v>
      </c>
      <c r="D1819" t="s">
        <v>458</v>
      </c>
      <c r="E1819" s="217">
        <v>45170</v>
      </c>
      <c r="F1819">
        <v>154.166666666667</v>
      </c>
      <c r="G1819" t="s">
        <v>261</v>
      </c>
    </row>
    <row r="1820" spans="1:7">
      <c r="A1820" s="216">
        <v>45170</v>
      </c>
      <c r="B1820" t="s">
        <v>46</v>
      </c>
      <c r="C1820">
        <v>5</v>
      </c>
      <c r="D1820" t="s">
        <v>458</v>
      </c>
      <c r="E1820" s="217">
        <v>45170</v>
      </c>
      <c r="F1820">
        <v>154.166666666667</v>
      </c>
      <c r="G1820" t="s">
        <v>262</v>
      </c>
    </row>
    <row r="1821" spans="1:7">
      <c r="A1821" s="216">
        <v>45170</v>
      </c>
      <c r="B1821" t="s">
        <v>46</v>
      </c>
      <c r="C1821">
        <v>5</v>
      </c>
      <c r="D1821" t="s">
        <v>458</v>
      </c>
      <c r="E1821" s="217">
        <v>45170</v>
      </c>
      <c r="F1821">
        <v>1850</v>
      </c>
      <c r="G1821" t="s">
        <v>434</v>
      </c>
    </row>
    <row r="1822" spans="1:7">
      <c r="A1822" s="216">
        <v>45170</v>
      </c>
      <c r="B1822" t="s">
        <v>46</v>
      </c>
      <c r="C1822">
        <v>6</v>
      </c>
      <c r="D1822" t="s">
        <v>448</v>
      </c>
      <c r="E1822" s="217">
        <v>45170</v>
      </c>
      <c r="F1822">
        <v>2449</v>
      </c>
      <c r="G1822" t="s">
        <v>251</v>
      </c>
    </row>
    <row r="1823" spans="1:7">
      <c r="A1823" s="216">
        <v>45170</v>
      </c>
      <c r="B1823" t="s">
        <v>46</v>
      </c>
      <c r="C1823">
        <v>6</v>
      </c>
      <c r="D1823" t="s">
        <v>448</v>
      </c>
      <c r="E1823" s="217">
        <v>45170</v>
      </c>
      <c r="F1823">
        <v>2406</v>
      </c>
      <c r="G1823" t="s">
        <v>252</v>
      </c>
    </row>
    <row r="1824" spans="1:7">
      <c r="A1824" s="216">
        <v>45170</v>
      </c>
      <c r="B1824" t="s">
        <v>46</v>
      </c>
      <c r="C1824">
        <v>6</v>
      </c>
      <c r="D1824" t="s">
        <v>448</v>
      </c>
      <c r="E1824" s="217">
        <v>45170</v>
      </c>
      <c r="F1824">
        <v>2051</v>
      </c>
      <c r="G1824" t="s">
        <v>253</v>
      </c>
    </row>
    <row r="1825" spans="1:7">
      <c r="A1825" s="216">
        <v>45170</v>
      </c>
      <c r="B1825" t="s">
        <v>46</v>
      </c>
      <c r="C1825">
        <v>6</v>
      </c>
      <c r="D1825" t="s">
        <v>448</v>
      </c>
      <c r="E1825" s="217">
        <v>45170</v>
      </c>
      <c r="F1825">
        <v>2586</v>
      </c>
      <c r="G1825" t="s">
        <v>254</v>
      </c>
    </row>
    <row r="1826" spans="1:7">
      <c r="A1826" s="216">
        <v>45170</v>
      </c>
      <c r="B1826" t="s">
        <v>46</v>
      </c>
      <c r="C1826">
        <v>6</v>
      </c>
      <c r="D1826" t="s">
        <v>448</v>
      </c>
      <c r="E1826" s="217">
        <v>45170</v>
      </c>
      <c r="F1826">
        <v>3079</v>
      </c>
      <c r="G1826" t="s">
        <v>255</v>
      </c>
    </row>
    <row r="1827" spans="1:7">
      <c r="A1827" s="216">
        <v>45170</v>
      </c>
      <c r="B1827" t="s">
        <v>46</v>
      </c>
      <c r="C1827">
        <v>6</v>
      </c>
      <c r="D1827" t="s">
        <v>448</v>
      </c>
      <c r="E1827" s="217">
        <v>45170</v>
      </c>
      <c r="F1827">
        <v>2358</v>
      </c>
      <c r="G1827" t="s">
        <v>256</v>
      </c>
    </row>
    <row r="1828" spans="1:7">
      <c r="A1828" s="216">
        <v>45170</v>
      </c>
      <c r="B1828" t="s">
        <v>46</v>
      </c>
      <c r="C1828">
        <v>6</v>
      </c>
      <c r="D1828" t="s">
        <v>448</v>
      </c>
      <c r="E1828" s="217">
        <v>45170</v>
      </c>
      <c r="F1828">
        <v>2505</v>
      </c>
      <c r="G1828" t="s">
        <v>257</v>
      </c>
    </row>
    <row r="1829" spans="1:7">
      <c r="A1829" s="216">
        <v>45170</v>
      </c>
      <c r="B1829" t="s">
        <v>46</v>
      </c>
      <c r="C1829">
        <v>6</v>
      </c>
      <c r="D1829" t="s">
        <v>448</v>
      </c>
      <c r="E1829" s="217">
        <v>45170</v>
      </c>
      <c r="F1829">
        <v>2422</v>
      </c>
      <c r="G1829" t="s">
        <v>258</v>
      </c>
    </row>
    <row r="1830" spans="1:7">
      <c r="A1830" s="216">
        <v>45170</v>
      </c>
      <c r="B1830" t="s">
        <v>46</v>
      </c>
      <c r="C1830">
        <v>6</v>
      </c>
      <c r="D1830" t="s">
        <v>448</v>
      </c>
      <c r="E1830" s="217">
        <v>45170</v>
      </c>
      <c r="F1830">
        <v>2473</v>
      </c>
      <c r="G1830" t="s">
        <v>259</v>
      </c>
    </row>
    <row r="1831" spans="1:7">
      <c r="A1831" s="216">
        <v>45170</v>
      </c>
      <c r="B1831" t="s">
        <v>46</v>
      </c>
      <c r="C1831">
        <v>6</v>
      </c>
      <c r="D1831" t="s">
        <v>448</v>
      </c>
      <c r="E1831" s="217">
        <v>45170</v>
      </c>
      <c r="F1831">
        <v>2472</v>
      </c>
      <c r="G1831" t="s">
        <v>260</v>
      </c>
    </row>
    <row r="1832" spans="1:7">
      <c r="A1832" s="216">
        <v>45170</v>
      </c>
      <c r="B1832" t="s">
        <v>46</v>
      </c>
      <c r="C1832">
        <v>6</v>
      </c>
      <c r="D1832" t="s">
        <v>448</v>
      </c>
      <c r="E1832" s="217">
        <v>45170</v>
      </c>
      <c r="F1832">
        <v>2476</v>
      </c>
      <c r="G1832" t="s">
        <v>261</v>
      </c>
    </row>
    <row r="1833" spans="1:7">
      <c r="A1833" s="216">
        <v>45170</v>
      </c>
      <c r="B1833" t="s">
        <v>46</v>
      </c>
      <c r="C1833">
        <v>6</v>
      </c>
      <c r="D1833" t="s">
        <v>448</v>
      </c>
      <c r="E1833" s="217">
        <v>45170</v>
      </c>
      <c r="F1833">
        <v>2477</v>
      </c>
      <c r="G1833" t="s">
        <v>262</v>
      </c>
    </row>
    <row r="1834" spans="1:7">
      <c r="A1834" s="216">
        <v>45170</v>
      </c>
      <c r="B1834" t="s">
        <v>46</v>
      </c>
      <c r="C1834">
        <v>6</v>
      </c>
      <c r="D1834" t="s">
        <v>448</v>
      </c>
      <c r="E1834" s="217">
        <v>45170</v>
      </c>
      <c r="F1834">
        <v>29754</v>
      </c>
      <c r="G1834" t="s">
        <v>434</v>
      </c>
    </row>
    <row r="1835" spans="1:7">
      <c r="A1835" s="216">
        <v>45170</v>
      </c>
      <c r="B1835" t="s">
        <v>46</v>
      </c>
      <c r="C1835">
        <v>7</v>
      </c>
      <c r="D1835" t="s">
        <v>442</v>
      </c>
      <c r="E1835" s="217">
        <v>45170</v>
      </c>
      <c r="F1835">
        <v>89105</v>
      </c>
      <c r="G1835" t="s">
        <v>251</v>
      </c>
    </row>
    <row r="1836" spans="1:7">
      <c r="A1836" s="216">
        <v>45170</v>
      </c>
      <c r="B1836" t="s">
        <v>46</v>
      </c>
      <c r="C1836">
        <v>7</v>
      </c>
      <c r="D1836" t="s">
        <v>442</v>
      </c>
      <c r="E1836" s="217">
        <v>45170</v>
      </c>
      <c r="F1836">
        <v>91728.8</v>
      </c>
      <c r="G1836" t="s">
        <v>252</v>
      </c>
    </row>
    <row r="1837" spans="1:7">
      <c r="A1837" s="216">
        <v>45170</v>
      </c>
      <c r="B1837" t="s">
        <v>46</v>
      </c>
      <c r="C1837">
        <v>7</v>
      </c>
      <c r="D1837" t="s">
        <v>442</v>
      </c>
      <c r="E1837" s="217">
        <v>45170</v>
      </c>
      <c r="F1837">
        <v>97489.888000000006</v>
      </c>
      <c r="G1837" t="s">
        <v>253</v>
      </c>
    </row>
    <row r="1838" spans="1:7">
      <c r="A1838" s="216">
        <v>45170</v>
      </c>
      <c r="B1838" t="s">
        <v>46</v>
      </c>
      <c r="C1838">
        <v>7</v>
      </c>
      <c r="D1838" t="s">
        <v>442</v>
      </c>
      <c r="E1838" s="217">
        <v>45170</v>
      </c>
      <c r="F1838">
        <v>97853</v>
      </c>
      <c r="G1838" t="s">
        <v>254</v>
      </c>
    </row>
    <row r="1839" spans="1:7">
      <c r="A1839" s="216">
        <v>45170</v>
      </c>
      <c r="B1839" t="s">
        <v>46</v>
      </c>
      <c r="C1839">
        <v>7</v>
      </c>
      <c r="D1839" t="s">
        <v>442</v>
      </c>
      <c r="E1839" s="217">
        <v>45170</v>
      </c>
      <c r="F1839">
        <v>93861</v>
      </c>
      <c r="G1839" t="s">
        <v>255</v>
      </c>
    </row>
    <row r="1840" spans="1:7">
      <c r="A1840" s="216">
        <v>45170</v>
      </c>
      <c r="B1840" t="s">
        <v>46</v>
      </c>
      <c r="C1840">
        <v>7</v>
      </c>
      <c r="D1840" t="s">
        <v>442</v>
      </c>
      <c r="E1840" s="217">
        <v>45170</v>
      </c>
      <c r="F1840">
        <v>93410.308999999994</v>
      </c>
      <c r="G1840" t="s">
        <v>256</v>
      </c>
    </row>
    <row r="1841" spans="1:7">
      <c r="A1841" s="216">
        <v>45170</v>
      </c>
      <c r="B1841" t="s">
        <v>46</v>
      </c>
      <c r="C1841">
        <v>7</v>
      </c>
      <c r="D1841" t="s">
        <v>442</v>
      </c>
      <c r="E1841" s="217">
        <v>45170</v>
      </c>
      <c r="F1841">
        <v>100062.850322282</v>
      </c>
      <c r="G1841" t="s">
        <v>257</v>
      </c>
    </row>
    <row r="1842" spans="1:7">
      <c r="A1842" s="216">
        <v>45170</v>
      </c>
      <c r="B1842" t="s">
        <v>46</v>
      </c>
      <c r="C1842">
        <v>7</v>
      </c>
      <c r="D1842" t="s">
        <v>442</v>
      </c>
      <c r="E1842" s="217">
        <v>45170</v>
      </c>
      <c r="F1842">
        <v>97397.952034137503</v>
      </c>
      <c r="G1842" t="s">
        <v>258</v>
      </c>
    </row>
    <row r="1843" spans="1:7">
      <c r="A1843" s="216">
        <v>45170</v>
      </c>
      <c r="B1843" t="s">
        <v>46</v>
      </c>
      <c r="C1843">
        <v>7</v>
      </c>
      <c r="D1843" t="s">
        <v>442</v>
      </c>
      <c r="E1843" s="217">
        <v>45170</v>
      </c>
      <c r="F1843">
        <v>96811.430658281999</v>
      </c>
      <c r="G1843" t="s">
        <v>259</v>
      </c>
    </row>
    <row r="1844" spans="1:7">
      <c r="A1844" s="216">
        <v>45170</v>
      </c>
      <c r="B1844" t="s">
        <v>46</v>
      </c>
      <c r="C1844">
        <v>7</v>
      </c>
      <c r="D1844" t="s">
        <v>442</v>
      </c>
      <c r="E1844" s="217">
        <v>45170</v>
      </c>
      <c r="F1844">
        <v>97108.620807446801</v>
      </c>
      <c r="G1844" t="s">
        <v>260</v>
      </c>
    </row>
    <row r="1845" spans="1:7">
      <c r="A1845" s="216">
        <v>45170</v>
      </c>
      <c r="B1845" t="s">
        <v>46</v>
      </c>
      <c r="C1845">
        <v>7</v>
      </c>
      <c r="D1845" t="s">
        <v>442</v>
      </c>
      <c r="E1845" s="217">
        <v>45170</v>
      </c>
      <c r="F1845">
        <v>94936.261052754897</v>
      </c>
      <c r="G1845" t="s">
        <v>261</v>
      </c>
    </row>
    <row r="1846" spans="1:7">
      <c r="A1846" s="216">
        <v>45170</v>
      </c>
      <c r="B1846" t="s">
        <v>46</v>
      </c>
      <c r="C1846">
        <v>7</v>
      </c>
      <c r="D1846" t="s">
        <v>442</v>
      </c>
      <c r="E1846" s="217">
        <v>45170</v>
      </c>
      <c r="F1846">
        <v>119503.63191113299</v>
      </c>
      <c r="G1846" t="s">
        <v>262</v>
      </c>
    </row>
    <row r="1847" spans="1:7">
      <c r="A1847" s="216">
        <v>45170</v>
      </c>
      <c r="B1847" t="s">
        <v>46</v>
      </c>
      <c r="C1847">
        <v>7</v>
      </c>
      <c r="D1847" t="s">
        <v>442</v>
      </c>
      <c r="E1847" s="217">
        <v>45170</v>
      </c>
      <c r="F1847">
        <v>1169268.74378604</v>
      </c>
      <c r="G1847" t="s">
        <v>434</v>
      </c>
    </row>
    <row r="1848" spans="1:7">
      <c r="A1848" s="216">
        <v>45170</v>
      </c>
      <c r="B1848" t="s">
        <v>46</v>
      </c>
      <c r="C1848">
        <v>8</v>
      </c>
      <c r="D1848" t="s">
        <v>451</v>
      </c>
      <c r="E1848" s="217">
        <v>45170</v>
      </c>
      <c r="F1848">
        <v>11348</v>
      </c>
      <c r="G1848" t="s">
        <v>251</v>
      </c>
    </row>
    <row r="1849" spans="1:7">
      <c r="A1849" s="216">
        <v>45170</v>
      </c>
      <c r="B1849" t="s">
        <v>46</v>
      </c>
      <c r="C1849">
        <v>8</v>
      </c>
      <c r="D1849" t="s">
        <v>451</v>
      </c>
      <c r="E1849" s="217">
        <v>45170</v>
      </c>
      <c r="F1849">
        <v>10645</v>
      </c>
      <c r="G1849" t="s">
        <v>252</v>
      </c>
    </row>
    <row r="1850" spans="1:7">
      <c r="A1850" s="216">
        <v>45170</v>
      </c>
      <c r="B1850" t="s">
        <v>46</v>
      </c>
      <c r="C1850">
        <v>8</v>
      </c>
      <c r="D1850" t="s">
        <v>451</v>
      </c>
      <c r="E1850" s="217">
        <v>45170</v>
      </c>
      <c r="F1850">
        <v>11425</v>
      </c>
      <c r="G1850" t="s">
        <v>253</v>
      </c>
    </row>
    <row r="1851" spans="1:7">
      <c r="A1851" s="216">
        <v>45170</v>
      </c>
      <c r="B1851" t="s">
        <v>46</v>
      </c>
      <c r="C1851">
        <v>8</v>
      </c>
      <c r="D1851" t="s">
        <v>451</v>
      </c>
      <c r="E1851" s="217">
        <v>45170</v>
      </c>
      <c r="F1851">
        <v>11016</v>
      </c>
      <c r="G1851" t="s">
        <v>254</v>
      </c>
    </row>
    <row r="1852" spans="1:7">
      <c r="A1852" s="216">
        <v>45170</v>
      </c>
      <c r="B1852" t="s">
        <v>46</v>
      </c>
      <c r="C1852">
        <v>8</v>
      </c>
      <c r="D1852" t="s">
        <v>451</v>
      </c>
      <c r="E1852" s="217">
        <v>45170</v>
      </c>
      <c r="F1852">
        <v>10808</v>
      </c>
      <c r="G1852" t="s">
        <v>255</v>
      </c>
    </row>
    <row r="1853" spans="1:7">
      <c r="A1853" s="216">
        <v>45170</v>
      </c>
      <c r="B1853" t="s">
        <v>46</v>
      </c>
      <c r="C1853">
        <v>8</v>
      </c>
      <c r="D1853" t="s">
        <v>451</v>
      </c>
      <c r="E1853" s="217">
        <v>45170</v>
      </c>
      <c r="F1853">
        <v>10743</v>
      </c>
      <c r="G1853" t="s">
        <v>256</v>
      </c>
    </row>
    <row r="1854" spans="1:7">
      <c r="A1854" s="216">
        <v>45170</v>
      </c>
      <c r="B1854" t="s">
        <v>46</v>
      </c>
      <c r="C1854">
        <v>8</v>
      </c>
      <c r="D1854" t="s">
        <v>451</v>
      </c>
      <c r="E1854" s="217">
        <v>45170</v>
      </c>
      <c r="F1854">
        <v>13401</v>
      </c>
      <c r="G1854" t="s">
        <v>257</v>
      </c>
    </row>
    <row r="1855" spans="1:7">
      <c r="A1855" s="216">
        <v>45170</v>
      </c>
      <c r="B1855" t="s">
        <v>46</v>
      </c>
      <c r="C1855">
        <v>8</v>
      </c>
      <c r="D1855" t="s">
        <v>451</v>
      </c>
      <c r="E1855" s="217">
        <v>45170</v>
      </c>
      <c r="F1855">
        <v>11997</v>
      </c>
      <c r="G1855" t="s">
        <v>258</v>
      </c>
    </row>
    <row r="1856" spans="1:7">
      <c r="A1856" s="216">
        <v>45170</v>
      </c>
      <c r="B1856" t="s">
        <v>46</v>
      </c>
      <c r="C1856">
        <v>8</v>
      </c>
      <c r="D1856" t="s">
        <v>451</v>
      </c>
      <c r="E1856" s="217">
        <v>45170</v>
      </c>
      <c r="F1856">
        <v>11731</v>
      </c>
      <c r="G1856" t="s">
        <v>259</v>
      </c>
    </row>
    <row r="1857" spans="1:7">
      <c r="A1857" s="216">
        <v>45170</v>
      </c>
      <c r="B1857" t="s">
        <v>46</v>
      </c>
      <c r="C1857">
        <v>8</v>
      </c>
      <c r="D1857" t="s">
        <v>451</v>
      </c>
      <c r="E1857" s="217">
        <v>45170</v>
      </c>
      <c r="F1857">
        <v>11729</v>
      </c>
      <c r="G1857" t="s">
        <v>260</v>
      </c>
    </row>
    <row r="1858" spans="1:7">
      <c r="A1858" s="216">
        <v>45170</v>
      </c>
      <c r="B1858" t="s">
        <v>46</v>
      </c>
      <c r="C1858">
        <v>8</v>
      </c>
      <c r="D1858" t="s">
        <v>451</v>
      </c>
      <c r="E1858" s="217">
        <v>45170</v>
      </c>
      <c r="F1858">
        <v>11137</v>
      </c>
      <c r="G1858" t="s">
        <v>261</v>
      </c>
    </row>
    <row r="1859" spans="1:7">
      <c r="A1859" s="216">
        <v>45170</v>
      </c>
      <c r="B1859" t="s">
        <v>46</v>
      </c>
      <c r="C1859">
        <v>8</v>
      </c>
      <c r="D1859" t="s">
        <v>451</v>
      </c>
      <c r="E1859" s="217">
        <v>45170</v>
      </c>
      <c r="F1859">
        <v>11329</v>
      </c>
      <c r="G1859" t="s">
        <v>262</v>
      </c>
    </row>
    <row r="1860" spans="1:7">
      <c r="A1860" s="216">
        <v>45170</v>
      </c>
      <c r="B1860" t="s">
        <v>46</v>
      </c>
      <c r="C1860">
        <v>8</v>
      </c>
      <c r="D1860" t="s">
        <v>451</v>
      </c>
      <c r="E1860" s="217">
        <v>45170</v>
      </c>
      <c r="F1860">
        <v>137309</v>
      </c>
      <c r="G1860" t="s">
        <v>434</v>
      </c>
    </row>
    <row r="1861" spans="1:7">
      <c r="A1861" s="216">
        <v>45170</v>
      </c>
      <c r="B1861" t="s">
        <v>46</v>
      </c>
      <c r="C1861">
        <v>9</v>
      </c>
      <c r="D1861" t="s">
        <v>450</v>
      </c>
      <c r="E1861" s="217">
        <v>45170</v>
      </c>
      <c r="F1861">
        <v>6767</v>
      </c>
      <c r="G1861" t="s">
        <v>251</v>
      </c>
    </row>
    <row r="1862" spans="1:7">
      <c r="A1862" s="216">
        <v>45170</v>
      </c>
      <c r="B1862" t="s">
        <v>46</v>
      </c>
      <c r="C1862">
        <v>9</v>
      </c>
      <c r="D1862" t="s">
        <v>450</v>
      </c>
      <c r="E1862" s="217">
        <v>45170</v>
      </c>
      <c r="F1862">
        <v>7453</v>
      </c>
      <c r="G1862" t="s">
        <v>252</v>
      </c>
    </row>
    <row r="1863" spans="1:7">
      <c r="A1863" s="216">
        <v>45170</v>
      </c>
      <c r="B1863" t="s">
        <v>46</v>
      </c>
      <c r="C1863">
        <v>9</v>
      </c>
      <c r="D1863" t="s">
        <v>450</v>
      </c>
      <c r="E1863" s="217">
        <v>45170</v>
      </c>
      <c r="F1863">
        <v>7830</v>
      </c>
      <c r="G1863" t="s">
        <v>253</v>
      </c>
    </row>
    <row r="1864" spans="1:7">
      <c r="A1864" s="216">
        <v>45170</v>
      </c>
      <c r="B1864" t="s">
        <v>46</v>
      </c>
      <c r="C1864">
        <v>9</v>
      </c>
      <c r="D1864" t="s">
        <v>450</v>
      </c>
      <c r="E1864" s="217">
        <v>45170</v>
      </c>
      <c r="F1864">
        <v>8092</v>
      </c>
      <c r="G1864" t="s">
        <v>254</v>
      </c>
    </row>
    <row r="1865" spans="1:7">
      <c r="A1865" s="216">
        <v>45170</v>
      </c>
      <c r="B1865" t="s">
        <v>46</v>
      </c>
      <c r="C1865">
        <v>9</v>
      </c>
      <c r="D1865" t="s">
        <v>450</v>
      </c>
      <c r="E1865" s="217">
        <v>45170</v>
      </c>
      <c r="F1865">
        <v>7995</v>
      </c>
      <c r="G1865" t="s">
        <v>255</v>
      </c>
    </row>
    <row r="1866" spans="1:7">
      <c r="A1866" s="216">
        <v>45170</v>
      </c>
      <c r="B1866" t="s">
        <v>46</v>
      </c>
      <c r="C1866">
        <v>9</v>
      </c>
      <c r="D1866" t="s">
        <v>450</v>
      </c>
      <c r="E1866" s="217">
        <v>45170</v>
      </c>
      <c r="F1866">
        <v>7834</v>
      </c>
      <c r="G1866" t="s">
        <v>256</v>
      </c>
    </row>
    <row r="1867" spans="1:7">
      <c r="A1867" s="216">
        <v>45170</v>
      </c>
      <c r="B1867" t="s">
        <v>46</v>
      </c>
      <c r="C1867">
        <v>9</v>
      </c>
      <c r="D1867" t="s">
        <v>450</v>
      </c>
      <c r="E1867" s="217">
        <v>45170</v>
      </c>
      <c r="F1867">
        <v>7825</v>
      </c>
      <c r="G1867" t="s">
        <v>257</v>
      </c>
    </row>
    <row r="1868" spans="1:7">
      <c r="A1868" s="216">
        <v>45170</v>
      </c>
      <c r="B1868" t="s">
        <v>46</v>
      </c>
      <c r="C1868">
        <v>9</v>
      </c>
      <c r="D1868" t="s">
        <v>450</v>
      </c>
      <c r="E1868" s="217">
        <v>45170</v>
      </c>
      <c r="F1868">
        <v>7992</v>
      </c>
      <c r="G1868" t="s">
        <v>258</v>
      </c>
    </row>
    <row r="1869" spans="1:7">
      <c r="A1869" s="216">
        <v>45170</v>
      </c>
      <c r="B1869" t="s">
        <v>46</v>
      </c>
      <c r="C1869">
        <v>9</v>
      </c>
      <c r="D1869" t="s">
        <v>450</v>
      </c>
      <c r="E1869" s="217">
        <v>45170</v>
      </c>
      <c r="F1869">
        <v>7612</v>
      </c>
      <c r="G1869" t="s">
        <v>259</v>
      </c>
    </row>
    <row r="1870" spans="1:7">
      <c r="A1870" s="216">
        <v>45170</v>
      </c>
      <c r="B1870" t="s">
        <v>46</v>
      </c>
      <c r="C1870">
        <v>9</v>
      </c>
      <c r="D1870" t="s">
        <v>450</v>
      </c>
      <c r="E1870" s="217">
        <v>45170</v>
      </c>
      <c r="F1870">
        <v>8228</v>
      </c>
      <c r="G1870" t="s">
        <v>260</v>
      </c>
    </row>
    <row r="1871" spans="1:7">
      <c r="A1871" s="216">
        <v>45170</v>
      </c>
      <c r="B1871" t="s">
        <v>46</v>
      </c>
      <c r="C1871">
        <v>9</v>
      </c>
      <c r="D1871" t="s">
        <v>450</v>
      </c>
      <c r="E1871" s="217">
        <v>45170</v>
      </c>
      <c r="F1871">
        <v>7447</v>
      </c>
      <c r="G1871" t="s">
        <v>261</v>
      </c>
    </row>
    <row r="1872" spans="1:7">
      <c r="A1872" s="216">
        <v>45170</v>
      </c>
      <c r="B1872" t="s">
        <v>46</v>
      </c>
      <c r="C1872">
        <v>9</v>
      </c>
      <c r="D1872" t="s">
        <v>450</v>
      </c>
      <c r="E1872" s="217">
        <v>45170</v>
      </c>
      <c r="F1872">
        <v>7189</v>
      </c>
      <c r="G1872" t="s">
        <v>262</v>
      </c>
    </row>
    <row r="1873" spans="1:7">
      <c r="A1873" s="216">
        <v>45170</v>
      </c>
      <c r="B1873" t="s">
        <v>46</v>
      </c>
      <c r="C1873">
        <v>9</v>
      </c>
      <c r="D1873" t="s">
        <v>450</v>
      </c>
      <c r="E1873" s="217">
        <v>45170</v>
      </c>
      <c r="F1873">
        <v>92264</v>
      </c>
      <c r="G1873" t="s">
        <v>434</v>
      </c>
    </row>
    <row r="1874" spans="1:7">
      <c r="A1874" s="216">
        <v>45170</v>
      </c>
      <c r="B1874" t="s">
        <v>46</v>
      </c>
      <c r="C1874">
        <v>10</v>
      </c>
      <c r="D1874" t="s">
        <v>433</v>
      </c>
      <c r="E1874" s="217">
        <v>45170</v>
      </c>
      <c r="F1874">
        <v>46474</v>
      </c>
      <c r="G1874" t="s">
        <v>251</v>
      </c>
    </row>
    <row r="1875" spans="1:7">
      <c r="A1875" s="216">
        <v>45170</v>
      </c>
      <c r="B1875" t="s">
        <v>46</v>
      </c>
      <c r="C1875">
        <v>10</v>
      </c>
      <c r="D1875" t="s">
        <v>433</v>
      </c>
      <c r="E1875" s="217">
        <v>45170</v>
      </c>
      <c r="F1875">
        <v>48556</v>
      </c>
      <c r="G1875" t="s">
        <v>252</v>
      </c>
    </row>
    <row r="1876" spans="1:7">
      <c r="A1876" s="216">
        <v>45170</v>
      </c>
      <c r="B1876" t="s">
        <v>46</v>
      </c>
      <c r="C1876">
        <v>10</v>
      </c>
      <c r="D1876" t="s">
        <v>433</v>
      </c>
      <c r="E1876" s="217">
        <v>45170</v>
      </c>
      <c r="F1876">
        <v>57388</v>
      </c>
      <c r="G1876" t="s">
        <v>253</v>
      </c>
    </row>
    <row r="1877" spans="1:7">
      <c r="A1877" s="216">
        <v>45170</v>
      </c>
      <c r="B1877" t="s">
        <v>46</v>
      </c>
      <c r="C1877">
        <v>10</v>
      </c>
      <c r="D1877" t="s">
        <v>433</v>
      </c>
      <c r="E1877" s="217">
        <v>45170</v>
      </c>
      <c r="F1877">
        <v>52889</v>
      </c>
      <c r="G1877" t="s">
        <v>254</v>
      </c>
    </row>
    <row r="1878" spans="1:7">
      <c r="A1878" s="216">
        <v>45170</v>
      </c>
      <c r="B1878" t="s">
        <v>46</v>
      </c>
      <c r="C1878">
        <v>10</v>
      </c>
      <c r="D1878" t="s">
        <v>433</v>
      </c>
      <c r="E1878" s="217">
        <v>45170</v>
      </c>
      <c r="F1878">
        <v>49010</v>
      </c>
      <c r="G1878" t="s">
        <v>255</v>
      </c>
    </row>
    <row r="1879" spans="1:7">
      <c r="A1879" s="216">
        <v>45170</v>
      </c>
      <c r="B1879" t="s">
        <v>46</v>
      </c>
      <c r="C1879">
        <v>10</v>
      </c>
      <c r="D1879" t="s">
        <v>433</v>
      </c>
      <c r="E1879" s="217">
        <v>45170</v>
      </c>
      <c r="F1879">
        <v>47997</v>
      </c>
      <c r="G1879" t="s">
        <v>256</v>
      </c>
    </row>
    <row r="1880" spans="1:7">
      <c r="A1880" s="216">
        <v>45170</v>
      </c>
      <c r="B1880" t="s">
        <v>46</v>
      </c>
      <c r="C1880">
        <v>10</v>
      </c>
      <c r="D1880" t="s">
        <v>433</v>
      </c>
      <c r="E1880" s="217">
        <v>45170</v>
      </c>
      <c r="F1880">
        <v>48284</v>
      </c>
      <c r="G1880" t="s">
        <v>257</v>
      </c>
    </row>
    <row r="1881" spans="1:7">
      <c r="A1881" s="216">
        <v>45170</v>
      </c>
      <c r="B1881" t="s">
        <v>46</v>
      </c>
      <c r="C1881">
        <v>10</v>
      </c>
      <c r="D1881" t="s">
        <v>433</v>
      </c>
      <c r="E1881" s="217">
        <v>45170</v>
      </c>
      <c r="F1881">
        <v>47903</v>
      </c>
      <c r="G1881" t="s">
        <v>258</v>
      </c>
    </row>
    <row r="1882" spans="1:7">
      <c r="A1882" s="216">
        <v>45170</v>
      </c>
      <c r="B1882" t="s">
        <v>46</v>
      </c>
      <c r="C1882">
        <v>10</v>
      </c>
      <c r="D1882" t="s">
        <v>433</v>
      </c>
      <c r="E1882" s="217">
        <v>45170</v>
      </c>
      <c r="F1882">
        <v>47676</v>
      </c>
      <c r="G1882" t="s">
        <v>259</v>
      </c>
    </row>
    <row r="1883" spans="1:7">
      <c r="A1883" s="216">
        <v>45170</v>
      </c>
      <c r="B1883" t="s">
        <v>46</v>
      </c>
      <c r="C1883">
        <v>10</v>
      </c>
      <c r="D1883" t="s">
        <v>433</v>
      </c>
      <c r="E1883" s="217">
        <v>45170</v>
      </c>
      <c r="F1883">
        <v>47537</v>
      </c>
      <c r="G1883" t="s">
        <v>260</v>
      </c>
    </row>
    <row r="1884" spans="1:7">
      <c r="A1884" s="216">
        <v>45170</v>
      </c>
      <c r="B1884" t="s">
        <v>46</v>
      </c>
      <c r="C1884">
        <v>10</v>
      </c>
      <c r="D1884" t="s">
        <v>433</v>
      </c>
      <c r="E1884" s="217">
        <v>45170</v>
      </c>
      <c r="F1884">
        <v>47341</v>
      </c>
      <c r="G1884" t="s">
        <v>261</v>
      </c>
    </row>
    <row r="1885" spans="1:7">
      <c r="A1885" s="216">
        <v>45170</v>
      </c>
      <c r="B1885" t="s">
        <v>46</v>
      </c>
      <c r="C1885">
        <v>10</v>
      </c>
      <c r="D1885" t="s">
        <v>433</v>
      </c>
      <c r="E1885" s="217">
        <v>45170</v>
      </c>
      <c r="F1885">
        <v>47431</v>
      </c>
      <c r="G1885" t="s">
        <v>262</v>
      </c>
    </row>
    <row r="1886" spans="1:7">
      <c r="A1886" s="216">
        <v>45170</v>
      </c>
      <c r="B1886" t="s">
        <v>46</v>
      </c>
      <c r="C1886">
        <v>10</v>
      </c>
      <c r="D1886" t="s">
        <v>433</v>
      </c>
      <c r="E1886" s="217">
        <v>45170</v>
      </c>
      <c r="F1886">
        <v>588486</v>
      </c>
      <c r="G1886" t="s">
        <v>434</v>
      </c>
    </row>
    <row r="1887" spans="1:7">
      <c r="A1887" s="216">
        <v>45170</v>
      </c>
      <c r="B1887" t="s">
        <v>46</v>
      </c>
      <c r="C1887">
        <v>11</v>
      </c>
      <c r="D1887" t="s">
        <v>445</v>
      </c>
      <c r="E1887" s="217">
        <v>45170</v>
      </c>
      <c r="F1887">
        <v>8963</v>
      </c>
      <c r="G1887" t="s">
        <v>251</v>
      </c>
    </row>
    <row r="1888" spans="1:7">
      <c r="A1888" s="216">
        <v>45170</v>
      </c>
      <c r="B1888" t="s">
        <v>46</v>
      </c>
      <c r="C1888">
        <v>11</v>
      </c>
      <c r="D1888" t="s">
        <v>445</v>
      </c>
      <c r="E1888" s="217">
        <v>45170</v>
      </c>
      <c r="F1888">
        <v>9363</v>
      </c>
      <c r="G1888" t="s">
        <v>252</v>
      </c>
    </row>
    <row r="1889" spans="1:7">
      <c r="A1889" s="216">
        <v>45170</v>
      </c>
      <c r="B1889" t="s">
        <v>46</v>
      </c>
      <c r="C1889">
        <v>11</v>
      </c>
      <c r="D1889" t="s">
        <v>445</v>
      </c>
      <c r="E1889" s="217">
        <v>45170</v>
      </c>
      <c r="F1889">
        <v>9508</v>
      </c>
      <c r="G1889" t="s">
        <v>253</v>
      </c>
    </row>
    <row r="1890" spans="1:7">
      <c r="A1890" s="216">
        <v>45170</v>
      </c>
      <c r="B1890" t="s">
        <v>46</v>
      </c>
      <c r="C1890">
        <v>11</v>
      </c>
      <c r="D1890" t="s">
        <v>445</v>
      </c>
      <c r="E1890" s="217">
        <v>45170</v>
      </c>
      <c r="F1890">
        <v>10181</v>
      </c>
      <c r="G1890" t="s">
        <v>254</v>
      </c>
    </row>
    <row r="1891" spans="1:7">
      <c r="A1891" s="216">
        <v>45170</v>
      </c>
      <c r="B1891" t="s">
        <v>46</v>
      </c>
      <c r="C1891">
        <v>11</v>
      </c>
      <c r="D1891" t="s">
        <v>445</v>
      </c>
      <c r="E1891" s="217">
        <v>45170</v>
      </c>
      <c r="F1891">
        <v>9552</v>
      </c>
      <c r="G1891" t="s">
        <v>255</v>
      </c>
    </row>
    <row r="1892" spans="1:7">
      <c r="A1892" s="216">
        <v>45170</v>
      </c>
      <c r="B1892" t="s">
        <v>46</v>
      </c>
      <c r="C1892">
        <v>11</v>
      </c>
      <c r="D1892" t="s">
        <v>445</v>
      </c>
      <c r="E1892" s="217">
        <v>45170</v>
      </c>
      <c r="F1892">
        <v>9226</v>
      </c>
      <c r="G1892" t="s">
        <v>256</v>
      </c>
    </row>
    <row r="1893" spans="1:7">
      <c r="A1893" s="216">
        <v>45170</v>
      </c>
      <c r="B1893" t="s">
        <v>46</v>
      </c>
      <c r="C1893">
        <v>11</v>
      </c>
      <c r="D1893" t="s">
        <v>445</v>
      </c>
      <c r="E1893" s="217">
        <v>45170</v>
      </c>
      <c r="F1893">
        <v>9746</v>
      </c>
      <c r="G1893" t="s">
        <v>257</v>
      </c>
    </row>
    <row r="1894" spans="1:7">
      <c r="A1894" s="216">
        <v>45170</v>
      </c>
      <c r="B1894" t="s">
        <v>46</v>
      </c>
      <c r="C1894">
        <v>11</v>
      </c>
      <c r="D1894" t="s">
        <v>445</v>
      </c>
      <c r="E1894" s="217">
        <v>45170</v>
      </c>
      <c r="F1894">
        <v>7721</v>
      </c>
      <c r="G1894" t="s">
        <v>258</v>
      </c>
    </row>
    <row r="1895" spans="1:7">
      <c r="A1895" s="216">
        <v>45170</v>
      </c>
      <c r="B1895" t="s">
        <v>46</v>
      </c>
      <c r="C1895">
        <v>11</v>
      </c>
      <c r="D1895" t="s">
        <v>445</v>
      </c>
      <c r="E1895" s="217">
        <v>45170</v>
      </c>
      <c r="F1895">
        <v>7641</v>
      </c>
      <c r="G1895" t="s">
        <v>259</v>
      </c>
    </row>
    <row r="1896" spans="1:7">
      <c r="A1896" s="216">
        <v>45170</v>
      </c>
      <c r="B1896" t="s">
        <v>46</v>
      </c>
      <c r="C1896">
        <v>11</v>
      </c>
      <c r="D1896" t="s">
        <v>445</v>
      </c>
      <c r="E1896" s="217">
        <v>45170</v>
      </c>
      <c r="F1896">
        <v>7500</v>
      </c>
      <c r="G1896" t="s">
        <v>260</v>
      </c>
    </row>
    <row r="1897" spans="1:7">
      <c r="A1897" s="216">
        <v>45170</v>
      </c>
      <c r="B1897" t="s">
        <v>46</v>
      </c>
      <c r="C1897">
        <v>11</v>
      </c>
      <c r="D1897" t="s">
        <v>445</v>
      </c>
      <c r="E1897" s="217">
        <v>45170</v>
      </c>
      <c r="F1897">
        <v>7650</v>
      </c>
      <c r="G1897" t="s">
        <v>261</v>
      </c>
    </row>
    <row r="1898" spans="1:7">
      <c r="A1898" s="216">
        <v>45170</v>
      </c>
      <c r="B1898" t="s">
        <v>46</v>
      </c>
      <c r="C1898">
        <v>11</v>
      </c>
      <c r="D1898" t="s">
        <v>445</v>
      </c>
      <c r="E1898" s="217">
        <v>45170</v>
      </c>
      <c r="F1898">
        <v>12213</v>
      </c>
      <c r="G1898" t="s">
        <v>262</v>
      </c>
    </row>
    <row r="1899" spans="1:7">
      <c r="A1899" s="216">
        <v>45170</v>
      </c>
      <c r="B1899" t="s">
        <v>46</v>
      </c>
      <c r="C1899">
        <v>11</v>
      </c>
      <c r="D1899" t="s">
        <v>445</v>
      </c>
      <c r="E1899" s="217">
        <v>45170</v>
      </c>
      <c r="F1899">
        <v>109264</v>
      </c>
      <c r="G1899" t="s">
        <v>434</v>
      </c>
    </row>
    <row r="1900" spans="1:7">
      <c r="A1900" s="216">
        <v>45170</v>
      </c>
      <c r="B1900" t="s">
        <v>46</v>
      </c>
      <c r="C1900">
        <v>12</v>
      </c>
      <c r="D1900" t="s">
        <v>454</v>
      </c>
      <c r="E1900" s="217">
        <v>45170</v>
      </c>
      <c r="F1900">
        <v>4718</v>
      </c>
      <c r="G1900" t="s">
        <v>251</v>
      </c>
    </row>
    <row r="1901" spans="1:7">
      <c r="A1901" s="216">
        <v>45170</v>
      </c>
      <c r="B1901" t="s">
        <v>46</v>
      </c>
      <c r="C1901">
        <v>12</v>
      </c>
      <c r="D1901" t="s">
        <v>454</v>
      </c>
      <c r="E1901" s="217">
        <v>45170</v>
      </c>
      <c r="F1901">
        <v>4844</v>
      </c>
      <c r="G1901" t="s">
        <v>252</v>
      </c>
    </row>
    <row r="1902" spans="1:7">
      <c r="A1902" s="216">
        <v>45170</v>
      </c>
      <c r="B1902" t="s">
        <v>46</v>
      </c>
      <c r="C1902">
        <v>12</v>
      </c>
      <c r="D1902" t="s">
        <v>454</v>
      </c>
      <c r="E1902" s="217">
        <v>45170</v>
      </c>
      <c r="F1902">
        <v>5158</v>
      </c>
      <c r="G1902" t="s">
        <v>253</v>
      </c>
    </row>
    <row r="1903" spans="1:7">
      <c r="A1903" s="216">
        <v>45170</v>
      </c>
      <c r="B1903" t="s">
        <v>46</v>
      </c>
      <c r="C1903">
        <v>12</v>
      </c>
      <c r="D1903" t="s">
        <v>454</v>
      </c>
      <c r="E1903" s="217">
        <v>45170</v>
      </c>
      <c r="F1903">
        <v>4755</v>
      </c>
      <c r="G1903" t="s">
        <v>254</v>
      </c>
    </row>
    <row r="1904" spans="1:7">
      <c r="A1904" s="216">
        <v>45170</v>
      </c>
      <c r="B1904" t="s">
        <v>46</v>
      </c>
      <c r="C1904">
        <v>12</v>
      </c>
      <c r="D1904" t="s">
        <v>454</v>
      </c>
      <c r="E1904" s="217">
        <v>45170</v>
      </c>
      <c r="F1904">
        <v>4988</v>
      </c>
      <c r="G1904" t="s">
        <v>255</v>
      </c>
    </row>
    <row r="1905" spans="1:7">
      <c r="A1905" s="216">
        <v>45170</v>
      </c>
      <c r="B1905" t="s">
        <v>46</v>
      </c>
      <c r="C1905">
        <v>12</v>
      </c>
      <c r="D1905" t="s">
        <v>454</v>
      </c>
      <c r="E1905" s="217">
        <v>45170</v>
      </c>
      <c r="F1905">
        <v>5355</v>
      </c>
      <c r="G1905" t="s">
        <v>256</v>
      </c>
    </row>
    <row r="1906" spans="1:7">
      <c r="A1906" s="216">
        <v>45170</v>
      </c>
      <c r="B1906" t="s">
        <v>46</v>
      </c>
      <c r="C1906">
        <v>12</v>
      </c>
      <c r="D1906" t="s">
        <v>454</v>
      </c>
      <c r="E1906" s="217">
        <v>45170</v>
      </c>
      <c r="F1906">
        <v>5402</v>
      </c>
      <c r="G1906" t="s">
        <v>257</v>
      </c>
    </row>
    <row r="1907" spans="1:7">
      <c r="A1907" s="216">
        <v>45170</v>
      </c>
      <c r="B1907" t="s">
        <v>46</v>
      </c>
      <c r="C1907">
        <v>12</v>
      </c>
      <c r="D1907" t="s">
        <v>454</v>
      </c>
      <c r="E1907" s="217">
        <v>45170</v>
      </c>
      <c r="F1907">
        <v>4800</v>
      </c>
      <c r="G1907" t="s">
        <v>258</v>
      </c>
    </row>
    <row r="1908" spans="1:7">
      <c r="A1908" s="216">
        <v>45170</v>
      </c>
      <c r="B1908" t="s">
        <v>46</v>
      </c>
      <c r="C1908">
        <v>12</v>
      </c>
      <c r="D1908" t="s">
        <v>454</v>
      </c>
      <c r="E1908" s="217">
        <v>45170</v>
      </c>
      <c r="F1908">
        <v>4667</v>
      </c>
      <c r="G1908" t="s">
        <v>259</v>
      </c>
    </row>
    <row r="1909" spans="1:7">
      <c r="A1909" s="216">
        <v>45170</v>
      </c>
      <c r="B1909" t="s">
        <v>46</v>
      </c>
      <c r="C1909">
        <v>12</v>
      </c>
      <c r="D1909" t="s">
        <v>454</v>
      </c>
      <c r="E1909" s="217">
        <v>45170</v>
      </c>
      <c r="F1909">
        <v>4676</v>
      </c>
      <c r="G1909" t="s">
        <v>260</v>
      </c>
    </row>
    <row r="1910" spans="1:7">
      <c r="A1910" s="216">
        <v>45170</v>
      </c>
      <c r="B1910" t="s">
        <v>46</v>
      </c>
      <c r="C1910">
        <v>12</v>
      </c>
      <c r="D1910" t="s">
        <v>454</v>
      </c>
      <c r="E1910" s="217">
        <v>45170</v>
      </c>
      <c r="F1910">
        <v>4685</v>
      </c>
      <c r="G1910" t="s">
        <v>261</v>
      </c>
    </row>
    <row r="1911" spans="1:7">
      <c r="A1911" s="216">
        <v>45170</v>
      </c>
      <c r="B1911" t="s">
        <v>46</v>
      </c>
      <c r="C1911">
        <v>12</v>
      </c>
      <c r="D1911" t="s">
        <v>454</v>
      </c>
      <c r="E1911" s="217">
        <v>45170</v>
      </c>
      <c r="F1911">
        <v>4626</v>
      </c>
      <c r="G1911" t="s">
        <v>262</v>
      </c>
    </row>
    <row r="1912" spans="1:7">
      <c r="A1912" s="216">
        <v>45170</v>
      </c>
      <c r="B1912" t="s">
        <v>46</v>
      </c>
      <c r="C1912">
        <v>12</v>
      </c>
      <c r="D1912" t="s">
        <v>454</v>
      </c>
      <c r="E1912" s="217">
        <v>45170</v>
      </c>
      <c r="F1912">
        <v>58674</v>
      </c>
      <c r="G1912" t="s">
        <v>434</v>
      </c>
    </row>
    <row r="1913" spans="1:7">
      <c r="A1913" s="216">
        <v>45170</v>
      </c>
      <c r="B1913" t="s">
        <v>46</v>
      </c>
      <c r="C1913">
        <v>13</v>
      </c>
      <c r="D1913" t="s">
        <v>441</v>
      </c>
      <c r="E1913" s="217">
        <v>45170</v>
      </c>
      <c r="F1913">
        <v>15430</v>
      </c>
      <c r="G1913" t="s">
        <v>251</v>
      </c>
    </row>
    <row r="1914" spans="1:7">
      <c r="A1914" s="216">
        <v>45170</v>
      </c>
      <c r="B1914" t="s">
        <v>46</v>
      </c>
      <c r="C1914">
        <v>13</v>
      </c>
      <c r="D1914" t="s">
        <v>441</v>
      </c>
      <c r="E1914" s="217">
        <v>45170</v>
      </c>
      <c r="F1914">
        <v>15691</v>
      </c>
      <c r="G1914" t="s">
        <v>252</v>
      </c>
    </row>
    <row r="1915" spans="1:7">
      <c r="A1915" s="216">
        <v>45170</v>
      </c>
      <c r="B1915" t="s">
        <v>46</v>
      </c>
      <c r="C1915">
        <v>13</v>
      </c>
      <c r="D1915" t="s">
        <v>441</v>
      </c>
      <c r="E1915" s="217">
        <v>45170</v>
      </c>
      <c r="F1915">
        <v>15625</v>
      </c>
      <c r="G1915" t="s">
        <v>253</v>
      </c>
    </row>
    <row r="1916" spans="1:7">
      <c r="A1916" s="216">
        <v>45170</v>
      </c>
      <c r="B1916" t="s">
        <v>46</v>
      </c>
      <c r="C1916">
        <v>13</v>
      </c>
      <c r="D1916" t="s">
        <v>441</v>
      </c>
      <c r="E1916" s="217">
        <v>45170</v>
      </c>
      <c r="F1916">
        <v>15472</v>
      </c>
      <c r="G1916" t="s">
        <v>254</v>
      </c>
    </row>
    <row r="1917" spans="1:7">
      <c r="A1917" s="216">
        <v>45170</v>
      </c>
      <c r="B1917" t="s">
        <v>46</v>
      </c>
      <c r="C1917">
        <v>13</v>
      </c>
      <c r="D1917" t="s">
        <v>441</v>
      </c>
      <c r="E1917" s="217">
        <v>45170</v>
      </c>
      <c r="F1917">
        <v>15568</v>
      </c>
      <c r="G1917" t="s">
        <v>255</v>
      </c>
    </row>
    <row r="1918" spans="1:7">
      <c r="A1918" s="216">
        <v>45170</v>
      </c>
      <c r="B1918" t="s">
        <v>46</v>
      </c>
      <c r="C1918">
        <v>13</v>
      </c>
      <c r="D1918" t="s">
        <v>441</v>
      </c>
      <c r="E1918" s="217">
        <v>45170</v>
      </c>
      <c r="F1918">
        <v>15939</v>
      </c>
      <c r="G1918" t="s">
        <v>256</v>
      </c>
    </row>
    <row r="1919" spans="1:7">
      <c r="A1919" s="216">
        <v>45170</v>
      </c>
      <c r="B1919" t="s">
        <v>46</v>
      </c>
      <c r="C1919">
        <v>13</v>
      </c>
      <c r="D1919" t="s">
        <v>441</v>
      </c>
      <c r="E1919" s="217">
        <v>45170</v>
      </c>
      <c r="F1919">
        <v>15315</v>
      </c>
      <c r="G1919" t="s">
        <v>257</v>
      </c>
    </row>
    <row r="1920" spans="1:7">
      <c r="A1920" s="216">
        <v>45170</v>
      </c>
      <c r="B1920" t="s">
        <v>46</v>
      </c>
      <c r="C1920">
        <v>13</v>
      </c>
      <c r="D1920" t="s">
        <v>441</v>
      </c>
      <c r="E1920" s="217">
        <v>45170</v>
      </c>
      <c r="F1920">
        <v>15461</v>
      </c>
      <c r="G1920" t="s">
        <v>258</v>
      </c>
    </row>
    <row r="1921" spans="1:7">
      <c r="A1921" s="216">
        <v>45170</v>
      </c>
      <c r="B1921" t="s">
        <v>46</v>
      </c>
      <c r="C1921">
        <v>13</v>
      </c>
      <c r="D1921" t="s">
        <v>441</v>
      </c>
      <c r="E1921" s="217">
        <v>45170</v>
      </c>
      <c r="F1921">
        <v>15451</v>
      </c>
      <c r="G1921" t="s">
        <v>259</v>
      </c>
    </row>
    <row r="1922" spans="1:7">
      <c r="A1922" s="216">
        <v>45170</v>
      </c>
      <c r="B1922" t="s">
        <v>46</v>
      </c>
      <c r="C1922">
        <v>13</v>
      </c>
      <c r="D1922" t="s">
        <v>441</v>
      </c>
      <c r="E1922" s="217">
        <v>45170</v>
      </c>
      <c r="F1922">
        <v>15493</v>
      </c>
      <c r="G1922" t="s">
        <v>260</v>
      </c>
    </row>
    <row r="1923" spans="1:7">
      <c r="A1923" s="216">
        <v>45170</v>
      </c>
      <c r="B1923" t="s">
        <v>46</v>
      </c>
      <c r="C1923">
        <v>13</v>
      </c>
      <c r="D1923" t="s">
        <v>441</v>
      </c>
      <c r="E1923" s="217">
        <v>45170</v>
      </c>
      <c r="F1923">
        <v>15493</v>
      </c>
      <c r="G1923" t="s">
        <v>261</v>
      </c>
    </row>
    <row r="1924" spans="1:7">
      <c r="A1924" s="216">
        <v>45170</v>
      </c>
      <c r="B1924" t="s">
        <v>46</v>
      </c>
      <c r="C1924">
        <v>13</v>
      </c>
      <c r="D1924" t="s">
        <v>441</v>
      </c>
      <c r="E1924" s="217">
        <v>45170</v>
      </c>
      <c r="F1924">
        <v>15493</v>
      </c>
      <c r="G1924" t="s">
        <v>262</v>
      </c>
    </row>
    <row r="1925" spans="1:7">
      <c r="A1925" s="216">
        <v>45170</v>
      </c>
      <c r="B1925" t="s">
        <v>46</v>
      </c>
      <c r="C1925">
        <v>13</v>
      </c>
      <c r="D1925" t="s">
        <v>441</v>
      </c>
      <c r="E1925" s="217">
        <v>45170</v>
      </c>
      <c r="F1925">
        <v>186431</v>
      </c>
      <c r="G1925" t="s">
        <v>434</v>
      </c>
    </row>
    <row r="1926" spans="1:7">
      <c r="A1926" s="216">
        <v>45170</v>
      </c>
      <c r="B1926" t="s">
        <v>46</v>
      </c>
      <c r="C1926">
        <v>14</v>
      </c>
      <c r="D1926" t="s">
        <v>447</v>
      </c>
      <c r="E1926" s="217">
        <v>45170</v>
      </c>
      <c r="F1926">
        <v>0</v>
      </c>
      <c r="G1926" t="s">
        <v>251</v>
      </c>
    </row>
    <row r="1927" spans="1:7">
      <c r="A1927" s="216">
        <v>45170</v>
      </c>
      <c r="B1927" t="s">
        <v>46</v>
      </c>
      <c r="C1927">
        <v>14</v>
      </c>
      <c r="D1927" t="s">
        <v>447</v>
      </c>
      <c r="E1927" s="217">
        <v>45170</v>
      </c>
      <c r="F1927">
        <v>0</v>
      </c>
      <c r="G1927" t="s">
        <v>252</v>
      </c>
    </row>
    <row r="1928" spans="1:7">
      <c r="A1928" s="216">
        <v>45170</v>
      </c>
      <c r="B1928" t="s">
        <v>46</v>
      </c>
      <c r="C1928">
        <v>14</v>
      </c>
      <c r="D1928" t="s">
        <v>447</v>
      </c>
      <c r="E1928" s="217">
        <v>45170</v>
      </c>
      <c r="F1928">
        <v>0</v>
      </c>
      <c r="G1928" t="s">
        <v>253</v>
      </c>
    </row>
    <row r="1929" spans="1:7">
      <c r="A1929" s="216">
        <v>45170</v>
      </c>
      <c r="B1929" t="s">
        <v>46</v>
      </c>
      <c r="C1929">
        <v>14</v>
      </c>
      <c r="D1929" t="s">
        <v>447</v>
      </c>
      <c r="E1929" s="217">
        <v>45170</v>
      </c>
      <c r="F1929">
        <v>0</v>
      </c>
      <c r="G1929" t="s">
        <v>254</v>
      </c>
    </row>
    <row r="1930" spans="1:7">
      <c r="A1930" s="216">
        <v>45170</v>
      </c>
      <c r="B1930" t="s">
        <v>46</v>
      </c>
      <c r="C1930">
        <v>14</v>
      </c>
      <c r="D1930" t="s">
        <v>447</v>
      </c>
      <c r="E1930" s="217">
        <v>45170</v>
      </c>
      <c r="F1930">
        <v>0</v>
      </c>
      <c r="G1930" t="s">
        <v>255</v>
      </c>
    </row>
    <row r="1931" spans="1:7">
      <c r="A1931" s="216">
        <v>45170</v>
      </c>
      <c r="B1931" t="s">
        <v>46</v>
      </c>
      <c r="C1931">
        <v>14</v>
      </c>
      <c r="D1931" t="s">
        <v>447</v>
      </c>
      <c r="E1931" s="217">
        <v>45170</v>
      </c>
      <c r="F1931">
        <v>0</v>
      </c>
      <c r="G1931" t="s">
        <v>256</v>
      </c>
    </row>
    <row r="1932" spans="1:7">
      <c r="A1932" s="216">
        <v>45170</v>
      </c>
      <c r="B1932" t="s">
        <v>46</v>
      </c>
      <c r="C1932">
        <v>14</v>
      </c>
      <c r="D1932" t="s">
        <v>447</v>
      </c>
      <c r="E1932" s="217">
        <v>45170</v>
      </c>
      <c r="F1932">
        <v>0</v>
      </c>
      <c r="G1932" t="s">
        <v>257</v>
      </c>
    </row>
    <row r="1933" spans="1:7">
      <c r="A1933" s="216">
        <v>45170</v>
      </c>
      <c r="B1933" t="s">
        <v>46</v>
      </c>
      <c r="C1933">
        <v>14</v>
      </c>
      <c r="D1933" t="s">
        <v>447</v>
      </c>
      <c r="E1933" s="217">
        <v>45170</v>
      </c>
      <c r="F1933">
        <v>0</v>
      </c>
      <c r="G1933" t="s">
        <v>258</v>
      </c>
    </row>
    <row r="1934" spans="1:7">
      <c r="A1934" s="216">
        <v>45170</v>
      </c>
      <c r="B1934" t="s">
        <v>46</v>
      </c>
      <c r="C1934">
        <v>14</v>
      </c>
      <c r="D1934" t="s">
        <v>447</v>
      </c>
      <c r="E1934" s="217">
        <v>45170</v>
      </c>
      <c r="F1934">
        <v>0</v>
      </c>
      <c r="G1934" t="s">
        <v>259</v>
      </c>
    </row>
    <row r="1935" spans="1:7">
      <c r="A1935" s="216">
        <v>45170</v>
      </c>
      <c r="B1935" t="s">
        <v>46</v>
      </c>
      <c r="C1935">
        <v>14</v>
      </c>
      <c r="D1935" t="s">
        <v>447</v>
      </c>
      <c r="E1935" s="217">
        <v>45170</v>
      </c>
      <c r="F1935">
        <v>0</v>
      </c>
      <c r="G1935" t="s">
        <v>260</v>
      </c>
    </row>
    <row r="1936" spans="1:7">
      <c r="A1936" s="216">
        <v>45170</v>
      </c>
      <c r="B1936" t="s">
        <v>46</v>
      </c>
      <c r="C1936">
        <v>14</v>
      </c>
      <c r="D1936" t="s">
        <v>447</v>
      </c>
      <c r="E1936" s="217">
        <v>45170</v>
      </c>
      <c r="F1936">
        <v>0</v>
      </c>
      <c r="G1936" t="s">
        <v>261</v>
      </c>
    </row>
    <row r="1937" spans="1:7">
      <c r="A1937" s="216">
        <v>45170</v>
      </c>
      <c r="B1937" t="s">
        <v>46</v>
      </c>
      <c r="C1937">
        <v>14</v>
      </c>
      <c r="D1937" t="s">
        <v>447</v>
      </c>
      <c r="E1937" s="217">
        <v>45170</v>
      </c>
      <c r="F1937">
        <v>0</v>
      </c>
      <c r="G1937" t="s">
        <v>262</v>
      </c>
    </row>
    <row r="1938" spans="1:7">
      <c r="A1938" s="216">
        <v>45170</v>
      </c>
      <c r="B1938" t="s">
        <v>46</v>
      </c>
      <c r="C1938">
        <v>14</v>
      </c>
      <c r="D1938" t="s">
        <v>447</v>
      </c>
      <c r="E1938" s="217">
        <v>45170</v>
      </c>
      <c r="F1938">
        <v>0</v>
      </c>
      <c r="G1938" t="s">
        <v>434</v>
      </c>
    </row>
    <row r="1939" spans="1:7">
      <c r="A1939" s="216">
        <v>45170</v>
      </c>
      <c r="B1939" t="s">
        <v>46</v>
      </c>
      <c r="C1939">
        <v>15</v>
      </c>
      <c r="D1939" t="s">
        <v>437</v>
      </c>
      <c r="E1939" s="217">
        <v>45170</v>
      </c>
      <c r="F1939">
        <v>4464</v>
      </c>
      <c r="G1939" t="s">
        <v>251</v>
      </c>
    </row>
    <row r="1940" spans="1:7">
      <c r="A1940" s="216">
        <v>45170</v>
      </c>
      <c r="B1940" t="s">
        <v>46</v>
      </c>
      <c r="C1940">
        <v>15</v>
      </c>
      <c r="D1940" t="s">
        <v>437</v>
      </c>
      <c r="E1940" s="217">
        <v>45170</v>
      </c>
      <c r="F1940">
        <v>4616</v>
      </c>
      <c r="G1940" t="s">
        <v>252</v>
      </c>
    </row>
    <row r="1941" spans="1:7">
      <c r="A1941" s="216">
        <v>45170</v>
      </c>
      <c r="B1941" t="s">
        <v>46</v>
      </c>
      <c r="C1941">
        <v>15</v>
      </c>
      <c r="D1941" t="s">
        <v>437</v>
      </c>
      <c r="E1941" s="217">
        <v>45170</v>
      </c>
      <c r="F1941">
        <v>4571</v>
      </c>
      <c r="G1941" t="s">
        <v>253</v>
      </c>
    </row>
    <row r="1942" spans="1:7">
      <c r="A1942" s="216">
        <v>45170</v>
      </c>
      <c r="B1942" t="s">
        <v>46</v>
      </c>
      <c r="C1942">
        <v>15</v>
      </c>
      <c r="D1942" t="s">
        <v>437</v>
      </c>
      <c r="E1942" s="217">
        <v>45170</v>
      </c>
      <c r="F1942">
        <v>4865</v>
      </c>
      <c r="G1942" t="s">
        <v>254</v>
      </c>
    </row>
    <row r="1943" spans="1:7">
      <c r="A1943" s="216">
        <v>45170</v>
      </c>
      <c r="B1943" t="s">
        <v>46</v>
      </c>
      <c r="C1943">
        <v>15</v>
      </c>
      <c r="D1943" t="s">
        <v>437</v>
      </c>
      <c r="E1943" s="217">
        <v>45170</v>
      </c>
      <c r="F1943">
        <v>4829</v>
      </c>
      <c r="G1943" t="s">
        <v>255</v>
      </c>
    </row>
    <row r="1944" spans="1:7">
      <c r="A1944" s="216">
        <v>45170</v>
      </c>
      <c r="B1944" t="s">
        <v>46</v>
      </c>
      <c r="C1944">
        <v>15</v>
      </c>
      <c r="D1944" t="s">
        <v>437</v>
      </c>
      <c r="E1944" s="217">
        <v>45170</v>
      </c>
      <c r="F1944">
        <v>5523</v>
      </c>
      <c r="G1944" t="s">
        <v>256</v>
      </c>
    </row>
    <row r="1945" spans="1:7">
      <c r="A1945" s="216">
        <v>45170</v>
      </c>
      <c r="B1945" t="s">
        <v>46</v>
      </c>
      <c r="C1945">
        <v>15</v>
      </c>
      <c r="D1945" t="s">
        <v>437</v>
      </c>
      <c r="E1945" s="217">
        <v>45170</v>
      </c>
      <c r="F1945">
        <v>8117</v>
      </c>
      <c r="G1945" t="s">
        <v>257</v>
      </c>
    </row>
    <row r="1946" spans="1:7">
      <c r="A1946" s="216">
        <v>45170</v>
      </c>
      <c r="B1946" t="s">
        <v>46</v>
      </c>
      <c r="C1946">
        <v>15</v>
      </c>
      <c r="D1946" t="s">
        <v>437</v>
      </c>
      <c r="E1946" s="217">
        <v>45170</v>
      </c>
      <c r="F1946">
        <v>5102</v>
      </c>
      <c r="G1946" t="s">
        <v>258</v>
      </c>
    </row>
    <row r="1947" spans="1:7">
      <c r="A1947" s="216">
        <v>45170</v>
      </c>
      <c r="B1947" t="s">
        <v>46</v>
      </c>
      <c r="C1947">
        <v>15</v>
      </c>
      <c r="D1947" t="s">
        <v>437</v>
      </c>
      <c r="E1947" s="217">
        <v>45170</v>
      </c>
      <c r="F1947">
        <v>5256</v>
      </c>
      <c r="G1947" t="s">
        <v>259</v>
      </c>
    </row>
    <row r="1948" spans="1:7">
      <c r="A1948" s="216">
        <v>45170</v>
      </c>
      <c r="B1948" t="s">
        <v>46</v>
      </c>
      <c r="C1948">
        <v>15</v>
      </c>
      <c r="D1948" t="s">
        <v>437</v>
      </c>
      <c r="E1948" s="217">
        <v>45170</v>
      </c>
      <c r="F1948">
        <v>5217</v>
      </c>
      <c r="G1948" t="s">
        <v>260</v>
      </c>
    </row>
    <row r="1949" spans="1:7">
      <c r="A1949" s="216">
        <v>45170</v>
      </c>
      <c r="B1949" t="s">
        <v>46</v>
      </c>
      <c r="C1949">
        <v>15</v>
      </c>
      <c r="D1949" t="s">
        <v>437</v>
      </c>
      <c r="E1949" s="217">
        <v>45170</v>
      </c>
      <c r="F1949">
        <v>4909</v>
      </c>
      <c r="G1949" t="s">
        <v>261</v>
      </c>
    </row>
    <row r="1950" spans="1:7">
      <c r="A1950" s="216">
        <v>45170</v>
      </c>
      <c r="B1950" t="s">
        <v>46</v>
      </c>
      <c r="C1950">
        <v>15</v>
      </c>
      <c r="D1950" t="s">
        <v>437</v>
      </c>
      <c r="E1950" s="217">
        <v>45170</v>
      </c>
      <c r="F1950">
        <v>5217</v>
      </c>
      <c r="G1950" t="s">
        <v>262</v>
      </c>
    </row>
    <row r="1951" spans="1:7">
      <c r="A1951" s="216">
        <v>45170</v>
      </c>
      <c r="B1951" t="s">
        <v>46</v>
      </c>
      <c r="C1951">
        <v>15</v>
      </c>
      <c r="D1951" t="s">
        <v>437</v>
      </c>
      <c r="E1951" s="217">
        <v>45170</v>
      </c>
      <c r="F1951">
        <v>62686</v>
      </c>
      <c r="G1951" t="s">
        <v>434</v>
      </c>
    </row>
    <row r="1952" spans="1:7">
      <c r="A1952" s="216">
        <v>45170</v>
      </c>
      <c r="B1952" t="s">
        <v>46</v>
      </c>
      <c r="C1952">
        <v>16</v>
      </c>
      <c r="D1952" t="s">
        <v>449</v>
      </c>
      <c r="E1952" s="217">
        <v>45170</v>
      </c>
      <c r="F1952">
        <v>198</v>
      </c>
      <c r="G1952" t="s">
        <v>251</v>
      </c>
    </row>
    <row r="1953" spans="1:7">
      <c r="A1953" s="216">
        <v>45170</v>
      </c>
      <c r="B1953" t="s">
        <v>46</v>
      </c>
      <c r="C1953">
        <v>16</v>
      </c>
      <c r="D1953" t="s">
        <v>449</v>
      </c>
      <c r="E1953" s="217">
        <v>45170</v>
      </c>
      <c r="F1953">
        <v>171</v>
      </c>
      <c r="G1953" t="s">
        <v>252</v>
      </c>
    </row>
    <row r="1954" spans="1:7">
      <c r="A1954" s="216">
        <v>45170</v>
      </c>
      <c r="B1954" t="s">
        <v>46</v>
      </c>
      <c r="C1954">
        <v>16</v>
      </c>
      <c r="D1954" t="s">
        <v>449</v>
      </c>
      <c r="E1954" s="217">
        <v>45170</v>
      </c>
      <c r="F1954">
        <v>251</v>
      </c>
      <c r="G1954" t="s">
        <v>253</v>
      </c>
    </row>
    <row r="1955" spans="1:7">
      <c r="A1955" s="216">
        <v>45170</v>
      </c>
      <c r="B1955" t="s">
        <v>46</v>
      </c>
      <c r="C1955">
        <v>16</v>
      </c>
      <c r="D1955" t="s">
        <v>449</v>
      </c>
      <c r="E1955" s="217">
        <v>45170</v>
      </c>
      <c r="F1955">
        <v>238</v>
      </c>
      <c r="G1955" t="s">
        <v>254</v>
      </c>
    </row>
    <row r="1956" spans="1:7">
      <c r="A1956" s="216">
        <v>45170</v>
      </c>
      <c r="B1956" t="s">
        <v>46</v>
      </c>
      <c r="C1956">
        <v>16</v>
      </c>
      <c r="D1956" t="s">
        <v>449</v>
      </c>
      <c r="E1956" s="217">
        <v>45170</v>
      </c>
      <c r="F1956">
        <v>259</v>
      </c>
      <c r="G1956" t="s">
        <v>255</v>
      </c>
    </row>
    <row r="1957" spans="1:7">
      <c r="A1957" s="216">
        <v>45170</v>
      </c>
      <c r="B1957" t="s">
        <v>46</v>
      </c>
      <c r="C1957">
        <v>16</v>
      </c>
      <c r="D1957" t="s">
        <v>449</v>
      </c>
      <c r="E1957" s="217">
        <v>45170</v>
      </c>
      <c r="F1957">
        <v>230</v>
      </c>
      <c r="G1957" t="s">
        <v>256</v>
      </c>
    </row>
    <row r="1958" spans="1:7">
      <c r="A1958" s="216">
        <v>45170</v>
      </c>
      <c r="B1958" t="s">
        <v>46</v>
      </c>
      <c r="C1958">
        <v>16</v>
      </c>
      <c r="D1958" t="s">
        <v>449</v>
      </c>
      <c r="E1958" s="217">
        <v>45170</v>
      </c>
      <c r="F1958">
        <v>142</v>
      </c>
      <c r="G1958" t="s">
        <v>257</v>
      </c>
    </row>
    <row r="1959" spans="1:7">
      <c r="A1959" s="216">
        <v>45170</v>
      </c>
      <c r="B1959" t="s">
        <v>46</v>
      </c>
      <c r="C1959">
        <v>16</v>
      </c>
      <c r="D1959" t="s">
        <v>449</v>
      </c>
      <c r="E1959" s="217">
        <v>45170</v>
      </c>
      <c r="F1959">
        <v>142</v>
      </c>
      <c r="G1959" t="s">
        <v>258</v>
      </c>
    </row>
    <row r="1960" spans="1:7">
      <c r="A1960" s="216">
        <v>45170</v>
      </c>
      <c r="B1960" t="s">
        <v>46</v>
      </c>
      <c r="C1960">
        <v>16</v>
      </c>
      <c r="D1960" t="s">
        <v>449</v>
      </c>
      <c r="E1960" s="217">
        <v>45170</v>
      </c>
      <c r="F1960">
        <v>154</v>
      </c>
      <c r="G1960" t="s">
        <v>259</v>
      </c>
    </row>
    <row r="1961" spans="1:7">
      <c r="A1961" s="216">
        <v>45170</v>
      </c>
      <c r="B1961" t="s">
        <v>46</v>
      </c>
      <c r="C1961">
        <v>16</v>
      </c>
      <c r="D1961" t="s">
        <v>449</v>
      </c>
      <c r="E1961" s="217">
        <v>45170</v>
      </c>
      <c r="F1961">
        <v>142</v>
      </c>
      <c r="G1961" t="s">
        <v>260</v>
      </c>
    </row>
    <row r="1962" spans="1:7">
      <c r="A1962" s="216">
        <v>45170</v>
      </c>
      <c r="B1962" t="s">
        <v>46</v>
      </c>
      <c r="C1962">
        <v>16</v>
      </c>
      <c r="D1962" t="s">
        <v>449</v>
      </c>
      <c r="E1962" s="217">
        <v>45170</v>
      </c>
      <c r="F1962">
        <v>142</v>
      </c>
      <c r="G1962" t="s">
        <v>261</v>
      </c>
    </row>
    <row r="1963" spans="1:7">
      <c r="A1963" s="216">
        <v>45170</v>
      </c>
      <c r="B1963" t="s">
        <v>46</v>
      </c>
      <c r="C1963">
        <v>16</v>
      </c>
      <c r="D1963" t="s">
        <v>449</v>
      </c>
      <c r="E1963" s="217">
        <v>45170</v>
      </c>
      <c r="F1963">
        <v>142</v>
      </c>
      <c r="G1963" t="s">
        <v>262</v>
      </c>
    </row>
    <row r="1964" spans="1:7">
      <c r="A1964" s="216">
        <v>45170</v>
      </c>
      <c r="B1964" t="s">
        <v>46</v>
      </c>
      <c r="C1964">
        <v>16</v>
      </c>
      <c r="D1964" t="s">
        <v>449</v>
      </c>
      <c r="E1964" s="217">
        <v>45170</v>
      </c>
      <c r="F1964">
        <v>2211</v>
      </c>
      <c r="G1964" t="s">
        <v>434</v>
      </c>
    </row>
    <row r="1965" spans="1:7">
      <c r="A1965" s="216">
        <v>45170</v>
      </c>
      <c r="B1965" t="s">
        <v>46</v>
      </c>
      <c r="C1965">
        <v>17</v>
      </c>
      <c r="D1965" t="s">
        <v>443</v>
      </c>
      <c r="E1965" s="217">
        <v>45170</v>
      </c>
      <c r="F1965">
        <v>104</v>
      </c>
      <c r="G1965" t="s">
        <v>251</v>
      </c>
    </row>
    <row r="1966" spans="1:7">
      <c r="A1966" s="216">
        <v>45170</v>
      </c>
      <c r="B1966" t="s">
        <v>46</v>
      </c>
      <c r="C1966">
        <v>17</v>
      </c>
      <c r="D1966" t="s">
        <v>443</v>
      </c>
      <c r="E1966" s="217">
        <v>45170</v>
      </c>
      <c r="F1966">
        <v>108</v>
      </c>
      <c r="G1966" t="s">
        <v>252</v>
      </c>
    </row>
    <row r="1967" spans="1:7">
      <c r="A1967" s="216">
        <v>45170</v>
      </c>
      <c r="B1967" t="s">
        <v>46</v>
      </c>
      <c r="C1967">
        <v>17</v>
      </c>
      <c r="D1967" t="s">
        <v>443</v>
      </c>
      <c r="E1967" s="217">
        <v>45170</v>
      </c>
      <c r="F1967">
        <v>1</v>
      </c>
      <c r="G1967" t="s">
        <v>253</v>
      </c>
    </row>
    <row r="1968" spans="1:7">
      <c r="A1968" s="216">
        <v>45170</v>
      </c>
      <c r="B1968" t="s">
        <v>46</v>
      </c>
      <c r="C1968">
        <v>17</v>
      </c>
      <c r="D1968" t="s">
        <v>443</v>
      </c>
      <c r="E1968" s="217">
        <v>45170</v>
      </c>
      <c r="F1968">
        <v>114</v>
      </c>
      <c r="G1968" t="s">
        <v>254</v>
      </c>
    </row>
    <row r="1969" spans="1:7">
      <c r="A1969" s="216">
        <v>45170</v>
      </c>
      <c r="B1969" t="s">
        <v>46</v>
      </c>
      <c r="C1969">
        <v>17</v>
      </c>
      <c r="D1969" t="s">
        <v>443</v>
      </c>
      <c r="E1969" s="217">
        <v>45170</v>
      </c>
      <c r="F1969">
        <v>-51</v>
      </c>
      <c r="G1969" t="s">
        <v>255</v>
      </c>
    </row>
    <row r="1970" spans="1:7">
      <c r="A1970" s="216">
        <v>45170</v>
      </c>
      <c r="B1970" t="s">
        <v>46</v>
      </c>
      <c r="C1970">
        <v>17</v>
      </c>
      <c r="D1970" t="s">
        <v>443</v>
      </c>
      <c r="E1970" s="217">
        <v>45170</v>
      </c>
      <c r="F1970">
        <v>88</v>
      </c>
      <c r="G1970" t="s">
        <v>256</v>
      </c>
    </row>
    <row r="1971" spans="1:7">
      <c r="A1971" s="216">
        <v>45170</v>
      </c>
      <c r="B1971" t="s">
        <v>46</v>
      </c>
      <c r="C1971">
        <v>17</v>
      </c>
      <c r="D1971" t="s">
        <v>443</v>
      </c>
      <c r="E1971" s="217">
        <v>45170</v>
      </c>
      <c r="F1971">
        <v>96</v>
      </c>
      <c r="G1971" t="s">
        <v>257</v>
      </c>
    </row>
    <row r="1972" spans="1:7">
      <c r="A1972" s="216">
        <v>45170</v>
      </c>
      <c r="B1972" t="s">
        <v>46</v>
      </c>
      <c r="C1972">
        <v>17</v>
      </c>
      <c r="D1972" t="s">
        <v>443</v>
      </c>
      <c r="E1972" s="217">
        <v>45170</v>
      </c>
      <c r="F1972">
        <v>61</v>
      </c>
      <c r="G1972" t="s">
        <v>258</v>
      </c>
    </row>
    <row r="1973" spans="1:7">
      <c r="A1973" s="216">
        <v>45170</v>
      </c>
      <c r="B1973" t="s">
        <v>46</v>
      </c>
      <c r="C1973">
        <v>17</v>
      </c>
      <c r="D1973" t="s">
        <v>443</v>
      </c>
      <c r="E1973" s="217">
        <v>45170</v>
      </c>
      <c r="F1973">
        <v>61</v>
      </c>
      <c r="G1973" t="s">
        <v>259</v>
      </c>
    </row>
    <row r="1974" spans="1:7">
      <c r="A1974" s="216">
        <v>45170</v>
      </c>
      <c r="B1974" t="s">
        <v>46</v>
      </c>
      <c r="C1974">
        <v>17</v>
      </c>
      <c r="D1974" t="s">
        <v>443</v>
      </c>
      <c r="E1974" s="217">
        <v>45170</v>
      </c>
      <c r="F1974">
        <v>61</v>
      </c>
      <c r="G1974" t="s">
        <v>260</v>
      </c>
    </row>
    <row r="1975" spans="1:7">
      <c r="A1975" s="216">
        <v>45170</v>
      </c>
      <c r="B1975" t="s">
        <v>46</v>
      </c>
      <c r="C1975">
        <v>17</v>
      </c>
      <c r="D1975" t="s">
        <v>443</v>
      </c>
      <c r="E1975" s="217">
        <v>45170</v>
      </c>
      <c r="F1975">
        <v>61</v>
      </c>
      <c r="G1975" t="s">
        <v>261</v>
      </c>
    </row>
    <row r="1976" spans="1:7">
      <c r="A1976" s="216">
        <v>45170</v>
      </c>
      <c r="B1976" t="s">
        <v>46</v>
      </c>
      <c r="C1976">
        <v>17</v>
      </c>
      <c r="D1976" t="s">
        <v>443</v>
      </c>
      <c r="E1976" s="217">
        <v>45170</v>
      </c>
      <c r="F1976">
        <v>61</v>
      </c>
      <c r="G1976" t="s">
        <v>262</v>
      </c>
    </row>
    <row r="1977" spans="1:7">
      <c r="A1977" s="216">
        <v>45170</v>
      </c>
      <c r="B1977" t="s">
        <v>46</v>
      </c>
      <c r="C1977">
        <v>17</v>
      </c>
      <c r="D1977" t="s">
        <v>443</v>
      </c>
      <c r="E1977" s="217">
        <v>45170</v>
      </c>
      <c r="F1977">
        <v>765</v>
      </c>
      <c r="G1977" t="s">
        <v>434</v>
      </c>
    </row>
    <row r="1978" spans="1:7">
      <c r="A1978" s="216">
        <v>45170</v>
      </c>
      <c r="B1978" t="s">
        <v>46</v>
      </c>
      <c r="C1978">
        <v>18</v>
      </c>
      <c r="D1978" t="s">
        <v>444</v>
      </c>
      <c r="E1978" s="217">
        <v>45170</v>
      </c>
      <c r="F1978">
        <v>127</v>
      </c>
      <c r="G1978" t="s">
        <v>251</v>
      </c>
    </row>
    <row r="1979" spans="1:7">
      <c r="A1979" s="216">
        <v>45170</v>
      </c>
      <c r="B1979" t="s">
        <v>46</v>
      </c>
      <c r="C1979">
        <v>18</v>
      </c>
      <c r="D1979" t="s">
        <v>444</v>
      </c>
      <c r="E1979" s="217">
        <v>45170</v>
      </c>
      <c r="F1979">
        <v>-15</v>
      </c>
      <c r="G1979" t="s">
        <v>252</v>
      </c>
    </row>
    <row r="1980" spans="1:7">
      <c r="A1980" s="216">
        <v>45170</v>
      </c>
      <c r="B1980" t="s">
        <v>46</v>
      </c>
      <c r="C1980">
        <v>18</v>
      </c>
      <c r="D1980" t="s">
        <v>444</v>
      </c>
      <c r="E1980" s="217">
        <v>45170</v>
      </c>
      <c r="F1980">
        <v>36</v>
      </c>
      <c r="G1980" t="s">
        <v>253</v>
      </c>
    </row>
    <row r="1981" spans="1:7">
      <c r="A1981" s="216">
        <v>45170</v>
      </c>
      <c r="B1981" t="s">
        <v>46</v>
      </c>
      <c r="C1981">
        <v>18</v>
      </c>
      <c r="D1981" t="s">
        <v>444</v>
      </c>
      <c r="E1981" s="217">
        <v>45170</v>
      </c>
      <c r="F1981">
        <v>70</v>
      </c>
      <c r="G1981" t="s">
        <v>254</v>
      </c>
    </row>
    <row r="1982" spans="1:7">
      <c r="A1982" s="216">
        <v>45170</v>
      </c>
      <c r="B1982" t="s">
        <v>46</v>
      </c>
      <c r="C1982">
        <v>18</v>
      </c>
      <c r="D1982" t="s">
        <v>444</v>
      </c>
      <c r="E1982" s="217">
        <v>45170</v>
      </c>
      <c r="F1982">
        <v>182</v>
      </c>
      <c r="G1982" t="s">
        <v>255</v>
      </c>
    </row>
    <row r="1983" spans="1:7">
      <c r="A1983" s="216">
        <v>45170</v>
      </c>
      <c r="B1983" t="s">
        <v>46</v>
      </c>
      <c r="C1983">
        <v>18</v>
      </c>
      <c r="D1983" t="s">
        <v>444</v>
      </c>
      <c r="E1983" s="217">
        <v>45170</v>
      </c>
      <c r="F1983">
        <v>107</v>
      </c>
      <c r="G1983" t="s">
        <v>256</v>
      </c>
    </row>
    <row r="1984" spans="1:7">
      <c r="A1984" s="216">
        <v>45170</v>
      </c>
      <c r="B1984" t="s">
        <v>46</v>
      </c>
      <c r="C1984">
        <v>18</v>
      </c>
      <c r="D1984" t="s">
        <v>444</v>
      </c>
      <c r="E1984" s="217">
        <v>45170</v>
      </c>
      <c r="F1984">
        <v>143</v>
      </c>
      <c r="G1984" t="s">
        <v>257</v>
      </c>
    </row>
    <row r="1985" spans="1:7">
      <c r="A1985" s="216">
        <v>45170</v>
      </c>
      <c r="B1985" t="s">
        <v>46</v>
      </c>
      <c r="C1985">
        <v>18</v>
      </c>
      <c r="D1985" t="s">
        <v>444</v>
      </c>
      <c r="E1985" s="217">
        <v>45170</v>
      </c>
      <c r="F1985">
        <v>85</v>
      </c>
      <c r="G1985" t="s">
        <v>258</v>
      </c>
    </row>
    <row r="1986" spans="1:7">
      <c r="A1986" s="216">
        <v>45170</v>
      </c>
      <c r="B1986" t="s">
        <v>46</v>
      </c>
      <c r="C1986">
        <v>18</v>
      </c>
      <c r="D1986" t="s">
        <v>444</v>
      </c>
      <c r="E1986" s="217">
        <v>45170</v>
      </c>
      <c r="F1986">
        <v>85</v>
      </c>
      <c r="G1986" t="s">
        <v>259</v>
      </c>
    </row>
    <row r="1987" spans="1:7">
      <c r="A1987" s="216">
        <v>45170</v>
      </c>
      <c r="B1987" t="s">
        <v>46</v>
      </c>
      <c r="C1987">
        <v>18</v>
      </c>
      <c r="D1987" t="s">
        <v>444</v>
      </c>
      <c r="E1987" s="217">
        <v>45170</v>
      </c>
      <c r="F1987">
        <v>85</v>
      </c>
      <c r="G1987" t="s">
        <v>260</v>
      </c>
    </row>
    <row r="1988" spans="1:7">
      <c r="A1988" s="216">
        <v>45170</v>
      </c>
      <c r="B1988" t="s">
        <v>46</v>
      </c>
      <c r="C1988">
        <v>18</v>
      </c>
      <c r="D1988" t="s">
        <v>444</v>
      </c>
      <c r="E1988" s="217">
        <v>45170</v>
      </c>
      <c r="F1988">
        <v>85</v>
      </c>
      <c r="G1988" t="s">
        <v>261</v>
      </c>
    </row>
    <row r="1989" spans="1:7">
      <c r="A1989" s="216">
        <v>45170</v>
      </c>
      <c r="B1989" t="s">
        <v>46</v>
      </c>
      <c r="C1989">
        <v>18</v>
      </c>
      <c r="D1989" t="s">
        <v>444</v>
      </c>
      <c r="E1989" s="217">
        <v>45170</v>
      </c>
      <c r="F1989">
        <v>85</v>
      </c>
      <c r="G1989" t="s">
        <v>262</v>
      </c>
    </row>
    <row r="1990" spans="1:7">
      <c r="A1990" s="216">
        <v>45170</v>
      </c>
      <c r="B1990" t="s">
        <v>46</v>
      </c>
      <c r="C1990">
        <v>18</v>
      </c>
      <c r="D1990" t="s">
        <v>444</v>
      </c>
      <c r="E1990" s="217">
        <v>45170</v>
      </c>
      <c r="F1990">
        <v>1075</v>
      </c>
      <c r="G1990" t="s">
        <v>434</v>
      </c>
    </row>
    <row r="1991" spans="1:7">
      <c r="A1991" s="216">
        <v>45170</v>
      </c>
      <c r="B1991" t="s">
        <v>46</v>
      </c>
      <c r="C1991">
        <v>19</v>
      </c>
      <c r="D1991" t="s">
        <v>440</v>
      </c>
      <c r="E1991" s="217">
        <v>45170</v>
      </c>
      <c r="F1991">
        <v>0</v>
      </c>
      <c r="G1991" t="s">
        <v>251</v>
      </c>
    </row>
    <row r="1992" spans="1:7">
      <c r="A1992" s="216">
        <v>45170</v>
      </c>
      <c r="B1992" t="s">
        <v>46</v>
      </c>
      <c r="C1992">
        <v>19</v>
      </c>
      <c r="D1992" t="s">
        <v>440</v>
      </c>
      <c r="E1992" s="217">
        <v>45170</v>
      </c>
      <c r="F1992">
        <v>0</v>
      </c>
      <c r="G1992" t="s">
        <v>252</v>
      </c>
    </row>
    <row r="1993" spans="1:7">
      <c r="A1993" s="216">
        <v>45170</v>
      </c>
      <c r="B1993" t="s">
        <v>46</v>
      </c>
      <c r="C1993">
        <v>19</v>
      </c>
      <c r="D1993" t="s">
        <v>440</v>
      </c>
      <c r="E1993" s="217">
        <v>45170</v>
      </c>
      <c r="F1993">
        <v>0</v>
      </c>
      <c r="G1993" t="s">
        <v>253</v>
      </c>
    </row>
    <row r="1994" spans="1:7">
      <c r="A1994" s="216">
        <v>45170</v>
      </c>
      <c r="B1994" t="s">
        <v>46</v>
      </c>
      <c r="C1994">
        <v>19</v>
      </c>
      <c r="D1994" t="s">
        <v>440</v>
      </c>
      <c r="E1994" s="217">
        <v>45170</v>
      </c>
      <c r="F1994">
        <v>0</v>
      </c>
      <c r="G1994" t="s">
        <v>254</v>
      </c>
    </row>
    <row r="1995" spans="1:7">
      <c r="A1995" s="216">
        <v>45170</v>
      </c>
      <c r="B1995" t="s">
        <v>46</v>
      </c>
      <c r="C1995">
        <v>19</v>
      </c>
      <c r="D1995" t="s">
        <v>440</v>
      </c>
      <c r="E1995" s="217">
        <v>45170</v>
      </c>
      <c r="F1995">
        <v>0</v>
      </c>
      <c r="G1995" t="s">
        <v>255</v>
      </c>
    </row>
    <row r="1996" spans="1:7">
      <c r="A1996" s="216">
        <v>45170</v>
      </c>
      <c r="B1996" t="s">
        <v>46</v>
      </c>
      <c r="C1996">
        <v>19</v>
      </c>
      <c r="D1996" t="s">
        <v>440</v>
      </c>
      <c r="E1996" s="217">
        <v>45170</v>
      </c>
      <c r="F1996">
        <v>0</v>
      </c>
      <c r="G1996" t="s">
        <v>256</v>
      </c>
    </row>
    <row r="1997" spans="1:7">
      <c r="A1997" s="216">
        <v>45170</v>
      </c>
      <c r="B1997" t="s">
        <v>46</v>
      </c>
      <c r="C1997">
        <v>19</v>
      </c>
      <c r="D1997" t="s">
        <v>440</v>
      </c>
      <c r="E1997" s="217">
        <v>45170</v>
      </c>
      <c r="F1997">
        <v>0</v>
      </c>
      <c r="G1997" t="s">
        <v>257</v>
      </c>
    </row>
    <row r="1998" spans="1:7">
      <c r="A1998" s="216">
        <v>45170</v>
      </c>
      <c r="B1998" t="s">
        <v>46</v>
      </c>
      <c r="C1998">
        <v>19</v>
      </c>
      <c r="D1998" t="s">
        <v>440</v>
      </c>
      <c r="E1998" s="217">
        <v>45170</v>
      </c>
      <c r="F1998">
        <v>0</v>
      </c>
      <c r="G1998" t="s">
        <v>258</v>
      </c>
    </row>
    <row r="1999" spans="1:7">
      <c r="A1999" s="216">
        <v>45170</v>
      </c>
      <c r="B1999" t="s">
        <v>46</v>
      </c>
      <c r="C1999">
        <v>19</v>
      </c>
      <c r="D1999" t="s">
        <v>440</v>
      </c>
      <c r="E1999" s="217">
        <v>45170</v>
      </c>
      <c r="F1999">
        <v>0</v>
      </c>
      <c r="G1999" t="s">
        <v>259</v>
      </c>
    </row>
    <row r="2000" spans="1:7">
      <c r="A2000" s="216">
        <v>45170</v>
      </c>
      <c r="B2000" t="s">
        <v>46</v>
      </c>
      <c r="C2000">
        <v>19</v>
      </c>
      <c r="D2000" t="s">
        <v>440</v>
      </c>
      <c r="E2000" s="217">
        <v>45170</v>
      </c>
      <c r="F2000">
        <v>0</v>
      </c>
      <c r="G2000" t="s">
        <v>260</v>
      </c>
    </row>
    <row r="2001" spans="1:7">
      <c r="A2001" s="216">
        <v>45170</v>
      </c>
      <c r="B2001" t="s">
        <v>46</v>
      </c>
      <c r="C2001">
        <v>19</v>
      </c>
      <c r="D2001" t="s">
        <v>440</v>
      </c>
      <c r="E2001" s="217">
        <v>45170</v>
      </c>
      <c r="F2001">
        <v>0</v>
      </c>
      <c r="G2001" t="s">
        <v>261</v>
      </c>
    </row>
    <row r="2002" spans="1:7">
      <c r="A2002" s="216">
        <v>45170</v>
      </c>
      <c r="B2002" t="s">
        <v>46</v>
      </c>
      <c r="C2002">
        <v>19</v>
      </c>
      <c r="D2002" t="s">
        <v>440</v>
      </c>
      <c r="E2002" s="217">
        <v>45170</v>
      </c>
      <c r="F2002">
        <v>0</v>
      </c>
      <c r="G2002" t="s">
        <v>262</v>
      </c>
    </row>
    <row r="2003" spans="1:7">
      <c r="A2003" s="216">
        <v>45170</v>
      </c>
      <c r="B2003" t="s">
        <v>46</v>
      </c>
      <c r="C2003">
        <v>19</v>
      </c>
      <c r="D2003" t="s">
        <v>440</v>
      </c>
      <c r="E2003" s="217">
        <v>45170</v>
      </c>
      <c r="F2003">
        <v>0</v>
      </c>
      <c r="G2003" t="s">
        <v>434</v>
      </c>
    </row>
    <row r="2004" spans="1:7">
      <c r="A2004" s="216">
        <v>45170</v>
      </c>
      <c r="B2004" t="s">
        <v>46</v>
      </c>
      <c r="C2004">
        <v>20</v>
      </c>
      <c r="D2004" t="s">
        <v>456</v>
      </c>
      <c r="E2004" s="217">
        <v>45170</v>
      </c>
      <c r="F2004">
        <v>0</v>
      </c>
      <c r="G2004" t="s">
        <v>251</v>
      </c>
    </row>
    <row r="2005" spans="1:7">
      <c r="A2005" s="216">
        <v>45170</v>
      </c>
      <c r="B2005" t="s">
        <v>46</v>
      </c>
      <c r="C2005">
        <v>20</v>
      </c>
      <c r="D2005" t="s">
        <v>456</v>
      </c>
      <c r="E2005" s="217">
        <v>45170</v>
      </c>
      <c r="F2005">
        <v>0</v>
      </c>
      <c r="G2005" t="s">
        <v>252</v>
      </c>
    </row>
    <row r="2006" spans="1:7">
      <c r="A2006" s="216">
        <v>45170</v>
      </c>
      <c r="B2006" t="s">
        <v>46</v>
      </c>
      <c r="C2006">
        <v>20</v>
      </c>
      <c r="D2006" t="s">
        <v>456</v>
      </c>
      <c r="E2006" s="217">
        <v>45170</v>
      </c>
      <c r="F2006">
        <v>0</v>
      </c>
      <c r="G2006" t="s">
        <v>253</v>
      </c>
    </row>
    <row r="2007" spans="1:7">
      <c r="A2007" s="216">
        <v>45170</v>
      </c>
      <c r="B2007" t="s">
        <v>46</v>
      </c>
      <c r="C2007">
        <v>20</v>
      </c>
      <c r="D2007" t="s">
        <v>456</v>
      </c>
      <c r="E2007" s="217">
        <v>45170</v>
      </c>
      <c r="F2007">
        <v>0</v>
      </c>
      <c r="G2007" t="s">
        <v>254</v>
      </c>
    </row>
    <row r="2008" spans="1:7">
      <c r="A2008" s="216">
        <v>45170</v>
      </c>
      <c r="B2008" t="s">
        <v>46</v>
      </c>
      <c r="C2008">
        <v>20</v>
      </c>
      <c r="D2008" t="s">
        <v>456</v>
      </c>
      <c r="E2008" s="217">
        <v>45170</v>
      </c>
      <c r="F2008">
        <v>0</v>
      </c>
      <c r="G2008" t="s">
        <v>255</v>
      </c>
    </row>
    <row r="2009" spans="1:7">
      <c r="A2009" s="216">
        <v>45170</v>
      </c>
      <c r="B2009" t="s">
        <v>46</v>
      </c>
      <c r="C2009">
        <v>20</v>
      </c>
      <c r="D2009" t="s">
        <v>456</v>
      </c>
      <c r="E2009" s="217">
        <v>45170</v>
      </c>
      <c r="F2009">
        <v>0</v>
      </c>
      <c r="G2009" t="s">
        <v>256</v>
      </c>
    </row>
    <row r="2010" spans="1:7">
      <c r="A2010" s="216">
        <v>45170</v>
      </c>
      <c r="B2010" t="s">
        <v>46</v>
      </c>
      <c r="C2010">
        <v>20</v>
      </c>
      <c r="D2010" t="s">
        <v>456</v>
      </c>
      <c r="E2010" s="217">
        <v>45170</v>
      </c>
      <c r="F2010">
        <v>0</v>
      </c>
      <c r="G2010" t="s">
        <v>257</v>
      </c>
    </row>
    <row r="2011" spans="1:7">
      <c r="A2011" s="216">
        <v>45170</v>
      </c>
      <c r="B2011" t="s">
        <v>46</v>
      </c>
      <c r="C2011">
        <v>20</v>
      </c>
      <c r="D2011" t="s">
        <v>456</v>
      </c>
      <c r="E2011" s="217">
        <v>45170</v>
      </c>
      <c r="F2011">
        <v>0</v>
      </c>
      <c r="G2011" t="s">
        <v>258</v>
      </c>
    </row>
    <row r="2012" spans="1:7">
      <c r="A2012" s="216">
        <v>45170</v>
      </c>
      <c r="B2012" t="s">
        <v>46</v>
      </c>
      <c r="C2012">
        <v>20</v>
      </c>
      <c r="D2012" t="s">
        <v>456</v>
      </c>
      <c r="E2012" s="217">
        <v>45170</v>
      </c>
      <c r="F2012">
        <v>0</v>
      </c>
      <c r="G2012" t="s">
        <v>259</v>
      </c>
    </row>
    <row r="2013" spans="1:7">
      <c r="A2013" s="216">
        <v>45170</v>
      </c>
      <c r="B2013" t="s">
        <v>46</v>
      </c>
      <c r="C2013">
        <v>20</v>
      </c>
      <c r="D2013" t="s">
        <v>456</v>
      </c>
      <c r="E2013" s="217">
        <v>45170</v>
      </c>
      <c r="F2013">
        <v>0</v>
      </c>
      <c r="G2013" t="s">
        <v>260</v>
      </c>
    </row>
    <row r="2014" spans="1:7">
      <c r="A2014" s="216">
        <v>45170</v>
      </c>
      <c r="B2014" t="s">
        <v>46</v>
      </c>
      <c r="C2014">
        <v>20</v>
      </c>
      <c r="D2014" t="s">
        <v>456</v>
      </c>
      <c r="E2014" s="217">
        <v>45170</v>
      </c>
      <c r="F2014">
        <v>0</v>
      </c>
      <c r="G2014" t="s">
        <v>261</v>
      </c>
    </row>
    <row r="2015" spans="1:7">
      <c r="A2015" s="216">
        <v>45170</v>
      </c>
      <c r="B2015" t="s">
        <v>46</v>
      </c>
      <c r="C2015">
        <v>20</v>
      </c>
      <c r="D2015" t="s">
        <v>456</v>
      </c>
      <c r="E2015" s="217">
        <v>45170</v>
      </c>
      <c r="F2015">
        <v>0</v>
      </c>
      <c r="G2015" t="s">
        <v>262</v>
      </c>
    </row>
    <row r="2016" spans="1:7">
      <c r="A2016" s="216">
        <v>45170</v>
      </c>
      <c r="B2016" t="s">
        <v>46</v>
      </c>
      <c r="C2016">
        <v>20</v>
      </c>
      <c r="D2016" t="s">
        <v>456</v>
      </c>
      <c r="E2016" s="217">
        <v>45170</v>
      </c>
      <c r="F2016">
        <v>0</v>
      </c>
      <c r="G2016" t="s">
        <v>434</v>
      </c>
    </row>
    <row r="2017" spans="1:7">
      <c r="A2017" s="216">
        <v>45170</v>
      </c>
      <c r="B2017" t="s">
        <v>46</v>
      </c>
      <c r="C2017">
        <v>21</v>
      </c>
      <c r="D2017" t="s">
        <v>455</v>
      </c>
      <c r="E2017" s="217">
        <v>45170</v>
      </c>
      <c r="F2017">
        <v>0</v>
      </c>
      <c r="G2017" t="s">
        <v>251</v>
      </c>
    </row>
    <row r="2018" spans="1:7">
      <c r="A2018" s="216">
        <v>45170</v>
      </c>
      <c r="B2018" t="s">
        <v>46</v>
      </c>
      <c r="C2018">
        <v>21</v>
      </c>
      <c r="D2018" t="s">
        <v>455</v>
      </c>
      <c r="E2018" s="217">
        <v>45170</v>
      </c>
      <c r="F2018">
        <v>0</v>
      </c>
      <c r="G2018" t="s">
        <v>252</v>
      </c>
    </row>
    <row r="2019" spans="1:7">
      <c r="A2019" s="216">
        <v>45170</v>
      </c>
      <c r="B2019" t="s">
        <v>46</v>
      </c>
      <c r="C2019">
        <v>21</v>
      </c>
      <c r="D2019" t="s">
        <v>455</v>
      </c>
      <c r="E2019" s="217">
        <v>45170</v>
      </c>
      <c r="F2019">
        <v>0</v>
      </c>
      <c r="G2019" t="s">
        <v>253</v>
      </c>
    </row>
    <row r="2020" spans="1:7">
      <c r="A2020" s="216">
        <v>45170</v>
      </c>
      <c r="B2020" t="s">
        <v>46</v>
      </c>
      <c r="C2020">
        <v>21</v>
      </c>
      <c r="D2020" t="s">
        <v>455</v>
      </c>
      <c r="E2020" s="217">
        <v>45170</v>
      </c>
      <c r="F2020">
        <v>0</v>
      </c>
      <c r="G2020" t="s">
        <v>254</v>
      </c>
    </row>
    <row r="2021" spans="1:7">
      <c r="A2021" s="216">
        <v>45170</v>
      </c>
      <c r="B2021" t="s">
        <v>46</v>
      </c>
      <c r="C2021">
        <v>21</v>
      </c>
      <c r="D2021" t="s">
        <v>455</v>
      </c>
      <c r="E2021" s="217">
        <v>45170</v>
      </c>
      <c r="F2021">
        <v>0</v>
      </c>
      <c r="G2021" t="s">
        <v>255</v>
      </c>
    </row>
    <row r="2022" spans="1:7">
      <c r="A2022" s="216">
        <v>45170</v>
      </c>
      <c r="B2022" t="s">
        <v>46</v>
      </c>
      <c r="C2022">
        <v>21</v>
      </c>
      <c r="D2022" t="s">
        <v>455</v>
      </c>
      <c r="E2022" s="217">
        <v>45170</v>
      </c>
      <c r="F2022">
        <v>0</v>
      </c>
      <c r="G2022" t="s">
        <v>256</v>
      </c>
    </row>
    <row r="2023" spans="1:7">
      <c r="A2023" s="216">
        <v>45170</v>
      </c>
      <c r="B2023" t="s">
        <v>46</v>
      </c>
      <c r="C2023">
        <v>21</v>
      </c>
      <c r="D2023" t="s">
        <v>455</v>
      </c>
      <c r="E2023" s="217">
        <v>45170</v>
      </c>
      <c r="F2023">
        <v>0</v>
      </c>
      <c r="G2023" t="s">
        <v>257</v>
      </c>
    </row>
    <row r="2024" spans="1:7">
      <c r="A2024" s="216">
        <v>45170</v>
      </c>
      <c r="B2024" t="s">
        <v>46</v>
      </c>
      <c r="C2024">
        <v>21</v>
      </c>
      <c r="D2024" t="s">
        <v>455</v>
      </c>
      <c r="E2024" s="217">
        <v>45170</v>
      </c>
      <c r="F2024">
        <v>0</v>
      </c>
      <c r="G2024" t="s">
        <v>258</v>
      </c>
    </row>
    <row r="2025" spans="1:7">
      <c r="A2025" s="216">
        <v>45170</v>
      </c>
      <c r="B2025" t="s">
        <v>46</v>
      </c>
      <c r="C2025">
        <v>21</v>
      </c>
      <c r="D2025" t="s">
        <v>455</v>
      </c>
      <c r="E2025" s="217">
        <v>45170</v>
      </c>
      <c r="F2025">
        <v>0</v>
      </c>
      <c r="G2025" t="s">
        <v>259</v>
      </c>
    </row>
    <row r="2026" spans="1:7">
      <c r="A2026" s="216">
        <v>45170</v>
      </c>
      <c r="B2026" t="s">
        <v>46</v>
      </c>
      <c r="C2026">
        <v>21</v>
      </c>
      <c r="D2026" t="s">
        <v>455</v>
      </c>
      <c r="E2026" s="217">
        <v>45170</v>
      </c>
      <c r="F2026">
        <v>0</v>
      </c>
      <c r="G2026" t="s">
        <v>260</v>
      </c>
    </row>
    <row r="2027" spans="1:7">
      <c r="A2027" s="216">
        <v>45170</v>
      </c>
      <c r="B2027" t="s">
        <v>46</v>
      </c>
      <c r="C2027">
        <v>21</v>
      </c>
      <c r="D2027" t="s">
        <v>455</v>
      </c>
      <c r="E2027" s="217">
        <v>45170</v>
      </c>
      <c r="F2027">
        <v>0</v>
      </c>
      <c r="G2027" t="s">
        <v>261</v>
      </c>
    </row>
    <row r="2028" spans="1:7">
      <c r="A2028" s="216">
        <v>45170</v>
      </c>
      <c r="B2028" t="s">
        <v>46</v>
      </c>
      <c r="C2028">
        <v>21</v>
      </c>
      <c r="D2028" t="s">
        <v>455</v>
      </c>
      <c r="E2028" s="217">
        <v>45170</v>
      </c>
      <c r="F2028">
        <v>0</v>
      </c>
      <c r="G2028" t="s">
        <v>262</v>
      </c>
    </row>
    <row r="2029" spans="1:7">
      <c r="A2029" s="216">
        <v>45170</v>
      </c>
      <c r="B2029" t="s">
        <v>46</v>
      </c>
      <c r="C2029">
        <v>21</v>
      </c>
      <c r="D2029" t="s">
        <v>455</v>
      </c>
      <c r="E2029" s="217">
        <v>45170</v>
      </c>
      <c r="F2029">
        <v>0</v>
      </c>
      <c r="G2029" t="s">
        <v>434</v>
      </c>
    </row>
    <row r="2030" spans="1:7">
      <c r="A2030" s="216">
        <v>45170</v>
      </c>
      <c r="B2030" t="s">
        <v>46</v>
      </c>
      <c r="C2030">
        <v>22</v>
      </c>
      <c r="D2030" t="s">
        <v>439</v>
      </c>
      <c r="E2030" s="217">
        <v>45170</v>
      </c>
      <c r="F2030">
        <v>2179</v>
      </c>
      <c r="G2030" t="s">
        <v>251</v>
      </c>
    </row>
    <row r="2031" spans="1:7">
      <c r="A2031" s="216">
        <v>45170</v>
      </c>
      <c r="B2031" t="s">
        <v>46</v>
      </c>
      <c r="C2031">
        <v>22</v>
      </c>
      <c r="D2031" t="s">
        <v>439</v>
      </c>
      <c r="E2031" s="217">
        <v>45170</v>
      </c>
      <c r="F2031">
        <v>2176</v>
      </c>
      <c r="G2031" t="s">
        <v>252</v>
      </c>
    </row>
    <row r="2032" spans="1:7">
      <c r="A2032" s="216">
        <v>45170</v>
      </c>
      <c r="B2032" t="s">
        <v>46</v>
      </c>
      <c r="C2032">
        <v>22</v>
      </c>
      <c r="D2032" t="s">
        <v>439</v>
      </c>
      <c r="E2032" s="217">
        <v>45170</v>
      </c>
      <c r="F2032">
        <v>2072</v>
      </c>
      <c r="G2032" t="s">
        <v>253</v>
      </c>
    </row>
    <row r="2033" spans="1:7">
      <c r="A2033" s="216">
        <v>45170</v>
      </c>
      <c r="B2033" t="s">
        <v>46</v>
      </c>
      <c r="C2033">
        <v>22</v>
      </c>
      <c r="D2033" t="s">
        <v>439</v>
      </c>
      <c r="E2033" s="217">
        <v>45170</v>
      </c>
      <c r="F2033">
        <v>2127</v>
      </c>
      <c r="G2033" t="s">
        <v>254</v>
      </c>
    </row>
    <row r="2034" spans="1:7">
      <c r="A2034" s="216">
        <v>45170</v>
      </c>
      <c r="B2034" t="s">
        <v>46</v>
      </c>
      <c r="C2034">
        <v>22</v>
      </c>
      <c r="D2034" t="s">
        <v>439</v>
      </c>
      <c r="E2034" s="217">
        <v>45170</v>
      </c>
      <c r="F2034">
        <v>2266</v>
      </c>
      <c r="G2034" t="s">
        <v>255</v>
      </c>
    </row>
    <row r="2035" spans="1:7">
      <c r="A2035" s="216">
        <v>45170</v>
      </c>
      <c r="B2035" t="s">
        <v>46</v>
      </c>
      <c r="C2035">
        <v>22</v>
      </c>
      <c r="D2035" t="s">
        <v>439</v>
      </c>
      <c r="E2035" s="217">
        <v>45170</v>
      </c>
      <c r="F2035">
        <v>2236</v>
      </c>
      <c r="G2035" t="s">
        <v>256</v>
      </c>
    </row>
    <row r="2036" spans="1:7">
      <c r="A2036" s="216">
        <v>45170</v>
      </c>
      <c r="B2036" t="s">
        <v>46</v>
      </c>
      <c r="C2036">
        <v>22</v>
      </c>
      <c r="D2036" t="s">
        <v>439</v>
      </c>
      <c r="E2036" s="217">
        <v>45170</v>
      </c>
      <c r="F2036">
        <v>2247</v>
      </c>
      <c r="G2036" t="s">
        <v>257</v>
      </c>
    </row>
    <row r="2037" spans="1:7">
      <c r="A2037" s="216">
        <v>45170</v>
      </c>
      <c r="B2037" t="s">
        <v>46</v>
      </c>
      <c r="C2037">
        <v>22</v>
      </c>
      <c r="D2037" t="s">
        <v>439</v>
      </c>
      <c r="E2037" s="217">
        <v>45170</v>
      </c>
      <c r="F2037">
        <v>2247</v>
      </c>
      <c r="G2037" t="s">
        <v>258</v>
      </c>
    </row>
    <row r="2038" spans="1:7">
      <c r="A2038" s="216">
        <v>45170</v>
      </c>
      <c r="B2038" t="s">
        <v>46</v>
      </c>
      <c r="C2038">
        <v>22</v>
      </c>
      <c r="D2038" t="s">
        <v>439</v>
      </c>
      <c r="E2038" s="217">
        <v>45170</v>
      </c>
      <c r="F2038">
        <v>2247</v>
      </c>
      <c r="G2038" t="s">
        <v>259</v>
      </c>
    </row>
    <row r="2039" spans="1:7">
      <c r="A2039" s="216">
        <v>45170</v>
      </c>
      <c r="B2039" t="s">
        <v>46</v>
      </c>
      <c r="C2039">
        <v>22</v>
      </c>
      <c r="D2039" t="s">
        <v>439</v>
      </c>
      <c r="E2039" s="217">
        <v>45170</v>
      </c>
      <c r="F2039">
        <v>2247</v>
      </c>
      <c r="G2039" t="s">
        <v>260</v>
      </c>
    </row>
    <row r="2040" spans="1:7">
      <c r="A2040" s="216">
        <v>45170</v>
      </c>
      <c r="B2040" t="s">
        <v>46</v>
      </c>
      <c r="C2040">
        <v>22</v>
      </c>
      <c r="D2040" t="s">
        <v>439</v>
      </c>
      <c r="E2040" s="217">
        <v>45170</v>
      </c>
      <c r="F2040">
        <v>2247</v>
      </c>
      <c r="G2040" t="s">
        <v>261</v>
      </c>
    </row>
    <row r="2041" spans="1:7">
      <c r="A2041" s="216">
        <v>45170</v>
      </c>
      <c r="B2041" t="s">
        <v>46</v>
      </c>
      <c r="C2041">
        <v>22</v>
      </c>
      <c r="D2041" t="s">
        <v>439</v>
      </c>
      <c r="E2041" s="217">
        <v>45170</v>
      </c>
      <c r="F2041">
        <v>1797</v>
      </c>
      <c r="G2041" t="s">
        <v>262</v>
      </c>
    </row>
    <row r="2042" spans="1:7">
      <c r="A2042" s="216">
        <v>45170</v>
      </c>
      <c r="B2042" t="s">
        <v>46</v>
      </c>
      <c r="C2042">
        <v>22</v>
      </c>
      <c r="D2042" t="s">
        <v>439</v>
      </c>
      <c r="E2042" s="217">
        <v>45170</v>
      </c>
      <c r="F2042">
        <v>26088</v>
      </c>
      <c r="G2042" t="s">
        <v>434</v>
      </c>
    </row>
    <row r="2043" spans="1:7">
      <c r="A2043" s="216">
        <v>45170</v>
      </c>
      <c r="B2043" t="s">
        <v>46</v>
      </c>
      <c r="C2043">
        <v>23</v>
      </c>
      <c r="D2043" t="s">
        <v>435</v>
      </c>
      <c r="E2043" s="217">
        <v>45170</v>
      </c>
      <c r="F2043">
        <v>65</v>
      </c>
      <c r="G2043" t="s">
        <v>251</v>
      </c>
    </row>
    <row r="2044" spans="1:7">
      <c r="A2044" s="216">
        <v>45170</v>
      </c>
      <c r="B2044" t="s">
        <v>46</v>
      </c>
      <c r="C2044">
        <v>23</v>
      </c>
      <c r="D2044" t="s">
        <v>435</v>
      </c>
      <c r="E2044" s="217">
        <v>45170</v>
      </c>
      <c r="F2044">
        <v>65</v>
      </c>
      <c r="G2044" t="s">
        <v>252</v>
      </c>
    </row>
    <row r="2045" spans="1:7">
      <c r="A2045" s="216">
        <v>45170</v>
      </c>
      <c r="B2045" t="s">
        <v>46</v>
      </c>
      <c r="C2045">
        <v>23</v>
      </c>
      <c r="D2045" t="s">
        <v>435</v>
      </c>
      <c r="E2045" s="217">
        <v>45170</v>
      </c>
      <c r="F2045">
        <v>-3574</v>
      </c>
      <c r="G2045" t="s">
        <v>253</v>
      </c>
    </row>
    <row r="2046" spans="1:7">
      <c r="A2046" s="216">
        <v>45170</v>
      </c>
      <c r="B2046" t="s">
        <v>46</v>
      </c>
      <c r="C2046">
        <v>23</v>
      </c>
      <c r="D2046" t="s">
        <v>435</v>
      </c>
      <c r="E2046" s="217">
        <v>45170</v>
      </c>
      <c r="F2046">
        <v>69</v>
      </c>
      <c r="G2046" t="s">
        <v>254</v>
      </c>
    </row>
    <row r="2047" spans="1:7">
      <c r="A2047" s="216">
        <v>45170</v>
      </c>
      <c r="B2047" t="s">
        <v>46</v>
      </c>
      <c r="C2047">
        <v>23</v>
      </c>
      <c r="D2047" t="s">
        <v>435</v>
      </c>
      <c r="E2047" s="217">
        <v>45170</v>
      </c>
      <c r="F2047">
        <v>69</v>
      </c>
      <c r="G2047" t="s">
        <v>255</v>
      </c>
    </row>
    <row r="2048" spans="1:7">
      <c r="A2048" s="216">
        <v>45170</v>
      </c>
      <c r="B2048" t="s">
        <v>46</v>
      </c>
      <c r="C2048">
        <v>23</v>
      </c>
      <c r="D2048" t="s">
        <v>435</v>
      </c>
      <c r="E2048" s="217">
        <v>45170</v>
      </c>
      <c r="F2048">
        <v>69</v>
      </c>
      <c r="G2048" t="s">
        <v>256</v>
      </c>
    </row>
    <row r="2049" spans="1:7">
      <c r="A2049" s="216">
        <v>45170</v>
      </c>
      <c r="B2049" t="s">
        <v>46</v>
      </c>
      <c r="C2049">
        <v>23</v>
      </c>
      <c r="D2049" t="s">
        <v>435</v>
      </c>
      <c r="E2049" s="217">
        <v>45170</v>
      </c>
      <c r="F2049">
        <v>72</v>
      </c>
      <c r="G2049" t="s">
        <v>257</v>
      </c>
    </row>
    <row r="2050" spans="1:7">
      <c r="A2050" s="216">
        <v>45170</v>
      </c>
      <c r="B2050" t="s">
        <v>46</v>
      </c>
      <c r="C2050">
        <v>23</v>
      </c>
      <c r="D2050" t="s">
        <v>435</v>
      </c>
      <c r="E2050" s="217">
        <v>45170</v>
      </c>
      <c r="F2050">
        <v>72</v>
      </c>
      <c r="G2050" t="s">
        <v>258</v>
      </c>
    </row>
    <row r="2051" spans="1:7">
      <c r="A2051" s="216">
        <v>45170</v>
      </c>
      <c r="B2051" t="s">
        <v>46</v>
      </c>
      <c r="C2051">
        <v>23</v>
      </c>
      <c r="D2051" t="s">
        <v>435</v>
      </c>
      <c r="E2051" s="217">
        <v>45170</v>
      </c>
      <c r="F2051">
        <v>72</v>
      </c>
      <c r="G2051" t="s">
        <v>259</v>
      </c>
    </row>
    <row r="2052" spans="1:7">
      <c r="A2052" s="216">
        <v>45170</v>
      </c>
      <c r="B2052" t="s">
        <v>46</v>
      </c>
      <c r="C2052">
        <v>23</v>
      </c>
      <c r="D2052" t="s">
        <v>435</v>
      </c>
      <c r="E2052" s="217">
        <v>45170</v>
      </c>
      <c r="F2052">
        <v>72</v>
      </c>
      <c r="G2052" t="s">
        <v>260</v>
      </c>
    </row>
    <row r="2053" spans="1:7">
      <c r="A2053" s="216">
        <v>45170</v>
      </c>
      <c r="B2053" t="s">
        <v>46</v>
      </c>
      <c r="C2053">
        <v>23</v>
      </c>
      <c r="D2053" t="s">
        <v>435</v>
      </c>
      <c r="E2053" s="217">
        <v>45170</v>
      </c>
      <c r="F2053">
        <v>72</v>
      </c>
      <c r="G2053" t="s">
        <v>261</v>
      </c>
    </row>
    <row r="2054" spans="1:7">
      <c r="A2054" s="216">
        <v>45170</v>
      </c>
      <c r="B2054" t="s">
        <v>46</v>
      </c>
      <c r="C2054">
        <v>23</v>
      </c>
      <c r="D2054" t="s">
        <v>435</v>
      </c>
      <c r="E2054" s="217">
        <v>45170</v>
      </c>
      <c r="F2054">
        <v>19793</v>
      </c>
      <c r="G2054" t="s">
        <v>262</v>
      </c>
    </row>
    <row r="2055" spans="1:7">
      <c r="A2055" s="216">
        <v>45170</v>
      </c>
      <c r="B2055" t="s">
        <v>46</v>
      </c>
      <c r="C2055">
        <v>23</v>
      </c>
      <c r="D2055" t="s">
        <v>435</v>
      </c>
      <c r="E2055" s="217">
        <v>45170</v>
      </c>
      <c r="F2055">
        <v>16916</v>
      </c>
      <c r="G2055" t="s">
        <v>434</v>
      </c>
    </row>
    <row r="2056" spans="1:7">
      <c r="A2056" s="216">
        <v>45170</v>
      </c>
      <c r="B2056" t="s">
        <v>46</v>
      </c>
      <c r="C2056">
        <v>24</v>
      </c>
      <c r="D2056" t="s">
        <v>457</v>
      </c>
      <c r="E2056" s="217">
        <v>45170</v>
      </c>
      <c r="F2056">
        <v>0</v>
      </c>
      <c r="G2056" t="s">
        <v>251</v>
      </c>
    </row>
    <row r="2057" spans="1:7">
      <c r="A2057" s="216">
        <v>45170</v>
      </c>
      <c r="B2057" t="s">
        <v>46</v>
      </c>
      <c r="C2057">
        <v>24</v>
      </c>
      <c r="D2057" t="s">
        <v>457</v>
      </c>
      <c r="E2057" s="217">
        <v>45170</v>
      </c>
      <c r="F2057">
        <v>0</v>
      </c>
      <c r="G2057" t="s">
        <v>252</v>
      </c>
    </row>
    <row r="2058" spans="1:7">
      <c r="A2058" s="216">
        <v>45170</v>
      </c>
      <c r="B2058" t="s">
        <v>46</v>
      </c>
      <c r="C2058">
        <v>24</v>
      </c>
      <c r="D2058" t="s">
        <v>457</v>
      </c>
      <c r="E2058" s="217">
        <v>45170</v>
      </c>
      <c r="F2058">
        <v>0</v>
      </c>
      <c r="G2058" t="s">
        <v>253</v>
      </c>
    </row>
    <row r="2059" spans="1:7">
      <c r="A2059" s="216">
        <v>45170</v>
      </c>
      <c r="B2059" t="s">
        <v>46</v>
      </c>
      <c r="C2059">
        <v>24</v>
      </c>
      <c r="D2059" t="s">
        <v>457</v>
      </c>
      <c r="E2059" s="217">
        <v>45170</v>
      </c>
      <c r="F2059">
        <v>0</v>
      </c>
      <c r="G2059" t="s">
        <v>254</v>
      </c>
    </row>
    <row r="2060" spans="1:7">
      <c r="A2060" s="216">
        <v>45170</v>
      </c>
      <c r="B2060" t="s">
        <v>46</v>
      </c>
      <c r="C2060">
        <v>24</v>
      </c>
      <c r="D2060" t="s">
        <v>457</v>
      </c>
      <c r="E2060" s="217">
        <v>45170</v>
      </c>
      <c r="F2060">
        <v>0</v>
      </c>
      <c r="G2060" t="s">
        <v>255</v>
      </c>
    </row>
    <row r="2061" spans="1:7">
      <c r="A2061" s="216">
        <v>45170</v>
      </c>
      <c r="B2061" t="s">
        <v>46</v>
      </c>
      <c r="C2061">
        <v>24</v>
      </c>
      <c r="D2061" t="s">
        <v>457</v>
      </c>
      <c r="E2061" s="217">
        <v>45170</v>
      </c>
      <c r="F2061">
        <v>0</v>
      </c>
      <c r="G2061" t="s">
        <v>256</v>
      </c>
    </row>
    <row r="2062" spans="1:7">
      <c r="A2062" s="216">
        <v>45170</v>
      </c>
      <c r="B2062" t="s">
        <v>46</v>
      </c>
      <c r="C2062">
        <v>24</v>
      </c>
      <c r="D2062" t="s">
        <v>457</v>
      </c>
      <c r="E2062" s="217">
        <v>45170</v>
      </c>
      <c r="F2062">
        <v>0</v>
      </c>
      <c r="G2062" t="s">
        <v>257</v>
      </c>
    </row>
    <row r="2063" spans="1:7">
      <c r="A2063" s="216">
        <v>45170</v>
      </c>
      <c r="B2063" t="s">
        <v>46</v>
      </c>
      <c r="C2063">
        <v>24</v>
      </c>
      <c r="D2063" t="s">
        <v>457</v>
      </c>
      <c r="E2063" s="217">
        <v>45170</v>
      </c>
      <c r="F2063">
        <v>0</v>
      </c>
      <c r="G2063" t="s">
        <v>258</v>
      </c>
    </row>
    <row r="2064" spans="1:7">
      <c r="A2064" s="216">
        <v>45170</v>
      </c>
      <c r="B2064" t="s">
        <v>46</v>
      </c>
      <c r="C2064">
        <v>24</v>
      </c>
      <c r="D2064" t="s">
        <v>457</v>
      </c>
      <c r="E2064" s="217">
        <v>45170</v>
      </c>
      <c r="F2064">
        <v>0</v>
      </c>
      <c r="G2064" t="s">
        <v>259</v>
      </c>
    </row>
    <row r="2065" spans="1:7">
      <c r="A2065" s="216">
        <v>45170</v>
      </c>
      <c r="B2065" t="s">
        <v>46</v>
      </c>
      <c r="C2065">
        <v>24</v>
      </c>
      <c r="D2065" t="s">
        <v>457</v>
      </c>
      <c r="E2065" s="217">
        <v>45170</v>
      </c>
      <c r="F2065">
        <v>0</v>
      </c>
      <c r="G2065" t="s">
        <v>260</v>
      </c>
    </row>
    <row r="2066" spans="1:7">
      <c r="A2066" s="216">
        <v>45170</v>
      </c>
      <c r="B2066" t="s">
        <v>46</v>
      </c>
      <c r="C2066">
        <v>24</v>
      </c>
      <c r="D2066" t="s">
        <v>457</v>
      </c>
      <c r="E2066" s="217">
        <v>45170</v>
      </c>
      <c r="F2066">
        <v>0</v>
      </c>
      <c r="G2066" t="s">
        <v>261</v>
      </c>
    </row>
    <row r="2067" spans="1:7">
      <c r="A2067" s="216">
        <v>45170</v>
      </c>
      <c r="B2067" t="s">
        <v>46</v>
      </c>
      <c r="C2067">
        <v>24</v>
      </c>
      <c r="D2067" t="s">
        <v>457</v>
      </c>
      <c r="E2067" s="217">
        <v>45170</v>
      </c>
      <c r="F2067">
        <v>0</v>
      </c>
      <c r="G2067" t="s">
        <v>262</v>
      </c>
    </row>
    <row r="2068" spans="1:7">
      <c r="A2068" s="216">
        <v>45170</v>
      </c>
      <c r="B2068" t="s">
        <v>46</v>
      </c>
      <c r="C2068">
        <v>24</v>
      </c>
      <c r="D2068" t="s">
        <v>457</v>
      </c>
      <c r="E2068" s="217">
        <v>45170</v>
      </c>
      <c r="F2068">
        <v>0</v>
      </c>
      <c r="G2068" t="s">
        <v>434</v>
      </c>
    </row>
    <row r="2069" spans="1:7">
      <c r="A2069" s="216">
        <v>45170</v>
      </c>
      <c r="B2069" t="s">
        <v>46</v>
      </c>
      <c r="C2069">
        <v>25</v>
      </c>
      <c r="D2069" t="s">
        <v>452</v>
      </c>
      <c r="E2069" s="217">
        <v>45170</v>
      </c>
      <c r="F2069">
        <v>0</v>
      </c>
      <c r="G2069" t="s">
        <v>251</v>
      </c>
    </row>
    <row r="2070" spans="1:7">
      <c r="A2070" s="216">
        <v>45170</v>
      </c>
      <c r="B2070" t="s">
        <v>46</v>
      </c>
      <c r="C2070">
        <v>25</v>
      </c>
      <c r="D2070" t="s">
        <v>452</v>
      </c>
      <c r="E2070" s="217">
        <v>45170</v>
      </c>
      <c r="F2070">
        <v>0</v>
      </c>
      <c r="G2070" t="s">
        <v>252</v>
      </c>
    </row>
    <row r="2071" spans="1:7">
      <c r="A2071" s="216">
        <v>45170</v>
      </c>
      <c r="B2071" t="s">
        <v>46</v>
      </c>
      <c r="C2071">
        <v>25</v>
      </c>
      <c r="D2071" t="s">
        <v>452</v>
      </c>
      <c r="E2071" s="217">
        <v>45170</v>
      </c>
      <c r="F2071">
        <v>0</v>
      </c>
      <c r="G2071" t="s">
        <v>253</v>
      </c>
    </row>
    <row r="2072" spans="1:7">
      <c r="A2072" s="216">
        <v>45170</v>
      </c>
      <c r="B2072" t="s">
        <v>46</v>
      </c>
      <c r="C2072">
        <v>25</v>
      </c>
      <c r="D2072" t="s">
        <v>452</v>
      </c>
      <c r="E2072" s="217">
        <v>45170</v>
      </c>
      <c r="F2072">
        <v>0</v>
      </c>
      <c r="G2072" t="s">
        <v>254</v>
      </c>
    </row>
    <row r="2073" spans="1:7">
      <c r="A2073" s="216">
        <v>45170</v>
      </c>
      <c r="B2073" t="s">
        <v>46</v>
      </c>
      <c r="C2073">
        <v>25</v>
      </c>
      <c r="D2073" t="s">
        <v>452</v>
      </c>
      <c r="E2073" s="217">
        <v>45170</v>
      </c>
      <c r="F2073">
        <v>0</v>
      </c>
      <c r="G2073" t="s">
        <v>255</v>
      </c>
    </row>
    <row r="2074" spans="1:7">
      <c r="A2074" s="216">
        <v>45170</v>
      </c>
      <c r="B2074" t="s">
        <v>46</v>
      </c>
      <c r="C2074">
        <v>25</v>
      </c>
      <c r="D2074" t="s">
        <v>452</v>
      </c>
      <c r="E2074" s="217">
        <v>45170</v>
      </c>
      <c r="F2074">
        <v>0</v>
      </c>
      <c r="G2074" t="s">
        <v>256</v>
      </c>
    </row>
    <row r="2075" spans="1:7">
      <c r="A2075" s="216">
        <v>45170</v>
      </c>
      <c r="B2075" t="s">
        <v>46</v>
      </c>
      <c r="C2075">
        <v>25</v>
      </c>
      <c r="D2075" t="s">
        <v>452</v>
      </c>
      <c r="E2075" s="217">
        <v>45170</v>
      </c>
      <c r="F2075">
        <v>0</v>
      </c>
      <c r="G2075" t="s">
        <v>257</v>
      </c>
    </row>
    <row r="2076" spans="1:7">
      <c r="A2076" s="216">
        <v>45170</v>
      </c>
      <c r="B2076" t="s">
        <v>46</v>
      </c>
      <c r="C2076">
        <v>25</v>
      </c>
      <c r="D2076" t="s">
        <v>452</v>
      </c>
      <c r="E2076" s="217">
        <v>45170</v>
      </c>
      <c r="F2076">
        <v>0</v>
      </c>
      <c r="G2076" t="s">
        <v>258</v>
      </c>
    </row>
    <row r="2077" spans="1:7">
      <c r="A2077" s="216">
        <v>45170</v>
      </c>
      <c r="B2077" t="s">
        <v>46</v>
      </c>
      <c r="C2077">
        <v>25</v>
      </c>
      <c r="D2077" t="s">
        <v>452</v>
      </c>
      <c r="E2077" s="217">
        <v>45170</v>
      </c>
      <c r="F2077">
        <v>0</v>
      </c>
      <c r="G2077" t="s">
        <v>259</v>
      </c>
    </row>
    <row r="2078" spans="1:7">
      <c r="A2078" s="216">
        <v>45170</v>
      </c>
      <c r="B2078" t="s">
        <v>46</v>
      </c>
      <c r="C2078">
        <v>25</v>
      </c>
      <c r="D2078" t="s">
        <v>452</v>
      </c>
      <c r="E2078" s="217">
        <v>45170</v>
      </c>
      <c r="F2078">
        <v>0</v>
      </c>
      <c r="G2078" t="s">
        <v>260</v>
      </c>
    </row>
    <row r="2079" spans="1:7">
      <c r="A2079" s="216">
        <v>45170</v>
      </c>
      <c r="B2079" t="s">
        <v>46</v>
      </c>
      <c r="C2079">
        <v>25</v>
      </c>
      <c r="D2079" t="s">
        <v>452</v>
      </c>
      <c r="E2079" s="217">
        <v>45170</v>
      </c>
      <c r="F2079">
        <v>0</v>
      </c>
      <c r="G2079" t="s">
        <v>261</v>
      </c>
    </row>
    <row r="2080" spans="1:7">
      <c r="A2080" s="216">
        <v>45170</v>
      </c>
      <c r="B2080" t="s">
        <v>46</v>
      </c>
      <c r="C2080">
        <v>25</v>
      </c>
      <c r="D2080" t="s">
        <v>452</v>
      </c>
      <c r="E2080" s="217">
        <v>45170</v>
      </c>
      <c r="F2080">
        <v>0</v>
      </c>
      <c r="G2080" t="s">
        <v>262</v>
      </c>
    </row>
    <row r="2081" spans="1:7">
      <c r="A2081" s="216">
        <v>45170</v>
      </c>
      <c r="B2081" t="s">
        <v>46</v>
      </c>
      <c r="C2081">
        <v>25</v>
      </c>
      <c r="D2081" t="s">
        <v>452</v>
      </c>
      <c r="E2081" s="217">
        <v>45170</v>
      </c>
      <c r="F2081">
        <v>0</v>
      </c>
      <c r="G2081" t="s">
        <v>434</v>
      </c>
    </row>
    <row r="2082" spans="1:7">
      <c r="A2082" s="216">
        <v>45170</v>
      </c>
      <c r="B2082" t="s">
        <v>46</v>
      </c>
      <c r="C2082">
        <v>26</v>
      </c>
      <c r="D2082" t="s">
        <v>438</v>
      </c>
      <c r="E2082" s="217">
        <v>45170</v>
      </c>
      <c r="F2082">
        <v>100837</v>
      </c>
      <c r="G2082" t="s">
        <v>251</v>
      </c>
    </row>
    <row r="2083" spans="1:7">
      <c r="A2083" s="216">
        <v>45170</v>
      </c>
      <c r="B2083" t="s">
        <v>46</v>
      </c>
      <c r="C2083">
        <v>26</v>
      </c>
      <c r="D2083" t="s">
        <v>438</v>
      </c>
      <c r="E2083" s="217">
        <v>45170</v>
      </c>
      <c r="F2083">
        <v>103673</v>
      </c>
      <c r="G2083" t="s">
        <v>252</v>
      </c>
    </row>
    <row r="2084" spans="1:7">
      <c r="A2084" s="216">
        <v>45170</v>
      </c>
      <c r="B2084" t="s">
        <v>46</v>
      </c>
      <c r="C2084">
        <v>26</v>
      </c>
      <c r="D2084" t="s">
        <v>438</v>
      </c>
      <c r="E2084" s="217">
        <v>45170</v>
      </c>
      <c r="F2084">
        <v>110291</v>
      </c>
      <c r="G2084" t="s">
        <v>253</v>
      </c>
    </row>
    <row r="2085" spans="1:7">
      <c r="A2085" s="216">
        <v>45170</v>
      </c>
      <c r="B2085" t="s">
        <v>46</v>
      </c>
      <c r="C2085">
        <v>26</v>
      </c>
      <c r="D2085" t="s">
        <v>438</v>
      </c>
      <c r="E2085" s="217">
        <v>45170</v>
      </c>
      <c r="F2085">
        <v>109888</v>
      </c>
      <c r="G2085" t="s">
        <v>254</v>
      </c>
    </row>
    <row r="2086" spans="1:7">
      <c r="A2086" s="216">
        <v>45170</v>
      </c>
      <c r="B2086" t="s">
        <v>46</v>
      </c>
      <c r="C2086">
        <v>26</v>
      </c>
      <c r="D2086" t="s">
        <v>438</v>
      </c>
      <c r="E2086" s="217">
        <v>45170</v>
      </c>
      <c r="F2086">
        <v>105475</v>
      </c>
      <c r="G2086" t="s">
        <v>255</v>
      </c>
    </row>
    <row r="2087" spans="1:7">
      <c r="A2087" s="216">
        <v>45170</v>
      </c>
      <c r="B2087" t="s">
        <v>46</v>
      </c>
      <c r="C2087">
        <v>26</v>
      </c>
      <c r="D2087" t="s">
        <v>438</v>
      </c>
      <c r="E2087" s="217">
        <v>45170</v>
      </c>
      <c r="F2087">
        <v>105347</v>
      </c>
      <c r="G2087" t="s">
        <v>256</v>
      </c>
    </row>
    <row r="2088" spans="1:7">
      <c r="A2088" s="216">
        <v>45170</v>
      </c>
      <c r="B2088" t="s">
        <v>46</v>
      </c>
      <c r="C2088">
        <v>26</v>
      </c>
      <c r="D2088" t="s">
        <v>438</v>
      </c>
      <c r="E2088" s="217">
        <v>45170</v>
      </c>
      <c r="F2088">
        <v>110790</v>
      </c>
      <c r="G2088" t="s">
        <v>257</v>
      </c>
    </row>
    <row r="2089" spans="1:7">
      <c r="A2089" s="216">
        <v>45170</v>
      </c>
      <c r="B2089" t="s">
        <v>46</v>
      </c>
      <c r="C2089">
        <v>26</v>
      </c>
      <c r="D2089" t="s">
        <v>438</v>
      </c>
      <c r="E2089" s="217">
        <v>45170</v>
      </c>
      <c r="F2089">
        <v>103583</v>
      </c>
      <c r="G2089" t="s">
        <v>258</v>
      </c>
    </row>
    <row r="2090" spans="1:7">
      <c r="A2090" s="216">
        <v>45170</v>
      </c>
      <c r="B2090" t="s">
        <v>46</v>
      </c>
      <c r="C2090">
        <v>26</v>
      </c>
      <c r="D2090" t="s">
        <v>438</v>
      </c>
      <c r="E2090" s="217">
        <v>45170</v>
      </c>
      <c r="F2090">
        <v>102653</v>
      </c>
      <c r="G2090" t="s">
        <v>259</v>
      </c>
    </row>
    <row r="2091" spans="1:7">
      <c r="A2091" s="216">
        <v>45170</v>
      </c>
      <c r="B2091" t="s">
        <v>46</v>
      </c>
      <c r="C2091">
        <v>26</v>
      </c>
      <c r="D2091" t="s">
        <v>438</v>
      </c>
      <c r="E2091" s="217">
        <v>45170</v>
      </c>
      <c r="F2091">
        <v>102987</v>
      </c>
      <c r="G2091" t="s">
        <v>260</v>
      </c>
    </row>
    <row r="2092" spans="1:7">
      <c r="A2092" s="216">
        <v>45170</v>
      </c>
      <c r="B2092" t="s">
        <v>46</v>
      </c>
      <c r="C2092">
        <v>26</v>
      </c>
      <c r="D2092" t="s">
        <v>438</v>
      </c>
      <c r="E2092" s="217">
        <v>45170</v>
      </c>
      <c r="F2092">
        <v>101269</v>
      </c>
      <c r="G2092" t="s">
        <v>261</v>
      </c>
    </row>
    <row r="2093" spans="1:7">
      <c r="A2093" s="216">
        <v>45170</v>
      </c>
      <c r="B2093" t="s">
        <v>46</v>
      </c>
      <c r="C2093">
        <v>26</v>
      </c>
      <c r="D2093" t="s">
        <v>438</v>
      </c>
      <c r="E2093" s="217">
        <v>45170</v>
      </c>
      <c r="F2093">
        <v>125376</v>
      </c>
      <c r="G2093" t="s">
        <v>262</v>
      </c>
    </row>
    <row r="2094" spans="1:7">
      <c r="A2094" s="216">
        <v>45170</v>
      </c>
      <c r="B2094" t="s">
        <v>46</v>
      </c>
      <c r="C2094">
        <v>26</v>
      </c>
      <c r="D2094" t="s">
        <v>438</v>
      </c>
      <c r="E2094" s="217">
        <v>45170</v>
      </c>
      <c r="F2094">
        <v>1282169</v>
      </c>
      <c r="G2094" t="s">
        <v>434</v>
      </c>
    </row>
    <row r="2095" spans="1:7">
      <c r="A2095" s="216">
        <v>45170</v>
      </c>
      <c r="B2095" t="s">
        <v>46</v>
      </c>
      <c r="C2095">
        <v>27</v>
      </c>
      <c r="D2095" t="s">
        <v>446</v>
      </c>
      <c r="E2095" s="217">
        <v>45170</v>
      </c>
      <c r="F2095">
        <v>-11732</v>
      </c>
      <c r="G2095" t="s">
        <v>251</v>
      </c>
    </row>
    <row r="2096" spans="1:7">
      <c r="A2096" s="216">
        <v>45170</v>
      </c>
      <c r="B2096" t="s">
        <v>46</v>
      </c>
      <c r="C2096">
        <v>27</v>
      </c>
      <c r="D2096" t="s">
        <v>446</v>
      </c>
      <c r="E2096" s="217">
        <v>45170</v>
      </c>
      <c r="F2096">
        <v>-11944.2</v>
      </c>
      <c r="G2096" t="s">
        <v>252</v>
      </c>
    </row>
    <row r="2097" spans="1:7">
      <c r="A2097" s="216">
        <v>45170</v>
      </c>
      <c r="B2097" t="s">
        <v>46</v>
      </c>
      <c r="C2097">
        <v>27</v>
      </c>
      <c r="D2097" t="s">
        <v>446</v>
      </c>
      <c r="E2097" s="217">
        <v>45170</v>
      </c>
      <c r="F2097">
        <v>-12801.111999999999</v>
      </c>
      <c r="G2097" t="s">
        <v>253</v>
      </c>
    </row>
    <row r="2098" spans="1:7">
      <c r="A2098" s="216">
        <v>45170</v>
      </c>
      <c r="B2098" t="s">
        <v>46</v>
      </c>
      <c r="C2098">
        <v>27</v>
      </c>
      <c r="D2098" t="s">
        <v>446</v>
      </c>
      <c r="E2098" s="217">
        <v>45170</v>
      </c>
      <c r="F2098">
        <v>-12035</v>
      </c>
      <c r="G2098" t="s">
        <v>254</v>
      </c>
    </row>
    <row r="2099" spans="1:7">
      <c r="A2099" s="216">
        <v>45170</v>
      </c>
      <c r="B2099" t="s">
        <v>46</v>
      </c>
      <c r="C2099">
        <v>27</v>
      </c>
      <c r="D2099" t="s">
        <v>446</v>
      </c>
      <c r="E2099" s="217">
        <v>45170</v>
      </c>
      <c r="F2099">
        <v>-11614</v>
      </c>
      <c r="G2099" t="s">
        <v>255</v>
      </c>
    </row>
    <row r="2100" spans="1:7">
      <c r="A2100" s="216">
        <v>45170</v>
      </c>
      <c r="B2100" t="s">
        <v>46</v>
      </c>
      <c r="C2100">
        <v>27</v>
      </c>
      <c r="D2100" t="s">
        <v>446</v>
      </c>
      <c r="E2100" s="217">
        <v>45170</v>
      </c>
      <c r="F2100">
        <v>-11936.691000000001</v>
      </c>
      <c r="G2100" t="s">
        <v>256</v>
      </c>
    </row>
    <row r="2101" spans="1:7">
      <c r="A2101" s="216">
        <v>45170</v>
      </c>
      <c r="B2101" t="s">
        <v>46</v>
      </c>
      <c r="C2101">
        <v>27</v>
      </c>
      <c r="D2101" t="s">
        <v>446</v>
      </c>
      <c r="E2101" s="217">
        <v>45170</v>
      </c>
      <c r="F2101">
        <v>-10727.1496777175</v>
      </c>
      <c r="G2101" t="s">
        <v>257</v>
      </c>
    </row>
    <row r="2102" spans="1:7">
      <c r="A2102" s="216">
        <v>45170</v>
      </c>
      <c r="B2102" t="s">
        <v>46</v>
      </c>
      <c r="C2102">
        <v>27</v>
      </c>
      <c r="D2102" t="s">
        <v>446</v>
      </c>
      <c r="E2102" s="217">
        <v>45170</v>
      </c>
      <c r="F2102">
        <v>-6185.0479658624799</v>
      </c>
      <c r="G2102" t="s">
        <v>258</v>
      </c>
    </row>
    <row r="2103" spans="1:7">
      <c r="A2103" s="216">
        <v>45170</v>
      </c>
      <c r="B2103" t="s">
        <v>46</v>
      </c>
      <c r="C2103">
        <v>27</v>
      </c>
      <c r="D2103" t="s">
        <v>446</v>
      </c>
      <c r="E2103" s="217">
        <v>45170</v>
      </c>
      <c r="F2103">
        <v>-5841.56934171802</v>
      </c>
      <c r="G2103" t="s">
        <v>259</v>
      </c>
    </row>
    <row r="2104" spans="1:7">
      <c r="A2104" s="216">
        <v>45170</v>
      </c>
      <c r="B2104" t="s">
        <v>46</v>
      </c>
      <c r="C2104">
        <v>27</v>
      </c>
      <c r="D2104" t="s">
        <v>446</v>
      </c>
      <c r="E2104" s="217">
        <v>45170</v>
      </c>
      <c r="F2104">
        <v>-5878.3791925532096</v>
      </c>
      <c r="G2104" t="s">
        <v>260</v>
      </c>
    </row>
    <row r="2105" spans="1:7">
      <c r="A2105" s="216">
        <v>45170</v>
      </c>
      <c r="B2105" t="s">
        <v>46</v>
      </c>
      <c r="C2105">
        <v>27</v>
      </c>
      <c r="D2105" t="s">
        <v>446</v>
      </c>
      <c r="E2105" s="217">
        <v>45170</v>
      </c>
      <c r="F2105">
        <v>-6332.7389472451296</v>
      </c>
      <c r="G2105" t="s">
        <v>261</v>
      </c>
    </row>
    <row r="2106" spans="1:7">
      <c r="A2106" s="216">
        <v>45170</v>
      </c>
      <c r="B2106" t="s">
        <v>46</v>
      </c>
      <c r="C2106">
        <v>27</v>
      </c>
      <c r="D2106" t="s">
        <v>446</v>
      </c>
      <c r="E2106" s="217">
        <v>45170</v>
      </c>
      <c r="F2106">
        <v>-5872.3680888672397</v>
      </c>
      <c r="G2106" t="s">
        <v>262</v>
      </c>
    </row>
    <row r="2107" spans="1:7">
      <c r="A2107" s="216">
        <v>45170</v>
      </c>
      <c r="B2107" t="s">
        <v>46</v>
      </c>
      <c r="C2107">
        <v>27</v>
      </c>
      <c r="D2107" t="s">
        <v>446</v>
      </c>
      <c r="E2107" s="217">
        <v>45170</v>
      </c>
      <c r="F2107">
        <v>-112900.256213963</v>
      </c>
      <c r="G2107" t="s">
        <v>434</v>
      </c>
    </row>
    <row r="2108" spans="1:7">
      <c r="A2108" s="216">
        <v>45170</v>
      </c>
      <c r="B2108" t="s">
        <v>51</v>
      </c>
      <c r="C2108">
        <v>1</v>
      </c>
      <c r="D2108" t="s">
        <v>453</v>
      </c>
      <c r="E2108" s="217">
        <v>45170</v>
      </c>
      <c r="F2108">
        <v>23314</v>
      </c>
      <c r="G2108" t="s">
        <v>251</v>
      </c>
    </row>
    <row r="2109" spans="1:7">
      <c r="A2109" s="216">
        <v>45170</v>
      </c>
      <c r="B2109" t="s">
        <v>51</v>
      </c>
      <c r="C2109">
        <v>1</v>
      </c>
      <c r="D2109" t="s">
        <v>453</v>
      </c>
      <c r="E2109" s="217">
        <v>45170</v>
      </c>
      <c r="F2109">
        <v>23602</v>
      </c>
      <c r="G2109" t="s">
        <v>252</v>
      </c>
    </row>
    <row r="2110" spans="1:7">
      <c r="A2110" s="216">
        <v>45170</v>
      </c>
      <c r="B2110" t="s">
        <v>51</v>
      </c>
      <c r="C2110">
        <v>1</v>
      </c>
      <c r="D2110" t="s">
        <v>453</v>
      </c>
      <c r="E2110" s="217">
        <v>45170</v>
      </c>
      <c r="F2110">
        <v>24453</v>
      </c>
      <c r="G2110" t="s">
        <v>253</v>
      </c>
    </row>
    <row r="2111" spans="1:7">
      <c r="A2111" s="216">
        <v>45170</v>
      </c>
      <c r="B2111" t="s">
        <v>51</v>
      </c>
      <c r="C2111">
        <v>1</v>
      </c>
      <c r="D2111" t="s">
        <v>453</v>
      </c>
      <c r="E2111" s="217">
        <v>45170</v>
      </c>
      <c r="F2111">
        <v>19934</v>
      </c>
      <c r="G2111" t="s">
        <v>254</v>
      </c>
    </row>
    <row r="2112" spans="1:7">
      <c r="A2112" s="216">
        <v>45170</v>
      </c>
      <c r="B2112" t="s">
        <v>51</v>
      </c>
      <c r="C2112">
        <v>1</v>
      </c>
      <c r="D2112" t="s">
        <v>453</v>
      </c>
      <c r="E2112" s="217">
        <v>45170</v>
      </c>
      <c r="F2112">
        <v>28060</v>
      </c>
      <c r="G2112" t="s">
        <v>255</v>
      </c>
    </row>
    <row r="2113" spans="1:7">
      <c r="A2113" s="216">
        <v>45170</v>
      </c>
      <c r="B2113" t="s">
        <v>51</v>
      </c>
      <c r="C2113">
        <v>1</v>
      </c>
      <c r="D2113" t="s">
        <v>453</v>
      </c>
      <c r="E2113" s="217">
        <v>45170</v>
      </c>
      <c r="F2113">
        <v>25377</v>
      </c>
      <c r="G2113" t="s">
        <v>256</v>
      </c>
    </row>
    <row r="2114" spans="1:7">
      <c r="A2114" s="216">
        <v>45170</v>
      </c>
      <c r="B2114" t="s">
        <v>51</v>
      </c>
      <c r="C2114">
        <v>1</v>
      </c>
      <c r="D2114" t="s">
        <v>453</v>
      </c>
      <c r="E2114" s="217">
        <v>45170</v>
      </c>
      <c r="F2114">
        <v>27950</v>
      </c>
      <c r="G2114" t="s">
        <v>257</v>
      </c>
    </row>
    <row r="2115" spans="1:7">
      <c r="A2115" s="216">
        <v>45170</v>
      </c>
      <c r="B2115" t="s">
        <v>51</v>
      </c>
      <c r="C2115">
        <v>1</v>
      </c>
      <c r="D2115" t="s">
        <v>453</v>
      </c>
      <c r="E2115" s="217">
        <v>45170</v>
      </c>
      <c r="F2115">
        <v>28450</v>
      </c>
      <c r="G2115" t="s">
        <v>258</v>
      </c>
    </row>
    <row r="2116" spans="1:7">
      <c r="A2116" s="216">
        <v>45170</v>
      </c>
      <c r="B2116" t="s">
        <v>51</v>
      </c>
      <c r="C2116">
        <v>1</v>
      </c>
      <c r="D2116" t="s">
        <v>453</v>
      </c>
      <c r="E2116" s="217">
        <v>45170</v>
      </c>
      <c r="F2116">
        <v>31850</v>
      </c>
      <c r="G2116" t="s">
        <v>259</v>
      </c>
    </row>
    <row r="2117" spans="1:7">
      <c r="A2117" s="216">
        <v>45170</v>
      </c>
      <c r="B2117" t="s">
        <v>51</v>
      </c>
      <c r="C2117">
        <v>1</v>
      </c>
      <c r="D2117" t="s">
        <v>453</v>
      </c>
      <c r="E2117" s="217">
        <v>45170</v>
      </c>
      <c r="F2117">
        <v>27750</v>
      </c>
      <c r="G2117" t="s">
        <v>260</v>
      </c>
    </row>
    <row r="2118" spans="1:7">
      <c r="A2118" s="216">
        <v>45170</v>
      </c>
      <c r="B2118" t="s">
        <v>51</v>
      </c>
      <c r="C2118">
        <v>1</v>
      </c>
      <c r="D2118" t="s">
        <v>453</v>
      </c>
      <c r="E2118" s="217">
        <v>45170</v>
      </c>
      <c r="F2118">
        <v>30050</v>
      </c>
      <c r="G2118" t="s">
        <v>261</v>
      </c>
    </row>
    <row r="2119" spans="1:7">
      <c r="A2119" s="216">
        <v>45170</v>
      </c>
      <c r="B2119" t="s">
        <v>51</v>
      </c>
      <c r="C2119">
        <v>1</v>
      </c>
      <c r="D2119" t="s">
        <v>453</v>
      </c>
      <c r="E2119" s="217">
        <v>45170</v>
      </c>
      <c r="F2119">
        <v>29071</v>
      </c>
      <c r="G2119" t="s">
        <v>262</v>
      </c>
    </row>
    <row r="2120" spans="1:7">
      <c r="A2120" s="216">
        <v>45170</v>
      </c>
      <c r="B2120" t="s">
        <v>51</v>
      </c>
      <c r="C2120">
        <v>1</v>
      </c>
      <c r="D2120" t="s">
        <v>453</v>
      </c>
      <c r="E2120" s="217">
        <v>45170</v>
      </c>
      <c r="F2120">
        <v>319861</v>
      </c>
      <c r="G2120" t="s">
        <v>434</v>
      </c>
    </row>
    <row r="2121" spans="1:7">
      <c r="A2121" s="216">
        <v>45170</v>
      </c>
      <c r="B2121" t="s">
        <v>51</v>
      </c>
      <c r="C2121">
        <v>2</v>
      </c>
      <c r="D2121" t="s">
        <v>436</v>
      </c>
      <c r="E2121" s="217">
        <v>45170</v>
      </c>
      <c r="F2121">
        <v>0</v>
      </c>
      <c r="G2121" t="s">
        <v>251</v>
      </c>
    </row>
    <row r="2122" spans="1:7">
      <c r="A2122" s="216">
        <v>45170</v>
      </c>
      <c r="B2122" t="s">
        <v>51</v>
      </c>
      <c r="C2122">
        <v>2</v>
      </c>
      <c r="D2122" t="s">
        <v>436</v>
      </c>
      <c r="E2122" s="217">
        <v>45170</v>
      </c>
      <c r="F2122">
        <v>0</v>
      </c>
      <c r="G2122" t="s">
        <v>252</v>
      </c>
    </row>
    <row r="2123" spans="1:7">
      <c r="A2123" s="216">
        <v>45170</v>
      </c>
      <c r="B2123" t="s">
        <v>51</v>
      </c>
      <c r="C2123">
        <v>2</v>
      </c>
      <c r="D2123" t="s">
        <v>436</v>
      </c>
      <c r="E2123" s="217">
        <v>45170</v>
      </c>
      <c r="F2123">
        <v>0</v>
      </c>
      <c r="G2123" t="s">
        <v>253</v>
      </c>
    </row>
    <row r="2124" spans="1:7">
      <c r="A2124" s="216">
        <v>45170</v>
      </c>
      <c r="B2124" t="s">
        <v>51</v>
      </c>
      <c r="C2124">
        <v>2</v>
      </c>
      <c r="D2124" t="s">
        <v>436</v>
      </c>
      <c r="E2124" s="217">
        <v>45170</v>
      </c>
      <c r="F2124">
        <v>0</v>
      </c>
      <c r="G2124" t="s">
        <v>254</v>
      </c>
    </row>
    <row r="2125" spans="1:7">
      <c r="A2125" s="216">
        <v>45170</v>
      </c>
      <c r="B2125" t="s">
        <v>51</v>
      </c>
      <c r="C2125">
        <v>2</v>
      </c>
      <c r="D2125" t="s">
        <v>436</v>
      </c>
      <c r="E2125" s="217">
        <v>45170</v>
      </c>
      <c r="F2125">
        <v>0</v>
      </c>
      <c r="G2125" t="s">
        <v>255</v>
      </c>
    </row>
    <row r="2126" spans="1:7">
      <c r="A2126" s="216">
        <v>45170</v>
      </c>
      <c r="B2126" t="s">
        <v>51</v>
      </c>
      <c r="C2126">
        <v>2</v>
      </c>
      <c r="D2126" t="s">
        <v>436</v>
      </c>
      <c r="E2126" s="217">
        <v>45170</v>
      </c>
      <c r="F2126">
        <v>0</v>
      </c>
      <c r="G2126" t="s">
        <v>256</v>
      </c>
    </row>
    <row r="2127" spans="1:7">
      <c r="A2127" s="216">
        <v>45170</v>
      </c>
      <c r="B2127" t="s">
        <v>51</v>
      </c>
      <c r="C2127">
        <v>2</v>
      </c>
      <c r="D2127" t="s">
        <v>436</v>
      </c>
      <c r="E2127" s="217">
        <v>45170</v>
      </c>
      <c r="F2127">
        <v>0</v>
      </c>
      <c r="G2127" t="s">
        <v>257</v>
      </c>
    </row>
    <row r="2128" spans="1:7">
      <c r="A2128" s="216">
        <v>45170</v>
      </c>
      <c r="B2128" t="s">
        <v>51</v>
      </c>
      <c r="C2128">
        <v>2</v>
      </c>
      <c r="D2128" t="s">
        <v>436</v>
      </c>
      <c r="E2128" s="217">
        <v>45170</v>
      </c>
      <c r="F2128">
        <v>0</v>
      </c>
      <c r="G2128" t="s">
        <v>258</v>
      </c>
    </row>
    <row r="2129" spans="1:7">
      <c r="A2129" s="216">
        <v>45170</v>
      </c>
      <c r="B2129" t="s">
        <v>51</v>
      </c>
      <c r="C2129">
        <v>2</v>
      </c>
      <c r="D2129" t="s">
        <v>436</v>
      </c>
      <c r="E2129" s="217">
        <v>45170</v>
      </c>
      <c r="F2129">
        <v>0</v>
      </c>
      <c r="G2129" t="s">
        <v>259</v>
      </c>
    </row>
    <row r="2130" spans="1:7">
      <c r="A2130" s="216">
        <v>45170</v>
      </c>
      <c r="B2130" t="s">
        <v>51</v>
      </c>
      <c r="C2130">
        <v>2</v>
      </c>
      <c r="D2130" t="s">
        <v>436</v>
      </c>
      <c r="E2130" s="217">
        <v>45170</v>
      </c>
      <c r="F2130">
        <v>0</v>
      </c>
      <c r="G2130" t="s">
        <v>260</v>
      </c>
    </row>
    <row r="2131" spans="1:7">
      <c r="A2131" s="216">
        <v>45170</v>
      </c>
      <c r="B2131" t="s">
        <v>51</v>
      </c>
      <c r="C2131">
        <v>2</v>
      </c>
      <c r="D2131" t="s">
        <v>436</v>
      </c>
      <c r="E2131" s="217">
        <v>45170</v>
      </c>
      <c r="F2131">
        <v>0</v>
      </c>
      <c r="G2131" t="s">
        <v>261</v>
      </c>
    </row>
    <row r="2132" spans="1:7">
      <c r="A2132" s="216">
        <v>45170</v>
      </c>
      <c r="B2132" t="s">
        <v>51</v>
      </c>
      <c r="C2132">
        <v>2</v>
      </c>
      <c r="D2132" t="s">
        <v>436</v>
      </c>
      <c r="E2132" s="217">
        <v>45170</v>
      </c>
      <c r="F2132">
        <v>0</v>
      </c>
      <c r="G2132" t="s">
        <v>262</v>
      </c>
    </row>
    <row r="2133" spans="1:7">
      <c r="A2133" s="216">
        <v>45170</v>
      </c>
      <c r="B2133" t="s">
        <v>51</v>
      </c>
      <c r="C2133">
        <v>2</v>
      </c>
      <c r="D2133" t="s">
        <v>436</v>
      </c>
      <c r="E2133" s="217">
        <v>45170</v>
      </c>
      <c r="F2133">
        <v>0</v>
      </c>
      <c r="G2133" t="s">
        <v>434</v>
      </c>
    </row>
    <row r="2134" spans="1:7">
      <c r="A2134" s="216">
        <v>45170</v>
      </c>
      <c r="B2134" t="s">
        <v>51</v>
      </c>
      <c r="C2134">
        <v>3</v>
      </c>
      <c r="D2134" t="s">
        <v>459</v>
      </c>
      <c r="E2134" s="217">
        <v>45170</v>
      </c>
      <c r="F2134">
        <v>0</v>
      </c>
      <c r="G2134" t="s">
        <v>251</v>
      </c>
    </row>
    <row r="2135" spans="1:7">
      <c r="A2135" s="216">
        <v>45170</v>
      </c>
      <c r="B2135" t="s">
        <v>51</v>
      </c>
      <c r="C2135">
        <v>3</v>
      </c>
      <c r="D2135" t="s">
        <v>459</v>
      </c>
      <c r="E2135" s="217">
        <v>45170</v>
      </c>
      <c r="F2135">
        <v>0</v>
      </c>
      <c r="G2135" t="s">
        <v>252</v>
      </c>
    </row>
    <row r="2136" spans="1:7">
      <c r="A2136" s="216">
        <v>45170</v>
      </c>
      <c r="B2136" t="s">
        <v>51</v>
      </c>
      <c r="C2136">
        <v>3</v>
      </c>
      <c r="D2136" t="s">
        <v>459</v>
      </c>
      <c r="E2136" s="217">
        <v>45170</v>
      </c>
      <c r="F2136">
        <v>0</v>
      </c>
      <c r="G2136" t="s">
        <v>253</v>
      </c>
    </row>
    <row r="2137" spans="1:7">
      <c r="A2137" s="216">
        <v>45170</v>
      </c>
      <c r="B2137" t="s">
        <v>51</v>
      </c>
      <c r="C2137">
        <v>3</v>
      </c>
      <c r="D2137" t="s">
        <v>459</v>
      </c>
      <c r="E2137" s="217">
        <v>45170</v>
      </c>
      <c r="F2137">
        <v>0</v>
      </c>
      <c r="G2137" t="s">
        <v>254</v>
      </c>
    </row>
    <row r="2138" spans="1:7">
      <c r="A2138" s="216">
        <v>45170</v>
      </c>
      <c r="B2138" t="s">
        <v>51</v>
      </c>
      <c r="C2138">
        <v>3</v>
      </c>
      <c r="D2138" t="s">
        <v>459</v>
      </c>
      <c r="E2138" s="217">
        <v>45170</v>
      </c>
      <c r="F2138">
        <v>0</v>
      </c>
      <c r="G2138" t="s">
        <v>255</v>
      </c>
    </row>
    <row r="2139" spans="1:7">
      <c r="A2139" s="216">
        <v>45170</v>
      </c>
      <c r="B2139" t="s">
        <v>51</v>
      </c>
      <c r="C2139">
        <v>3</v>
      </c>
      <c r="D2139" t="s">
        <v>459</v>
      </c>
      <c r="E2139" s="217">
        <v>45170</v>
      </c>
      <c r="F2139">
        <v>94</v>
      </c>
      <c r="G2139" t="s">
        <v>256</v>
      </c>
    </row>
    <row r="2140" spans="1:7">
      <c r="A2140" s="216">
        <v>45170</v>
      </c>
      <c r="B2140" t="s">
        <v>51</v>
      </c>
      <c r="C2140">
        <v>3</v>
      </c>
      <c r="D2140" t="s">
        <v>459</v>
      </c>
      <c r="E2140" s="217">
        <v>45170</v>
      </c>
      <c r="F2140">
        <v>0</v>
      </c>
      <c r="G2140" t="s">
        <v>257</v>
      </c>
    </row>
    <row r="2141" spans="1:7">
      <c r="A2141" s="216">
        <v>45170</v>
      </c>
      <c r="B2141" t="s">
        <v>51</v>
      </c>
      <c r="C2141">
        <v>3</v>
      </c>
      <c r="D2141" t="s">
        <v>459</v>
      </c>
      <c r="E2141" s="217">
        <v>45170</v>
      </c>
      <c r="F2141">
        <v>0</v>
      </c>
      <c r="G2141" t="s">
        <v>258</v>
      </c>
    </row>
    <row r="2142" spans="1:7">
      <c r="A2142" s="216">
        <v>45170</v>
      </c>
      <c r="B2142" t="s">
        <v>51</v>
      </c>
      <c r="C2142">
        <v>3</v>
      </c>
      <c r="D2142" t="s">
        <v>459</v>
      </c>
      <c r="E2142" s="217">
        <v>45170</v>
      </c>
      <c r="F2142">
        <v>0</v>
      </c>
      <c r="G2142" t="s">
        <v>259</v>
      </c>
    </row>
    <row r="2143" spans="1:7">
      <c r="A2143" s="216">
        <v>45170</v>
      </c>
      <c r="B2143" t="s">
        <v>51</v>
      </c>
      <c r="C2143">
        <v>3</v>
      </c>
      <c r="D2143" t="s">
        <v>459</v>
      </c>
      <c r="E2143" s="217">
        <v>45170</v>
      </c>
      <c r="F2143">
        <v>0</v>
      </c>
      <c r="G2143" t="s">
        <v>260</v>
      </c>
    </row>
    <row r="2144" spans="1:7">
      <c r="A2144" s="216">
        <v>45170</v>
      </c>
      <c r="B2144" t="s">
        <v>51</v>
      </c>
      <c r="C2144">
        <v>3</v>
      </c>
      <c r="D2144" t="s">
        <v>459</v>
      </c>
      <c r="E2144" s="217">
        <v>45170</v>
      </c>
      <c r="F2144">
        <v>0</v>
      </c>
      <c r="G2144" t="s">
        <v>261</v>
      </c>
    </row>
    <row r="2145" spans="1:7">
      <c r="A2145" s="216">
        <v>45170</v>
      </c>
      <c r="B2145" t="s">
        <v>51</v>
      </c>
      <c r="C2145">
        <v>3</v>
      </c>
      <c r="D2145" t="s">
        <v>459</v>
      </c>
      <c r="E2145" s="217">
        <v>45170</v>
      </c>
      <c r="F2145">
        <v>0</v>
      </c>
      <c r="G2145" t="s">
        <v>262</v>
      </c>
    </row>
    <row r="2146" spans="1:7">
      <c r="A2146" s="216">
        <v>45170</v>
      </c>
      <c r="B2146" t="s">
        <v>51</v>
      </c>
      <c r="C2146">
        <v>3</v>
      </c>
      <c r="D2146" t="s">
        <v>459</v>
      </c>
      <c r="E2146" s="217">
        <v>45170</v>
      </c>
      <c r="F2146">
        <v>94</v>
      </c>
      <c r="G2146" t="s">
        <v>434</v>
      </c>
    </row>
    <row r="2147" spans="1:7">
      <c r="A2147" s="216">
        <v>45170</v>
      </c>
      <c r="B2147" t="s">
        <v>51</v>
      </c>
      <c r="C2147">
        <v>4</v>
      </c>
      <c r="D2147" t="s">
        <v>460</v>
      </c>
      <c r="E2147" s="217">
        <v>45170</v>
      </c>
      <c r="F2147">
        <v>0</v>
      </c>
      <c r="G2147" t="s">
        <v>251</v>
      </c>
    </row>
    <row r="2148" spans="1:7">
      <c r="A2148" s="216">
        <v>45170</v>
      </c>
      <c r="B2148" t="s">
        <v>51</v>
      </c>
      <c r="C2148">
        <v>4</v>
      </c>
      <c r="D2148" t="s">
        <v>460</v>
      </c>
      <c r="E2148" s="217">
        <v>45170</v>
      </c>
      <c r="F2148">
        <v>0</v>
      </c>
      <c r="G2148" t="s">
        <v>252</v>
      </c>
    </row>
    <row r="2149" spans="1:7">
      <c r="A2149" s="216">
        <v>45170</v>
      </c>
      <c r="B2149" t="s">
        <v>51</v>
      </c>
      <c r="C2149">
        <v>4</v>
      </c>
      <c r="D2149" t="s">
        <v>460</v>
      </c>
      <c r="E2149" s="217">
        <v>45170</v>
      </c>
      <c r="F2149">
        <v>0</v>
      </c>
      <c r="G2149" t="s">
        <v>253</v>
      </c>
    </row>
    <row r="2150" spans="1:7">
      <c r="A2150" s="216">
        <v>45170</v>
      </c>
      <c r="B2150" t="s">
        <v>51</v>
      </c>
      <c r="C2150">
        <v>4</v>
      </c>
      <c r="D2150" t="s">
        <v>460</v>
      </c>
      <c r="E2150" s="217">
        <v>45170</v>
      </c>
      <c r="F2150">
        <v>0</v>
      </c>
      <c r="G2150" t="s">
        <v>254</v>
      </c>
    </row>
    <row r="2151" spans="1:7">
      <c r="A2151" s="216">
        <v>45170</v>
      </c>
      <c r="B2151" t="s">
        <v>51</v>
      </c>
      <c r="C2151">
        <v>4</v>
      </c>
      <c r="D2151" t="s">
        <v>460</v>
      </c>
      <c r="E2151" s="217">
        <v>45170</v>
      </c>
      <c r="F2151">
        <v>0</v>
      </c>
      <c r="G2151" t="s">
        <v>255</v>
      </c>
    </row>
    <row r="2152" spans="1:7">
      <c r="A2152" s="216">
        <v>45170</v>
      </c>
      <c r="B2152" t="s">
        <v>51</v>
      </c>
      <c r="C2152">
        <v>4</v>
      </c>
      <c r="D2152" t="s">
        <v>460</v>
      </c>
      <c r="E2152" s="217">
        <v>45170</v>
      </c>
      <c r="F2152">
        <v>0</v>
      </c>
      <c r="G2152" t="s">
        <v>256</v>
      </c>
    </row>
    <row r="2153" spans="1:7">
      <c r="A2153" s="216">
        <v>45170</v>
      </c>
      <c r="B2153" t="s">
        <v>51</v>
      </c>
      <c r="C2153">
        <v>4</v>
      </c>
      <c r="D2153" t="s">
        <v>460</v>
      </c>
      <c r="E2153" s="217">
        <v>45170</v>
      </c>
      <c r="F2153">
        <v>0</v>
      </c>
      <c r="G2153" t="s">
        <v>257</v>
      </c>
    </row>
    <row r="2154" spans="1:7">
      <c r="A2154" s="216">
        <v>45170</v>
      </c>
      <c r="B2154" t="s">
        <v>51</v>
      </c>
      <c r="C2154">
        <v>4</v>
      </c>
      <c r="D2154" t="s">
        <v>460</v>
      </c>
      <c r="E2154" s="217">
        <v>45170</v>
      </c>
      <c r="F2154">
        <v>0</v>
      </c>
      <c r="G2154" t="s">
        <v>258</v>
      </c>
    </row>
    <row r="2155" spans="1:7">
      <c r="A2155" s="216">
        <v>45170</v>
      </c>
      <c r="B2155" t="s">
        <v>51</v>
      </c>
      <c r="C2155">
        <v>4</v>
      </c>
      <c r="D2155" t="s">
        <v>460</v>
      </c>
      <c r="E2155" s="217">
        <v>45170</v>
      </c>
      <c r="F2155">
        <v>0</v>
      </c>
      <c r="G2155" t="s">
        <v>259</v>
      </c>
    </row>
    <row r="2156" spans="1:7">
      <c r="A2156" s="216">
        <v>45170</v>
      </c>
      <c r="B2156" t="s">
        <v>51</v>
      </c>
      <c r="C2156">
        <v>4</v>
      </c>
      <c r="D2156" t="s">
        <v>460</v>
      </c>
      <c r="E2156" s="217">
        <v>45170</v>
      </c>
      <c r="F2156">
        <v>0</v>
      </c>
      <c r="G2156" t="s">
        <v>260</v>
      </c>
    </row>
    <row r="2157" spans="1:7">
      <c r="A2157" s="216">
        <v>45170</v>
      </c>
      <c r="B2157" t="s">
        <v>51</v>
      </c>
      <c r="C2157">
        <v>4</v>
      </c>
      <c r="D2157" t="s">
        <v>460</v>
      </c>
      <c r="E2157" s="217">
        <v>45170</v>
      </c>
      <c r="F2157">
        <v>0</v>
      </c>
      <c r="G2157" t="s">
        <v>261</v>
      </c>
    </row>
    <row r="2158" spans="1:7">
      <c r="A2158" s="216">
        <v>45170</v>
      </c>
      <c r="B2158" t="s">
        <v>51</v>
      </c>
      <c r="C2158">
        <v>4</v>
      </c>
      <c r="D2158" t="s">
        <v>460</v>
      </c>
      <c r="E2158" s="217">
        <v>45170</v>
      </c>
      <c r="F2158">
        <v>0</v>
      </c>
      <c r="G2158" t="s">
        <v>262</v>
      </c>
    </row>
    <row r="2159" spans="1:7">
      <c r="A2159" s="216">
        <v>45170</v>
      </c>
      <c r="B2159" t="s">
        <v>51</v>
      </c>
      <c r="C2159">
        <v>4</v>
      </c>
      <c r="D2159" t="s">
        <v>460</v>
      </c>
      <c r="E2159" s="217">
        <v>45170</v>
      </c>
      <c r="F2159">
        <v>0</v>
      </c>
      <c r="G2159" t="s">
        <v>434</v>
      </c>
    </row>
    <row r="2160" spans="1:7">
      <c r="A2160" s="216">
        <v>45170</v>
      </c>
      <c r="B2160" t="s">
        <v>51</v>
      </c>
      <c r="C2160">
        <v>5</v>
      </c>
      <c r="D2160" t="s">
        <v>458</v>
      </c>
      <c r="E2160" s="217">
        <v>45170</v>
      </c>
      <c r="F2160">
        <v>0</v>
      </c>
      <c r="G2160" t="s">
        <v>251</v>
      </c>
    </row>
    <row r="2161" spans="1:7">
      <c r="A2161" s="216">
        <v>45170</v>
      </c>
      <c r="B2161" t="s">
        <v>51</v>
      </c>
      <c r="C2161">
        <v>5</v>
      </c>
      <c r="D2161" t="s">
        <v>458</v>
      </c>
      <c r="E2161" s="217">
        <v>45170</v>
      </c>
      <c r="F2161">
        <v>0</v>
      </c>
      <c r="G2161" t="s">
        <v>252</v>
      </c>
    </row>
    <row r="2162" spans="1:7">
      <c r="A2162" s="216">
        <v>45170</v>
      </c>
      <c r="B2162" t="s">
        <v>51</v>
      </c>
      <c r="C2162">
        <v>5</v>
      </c>
      <c r="D2162" t="s">
        <v>458</v>
      </c>
      <c r="E2162" s="217">
        <v>45170</v>
      </c>
      <c r="F2162">
        <v>0</v>
      </c>
      <c r="G2162" t="s">
        <v>253</v>
      </c>
    </row>
    <row r="2163" spans="1:7">
      <c r="A2163" s="216">
        <v>45170</v>
      </c>
      <c r="B2163" t="s">
        <v>51</v>
      </c>
      <c r="C2163">
        <v>5</v>
      </c>
      <c r="D2163" t="s">
        <v>458</v>
      </c>
      <c r="E2163" s="217">
        <v>45170</v>
      </c>
      <c r="F2163">
        <v>0</v>
      </c>
      <c r="G2163" t="s">
        <v>254</v>
      </c>
    </row>
    <row r="2164" spans="1:7">
      <c r="A2164" s="216">
        <v>45170</v>
      </c>
      <c r="B2164" t="s">
        <v>51</v>
      </c>
      <c r="C2164">
        <v>5</v>
      </c>
      <c r="D2164" t="s">
        <v>458</v>
      </c>
      <c r="E2164" s="217">
        <v>45170</v>
      </c>
      <c r="F2164">
        <v>0</v>
      </c>
      <c r="G2164" t="s">
        <v>255</v>
      </c>
    </row>
    <row r="2165" spans="1:7">
      <c r="A2165" s="216">
        <v>45170</v>
      </c>
      <c r="B2165" t="s">
        <v>51</v>
      </c>
      <c r="C2165">
        <v>5</v>
      </c>
      <c r="D2165" t="s">
        <v>458</v>
      </c>
      <c r="E2165" s="217">
        <v>45170</v>
      </c>
      <c r="F2165">
        <v>0</v>
      </c>
      <c r="G2165" t="s">
        <v>256</v>
      </c>
    </row>
    <row r="2166" spans="1:7">
      <c r="A2166" s="216">
        <v>45170</v>
      </c>
      <c r="B2166" t="s">
        <v>51</v>
      </c>
      <c r="C2166">
        <v>5</v>
      </c>
      <c r="D2166" t="s">
        <v>458</v>
      </c>
      <c r="E2166" s="217">
        <v>45170</v>
      </c>
      <c r="F2166">
        <v>0</v>
      </c>
      <c r="G2166" t="s">
        <v>257</v>
      </c>
    </row>
    <row r="2167" spans="1:7">
      <c r="A2167" s="216">
        <v>45170</v>
      </c>
      <c r="B2167" t="s">
        <v>51</v>
      </c>
      <c r="C2167">
        <v>5</v>
      </c>
      <c r="D2167" t="s">
        <v>458</v>
      </c>
      <c r="E2167" s="217">
        <v>45170</v>
      </c>
      <c r="F2167">
        <v>0</v>
      </c>
      <c r="G2167" t="s">
        <v>258</v>
      </c>
    </row>
    <row r="2168" spans="1:7">
      <c r="A2168" s="216">
        <v>45170</v>
      </c>
      <c r="B2168" t="s">
        <v>51</v>
      </c>
      <c r="C2168">
        <v>5</v>
      </c>
      <c r="D2168" t="s">
        <v>458</v>
      </c>
      <c r="E2168" s="217">
        <v>45170</v>
      </c>
      <c r="F2168">
        <v>0</v>
      </c>
      <c r="G2168" t="s">
        <v>259</v>
      </c>
    </row>
    <row r="2169" spans="1:7">
      <c r="A2169" s="216">
        <v>45170</v>
      </c>
      <c r="B2169" t="s">
        <v>51</v>
      </c>
      <c r="C2169">
        <v>5</v>
      </c>
      <c r="D2169" t="s">
        <v>458</v>
      </c>
      <c r="E2169" s="217">
        <v>45170</v>
      </c>
      <c r="F2169">
        <v>0</v>
      </c>
      <c r="G2169" t="s">
        <v>260</v>
      </c>
    </row>
    <row r="2170" spans="1:7">
      <c r="A2170" s="216">
        <v>45170</v>
      </c>
      <c r="B2170" t="s">
        <v>51</v>
      </c>
      <c r="C2170">
        <v>5</v>
      </c>
      <c r="D2170" t="s">
        <v>458</v>
      </c>
      <c r="E2170" s="217">
        <v>45170</v>
      </c>
      <c r="F2170">
        <v>0</v>
      </c>
      <c r="G2170" t="s">
        <v>261</v>
      </c>
    </row>
    <row r="2171" spans="1:7">
      <c r="A2171" s="216">
        <v>45170</v>
      </c>
      <c r="B2171" t="s">
        <v>51</v>
      </c>
      <c r="C2171">
        <v>5</v>
      </c>
      <c r="D2171" t="s">
        <v>458</v>
      </c>
      <c r="E2171" s="217">
        <v>45170</v>
      </c>
      <c r="F2171">
        <v>213</v>
      </c>
      <c r="G2171" t="s">
        <v>262</v>
      </c>
    </row>
    <row r="2172" spans="1:7">
      <c r="A2172" s="216">
        <v>45170</v>
      </c>
      <c r="B2172" t="s">
        <v>51</v>
      </c>
      <c r="C2172">
        <v>5</v>
      </c>
      <c r="D2172" t="s">
        <v>458</v>
      </c>
      <c r="E2172" s="217">
        <v>45170</v>
      </c>
      <c r="F2172">
        <v>213</v>
      </c>
      <c r="G2172" t="s">
        <v>434</v>
      </c>
    </row>
    <row r="2173" spans="1:7">
      <c r="A2173" s="216">
        <v>45170</v>
      </c>
      <c r="B2173" t="s">
        <v>51</v>
      </c>
      <c r="C2173">
        <v>6</v>
      </c>
      <c r="D2173" t="s">
        <v>448</v>
      </c>
      <c r="E2173" s="217">
        <v>45170</v>
      </c>
      <c r="F2173">
        <v>29</v>
      </c>
      <c r="G2173" t="s">
        <v>251</v>
      </c>
    </row>
    <row r="2174" spans="1:7">
      <c r="A2174" s="216">
        <v>45170</v>
      </c>
      <c r="B2174" t="s">
        <v>51</v>
      </c>
      <c r="C2174">
        <v>6</v>
      </c>
      <c r="D2174" t="s">
        <v>448</v>
      </c>
      <c r="E2174" s="217">
        <v>45170</v>
      </c>
      <c r="F2174">
        <v>25</v>
      </c>
      <c r="G2174" t="s">
        <v>252</v>
      </c>
    </row>
    <row r="2175" spans="1:7">
      <c r="A2175" s="216">
        <v>45170</v>
      </c>
      <c r="B2175" t="s">
        <v>51</v>
      </c>
      <c r="C2175">
        <v>6</v>
      </c>
      <c r="D2175" t="s">
        <v>448</v>
      </c>
      <c r="E2175" s="217">
        <v>45170</v>
      </c>
      <c r="F2175">
        <v>31</v>
      </c>
      <c r="G2175" t="s">
        <v>253</v>
      </c>
    </row>
    <row r="2176" spans="1:7">
      <c r="A2176" s="216">
        <v>45170</v>
      </c>
      <c r="B2176" t="s">
        <v>51</v>
      </c>
      <c r="C2176">
        <v>6</v>
      </c>
      <c r="D2176" t="s">
        <v>448</v>
      </c>
      <c r="E2176" s="217">
        <v>45170</v>
      </c>
      <c r="F2176">
        <v>17</v>
      </c>
      <c r="G2176" t="s">
        <v>254</v>
      </c>
    </row>
    <row r="2177" spans="1:7">
      <c r="A2177" s="216">
        <v>45170</v>
      </c>
      <c r="B2177" t="s">
        <v>51</v>
      </c>
      <c r="C2177">
        <v>6</v>
      </c>
      <c r="D2177" t="s">
        <v>448</v>
      </c>
      <c r="E2177" s="217">
        <v>45170</v>
      </c>
      <c r="F2177">
        <v>23</v>
      </c>
      <c r="G2177" t="s">
        <v>255</v>
      </c>
    </row>
    <row r="2178" spans="1:7">
      <c r="A2178" s="216">
        <v>45170</v>
      </c>
      <c r="B2178" t="s">
        <v>51</v>
      </c>
      <c r="C2178">
        <v>6</v>
      </c>
      <c r="D2178" t="s">
        <v>448</v>
      </c>
      <c r="E2178" s="217">
        <v>45170</v>
      </c>
      <c r="F2178">
        <v>52</v>
      </c>
      <c r="G2178" t="s">
        <v>256</v>
      </c>
    </row>
    <row r="2179" spans="1:7">
      <c r="A2179" s="216">
        <v>45170</v>
      </c>
      <c r="B2179" t="s">
        <v>51</v>
      </c>
      <c r="C2179">
        <v>6</v>
      </c>
      <c r="D2179" t="s">
        <v>448</v>
      </c>
      <c r="E2179" s="217">
        <v>45170</v>
      </c>
      <c r="F2179">
        <v>24</v>
      </c>
      <c r="G2179" t="s">
        <v>257</v>
      </c>
    </row>
    <row r="2180" spans="1:7">
      <c r="A2180" s="216">
        <v>45170</v>
      </c>
      <c r="B2180" t="s">
        <v>51</v>
      </c>
      <c r="C2180">
        <v>6</v>
      </c>
      <c r="D2180" t="s">
        <v>448</v>
      </c>
      <c r="E2180" s="217">
        <v>45170</v>
      </c>
      <c r="F2180">
        <v>24</v>
      </c>
      <c r="G2180" t="s">
        <v>258</v>
      </c>
    </row>
    <row r="2181" spans="1:7">
      <c r="A2181" s="216">
        <v>45170</v>
      </c>
      <c r="B2181" t="s">
        <v>51</v>
      </c>
      <c r="C2181">
        <v>6</v>
      </c>
      <c r="D2181" t="s">
        <v>448</v>
      </c>
      <c r="E2181" s="217">
        <v>45170</v>
      </c>
      <c r="F2181">
        <v>24</v>
      </c>
      <c r="G2181" t="s">
        <v>259</v>
      </c>
    </row>
    <row r="2182" spans="1:7">
      <c r="A2182" s="216">
        <v>45170</v>
      </c>
      <c r="B2182" t="s">
        <v>51</v>
      </c>
      <c r="C2182">
        <v>6</v>
      </c>
      <c r="D2182" t="s">
        <v>448</v>
      </c>
      <c r="E2182" s="217">
        <v>45170</v>
      </c>
      <c r="F2182">
        <v>24</v>
      </c>
      <c r="G2182" t="s">
        <v>260</v>
      </c>
    </row>
    <row r="2183" spans="1:7">
      <c r="A2183" s="216">
        <v>45170</v>
      </c>
      <c r="B2183" t="s">
        <v>51</v>
      </c>
      <c r="C2183">
        <v>6</v>
      </c>
      <c r="D2183" t="s">
        <v>448</v>
      </c>
      <c r="E2183" s="217">
        <v>45170</v>
      </c>
      <c r="F2183">
        <v>24</v>
      </c>
      <c r="G2183" t="s">
        <v>261</v>
      </c>
    </row>
    <row r="2184" spans="1:7">
      <c r="A2184" s="216">
        <v>45170</v>
      </c>
      <c r="B2184" t="s">
        <v>51</v>
      </c>
      <c r="C2184">
        <v>6</v>
      </c>
      <c r="D2184" t="s">
        <v>448</v>
      </c>
      <c r="E2184" s="217">
        <v>45170</v>
      </c>
      <c r="F2184">
        <v>15</v>
      </c>
      <c r="G2184" t="s">
        <v>262</v>
      </c>
    </row>
    <row r="2185" spans="1:7">
      <c r="A2185" s="216">
        <v>45170</v>
      </c>
      <c r="B2185" t="s">
        <v>51</v>
      </c>
      <c r="C2185">
        <v>6</v>
      </c>
      <c r="D2185" t="s">
        <v>448</v>
      </c>
      <c r="E2185" s="217">
        <v>45170</v>
      </c>
      <c r="F2185">
        <v>312</v>
      </c>
      <c r="G2185" t="s">
        <v>434</v>
      </c>
    </row>
    <row r="2186" spans="1:7">
      <c r="A2186" s="216">
        <v>45170</v>
      </c>
      <c r="B2186" t="s">
        <v>51</v>
      </c>
      <c r="C2186">
        <v>7</v>
      </c>
      <c r="D2186" t="s">
        <v>442</v>
      </c>
      <c r="E2186" s="217">
        <v>45170</v>
      </c>
      <c r="F2186">
        <v>23343</v>
      </c>
      <c r="G2186" t="s">
        <v>251</v>
      </c>
    </row>
    <row r="2187" spans="1:7">
      <c r="A2187" s="216">
        <v>45170</v>
      </c>
      <c r="B2187" t="s">
        <v>51</v>
      </c>
      <c r="C2187">
        <v>7</v>
      </c>
      <c r="D2187" t="s">
        <v>442</v>
      </c>
      <c r="E2187" s="217">
        <v>45170</v>
      </c>
      <c r="F2187">
        <v>23627</v>
      </c>
      <c r="G2187" t="s">
        <v>252</v>
      </c>
    </row>
    <row r="2188" spans="1:7">
      <c r="A2188" s="216">
        <v>45170</v>
      </c>
      <c r="B2188" t="s">
        <v>51</v>
      </c>
      <c r="C2188">
        <v>7</v>
      </c>
      <c r="D2188" t="s">
        <v>442</v>
      </c>
      <c r="E2188" s="217">
        <v>45170</v>
      </c>
      <c r="F2188">
        <v>24484</v>
      </c>
      <c r="G2188" t="s">
        <v>253</v>
      </c>
    </row>
    <row r="2189" spans="1:7">
      <c r="A2189" s="216">
        <v>45170</v>
      </c>
      <c r="B2189" t="s">
        <v>51</v>
      </c>
      <c r="C2189">
        <v>7</v>
      </c>
      <c r="D2189" t="s">
        <v>442</v>
      </c>
      <c r="E2189" s="217">
        <v>45170</v>
      </c>
      <c r="F2189">
        <v>19951</v>
      </c>
      <c r="G2189" t="s">
        <v>254</v>
      </c>
    </row>
    <row r="2190" spans="1:7">
      <c r="A2190" s="216">
        <v>45170</v>
      </c>
      <c r="B2190" t="s">
        <v>51</v>
      </c>
      <c r="C2190">
        <v>7</v>
      </c>
      <c r="D2190" t="s">
        <v>442</v>
      </c>
      <c r="E2190" s="217">
        <v>45170</v>
      </c>
      <c r="F2190">
        <v>28083</v>
      </c>
      <c r="G2190" t="s">
        <v>255</v>
      </c>
    </row>
    <row r="2191" spans="1:7">
      <c r="A2191" s="216">
        <v>45170</v>
      </c>
      <c r="B2191" t="s">
        <v>51</v>
      </c>
      <c r="C2191">
        <v>7</v>
      </c>
      <c r="D2191" t="s">
        <v>442</v>
      </c>
      <c r="E2191" s="217">
        <v>45170</v>
      </c>
      <c r="F2191">
        <v>25523</v>
      </c>
      <c r="G2191" t="s">
        <v>256</v>
      </c>
    </row>
    <row r="2192" spans="1:7">
      <c r="A2192" s="216">
        <v>45170</v>
      </c>
      <c r="B2192" t="s">
        <v>51</v>
      </c>
      <c r="C2192">
        <v>7</v>
      </c>
      <c r="D2192" t="s">
        <v>442</v>
      </c>
      <c r="E2192" s="217">
        <v>45170</v>
      </c>
      <c r="F2192">
        <v>27974</v>
      </c>
      <c r="G2192" t="s">
        <v>257</v>
      </c>
    </row>
    <row r="2193" spans="1:7">
      <c r="A2193" s="216">
        <v>45170</v>
      </c>
      <c r="B2193" t="s">
        <v>51</v>
      </c>
      <c r="C2193">
        <v>7</v>
      </c>
      <c r="D2193" t="s">
        <v>442</v>
      </c>
      <c r="E2193" s="217">
        <v>45170</v>
      </c>
      <c r="F2193">
        <v>28474</v>
      </c>
      <c r="G2193" t="s">
        <v>258</v>
      </c>
    </row>
    <row r="2194" spans="1:7">
      <c r="A2194" s="216">
        <v>45170</v>
      </c>
      <c r="B2194" t="s">
        <v>51</v>
      </c>
      <c r="C2194">
        <v>7</v>
      </c>
      <c r="D2194" t="s">
        <v>442</v>
      </c>
      <c r="E2194" s="217">
        <v>45170</v>
      </c>
      <c r="F2194">
        <v>31874</v>
      </c>
      <c r="G2194" t="s">
        <v>259</v>
      </c>
    </row>
    <row r="2195" spans="1:7">
      <c r="A2195" s="216">
        <v>45170</v>
      </c>
      <c r="B2195" t="s">
        <v>51</v>
      </c>
      <c r="C2195">
        <v>7</v>
      </c>
      <c r="D2195" t="s">
        <v>442</v>
      </c>
      <c r="E2195" s="217">
        <v>45170</v>
      </c>
      <c r="F2195">
        <v>27774</v>
      </c>
      <c r="G2195" t="s">
        <v>260</v>
      </c>
    </row>
    <row r="2196" spans="1:7">
      <c r="A2196" s="216">
        <v>45170</v>
      </c>
      <c r="B2196" t="s">
        <v>51</v>
      </c>
      <c r="C2196">
        <v>7</v>
      </c>
      <c r="D2196" t="s">
        <v>442</v>
      </c>
      <c r="E2196" s="217">
        <v>45170</v>
      </c>
      <c r="F2196">
        <v>30074</v>
      </c>
      <c r="G2196" t="s">
        <v>261</v>
      </c>
    </row>
    <row r="2197" spans="1:7">
      <c r="A2197" s="216">
        <v>45170</v>
      </c>
      <c r="B2197" t="s">
        <v>51</v>
      </c>
      <c r="C2197">
        <v>7</v>
      </c>
      <c r="D2197" t="s">
        <v>442</v>
      </c>
      <c r="E2197" s="217">
        <v>45170</v>
      </c>
      <c r="F2197">
        <v>29299</v>
      </c>
      <c r="G2197" t="s">
        <v>262</v>
      </c>
    </row>
    <row r="2198" spans="1:7">
      <c r="A2198" s="216">
        <v>45170</v>
      </c>
      <c r="B2198" t="s">
        <v>51</v>
      </c>
      <c r="C2198">
        <v>7</v>
      </c>
      <c r="D2198" t="s">
        <v>442</v>
      </c>
      <c r="E2198" s="217">
        <v>45170</v>
      </c>
      <c r="F2198">
        <v>320480</v>
      </c>
      <c r="G2198" t="s">
        <v>434</v>
      </c>
    </row>
    <row r="2199" spans="1:7">
      <c r="A2199" s="216">
        <v>45170</v>
      </c>
      <c r="B2199" t="s">
        <v>51</v>
      </c>
      <c r="C2199">
        <v>8</v>
      </c>
      <c r="D2199" t="s">
        <v>451</v>
      </c>
      <c r="E2199" s="217">
        <v>45170</v>
      </c>
      <c r="F2199">
        <v>0</v>
      </c>
      <c r="G2199" t="s">
        <v>251</v>
      </c>
    </row>
    <row r="2200" spans="1:7">
      <c r="A2200" s="216">
        <v>45170</v>
      </c>
      <c r="B2200" t="s">
        <v>51</v>
      </c>
      <c r="C2200">
        <v>8</v>
      </c>
      <c r="D2200" t="s">
        <v>451</v>
      </c>
      <c r="E2200" s="217">
        <v>45170</v>
      </c>
      <c r="F2200">
        <v>0</v>
      </c>
      <c r="G2200" t="s">
        <v>252</v>
      </c>
    </row>
    <row r="2201" spans="1:7">
      <c r="A2201" s="216">
        <v>45170</v>
      </c>
      <c r="B2201" t="s">
        <v>51</v>
      </c>
      <c r="C2201">
        <v>8</v>
      </c>
      <c r="D2201" t="s">
        <v>451</v>
      </c>
      <c r="E2201" s="217">
        <v>45170</v>
      </c>
      <c r="F2201">
        <v>0</v>
      </c>
      <c r="G2201" t="s">
        <v>253</v>
      </c>
    </row>
    <row r="2202" spans="1:7">
      <c r="A2202" s="216">
        <v>45170</v>
      </c>
      <c r="B2202" t="s">
        <v>51</v>
      </c>
      <c r="C2202">
        <v>8</v>
      </c>
      <c r="D2202" t="s">
        <v>451</v>
      </c>
      <c r="E2202" s="217">
        <v>45170</v>
      </c>
      <c r="F2202">
        <v>0</v>
      </c>
      <c r="G2202" t="s">
        <v>254</v>
      </c>
    </row>
    <row r="2203" spans="1:7">
      <c r="A2203" s="216">
        <v>45170</v>
      </c>
      <c r="B2203" t="s">
        <v>51</v>
      </c>
      <c r="C2203">
        <v>8</v>
      </c>
      <c r="D2203" t="s">
        <v>451</v>
      </c>
      <c r="E2203" s="217">
        <v>45170</v>
      </c>
      <c r="F2203">
        <v>0</v>
      </c>
      <c r="G2203" t="s">
        <v>255</v>
      </c>
    </row>
    <row r="2204" spans="1:7">
      <c r="A2204" s="216">
        <v>45170</v>
      </c>
      <c r="B2204" t="s">
        <v>51</v>
      </c>
      <c r="C2204">
        <v>8</v>
      </c>
      <c r="D2204" t="s">
        <v>451</v>
      </c>
      <c r="E2204" s="217">
        <v>45170</v>
      </c>
      <c r="F2204">
        <v>0</v>
      </c>
      <c r="G2204" t="s">
        <v>256</v>
      </c>
    </row>
    <row r="2205" spans="1:7">
      <c r="A2205" s="216">
        <v>45170</v>
      </c>
      <c r="B2205" t="s">
        <v>51</v>
      </c>
      <c r="C2205">
        <v>8</v>
      </c>
      <c r="D2205" t="s">
        <v>451</v>
      </c>
      <c r="E2205" s="217">
        <v>45170</v>
      </c>
      <c r="F2205">
        <v>0</v>
      </c>
      <c r="G2205" t="s">
        <v>257</v>
      </c>
    </row>
    <row r="2206" spans="1:7">
      <c r="A2206" s="216">
        <v>45170</v>
      </c>
      <c r="B2206" t="s">
        <v>51</v>
      </c>
      <c r="C2206">
        <v>8</v>
      </c>
      <c r="D2206" t="s">
        <v>451</v>
      </c>
      <c r="E2206" s="217">
        <v>45170</v>
      </c>
      <c r="F2206">
        <v>0</v>
      </c>
      <c r="G2206" t="s">
        <v>258</v>
      </c>
    </row>
    <row r="2207" spans="1:7">
      <c r="A2207" s="216">
        <v>45170</v>
      </c>
      <c r="B2207" t="s">
        <v>51</v>
      </c>
      <c r="C2207">
        <v>8</v>
      </c>
      <c r="D2207" t="s">
        <v>451</v>
      </c>
      <c r="E2207" s="217">
        <v>45170</v>
      </c>
      <c r="F2207">
        <v>0</v>
      </c>
      <c r="G2207" t="s">
        <v>259</v>
      </c>
    </row>
    <row r="2208" spans="1:7">
      <c r="A2208" s="216">
        <v>45170</v>
      </c>
      <c r="B2208" t="s">
        <v>51</v>
      </c>
      <c r="C2208">
        <v>8</v>
      </c>
      <c r="D2208" t="s">
        <v>451</v>
      </c>
      <c r="E2208" s="217">
        <v>45170</v>
      </c>
      <c r="F2208">
        <v>0</v>
      </c>
      <c r="G2208" t="s">
        <v>260</v>
      </c>
    </row>
    <row r="2209" spans="1:7">
      <c r="A2209" s="216">
        <v>45170</v>
      </c>
      <c r="B2209" t="s">
        <v>51</v>
      </c>
      <c r="C2209">
        <v>8</v>
      </c>
      <c r="D2209" t="s">
        <v>451</v>
      </c>
      <c r="E2209" s="217">
        <v>45170</v>
      </c>
      <c r="F2209">
        <v>0</v>
      </c>
      <c r="G2209" t="s">
        <v>261</v>
      </c>
    </row>
    <row r="2210" spans="1:7">
      <c r="A2210" s="216">
        <v>45170</v>
      </c>
      <c r="B2210" t="s">
        <v>51</v>
      </c>
      <c r="C2210">
        <v>8</v>
      </c>
      <c r="D2210" t="s">
        <v>451</v>
      </c>
      <c r="E2210" s="217">
        <v>45170</v>
      </c>
      <c r="F2210">
        <v>0</v>
      </c>
      <c r="G2210" t="s">
        <v>262</v>
      </c>
    </row>
    <row r="2211" spans="1:7">
      <c r="A2211" s="216">
        <v>45170</v>
      </c>
      <c r="B2211" t="s">
        <v>51</v>
      </c>
      <c r="C2211">
        <v>8</v>
      </c>
      <c r="D2211" t="s">
        <v>451</v>
      </c>
      <c r="E2211" s="217">
        <v>45170</v>
      </c>
      <c r="F2211">
        <v>0</v>
      </c>
      <c r="G2211" t="s">
        <v>434</v>
      </c>
    </row>
    <row r="2212" spans="1:7">
      <c r="A2212" s="216">
        <v>45170</v>
      </c>
      <c r="B2212" t="s">
        <v>51</v>
      </c>
      <c r="C2212">
        <v>9</v>
      </c>
      <c r="D2212" t="s">
        <v>450</v>
      </c>
      <c r="E2212" s="217">
        <v>45170</v>
      </c>
      <c r="F2212">
        <v>0</v>
      </c>
      <c r="G2212" t="s">
        <v>251</v>
      </c>
    </row>
    <row r="2213" spans="1:7">
      <c r="A2213" s="216">
        <v>45170</v>
      </c>
      <c r="B2213" t="s">
        <v>51</v>
      </c>
      <c r="C2213">
        <v>9</v>
      </c>
      <c r="D2213" t="s">
        <v>450</v>
      </c>
      <c r="E2213" s="217">
        <v>45170</v>
      </c>
      <c r="F2213">
        <v>0</v>
      </c>
      <c r="G2213" t="s">
        <v>252</v>
      </c>
    </row>
    <row r="2214" spans="1:7">
      <c r="A2214" s="216">
        <v>45170</v>
      </c>
      <c r="B2214" t="s">
        <v>51</v>
      </c>
      <c r="C2214">
        <v>9</v>
      </c>
      <c r="D2214" t="s">
        <v>450</v>
      </c>
      <c r="E2214" s="217">
        <v>45170</v>
      </c>
      <c r="F2214">
        <v>0</v>
      </c>
      <c r="G2214" t="s">
        <v>253</v>
      </c>
    </row>
    <row r="2215" spans="1:7">
      <c r="A2215" s="216">
        <v>45170</v>
      </c>
      <c r="B2215" t="s">
        <v>51</v>
      </c>
      <c r="C2215">
        <v>9</v>
      </c>
      <c r="D2215" t="s">
        <v>450</v>
      </c>
      <c r="E2215" s="217">
        <v>45170</v>
      </c>
      <c r="F2215">
        <v>0</v>
      </c>
      <c r="G2215" t="s">
        <v>254</v>
      </c>
    </row>
    <row r="2216" spans="1:7">
      <c r="A2216" s="216">
        <v>45170</v>
      </c>
      <c r="B2216" t="s">
        <v>51</v>
      </c>
      <c r="C2216">
        <v>9</v>
      </c>
      <c r="D2216" t="s">
        <v>450</v>
      </c>
      <c r="E2216" s="217">
        <v>45170</v>
      </c>
      <c r="F2216">
        <v>0</v>
      </c>
      <c r="G2216" t="s">
        <v>255</v>
      </c>
    </row>
    <row r="2217" spans="1:7">
      <c r="A2217" s="216">
        <v>45170</v>
      </c>
      <c r="B2217" t="s">
        <v>51</v>
      </c>
      <c r="C2217">
        <v>9</v>
      </c>
      <c r="D2217" t="s">
        <v>450</v>
      </c>
      <c r="E2217" s="217">
        <v>45170</v>
      </c>
      <c r="F2217">
        <v>0</v>
      </c>
      <c r="G2217" t="s">
        <v>256</v>
      </c>
    </row>
    <row r="2218" spans="1:7">
      <c r="A2218" s="216">
        <v>45170</v>
      </c>
      <c r="B2218" t="s">
        <v>51</v>
      </c>
      <c r="C2218">
        <v>9</v>
      </c>
      <c r="D2218" t="s">
        <v>450</v>
      </c>
      <c r="E2218" s="217">
        <v>45170</v>
      </c>
      <c r="F2218">
        <v>0</v>
      </c>
      <c r="G2218" t="s">
        <v>257</v>
      </c>
    </row>
    <row r="2219" spans="1:7">
      <c r="A2219" s="216">
        <v>45170</v>
      </c>
      <c r="B2219" t="s">
        <v>51</v>
      </c>
      <c r="C2219">
        <v>9</v>
      </c>
      <c r="D2219" t="s">
        <v>450</v>
      </c>
      <c r="E2219" s="217">
        <v>45170</v>
      </c>
      <c r="F2219">
        <v>0</v>
      </c>
      <c r="G2219" t="s">
        <v>258</v>
      </c>
    </row>
    <row r="2220" spans="1:7">
      <c r="A2220" s="216">
        <v>45170</v>
      </c>
      <c r="B2220" t="s">
        <v>51</v>
      </c>
      <c r="C2220">
        <v>9</v>
      </c>
      <c r="D2220" t="s">
        <v>450</v>
      </c>
      <c r="E2220" s="217">
        <v>45170</v>
      </c>
      <c r="F2220">
        <v>0</v>
      </c>
      <c r="G2220" t="s">
        <v>259</v>
      </c>
    </row>
    <row r="2221" spans="1:7">
      <c r="A2221" s="216">
        <v>45170</v>
      </c>
      <c r="B2221" t="s">
        <v>51</v>
      </c>
      <c r="C2221">
        <v>9</v>
      </c>
      <c r="D2221" t="s">
        <v>450</v>
      </c>
      <c r="E2221" s="217">
        <v>45170</v>
      </c>
      <c r="F2221">
        <v>0</v>
      </c>
      <c r="G2221" t="s">
        <v>260</v>
      </c>
    </row>
    <row r="2222" spans="1:7">
      <c r="A2222" s="216">
        <v>45170</v>
      </c>
      <c r="B2222" t="s">
        <v>51</v>
      </c>
      <c r="C2222">
        <v>9</v>
      </c>
      <c r="D2222" t="s">
        <v>450</v>
      </c>
      <c r="E2222" s="217">
        <v>45170</v>
      </c>
      <c r="F2222">
        <v>0</v>
      </c>
      <c r="G2222" t="s">
        <v>261</v>
      </c>
    </row>
    <row r="2223" spans="1:7">
      <c r="A2223" s="216">
        <v>45170</v>
      </c>
      <c r="B2223" t="s">
        <v>51</v>
      </c>
      <c r="C2223">
        <v>9</v>
      </c>
      <c r="D2223" t="s">
        <v>450</v>
      </c>
      <c r="E2223" s="217">
        <v>45170</v>
      </c>
      <c r="F2223">
        <v>0</v>
      </c>
      <c r="G2223" t="s">
        <v>262</v>
      </c>
    </row>
    <row r="2224" spans="1:7">
      <c r="A2224" s="216">
        <v>45170</v>
      </c>
      <c r="B2224" t="s">
        <v>51</v>
      </c>
      <c r="C2224">
        <v>9</v>
      </c>
      <c r="D2224" t="s">
        <v>450</v>
      </c>
      <c r="E2224" s="217">
        <v>45170</v>
      </c>
      <c r="F2224">
        <v>0</v>
      </c>
      <c r="G2224" t="s">
        <v>434</v>
      </c>
    </row>
    <row r="2225" spans="1:7">
      <c r="A2225" s="216">
        <v>45170</v>
      </c>
      <c r="B2225" t="s">
        <v>51</v>
      </c>
      <c r="C2225">
        <v>10</v>
      </c>
      <c r="D2225" t="s">
        <v>433</v>
      </c>
      <c r="E2225" s="217">
        <v>45170</v>
      </c>
      <c r="F2225">
        <v>2121</v>
      </c>
      <c r="G2225" t="s">
        <v>251</v>
      </c>
    </row>
    <row r="2226" spans="1:7">
      <c r="A2226" s="216">
        <v>45170</v>
      </c>
      <c r="B2226" t="s">
        <v>51</v>
      </c>
      <c r="C2226">
        <v>10</v>
      </c>
      <c r="D2226" t="s">
        <v>433</v>
      </c>
      <c r="E2226" s="217">
        <v>45170</v>
      </c>
      <c r="F2226">
        <v>2195</v>
      </c>
      <c r="G2226" t="s">
        <v>252</v>
      </c>
    </row>
    <row r="2227" spans="1:7">
      <c r="A2227" s="216">
        <v>45170</v>
      </c>
      <c r="B2227" t="s">
        <v>51</v>
      </c>
      <c r="C2227">
        <v>10</v>
      </c>
      <c r="D2227" t="s">
        <v>433</v>
      </c>
      <c r="E2227" s="217">
        <v>45170</v>
      </c>
      <c r="F2227">
        <v>2442</v>
      </c>
      <c r="G2227" t="s">
        <v>253</v>
      </c>
    </row>
    <row r="2228" spans="1:7">
      <c r="A2228" s="216">
        <v>45170</v>
      </c>
      <c r="B2228" t="s">
        <v>51</v>
      </c>
      <c r="C2228">
        <v>10</v>
      </c>
      <c r="D2228" t="s">
        <v>433</v>
      </c>
      <c r="E2228" s="217">
        <v>45170</v>
      </c>
      <c r="F2228">
        <v>2583</v>
      </c>
      <c r="G2228" t="s">
        <v>254</v>
      </c>
    </row>
    <row r="2229" spans="1:7">
      <c r="A2229" s="216">
        <v>45170</v>
      </c>
      <c r="B2229" t="s">
        <v>51</v>
      </c>
      <c r="C2229">
        <v>10</v>
      </c>
      <c r="D2229" t="s">
        <v>433</v>
      </c>
      <c r="E2229" s="217">
        <v>45170</v>
      </c>
      <c r="F2229">
        <v>2342</v>
      </c>
      <c r="G2229" t="s">
        <v>255</v>
      </c>
    </row>
    <row r="2230" spans="1:7">
      <c r="A2230" s="216">
        <v>45170</v>
      </c>
      <c r="B2230" t="s">
        <v>51</v>
      </c>
      <c r="C2230">
        <v>10</v>
      </c>
      <c r="D2230" t="s">
        <v>433</v>
      </c>
      <c r="E2230" s="217">
        <v>45170</v>
      </c>
      <c r="F2230">
        <v>2450</v>
      </c>
      <c r="G2230" t="s">
        <v>256</v>
      </c>
    </row>
    <row r="2231" spans="1:7">
      <c r="A2231" s="216">
        <v>45170</v>
      </c>
      <c r="B2231" t="s">
        <v>51</v>
      </c>
      <c r="C2231">
        <v>10</v>
      </c>
      <c r="D2231" t="s">
        <v>433</v>
      </c>
      <c r="E2231" s="217">
        <v>45170</v>
      </c>
      <c r="F2231">
        <v>2574</v>
      </c>
      <c r="G2231" t="s">
        <v>257</v>
      </c>
    </row>
    <row r="2232" spans="1:7">
      <c r="A2232" s="216">
        <v>45170</v>
      </c>
      <c r="B2232" t="s">
        <v>51</v>
      </c>
      <c r="C2232">
        <v>10</v>
      </c>
      <c r="D2232" t="s">
        <v>433</v>
      </c>
      <c r="E2232" s="217">
        <v>45170</v>
      </c>
      <c r="F2232">
        <v>2492</v>
      </c>
      <c r="G2232" t="s">
        <v>258</v>
      </c>
    </row>
    <row r="2233" spans="1:7">
      <c r="A2233" s="216">
        <v>45170</v>
      </c>
      <c r="B2233" t="s">
        <v>51</v>
      </c>
      <c r="C2233">
        <v>10</v>
      </c>
      <c r="D2233" t="s">
        <v>433</v>
      </c>
      <c r="E2233" s="217">
        <v>45170</v>
      </c>
      <c r="F2233">
        <v>2503</v>
      </c>
      <c r="G2233" t="s">
        <v>259</v>
      </c>
    </row>
    <row r="2234" spans="1:7">
      <c r="A2234" s="216">
        <v>45170</v>
      </c>
      <c r="B2234" t="s">
        <v>51</v>
      </c>
      <c r="C2234">
        <v>10</v>
      </c>
      <c r="D2234" t="s">
        <v>433</v>
      </c>
      <c r="E2234" s="217">
        <v>45170</v>
      </c>
      <c r="F2234">
        <v>2504</v>
      </c>
      <c r="G2234" t="s">
        <v>260</v>
      </c>
    </row>
    <row r="2235" spans="1:7">
      <c r="A2235" s="216">
        <v>45170</v>
      </c>
      <c r="B2235" t="s">
        <v>51</v>
      </c>
      <c r="C2235">
        <v>10</v>
      </c>
      <c r="D2235" t="s">
        <v>433</v>
      </c>
      <c r="E2235" s="217">
        <v>45170</v>
      </c>
      <c r="F2235">
        <v>2589</v>
      </c>
      <c r="G2235" t="s">
        <v>261</v>
      </c>
    </row>
    <row r="2236" spans="1:7">
      <c r="A2236" s="216">
        <v>45170</v>
      </c>
      <c r="B2236" t="s">
        <v>51</v>
      </c>
      <c r="C2236">
        <v>10</v>
      </c>
      <c r="D2236" t="s">
        <v>433</v>
      </c>
      <c r="E2236" s="217">
        <v>45170</v>
      </c>
      <c r="F2236">
        <v>2631</v>
      </c>
      <c r="G2236" t="s">
        <v>262</v>
      </c>
    </row>
    <row r="2237" spans="1:7">
      <c r="A2237" s="216">
        <v>45170</v>
      </c>
      <c r="B2237" t="s">
        <v>51</v>
      </c>
      <c r="C2237">
        <v>10</v>
      </c>
      <c r="D2237" t="s">
        <v>433</v>
      </c>
      <c r="E2237" s="217">
        <v>45170</v>
      </c>
      <c r="F2237">
        <v>29426</v>
      </c>
      <c r="G2237" t="s">
        <v>434</v>
      </c>
    </row>
    <row r="2238" spans="1:7">
      <c r="A2238" s="216">
        <v>45170</v>
      </c>
      <c r="B2238" t="s">
        <v>51</v>
      </c>
      <c r="C2238">
        <v>11</v>
      </c>
      <c r="D2238" t="s">
        <v>445</v>
      </c>
      <c r="E2238" s="217">
        <v>45170</v>
      </c>
      <c r="F2238">
        <v>735</v>
      </c>
      <c r="G2238" t="s">
        <v>251</v>
      </c>
    </row>
    <row r="2239" spans="1:7">
      <c r="A2239" s="216">
        <v>45170</v>
      </c>
      <c r="B2239" t="s">
        <v>51</v>
      </c>
      <c r="C2239">
        <v>11</v>
      </c>
      <c r="D2239" t="s">
        <v>445</v>
      </c>
      <c r="E2239" s="217">
        <v>45170</v>
      </c>
      <c r="F2239">
        <v>885</v>
      </c>
      <c r="G2239" t="s">
        <v>252</v>
      </c>
    </row>
    <row r="2240" spans="1:7">
      <c r="A2240" s="216">
        <v>45170</v>
      </c>
      <c r="B2240" t="s">
        <v>51</v>
      </c>
      <c r="C2240">
        <v>11</v>
      </c>
      <c r="D2240" t="s">
        <v>445</v>
      </c>
      <c r="E2240" s="217">
        <v>45170</v>
      </c>
      <c r="F2240">
        <v>946</v>
      </c>
      <c r="G2240" t="s">
        <v>253</v>
      </c>
    </row>
    <row r="2241" spans="1:7">
      <c r="A2241" s="216">
        <v>45170</v>
      </c>
      <c r="B2241" t="s">
        <v>51</v>
      </c>
      <c r="C2241">
        <v>11</v>
      </c>
      <c r="D2241" t="s">
        <v>445</v>
      </c>
      <c r="E2241" s="217">
        <v>45170</v>
      </c>
      <c r="F2241">
        <v>1386</v>
      </c>
      <c r="G2241" t="s">
        <v>254</v>
      </c>
    </row>
    <row r="2242" spans="1:7">
      <c r="A2242" s="216">
        <v>45170</v>
      </c>
      <c r="B2242" t="s">
        <v>51</v>
      </c>
      <c r="C2242">
        <v>11</v>
      </c>
      <c r="D2242" t="s">
        <v>445</v>
      </c>
      <c r="E2242" s="217">
        <v>45170</v>
      </c>
      <c r="F2242">
        <v>1311</v>
      </c>
      <c r="G2242" t="s">
        <v>255</v>
      </c>
    </row>
    <row r="2243" spans="1:7">
      <c r="A2243" s="216">
        <v>45170</v>
      </c>
      <c r="B2243" t="s">
        <v>51</v>
      </c>
      <c r="C2243">
        <v>11</v>
      </c>
      <c r="D2243" t="s">
        <v>445</v>
      </c>
      <c r="E2243" s="217">
        <v>45170</v>
      </c>
      <c r="F2243">
        <v>1193</v>
      </c>
      <c r="G2243" t="s">
        <v>256</v>
      </c>
    </row>
    <row r="2244" spans="1:7">
      <c r="A2244" s="216">
        <v>45170</v>
      </c>
      <c r="B2244" t="s">
        <v>51</v>
      </c>
      <c r="C2244">
        <v>11</v>
      </c>
      <c r="D2244" t="s">
        <v>445</v>
      </c>
      <c r="E2244" s="217">
        <v>45170</v>
      </c>
      <c r="F2244">
        <v>1621</v>
      </c>
      <c r="G2244" t="s">
        <v>257</v>
      </c>
    </row>
    <row r="2245" spans="1:7">
      <c r="A2245" s="216">
        <v>45170</v>
      </c>
      <c r="B2245" t="s">
        <v>51</v>
      </c>
      <c r="C2245">
        <v>11</v>
      </c>
      <c r="D2245" t="s">
        <v>445</v>
      </c>
      <c r="E2245" s="217">
        <v>45170</v>
      </c>
      <c r="F2245">
        <v>1590</v>
      </c>
      <c r="G2245" t="s">
        <v>258</v>
      </c>
    </row>
    <row r="2246" spans="1:7">
      <c r="A2246" s="216">
        <v>45170</v>
      </c>
      <c r="B2246" t="s">
        <v>51</v>
      </c>
      <c r="C2246">
        <v>11</v>
      </c>
      <c r="D2246" t="s">
        <v>445</v>
      </c>
      <c r="E2246" s="217">
        <v>45170</v>
      </c>
      <c r="F2246">
        <v>1857</v>
      </c>
      <c r="G2246" t="s">
        <v>259</v>
      </c>
    </row>
    <row r="2247" spans="1:7">
      <c r="A2247" s="216">
        <v>45170</v>
      </c>
      <c r="B2247" t="s">
        <v>51</v>
      </c>
      <c r="C2247">
        <v>11</v>
      </c>
      <c r="D2247" t="s">
        <v>445</v>
      </c>
      <c r="E2247" s="217">
        <v>45170</v>
      </c>
      <c r="F2247">
        <v>1430</v>
      </c>
      <c r="G2247" t="s">
        <v>260</v>
      </c>
    </row>
    <row r="2248" spans="1:7">
      <c r="A2248" s="216">
        <v>45170</v>
      </c>
      <c r="B2248" t="s">
        <v>51</v>
      </c>
      <c r="C2248">
        <v>11</v>
      </c>
      <c r="D2248" t="s">
        <v>445</v>
      </c>
      <c r="E2248" s="217">
        <v>45170</v>
      </c>
      <c r="F2248">
        <v>1996</v>
      </c>
      <c r="G2248" t="s">
        <v>261</v>
      </c>
    </row>
    <row r="2249" spans="1:7">
      <c r="A2249" s="216">
        <v>45170</v>
      </c>
      <c r="B2249" t="s">
        <v>51</v>
      </c>
      <c r="C2249">
        <v>11</v>
      </c>
      <c r="D2249" t="s">
        <v>445</v>
      </c>
      <c r="E2249" s="217">
        <v>45170</v>
      </c>
      <c r="F2249">
        <v>3676</v>
      </c>
      <c r="G2249" t="s">
        <v>262</v>
      </c>
    </row>
    <row r="2250" spans="1:7">
      <c r="A2250" s="216">
        <v>45170</v>
      </c>
      <c r="B2250" t="s">
        <v>51</v>
      </c>
      <c r="C2250">
        <v>11</v>
      </c>
      <c r="D2250" t="s">
        <v>445</v>
      </c>
      <c r="E2250" s="217">
        <v>45170</v>
      </c>
      <c r="F2250">
        <v>18626</v>
      </c>
      <c r="G2250" t="s">
        <v>434</v>
      </c>
    </row>
    <row r="2251" spans="1:7">
      <c r="A2251" s="216">
        <v>45170</v>
      </c>
      <c r="B2251" t="s">
        <v>51</v>
      </c>
      <c r="C2251">
        <v>12</v>
      </c>
      <c r="D2251" t="s">
        <v>454</v>
      </c>
      <c r="E2251" s="217">
        <v>45170</v>
      </c>
      <c r="F2251">
        <v>0</v>
      </c>
      <c r="G2251" t="s">
        <v>251</v>
      </c>
    </row>
    <row r="2252" spans="1:7">
      <c r="A2252" s="216">
        <v>45170</v>
      </c>
      <c r="B2252" t="s">
        <v>51</v>
      </c>
      <c r="C2252">
        <v>12</v>
      </c>
      <c r="D2252" t="s">
        <v>454</v>
      </c>
      <c r="E2252" s="217">
        <v>45170</v>
      </c>
      <c r="F2252">
        <v>0</v>
      </c>
      <c r="G2252" t="s">
        <v>252</v>
      </c>
    </row>
    <row r="2253" spans="1:7">
      <c r="A2253" s="216">
        <v>45170</v>
      </c>
      <c r="B2253" t="s">
        <v>51</v>
      </c>
      <c r="C2253">
        <v>12</v>
      </c>
      <c r="D2253" t="s">
        <v>454</v>
      </c>
      <c r="E2253" s="217">
        <v>45170</v>
      </c>
      <c r="F2253">
        <v>0</v>
      </c>
      <c r="G2253" t="s">
        <v>253</v>
      </c>
    </row>
    <row r="2254" spans="1:7">
      <c r="A2254" s="216">
        <v>45170</v>
      </c>
      <c r="B2254" t="s">
        <v>51</v>
      </c>
      <c r="C2254">
        <v>12</v>
      </c>
      <c r="D2254" t="s">
        <v>454</v>
      </c>
      <c r="E2254" s="217">
        <v>45170</v>
      </c>
      <c r="F2254">
        <v>0</v>
      </c>
      <c r="G2254" t="s">
        <v>254</v>
      </c>
    </row>
    <row r="2255" spans="1:7">
      <c r="A2255" s="216">
        <v>45170</v>
      </c>
      <c r="B2255" t="s">
        <v>51</v>
      </c>
      <c r="C2255">
        <v>12</v>
      </c>
      <c r="D2255" t="s">
        <v>454</v>
      </c>
      <c r="E2255" s="217">
        <v>45170</v>
      </c>
      <c r="F2255">
        <v>0</v>
      </c>
      <c r="G2255" t="s">
        <v>255</v>
      </c>
    </row>
    <row r="2256" spans="1:7">
      <c r="A2256" s="216">
        <v>45170</v>
      </c>
      <c r="B2256" t="s">
        <v>51</v>
      </c>
      <c r="C2256">
        <v>12</v>
      </c>
      <c r="D2256" t="s">
        <v>454</v>
      </c>
      <c r="E2256" s="217">
        <v>45170</v>
      </c>
      <c r="F2256">
        <v>0</v>
      </c>
      <c r="G2256" t="s">
        <v>256</v>
      </c>
    </row>
    <row r="2257" spans="1:7">
      <c r="A2257" s="216">
        <v>45170</v>
      </c>
      <c r="B2257" t="s">
        <v>51</v>
      </c>
      <c r="C2257">
        <v>12</v>
      </c>
      <c r="D2257" t="s">
        <v>454</v>
      </c>
      <c r="E2257" s="217">
        <v>45170</v>
      </c>
      <c r="F2257">
        <v>0</v>
      </c>
      <c r="G2257" t="s">
        <v>257</v>
      </c>
    </row>
    <row r="2258" spans="1:7">
      <c r="A2258" s="216">
        <v>45170</v>
      </c>
      <c r="B2258" t="s">
        <v>51</v>
      </c>
      <c r="C2258">
        <v>12</v>
      </c>
      <c r="D2258" t="s">
        <v>454</v>
      </c>
      <c r="E2258" s="217">
        <v>45170</v>
      </c>
      <c r="F2258">
        <v>0</v>
      </c>
      <c r="G2258" t="s">
        <v>258</v>
      </c>
    </row>
    <row r="2259" spans="1:7">
      <c r="A2259" s="216">
        <v>45170</v>
      </c>
      <c r="B2259" t="s">
        <v>51</v>
      </c>
      <c r="C2259">
        <v>12</v>
      </c>
      <c r="D2259" t="s">
        <v>454</v>
      </c>
      <c r="E2259" s="217">
        <v>45170</v>
      </c>
      <c r="F2259">
        <v>0</v>
      </c>
      <c r="G2259" t="s">
        <v>259</v>
      </c>
    </row>
    <row r="2260" spans="1:7">
      <c r="A2260" s="216">
        <v>45170</v>
      </c>
      <c r="B2260" t="s">
        <v>51</v>
      </c>
      <c r="C2260">
        <v>12</v>
      </c>
      <c r="D2260" t="s">
        <v>454</v>
      </c>
      <c r="E2260" s="217">
        <v>45170</v>
      </c>
      <c r="F2260">
        <v>0</v>
      </c>
      <c r="G2260" t="s">
        <v>260</v>
      </c>
    </row>
    <row r="2261" spans="1:7">
      <c r="A2261" s="216">
        <v>45170</v>
      </c>
      <c r="B2261" t="s">
        <v>51</v>
      </c>
      <c r="C2261">
        <v>12</v>
      </c>
      <c r="D2261" t="s">
        <v>454</v>
      </c>
      <c r="E2261" s="217">
        <v>45170</v>
      </c>
      <c r="F2261">
        <v>0</v>
      </c>
      <c r="G2261" t="s">
        <v>261</v>
      </c>
    </row>
    <row r="2262" spans="1:7">
      <c r="A2262" s="216">
        <v>45170</v>
      </c>
      <c r="B2262" t="s">
        <v>51</v>
      </c>
      <c r="C2262">
        <v>12</v>
      </c>
      <c r="D2262" t="s">
        <v>454</v>
      </c>
      <c r="E2262" s="217">
        <v>45170</v>
      </c>
      <c r="F2262">
        <v>0</v>
      </c>
      <c r="G2262" t="s">
        <v>262</v>
      </c>
    </row>
    <row r="2263" spans="1:7">
      <c r="A2263" s="216">
        <v>45170</v>
      </c>
      <c r="B2263" t="s">
        <v>51</v>
      </c>
      <c r="C2263">
        <v>12</v>
      </c>
      <c r="D2263" t="s">
        <v>454</v>
      </c>
      <c r="E2263" s="217">
        <v>45170</v>
      </c>
      <c r="F2263">
        <v>0</v>
      </c>
      <c r="G2263" t="s">
        <v>434</v>
      </c>
    </row>
    <row r="2264" spans="1:7">
      <c r="A2264" s="216">
        <v>45170</v>
      </c>
      <c r="B2264" t="s">
        <v>51</v>
      </c>
      <c r="C2264">
        <v>13</v>
      </c>
      <c r="D2264" t="s">
        <v>441</v>
      </c>
      <c r="E2264" s="217">
        <v>45170</v>
      </c>
      <c r="F2264">
        <v>0</v>
      </c>
      <c r="G2264" t="s">
        <v>251</v>
      </c>
    </row>
    <row r="2265" spans="1:7">
      <c r="A2265" s="216">
        <v>45170</v>
      </c>
      <c r="B2265" t="s">
        <v>51</v>
      </c>
      <c r="C2265">
        <v>13</v>
      </c>
      <c r="D2265" t="s">
        <v>441</v>
      </c>
      <c r="E2265" s="217">
        <v>45170</v>
      </c>
      <c r="F2265">
        <v>0</v>
      </c>
      <c r="G2265" t="s">
        <v>252</v>
      </c>
    </row>
    <row r="2266" spans="1:7">
      <c r="A2266" s="216">
        <v>45170</v>
      </c>
      <c r="B2266" t="s">
        <v>51</v>
      </c>
      <c r="C2266">
        <v>13</v>
      </c>
      <c r="D2266" t="s">
        <v>441</v>
      </c>
      <c r="E2266" s="217">
        <v>45170</v>
      </c>
      <c r="F2266">
        <v>0</v>
      </c>
      <c r="G2266" t="s">
        <v>253</v>
      </c>
    </row>
    <row r="2267" spans="1:7">
      <c r="A2267" s="216">
        <v>45170</v>
      </c>
      <c r="B2267" t="s">
        <v>51</v>
      </c>
      <c r="C2267">
        <v>13</v>
      </c>
      <c r="D2267" t="s">
        <v>441</v>
      </c>
      <c r="E2267" s="217">
        <v>45170</v>
      </c>
      <c r="F2267">
        <v>0</v>
      </c>
      <c r="G2267" t="s">
        <v>254</v>
      </c>
    </row>
    <row r="2268" spans="1:7">
      <c r="A2268" s="216">
        <v>45170</v>
      </c>
      <c r="B2268" t="s">
        <v>51</v>
      </c>
      <c r="C2268">
        <v>13</v>
      </c>
      <c r="D2268" t="s">
        <v>441</v>
      </c>
      <c r="E2268" s="217">
        <v>45170</v>
      </c>
      <c r="F2268">
        <v>0</v>
      </c>
      <c r="G2268" t="s">
        <v>255</v>
      </c>
    </row>
    <row r="2269" spans="1:7">
      <c r="A2269" s="216">
        <v>45170</v>
      </c>
      <c r="B2269" t="s">
        <v>51</v>
      </c>
      <c r="C2269">
        <v>13</v>
      </c>
      <c r="D2269" t="s">
        <v>441</v>
      </c>
      <c r="E2269" s="217">
        <v>45170</v>
      </c>
      <c r="F2269">
        <v>0</v>
      </c>
      <c r="G2269" t="s">
        <v>256</v>
      </c>
    </row>
    <row r="2270" spans="1:7">
      <c r="A2270" s="216">
        <v>45170</v>
      </c>
      <c r="B2270" t="s">
        <v>51</v>
      </c>
      <c r="C2270">
        <v>13</v>
      </c>
      <c r="D2270" t="s">
        <v>441</v>
      </c>
      <c r="E2270" s="217">
        <v>45170</v>
      </c>
      <c r="F2270">
        <v>0</v>
      </c>
      <c r="G2270" t="s">
        <v>257</v>
      </c>
    </row>
    <row r="2271" spans="1:7">
      <c r="A2271" s="216">
        <v>45170</v>
      </c>
      <c r="B2271" t="s">
        <v>51</v>
      </c>
      <c r="C2271">
        <v>13</v>
      </c>
      <c r="D2271" t="s">
        <v>441</v>
      </c>
      <c r="E2271" s="217">
        <v>45170</v>
      </c>
      <c r="F2271">
        <v>0</v>
      </c>
      <c r="G2271" t="s">
        <v>258</v>
      </c>
    </row>
    <row r="2272" spans="1:7">
      <c r="A2272" s="216">
        <v>45170</v>
      </c>
      <c r="B2272" t="s">
        <v>51</v>
      </c>
      <c r="C2272">
        <v>13</v>
      </c>
      <c r="D2272" t="s">
        <v>441</v>
      </c>
      <c r="E2272" s="217">
        <v>45170</v>
      </c>
      <c r="F2272">
        <v>0</v>
      </c>
      <c r="G2272" t="s">
        <v>259</v>
      </c>
    </row>
    <row r="2273" spans="1:7">
      <c r="A2273" s="216">
        <v>45170</v>
      </c>
      <c r="B2273" t="s">
        <v>51</v>
      </c>
      <c r="C2273">
        <v>13</v>
      </c>
      <c r="D2273" t="s">
        <v>441</v>
      </c>
      <c r="E2273" s="217">
        <v>45170</v>
      </c>
      <c r="F2273">
        <v>0</v>
      </c>
      <c r="G2273" t="s">
        <v>260</v>
      </c>
    </row>
    <row r="2274" spans="1:7">
      <c r="A2274" s="216">
        <v>45170</v>
      </c>
      <c r="B2274" t="s">
        <v>51</v>
      </c>
      <c r="C2274">
        <v>13</v>
      </c>
      <c r="D2274" t="s">
        <v>441</v>
      </c>
      <c r="E2274" s="217">
        <v>45170</v>
      </c>
      <c r="F2274">
        <v>0</v>
      </c>
      <c r="G2274" t="s">
        <v>261</v>
      </c>
    </row>
    <row r="2275" spans="1:7">
      <c r="A2275" s="216">
        <v>45170</v>
      </c>
      <c r="B2275" t="s">
        <v>51</v>
      </c>
      <c r="C2275">
        <v>13</v>
      </c>
      <c r="D2275" t="s">
        <v>441</v>
      </c>
      <c r="E2275" s="217">
        <v>45170</v>
      </c>
      <c r="F2275">
        <v>0</v>
      </c>
      <c r="G2275" t="s">
        <v>262</v>
      </c>
    </row>
    <row r="2276" spans="1:7">
      <c r="A2276" s="216">
        <v>45170</v>
      </c>
      <c r="B2276" t="s">
        <v>51</v>
      </c>
      <c r="C2276">
        <v>13</v>
      </c>
      <c r="D2276" t="s">
        <v>441</v>
      </c>
      <c r="E2276" s="217">
        <v>45170</v>
      </c>
      <c r="F2276">
        <v>0</v>
      </c>
      <c r="G2276" t="s">
        <v>434</v>
      </c>
    </row>
    <row r="2277" spans="1:7">
      <c r="A2277" s="216">
        <v>45170</v>
      </c>
      <c r="B2277" t="s">
        <v>51</v>
      </c>
      <c r="C2277">
        <v>14</v>
      </c>
      <c r="D2277" t="s">
        <v>447</v>
      </c>
      <c r="E2277" s="217">
        <v>45170</v>
      </c>
      <c r="F2277">
        <v>0</v>
      </c>
      <c r="G2277" t="s">
        <v>251</v>
      </c>
    </row>
    <row r="2278" spans="1:7">
      <c r="A2278" s="216">
        <v>45170</v>
      </c>
      <c r="B2278" t="s">
        <v>51</v>
      </c>
      <c r="C2278">
        <v>14</v>
      </c>
      <c r="D2278" t="s">
        <v>447</v>
      </c>
      <c r="E2278" s="217">
        <v>45170</v>
      </c>
      <c r="F2278">
        <v>0</v>
      </c>
      <c r="G2278" t="s">
        <v>252</v>
      </c>
    </row>
    <row r="2279" spans="1:7">
      <c r="A2279" s="216">
        <v>45170</v>
      </c>
      <c r="B2279" t="s">
        <v>51</v>
      </c>
      <c r="C2279">
        <v>14</v>
      </c>
      <c r="D2279" t="s">
        <v>447</v>
      </c>
      <c r="E2279" s="217">
        <v>45170</v>
      </c>
      <c r="F2279">
        <v>0</v>
      </c>
      <c r="G2279" t="s">
        <v>253</v>
      </c>
    </row>
    <row r="2280" spans="1:7">
      <c r="A2280" s="216">
        <v>45170</v>
      </c>
      <c r="B2280" t="s">
        <v>51</v>
      </c>
      <c r="C2280">
        <v>14</v>
      </c>
      <c r="D2280" t="s">
        <v>447</v>
      </c>
      <c r="E2280" s="217">
        <v>45170</v>
      </c>
      <c r="F2280">
        <v>0</v>
      </c>
      <c r="G2280" t="s">
        <v>254</v>
      </c>
    </row>
    <row r="2281" spans="1:7">
      <c r="A2281" s="216">
        <v>45170</v>
      </c>
      <c r="B2281" t="s">
        <v>51</v>
      </c>
      <c r="C2281">
        <v>14</v>
      </c>
      <c r="D2281" t="s">
        <v>447</v>
      </c>
      <c r="E2281" s="217">
        <v>45170</v>
      </c>
      <c r="F2281">
        <v>0</v>
      </c>
      <c r="G2281" t="s">
        <v>255</v>
      </c>
    </row>
    <row r="2282" spans="1:7">
      <c r="A2282" s="216">
        <v>45170</v>
      </c>
      <c r="B2282" t="s">
        <v>51</v>
      </c>
      <c r="C2282">
        <v>14</v>
      </c>
      <c r="D2282" t="s">
        <v>447</v>
      </c>
      <c r="E2282" s="217">
        <v>45170</v>
      </c>
      <c r="F2282">
        <v>0</v>
      </c>
      <c r="G2282" t="s">
        <v>256</v>
      </c>
    </row>
    <row r="2283" spans="1:7">
      <c r="A2283" s="216">
        <v>45170</v>
      </c>
      <c r="B2283" t="s">
        <v>51</v>
      </c>
      <c r="C2283">
        <v>14</v>
      </c>
      <c r="D2283" t="s">
        <v>447</v>
      </c>
      <c r="E2283" s="217">
        <v>45170</v>
      </c>
      <c r="F2283">
        <v>0</v>
      </c>
      <c r="G2283" t="s">
        <v>257</v>
      </c>
    </row>
    <row r="2284" spans="1:7">
      <c r="A2284" s="216">
        <v>45170</v>
      </c>
      <c r="B2284" t="s">
        <v>51</v>
      </c>
      <c r="C2284">
        <v>14</v>
      </c>
      <c r="D2284" t="s">
        <v>447</v>
      </c>
      <c r="E2284" s="217">
        <v>45170</v>
      </c>
      <c r="F2284">
        <v>0</v>
      </c>
      <c r="G2284" t="s">
        <v>258</v>
      </c>
    </row>
    <row r="2285" spans="1:7">
      <c r="A2285" s="216">
        <v>45170</v>
      </c>
      <c r="B2285" t="s">
        <v>51</v>
      </c>
      <c r="C2285">
        <v>14</v>
      </c>
      <c r="D2285" t="s">
        <v>447</v>
      </c>
      <c r="E2285" s="217">
        <v>45170</v>
      </c>
      <c r="F2285">
        <v>0</v>
      </c>
      <c r="G2285" t="s">
        <v>259</v>
      </c>
    </row>
    <row r="2286" spans="1:7">
      <c r="A2286" s="216">
        <v>45170</v>
      </c>
      <c r="B2286" t="s">
        <v>51</v>
      </c>
      <c r="C2286">
        <v>14</v>
      </c>
      <c r="D2286" t="s">
        <v>447</v>
      </c>
      <c r="E2286" s="217">
        <v>45170</v>
      </c>
      <c r="F2286">
        <v>0</v>
      </c>
      <c r="G2286" t="s">
        <v>260</v>
      </c>
    </row>
    <row r="2287" spans="1:7">
      <c r="A2287" s="216">
        <v>45170</v>
      </c>
      <c r="B2287" t="s">
        <v>51</v>
      </c>
      <c r="C2287">
        <v>14</v>
      </c>
      <c r="D2287" t="s">
        <v>447</v>
      </c>
      <c r="E2287" s="217">
        <v>45170</v>
      </c>
      <c r="F2287">
        <v>0</v>
      </c>
      <c r="G2287" t="s">
        <v>261</v>
      </c>
    </row>
    <row r="2288" spans="1:7">
      <c r="A2288" s="216">
        <v>45170</v>
      </c>
      <c r="B2288" t="s">
        <v>51</v>
      </c>
      <c r="C2288">
        <v>14</v>
      </c>
      <c r="D2288" t="s">
        <v>447</v>
      </c>
      <c r="E2288" s="217">
        <v>45170</v>
      </c>
      <c r="F2288">
        <v>0</v>
      </c>
      <c r="G2288" t="s">
        <v>262</v>
      </c>
    </row>
    <row r="2289" spans="1:7">
      <c r="A2289" s="216">
        <v>45170</v>
      </c>
      <c r="B2289" t="s">
        <v>51</v>
      </c>
      <c r="C2289">
        <v>14</v>
      </c>
      <c r="D2289" t="s">
        <v>447</v>
      </c>
      <c r="E2289" s="217">
        <v>45170</v>
      </c>
      <c r="F2289">
        <v>0</v>
      </c>
      <c r="G2289" t="s">
        <v>434</v>
      </c>
    </row>
    <row r="2290" spans="1:7">
      <c r="A2290" s="216">
        <v>45170</v>
      </c>
      <c r="B2290" t="s">
        <v>51</v>
      </c>
      <c r="C2290">
        <v>15</v>
      </c>
      <c r="D2290" t="s">
        <v>437</v>
      </c>
      <c r="E2290" s="217">
        <v>45170</v>
      </c>
      <c r="F2290">
        <v>0</v>
      </c>
      <c r="G2290" t="s">
        <v>251</v>
      </c>
    </row>
    <row r="2291" spans="1:7">
      <c r="A2291" s="216">
        <v>45170</v>
      </c>
      <c r="B2291" t="s">
        <v>51</v>
      </c>
      <c r="C2291">
        <v>15</v>
      </c>
      <c r="D2291" t="s">
        <v>437</v>
      </c>
      <c r="E2291" s="217">
        <v>45170</v>
      </c>
      <c r="F2291">
        <v>0</v>
      </c>
      <c r="G2291" t="s">
        <v>252</v>
      </c>
    </row>
    <row r="2292" spans="1:7">
      <c r="A2292" s="216">
        <v>45170</v>
      </c>
      <c r="B2292" t="s">
        <v>51</v>
      </c>
      <c r="C2292">
        <v>15</v>
      </c>
      <c r="D2292" t="s">
        <v>437</v>
      </c>
      <c r="E2292" s="217">
        <v>45170</v>
      </c>
      <c r="F2292">
        <v>0</v>
      </c>
      <c r="G2292" t="s">
        <v>253</v>
      </c>
    </row>
    <row r="2293" spans="1:7">
      <c r="A2293" s="216">
        <v>45170</v>
      </c>
      <c r="B2293" t="s">
        <v>51</v>
      </c>
      <c r="C2293">
        <v>15</v>
      </c>
      <c r="D2293" t="s">
        <v>437</v>
      </c>
      <c r="E2293" s="217">
        <v>45170</v>
      </c>
      <c r="F2293">
        <v>0</v>
      </c>
      <c r="G2293" t="s">
        <v>254</v>
      </c>
    </row>
    <row r="2294" spans="1:7">
      <c r="A2294" s="216">
        <v>45170</v>
      </c>
      <c r="B2294" t="s">
        <v>51</v>
      </c>
      <c r="C2294">
        <v>15</v>
      </c>
      <c r="D2294" t="s">
        <v>437</v>
      </c>
      <c r="E2294" s="217">
        <v>45170</v>
      </c>
      <c r="F2294">
        <v>0</v>
      </c>
      <c r="G2294" t="s">
        <v>255</v>
      </c>
    </row>
    <row r="2295" spans="1:7">
      <c r="A2295" s="216">
        <v>45170</v>
      </c>
      <c r="B2295" t="s">
        <v>51</v>
      </c>
      <c r="C2295">
        <v>15</v>
      </c>
      <c r="D2295" t="s">
        <v>437</v>
      </c>
      <c r="E2295" s="217">
        <v>45170</v>
      </c>
      <c r="F2295">
        <v>0</v>
      </c>
      <c r="G2295" t="s">
        <v>256</v>
      </c>
    </row>
    <row r="2296" spans="1:7">
      <c r="A2296" s="216">
        <v>45170</v>
      </c>
      <c r="B2296" t="s">
        <v>51</v>
      </c>
      <c r="C2296">
        <v>15</v>
      </c>
      <c r="D2296" t="s">
        <v>437</v>
      </c>
      <c r="E2296" s="217">
        <v>45170</v>
      </c>
      <c r="F2296">
        <v>0</v>
      </c>
      <c r="G2296" t="s">
        <v>257</v>
      </c>
    </row>
    <row r="2297" spans="1:7">
      <c r="A2297" s="216">
        <v>45170</v>
      </c>
      <c r="B2297" t="s">
        <v>51</v>
      </c>
      <c r="C2297">
        <v>15</v>
      </c>
      <c r="D2297" t="s">
        <v>437</v>
      </c>
      <c r="E2297" s="217">
        <v>45170</v>
      </c>
      <c r="F2297">
        <v>0</v>
      </c>
      <c r="G2297" t="s">
        <v>258</v>
      </c>
    </row>
    <row r="2298" spans="1:7">
      <c r="A2298" s="216">
        <v>45170</v>
      </c>
      <c r="B2298" t="s">
        <v>51</v>
      </c>
      <c r="C2298">
        <v>15</v>
      </c>
      <c r="D2298" t="s">
        <v>437</v>
      </c>
      <c r="E2298" s="217">
        <v>45170</v>
      </c>
      <c r="F2298">
        <v>0</v>
      </c>
      <c r="G2298" t="s">
        <v>259</v>
      </c>
    </row>
    <row r="2299" spans="1:7">
      <c r="A2299" s="216">
        <v>45170</v>
      </c>
      <c r="B2299" t="s">
        <v>51</v>
      </c>
      <c r="C2299">
        <v>15</v>
      </c>
      <c r="D2299" t="s">
        <v>437</v>
      </c>
      <c r="E2299" s="217">
        <v>45170</v>
      </c>
      <c r="F2299">
        <v>0</v>
      </c>
      <c r="G2299" t="s">
        <v>260</v>
      </c>
    </row>
    <row r="2300" spans="1:7">
      <c r="A2300" s="216">
        <v>45170</v>
      </c>
      <c r="B2300" t="s">
        <v>51</v>
      </c>
      <c r="C2300">
        <v>15</v>
      </c>
      <c r="D2300" t="s">
        <v>437</v>
      </c>
      <c r="E2300" s="217">
        <v>45170</v>
      </c>
      <c r="F2300">
        <v>0</v>
      </c>
      <c r="G2300" t="s">
        <v>261</v>
      </c>
    </row>
    <row r="2301" spans="1:7">
      <c r="A2301" s="216">
        <v>45170</v>
      </c>
      <c r="B2301" t="s">
        <v>51</v>
      </c>
      <c r="C2301">
        <v>15</v>
      </c>
      <c r="D2301" t="s">
        <v>437</v>
      </c>
      <c r="E2301" s="217">
        <v>45170</v>
      </c>
      <c r="F2301">
        <v>0</v>
      </c>
      <c r="G2301" t="s">
        <v>262</v>
      </c>
    </row>
    <row r="2302" spans="1:7">
      <c r="A2302" s="216">
        <v>45170</v>
      </c>
      <c r="B2302" t="s">
        <v>51</v>
      </c>
      <c r="C2302">
        <v>15</v>
      </c>
      <c r="D2302" t="s">
        <v>437</v>
      </c>
      <c r="E2302" s="217">
        <v>45170</v>
      </c>
      <c r="F2302">
        <v>0</v>
      </c>
      <c r="G2302" t="s">
        <v>434</v>
      </c>
    </row>
    <row r="2303" spans="1:7">
      <c r="A2303" s="216">
        <v>45170</v>
      </c>
      <c r="B2303" t="s">
        <v>51</v>
      </c>
      <c r="C2303">
        <v>16</v>
      </c>
      <c r="D2303" t="s">
        <v>449</v>
      </c>
      <c r="E2303" s="217">
        <v>45170</v>
      </c>
      <c r="F2303">
        <v>20413</v>
      </c>
      <c r="G2303" t="s">
        <v>251</v>
      </c>
    </row>
    <row r="2304" spans="1:7">
      <c r="A2304" s="216">
        <v>45170</v>
      </c>
      <c r="B2304" t="s">
        <v>51</v>
      </c>
      <c r="C2304">
        <v>16</v>
      </c>
      <c r="D2304" t="s">
        <v>449</v>
      </c>
      <c r="E2304" s="217">
        <v>45170</v>
      </c>
      <c r="F2304">
        <v>20447</v>
      </c>
      <c r="G2304" t="s">
        <v>252</v>
      </c>
    </row>
    <row r="2305" spans="1:7">
      <c r="A2305" s="216">
        <v>45170</v>
      </c>
      <c r="B2305" t="s">
        <v>51</v>
      </c>
      <c r="C2305">
        <v>16</v>
      </c>
      <c r="D2305" t="s">
        <v>449</v>
      </c>
      <c r="E2305" s="217">
        <v>45170</v>
      </c>
      <c r="F2305">
        <v>20913</v>
      </c>
      <c r="G2305" t="s">
        <v>253</v>
      </c>
    </row>
    <row r="2306" spans="1:7">
      <c r="A2306" s="216">
        <v>45170</v>
      </c>
      <c r="B2306" t="s">
        <v>51</v>
      </c>
      <c r="C2306">
        <v>16</v>
      </c>
      <c r="D2306" t="s">
        <v>449</v>
      </c>
      <c r="E2306" s="217">
        <v>45170</v>
      </c>
      <c r="F2306">
        <v>15877</v>
      </c>
      <c r="G2306" t="s">
        <v>254</v>
      </c>
    </row>
    <row r="2307" spans="1:7">
      <c r="A2307" s="216">
        <v>45170</v>
      </c>
      <c r="B2307" t="s">
        <v>51</v>
      </c>
      <c r="C2307">
        <v>16</v>
      </c>
      <c r="D2307" t="s">
        <v>449</v>
      </c>
      <c r="E2307" s="217">
        <v>45170</v>
      </c>
      <c r="F2307">
        <v>24245</v>
      </c>
      <c r="G2307" t="s">
        <v>255</v>
      </c>
    </row>
    <row r="2308" spans="1:7">
      <c r="A2308" s="216">
        <v>45170</v>
      </c>
      <c r="B2308" t="s">
        <v>51</v>
      </c>
      <c r="C2308">
        <v>16</v>
      </c>
      <c r="D2308" t="s">
        <v>449</v>
      </c>
      <c r="E2308" s="217">
        <v>45170</v>
      </c>
      <c r="F2308">
        <v>21670</v>
      </c>
      <c r="G2308" t="s">
        <v>256</v>
      </c>
    </row>
    <row r="2309" spans="1:7">
      <c r="A2309" s="216">
        <v>45170</v>
      </c>
      <c r="B2309" t="s">
        <v>51</v>
      </c>
      <c r="C2309">
        <v>16</v>
      </c>
      <c r="D2309" t="s">
        <v>449</v>
      </c>
      <c r="E2309" s="217">
        <v>45170</v>
      </c>
      <c r="F2309">
        <v>23764</v>
      </c>
      <c r="G2309" t="s">
        <v>257</v>
      </c>
    </row>
    <row r="2310" spans="1:7">
      <c r="A2310" s="216">
        <v>45170</v>
      </c>
      <c r="B2310" t="s">
        <v>51</v>
      </c>
      <c r="C2310">
        <v>16</v>
      </c>
      <c r="D2310" t="s">
        <v>449</v>
      </c>
      <c r="E2310" s="217">
        <v>45170</v>
      </c>
      <c r="F2310">
        <v>24407</v>
      </c>
      <c r="G2310" t="s">
        <v>258</v>
      </c>
    </row>
    <row r="2311" spans="1:7">
      <c r="A2311" s="216">
        <v>45170</v>
      </c>
      <c r="B2311" t="s">
        <v>51</v>
      </c>
      <c r="C2311">
        <v>16</v>
      </c>
      <c r="D2311" t="s">
        <v>449</v>
      </c>
      <c r="E2311" s="217">
        <v>45170</v>
      </c>
      <c r="F2311">
        <v>27535</v>
      </c>
      <c r="G2311" t="s">
        <v>259</v>
      </c>
    </row>
    <row r="2312" spans="1:7">
      <c r="A2312" s="216">
        <v>45170</v>
      </c>
      <c r="B2312" t="s">
        <v>51</v>
      </c>
      <c r="C2312">
        <v>16</v>
      </c>
      <c r="D2312" t="s">
        <v>449</v>
      </c>
      <c r="E2312" s="217">
        <v>45170</v>
      </c>
      <c r="F2312">
        <v>23882</v>
      </c>
      <c r="G2312" t="s">
        <v>260</v>
      </c>
    </row>
    <row r="2313" spans="1:7">
      <c r="A2313" s="216">
        <v>45170</v>
      </c>
      <c r="B2313" t="s">
        <v>51</v>
      </c>
      <c r="C2313">
        <v>16</v>
      </c>
      <c r="D2313" t="s">
        <v>449</v>
      </c>
      <c r="E2313" s="217">
        <v>45170</v>
      </c>
      <c r="F2313">
        <v>25505</v>
      </c>
      <c r="G2313" t="s">
        <v>261</v>
      </c>
    </row>
    <row r="2314" spans="1:7">
      <c r="A2314" s="216">
        <v>45170</v>
      </c>
      <c r="B2314" t="s">
        <v>51</v>
      </c>
      <c r="C2314">
        <v>16</v>
      </c>
      <c r="D2314" t="s">
        <v>449</v>
      </c>
      <c r="E2314" s="217">
        <v>45170</v>
      </c>
      <c r="F2314">
        <v>22953</v>
      </c>
      <c r="G2314" t="s">
        <v>262</v>
      </c>
    </row>
    <row r="2315" spans="1:7">
      <c r="A2315" s="216">
        <v>45170</v>
      </c>
      <c r="B2315" t="s">
        <v>51</v>
      </c>
      <c r="C2315">
        <v>16</v>
      </c>
      <c r="D2315" t="s">
        <v>449</v>
      </c>
      <c r="E2315" s="217">
        <v>45170</v>
      </c>
      <c r="F2315">
        <v>271611</v>
      </c>
      <c r="G2315" t="s">
        <v>434</v>
      </c>
    </row>
    <row r="2316" spans="1:7">
      <c r="A2316" s="216">
        <v>45170</v>
      </c>
      <c r="B2316" t="s">
        <v>51</v>
      </c>
      <c r="C2316">
        <v>17</v>
      </c>
      <c r="D2316" t="s">
        <v>443</v>
      </c>
      <c r="E2316" s="217">
        <v>45170</v>
      </c>
      <c r="F2316">
        <v>0</v>
      </c>
      <c r="G2316" t="s">
        <v>251</v>
      </c>
    </row>
    <row r="2317" spans="1:7">
      <c r="A2317" s="216">
        <v>45170</v>
      </c>
      <c r="B2317" t="s">
        <v>51</v>
      </c>
      <c r="C2317">
        <v>17</v>
      </c>
      <c r="D2317" t="s">
        <v>443</v>
      </c>
      <c r="E2317" s="217">
        <v>45170</v>
      </c>
      <c r="F2317">
        <v>0</v>
      </c>
      <c r="G2317" t="s">
        <v>252</v>
      </c>
    </row>
    <row r="2318" spans="1:7">
      <c r="A2318" s="216">
        <v>45170</v>
      </c>
      <c r="B2318" t="s">
        <v>51</v>
      </c>
      <c r="C2318">
        <v>17</v>
      </c>
      <c r="D2318" t="s">
        <v>443</v>
      </c>
      <c r="E2318" s="217">
        <v>45170</v>
      </c>
      <c r="F2318">
        <v>0</v>
      </c>
      <c r="G2318" t="s">
        <v>253</v>
      </c>
    </row>
    <row r="2319" spans="1:7">
      <c r="A2319" s="216">
        <v>45170</v>
      </c>
      <c r="B2319" t="s">
        <v>51</v>
      </c>
      <c r="C2319">
        <v>17</v>
      </c>
      <c r="D2319" t="s">
        <v>443</v>
      </c>
      <c r="E2319" s="217">
        <v>45170</v>
      </c>
      <c r="F2319">
        <v>0</v>
      </c>
      <c r="G2319" t="s">
        <v>254</v>
      </c>
    </row>
    <row r="2320" spans="1:7">
      <c r="A2320" s="216">
        <v>45170</v>
      </c>
      <c r="B2320" t="s">
        <v>51</v>
      </c>
      <c r="C2320">
        <v>17</v>
      </c>
      <c r="D2320" t="s">
        <v>443</v>
      </c>
      <c r="E2320" s="217">
        <v>45170</v>
      </c>
      <c r="F2320">
        <v>0</v>
      </c>
      <c r="G2320" t="s">
        <v>255</v>
      </c>
    </row>
    <row r="2321" spans="1:7">
      <c r="A2321" s="216">
        <v>45170</v>
      </c>
      <c r="B2321" t="s">
        <v>51</v>
      </c>
      <c r="C2321">
        <v>17</v>
      </c>
      <c r="D2321" t="s">
        <v>443</v>
      </c>
      <c r="E2321" s="217">
        <v>45170</v>
      </c>
      <c r="F2321">
        <v>0</v>
      </c>
      <c r="G2321" t="s">
        <v>256</v>
      </c>
    </row>
    <row r="2322" spans="1:7">
      <c r="A2322" s="216">
        <v>45170</v>
      </c>
      <c r="B2322" t="s">
        <v>51</v>
      </c>
      <c r="C2322">
        <v>17</v>
      </c>
      <c r="D2322" t="s">
        <v>443</v>
      </c>
      <c r="E2322" s="217">
        <v>45170</v>
      </c>
      <c r="F2322">
        <v>0</v>
      </c>
      <c r="G2322" t="s">
        <v>257</v>
      </c>
    </row>
    <row r="2323" spans="1:7">
      <c r="A2323" s="216">
        <v>45170</v>
      </c>
      <c r="B2323" t="s">
        <v>51</v>
      </c>
      <c r="C2323">
        <v>17</v>
      </c>
      <c r="D2323" t="s">
        <v>443</v>
      </c>
      <c r="E2323" s="217">
        <v>45170</v>
      </c>
      <c r="F2323">
        <v>0</v>
      </c>
      <c r="G2323" t="s">
        <v>258</v>
      </c>
    </row>
    <row r="2324" spans="1:7">
      <c r="A2324" s="216">
        <v>45170</v>
      </c>
      <c r="B2324" t="s">
        <v>51</v>
      </c>
      <c r="C2324">
        <v>17</v>
      </c>
      <c r="D2324" t="s">
        <v>443</v>
      </c>
      <c r="E2324" s="217">
        <v>45170</v>
      </c>
      <c r="F2324">
        <v>0</v>
      </c>
      <c r="G2324" t="s">
        <v>259</v>
      </c>
    </row>
    <row r="2325" spans="1:7">
      <c r="A2325" s="216">
        <v>45170</v>
      </c>
      <c r="B2325" t="s">
        <v>51</v>
      </c>
      <c r="C2325">
        <v>17</v>
      </c>
      <c r="D2325" t="s">
        <v>443</v>
      </c>
      <c r="E2325" s="217">
        <v>45170</v>
      </c>
      <c r="F2325">
        <v>0</v>
      </c>
      <c r="G2325" t="s">
        <v>260</v>
      </c>
    </row>
    <row r="2326" spans="1:7">
      <c r="A2326" s="216">
        <v>45170</v>
      </c>
      <c r="B2326" t="s">
        <v>51</v>
      </c>
      <c r="C2326">
        <v>17</v>
      </c>
      <c r="D2326" t="s">
        <v>443</v>
      </c>
      <c r="E2326" s="217">
        <v>45170</v>
      </c>
      <c r="F2326">
        <v>0</v>
      </c>
      <c r="G2326" t="s">
        <v>261</v>
      </c>
    </row>
    <row r="2327" spans="1:7">
      <c r="A2327" s="216">
        <v>45170</v>
      </c>
      <c r="B2327" t="s">
        <v>51</v>
      </c>
      <c r="C2327">
        <v>17</v>
      </c>
      <c r="D2327" t="s">
        <v>443</v>
      </c>
      <c r="E2327" s="217">
        <v>45170</v>
      </c>
      <c r="F2327">
        <v>0</v>
      </c>
      <c r="G2327" t="s">
        <v>262</v>
      </c>
    </row>
    <row r="2328" spans="1:7">
      <c r="A2328" s="216">
        <v>45170</v>
      </c>
      <c r="B2328" t="s">
        <v>51</v>
      </c>
      <c r="C2328">
        <v>17</v>
      </c>
      <c r="D2328" t="s">
        <v>443</v>
      </c>
      <c r="E2328" s="217">
        <v>45170</v>
      </c>
      <c r="F2328">
        <v>0</v>
      </c>
      <c r="G2328" t="s">
        <v>434</v>
      </c>
    </row>
    <row r="2329" spans="1:7">
      <c r="A2329" s="216">
        <v>45170</v>
      </c>
      <c r="B2329" t="s">
        <v>51</v>
      </c>
      <c r="C2329">
        <v>18</v>
      </c>
      <c r="D2329" t="s">
        <v>444</v>
      </c>
      <c r="E2329" s="217">
        <v>45170</v>
      </c>
      <c r="F2329">
        <v>0</v>
      </c>
      <c r="G2329" t="s">
        <v>251</v>
      </c>
    </row>
    <row r="2330" spans="1:7">
      <c r="A2330" s="216">
        <v>45170</v>
      </c>
      <c r="B2330" t="s">
        <v>51</v>
      </c>
      <c r="C2330">
        <v>18</v>
      </c>
      <c r="D2330" t="s">
        <v>444</v>
      </c>
      <c r="E2330" s="217">
        <v>45170</v>
      </c>
      <c r="F2330">
        <v>0</v>
      </c>
      <c r="G2330" t="s">
        <v>252</v>
      </c>
    </row>
    <row r="2331" spans="1:7">
      <c r="A2331" s="216">
        <v>45170</v>
      </c>
      <c r="B2331" t="s">
        <v>51</v>
      </c>
      <c r="C2331">
        <v>18</v>
      </c>
      <c r="D2331" t="s">
        <v>444</v>
      </c>
      <c r="E2331" s="217">
        <v>45170</v>
      </c>
      <c r="F2331">
        <v>0</v>
      </c>
      <c r="G2331" t="s">
        <v>253</v>
      </c>
    </row>
    <row r="2332" spans="1:7">
      <c r="A2332" s="216">
        <v>45170</v>
      </c>
      <c r="B2332" t="s">
        <v>51</v>
      </c>
      <c r="C2332">
        <v>18</v>
      </c>
      <c r="D2332" t="s">
        <v>444</v>
      </c>
      <c r="E2332" s="217">
        <v>45170</v>
      </c>
      <c r="F2332">
        <v>0</v>
      </c>
      <c r="G2332" t="s">
        <v>254</v>
      </c>
    </row>
    <row r="2333" spans="1:7">
      <c r="A2333" s="216">
        <v>45170</v>
      </c>
      <c r="B2333" t="s">
        <v>51</v>
      </c>
      <c r="C2333">
        <v>18</v>
      </c>
      <c r="D2333" t="s">
        <v>444</v>
      </c>
      <c r="E2333" s="217">
        <v>45170</v>
      </c>
      <c r="F2333">
        <v>0</v>
      </c>
      <c r="G2333" t="s">
        <v>255</v>
      </c>
    </row>
    <row r="2334" spans="1:7">
      <c r="A2334" s="216">
        <v>45170</v>
      </c>
      <c r="B2334" t="s">
        <v>51</v>
      </c>
      <c r="C2334">
        <v>18</v>
      </c>
      <c r="D2334" t="s">
        <v>444</v>
      </c>
      <c r="E2334" s="217">
        <v>45170</v>
      </c>
      <c r="F2334">
        <v>0</v>
      </c>
      <c r="G2334" t="s">
        <v>256</v>
      </c>
    </row>
    <row r="2335" spans="1:7">
      <c r="A2335" s="216">
        <v>45170</v>
      </c>
      <c r="B2335" t="s">
        <v>51</v>
      </c>
      <c r="C2335">
        <v>18</v>
      </c>
      <c r="D2335" t="s">
        <v>444</v>
      </c>
      <c r="E2335" s="217">
        <v>45170</v>
      </c>
      <c r="F2335">
        <v>0</v>
      </c>
      <c r="G2335" t="s">
        <v>257</v>
      </c>
    </row>
    <row r="2336" spans="1:7">
      <c r="A2336" s="216">
        <v>45170</v>
      </c>
      <c r="B2336" t="s">
        <v>51</v>
      </c>
      <c r="C2336">
        <v>18</v>
      </c>
      <c r="D2336" t="s">
        <v>444</v>
      </c>
      <c r="E2336" s="217">
        <v>45170</v>
      </c>
      <c r="F2336">
        <v>0</v>
      </c>
      <c r="G2336" t="s">
        <v>258</v>
      </c>
    </row>
    <row r="2337" spans="1:7">
      <c r="A2337" s="216">
        <v>45170</v>
      </c>
      <c r="B2337" t="s">
        <v>51</v>
      </c>
      <c r="C2337">
        <v>18</v>
      </c>
      <c r="D2337" t="s">
        <v>444</v>
      </c>
      <c r="E2337" s="217">
        <v>45170</v>
      </c>
      <c r="F2337">
        <v>0</v>
      </c>
      <c r="G2337" t="s">
        <v>259</v>
      </c>
    </row>
    <row r="2338" spans="1:7">
      <c r="A2338" s="216">
        <v>45170</v>
      </c>
      <c r="B2338" t="s">
        <v>51</v>
      </c>
      <c r="C2338">
        <v>18</v>
      </c>
      <c r="D2338" t="s">
        <v>444</v>
      </c>
      <c r="E2338" s="217">
        <v>45170</v>
      </c>
      <c r="F2338">
        <v>0</v>
      </c>
      <c r="G2338" t="s">
        <v>260</v>
      </c>
    </row>
    <row r="2339" spans="1:7">
      <c r="A2339" s="216">
        <v>45170</v>
      </c>
      <c r="B2339" t="s">
        <v>51</v>
      </c>
      <c r="C2339">
        <v>18</v>
      </c>
      <c r="D2339" t="s">
        <v>444</v>
      </c>
      <c r="E2339" s="217">
        <v>45170</v>
      </c>
      <c r="F2339">
        <v>0</v>
      </c>
      <c r="G2339" t="s">
        <v>261</v>
      </c>
    </row>
    <row r="2340" spans="1:7">
      <c r="A2340" s="216">
        <v>45170</v>
      </c>
      <c r="B2340" t="s">
        <v>51</v>
      </c>
      <c r="C2340">
        <v>18</v>
      </c>
      <c r="D2340" t="s">
        <v>444</v>
      </c>
      <c r="E2340" s="217">
        <v>45170</v>
      </c>
      <c r="F2340">
        <v>0</v>
      </c>
      <c r="G2340" t="s">
        <v>262</v>
      </c>
    </row>
    <row r="2341" spans="1:7">
      <c r="A2341" s="216">
        <v>45170</v>
      </c>
      <c r="B2341" t="s">
        <v>51</v>
      </c>
      <c r="C2341">
        <v>18</v>
      </c>
      <c r="D2341" t="s">
        <v>444</v>
      </c>
      <c r="E2341" s="217">
        <v>45170</v>
      </c>
      <c r="F2341">
        <v>0</v>
      </c>
      <c r="G2341" t="s">
        <v>434</v>
      </c>
    </row>
    <row r="2342" spans="1:7">
      <c r="A2342" s="216">
        <v>45170</v>
      </c>
      <c r="B2342" t="s">
        <v>51</v>
      </c>
      <c r="C2342">
        <v>19</v>
      </c>
      <c r="D2342" t="s">
        <v>440</v>
      </c>
      <c r="E2342" s="217">
        <v>45170</v>
      </c>
      <c r="F2342">
        <v>0</v>
      </c>
      <c r="G2342" t="s">
        <v>251</v>
      </c>
    </row>
    <row r="2343" spans="1:7">
      <c r="A2343" s="216">
        <v>45170</v>
      </c>
      <c r="B2343" t="s">
        <v>51</v>
      </c>
      <c r="C2343">
        <v>19</v>
      </c>
      <c r="D2343" t="s">
        <v>440</v>
      </c>
      <c r="E2343" s="217">
        <v>45170</v>
      </c>
      <c r="F2343">
        <v>0</v>
      </c>
      <c r="G2343" t="s">
        <v>252</v>
      </c>
    </row>
    <row r="2344" spans="1:7">
      <c r="A2344" s="216">
        <v>45170</v>
      </c>
      <c r="B2344" t="s">
        <v>51</v>
      </c>
      <c r="C2344">
        <v>19</v>
      </c>
      <c r="D2344" t="s">
        <v>440</v>
      </c>
      <c r="E2344" s="217">
        <v>45170</v>
      </c>
      <c r="F2344">
        <v>0</v>
      </c>
      <c r="G2344" t="s">
        <v>253</v>
      </c>
    </row>
    <row r="2345" spans="1:7">
      <c r="A2345" s="216">
        <v>45170</v>
      </c>
      <c r="B2345" t="s">
        <v>51</v>
      </c>
      <c r="C2345">
        <v>19</v>
      </c>
      <c r="D2345" t="s">
        <v>440</v>
      </c>
      <c r="E2345" s="217">
        <v>45170</v>
      </c>
      <c r="F2345">
        <v>0</v>
      </c>
      <c r="G2345" t="s">
        <v>254</v>
      </c>
    </row>
    <row r="2346" spans="1:7">
      <c r="A2346" s="216">
        <v>45170</v>
      </c>
      <c r="B2346" t="s">
        <v>51</v>
      </c>
      <c r="C2346">
        <v>19</v>
      </c>
      <c r="D2346" t="s">
        <v>440</v>
      </c>
      <c r="E2346" s="217">
        <v>45170</v>
      </c>
      <c r="F2346">
        <v>0</v>
      </c>
      <c r="G2346" t="s">
        <v>255</v>
      </c>
    </row>
    <row r="2347" spans="1:7">
      <c r="A2347" s="216">
        <v>45170</v>
      </c>
      <c r="B2347" t="s">
        <v>51</v>
      </c>
      <c r="C2347">
        <v>19</v>
      </c>
      <c r="D2347" t="s">
        <v>440</v>
      </c>
      <c r="E2347" s="217">
        <v>45170</v>
      </c>
      <c r="F2347">
        <v>0</v>
      </c>
      <c r="G2347" t="s">
        <v>256</v>
      </c>
    </row>
    <row r="2348" spans="1:7">
      <c r="A2348" s="216">
        <v>45170</v>
      </c>
      <c r="B2348" t="s">
        <v>51</v>
      </c>
      <c r="C2348">
        <v>19</v>
      </c>
      <c r="D2348" t="s">
        <v>440</v>
      </c>
      <c r="E2348" s="217">
        <v>45170</v>
      </c>
      <c r="F2348">
        <v>0</v>
      </c>
      <c r="G2348" t="s">
        <v>257</v>
      </c>
    </row>
    <row r="2349" spans="1:7">
      <c r="A2349" s="216">
        <v>45170</v>
      </c>
      <c r="B2349" t="s">
        <v>51</v>
      </c>
      <c r="C2349">
        <v>19</v>
      </c>
      <c r="D2349" t="s">
        <v>440</v>
      </c>
      <c r="E2349" s="217">
        <v>45170</v>
      </c>
      <c r="F2349">
        <v>0</v>
      </c>
      <c r="G2349" t="s">
        <v>258</v>
      </c>
    </row>
    <row r="2350" spans="1:7">
      <c r="A2350" s="216">
        <v>45170</v>
      </c>
      <c r="B2350" t="s">
        <v>51</v>
      </c>
      <c r="C2350">
        <v>19</v>
      </c>
      <c r="D2350" t="s">
        <v>440</v>
      </c>
      <c r="E2350" s="217">
        <v>45170</v>
      </c>
      <c r="F2350">
        <v>0</v>
      </c>
      <c r="G2350" t="s">
        <v>259</v>
      </c>
    </row>
    <row r="2351" spans="1:7">
      <c r="A2351" s="216">
        <v>45170</v>
      </c>
      <c r="B2351" t="s">
        <v>51</v>
      </c>
      <c r="C2351">
        <v>19</v>
      </c>
      <c r="D2351" t="s">
        <v>440</v>
      </c>
      <c r="E2351" s="217">
        <v>45170</v>
      </c>
      <c r="F2351">
        <v>0</v>
      </c>
      <c r="G2351" t="s">
        <v>260</v>
      </c>
    </row>
    <row r="2352" spans="1:7">
      <c r="A2352" s="216">
        <v>45170</v>
      </c>
      <c r="B2352" t="s">
        <v>51</v>
      </c>
      <c r="C2352">
        <v>19</v>
      </c>
      <c r="D2352" t="s">
        <v>440</v>
      </c>
      <c r="E2352" s="217">
        <v>45170</v>
      </c>
      <c r="F2352">
        <v>0</v>
      </c>
      <c r="G2352" t="s">
        <v>261</v>
      </c>
    </row>
    <row r="2353" spans="1:7">
      <c r="A2353" s="216">
        <v>45170</v>
      </c>
      <c r="B2353" t="s">
        <v>51</v>
      </c>
      <c r="C2353">
        <v>19</v>
      </c>
      <c r="D2353" t="s">
        <v>440</v>
      </c>
      <c r="E2353" s="217">
        <v>45170</v>
      </c>
      <c r="F2353">
        <v>0</v>
      </c>
      <c r="G2353" t="s">
        <v>262</v>
      </c>
    </row>
    <row r="2354" spans="1:7">
      <c r="A2354" s="216">
        <v>45170</v>
      </c>
      <c r="B2354" t="s">
        <v>51</v>
      </c>
      <c r="C2354">
        <v>19</v>
      </c>
      <c r="D2354" t="s">
        <v>440</v>
      </c>
      <c r="E2354" s="217">
        <v>45170</v>
      </c>
      <c r="F2354">
        <v>0</v>
      </c>
      <c r="G2354" t="s">
        <v>434</v>
      </c>
    </row>
    <row r="2355" spans="1:7">
      <c r="A2355" s="216">
        <v>45170</v>
      </c>
      <c r="B2355" t="s">
        <v>51</v>
      </c>
      <c r="C2355">
        <v>20</v>
      </c>
      <c r="D2355" t="s">
        <v>456</v>
      </c>
      <c r="E2355" s="217">
        <v>45170</v>
      </c>
      <c r="F2355">
        <v>0</v>
      </c>
      <c r="G2355" t="s">
        <v>251</v>
      </c>
    </row>
    <row r="2356" spans="1:7">
      <c r="A2356" s="216">
        <v>45170</v>
      </c>
      <c r="B2356" t="s">
        <v>51</v>
      </c>
      <c r="C2356">
        <v>20</v>
      </c>
      <c r="D2356" t="s">
        <v>456</v>
      </c>
      <c r="E2356" s="217">
        <v>45170</v>
      </c>
      <c r="F2356">
        <v>0</v>
      </c>
      <c r="G2356" t="s">
        <v>252</v>
      </c>
    </row>
    <row r="2357" spans="1:7">
      <c r="A2357" s="216">
        <v>45170</v>
      </c>
      <c r="B2357" t="s">
        <v>51</v>
      </c>
      <c r="C2357">
        <v>20</v>
      </c>
      <c r="D2357" t="s">
        <v>456</v>
      </c>
      <c r="E2357" s="217">
        <v>45170</v>
      </c>
      <c r="F2357">
        <v>0</v>
      </c>
      <c r="G2357" t="s">
        <v>253</v>
      </c>
    </row>
    <row r="2358" spans="1:7">
      <c r="A2358" s="216">
        <v>45170</v>
      </c>
      <c r="B2358" t="s">
        <v>51</v>
      </c>
      <c r="C2358">
        <v>20</v>
      </c>
      <c r="D2358" t="s">
        <v>456</v>
      </c>
      <c r="E2358" s="217">
        <v>45170</v>
      </c>
      <c r="F2358">
        <v>0</v>
      </c>
      <c r="G2358" t="s">
        <v>254</v>
      </c>
    </row>
    <row r="2359" spans="1:7">
      <c r="A2359" s="216">
        <v>45170</v>
      </c>
      <c r="B2359" t="s">
        <v>51</v>
      </c>
      <c r="C2359">
        <v>20</v>
      </c>
      <c r="D2359" t="s">
        <v>456</v>
      </c>
      <c r="E2359" s="217">
        <v>45170</v>
      </c>
      <c r="F2359">
        <v>0</v>
      </c>
      <c r="G2359" t="s">
        <v>255</v>
      </c>
    </row>
    <row r="2360" spans="1:7">
      <c r="A2360" s="216">
        <v>45170</v>
      </c>
      <c r="B2360" t="s">
        <v>51</v>
      </c>
      <c r="C2360">
        <v>20</v>
      </c>
      <c r="D2360" t="s">
        <v>456</v>
      </c>
      <c r="E2360" s="217">
        <v>45170</v>
      </c>
      <c r="F2360">
        <v>0</v>
      </c>
      <c r="G2360" t="s">
        <v>256</v>
      </c>
    </row>
    <row r="2361" spans="1:7">
      <c r="A2361" s="216">
        <v>45170</v>
      </c>
      <c r="B2361" t="s">
        <v>51</v>
      </c>
      <c r="C2361">
        <v>20</v>
      </c>
      <c r="D2361" t="s">
        <v>456</v>
      </c>
      <c r="E2361" s="217">
        <v>45170</v>
      </c>
      <c r="F2361">
        <v>0</v>
      </c>
      <c r="G2361" t="s">
        <v>257</v>
      </c>
    </row>
    <row r="2362" spans="1:7">
      <c r="A2362" s="216">
        <v>45170</v>
      </c>
      <c r="B2362" t="s">
        <v>51</v>
      </c>
      <c r="C2362">
        <v>20</v>
      </c>
      <c r="D2362" t="s">
        <v>456</v>
      </c>
      <c r="E2362" s="217">
        <v>45170</v>
      </c>
      <c r="F2362">
        <v>0</v>
      </c>
      <c r="G2362" t="s">
        <v>258</v>
      </c>
    </row>
    <row r="2363" spans="1:7">
      <c r="A2363" s="216">
        <v>45170</v>
      </c>
      <c r="B2363" t="s">
        <v>51</v>
      </c>
      <c r="C2363">
        <v>20</v>
      </c>
      <c r="D2363" t="s">
        <v>456</v>
      </c>
      <c r="E2363" s="217">
        <v>45170</v>
      </c>
      <c r="F2363">
        <v>0</v>
      </c>
      <c r="G2363" t="s">
        <v>259</v>
      </c>
    </row>
    <row r="2364" spans="1:7">
      <c r="A2364" s="216">
        <v>45170</v>
      </c>
      <c r="B2364" t="s">
        <v>51</v>
      </c>
      <c r="C2364">
        <v>20</v>
      </c>
      <c r="D2364" t="s">
        <v>456</v>
      </c>
      <c r="E2364" s="217">
        <v>45170</v>
      </c>
      <c r="F2364">
        <v>0</v>
      </c>
      <c r="G2364" t="s">
        <v>260</v>
      </c>
    </row>
    <row r="2365" spans="1:7">
      <c r="A2365" s="216">
        <v>45170</v>
      </c>
      <c r="B2365" t="s">
        <v>51</v>
      </c>
      <c r="C2365">
        <v>20</v>
      </c>
      <c r="D2365" t="s">
        <v>456</v>
      </c>
      <c r="E2365" s="217">
        <v>45170</v>
      </c>
      <c r="F2365">
        <v>0</v>
      </c>
      <c r="G2365" t="s">
        <v>261</v>
      </c>
    </row>
    <row r="2366" spans="1:7">
      <c r="A2366" s="216">
        <v>45170</v>
      </c>
      <c r="B2366" t="s">
        <v>51</v>
      </c>
      <c r="C2366">
        <v>20</v>
      </c>
      <c r="D2366" t="s">
        <v>456</v>
      </c>
      <c r="E2366" s="217">
        <v>45170</v>
      </c>
      <c r="F2366">
        <v>0</v>
      </c>
      <c r="G2366" t="s">
        <v>262</v>
      </c>
    </row>
    <row r="2367" spans="1:7">
      <c r="A2367" s="216">
        <v>45170</v>
      </c>
      <c r="B2367" t="s">
        <v>51</v>
      </c>
      <c r="C2367">
        <v>20</v>
      </c>
      <c r="D2367" t="s">
        <v>456</v>
      </c>
      <c r="E2367" s="217">
        <v>45170</v>
      </c>
      <c r="F2367">
        <v>0</v>
      </c>
      <c r="G2367" t="s">
        <v>434</v>
      </c>
    </row>
    <row r="2368" spans="1:7">
      <c r="A2368" s="216">
        <v>45170</v>
      </c>
      <c r="B2368" t="s">
        <v>51</v>
      </c>
      <c r="C2368">
        <v>21</v>
      </c>
      <c r="D2368" t="s">
        <v>455</v>
      </c>
      <c r="E2368" s="217">
        <v>45170</v>
      </c>
      <c r="F2368">
        <v>0</v>
      </c>
      <c r="G2368" t="s">
        <v>251</v>
      </c>
    </row>
    <row r="2369" spans="1:7">
      <c r="A2369" s="216">
        <v>45170</v>
      </c>
      <c r="B2369" t="s">
        <v>51</v>
      </c>
      <c r="C2369">
        <v>21</v>
      </c>
      <c r="D2369" t="s">
        <v>455</v>
      </c>
      <c r="E2369" s="217">
        <v>45170</v>
      </c>
      <c r="F2369">
        <v>0</v>
      </c>
      <c r="G2369" t="s">
        <v>252</v>
      </c>
    </row>
    <row r="2370" spans="1:7">
      <c r="A2370" s="216">
        <v>45170</v>
      </c>
      <c r="B2370" t="s">
        <v>51</v>
      </c>
      <c r="C2370">
        <v>21</v>
      </c>
      <c r="D2370" t="s">
        <v>455</v>
      </c>
      <c r="E2370" s="217">
        <v>45170</v>
      </c>
      <c r="F2370">
        <v>0</v>
      </c>
      <c r="G2370" t="s">
        <v>253</v>
      </c>
    </row>
    <row r="2371" spans="1:7">
      <c r="A2371" s="216">
        <v>45170</v>
      </c>
      <c r="B2371" t="s">
        <v>51</v>
      </c>
      <c r="C2371">
        <v>21</v>
      </c>
      <c r="D2371" t="s">
        <v>455</v>
      </c>
      <c r="E2371" s="217">
        <v>45170</v>
      </c>
      <c r="F2371">
        <v>0</v>
      </c>
      <c r="G2371" t="s">
        <v>254</v>
      </c>
    </row>
    <row r="2372" spans="1:7">
      <c r="A2372" s="216">
        <v>45170</v>
      </c>
      <c r="B2372" t="s">
        <v>51</v>
      </c>
      <c r="C2372">
        <v>21</v>
      </c>
      <c r="D2372" t="s">
        <v>455</v>
      </c>
      <c r="E2372" s="217">
        <v>45170</v>
      </c>
      <c r="F2372">
        <v>0</v>
      </c>
      <c r="G2372" t="s">
        <v>255</v>
      </c>
    </row>
    <row r="2373" spans="1:7">
      <c r="A2373" s="216">
        <v>45170</v>
      </c>
      <c r="B2373" t="s">
        <v>51</v>
      </c>
      <c r="C2373">
        <v>21</v>
      </c>
      <c r="D2373" t="s">
        <v>455</v>
      </c>
      <c r="E2373" s="217">
        <v>45170</v>
      </c>
      <c r="F2373">
        <v>0</v>
      </c>
      <c r="G2373" t="s">
        <v>256</v>
      </c>
    </row>
    <row r="2374" spans="1:7">
      <c r="A2374" s="216">
        <v>45170</v>
      </c>
      <c r="B2374" t="s">
        <v>51</v>
      </c>
      <c r="C2374">
        <v>21</v>
      </c>
      <c r="D2374" t="s">
        <v>455</v>
      </c>
      <c r="E2374" s="217">
        <v>45170</v>
      </c>
      <c r="F2374">
        <v>0</v>
      </c>
      <c r="G2374" t="s">
        <v>257</v>
      </c>
    </row>
    <row r="2375" spans="1:7">
      <c r="A2375" s="216">
        <v>45170</v>
      </c>
      <c r="B2375" t="s">
        <v>51</v>
      </c>
      <c r="C2375">
        <v>21</v>
      </c>
      <c r="D2375" t="s">
        <v>455</v>
      </c>
      <c r="E2375" s="217">
        <v>45170</v>
      </c>
      <c r="F2375">
        <v>0</v>
      </c>
      <c r="G2375" t="s">
        <v>258</v>
      </c>
    </row>
    <row r="2376" spans="1:7">
      <c r="A2376" s="216">
        <v>45170</v>
      </c>
      <c r="B2376" t="s">
        <v>51</v>
      </c>
      <c r="C2376">
        <v>21</v>
      </c>
      <c r="D2376" t="s">
        <v>455</v>
      </c>
      <c r="E2376" s="217">
        <v>45170</v>
      </c>
      <c r="F2376">
        <v>0</v>
      </c>
      <c r="G2376" t="s">
        <v>259</v>
      </c>
    </row>
    <row r="2377" spans="1:7">
      <c r="A2377" s="216">
        <v>45170</v>
      </c>
      <c r="B2377" t="s">
        <v>51</v>
      </c>
      <c r="C2377">
        <v>21</v>
      </c>
      <c r="D2377" t="s">
        <v>455</v>
      </c>
      <c r="E2377" s="217">
        <v>45170</v>
      </c>
      <c r="F2377">
        <v>0</v>
      </c>
      <c r="G2377" t="s">
        <v>260</v>
      </c>
    </row>
    <row r="2378" spans="1:7">
      <c r="A2378" s="216">
        <v>45170</v>
      </c>
      <c r="B2378" t="s">
        <v>51</v>
      </c>
      <c r="C2378">
        <v>21</v>
      </c>
      <c r="D2378" t="s">
        <v>455</v>
      </c>
      <c r="E2378" s="217">
        <v>45170</v>
      </c>
      <c r="F2378">
        <v>0</v>
      </c>
      <c r="G2378" t="s">
        <v>261</v>
      </c>
    </row>
    <row r="2379" spans="1:7">
      <c r="A2379" s="216">
        <v>45170</v>
      </c>
      <c r="B2379" t="s">
        <v>51</v>
      </c>
      <c r="C2379">
        <v>21</v>
      </c>
      <c r="D2379" t="s">
        <v>455</v>
      </c>
      <c r="E2379" s="217">
        <v>45170</v>
      </c>
      <c r="F2379">
        <v>0</v>
      </c>
      <c r="G2379" t="s">
        <v>262</v>
      </c>
    </row>
    <row r="2380" spans="1:7">
      <c r="A2380" s="216">
        <v>45170</v>
      </c>
      <c r="B2380" t="s">
        <v>51</v>
      </c>
      <c r="C2380">
        <v>21</v>
      </c>
      <c r="D2380" t="s">
        <v>455</v>
      </c>
      <c r="E2380" s="217">
        <v>45170</v>
      </c>
      <c r="F2380">
        <v>0</v>
      </c>
      <c r="G2380" t="s">
        <v>434</v>
      </c>
    </row>
    <row r="2381" spans="1:7">
      <c r="A2381" s="216">
        <v>45170</v>
      </c>
      <c r="B2381" t="s">
        <v>51</v>
      </c>
      <c r="C2381">
        <v>22</v>
      </c>
      <c r="D2381" t="s">
        <v>439</v>
      </c>
      <c r="E2381" s="217">
        <v>45170</v>
      </c>
      <c r="F2381">
        <v>72</v>
      </c>
      <c r="G2381" t="s">
        <v>251</v>
      </c>
    </row>
    <row r="2382" spans="1:7">
      <c r="A2382" s="216">
        <v>45170</v>
      </c>
      <c r="B2382" t="s">
        <v>51</v>
      </c>
      <c r="C2382">
        <v>22</v>
      </c>
      <c r="D2382" t="s">
        <v>439</v>
      </c>
      <c r="E2382" s="217">
        <v>45170</v>
      </c>
      <c r="F2382">
        <v>69</v>
      </c>
      <c r="G2382" t="s">
        <v>252</v>
      </c>
    </row>
    <row r="2383" spans="1:7">
      <c r="A2383" s="216">
        <v>45170</v>
      </c>
      <c r="B2383" t="s">
        <v>51</v>
      </c>
      <c r="C2383">
        <v>22</v>
      </c>
      <c r="D2383" t="s">
        <v>439</v>
      </c>
      <c r="E2383" s="217">
        <v>45170</v>
      </c>
      <c r="F2383">
        <v>80</v>
      </c>
      <c r="G2383" t="s">
        <v>253</v>
      </c>
    </row>
    <row r="2384" spans="1:7">
      <c r="A2384" s="216">
        <v>45170</v>
      </c>
      <c r="B2384" t="s">
        <v>51</v>
      </c>
      <c r="C2384">
        <v>22</v>
      </c>
      <c r="D2384" t="s">
        <v>439</v>
      </c>
      <c r="E2384" s="217">
        <v>45170</v>
      </c>
      <c r="F2384">
        <v>74</v>
      </c>
      <c r="G2384" t="s">
        <v>254</v>
      </c>
    </row>
    <row r="2385" spans="1:7">
      <c r="A2385" s="216">
        <v>45170</v>
      </c>
      <c r="B2385" t="s">
        <v>51</v>
      </c>
      <c r="C2385">
        <v>22</v>
      </c>
      <c r="D2385" t="s">
        <v>439</v>
      </c>
      <c r="E2385" s="217">
        <v>45170</v>
      </c>
      <c r="F2385">
        <v>74</v>
      </c>
      <c r="G2385" t="s">
        <v>255</v>
      </c>
    </row>
    <row r="2386" spans="1:7">
      <c r="A2386" s="216">
        <v>45170</v>
      </c>
      <c r="B2386" t="s">
        <v>51</v>
      </c>
      <c r="C2386">
        <v>22</v>
      </c>
      <c r="D2386" t="s">
        <v>439</v>
      </c>
      <c r="E2386" s="217">
        <v>45170</v>
      </c>
      <c r="F2386">
        <v>74</v>
      </c>
      <c r="G2386" t="s">
        <v>256</v>
      </c>
    </row>
    <row r="2387" spans="1:7">
      <c r="A2387" s="216">
        <v>45170</v>
      </c>
      <c r="B2387" t="s">
        <v>51</v>
      </c>
      <c r="C2387">
        <v>22</v>
      </c>
      <c r="D2387" t="s">
        <v>439</v>
      </c>
      <c r="E2387" s="217">
        <v>45170</v>
      </c>
      <c r="F2387">
        <v>74</v>
      </c>
      <c r="G2387" t="s">
        <v>257</v>
      </c>
    </row>
    <row r="2388" spans="1:7">
      <c r="A2388" s="216">
        <v>45170</v>
      </c>
      <c r="B2388" t="s">
        <v>51</v>
      </c>
      <c r="C2388">
        <v>22</v>
      </c>
      <c r="D2388" t="s">
        <v>439</v>
      </c>
      <c r="E2388" s="217">
        <v>45170</v>
      </c>
      <c r="F2388">
        <v>74</v>
      </c>
      <c r="G2388" t="s">
        <v>258</v>
      </c>
    </row>
    <row r="2389" spans="1:7">
      <c r="A2389" s="216">
        <v>45170</v>
      </c>
      <c r="B2389" t="s">
        <v>51</v>
      </c>
      <c r="C2389">
        <v>22</v>
      </c>
      <c r="D2389" t="s">
        <v>439</v>
      </c>
      <c r="E2389" s="217">
        <v>45170</v>
      </c>
      <c r="F2389">
        <v>74</v>
      </c>
      <c r="G2389" t="s">
        <v>259</v>
      </c>
    </row>
    <row r="2390" spans="1:7">
      <c r="A2390" s="216">
        <v>45170</v>
      </c>
      <c r="B2390" t="s">
        <v>51</v>
      </c>
      <c r="C2390">
        <v>22</v>
      </c>
      <c r="D2390" t="s">
        <v>439</v>
      </c>
      <c r="E2390" s="217">
        <v>45170</v>
      </c>
      <c r="F2390">
        <v>50</v>
      </c>
      <c r="G2390" t="s">
        <v>260</v>
      </c>
    </row>
    <row r="2391" spans="1:7">
      <c r="A2391" s="216">
        <v>45170</v>
      </c>
      <c r="B2391" t="s">
        <v>51</v>
      </c>
      <c r="C2391">
        <v>22</v>
      </c>
      <c r="D2391" t="s">
        <v>439</v>
      </c>
      <c r="E2391" s="217">
        <v>45170</v>
      </c>
      <c r="F2391">
        <v>51</v>
      </c>
      <c r="G2391" t="s">
        <v>261</v>
      </c>
    </row>
    <row r="2392" spans="1:7">
      <c r="A2392" s="216">
        <v>45170</v>
      </c>
      <c r="B2392" t="s">
        <v>51</v>
      </c>
      <c r="C2392">
        <v>22</v>
      </c>
      <c r="D2392" t="s">
        <v>439</v>
      </c>
      <c r="E2392" s="217">
        <v>45170</v>
      </c>
      <c r="F2392">
        <v>51</v>
      </c>
      <c r="G2392" t="s">
        <v>262</v>
      </c>
    </row>
    <row r="2393" spans="1:7">
      <c r="A2393" s="216">
        <v>45170</v>
      </c>
      <c r="B2393" t="s">
        <v>51</v>
      </c>
      <c r="C2393">
        <v>22</v>
      </c>
      <c r="D2393" t="s">
        <v>439</v>
      </c>
      <c r="E2393" s="217">
        <v>45170</v>
      </c>
      <c r="F2393">
        <v>817</v>
      </c>
      <c r="G2393" t="s">
        <v>434</v>
      </c>
    </row>
    <row r="2394" spans="1:7">
      <c r="A2394" s="216">
        <v>45170</v>
      </c>
      <c r="B2394" t="s">
        <v>51</v>
      </c>
      <c r="C2394">
        <v>23</v>
      </c>
      <c r="D2394" t="s">
        <v>435</v>
      </c>
      <c r="E2394" s="217">
        <v>45170</v>
      </c>
      <c r="F2394">
        <v>0</v>
      </c>
      <c r="G2394" t="s">
        <v>251</v>
      </c>
    </row>
    <row r="2395" spans="1:7">
      <c r="A2395" s="216">
        <v>45170</v>
      </c>
      <c r="B2395" t="s">
        <v>51</v>
      </c>
      <c r="C2395">
        <v>23</v>
      </c>
      <c r="D2395" t="s">
        <v>435</v>
      </c>
      <c r="E2395" s="217">
        <v>45170</v>
      </c>
      <c r="F2395">
        <v>0</v>
      </c>
      <c r="G2395" t="s">
        <v>252</v>
      </c>
    </row>
    <row r="2396" spans="1:7">
      <c r="A2396" s="216">
        <v>45170</v>
      </c>
      <c r="B2396" t="s">
        <v>51</v>
      </c>
      <c r="C2396">
        <v>23</v>
      </c>
      <c r="D2396" t="s">
        <v>435</v>
      </c>
      <c r="E2396" s="217">
        <v>45170</v>
      </c>
      <c r="F2396">
        <v>0</v>
      </c>
      <c r="G2396" t="s">
        <v>253</v>
      </c>
    </row>
    <row r="2397" spans="1:7">
      <c r="A2397" s="216">
        <v>45170</v>
      </c>
      <c r="B2397" t="s">
        <v>51</v>
      </c>
      <c r="C2397">
        <v>23</v>
      </c>
      <c r="D2397" t="s">
        <v>435</v>
      </c>
      <c r="E2397" s="217">
        <v>45170</v>
      </c>
      <c r="F2397">
        <v>0</v>
      </c>
      <c r="G2397" t="s">
        <v>254</v>
      </c>
    </row>
    <row r="2398" spans="1:7">
      <c r="A2398" s="216">
        <v>45170</v>
      </c>
      <c r="B2398" t="s">
        <v>51</v>
      </c>
      <c r="C2398">
        <v>23</v>
      </c>
      <c r="D2398" t="s">
        <v>435</v>
      </c>
      <c r="E2398" s="217">
        <v>45170</v>
      </c>
      <c r="F2398">
        <v>0</v>
      </c>
      <c r="G2398" t="s">
        <v>255</v>
      </c>
    </row>
    <row r="2399" spans="1:7">
      <c r="A2399" s="216">
        <v>45170</v>
      </c>
      <c r="B2399" t="s">
        <v>51</v>
      </c>
      <c r="C2399">
        <v>23</v>
      </c>
      <c r="D2399" t="s">
        <v>435</v>
      </c>
      <c r="E2399" s="217">
        <v>45170</v>
      </c>
      <c r="F2399">
        <v>0</v>
      </c>
      <c r="G2399" t="s">
        <v>256</v>
      </c>
    </row>
    <row r="2400" spans="1:7">
      <c r="A2400" s="216">
        <v>45170</v>
      </c>
      <c r="B2400" t="s">
        <v>51</v>
      </c>
      <c r="C2400">
        <v>23</v>
      </c>
      <c r="D2400" t="s">
        <v>435</v>
      </c>
      <c r="E2400" s="217">
        <v>45170</v>
      </c>
      <c r="F2400">
        <v>0</v>
      </c>
      <c r="G2400" t="s">
        <v>257</v>
      </c>
    </row>
    <row r="2401" spans="1:7">
      <c r="A2401" s="216">
        <v>45170</v>
      </c>
      <c r="B2401" t="s">
        <v>51</v>
      </c>
      <c r="C2401">
        <v>23</v>
      </c>
      <c r="D2401" t="s">
        <v>435</v>
      </c>
      <c r="E2401" s="217">
        <v>45170</v>
      </c>
      <c r="F2401">
        <v>0</v>
      </c>
      <c r="G2401" t="s">
        <v>258</v>
      </c>
    </row>
    <row r="2402" spans="1:7">
      <c r="A2402" s="216">
        <v>45170</v>
      </c>
      <c r="B2402" t="s">
        <v>51</v>
      </c>
      <c r="C2402">
        <v>23</v>
      </c>
      <c r="D2402" t="s">
        <v>435</v>
      </c>
      <c r="E2402" s="217">
        <v>45170</v>
      </c>
      <c r="F2402">
        <v>0</v>
      </c>
      <c r="G2402" t="s">
        <v>259</v>
      </c>
    </row>
    <row r="2403" spans="1:7">
      <c r="A2403" s="216">
        <v>45170</v>
      </c>
      <c r="B2403" t="s">
        <v>51</v>
      </c>
      <c r="C2403">
        <v>23</v>
      </c>
      <c r="D2403" t="s">
        <v>435</v>
      </c>
      <c r="E2403" s="217">
        <v>45170</v>
      </c>
      <c r="F2403">
        <v>0</v>
      </c>
      <c r="G2403" t="s">
        <v>260</v>
      </c>
    </row>
    <row r="2404" spans="1:7">
      <c r="A2404" s="216">
        <v>45170</v>
      </c>
      <c r="B2404" t="s">
        <v>51</v>
      </c>
      <c r="C2404">
        <v>23</v>
      </c>
      <c r="D2404" t="s">
        <v>435</v>
      </c>
      <c r="E2404" s="217">
        <v>45170</v>
      </c>
      <c r="F2404">
        <v>0</v>
      </c>
      <c r="G2404" t="s">
        <v>261</v>
      </c>
    </row>
    <row r="2405" spans="1:7">
      <c r="A2405" s="216">
        <v>45170</v>
      </c>
      <c r="B2405" t="s">
        <v>51</v>
      </c>
      <c r="C2405">
        <v>23</v>
      </c>
      <c r="D2405" t="s">
        <v>435</v>
      </c>
      <c r="E2405" s="217">
        <v>45170</v>
      </c>
      <c r="F2405">
        <v>0</v>
      </c>
      <c r="G2405" t="s">
        <v>262</v>
      </c>
    </row>
    <row r="2406" spans="1:7">
      <c r="A2406" s="216">
        <v>45170</v>
      </c>
      <c r="B2406" t="s">
        <v>51</v>
      </c>
      <c r="C2406">
        <v>23</v>
      </c>
      <c r="D2406" t="s">
        <v>435</v>
      </c>
      <c r="E2406" s="217">
        <v>45170</v>
      </c>
      <c r="F2406">
        <v>0</v>
      </c>
      <c r="G2406" t="s">
        <v>434</v>
      </c>
    </row>
    <row r="2407" spans="1:7">
      <c r="A2407" s="216">
        <v>45170</v>
      </c>
      <c r="B2407" t="s">
        <v>51</v>
      </c>
      <c r="C2407">
        <v>24</v>
      </c>
      <c r="D2407" t="s">
        <v>457</v>
      </c>
      <c r="E2407" s="217">
        <v>45170</v>
      </c>
      <c r="F2407">
        <v>0</v>
      </c>
      <c r="G2407" t="s">
        <v>251</v>
      </c>
    </row>
    <row r="2408" spans="1:7">
      <c r="A2408" s="216">
        <v>45170</v>
      </c>
      <c r="B2408" t="s">
        <v>51</v>
      </c>
      <c r="C2408">
        <v>24</v>
      </c>
      <c r="D2408" t="s">
        <v>457</v>
      </c>
      <c r="E2408" s="217">
        <v>45170</v>
      </c>
      <c r="F2408">
        <v>0</v>
      </c>
      <c r="G2408" t="s">
        <v>252</v>
      </c>
    </row>
    <row r="2409" spans="1:7">
      <c r="A2409" s="216">
        <v>45170</v>
      </c>
      <c r="B2409" t="s">
        <v>51</v>
      </c>
      <c r="C2409">
        <v>24</v>
      </c>
      <c r="D2409" t="s">
        <v>457</v>
      </c>
      <c r="E2409" s="217">
        <v>45170</v>
      </c>
      <c r="F2409">
        <v>0</v>
      </c>
      <c r="G2409" t="s">
        <v>253</v>
      </c>
    </row>
    <row r="2410" spans="1:7">
      <c r="A2410" s="216">
        <v>45170</v>
      </c>
      <c r="B2410" t="s">
        <v>51</v>
      </c>
      <c r="C2410">
        <v>24</v>
      </c>
      <c r="D2410" t="s">
        <v>457</v>
      </c>
      <c r="E2410" s="217">
        <v>45170</v>
      </c>
      <c r="F2410">
        <v>0</v>
      </c>
      <c r="G2410" t="s">
        <v>254</v>
      </c>
    </row>
    <row r="2411" spans="1:7">
      <c r="A2411" s="216">
        <v>45170</v>
      </c>
      <c r="B2411" t="s">
        <v>51</v>
      </c>
      <c r="C2411">
        <v>24</v>
      </c>
      <c r="D2411" t="s">
        <v>457</v>
      </c>
      <c r="E2411" s="217">
        <v>45170</v>
      </c>
      <c r="F2411">
        <v>0</v>
      </c>
      <c r="G2411" t="s">
        <v>255</v>
      </c>
    </row>
    <row r="2412" spans="1:7">
      <c r="A2412" s="216">
        <v>45170</v>
      </c>
      <c r="B2412" t="s">
        <v>51</v>
      </c>
      <c r="C2412">
        <v>24</v>
      </c>
      <c r="D2412" t="s">
        <v>457</v>
      </c>
      <c r="E2412" s="217">
        <v>45170</v>
      </c>
      <c r="F2412">
        <v>0</v>
      </c>
      <c r="G2412" t="s">
        <v>256</v>
      </c>
    </row>
    <row r="2413" spans="1:7">
      <c r="A2413" s="216">
        <v>45170</v>
      </c>
      <c r="B2413" t="s">
        <v>51</v>
      </c>
      <c r="C2413">
        <v>24</v>
      </c>
      <c r="D2413" t="s">
        <v>457</v>
      </c>
      <c r="E2413" s="217">
        <v>45170</v>
      </c>
      <c r="F2413">
        <v>0</v>
      </c>
      <c r="G2413" t="s">
        <v>257</v>
      </c>
    </row>
    <row r="2414" spans="1:7">
      <c r="A2414" s="216">
        <v>45170</v>
      </c>
      <c r="B2414" t="s">
        <v>51</v>
      </c>
      <c r="C2414">
        <v>24</v>
      </c>
      <c r="D2414" t="s">
        <v>457</v>
      </c>
      <c r="E2414" s="217">
        <v>45170</v>
      </c>
      <c r="F2414">
        <v>0</v>
      </c>
      <c r="G2414" t="s">
        <v>258</v>
      </c>
    </row>
    <row r="2415" spans="1:7">
      <c r="A2415" s="216">
        <v>45170</v>
      </c>
      <c r="B2415" t="s">
        <v>51</v>
      </c>
      <c r="C2415">
        <v>24</v>
      </c>
      <c r="D2415" t="s">
        <v>457</v>
      </c>
      <c r="E2415" s="217">
        <v>45170</v>
      </c>
      <c r="F2415">
        <v>0</v>
      </c>
      <c r="G2415" t="s">
        <v>259</v>
      </c>
    </row>
    <row r="2416" spans="1:7">
      <c r="A2416" s="216">
        <v>45170</v>
      </c>
      <c r="B2416" t="s">
        <v>51</v>
      </c>
      <c r="C2416">
        <v>24</v>
      </c>
      <c r="D2416" t="s">
        <v>457</v>
      </c>
      <c r="E2416" s="217">
        <v>45170</v>
      </c>
      <c r="F2416">
        <v>0</v>
      </c>
      <c r="G2416" t="s">
        <v>260</v>
      </c>
    </row>
    <row r="2417" spans="1:7">
      <c r="A2417" s="216">
        <v>45170</v>
      </c>
      <c r="B2417" t="s">
        <v>51</v>
      </c>
      <c r="C2417">
        <v>24</v>
      </c>
      <c r="D2417" t="s">
        <v>457</v>
      </c>
      <c r="E2417" s="217">
        <v>45170</v>
      </c>
      <c r="F2417">
        <v>0</v>
      </c>
      <c r="G2417" t="s">
        <v>261</v>
      </c>
    </row>
    <row r="2418" spans="1:7">
      <c r="A2418" s="216">
        <v>45170</v>
      </c>
      <c r="B2418" t="s">
        <v>51</v>
      </c>
      <c r="C2418">
        <v>24</v>
      </c>
      <c r="D2418" t="s">
        <v>457</v>
      </c>
      <c r="E2418" s="217">
        <v>45170</v>
      </c>
      <c r="F2418">
        <v>0</v>
      </c>
      <c r="G2418" t="s">
        <v>262</v>
      </c>
    </row>
    <row r="2419" spans="1:7">
      <c r="A2419" s="216">
        <v>45170</v>
      </c>
      <c r="B2419" t="s">
        <v>51</v>
      </c>
      <c r="C2419">
        <v>24</v>
      </c>
      <c r="D2419" t="s">
        <v>457</v>
      </c>
      <c r="E2419" s="217">
        <v>45170</v>
      </c>
      <c r="F2419">
        <v>0</v>
      </c>
      <c r="G2419" t="s">
        <v>434</v>
      </c>
    </row>
    <row r="2420" spans="1:7">
      <c r="A2420" s="216">
        <v>45170</v>
      </c>
      <c r="B2420" t="s">
        <v>51</v>
      </c>
      <c r="C2420">
        <v>25</v>
      </c>
      <c r="D2420" t="s">
        <v>452</v>
      </c>
      <c r="E2420" s="217">
        <v>45170</v>
      </c>
      <c r="F2420">
        <v>0</v>
      </c>
      <c r="G2420" t="s">
        <v>251</v>
      </c>
    </row>
    <row r="2421" spans="1:7">
      <c r="A2421" s="216">
        <v>45170</v>
      </c>
      <c r="B2421" t="s">
        <v>51</v>
      </c>
      <c r="C2421">
        <v>25</v>
      </c>
      <c r="D2421" t="s">
        <v>452</v>
      </c>
      <c r="E2421" s="217">
        <v>45170</v>
      </c>
      <c r="F2421">
        <v>0</v>
      </c>
      <c r="G2421" t="s">
        <v>252</v>
      </c>
    </row>
    <row r="2422" spans="1:7">
      <c r="A2422" s="216">
        <v>45170</v>
      </c>
      <c r="B2422" t="s">
        <v>51</v>
      </c>
      <c r="C2422">
        <v>25</v>
      </c>
      <c r="D2422" t="s">
        <v>452</v>
      </c>
      <c r="E2422" s="217">
        <v>45170</v>
      </c>
      <c r="F2422">
        <v>0</v>
      </c>
      <c r="G2422" t="s">
        <v>253</v>
      </c>
    </row>
    <row r="2423" spans="1:7">
      <c r="A2423" s="216">
        <v>45170</v>
      </c>
      <c r="B2423" t="s">
        <v>51</v>
      </c>
      <c r="C2423">
        <v>25</v>
      </c>
      <c r="D2423" t="s">
        <v>452</v>
      </c>
      <c r="E2423" s="217">
        <v>45170</v>
      </c>
      <c r="F2423">
        <v>0</v>
      </c>
      <c r="G2423" t="s">
        <v>254</v>
      </c>
    </row>
    <row r="2424" spans="1:7">
      <c r="A2424" s="216">
        <v>45170</v>
      </c>
      <c r="B2424" t="s">
        <v>51</v>
      </c>
      <c r="C2424">
        <v>25</v>
      </c>
      <c r="D2424" t="s">
        <v>452</v>
      </c>
      <c r="E2424" s="217">
        <v>45170</v>
      </c>
      <c r="F2424">
        <v>0</v>
      </c>
      <c r="G2424" t="s">
        <v>255</v>
      </c>
    </row>
    <row r="2425" spans="1:7">
      <c r="A2425" s="216">
        <v>45170</v>
      </c>
      <c r="B2425" t="s">
        <v>51</v>
      </c>
      <c r="C2425">
        <v>25</v>
      </c>
      <c r="D2425" t="s">
        <v>452</v>
      </c>
      <c r="E2425" s="217">
        <v>45170</v>
      </c>
      <c r="F2425">
        <v>0</v>
      </c>
      <c r="G2425" t="s">
        <v>256</v>
      </c>
    </row>
    <row r="2426" spans="1:7">
      <c r="A2426" s="216">
        <v>45170</v>
      </c>
      <c r="B2426" t="s">
        <v>51</v>
      </c>
      <c r="C2426">
        <v>25</v>
      </c>
      <c r="D2426" t="s">
        <v>452</v>
      </c>
      <c r="E2426" s="217">
        <v>45170</v>
      </c>
      <c r="F2426">
        <v>0</v>
      </c>
      <c r="G2426" t="s">
        <v>257</v>
      </c>
    </row>
    <row r="2427" spans="1:7">
      <c r="A2427" s="216">
        <v>45170</v>
      </c>
      <c r="B2427" t="s">
        <v>51</v>
      </c>
      <c r="C2427">
        <v>25</v>
      </c>
      <c r="D2427" t="s">
        <v>452</v>
      </c>
      <c r="E2427" s="217">
        <v>45170</v>
      </c>
      <c r="F2427">
        <v>0</v>
      </c>
      <c r="G2427" t="s">
        <v>258</v>
      </c>
    </row>
    <row r="2428" spans="1:7">
      <c r="A2428" s="216">
        <v>45170</v>
      </c>
      <c r="B2428" t="s">
        <v>51</v>
      </c>
      <c r="C2428">
        <v>25</v>
      </c>
      <c r="D2428" t="s">
        <v>452</v>
      </c>
      <c r="E2428" s="217">
        <v>45170</v>
      </c>
      <c r="F2428">
        <v>0</v>
      </c>
      <c r="G2428" t="s">
        <v>259</v>
      </c>
    </row>
    <row r="2429" spans="1:7">
      <c r="A2429" s="216">
        <v>45170</v>
      </c>
      <c r="B2429" t="s">
        <v>51</v>
      </c>
      <c r="C2429">
        <v>25</v>
      </c>
      <c r="D2429" t="s">
        <v>452</v>
      </c>
      <c r="E2429" s="217">
        <v>45170</v>
      </c>
      <c r="F2429">
        <v>0</v>
      </c>
      <c r="G2429" t="s">
        <v>260</v>
      </c>
    </row>
    <row r="2430" spans="1:7">
      <c r="A2430" s="216">
        <v>45170</v>
      </c>
      <c r="B2430" t="s">
        <v>51</v>
      </c>
      <c r="C2430">
        <v>25</v>
      </c>
      <c r="D2430" t="s">
        <v>452</v>
      </c>
      <c r="E2430" s="217">
        <v>45170</v>
      </c>
      <c r="F2430">
        <v>0</v>
      </c>
      <c r="G2430" t="s">
        <v>261</v>
      </c>
    </row>
    <row r="2431" spans="1:7">
      <c r="A2431" s="216">
        <v>45170</v>
      </c>
      <c r="B2431" t="s">
        <v>51</v>
      </c>
      <c r="C2431">
        <v>25</v>
      </c>
      <c r="D2431" t="s">
        <v>452</v>
      </c>
      <c r="E2431" s="217">
        <v>45170</v>
      </c>
      <c r="F2431">
        <v>0</v>
      </c>
      <c r="G2431" t="s">
        <v>262</v>
      </c>
    </row>
    <row r="2432" spans="1:7">
      <c r="A2432" s="216">
        <v>45170</v>
      </c>
      <c r="B2432" t="s">
        <v>51</v>
      </c>
      <c r="C2432">
        <v>25</v>
      </c>
      <c r="D2432" t="s">
        <v>452</v>
      </c>
      <c r="E2432" s="217">
        <v>45170</v>
      </c>
      <c r="F2432">
        <v>0</v>
      </c>
      <c r="G2432" t="s">
        <v>434</v>
      </c>
    </row>
    <row r="2433" spans="1:7">
      <c r="A2433" s="216">
        <v>45170</v>
      </c>
      <c r="B2433" t="s">
        <v>51</v>
      </c>
      <c r="C2433">
        <v>26</v>
      </c>
      <c r="D2433" t="s">
        <v>438</v>
      </c>
      <c r="E2433" s="217">
        <v>45170</v>
      </c>
      <c r="F2433">
        <v>23341</v>
      </c>
      <c r="G2433" t="s">
        <v>251</v>
      </c>
    </row>
    <row r="2434" spans="1:7">
      <c r="A2434" s="216">
        <v>45170</v>
      </c>
      <c r="B2434" t="s">
        <v>51</v>
      </c>
      <c r="C2434">
        <v>26</v>
      </c>
      <c r="D2434" t="s">
        <v>438</v>
      </c>
      <c r="E2434" s="217">
        <v>45170</v>
      </c>
      <c r="F2434">
        <v>23596</v>
      </c>
      <c r="G2434" t="s">
        <v>252</v>
      </c>
    </row>
    <row r="2435" spans="1:7">
      <c r="A2435" s="216">
        <v>45170</v>
      </c>
      <c r="B2435" t="s">
        <v>51</v>
      </c>
      <c r="C2435">
        <v>26</v>
      </c>
      <c r="D2435" t="s">
        <v>438</v>
      </c>
      <c r="E2435" s="217">
        <v>45170</v>
      </c>
      <c r="F2435">
        <v>24381</v>
      </c>
      <c r="G2435" t="s">
        <v>253</v>
      </c>
    </row>
    <row r="2436" spans="1:7">
      <c r="A2436" s="216">
        <v>45170</v>
      </c>
      <c r="B2436" t="s">
        <v>51</v>
      </c>
      <c r="C2436">
        <v>26</v>
      </c>
      <c r="D2436" t="s">
        <v>438</v>
      </c>
      <c r="E2436" s="217">
        <v>45170</v>
      </c>
      <c r="F2436">
        <v>19920</v>
      </c>
      <c r="G2436" t="s">
        <v>254</v>
      </c>
    </row>
    <row r="2437" spans="1:7">
      <c r="A2437" s="216">
        <v>45170</v>
      </c>
      <c r="B2437" t="s">
        <v>51</v>
      </c>
      <c r="C2437">
        <v>26</v>
      </c>
      <c r="D2437" t="s">
        <v>438</v>
      </c>
      <c r="E2437" s="217">
        <v>45170</v>
      </c>
      <c r="F2437">
        <v>27972</v>
      </c>
      <c r="G2437" t="s">
        <v>255</v>
      </c>
    </row>
    <row r="2438" spans="1:7">
      <c r="A2438" s="216">
        <v>45170</v>
      </c>
      <c r="B2438" t="s">
        <v>51</v>
      </c>
      <c r="C2438">
        <v>26</v>
      </c>
      <c r="D2438" t="s">
        <v>438</v>
      </c>
      <c r="E2438" s="217">
        <v>45170</v>
      </c>
      <c r="F2438">
        <v>25387</v>
      </c>
      <c r="G2438" t="s">
        <v>256</v>
      </c>
    </row>
    <row r="2439" spans="1:7">
      <c r="A2439" s="216">
        <v>45170</v>
      </c>
      <c r="B2439" t="s">
        <v>51</v>
      </c>
      <c r="C2439">
        <v>26</v>
      </c>
      <c r="D2439" t="s">
        <v>438</v>
      </c>
      <c r="E2439" s="217">
        <v>45170</v>
      </c>
      <c r="F2439">
        <v>28033</v>
      </c>
      <c r="G2439" t="s">
        <v>257</v>
      </c>
    </row>
    <row r="2440" spans="1:7">
      <c r="A2440" s="216">
        <v>45170</v>
      </c>
      <c r="B2440" t="s">
        <v>51</v>
      </c>
      <c r="C2440">
        <v>26</v>
      </c>
      <c r="D2440" t="s">
        <v>438</v>
      </c>
      <c r="E2440" s="217">
        <v>45170</v>
      </c>
      <c r="F2440">
        <v>28563</v>
      </c>
      <c r="G2440" t="s">
        <v>258</v>
      </c>
    </row>
    <row r="2441" spans="1:7">
      <c r="A2441" s="216">
        <v>45170</v>
      </c>
      <c r="B2441" t="s">
        <v>51</v>
      </c>
      <c r="C2441">
        <v>26</v>
      </c>
      <c r="D2441" t="s">
        <v>438</v>
      </c>
      <c r="E2441" s="217">
        <v>45170</v>
      </c>
      <c r="F2441">
        <v>31969</v>
      </c>
      <c r="G2441" t="s">
        <v>259</v>
      </c>
    </row>
    <row r="2442" spans="1:7">
      <c r="A2442" s="216">
        <v>45170</v>
      </c>
      <c r="B2442" t="s">
        <v>51</v>
      </c>
      <c r="C2442">
        <v>26</v>
      </c>
      <c r="D2442" t="s">
        <v>438</v>
      </c>
      <c r="E2442" s="217">
        <v>45170</v>
      </c>
      <c r="F2442">
        <v>27866</v>
      </c>
      <c r="G2442" t="s">
        <v>260</v>
      </c>
    </row>
    <row r="2443" spans="1:7">
      <c r="A2443" s="216">
        <v>45170</v>
      </c>
      <c r="B2443" t="s">
        <v>51</v>
      </c>
      <c r="C2443">
        <v>26</v>
      </c>
      <c r="D2443" t="s">
        <v>438</v>
      </c>
      <c r="E2443" s="217">
        <v>45170</v>
      </c>
      <c r="F2443">
        <v>30141</v>
      </c>
      <c r="G2443" t="s">
        <v>261</v>
      </c>
    </row>
    <row r="2444" spans="1:7">
      <c r="A2444" s="216">
        <v>45170</v>
      </c>
      <c r="B2444" t="s">
        <v>51</v>
      </c>
      <c r="C2444">
        <v>26</v>
      </c>
      <c r="D2444" t="s">
        <v>438</v>
      </c>
      <c r="E2444" s="217">
        <v>45170</v>
      </c>
      <c r="F2444">
        <v>29311</v>
      </c>
      <c r="G2444" t="s">
        <v>262</v>
      </c>
    </row>
    <row r="2445" spans="1:7">
      <c r="A2445" s="216">
        <v>45170</v>
      </c>
      <c r="B2445" t="s">
        <v>51</v>
      </c>
      <c r="C2445">
        <v>26</v>
      </c>
      <c r="D2445" t="s">
        <v>438</v>
      </c>
      <c r="E2445" s="217">
        <v>45170</v>
      </c>
      <c r="F2445">
        <v>320480</v>
      </c>
      <c r="G2445" t="s">
        <v>434</v>
      </c>
    </row>
    <row r="2446" spans="1:7">
      <c r="A2446" s="216">
        <v>45170</v>
      </c>
      <c r="B2446" t="s">
        <v>51</v>
      </c>
      <c r="C2446">
        <v>27</v>
      </c>
      <c r="D2446" t="s">
        <v>446</v>
      </c>
      <c r="E2446" s="217">
        <v>45170</v>
      </c>
      <c r="F2446">
        <v>2</v>
      </c>
      <c r="G2446" t="s">
        <v>251</v>
      </c>
    </row>
    <row r="2447" spans="1:7">
      <c r="A2447" s="216">
        <v>45170</v>
      </c>
      <c r="B2447" t="s">
        <v>51</v>
      </c>
      <c r="C2447">
        <v>27</v>
      </c>
      <c r="D2447" t="s">
        <v>446</v>
      </c>
      <c r="E2447" s="217">
        <v>45170</v>
      </c>
      <c r="F2447">
        <v>31</v>
      </c>
      <c r="G2447" t="s">
        <v>252</v>
      </c>
    </row>
    <row r="2448" spans="1:7">
      <c r="A2448" s="216">
        <v>45170</v>
      </c>
      <c r="B2448" t="s">
        <v>51</v>
      </c>
      <c r="C2448">
        <v>27</v>
      </c>
      <c r="D2448" t="s">
        <v>446</v>
      </c>
      <c r="E2448" s="217">
        <v>45170</v>
      </c>
      <c r="F2448">
        <v>103</v>
      </c>
      <c r="G2448" t="s">
        <v>253</v>
      </c>
    </row>
    <row r="2449" spans="1:7">
      <c r="A2449" s="216">
        <v>45170</v>
      </c>
      <c r="B2449" t="s">
        <v>51</v>
      </c>
      <c r="C2449">
        <v>27</v>
      </c>
      <c r="D2449" t="s">
        <v>446</v>
      </c>
      <c r="E2449" s="217">
        <v>45170</v>
      </c>
      <c r="F2449">
        <v>31</v>
      </c>
      <c r="G2449" t="s">
        <v>254</v>
      </c>
    </row>
    <row r="2450" spans="1:7">
      <c r="A2450" s="216">
        <v>45170</v>
      </c>
      <c r="B2450" t="s">
        <v>51</v>
      </c>
      <c r="C2450">
        <v>27</v>
      </c>
      <c r="D2450" t="s">
        <v>446</v>
      </c>
      <c r="E2450" s="217">
        <v>45170</v>
      </c>
      <c r="F2450">
        <v>111</v>
      </c>
      <c r="G2450" t="s">
        <v>255</v>
      </c>
    </row>
    <row r="2451" spans="1:7">
      <c r="A2451" s="216">
        <v>45170</v>
      </c>
      <c r="B2451" t="s">
        <v>51</v>
      </c>
      <c r="C2451">
        <v>27</v>
      </c>
      <c r="D2451" t="s">
        <v>446</v>
      </c>
      <c r="E2451" s="217">
        <v>45170</v>
      </c>
      <c r="F2451">
        <v>136</v>
      </c>
      <c r="G2451" t="s">
        <v>256</v>
      </c>
    </row>
    <row r="2452" spans="1:7">
      <c r="A2452" s="216">
        <v>45170</v>
      </c>
      <c r="B2452" t="s">
        <v>51</v>
      </c>
      <c r="C2452">
        <v>27</v>
      </c>
      <c r="D2452" t="s">
        <v>446</v>
      </c>
      <c r="E2452" s="217">
        <v>45170</v>
      </c>
      <c r="F2452">
        <v>-59</v>
      </c>
      <c r="G2452" t="s">
        <v>257</v>
      </c>
    </row>
    <row r="2453" spans="1:7">
      <c r="A2453" s="216">
        <v>45170</v>
      </c>
      <c r="B2453" t="s">
        <v>51</v>
      </c>
      <c r="C2453">
        <v>27</v>
      </c>
      <c r="D2453" t="s">
        <v>446</v>
      </c>
      <c r="E2453" s="217">
        <v>45170</v>
      </c>
      <c r="F2453">
        <v>-89</v>
      </c>
      <c r="G2453" t="s">
        <v>258</v>
      </c>
    </row>
    <row r="2454" spans="1:7">
      <c r="A2454" s="216">
        <v>45170</v>
      </c>
      <c r="B2454" t="s">
        <v>51</v>
      </c>
      <c r="C2454">
        <v>27</v>
      </c>
      <c r="D2454" t="s">
        <v>446</v>
      </c>
      <c r="E2454" s="217">
        <v>45170</v>
      </c>
      <c r="F2454">
        <v>-95</v>
      </c>
      <c r="G2454" t="s">
        <v>259</v>
      </c>
    </row>
    <row r="2455" spans="1:7">
      <c r="A2455" s="216">
        <v>45170</v>
      </c>
      <c r="B2455" t="s">
        <v>51</v>
      </c>
      <c r="C2455">
        <v>27</v>
      </c>
      <c r="D2455" t="s">
        <v>446</v>
      </c>
      <c r="E2455" s="217">
        <v>45170</v>
      </c>
      <c r="F2455">
        <v>-92</v>
      </c>
      <c r="G2455" t="s">
        <v>260</v>
      </c>
    </row>
    <row r="2456" spans="1:7">
      <c r="A2456" s="216">
        <v>45170</v>
      </c>
      <c r="B2456" t="s">
        <v>51</v>
      </c>
      <c r="C2456">
        <v>27</v>
      </c>
      <c r="D2456" t="s">
        <v>446</v>
      </c>
      <c r="E2456" s="217">
        <v>45170</v>
      </c>
      <c r="F2456">
        <v>-67</v>
      </c>
      <c r="G2456" t="s">
        <v>261</v>
      </c>
    </row>
    <row r="2457" spans="1:7">
      <c r="A2457" s="216">
        <v>45170</v>
      </c>
      <c r="B2457" t="s">
        <v>51</v>
      </c>
      <c r="C2457">
        <v>27</v>
      </c>
      <c r="D2457" t="s">
        <v>446</v>
      </c>
      <c r="E2457" s="217">
        <v>45170</v>
      </c>
      <c r="F2457">
        <v>-12</v>
      </c>
      <c r="G2457" t="s">
        <v>262</v>
      </c>
    </row>
    <row r="2458" spans="1:7">
      <c r="A2458" s="216">
        <v>45170</v>
      </c>
      <c r="B2458" t="s">
        <v>51</v>
      </c>
      <c r="C2458">
        <v>27</v>
      </c>
      <c r="D2458" t="s">
        <v>446</v>
      </c>
      <c r="E2458" s="217">
        <v>45170</v>
      </c>
      <c r="F2458">
        <v>0</v>
      </c>
      <c r="G2458" t="s">
        <v>434</v>
      </c>
    </row>
    <row r="2459" spans="1:7">
      <c r="A2459" s="216">
        <v>45170</v>
      </c>
      <c r="B2459" t="s">
        <v>53</v>
      </c>
      <c r="C2459">
        <v>1</v>
      </c>
      <c r="D2459" t="s">
        <v>453</v>
      </c>
      <c r="E2459" s="217">
        <v>45170</v>
      </c>
      <c r="F2459">
        <v>0</v>
      </c>
      <c r="G2459" t="s">
        <v>251</v>
      </c>
    </row>
    <row r="2460" spans="1:7">
      <c r="A2460" s="216">
        <v>45170</v>
      </c>
      <c r="B2460" t="s">
        <v>53</v>
      </c>
      <c r="C2460">
        <v>1</v>
      </c>
      <c r="D2460" t="s">
        <v>453</v>
      </c>
      <c r="E2460" s="217">
        <v>45170</v>
      </c>
      <c r="F2460">
        <v>0</v>
      </c>
      <c r="G2460" t="s">
        <v>252</v>
      </c>
    </row>
    <row r="2461" spans="1:7">
      <c r="A2461" s="216">
        <v>45170</v>
      </c>
      <c r="B2461" t="s">
        <v>53</v>
      </c>
      <c r="C2461">
        <v>1</v>
      </c>
      <c r="D2461" t="s">
        <v>453</v>
      </c>
      <c r="E2461" s="217">
        <v>45170</v>
      </c>
      <c r="F2461">
        <v>0</v>
      </c>
      <c r="G2461" t="s">
        <v>253</v>
      </c>
    </row>
    <row r="2462" spans="1:7">
      <c r="A2462" s="216">
        <v>45170</v>
      </c>
      <c r="B2462" t="s">
        <v>53</v>
      </c>
      <c r="C2462">
        <v>1</v>
      </c>
      <c r="D2462" t="s">
        <v>453</v>
      </c>
      <c r="E2462" s="217">
        <v>45170</v>
      </c>
      <c r="F2462">
        <v>0</v>
      </c>
      <c r="G2462" t="s">
        <v>254</v>
      </c>
    </row>
    <row r="2463" spans="1:7">
      <c r="A2463" s="216">
        <v>45170</v>
      </c>
      <c r="B2463" t="s">
        <v>53</v>
      </c>
      <c r="C2463">
        <v>1</v>
      </c>
      <c r="D2463" t="s">
        <v>453</v>
      </c>
      <c r="E2463" s="217">
        <v>45170</v>
      </c>
      <c r="F2463">
        <v>0</v>
      </c>
      <c r="G2463" t="s">
        <v>255</v>
      </c>
    </row>
    <row r="2464" spans="1:7">
      <c r="A2464" s="216">
        <v>45170</v>
      </c>
      <c r="B2464" t="s">
        <v>53</v>
      </c>
      <c r="C2464">
        <v>1</v>
      </c>
      <c r="D2464" t="s">
        <v>453</v>
      </c>
      <c r="E2464" s="217">
        <v>45170</v>
      </c>
      <c r="F2464">
        <v>0</v>
      </c>
      <c r="G2464" t="s">
        <v>256</v>
      </c>
    </row>
    <row r="2465" spans="1:7">
      <c r="A2465" s="216">
        <v>45170</v>
      </c>
      <c r="B2465" t="s">
        <v>53</v>
      </c>
      <c r="C2465">
        <v>1</v>
      </c>
      <c r="D2465" t="s">
        <v>453</v>
      </c>
      <c r="E2465" s="217">
        <v>45170</v>
      </c>
      <c r="F2465">
        <v>0</v>
      </c>
      <c r="G2465" t="s">
        <v>257</v>
      </c>
    </row>
    <row r="2466" spans="1:7">
      <c r="A2466" s="216">
        <v>45170</v>
      </c>
      <c r="B2466" t="s">
        <v>53</v>
      </c>
      <c r="C2466">
        <v>1</v>
      </c>
      <c r="D2466" t="s">
        <v>453</v>
      </c>
      <c r="E2466" s="217">
        <v>45170</v>
      </c>
      <c r="F2466">
        <v>0</v>
      </c>
      <c r="G2466" t="s">
        <v>258</v>
      </c>
    </row>
    <row r="2467" spans="1:7">
      <c r="A2467" s="216">
        <v>45170</v>
      </c>
      <c r="B2467" t="s">
        <v>53</v>
      </c>
      <c r="C2467">
        <v>1</v>
      </c>
      <c r="D2467" t="s">
        <v>453</v>
      </c>
      <c r="E2467" s="217">
        <v>45170</v>
      </c>
      <c r="F2467">
        <v>0</v>
      </c>
      <c r="G2467" t="s">
        <v>259</v>
      </c>
    </row>
    <row r="2468" spans="1:7">
      <c r="A2468" s="216">
        <v>45170</v>
      </c>
      <c r="B2468" t="s">
        <v>53</v>
      </c>
      <c r="C2468">
        <v>1</v>
      </c>
      <c r="D2468" t="s">
        <v>453</v>
      </c>
      <c r="E2468" s="217">
        <v>45170</v>
      </c>
      <c r="F2468">
        <v>0</v>
      </c>
      <c r="G2468" t="s">
        <v>260</v>
      </c>
    </row>
    <row r="2469" spans="1:7">
      <c r="A2469" s="216">
        <v>45170</v>
      </c>
      <c r="B2469" t="s">
        <v>53</v>
      </c>
      <c r="C2469">
        <v>1</v>
      </c>
      <c r="D2469" t="s">
        <v>453</v>
      </c>
      <c r="E2469" s="217">
        <v>45170</v>
      </c>
      <c r="F2469">
        <v>0</v>
      </c>
      <c r="G2469" t="s">
        <v>261</v>
      </c>
    </row>
    <row r="2470" spans="1:7">
      <c r="A2470" s="216">
        <v>45170</v>
      </c>
      <c r="B2470" t="s">
        <v>53</v>
      </c>
      <c r="C2470">
        <v>1</v>
      </c>
      <c r="D2470" t="s">
        <v>453</v>
      </c>
      <c r="E2470" s="217">
        <v>45170</v>
      </c>
      <c r="F2470">
        <v>0</v>
      </c>
      <c r="G2470" t="s">
        <v>262</v>
      </c>
    </row>
    <row r="2471" spans="1:7">
      <c r="A2471" s="216">
        <v>45170</v>
      </c>
      <c r="B2471" t="s">
        <v>53</v>
      </c>
      <c r="C2471">
        <v>1</v>
      </c>
      <c r="D2471" t="s">
        <v>453</v>
      </c>
      <c r="E2471" s="217">
        <v>45170</v>
      </c>
      <c r="F2471">
        <v>0</v>
      </c>
      <c r="G2471" t="s">
        <v>434</v>
      </c>
    </row>
    <row r="2472" spans="1:7">
      <c r="A2472" s="216">
        <v>45170</v>
      </c>
      <c r="B2472" t="s">
        <v>53</v>
      </c>
      <c r="C2472">
        <v>2</v>
      </c>
      <c r="D2472" t="s">
        <v>436</v>
      </c>
      <c r="E2472" s="217">
        <v>45170</v>
      </c>
      <c r="F2472">
        <v>0</v>
      </c>
      <c r="G2472" t="s">
        <v>251</v>
      </c>
    </row>
    <row r="2473" spans="1:7">
      <c r="A2473" s="216">
        <v>45170</v>
      </c>
      <c r="B2473" t="s">
        <v>53</v>
      </c>
      <c r="C2473">
        <v>2</v>
      </c>
      <c r="D2473" t="s">
        <v>436</v>
      </c>
      <c r="E2473" s="217">
        <v>45170</v>
      </c>
      <c r="F2473">
        <v>0</v>
      </c>
      <c r="G2473" t="s">
        <v>252</v>
      </c>
    </row>
    <row r="2474" spans="1:7">
      <c r="A2474" s="216">
        <v>45170</v>
      </c>
      <c r="B2474" t="s">
        <v>53</v>
      </c>
      <c r="C2474">
        <v>2</v>
      </c>
      <c r="D2474" t="s">
        <v>436</v>
      </c>
      <c r="E2474" s="217">
        <v>45170</v>
      </c>
      <c r="F2474">
        <v>0</v>
      </c>
      <c r="G2474" t="s">
        <v>253</v>
      </c>
    </row>
    <row r="2475" spans="1:7">
      <c r="A2475" s="216">
        <v>45170</v>
      </c>
      <c r="B2475" t="s">
        <v>53</v>
      </c>
      <c r="C2475">
        <v>2</v>
      </c>
      <c r="D2475" t="s">
        <v>436</v>
      </c>
      <c r="E2475" s="217">
        <v>45170</v>
      </c>
      <c r="F2475">
        <v>0</v>
      </c>
      <c r="G2475" t="s">
        <v>254</v>
      </c>
    </row>
    <row r="2476" spans="1:7">
      <c r="A2476" s="216">
        <v>45170</v>
      </c>
      <c r="B2476" t="s">
        <v>53</v>
      </c>
      <c r="C2476">
        <v>2</v>
      </c>
      <c r="D2476" t="s">
        <v>436</v>
      </c>
      <c r="E2476" s="217">
        <v>45170</v>
      </c>
      <c r="F2476">
        <v>0</v>
      </c>
      <c r="G2476" t="s">
        <v>255</v>
      </c>
    </row>
    <row r="2477" spans="1:7">
      <c r="A2477" s="216">
        <v>45170</v>
      </c>
      <c r="B2477" t="s">
        <v>53</v>
      </c>
      <c r="C2477">
        <v>2</v>
      </c>
      <c r="D2477" t="s">
        <v>436</v>
      </c>
      <c r="E2477" s="217">
        <v>45170</v>
      </c>
      <c r="F2477">
        <v>0</v>
      </c>
      <c r="G2477" t="s">
        <v>256</v>
      </c>
    </row>
    <row r="2478" spans="1:7">
      <c r="A2478" s="216">
        <v>45170</v>
      </c>
      <c r="B2478" t="s">
        <v>53</v>
      </c>
      <c r="C2478">
        <v>2</v>
      </c>
      <c r="D2478" t="s">
        <v>436</v>
      </c>
      <c r="E2478" s="217">
        <v>45170</v>
      </c>
      <c r="F2478">
        <v>0</v>
      </c>
      <c r="G2478" t="s">
        <v>257</v>
      </c>
    </row>
    <row r="2479" spans="1:7">
      <c r="A2479" s="216">
        <v>45170</v>
      </c>
      <c r="B2479" t="s">
        <v>53</v>
      </c>
      <c r="C2479">
        <v>2</v>
      </c>
      <c r="D2479" t="s">
        <v>436</v>
      </c>
      <c r="E2479" s="217">
        <v>45170</v>
      </c>
      <c r="F2479">
        <v>0</v>
      </c>
      <c r="G2479" t="s">
        <v>258</v>
      </c>
    </row>
    <row r="2480" spans="1:7">
      <c r="A2480" s="216">
        <v>45170</v>
      </c>
      <c r="B2480" t="s">
        <v>53</v>
      </c>
      <c r="C2480">
        <v>2</v>
      </c>
      <c r="D2480" t="s">
        <v>436</v>
      </c>
      <c r="E2480" s="217">
        <v>45170</v>
      </c>
      <c r="F2480">
        <v>0</v>
      </c>
      <c r="G2480" t="s">
        <v>259</v>
      </c>
    </row>
    <row r="2481" spans="1:7">
      <c r="A2481" s="216">
        <v>45170</v>
      </c>
      <c r="B2481" t="s">
        <v>53</v>
      </c>
      <c r="C2481">
        <v>2</v>
      </c>
      <c r="D2481" t="s">
        <v>436</v>
      </c>
      <c r="E2481" s="217">
        <v>45170</v>
      </c>
      <c r="F2481">
        <v>0</v>
      </c>
      <c r="G2481" t="s">
        <v>260</v>
      </c>
    </row>
    <row r="2482" spans="1:7">
      <c r="A2482" s="216">
        <v>45170</v>
      </c>
      <c r="B2482" t="s">
        <v>53</v>
      </c>
      <c r="C2482">
        <v>2</v>
      </c>
      <c r="D2482" t="s">
        <v>436</v>
      </c>
      <c r="E2482" s="217">
        <v>45170</v>
      </c>
      <c r="F2482">
        <v>0</v>
      </c>
      <c r="G2482" t="s">
        <v>261</v>
      </c>
    </row>
    <row r="2483" spans="1:7">
      <c r="A2483" s="216">
        <v>45170</v>
      </c>
      <c r="B2483" t="s">
        <v>53</v>
      </c>
      <c r="C2483">
        <v>2</v>
      </c>
      <c r="D2483" t="s">
        <v>436</v>
      </c>
      <c r="E2483" s="217">
        <v>45170</v>
      </c>
      <c r="F2483">
        <v>0</v>
      </c>
      <c r="G2483" t="s">
        <v>262</v>
      </c>
    </row>
    <row r="2484" spans="1:7">
      <c r="A2484" s="216">
        <v>45170</v>
      </c>
      <c r="B2484" t="s">
        <v>53</v>
      </c>
      <c r="C2484">
        <v>2</v>
      </c>
      <c r="D2484" t="s">
        <v>436</v>
      </c>
      <c r="E2484" s="217">
        <v>45170</v>
      </c>
      <c r="F2484">
        <v>0</v>
      </c>
      <c r="G2484" t="s">
        <v>434</v>
      </c>
    </row>
    <row r="2485" spans="1:7">
      <c r="A2485" s="216">
        <v>45170</v>
      </c>
      <c r="B2485" t="s">
        <v>53</v>
      </c>
      <c r="C2485">
        <v>3</v>
      </c>
      <c r="D2485" t="s">
        <v>459</v>
      </c>
      <c r="E2485" s="217">
        <v>45170</v>
      </c>
      <c r="F2485">
        <v>27825</v>
      </c>
      <c r="G2485" t="s">
        <v>251</v>
      </c>
    </row>
    <row r="2486" spans="1:7">
      <c r="A2486" s="216">
        <v>45170</v>
      </c>
      <c r="B2486" t="s">
        <v>53</v>
      </c>
      <c r="C2486">
        <v>3</v>
      </c>
      <c r="D2486" t="s">
        <v>459</v>
      </c>
      <c r="E2486" s="217">
        <v>45170</v>
      </c>
      <c r="F2486">
        <v>27334</v>
      </c>
      <c r="G2486" t="s">
        <v>252</v>
      </c>
    </row>
    <row r="2487" spans="1:7">
      <c r="A2487" s="216">
        <v>45170</v>
      </c>
      <c r="B2487" t="s">
        <v>53</v>
      </c>
      <c r="C2487">
        <v>3</v>
      </c>
      <c r="D2487" t="s">
        <v>459</v>
      </c>
      <c r="E2487" s="217">
        <v>45170</v>
      </c>
      <c r="F2487">
        <v>28886</v>
      </c>
      <c r="G2487" t="s">
        <v>253</v>
      </c>
    </row>
    <row r="2488" spans="1:7">
      <c r="A2488" s="216">
        <v>45170</v>
      </c>
      <c r="B2488" t="s">
        <v>53</v>
      </c>
      <c r="C2488">
        <v>3</v>
      </c>
      <c r="D2488" t="s">
        <v>459</v>
      </c>
      <c r="E2488" s="217">
        <v>45170</v>
      </c>
      <c r="F2488">
        <v>27108</v>
      </c>
      <c r="G2488" t="s">
        <v>254</v>
      </c>
    </row>
    <row r="2489" spans="1:7">
      <c r="A2489" s="216">
        <v>45170</v>
      </c>
      <c r="B2489" t="s">
        <v>53</v>
      </c>
      <c r="C2489">
        <v>3</v>
      </c>
      <c r="D2489" t="s">
        <v>459</v>
      </c>
      <c r="E2489" s="217">
        <v>45170</v>
      </c>
      <c r="F2489">
        <v>29889</v>
      </c>
      <c r="G2489" t="s">
        <v>255</v>
      </c>
    </row>
    <row r="2490" spans="1:7">
      <c r="A2490" s="216">
        <v>45170</v>
      </c>
      <c r="B2490" t="s">
        <v>53</v>
      </c>
      <c r="C2490">
        <v>3</v>
      </c>
      <c r="D2490" t="s">
        <v>459</v>
      </c>
      <c r="E2490" s="217">
        <v>45170</v>
      </c>
      <c r="F2490">
        <v>29879</v>
      </c>
      <c r="G2490" t="s">
        <v>256</v>
      </c>
    </row>
    <row r="2491" spans="1:7">
      <c r="A2491" s="216">
        <v>45170</v>
      </c>
      <c r="B2491" t="s">
        <v>53</v>
      </c>
      <c r="C2491">
        <v>3</v>
      </c>
      <c r="D2491" t="s">
        <v>459</v>
      </c>
      <c r="E2491" s="217">
        <v>45170</v>
      </c>
      <c r="F2491">
        <v>36900</v>
      </c>
      <c r="G2491" t="s">
        <v>257</v>
      </c>
    </row>
    <row r="2492" spans="1:7">
      <c r="A2492" s="216">
        <v>45170</v>
      </c>
      <c r="B2492" t="s">
        <v>53</v>
      </c>
      <c r="C2492">
        <v>3</v>
      </c>
      <c r="D2492" t="s">
        <v>459</v>
      </c>
      <c r="E2492" s="217">
        <v>45170</v>
      </c>
      <c r="F2492">
        <v>30166</v>
      </c>
      <c r="G2492" t="s">
        <v>258</v>
      </c>
    </row>
    <row r="2493" spans="1:7">
      <c r="A2493" s="216">
        <v>45170</v>
      </c>
      <c r="B2493" t="s">
        <v>53</v>
      </c>
      <c r="C2493">
        <v>3</v>
      </c>
      <c r="D2493" t="s">
        <v>459</v>
      </c>
      <c r="E2493" s="217">
        <v>45170</v>
      </c>
      <c r="F2493">
        <v>30110</v>
      </c>
      <c r="G2493" t="s">
        <v>259</v>
      </c>
    </row>
    <row r="2494" spans="1:7">
      <c r="A2494" s="216">
        <v>45170</v>
      </c>
      <c r="B2494" t="s">
        <v>53</v>
      </c>
      <c r="C2494">
        <v>3</v>
      </c>
      <c r="D2494" t="s">
        <v>459</v>
      </c>
      <c r="E2494" s="217">
        <v>45170</v>
      </c>
      <c r="F2494">
        <v>30161</v>
      </c>
      <c r="G2494" t="s">
        <v>260</v>
      </c>
    </row>
    <row r="2495" spans="1:7">
      <c r="A2495" s="216">
        <v>45170</v>
      </c>
      <c r="B2495" t="s">
        <v>53</v>
      </c>
      <c r="C2495">
        <v>3</v>
      </c>
      <c r="D2495" t="s">
        <v>459</v>
      </c>
      <c r="E2495" s="217">
        <v>45170</v>
      </c>
      <c r="F2495">
        <v>30162</v>
      </c>
      <c r="G2495" t="s">
        <v>261</v>
      </c>
    </row>
    <row r="2496" spans="1:7">
      <c r="A2496" s="216">
        <v>45170</v>
      </c>
      <c r="B2496" t="s">
        <v>53</v>
      </c>
      <c r="C2496">
        <v>3</v>
      </c>
      <c r="D2496" t="s">
        <v>459</v>
      </c>
      <c r="E2496" s="217">
        <v>45170</v>
      </c>
      <c r="F2496">
        <v>31638</v>
      </c>
      <c r="G2496" t="s">
        <v>262</v>
      </c>
    </row>
    <row r="2497" spans="1:7">
      <c r="A2497" s="216">
        <v>45170</v>
      </c>
      <c r="B2497" t="s">
        <v>53</v>
      </c>
      <c r="C2497">
        <v>3</v>
      </c>
      <c r="D2497" t="s">
        <v>459</v>
      </c>
      <c r="E2497" s="217">
        <v>45170</v>
      </c>
      <c r="F2497">
        <v>360058</v>
      </c>
      <c r="G2497" t="s">
        <v>434</v>
      </c>
    </row>
    <row r="2498" spans="1:7">
      <c r="A2498" s="216">
        <v>45170</v>
      </c>
      <c r="B2498" t="s">
        <v>53</v>
      </c>
      <c r="C2498">
        <v>4</v>
      </c>
      <c r="D2498" t="s">
        <v>460</v>
      </c>
      <c r="E2498" s="217">
        <v>45170</v>
      </c>
      <c r="F2498">
        <v>0</v>
      </c>
      <c r="G2498" t="s">
        <v>251</v>
      </c>
    </row>
    <row r="2499" spans="1:7">
      <c r="A2499" s="216">
        <v>45170</v>
      </c>
      <c r="B2499" t="s">
        <v>53</v>
      </c>
      <c r="C2499">
        <v>4</v>
      </c>
      <c r="D2499" t="s">
        <v>460</v>
      </c>
      <c r="E2499" s="217">
        <v>45170</v>
      </c>
      <c r="F2499">
        <v>0</v>
      </c>
      <c r="G2499" t="s">
        <v>252</v>
      </c>
    </row>
    <row r="2500" spans="1:7">
      <c r="A2500" s="216">
        <v>45170</v>
      </c>
      <c r="B2500" t="s">
        <v>53</v>
      </c>
      <c r="C2500">
        <v>4</v>
      </c>
      <c r="D2500" t="s">
        <v>460</v>
      </c>
      <c r="E2500" s="217">
        <v>45170</v>
      </c>
      <c r="F2500">
        <v>0</v>
      </c>
      <c r="G2500" t="s">
        <v>253</v>
      </c>
    </row>
    <row r="2501" spans="1:7">
      <c r="A2501" s="216">
        <v>45170</v>
      </c>
      <c r="B2501" t="s">
        <v>53</v>
      </c>
      <c r="C2501">
        <v>4</v>
      </c>
      <c r="D2501" t="s">
        <v>460</v>
      </c>
      <c r="E2501" s="217">
        <v>45170</v>
      </c>
      <c r="F2501">
        <v>0</v>
      </c>
      <c r="G2501" t="s">
        <v>254</v>
      </c>
    </row>
    <row r="2502" spans="1:7">
      <c r="A2502" s="216">
        <v>45170</v>
      </c>
      <c r="B2502" t="s">
        <v>53</v>
      </c>
      <c r="C2502">
        <v>4</v>
      </c>
      <c r="D2502" t="s">
        <v>460</v>
      </c>
      <c r="E2502" s="217">
        <v>45170</v>
      </c>
      <c r="F2502">
        <v>0</v>
      </c>
      <c r="G2502" t="s">
        <v>255</v>
      </c>
    </row>
    <row r="2503" spans="1:7">
      <c r="A2503" s="216">
        <v>45170</v>
      </c>
      <c r="B2503" t="s">
        <v>53</v>
      </c>
      <c r="C2503">
        <v>4</v>
      </c>
      <c r="D2503" t="s">
        <v>460</v>
      </c>
      <c r="E2503" s="217">
        <v>45170</v>
      </c>
      <c r="F2503">
        <v>0</v>
      </c>
      <c r="G2503" t="s">
        <v>256</v>
      </c>
    </row>
    <row r="2504" spans="1:7">
      <c r="A2504" s="216">
        <v>45170</v>
      </c>
      <c r="B2504" t="s">
        <v>53</v>
      </c>
      <c r="C2504">
        <v>4</v>
      </c>
      <c r="D2504" t="s">
        <v>460</v>
      </c>
      <c r="E2504" s="217">
        <v>45170</v>
      </c>
      <c r="F2504">
        <v>0</v>
      </c>
      <c r="G2504" t="s">
        <v>257</v>
      </c>
    </row>
    <row r="2505" spans="1:7">
      <c r="A2505" s="216">
        <v>45170</v>
      </c>
      <c r="B2505" t="s">
        <v>53</v>
      </c>
      <c r="C2505">
        <v>4</v>
      </c>
      <c r="D2505" t="s">
        <v>460</v>
      </c>
      <c r="E2505" s="217">
        <v>45170</v>
      </c>
      <c r="F2505">
        <v>0</v>
      </c>
      <c r="G2505" t="s">
        <v>258</v>
      </c>
    </row>
    <row r="2506" spans="1:7">
      <c r="A2506" s="216">
        <v>45170</v>
      </c>
      <c r="B2506" t="s">
        <v>53</v>
      </c>
      <c r="C2506">
        <v>4</v>
      </c>
      <c r="D2506" t="s">
        <v>460</v>
      </c>
      <c r="E2506" s="217">
        <v>45170</v>
      </c>
      <c r="F2506">
        <v>0</v>
      </c>
      <c r="G2506" t="s">
        <v>259</v>
      </c>
    </row>
    <row r="2507" spans="1:7">
      <c r="A2507" s="216">
        <v>45170</v>
      </c>
      <c r="B2507" t="s">
        <v>53</v>
      </c>
      <c r="C2507">
        <v>4</v>
      </c>
      <c r="D2507" t="s">
        <v>460</v>
      </c>
      <c r="E2507" s="217">
        <v>45170</v>
      </c>
      <c r="F2507">
        <v>0</v>
      </c>
      <c r="G2507" t="s">
        <v>260</v>
      </c>
    </row>
    <row r="2508" spans="1:7">
      <c r="A2508" s="216">
        <v>45170</v>
      </c>
      <c r="B2508" t="s">
        <v>53</v>
      </c>
      <c r="C2508">
        <v>4</v>
      </c>
      <c r="D2508" t="s">
        <v>460</v>
      </c>
      <c r="E2508" s="217">
        <v>45170</v>
      </c>
      <c r="F2508">
        <v>0</v>
      </c>
      <c r="G2508" t="s">
        <v>261</v>
      </c>
    </row>
    <row r="2509" spans="1:7">
      <c r="A2509" s="216">
        <v>45170</v>
      </c>
      <c r="B2509" t="s">
        <v>53</v>
      </c>
      <c r="C2509">
        <v>4</v>
      </c>
      <c r="D2509" t="s">
        <v>460</v>
      </c>
      <c r="E2509" s="217">
        <v>45170</v>
      </c>
      <c r="F2509">
        <v>0</v>
      </c>
      <c r="G2509" t="s">
        <v>262</v>
      </c>
    </row>
    <row r="2510" spans="1:7">
      <c r="A2510" s="216">
        <v>45170</v>
      </c>
      <c r="B2510" t="s">
        <v>53</v>
      </c>
      <c r="C2510">
        <v>4</v>
      </c>
      <c r="D2510" t="s">
        <v>460</v>
      </c>
      <c r="E2510" s="217">
        <v>45170</v>
      </c>
      <c r="F2510">
        <v>0</v>
      </c>
      <c r="G2510" t="s">
        <v>434</v>
      </c>
    </row>
    <row r="2511" spans="1:7">
      <c r="A2511" s="216">
        <v>45170</v>
      </c>
      <c r="B2511" t="s">
        <v>53</v>
      </c>
      <c r="C2511">
        <v>5</v>
      </c>
      <c r="D2511" t="s">
        <v>458</v>
      </c>
      <c r="E2511" s="217">
        <v>45170</v>
      </c>
      <c r="F2511">
        <v>9839</v>
      </c>
      <c r="G2511" t="s">
        <v>251</v>
      </c>
    </row>
    <row r="2512" spans="1:7">
      <c r="A2512" s="216">
        <v>45170</v>
      </c>
      <c r="B2512" t="s">
        <v>53</v>
      </c>
      <c r="C2512">
        <v>5</v>
      </c>
      <c r="D2512" t="s">
        <v>458</v>
      </c>
      <c r="E2512" s="217">
        <v>45170</v>
      </c>
      <c r="F2512">
        <v>11341</v>
      </c>
      <c r="G2512" t="s">
        <v>252</v>
      </c>
    </row>
    <row r="2513" spans="1:7">
      <c r="A2513" s="216">
        <v>45170</v>
      </c>
      <c r="B2513" t="s">
        <v>53</v>
      </c>
      <c r="C2513">
        <v>5</v>
      </c>
      <c r="D2513" t="s">
        <v>458</v>
      </c>
      <c r="E2513" s="217">
        <v>45170</v>
      </c>
      <c r="F2513">
        <v>15833</v>
      </c>
      <c r="G2513" t="s">
        <v>253</v>
      </c>
    </row>
    <row r="2514" spans="1:7">
      <c r="A2514" s="216">
        <v>45170</v>
      </c>
      <c r="B2514" t="s">
        <v>53</v>
      </c>
      <c r="C2514">
        <v>5</v>
      </c>
      <c r="D2514" t="s">
        <v>458</v>
      </c>
      <c r="E2514" s="217">
        <v>45170</v>
      </c>
      <c r="F2514">
        <v>19358</v>
      </c>
      <c r="G2514" t="s">
        <v>254</v>
      </c>
    </row>
    <row r="2515" spans="1:7">
      <c r="A2515" s="216">
        <v>45170</v>
      </c>
      <c r="B2515" t="s">
        <v>53</v>
      </c>
      <c r="C2515">
        <v>5</v>
      </c>
      <c r="D2515" t="s">
        <v>458</v>
      </c>
      <c r="E2515" s="217">
        <v>45170</v>
      </c>
      <c r="F2515">
        <v>11401</v>
      </c>
      <c r="G2515" t="s">
        <v>255</v>
      </c>
    </row>
    <row r="2516" spans="1:7">
      <c r="A2516" s="216">
        <v>45170</v>
      </c>
      <c r="B2516" t="s">
        <v>53</v>
      </c>
      <c r="C2516">
        <v>5</v>
      </c>
      <c r="D2516" t="s">
        <v>458</v>
      </c>
      <c r="E2516" s="217">
        <v>45170</v>
      </c>
      <c r="F2516">
        <v>13717</v>
      </c>
      <c r="G2516" t="s">
        <v>256</v>
      </c>
    </row>
    <row r="2517" spans="1:7">
      <c r="A2517" s="216">
        <v>45170</v>
      </c>
      <c r="B2517" t="s">
        <v>53</v>
      </c>
      <c r="C2517">
        <v>5</v>
      </c>
      <c r="D2517" t="s">
        <v>458</v>
      </c>
      <c r="E2517" s="217">
        <v>45170</v>
      </c>
      <c r="F2517">
        <v>28691</v>
      </c>
      <c r="G2517" t="s">
        <v>257</v>
      </c>
    </row>
    <row r="2518" spans="1:7">
      <c r="A2518" s="216">
        <v>45170</v>
      </c>
      <c r="B2518" t="s">
        <v>53</v>
      </c>
      <c r="C2518">
        <v>5</v>
      </c>
      <c r="D2518" t="s">
        <v>458</v>
      </c>
      <c r="E2518" s="217">
        <v>45170</v>
      </c>
      <c r="F2518">
        <v>28681</v>
      </c>
      <c r="G2518" t="s">
        <v>258</v>
      </c>
    </row>
    <row r="2519" spans="1:7">
      <c r="A2519" s="216">
        <v>45170</v>
      </c>
      <c r="B2519" t="s">
        <v>53</v>
      </c>
      <c r="C2519">
        <v>5</v>
      </c>
      <c r="D2519" t="s">
        <v>458</v>
      </c>
      <c r="E2519" s="217">
        <v>45170</v>
      </c>
      <c r="F2519">
        <v>28681</v>
      </c>
      <c r="G2519" t="s">
        <v>259</v>
      </c>
    </row>
    <row r="2520" spans="1:7">
      <c r="A2520" s="216">
        <v>45170</v>
      </c>
      <c r="B2520" t="s">
        <v>53</v>
      </c>
      <c r="C2520">
        <v>5</v>
      </c>
      <c r="D2520" t="s">
        <v>458</v>
      </c>
      <c r="E2520" s="217">
        <v>45170</v>
      </c>
      <c r="F2520">
        <v>28681</v>
      </c>
      <c r="G2520" t="s">
        <v>260</v>
      </c>
    </row>
    <row r="2521" spans="1:7">
      <c r="A2521" s="216">
        <v>45170</v>
      </c>
      <c r="B2521" t="s">
        <v>53</v>
      </c>
      <c r="C2521">
        <v>5</v>
      </c>
      <c r="D2521" t="s">
        <v>458</v>
      </c>
      <c r="E2521" s="217">
        <v>45170</v>
      </c>
      <c r="F2521">
        <v>28683</v>
      </c>
      <c r="G2521" t="s">
        <v>261</v>
      </c>
    </row>
    <row r="2522" spans="1:7">
      <c r="A2522" s="216">
        <v>45170</v>
      </c>
      <c r="B2522" t="s">
        <v>53</v>
      </c>
      <c r="C2522">
        <v>5</v>
      </c>
      <c r="D2522" t="s">
        <v>458</v>
      </c>
      <c r="E2522" s="217">
        <v>45170</v>
      </c>
      <c r="F2522">
        <v>30681</v>
      </c>
      <c r="G2522" t="s">
        <v>262</v>
      </c>
    </row>
    <row r="2523" spans="1:7">
      <c r="A2523" s="216">
        <v>45170</v>
      </c>
      <c r="B2523" t="s">
        <v>53</v>
      </c>
      <c r="C2523">
        <v>5</v>
      </c>
      <c r="D2523" t="s">
        <v>458</v>
      </c>
      <c r="E2523" s="217">
        <v>45170</v>
      </c>
      <c r="F2523">
        <v>255587</v>
      </c>
      <c r="G2523" t="s">
        <v>434</v>
      </c>
    </row>
    <row r="2524" spans="1:7">
      <c r="A2524" s="216">
        <v>45170</v>
      </c>
      <c r="B2524" t="s">
        <v>53</v>
      </c>
      <c r="C2524">
        <v>6</v>
      </c>
      <c r="D2524" t="s">
        <v>448</v>
      </c>
      <c r="E2524" s="217">
        <v>45170</v>
      </c>
      <c r="F2524">
        <v>4504</v>
      </c>
      <c r="G2524" t="s">
        <v>251</v>
      </c>
    </row>
    <row r="2525" spans="1:7">
      <c r="A2525" s="216">
        <v>45170</v>
      </c>
      <c r="B2525" t="s">
        <v>53</v>
      </c>
      <c r="C2525">
        <v>6</v>
      </c>
      <c r="D2525" t="s">
        <v>448</v>
      </c>
      <c r="E2525" s="217">
        <v>45170</v>
      </c>
      <c r="F2525">
        <v>4270</v>
      </c>
      <c r="G2525" t="s">
        <v>252</v>
      </c>
    </row>
    <row r="2526" spans="1:7">
      <c r="A2526" s="216">
        <v>45170</v>
      </c>
      <c r="B2526" t="s">
        <v>53</v>
      </c>
      <c r="C2526">
        <v>6</v>
      </c>
      <c r="D2526" t="s">
        <v>448</v>
      </c>
      <c r="E2526" s="217">
        <v>45170</v>
      </c>
      <c r="F2526">
        <v>2440</v>
      </c>
      <c r="G2526" t="s">
        <v>253</v>
      </c>
    </row>
    <row r="2527" spans="1:7">
      <c r="A2527" s="216">
        <v>45170</v>
      </c>
      <c r="B2527" t="s">
        <v>53</v>
      </c>
      <c r="C2527">
        <v>6</v>
      </c>
      <c r="D2527" t="s">
        <v>448</v>
      </c>
      <c r="E2527" s="217">
        <v>45170</v>
      </c>
      <c r="F2527">
        <v>3661</v>
      </c>
      <c r="G2527" t="s">
        <v>254</v>
      </c>
    </row>
    <row r="2528" spans="1:7">
      <c r="A2528" s="216">
        <v>45170</v>
      </c>
      <c r="B2528" t="s">
        <v>53</v>
      </c>
      <c r="C2528">
        <v>6</v>
      </c>
      <c r="D2528" t="s">
        <v>448</v>
      </c>
      <c r="E2528" s="217">
        <v>45170</v>
      </c>
      <c r="F2528">
        <v>3693</v>
      </c>
      <c r="G2528" t="s">
        <v>255</v>
      </c>
    </row>
    <row r="2529" spans="1:7">
      <c r="A2529" s="216">
        <v>45170</v>
      </c>
      <c r="B2529" t="s">
        <v>53</v>
      </c>
      <c r="C2529">
        <v>6</v>
      </c>
      <c r="D2529" t="s">
        <v>448</v>
      </c>
      <c r="E2529" s="217">
        <v>45170</v>
      </c>
      <c r="F2529">
        <v>6388</v>
      </c>
      <c r="G2529" t="s">
        <v>256</v>
      </c>
    </row>
    <row r="2530" spans="1:7">
      <c r="A2530" s="216">
        <v>45170</v>
      </c>
      <c r="B2530" t="s">
        <v>53</v>
      </c>
      <c r="C2530">
        <v>6</v>
      </c>
      <c r="D2530" t="s">
        <v>448</v>
      </c>
      <c r="E2530" s="217">
        <v>45170</v>
      </c>
      <c r="F2530">
        <v>3363</v>
      </c>
      <c r="G2530" t="s">
        <v>257</v>
      </c>
    </row>
    <row r="2531" spans="1:7">
      <c r="A2531" s="216">
        <v>45170</v>
      </c>
      <c r="B2531" t="s">
        <v>53</v>
      </c>
      <c r="C2531">
        <v>6</v>
      </c>
      <c r="D2531" t="s">
        <v>448</v>
      </c>
      <c r="E2531" s="217">
        <v>45170</v>
      </c>
      <c r="F2531">
        <v>3363</v>
      </c>
      <c r="G2531" t="s">
        <v>258</v>
      </c>
    </row>
    <row r="2532" spans="1:7">
      <c r="A2532" s="216">
        <v>45170</v>
      </c>
      <c r="B2532" t="s">
        <v>53</v>
      </c>
      <c r="C2532">
        <v>6</v>
      </c>
      <c r="D2532" t="s">
        <v>448</v>
      </c>
      <c r="E2532" s="217">
        <v>45170</v>
      </c>
      <c r="F2532">
        <v>11266</v>
      </c>
      <c r="G2532" t="s">
        <v>259</v>
      </c>
    </row>
    <row r="2533" spans="1:7">
      <c r="A2533" s="216">
        <v>45170</v>
      </c>
      <c r="B2533" t="s">
        <v>53</v>
      </c>
      <c r="C2533">
        <v>6</v>
      </c>
      <c r="D2533" t="s">
        <v>448</v>
      </c>
      <c r="E2533" s="217">
        <v>45170</v>
      </c>
      <c r="F2533">
        <v>3363</v>
      </c>
      <c r="G2533" t="s">
        <v>260</v>
      </c>
    </row>
    <row r="2534" spans="1:7">
      <c r="A2534" s="216">
        <v>45170</v>
      </c>
      <c r="B2534" t="s">
        <v>53</v>
      </c>
      <c r="C2534">
        <v>6</v>
      </c>
      <c r="D2534" t="s">
        <v>448</v>
      </c>
      <c r="E2534" s="217">
        <v>45170</v>
      </c>
      <c r="F2534">
        <v>3363</v>
      </c>
      <c r="G2534" t="s">
        <v>261</v>
      </c>
    </row>
    <row r="2535" spans="1:7">
      <c r="A2535" s="216">
        <v>45170</v>
      </c>
      <c r="B2535" t="s">
        <v>53</v>
      </c>
      <c r="C2535">
        <v>6</v>
      </c>
      <c r="D2535" t="s">
        <v>448</v>
      </c>
      <c r="E2535" s="217">
        <v>45170</v>
      </c>
      <c r="F2535">
        <v>10205</v>
      </c>
      <c r="G2535" t="s">
        <v>262</v>
      </c>
    </row>
    <row r="2536" spans="1:7">
      <c r="A2536" s="216">
        <v>45170</v>
      </c>
      <c r="B2536" t="s">
        <v>53</v>
      </c>
      <c r="C2536">
        <v>6</v>
      </c>
      <c r="D2536" t="s">
        <v>448</v>
      </c>
      <c r="E2536" s="217">
        <v>45170</v>
      </c>
      <c r="F2536">
        <v>59879</v>
      </c>
      <c r="G2536" t="s">
        <v>434</v>
      </c>
    </row>
    <row r="2537" spans="1:7">
      <c r="A2537" s="216">
        <v>45170</v>
      </c>
      <c r="B2537" t="s">
        <v>53</v>
      </c>
      <c r="C2537">
        <v>7</v>
      </c>
      <c r="D2537" t="s">
        <v>442</v>
      </c>
      <c r="E2537" s="217">
        <v>45170</v>
      </c>
      <c r="F2537">
        <v>42168</v>
      </c>
      <c r="G2537" t="s">
        <v>251</v>
      </c>
    </row>
    <row r="2538" spans="1:7">
      <c r="A2538" s="216">
        <v>45170</v>
      </c>
      <c r="B2538" t="s">
        <v>53</v>
      </c>
      <c r="C2538">
        <v>7</v>
      </c>
      <c r="D2538" t="s">
        <v>442</v>
      </c>
      <c r="E2538" s="217">
        <v>45170</v>
      </c>
      <c r="F2538">
        <v>42945</v>
      </c>
      <c r="G2538" t="s">
        <v>252</v>
      </c>
    </row>
    <row r="2539" spans="1:7">
      <c r="A2539" s="216">
        <v>45170</v>
      </c>
      <c r="B2539" t="s">
        <v>53</v>
      </c>
      <c r="C2539">
        <v>7</v>
      </c>
      <c r="D2539" t="s">
        <v>442</v>
      </c>
      <c r="E2539" s="217">
        <v>45170</v>
      </c>
      <c r="F2539">
        <v>47159</v>
      </c>
      <c r="G2539" t="s">
        <v>253</v>
      </c>
    </row>
    <row r="2540" spans="1:7">
      <c r="A2540" s="216">
        <v>45170</v>
      </c>
      <c r="B2540" t="s">
        <v>53</v>
      </c>
      <c r="C2540">
        <v>7</v>
      </c>
      <c r="D2540" t="s">
        <v>442</v>
      </c>
      <c r="E2540" s="217">
        <v>45170</v>
      </c>
      <c r="F2540">
        <v>50127</v>
      </c>
      <c r="G2540" t="s">
        <v>254</v>
      </c>
    </row>
    <row r="2541" spans="1:7">
      <c r="A2541" s="216">
        <v>45170</v>
      </c>
      <c r="B2541" t="s">
        <v>53</v>
      </c>
      <c r="C2541">
        <v>7</v>
      </c>
      <c r="D2541" t="s">
        <v>442</v>
      </c>
      <c r="E2541" s="217">
        <v>45170</v>
      </c>
      <c r="F2541">
        <v>44983</v>
      </c>
      <c r="G2541" t="s">
        <v>255</v>
      </c>
    </row>
    <row r="2542" spans="1:7">
      <c r="A2542" s="216">
        <v>45170</v>
      </c>
      <c r="B2542" t="s">
        <v>53</v>
      </c>
      <c r="C2542">
        <v>7</v>
      </c>
      <c r="D2542" t="s">
        <v>442</v>
      </c>
      <c r="E2542" s="217">
        <v>45170</v>
      </c>
      <c r="F2542">
        <v>49984</v>
      </c>
      <c r="G2542" t="s">
        <v>256</v>
      </c>
    </row>
    <row r="2543" spans="1:7">
      <c r="A2543" s="216">
        <v>45170</v>
      </c>
      <c r="B2543" t="s">
        <v>53</v>
      </c>
      <c r="C2543">
        <v>7</v>
      </c>
      <c r="D2543" t="s">
        <v>442</v>
      </c>
      <c r="E2543" s="217">
        <v>45170</v>
      </c>
      <c r="F2543">
        <v>68954</v>
      </c>
      <c r="G2543" t="s">
        <v>257</v>
      </c>
    </row>
    <row r="2544" spans="1:7">
      <c r="A2544" s="216">
        <v>45170</v>
      </c>
      <c r="B2544" t="s">
        <v>53</v>
      </c>
      <c r="C2544">
        <v>7</v>
      </c>
      <c r="D2544" t="s">
        <v>442</v>
      </c>
      <c r="E2544" s="217">
        <v>45170</v>
      </c>
      <c r="F2544">
        <v>62210</v>
      </c>
      <c r="G2544" t="s">
        <v>258</v>
      </c>
    </row>
    <row r="2545" spans="1:7">
      <c r="A2545" s="216">
        <v>45170</v>
      </c>
      <c r="B2545" t="s">
        <v>53</v>
      </c>
      <c r="C2545">
        <v>7</v>
      </c>
      <c r="D2545" t="s">
        <v>442</v>
      </c>
      <c r="E2545" s="217">
        <v>45170</v>
      </c>
      <c r="F2545">
        <v>70057</v>
      </c>
      <c r="G2545" t="s">
        <v>259</v>
      </c>
    </row>
    <row r="2546" spans="1:7">
      <c r="A2546" s="216">
        <v>45170</v>
      </c>
      <c r="B2546" t="s">
        <v>53</v>
      </c>
      <c r="C2546">
        <v>7</v>
      </c>
      <c r="D2546" t="s">
        <v>442</v>
      </c>
      <c r="E2546" s="217">
        <v>45170</v>
      </c>
      <c r="F2546">
        <v>62205</v>
      </c>
      <c r="G2546" t="s">
        <v>260</v>
      </c>
    </row>
    <row r="2547" spans="1:7">
      <c r="A2547" s="216">
        <v>45170</v>
      </c>
      <c r="B2547" t="s">
        <v>53</v>
      </c>
      <c r="C2547">
        <v>7</v>
      </c>
      <c r="D2547" t="s">
        <v>442</v>
      </c>
      <c r="E2547" s="217">
        <v>45170</v>
      </c>
      <c r="F2547">
        <v>62208</v>
      </c>
      <c r="G2547" t="s">
        <v>261</v>
      </c>
    </row>
    <row r="2548" spans="1:7">
      <c r="A2548" s="216">
        <v>45170</v>
      </c>
      <c r="B2548" t="s">
        <v>53</v>
      </c>
      <c r="C2548">
        <v>7</v>
      </c>
      <c r="D2548" t="s">
        <v>442</v>
      </c>
      <c r="E2548" s="217">
        <v>45170</v>
      </c>
      <c r="F2548">
        <v>72524</v>
      </c>
      <c r="G2548" t="s">
        <v>262</v>
      </c>
    </row>
    <row r="2549" spans="1:7">
      <c r="A2549" s="216">
        <v>45170</v>
      </c>
      <c r="B2549" t="s">
        <v>53</v>
      </c>
      <c r="C2549">
        <v>7</v>
      </c>
      <c r="D2549" t="s">
        <v>442</v>
      </c>
      <c r="E2549" s="217">
        <v>45170</v>
      </c>
      <c r="F2549">
        <v>675524</v>
      </c>
      <c r="G2549" t="s">
        <v>434</v>
      </c>
    </row>
    <row r="2550" spans="1:7">
      <c r="A2550" s="216">
        <v>45170</v>
      </c>
      <c r="B2550" t="s">
        <v>53</v>
      </c>
      <c r="C2550">
        <v>8</v>
      </c>
      <c r="D2550" t="s">
        <v>451</v>
      </c>
      <c r="E2550" s="217">
        <v>45170</v>
      </c>
      <c r="F2550">
        <v>0</v>
      </c>
      <c r="G2550" t="s">
        <v>251</v>
      </c>
    </row>
    <row r="2551" spans="1:7">
      <c r="A2551" s="216">
        <v>45170</v>
      </c>
      <c r="B2551" t="s">
        <v>53</v>
      </c>
      <c r="C2551">
        <v>8</v>
      </c>
      <c r="D2551" t="s">
        <v>451</v>
      </c>
      <c r="E2551" s="217">
        <v>45170</v>
      </c>
      <c r="F2551">
        <v>0</v>
      </c>
      <c r="G2551" t="s">
        <v>252</v>
      </c>
    </row>
    <row r="2552" spans="1:7">
      <c r="A2552" s="216">
        <v>45170</v>
      </c>
      <c r="B2552" t="s">
        <v>53</v>
      </c>
      <c r="C2552">
        <v>8</v>
      </c>
      <c r="D2552" t="s">
        <v>451</v>
      </c>
      <c r="E2552" s="217">
        <v>45170</v>
      </c>
      <c r="F2552">
        <v>0</v>
      </c>
      <c r="G2552" t="s">
        <v>253</v>
      </c>
    </row>
    <row r="2553" spans="1:7">
      <c r="A2553" s="216">
        <v>45170</v>
      </c>
      <c r="B2553" t="s">
        <v>53</v>
      </c>
      <c r="C2553">
        <v>8</v>
      </c>
      <c r="D2553" t="s">
        <v>451</v>
      </c>
      <c r="E2553" s="217">
        <v>45170</v>
      </c>
      <c r="F2553">
        <v>0</v>
      </c>
      <c r="G2553" t="s">
        <v>254</v>
      </c>
    </row>
    <row r="2554" spans="1:7">
      <c r="A2554" s="216">
        <v>45170</v>
      </c>
      <c r="B2554" t="s">
        <v>53</v>
      </c>
      <c r="C2554">
        <v>8</v>
      </c>
      <c r="D2554" t="s">
        <v>451</v>
      </c>
      <c r="E2554" s="217">
        <v>45170</v>
      </c>
      <c r="F2554">
        <v>0</v>
      </c>
      <c r="G2554" t="s">
        <v>255</v>
      </c>
    </row>
    <row r="2555" spans="1:7">
      <c r="A2555" s="216">
        <v>45170</v>
      </c>
      <c r="B2555" t="s">
        <v>53</v>
      </c>
      <c r="C2555">
        <v>8</v>
      </c>
      <c r="D2555" t="s">
        <v>451</v>
      </c>
      <c r="E2555" s="217">
        <v>45170</v>
      </c>
      <c r="F2555">
        <v>0</v>
      </c>
      <c r="G2555" t="s">
        <v>256</v>
      </c>
    </row>
    <row r="2556" spans="1:7">
      <c r="A2556" s="216">
        <v>45170</v>
      </c>
      <c r="B2556" t="s">
        <v>53</v>
      </c>
      <c r="C2556">
        <v>8</v>
      </c>
      <c r="D2556" t="s">
        <v>451</v>
      </c>
      <c r="E2556" s="217">
        <v>45170</v>
      </c>
      <c r="F2556">
        <v>0</v>
      </c>
      <c r="G2556" t="s">
        <v>257</v>
      </c>
    </row>
    <row r="2557" spans="1:7">
      <c r="A2557" s="216">
        <v>45170</v>
      </c>
      <c r="B2557" t="s">
        <v>53</v>
      </c>
      <c r="C2557">
        <v>8</v>
      </c>
      <c r="D2557" t="s">
        <v>451</v>
      </c>
      <c r="E2557" s="217">
        <v>45170</v>
      </c>
      <c r="F2557">
        <v>0</v>
      </c>
      <c r="G2557" t="s">
        <v>258</v>
      </c>
    </row>
    <row r="2558" spans="1:7">
      <c r="A2558" s="216">
        <v>45170</v>
      </c>
      <c r="B2558" t="s">
        <v>53</v>
      </c>
      <c r="C2558">
        <v>8</v>
      </c>
      <c r="D2558" t="s">
        <v>451</v>
      </c>
      <c r="E2558" s="217">
        <v>45170</v>
      </c>
      <c r="F2558">
        <v>0</v>
      </c>
      <c r="G2558" t="s">
        <v>259</v>
      </c>
    </row>
    <row r="2559" spans="1:7">
      <c r="A2559" s="216">
        <v>45170</v>
      </c>
      <c r="B2559" t="s">
        <v>53</v>
      </c>
      <c r="C2559">
        <v>8</v>
      </c>
      <c r="D2559" t="s">
        <v>451</v>
      </c>
      <c r="E2559" s="217">
        <v>45170</v>
      </c>
      <c r="F2559">
        <v>0</v>
      </c>
      <c r="G2559" t="s">
        <v>260</v>
      </c>
    </row>
    <row r="2560" spans="1:7">
      <c r="A2560" s="216">
        <v>45170</v>
      </c>
      <c r="B2560" t="s">
        <v>53</v>
      </c>
      <c r="C2560">
        <v>8</v>
      </c>
      <c r="D2560" t="s">
        <v>451</v>
      </c>
      <c r="E2560" s="217">
        <v>45170</v>
      </c>
      <c r="F2560">
        <v>0</v>
      </c>
      <c r="G2560" t="s">
        <v>261</v>
      </c>
    </row>
    <row r="2561" spans="1:7">
      <c r="A2561" s="216">
        <v>45170</v>
      </c>
      <c r="B2561" t="s">
        <v>53</v>
      </c>
      <c r="C2561">
        <v>8</v>
      </c>
      <c r="D2561" t="s">
        <v>451</v>
      </c>
      <c r="E2561" s="217">
        <v>45170</v>
      </c>
      <c r="F2561">
        <v>0</v>
      </c>
      <c r="G2561" t="s">
        <v>262</v>
      </c>
    </row>
    <row r="2562" spans="1:7">
      <c r="A2562" s="216">
        <v>45170</v>
      </c>
      <c r="B2562" t="s">
        <v>53</v>
      </c>
      <c r="C2562">
        <v>8</v>
      </c>
      <c r="D2562" t="s">
        <v>451</v>
      </c>
      <c r="E2562" s="217">
        <v>45170</v>
      </c>
      <c r="F2562">
        <v>0</v>
      </c>
      <c r="G2562" t="s">
        <v>434</v>
      </c>
    </row>
    <row r="2563" spans="1:7">
      <c r="A2563" s="216">
        <v>45170</v>
      </c>
      <c r="B2563" t="s">
        <v>53</v>
      </c>
      <c r="C2563">
        <v>9</v>
      </c>
      <c r="D2563" t="s">
        <v>450</v>
      </c>
      <c r="E2563" s="217">
        <v>45170</v>
      </c>
      <c r="F2563">
        <v>0</v>
      </c>
      <c r="G2563" t="s">
        <v>251</v>
      </c>
    </row>
    <row r="2564" spans="1:7">
      <c r="A2564" s="216">
        <v>45170</v>
      </c>
      <c r="B2564" t="s">
        <v>53</v>
      </c>
      <c r="C2564">
        <v>9</v>
      </c>
      <c r="D2564" t="s">
        <v>450</v>
      </c>
      <c r="E2564" s="217">
        <v>45170</v>
      </c>
      <c r="F2564">
        <v>0</v>
      </c>
      <c r="G2564" t="s">
        <v>252</v>
      </c>
    </row>
    <row r="2565" spans="1:7">
      <c r="A2565" s="216">
        <v>45170</v>
      </c>
      <c r="B2565" t="s">
        <v>53</v>
      </c>
      <c r="C2565">
        <v>9</v>
      </c>
      <c r="D2565" t="s">
        <v>450</v>
      </c>
      <c r="E2565" s="217">
        <v>45170</v>
      </c>
      <c r="F2565">
        <v>0</v>
      </c>
      <c r="G2565" t="s">
        <v>253</v>
      </c>
    </row>
    <row r="2566" spans="1:7">
      <c r="A2566" s="216">
        <v>45170</v>
      </c>
      <c r="B2566" t="s">
        <v>53</v>
      </c>
      <c r="C2566">
        <v>9</v>
      </c>
      <c r="D2566" t="s">
        <v>450</v>
      </c>
      <c r="E2566" s="217">
        <v>45170</v>
      </c>
      <c r="F2566">
        <v>0</v>
      </c>
      <c r="G2566" t="s">
        <v>254</v>
      </c>
    </row>
    <row r="2567" spans="1:7">
      <c r="A2567" s="216">
        <v>45170</v>
      </c>
      <c r="B2567" t="s">
        <v>53</v>
      </c>
      <c r="C2567">
        <v>9</v>
      </c>
      <c r="D2567" t="s">
        <v>450</v>
      </c>
      <c r="E2567" s="217">
        <v>45170</v>
      </c>
      <c r="F2567">
        <v>0</v>
      </c>
      <c r="G2567" t="s">
        <v>255</v>
      </c>
    </row>
    <row r="2568" spans="1:7">
      <c r="A2568" s="216">
        <v>45170</v>
      </c>
      <c r="B2568" t="s">
        <v>53</v>
      </c>
      <c r="C2568">
        <v>9</v>
      </c>
      <c r="D2568" t="s">
        <v>450</v>
      </c>
      <c r="E2568" s="217">
        <v>45170</v>
      </c>
      <c r="F2568">
        <v>0</v>
      </c>
      <c r="G2568" t="s">
        <v>256</v>
      </c>
    </row>
    <row r="2569" spans="1:7">
      <c r="A2569" s="216">
        <v>45170</v>
      </c>
      <c r="B2569" t="s">
        <v>53</v>
      </c>
      <c r="C2569">
        <v>9</v>
      </c>
      <c r="D2569" t="s">
        <v>450</v>
      </c>
      <c r="E2569" s="217">
        <v>45170</v>
      </c>
      <c r="F2569">
        <v>0</v>
      </c>
      <c r="G2569" t="s">
        <v>257</v>
      </c>
    </row>
    <row r="2570" spans="1:7">
      <c r="A2570" s="216">
        <v>45170</v>
      </c>
      <c r="B2570" t="s">
        <v>53</v>
      </c>
      <c r="C2570">
        <v>9</v>
      </c>
      <c r="D2570" t="s">
        <v>450</v>
      </c>
      <c r="E2570" s="217">
        <v>45170</v>
      </c>
      <c r="F2570">
        <v>0</v>
      </c>
      <c r="G2570" t="s">
        <v>258</v>
      </c>
    </row>
    <row r="2571" spans="1:7">
      <c r="A2571" s="216">
        <v>45170</v>
      </c>
      <c r="B2571" t="s">
        <v>53</v>
      </c>
      <c r="C2571">
        <v>9</v>
      </c>
      <c r="D2571" t="s">
        <v>450</v>
      </c>
      <c r="E2571" s="217">
        <v>45170</v>
      </c>
      <c r="F2571">
        <v>0</v>
      </c>
      <c r="G2571" t="s">
        <v>259</v>
      </c>
    </row>
    <row r="2572" spans="1:7">
      <c r="A2572" s="216">
        <v>45170</v>
      </c>
      <c r="B2572" t="s">
        <v>53</v>
      </c>
      <c r="C2572">
        <v>9</v>
      </c>
      <c r="D2572" t="s">
        <v>450</v>
      </c>
      <c r="E2572" s="217">
        <v>45170</v>
      </c>
      <c r="F2572">
        <v>0</v>
      </c>
      <c r="G2572" t="s">
        <v>260</v>
      </c>
    </row>
    <row r="2573" spans="1:7">
      <c r="A2573" s="216">
        <v>45170</v>
      </c>
      <c r="B2573" t="s">
        <v>53</v>
      </c>
      <c r="C2573">
        <v>9</v>
      </c>
      <c r="D2573" t="s">
        <v>450</v>
      </c>
      <c r="E2573" s="217">
        <v>45170</v>
      </c>
      <c r="F2573">
        <v>0</v>
      </c>
      <c r="G2573" t="s">
        <v>261</v>
      </c>
    </row>
    <row r="2574" spans="1:7">
      <c r="A2574" s="216">
        <v>45170</v>
      </c>
      <c r="B2574" t="s">
        <v>53</v>
      </c>
      <c r="C2574">
        <v>9</v>
      </c>
      <c r="D2574" t="s">
        <v>450</v>
      </c>
      <c r="E2574" s="217">
        <v>45170</v>
      </c>
      <c r="F2574">
        <v>0</v>
      </c>
      <c r="G2574" t="s">
        <v>262</v>
      </c>
    </row>
    <row r="2575" spans="1:7">
      <c r="A2575" s="216">
        <v>45170</v>
      </c>
      <c r="B2575" t="s">
        <v>53</v>
      </c>
      <c r="C2575">
        <v>9</v>
      </c>
      <c r="D2575" t="s">
        <v>450</v>
      </c>
      <c r="E2575" s="217">
        <v>45170</v>
      </c>
      <c r="F2575">
        <v>0</v>
      </c>
      <c r="G2575" t="s">
        <v>434</v>
      </c>
    </row>
    <row r="2576" spans="1:7">
      <c r="A2576" s="216">
        <v>45170</v>
      </c>
      <c r="B2576" t="s">
        <v>53</v>
      </c>
      <c r="C2576">
        <v>10</v>
      </c>
      <c r="D2576" t="s">
        <v>433</v>
      </c>
      <c r="E2576" s="217">
        <v>45170</v>
      </c>
      <c r="F2576">
        <v>25731.563279999998</v>
      </c>
      <c r="G2576" t="s">
        <v>251</v>
      </c>
    </row>
    <row r="2577" spans="1:7">
      <c r="A2577" s="216">
        <v>45170</v>
      </c>
      <c r="B2577" t="s">
        <v>53</v>
      </c>
      <c r="C2577">
        <v>10</v>
      </c>
      <c r="D2577" t="s">
        <v>433</v>
      </c>
      <c r="E2577" s="217">
        <v>45170</v>
      </c>
      <c r="F2577">
        <v>24866.887419999999</v>
      </c>
      <c r="G2577" t="s">
        <v>252</v>
      </c>
    </row>
    <row r="2578" spans="1:7">
      <c r="A2578" s="216">
        <v>45170</v>
      </c>
      <c r="B2578" t="s">
        <v>53</v>
      </c>
      <c r="C2578">
        <v>10</v>
      </c>
      <c r="D2578" t="s">
        <v>433</v>
      </c>
      <c r="E2578" s="217">
        <v>45170</v>
      </c>
      <c r="F2578">
        <v>27803</v>
      </c>
      <c r="G2578" t="s">
        <v>253</v>
      </c>
    </row>
    <row r="2579" spans="1:7">
      <c r="A2579" s="216">
        <v>45170</v>
      </c>
      <c r="B2579" t="s">
        <v>53</v>
      </c>
      <c r="C2579">
        <v>10</v>
      </c>
      <c r="D2579" t="s">
        <v>433</v>
      </c>
      <c r="E2579" s="217">
        <v>45170</v>
      </c>
      <c r="F2579">
        <v>26976.671490000001</v>
      </c>
      <c r="G2579" t="s">
        <v>254</v>
      </c>
    </row>
    <row r="2580" spans="1:7">
      <c r="A2580" s="216">
        <v>45170</v>
      </c>
      <c r="B2580" t="s">
        <v>53</v>
      </c>
      <c r="C2580">
        <v>10</v>
      </c>
      <c r="D2580" t="s">
        <v>433</v>
      </c>
      <c r="E2580" s="217">
        <v>45170</v>
      </c>
      <c r="F2580">
        <v>27757.798650000001</v>
      </c>
      <c r="G2580" t="s">
        <v>255</v>
      </c>
    </row>
    <row r="2581" spans="1:7">
      <c r="A2581" s="216">
        <v>45170</v>
      </c>
      <c r="B2581" t="s">
        <v>53</v>
      </c>
      <c r="C2581">
        <v>10</v>
      </c>
      <c r="D2581" t="s">
        <v>433</v>
      </c>
      <c r="E2581" s="217">
        <v>45170</v>
      </c>
      <c r="F2581">
        <v>27956.778719999998</v>
      </c>
      <c r="G2581" t="s">
        <v>256</v>
      </c>
    </row>
    <row r="2582" spans="1:7">
      <c r="A2582" s="216">
        <v>45170</v>
      </c>
      <c r="B2582" t="s">
        <v>53</v>
      </c>
      <c r="C2582">
        <v>10</v>
      </c>
      <c r="D2582" t="s">
        <v>433</v>
      </c>
      <c r="E2582" s="217">
        <v>45170</v>
      </c>
      <c r="F2582">
        <v>34623.230000000003</v>
      </c>
      <c r="G2582" t="s">
        <v>257</v>
      </c>
    </row>
    <row r="2583" spans="1:7">
      <c r="A2583" s="216">
        <v>45170</v>
      </c>
      <c r="B2583" t="s">
        <v>53</v>
      </c>
      <c r="C2583">
        <v>10</v>
      </c>
      <c r="D2583" t="s">
        <v>433</v>
      </c>
      <c r="E2583" s="217">
        <v>45170</v>
      </c>
      <c r="F2583">
        <v>29114.46</v>
      </c>
      <c r="G2583" t="s">
        <v>258</v>
      </c>
    </row>
    <row r="2584" spans="1:7">
      <c r="A2584" s="216">
        <v>45170</v>
      </c>
      <c r="B2584" t="s">
        <v>53</v>
      </c>
      <c r="C2584">
        <v>10</v>
      </c>
      <c r="D2584" t="s">
        <v>433</v>
      </c>
      <c r="E2584" s="217">
        <v>45170</v>
      </c>
      <c r="F2584">
        <v>29111.564999999999</v>
      </c>
      <c r="G2584" t="s">
        <v>259</v>
      </c>
    </row>
    <row r="2585" spans="1:7">
      <c r="A2585" s="216">
        <v>45170</v>
      </c>
      <c r="B2585" t="s">
        <v>53</v>
      </c>
      <c r="C2585">
        <v>10</v>
      </c>
      <c r="D2585" t="s">
        <v>433</v>
      </c>
      <c r="E2585" s="217">
        <v>45170</v>
      </c>
      <c r="F2585">
        <v>29109.552</v>
      </c>
      <c r="G2585" t="s">
        <v>260</v>
      </c>
    </row>
    <row r="2586" spans="1:7">
      <c r="A2586" s="216">
        <v>45170</v>
      </c>
      <c r="B2586" t="s">
        <v>53</v>
      </c>
      <c r="C2586">
        <v>10</v>
      </c>
      <c r="D2586" t="s">
        <v>433</v>
      </c>
      <c r="E2586" s="217">
        <v>45170</v>
      </c>
      <c r="F2586">
        <v>29120.659</v>
      </c>
      <c r="G2586" t="s">
        <v>261</v>
      </c>
    </row>
    <row r="2587" spans="1:7">
      <c r="A2587" s="216">
        <v>45170</v>
      </c>
      <c r="B2587" t="s">
        <v>53</v>
      </c>
      <c r="C2587">
        <v>10</v>
      </c>
      <c r="D2587" t="s">
        <v>433</v>
      </c>
      <c r="E2587" s="217">
        <v>45170</v>
      </c>
      <c r="F2587">
        <v>29076.255000000001</v>
      </c>
      <c r="G2587" t="s">
        <v>262</v>
      </c>
    </row>
    <row r="2588" spans="1:7">
      <c r="A2588" s="216">
        <v>45170</v>
      </c>
      <c r="B2588" t="s">
        <v>53</v>
      </c>
      <c r="C2588">
        <v>10</v>
      </c>
      <c r="D2588" t="s">
        <v>433</v>
      </c>
      <c r="E2588" s="217">
        <v>45170</v>
      </c>
      <c r="F2588">
        <v>341248.42056</v>
      </c>
      <c r="G2588" t="s">
        <v>434</v>
      </c>
    </row>
    <row r="2589" spans="1:7">
      <c r="A2589" s="216">
        <v>45170</v>
      </c>
      <c r="B2589" t="s">
        <v>53</v>
      </c>
      <c r="C2589">
        <v>11</v>
      </c>
      <c r="D2589" t="s">
        <v>445</v>
      </c>
      <c r="E2589" s="217">
        <v>45170</v>
      </c>
      <c r="F2589">
        <v>15385.5</v>
      </c>
      <c r="G2589" t="s">
        <v>251</v>
      </c>
    </row>
    <row r="2590" spans="1:7">
      <c r="A2590" s="216">
        <v>45170</v>
      </c>
      <c r="B2590" t="s">
        <v>53</v>
      </c>
      <c r="C2590">
        <v>11</v>
      </c>
      <c r="D2590" t="s">
        <v>445</v>
      </c>
      <c r="E2590" s="217">
        <v>45170</v>
      </c>
      <c r="F2590">
        <v>16432.2</v>
      </c>
      <c r="G2590" t="s">
        <v>252</v>
      </c>
    </row>
    <row r="2591" spans="1:7">
      <c r="A2591" s="216">
        <v>45170</v>
      </c>
      <c r="B2591" t="s">
        <v>53</v>
      </c>
      <c r="C2591">
        <v>11</v>
      </c>
      <c r="D2591" t="s">
        <v>445</v>
      </c>
      <c r="E2591" s="217">
        <v>45170</v>
      </c>
      <c r="F2591">
        <v>14123</v>
      </c>
      <c r="G2591" t="s">
        <v>253</v>
      </c>
    </row>
    <row r="2592" spans="1:7">
      <c r="A2592" s="216">
        <v>45170</v>
      </c>
      <c r="B2592" t="s">
        <v>53</v>
      </c>
      <c r="C2592">
        <v>11</v>
      </c>
      <c r="D2592" t="s">
        <v>445</v>
      </c>
      <c r="E2592" s="217">
        <v>45170</v>
      </c>
      <c r="F2592">
        <v>17460.900000000001</v>
      </c>
      <c r="G2592" t="s">
        <v>254</v>
      </c>
    </row>
    <row r="2593" spans="1:7">
      <c r="A2593" s="216">
        <v>45170</v>
      </c>
      <c r="B2593" t="s">
        <v>53</v>
      </c>
      <c r="C2593">
        <v>11</v>
      </c>
      <c r="D2593" t="s">
        <v>445</v>
      </c>
      <c r="E2593" s="217">
        <v>45170</v>
      </c>
      <c r="F2593">
        <v>14737.8</v>
      </c>
      <c r="G2593" t="s">
        <v>255</v>
      </c>
    </row>
    <row r="2594" spans="1:7">
      <c r="A2594" s="216">
        <v>45170</v>
      </c>
      <c r="B2594" t="s">
        <v>53</v>
      </c>
      <c r="C2594">
        <v>11</v>
      </c>
      <c r="D2594" t="s">
        <v>445</v>
      </c>
      <c r="E2594" s="217">
        <v>45170</v>
      </c>
      <c r="F2594">
        <v>16507.3</v>
      </c>
      <c r="G2594" t="s">
        <v>256</v>
      </c>
    </row>
    <row r="2595" spans="1:7">
      <c r="A2595" s="216">
        <v>45170</v>
      </c>
      <c r="B2595" t="s">
        <v>53</v>
      </c>
      <c r="C2595">
        <v>11</v>
      </c>
      <c r="D2595" t="s">
        <v>445</v>
      </c>
      <c r="E2595" s="217">
        <v>45170</v>
      </c>
      <c r="F2595">
        <v>14301</v>
      </c>
      <c r="G2595" t="s">
        <v>257</v>
      </c>
    </row>
    <row r="2596" spans="1:7">
      <c r="A2596" s="216">
        <v>45170</v>
      </c>
      <c r="B2596" t="s">
        <v>53</v>
      </c>
      <c r="C2596">
        <v>11</v>
      </c>
      <c r="D2596" t="s">
        <v>445</v>
      </c>
      <c r="E2596" s="217">
        <v>45170</v>
      </c>
      <c r="F2596">
        <v>13066</v>
      </c>
      <c r="G2596" t="s">
        <v>258</v>
      </c>
    </row>
    <row r="2597" spans="1:7">
      <c r="A2597" s="216">
        <v>45170</v>
      </c>
      <c r="B2597" t="s">
        <v>53</v>
      </c>
      <c r="C2597">
        <v>11</v>
      </c>
      <c r="D2597" t="s">
        <v>445</v>
      </c>
      <c r="E2597" s="217">
        <v>45170</v>
      </c>
      <c r="F2597">
        <v>20915</v>
      </c>
      <c r="G2597" t="s">
        <v>259</v>
      </c>
    </row>
    <row r="2598" spans="1:7">
      <c r="A2598" s="216">
        <v>45170</v>
      </c>
      <c r="B2598" t="s">
        <v>53</v>
      </c>
      <c r="C2598">
        <v>11</v>
      </c>
      <c r="D2598" t="s">
        <v>445</v>
      </c>
      <c r="E2598" s="217">
        <v>45170</v>
      </c>
      <c r="F2598">
        <v>13065</v>
      </c>
      <c r="G2598" t="s">
        <v>260</v>
      </c>
    </row>
    <row r="2599" spans="1:7">
      <c r="A2599" s="216">
        <v>45170</v>
      </c>
      <c r="B2599" t="s">
        <v>53</v>
      </c>
      <c r="C2599">
        <v>11</v>
      </c>
      <c r="D2599" t="s">
        <v>445</v>
      </c>
      <c r="E2599" s="217">
        <v>45170</v>
      </c>
      <c r="F2599">
        <v>13057</v>
      </c>
      <c r="G2599" t="s">
        <v>261</v>
      </c>
    </row>
    <row r="2600" spans="1:7">
      <c r="A2600" s="216">
        <v>45170</v>
      </c>
      <c r="B2600" t="s">
        <v>53</v>
      </c>
      <c r="C2600">
        <v>11</v>
      </c>
      <c r="D2600" t="s">
        <v>445</v>
      </c>
      <c r="E2600" s="217">
        <v>45170</v>
      </c>
      <c r="F2600">
        <v>23324</v>
      </c>
      <c r="G2600" t="s">
        <v>262</v>
      </c>
    </row>
    <row r="2601" spans="1:7">
      <c r="A2601" s="216">
        <v>45170</v>
      </c>
      <c r="B2601" t="s">
        <v>53</v>
      </c>
      <c r="C2601">
        <v>11</v>
      </c>
      <c r="D2601" t="s">
        <v>445</v>
      </c>
      <c r="E2601" s="217">
        <v>45170</v>
      </c>
      <c r="F2601">
        <v>192374.7</v>
      </c>
      <c r="G2601" t="s">
        <v>434</v>
      </c>
    </row>
    <row r="2602" spans="1:7">
      <c r="A2602" s="216">
        <v>45170</v>
      </c>
      <c r="B2602" t="s">
        <v>53</v>
      </c>
      <c r="C2602">
        <v>12</v>
      </c>
      <c r="D2602" t="s">
        <v>454</v>
      </c>
      <c r="E2602" s="217">
        <v>45170</v>
      </c>
      <c r="F2602">
        <v>0</v>
      </c>
      <c r="G2602" t="s">
        <v>251</v>
      </c>
    </row>
    <row r="2603" spans="1:7">
      <c r="A2603" s="216">
        <v>45170</v>
      </c>
      <c r="B2603" t="s">
        <v>53</v>
      </c>
      <c r="C2603">
        <v>12</v>
      </c>
      <c r="D2603" t="s">
        <v>454</v>
      </c>
      <c r="E2603" s="217">
        <v>45170</v>
      </c>
      <c r="F2603">
        <v>0</v>
      </c>
      <c r="G2603" t="s">
        <v>252</v>
      </c>
    </row>
    <row r="2604" spans="1:7">
      <c r="A2604" s="216">
        <v>45170</v>
      </c>
      <c r="B2604" t="s">
        <v>53</v>
      </c>
      <c r="C2604">
        <v>12</v>
      </c>
      <c r="D2604" t="s">
        <v>454</v>
      </c>
      <c r="E2604" s="217">
        <v>45170</v>
      </c>
      <c r="F2604">
        <v>0</v>
      </c>
      <c r="G2604" t="s">
        <v>253</v>
      </c>
    </row>
    <row r="2605" spans="1:7">
      <c r="A2605" s="216">
        <v>45170</v>
      </c>
      <c r="B2605" t="s">
        <v>53</v>
      </c>
      <c r="C2605">
        <v>12</v>
      </c>
      <c r="D2605" t="s">
        <v>454</v>
      </c>
      <c r="E2605" s="217">
        <v>45170</v>
      </c>
      <c r="F2605">
        <v>0</v>
      </c>
      <c r="G2605" t="s">
        <v>254</v>
      </c>
    </row>
    <row r="2606" spans="1:7">
      <c r="A2606" s="216">
        <v>45170</v>
      </c>
      <c r="B2606" t="s">
        <v>53</v>
      </c>
      <c r="C2606">
        <v>12</v>
      </c>
      <c r="D2606" t="s">
        <v>454</v>
      </c>
      <c r="E2606" s="217">
        <v>45170</v>
      </c>
      <c r="F2606">
        <v>0</v>
      </c>
      <c r="G2606" t="s">
        <v>255</v>
      </c>
    </row>
    <row r="2607" spans="1:7">
      <c r="A2607" s="216">
        <v>45170</v>
      </c>
      <c r="B2607" t="s">
        <v>53</v>
      </c>
      <c r="C2607">
        <v>12</v>
      </c>
      <c r="D2607" t="s">
        <v>454</v>
      </c>
      <c r="E2607" s="217">
        <v>45170</v>
      </c>
      <c r="F2607">
        <v>0</v>
      </c>
      <c r="G2607" t="s">
        <v>256</v>
      </c>
    </row>
    <row r="2608" spans="1:7">
      <c r="A2608" s="216">
        <v>45170</v>
      </c>
      <c r="B2608" t="s">
        <v>53</v>
      </c>
      <c r="C2608">
        <v>12</v>
      </c>
      <c r="D2608" t="s">
        <v>454</v>
      </c>
      <c r="E2608" s="217">
        <v>45170</v>
      </c>
      <c r="F2608">
        <v>0</v>
      </c>
      <c r="G2608" t="s">
        <v>257</v>
      </c>
    </row>
    <row r="2609" spans="1:7">
      <c r="A2609" s="216">
        <v>45170</v>
      </c>
      <c r="B2609" t="s">
        <v>53</v>
      </c>
      <c r="C2609">
        <v>12</v>
      </c>
      <c r="D2609" t="s">
        <v>454</v>
      </c>
      <c r="E2609" s="217">
        <v>45170</v>
      </c>
      <c r="F2609">
        <v>0</v>
      </c>
      <c r="G2609" t="s">
        <v>258</v>
      </c>
    </row>
    <row r="2610" spans="1:7">
      <c r="A2610" s="216">
        <v>45170</v>
      </c>
      <c r="B2610" t="s">
        <v>53</v>
      </c>
      <c r="C2610">
        <v>12</v>
      </c>
      <c r="D2610" t="s">
        <v>454</v>
      </c>
      <c r="E2610" s="217">
        <v>45170</v>
      </c>
      <c r="F2610">
        <v>0</v>
      </c>
      <c r="G2610" t="s">
        <v>259</v>
      </c>
    </row>
    <row r="2611" spans="1:7">
      <c r="A2611" s="216">
        <v>45170</v>
      </c>
      <c r="B2611" t="s">
        <v>53</v>
      </c>
      <c r="C2611">
        <v>12</v>
      </c>
      <c r="D2611" t="s">
        <v>454</v>
      </c>
      <c r="E2611" s="217">
        <v>45170</v>
      </c>
      <c r="F2611">
        <v>0</v>
      </c>
      <c r="G2611" t="s">
        <v>260</v>
      </c>
    </row>
    <row r="2612" spans="1:7">
      <c r="A2612" s="216">
        <v>45170</v>
      </c>
      <c r="B2612" t="s">
        <v>53</v>
      </c>
      <c r="C2612">
        <v>12</v>
      </c>
      <c r="D2612" t="s">
        <v>454</v>
      </c>
      <c r="E2612" s="217">
        <v>45170</v>
      </c>
      <c r="F2612">
        <v>0</v>
      </c>
      <c r="G2612" t="s">
        <v>261</v>
      </c>
    </row>
    <row r="2613" spans="1:7">
      <c r="A2613" s="216">
        <v>45170</v>
      </c>
      <c r="B2613" t="s">
        <v>53</v>
      </c>
      <c r="C2613">
        <v>12</v>
      </c>
      <c r="D2613" t="s">
        <v>454</v>
      </c>
      <c r="E2613" s="217">
        <v>45170</v>
      </c>
      <c r="F2613">
        <v>0</v>
      </c>
      <c r="G2613" t="s">
        <v>262</v>
      </c>
    </row>
    <row r="2614" spans="1:7">
      <c r="A2614" s="216">
        <v>45170</v>
      </c>
      <c r="B2614" t="s">
        <v>53</v>
      </c>
      <c r="C2614">
        <v>12</v>
      </c>
      <c r="D2614" t="s">
        <v>454</v>
      </c>
      <c r="E2614" s="217">
        <v>45170</v>
      </c>
      <c r="F2614">
        <v>0</v>
      </c>
      <c r="G2614" t="s">
        <v>434</v>
      </c>
    </row>
    <row r="2615" spans="1:7">
      <c r="A2615" s="216">
        <v>45170</v>
      </c>
      <c r="B2615" t="s">
        <v>53</v>
      </c>
      <c r="C2615">
        <v>13</v>
      </c>
      <c r="D2615" t="s">
        <v>441</v>
      </c>
      <c r="E2615" s="217">
        <v>45170</v>
      </c>
      <c r="F2615">
        <v>0</v>
      </c>
      <c r="G2615" t="s">
        <v>251</v>
      </c>
    </row>
    <row r="2616" spans="1:7">
      <c r="A2616" s="216">
        <v>45170</v>
      </c>
      <c r="B2616" t="s">
        <v>53</v>
      </c>
      <c r="C2616">
        <v>13</v>
      </c>
      <c r="D2616" t="s">
        <v>441</v>
      </c>
      <c r="E2616" s="217">
        <v>45170</v>
      </c>
      <c r="F2616">
        <v>0</v>
      </c>
      <c r="G2616" t="s">
        <v>252</v>
      </c>
    </row>
    <row r="2617" spans="1:7">
      <c r="A2617" s="216">
        <v>45170</v>
      </c>
      <c r="B2617" t="s">
        <v>53</v>
      </c>
      <c r="C2617">
        <v>13</v>
      </c>
      <c r="D2617" t="s">
        <v>441</v>
      </c>
      <c r="E2617" s="217">
        <v>45170</v>
      </c>
      <c r="F2617">
        <v>0</v>
      </c>
      <c r="G2617" t="s">
        <v>253</v>
      </c>
    </row>
    <row r="2618" spans="1:7">
      <c r="A2618" s="216">
        <v>45170</v>
      </c>
      <c r="B2618" t="s">
        <v>53</v>
      </c>
      <c r="C2618">
        <v>13</v>
      </c>
      <c r="D2618" t="s">
        <v>441</v>
      </c>
      <c r="E2618" s="217">
        <v>45170</v>
      </c>
      <c r="F2618">
        <v>0</v>
      </c>
      <c r="G2618" t="s">
        <v>254</v>
      </c>
    </row>
    <row r="2619" spans="1:7">
      <c r="A2619" s="216">
        <v>45170</v>
      </c>
      <c r="B2619" t="s">
        <v>53</v>
      </c>
      <c r="C2619">
        <v>13</v>
      </c>
      <c r="D2619" t="s">
        <v>441</v>
      </c>
      <c r="E2619" s="217">
        <v>45170</v>
      </c>
      <c r="F2619">
        <v>0</v>
      </c>
      <c r="G2619" t="s">
        <v>255</v>
      </c>
    </row>
    <row r="2620" spans="1:7">
      <c r="A2620" s="216">
        <v>45170</v>
      </c>
      <c r="B2620" t="s">
        <v>53</v>
      </c>
      <c r="C2620">
        <v>13</v>
      </c>
      <c r="D2620" t="s">
        <v>441</v>
      </c>
      <c r="E2620" s="217">
        <v>45170</v>
      </c>
      <c r="F2620">
        <v>0</v>
      </c>
      <c r="G2620" t="s">
        <v>256</v>
      </c>
    </row>
    <row r="2621" spans="1:7">
      <c r="A2621" s="216">
        <v>45170</v>
      </c>
      <c r="B2621" t="s">
        <v>53</v>
      </c>
      <c r="C2621">
        <v>13</v>
      </c>
      <c r="D2621" t="s">
        <v>441</v>
      </c>
      <c r="E2621" s="217">
        <v>45170</v>
      </c>
      <c r="F2621">
        <v>0</v>
      </c>
      <c r="G2621" t="s">
        <v>257</v>
      </c>
    </row>
    <row r="2622" spans="1:7">
      <c r="A2622" s="216">
        <v>45170</v>
      </c>
      <c r="B2622" t="s">
        <v>53</v>
      </c>
      <c r="C2622">
        <v>13</v>
      </c>
      <c r="D2622" t="s">
        <v>441</v>
      </c>
      <c r="E2622" s="217">
        <v>45170</v>
      </c>
      <c r="F2622">
        <v>0</v>
      </c>
      <c r="G2622" t="s">
        <v>258</v>
      </c>
    </row>
    <row r="2623" spans="1:7">
      <c r="A2623" s="216">
        <v>45170</v>
      </c>
      <c r="B2623" t="s">
        <v>53</v>
      </c>
      <c r="C2623">
        <v>13</v>
      </c>
      <c r="D2623" t="s">
        <v>441</v>
      </c>
      <c r="E2623" s="217">
        <v>45170</v>
      </c>
      <c r="F2623">
        <v>0</v>
      </c>
      <c r="G2623" t="s">
        <v>259</v>
      </c>
    </row>
    <row r="2624" spans="1:7">
      <c r="A2624" s="216">
        <v>45170</v>
      </c>
      <c r="B2624" t="s">
        <v>53</v>
      </c>
      <c r="C2624">
        <v>13</v>
      </c>
      <c r="D2624" t="s">
        <v>441</v>
      </c>
      <c r="E2624" s="217">
        <v>45170</v>
      </c>
      <c r="F2624">
        <v>0</v>
      </c>
      <c r="G2624" t="s">
        <v>260</v>
      </c>
    </row>
    <row r="2625" spans="1:7">
      <c r="A2625" s="216">
        <v>45170</v>
      </c>
      <c r="B2625" t="s">
        <v>53</v>
      </c>
      <c r="C2625">
        <v>13</v>
      </c>
      <c r="D2625" t="s">
        <v>441</v>
      </c>
      <c r="E2625" s="217">
        <v>45170</v>
      </c>
      <c r="F2625">
        <v>0</v>
      </c>
      <c r="G2625" t="s">
        <v>261</v>
      </c>
    </row>
    <row r="2626" spans="1:7">
      <c r="A2626" s="216">
        <v>45170</v>
      </c>
      <c r="B2626" t="s">
        <v>53</v>
      </c>
      <c r="C2626">
        <v>13</v>
      </c>
      <c r="D2626" t="s">
        <v>441</v>
      </c>
      <c r="E2626" s="217">
        <v>45170</v>
      </c>
      <c r="F2626">
        <v>0</v>
      </c>
      <c r="G2626" t="s">
        <v>262</v>
      </c>
    </row>
    <row r="2627" spans="1:7">
      <c r="A2627" s="216">
        <v>45170</v>
      </c>
      <c r="B2627" t="s">
        <v>53</v>
      </c>
      <c r="C2627">
        <v>13</v>
      </c>
      <c r="D2627" t="s">
        <v>441</v>
      </c>
      <c r="E2627" s="217">
        <v>45170</v>
      </c>
      <c r="F2627">
        <v>0</v>
      </c>
      <c r="G2627" t="s">
        <v>434</v>
      </c>
    </row>
    <row r="2628" spans="1:7">
      <c r="A2628" s="216">
        <v>45170</v>
      </c>
      <c r="B2628" t="s">
        <v>53</v>
      </c>
      <c r="C2628">
        <v>14</v>
      </c>
      <c r="D2628" t="s">
        <v>447</v>
      </c>
      <c r="E2628" s="217">
        <v>45170</v>
      </c>
      <c r="F2628">
        <v>0</v>
      </c>
      <c r="G2628" t="s">
        <v>251</v>
      </c>
    </row>
    <row r="2629" spans="1:7">
      <c r="A2629" s="216">
        <v>45170</v>
      </c>
      <c r="B2629" t="s">
        <v>53</v>
      </c>
      <c r="C2629">
        <v>14</v>
      </c>
      <c r="D2629" t="s">
        <v>447</v>
      </c>
      <c r="E2629" s="217">
        <v>45170</v>
      </c>
      <c r="F2629">
        <v>0</v>
      </c>
      <c r="G2629" t="s">
        <v>252</v>
      </c>
    </row>
    <row r="2630" spans="1:7">
      <c r="A2630" s="216">
        <v>45170</v>
      </c>
      <c r="B2630" t="s">
        <v>53</v>
      </c>
      <c r="C2630">
        <v>14</v>
      </c>
      <c r="D2630" t="s">
        <v>447</v>
      </c>
      <c r="E2630" s="217">
        <v>45170</v>
      </c>
      <c r="F2630">
        <v>0</v>
      </c>
      <c r="G2630" t="s">
        <v>253</v>
      </c>
    </row>
    <row r="2631" spans="1:7">
      <c r="A2631" s="216">
        <v>45170</v>
      </c>
      <c r="B2631" t="s">
        <v>53</v>
      </c>
      <c r="C2631">
        <v>14</v>
      </c>
      <c r="D2631" t="s">
        <v>447</v>
      </c>
      <c r="E2631" s="217">
        <v>45170</v>
      </c>
      <c r="F2631">
        <v>0</v>
      </c>
      <c r="G2631" t="s">
        <v>254</v>
      </c>
    </row>
    <row r="2632" spans="1:7">
      <c r="A2632" s="216">
        <v>45170</v>
      </c>
      <c r="B2632" t="s">
        <v>53</v>
      </c>
      <c r="C2632">
        <v>14</v>
      </c>
      <c r="D2632" t="s">
        <v>447</v>
      </c>
      <c r="E2632" s="217">
        <v>45170</v>
      </c>
      <c r="F2632">
        <v>0</v>
      </c>
      <c r="G2632" t="s">
        <v>255</v>
      </c>
    </row>
    <row r="2633" spans="1:7">
      <c r="A2633" s="216">
        <v>45170</v>
      </c>
      <c r="B2633" t="s">
        <v>53</v>
      </c>
      <c r="C2633">
        <v>14</v>
      </c>
      <c r="D2633" t="s">
        <v>447</v>
      </c>
      <c r="E2633" s="217">
        <v>45170</v>
      </c>
      <c r="F2633">
        <v>0</v>
      </c>
      <c r="G2633" t="s">
        <v>256</v>
      </c>
    </row>
    <row r="2634" spans="1:7">
      <c r="A2634" s="216">
        <v>45170</v>
      </c>
      <c r="B2634" t="s">
        <v>53</v>
      </c>
      <c r="C2634">
        <v>14</v>
      </c>
      <c r="D2634" t="s">
        <v>447</v>
      </c>
      <c r="E2634" s="217">
        <v>45170</v>
      </c>
      <c r="F2634">
        <v>0</v>
      </c>
      <c r="G2634" t="s">
        <v>257</v>
      </c>
    </row>
    <row r="2635" spans="1:7">
      <c r="A2635" s="216">
        <v>45170</v>
      </c>
      <c r="B2635" t="s">
        <v>53</v>
      </c>
      <c r="C2635">
        <v>14</v>
      </c>
      <c r="D2635" t="s">
        <v>447</v>
      </c>
      <c r="E2635" s="217">
        <v>45170</v>
      </c>
      <c r="F2635">
        <v>0</v>
      </c>
      <c r="G2635" t="s">
        <v>258</v>
      </c>
    </row>
    <row r="2636" spans="1:7">
      <c r="A2636" s="216">
        <v>45170</v>
      </c>
      <c r="B2636" t="s">
        <v>53</v>
      </c>
      <c r="C2636">
        <v>14</v>
      </c>
      <c r="D2636" t="s">
        <v>447</v>
      </c>
      <c r="E2636" s="217">
        <v>45170</v>
      </c>
      <c r="F2636">
        <v>0</v>
      </c>
      <c r="G2636" t="s">
        <v>259</v>
      </c>
    </row>
    <row r="2637" spans="1:7">
      <c r="A2637" s="216">
        <v>45170</v>
      </c>
      <c r="B2637" t="s">
        <v>53</v>
      </c>
      <c r="C2637">
        <v>14</v>
      </c>
      <c r="D2637" t="s">
        <v>447</v>
      </c>
      <c r="E2637" s="217">
        <v>45170</v>
      </c>
      <c r="F2637">
        <v>0</v>
      </c>
      <c r="G2637" t="s">
        <v>260</v>
      </c>
    </row>
    <row r="2638" spans="1:7">
      <c r="A2638" s="216">
        <v>45170</v>
      </c>
      <c r="B2638" t="s">
        <v>53</v>
      </c>
      <c r="C2638">
        <v>14</v>
      </c>
      <c r="D2638" t="s">
        <v>447</v>
      </c>
      <c r="E2638" s="217">
        <v>45170</v>
      </c>
      <c r="F2638">
        <v>0</v>
      </c>
      <c r="G2638" t="s">
        <v>261</v>
      </c>
    </row>
    <row r="2639" spans="1:7">
      <c r="A2639" s="216">
        <v>45170</v>
      </c>
      <c r="B2639" t="s">
        <v>53</v>
      </c>
      <c r="C2639">
        <v>14</v>
      </c>
      <c r="D2639" t="s">
        <v>447</v>
      </c>
      <c r="E2639" s="217">
        <v>45170</v>
      </c>
      <c r="F2639">
        <v>0</v>
      </c>
      <c r="G2639" t="s">
        <v>262</v>
      </c>
    </row>
    <row r="2640" spans="1:7">
      <c r="A2640" s="216">
        <v>45170</v>
      </c>
      <c r="B2640" t="s">
        <v>53</v>
      </c>
      <c r="C2640">
        <v>14</v>
      </c>
      <c r="D2640" t="s">
        <v>447</v>
      </c>
      <c r="E2640" s="217">
        <v>45170</v>
      </c>
      <c r="F2640">
        <v>0</v>
      </c>
      <c r="G2640" t="s">
        <v>434</v>
      </c>
    </row>
    <row r="2641" spans="1:7">
      <c r="A2641" s="216">
        <v>45170</v>
      </c>
      <c r="B2641" t="s">
        <v>53</v>
      </c>
      <c r="C2641">
        <v>15</v>
      </c>
      <c r="D2641" t="s">
        <v>437</v>
      </c>
      <c r="E2641" s="217">
        <v>45170</v>
      </c>
      <c r="F2641">
        <v>0</v>
      </c>
      <c r="G2641" t="s">
        <v>251</v>
      </c>
    </row>
    <row r="2642" spans="1:7">
      <c r="A2642" s="216">
        <v>45170</v>
      </c>
      <c r="B2642" t="s">
        <v>53</v>
      </c>
      <c r="C2642">
        <v>15</v>
      </c>
      <c r="D2642" t="s">
        <v>437</v>
      </c>
      <c r="E2642" s="217">
        <v>45170</v>
      </c>
      <c r="F2642">
        <v>0</v>
      </c>
      <c r="G2642" t="s">
        <v>252</v>
      </c>
    </row>
    <row r="2643" spans="1:7">
      <c r="A2643" s="216">
        <v>45170</v>
      </c>
      <c r="B2643" t="s">
        <v>53</v>
      </c>
      <c r="C2643">
        <v>15</v>
      </c>
      <c r="D2643" t="s">
        <v>437</v>
      </c>
      <c r="E2643" s="217">
        <v>45170</v>
      </c>
      <c r="F2643">
        <v>0</v>
      </c>
      <c r="G2643" t="s">
        <v>253</v>
      </c>
    </row>
    <row r="2644" spans="1:7">
      <c r="A2644" s="216">
        <v>45170</v>
      </c>
      <c r="B2644" t="s">
        <v>53</v>
      </c>
      <c r="C2644">
        <v>15</v>
      </c>
      <c r="D2644" t="s">
        <v>437</v>
      </c>
      <c r="E2644" s="217">
        <v>45170</v>
      </c>
      <c r="F2644">
        <v>0</v>
      </c>
      <c r="G2644" t="s">
        <v>254</v>
      </c>
    </row>
    <row r="2645" spans="1:7">
      <c r="A2645" s="216">
        <v>45170</v>
      </c>
      <c r="B2645" t="s">
        <v>53</v>
      </c>
      <c r="C2645">
        <v>15</v>
      </c>
      <c r="D2645" t="s">
        <v>437</v>
      </c>
      <c r="E2645" s="217">
        <v>45170</v>
      </c>
      <c r="F2645">
        <v>0</v>
      </c>
      <c r="G2645" t="s">
        <v>255</v>
      </c>
    </row>
    <row r="2646" spans="1:7">
      <c r="A2646" s="216">
        <v>45170</v>
      </c>
      <c r="B2646" t="s">
        <v>53</v>
      </c>
      <c r="C2646">
        <v>15</v>
      </c>
      <c r="D2646" t="s">
        <v>437</v>
      </c>
      <c r="E2646" s="217">
        <v>45170</v>
      </c>
      <c r="F2646">
        <v>0</v>
      </c>
      <c r="G2646" t="s">
        <v>256</v>
      </c>
    </row>
    <row r="2647" spans="1:7">
      <c r="A2647" s="216">
        <v>45170</v>
      </c>
      <c r="B2647" t="s">
        <v>53</v>
      </c>
      <c r="C2647">
        <v>15</v>
      </c>
      <c r="D2647" t="s">
        <v>437</v>
      </c>
      <c r="E2647" s="217">
        <v>45170</v>
      </c>
      <c r="F2647">
        <v>0</v>
      </c>
      <c r="G2647" t="s">
        <v>257</v>
      </c>
    </row>
    <row r="2648" spans="1:7">
      <c r="A2648" s="216">
        <v>45170</v>
      </c>
      <c r="B2648" t="s">
        <v>53</v>
      </c>
      <c r="C2648">
        <v>15</v>
      </c>
      <c r="D2648" t="s">
        <v>437</v>
      </c>
      <c r="E2648" s="217">
        <v>45170</v>
      </c>
      <c r="F2648">
        <v>0</v>
      </c>
      <c r="G2648" t="s">
        <v>258</v>
      </c>
    </row>
    <row r="2649" spans="1:7">
      <c r="A2649" s="216">
        <v>45170</v>
      </c>
      <c r="B2649" t="s">
        <v>53</v>
      </c>
      <c r="C2649">
        <v>15</v>
      </c>
      <c r="D2649" t="s">
        <v>437</v>
      </c>
      <c r="E2649" s="217">
        <v>45170</v>
      </c>
      <c r="F2649">
        <v>0</v>
      </c>
      <c r="G2649" t="s">
        <v>259</v>
      </c>
    </row>
    <row r="2650" spans="1:7">
      <c r="A2650" s="216">
        <v>45170</v>
      </c>
      <c r="B2650" t="s">
        <v>53</v>
      </c>
      <c r="C2650">
        <v>15</v>
      </c>
      <c r="D2650" t="s">
        <v>437</v>
      </c>
      <c r="E2650" s="217">
        <v>45170</v>
      </c>
      <c r="F2650">
        <v>0</v>
      </c>
      <c r="G2650" t="s">
        <v>260</v>
      </c>
    </row>
    <row r="2651" spans="1:7">
      <c r="A2651" s="216">
        <v>45170</v>
      </c>
      <c r="B2651" t="s">
        <v>53</v>
      </c>
      <c r="C2651">
        <v>15</v>
      </c>
      <c r="D2651" t="s">
        <v>437</v>
      </c>
      <c r="E2651" s="217">
        <v>45170</v>
      </c>
      <c r="F2651">
        <v>0</v>
      </c>
      <c r="G2651" t="s">
        <v>261</v>
      </c>
    </row>
    <row r="2652" spans="1:7">
      <c r="A2652" s="216">
        <v>45170</v>
      </c>
      <c r="B2652" t="s">
        <v>53</v>
      </c>
      <c r="C2652">
        <v>15</v>
      </c>
      <c r="D2652" t="s">
        <v>437</v>
      </c>
      <c r="E2652" s="217">
        <v>45170</v>
      </c>
      <c r="F2652">
        <v>0</v>
      </c>
      <c r="G2652" t="s">
        <v>262</v>
      </c>
    </row>
    <row r="2653" spans="1:7">
      <c r="A2653" s="216">
        <v>45170</v>
      </c>
      <c r="B2653" t="s">
        <v>53</v>
      </c>
      <c r="C2653">
        <v>15</v>
      </c>
      <c r="D2653" t="s">
        <v>437</v>
      </c>
      <c r="E2653" s="217">
        <v>45170</v>
      </c>
      <c r="F2653">
        <v>0</v>
      </c>
      <c r="G2653" t="s">
        <v>434</v>
      </c>
    </row>
    <row r="2654" spans="1:7">
      <c r="A2654" s="216">
        <v>45170</v>
      </c>
      <c r="B2654" t="s">
        <v>53</v>
      </c>
      <c r="C2654">
        <v>16</v>
      </c>
      <c r="D2654" t="s">
        <v>449</v>
      </c>
      <c r="E2654" s="217">
        <v>45170</v>
      </c>
      <c r="F2654">
        <v>0</v>
      </c>
      <c r="G2654" t="s">
        <v>251</v>
      </c>
    </row>
    <row r="2655" spans="1:7">
      <c r="A2655" s="216">
        <v>45170</v>
      </c>
      <c r="B2655" t="s">
        <v>53</v>
      </c>
      <c r="C2655">
        <v>16</v>
      </c>
      <c r="D2655" t="s">
        <v>449</v>
      </c>
      <c r="E2655" s="217">
        <v>45170</v>
      </c>
      <c r="F2655">
        <v>0</v>
      </c>
      <c r="G2655" t="s">
        <v>252</v>
      </c>
    </row>
    <row r="2656" spans="1:7">
      <c r="A2656" s="216">
        <v>45170</v>
      </c>
      <c r="B2656" t="s">
        <v>53</v>
      </c>
      <c r="C2656">
        <v>16</v>
      </c>
      <c r="D2656" t="s">
        <v>449</v>
      </c>
      <c r="E2656" s="217">
        <v>45170</v>
      </c>
      <c r="F2656">
        <v>0</v>
      </c>
      <c r="G2656" t="s">
        <v>253</v>
      </c>
    </row>
    <row r="2657" spans="1:7">
      <c r="A2657" s="216">
        <v>45170</v>
      </c>
      <c r="B2657" t="s">
        <v>53</v>
      </c>
      <c r="C2657">
        <v>16</v>
      </c>
      <c r="D2657" t="s">
        <v>449</v>
      </c>
      <c r="E2657" s="217">
        <v>45170</v>
      </c>
      <c r="F2657">
        <v>0</v>
      </c>
      <c r="G2657" t="s">
        <v>254</v>
      </c>
    </row>
    <row r="2658" spans="1:7">
      <c r="A2658" s="216">
        <v>45170</v>
      </c>
      <c r="B2658" t="s">
        <v>53</v>
      </c>
      <c r="C2658">
        <v>16</v>
      </c>
      <c r="D2658" t="s">
        <v>449</v>
      </c>
      <c r="E2658" s="217">
        <v>45170</v>
      </c>
      <c r="F2658">
        <v>0</v>
      </c>
      <c r="G2658" t="s">
        <v>255</v>
      </c>
    </row>
    <row r="2659" spans="1:7">
      <c r="A2659" s="216">
        <v>45170</v>
      </c>
      <c r="B2659" t="s">
        <v>53</v>
      </c>
      <c r="C2659">
        <v>16</v>
      </c>
      <c r="D2659" t="s">
        <v>449</v>
      </c>
      <c r="E2659" s="217">
        <v>45170</v>
      </c>
      <c r="F2659">
        <v>0</v>
      </c>
      <c r="G2659" t="s">
        <v>256</v>
      </c>
    </row>
    <row r="2660" spans="1:7">
      <c r="A2660" s="216">
        <v>45170</v>
      </c>
      <c r="B2660" t="s">
        <v>53</v>
      </c>
      <c r="C2660">
        <v>16</v>
      </c>
      <c r="D2660" t="s">
        <v>449</v>
      </c>
      <c r="E2660" s="217">
        <v>45170</v>
      </c>
      <c r="F2660">
        <v>0</v>
      </c>
      <c r="G2660" t="s">
        <v>257</v>
      </c>
    </row>
    <row r="2661" spans="1:7">
      <c r="A2661" s="216">
        <v>45170</v>
      </c>
      <c r="B2661" t="s">
        <v>53</v>
      </c>
      <c r="C2661">
        <v>16</v>
      </c>
      <c r="D2661" t="s">
        <v>449</v>
      </c>
      <c r="E2661" s="217">
        <v>45170</v>
      </c>
      <c r="F2661">
        <v>0</v>
      </c>
      <c r="G2661" t="s">
        <v>258</v>
      </c>
    </row>
    <row r="2662" spans="1:7">
      <c r="A2662" s="216">
        <v>45170</v>
      </c>
      <c r="B2662" t="s">
        <v>53</v>
      </c>
      <c r="C2662">
        <v>16</v>
      </c>
      <c r="D2662" t="s">
        <v>449</v>
      </c>
      <c r="E2662" s="217">
        <v>45170</v>
      </c>
      <c r="F2662">
        <v>0</v>
      </c>
      <c r="G2662" t="s">
        <v>259</v>
      </c>
    </row>
    <row r="2663" spans="1:7">
      <c r="A2663" s="216">
        <v>45170</v>
      </c>
      <c r="B2663" t="s">
        <v>53</v>
      </c>
      <c r="C2663">
        <v>16</v>
      </c>
      <c r="D2663" t="s">
        <v>449</v>
      </c>
      <c r="E2663" s="217">
        <v>45170</v>
      </c>
      <c r="F2663">
        <v>0</v>
      </c>
      <c r="G2663" t="s">
        <v>260</v>
      </c>
    </row>
    <row r="2664" spans="1:7">
      <c r="A2664" s="216">
        <v>45170</v>
      </c>
      <c r="B2664" t="s">
        <v>53</v>
      </c>
      <c r="C2664">
        <v>16</v>
      </c>
      <c r="D2664" t="s">
        <v>449</v>
      </c>
      <c r="E2664" s="217">
        <v>45170</v>
      </c>
      <c r="F2664">
        <v>0</v>
      </c>
      <c r="G2664" t="s">
        <v>261</v>
      </c>
    </row>
    <row r="2665" spans="1:7">
      <c r="A2665" s="216">
        <v>45170</v>
      </c>
      <c r="B2665" t="s">
        <v>53</v>
      </c>
      <c r="C2665">
        <v>16</v>
      </c>
      <c r="D2665" t="s">
        <v>449</v>
      </c>
      <c r="E2665" s="217">
        <v>45170</v>
      </c>
      <c r="F2665">
        <v>0</v>
      </c>
      <c r="G2665" t="s">
        <v>262</v>
      </c>
    </row>
    <row r="2666" spans="1:7">
      <c r="A2666" s="216">
        <v>45170</v>
      </c>
      <c r="B2666" t="s">
        <v>53</v>
      </c>
      <c r="C2666">
        <v>16</v>
      </c>
      <c r="D2666" t="s">
        <v>449</v>
      </c>
      <c r="E2666" s="217">
        <v>45170</v>
      </c>
      <c r="F2666">
        <v>0</v>
      </c>
      <c r="G2666" t="s">
        <v>434</v>
      </c>
    </row>
    <row r="2667" spans="1:7">
      <c r="A2667" s="216">
        <v>45170</v>
      </c>
      <c r="B2667" t="s">
        <v>53</v>
      </c>
      <c r="C2667">
        <v>17</v>
      </c>
      <c r="D2667" t="s">
        <v>443</v>
      </c>
      <c r="E2667" s="217">
        <v>45170</v>
      </c>
      <c r="F2667">
        <v>0</v>
      </c>
      <c r="G2667" t="s">
        <v>251</v>
      </c>
    </row>
    <row r="2668" spans="1:7">
      <c r="A2668" s="216">
        <v>45170</v>
      </c>
      <c r="B2668" t="s">
        <v>53</v>
      </c>
      <c r="C2668">
        <v>17</v>
      </c>
      <c r="D2668" t="s">
        <v>443</v>
      </c>
      <c r="E2668" s="217">
        <v>45170</v>
      </c>
      <c r="F2668">
        <v>0</v>
      </c>
      <c r="G2668" t="s">
        <v>252</v>
      </c>
    </row>
    <row r="2669" spans="1:7">
      <c r="A2669" s="216">
        <v>45170</v>
      </c>
      <c r="B2669" t="s">
        <v>53</v>
      </c>
      <c r="C2669">
        <v>17</v>
      </c>
      <c r="D2669" t="s">
        <v>443</v>
      </c>
      <c r="E2669" s="217">
        <v>45170</v>
      </c>
      <c r="F2669">
        <v>0</v>
      </c>
      <c r="G2669" t="s">
        <v>253</v>
      </c>
    </row>
    <row r="2670" spans="1:7">
      <c r="A2670" s="216">
        <v>45170</v>
      </c>
      <c r="B2670" t="s">
        <v>53</v>
      </c>
      <c r="C2670">
        <v>17</v>
      </c>
      <c r="D2670" t="s">
        <v>443</v>
      </c>
      <c r="E2670" s="217">
        <v>45170</v>
      </c>
      <c r="F2670">
        <v>0</v>
      </c>
      <c r="G2670" t="s">
        <v>254</v>
      </c>
    </row>
    <row r="2671" spans="1:7">
      <c r="A2671" s="216">
        <v>45170</v>
      </c>
      <c r="B2671" t="s">
        <v>53</v>
      </c>
      <c r="C2671">
        <v>17</v>
      </c>
      <c r="D2671" t="s">
        <v>443</v>
      </c>
      <c r="E2671" s="217">
        <v>45170</v>
      </c>
      <c r="F2671">
        <v>0</v>
      </c>
      <c r="G2671" t="s">
        <v>255</v>
      </c>
    </row>
    <row r="2672" spans="1:7">
      <c r="A2672" s="216">
        <v>45170</v>
      </c>
      <c r="B2672" t="s">
        <v>53</v>
      </c>
      <c r="C2672">
        <v>17</v>
      </c>
      <c r="D2672" t="s">
        <v>443</v>
      </c>
      <c r="E2672" s="217">
        <v>45170</v>
      </c>
      <c r="F2672">
        <v>0</v>
      </c>
      <c r="G2672" t="s">
        <v>256</v>
      </c>
    </row>
    <row r="2673" spans="1:7">
      <c r="A2673" s="216">
        <v>45170</v>
      </c>
      <c r="B2673" t="s">
        <v>53</v>
      </c>
      <c r="C2673">
        <v>17</v>
      </c>
      <c r="D2673" t="s">
        <v>443</v>
      </c>
      <c r="E2673" s="217">
        <v>45170</v>
      </c>
      <c r="F2673">
        <v>0</v>
      </c>
      <c r="G2673" t="s">
        <v>257</v>
      </c>
    </row>
    <row r="2674" spans="1:7">
      <c r="A2674" s="216">
        <v>45170</v>
      </c>
      <c r="B2674" t="s">
        <v>53</v>
      </c>
      <c r="C2674">
        <v>17</v>
      </c>
      <c r="D2674" t="s">
        <v>443</v>
      </c>
      <c r="E2674" s="217">
        <v>45170</v>
      </c>
      <c r="F2674">
        <v>0</v>
      </c>
      <c r="G2674" t="s">
        <v>258</v>
      </c>
    </row>
    <row r="2675" spans="1:7">
      <c r="A2675" s="216">
        <v>45170</v>
      </c>
      <c r="B2675" t="s">
        <v>53</v>
      </c>
      <c r="C2675">
        <v>17</v>
      </c>
      <c r="D2675" t="s">
        <v>443</v>
      </c>
      <c r="E2675" s="217">
        <v>45170</v>
      </c>
      <c r="F2675">
        <v>0</v>
      </c>
      <c r="G2675" t="s">
        <v>259</v>
      </c>
    </row>
    <row r="2676" spans="1:7">
      <c r="A2676" s="216">
        <v>45170</v>
      </c>
      <c r="B2676" t="s">
        <v>53</v>
      </c>
      <c r="C2676">
        <v>17</v>
      </c>
      <c r="D2676" t="s">
        <v>443</v>
      </c>
      <c r="E2676" s="217">
        <v>45170</v>
      </c>
      <c r="F2676">
        <v>0</v>
      </c>
      <c r="G2676" t="s">
        <v>260</v>
      </c>
    </row>
    <row r="2677" spans="1:7">
      <c r="A2677" s="216">
        <v>45170</v>
      </c>
      <c r="B2677" t="s">
        <v>53</v>
      </c>
      <c r="C2677">
        <v>17</v>
      </c>
      <c r="D2677" t="s">
        <v>443</v>
      </c>
      <c r="E2677" s="217">
        <v>45170</v>
      </c>
      <c r="F2677">
        <v>0</v>
      </c>
      <c r="G2677" t="s">
        <v>261</v>
      </c>
    </row>
    <row r="2678" spans="1:7">
      <c r="A2678" s="216">
        <v>45170</v>
      </c>
      <c r="B2678" t="s">
        <v>53</v>
      </c>
      <c r="C2678">
        <v>17</v>
      </c>
      <c r="D2678" t="s">
        <v>443</v>
      </c>
      <c r="E2678" s="217">
        <v>45170</v>
      </c>
      <c r="F2678">
        <v>0</v>
      </c>
      <c r="G2678" t="s">
        <v>262</v>
      </c>
    </row>
    <row r="2679" spans="1:7">
      <c r="A2679" s="216">
        <v>45170</v>
      </c>
      <c r="B2679" t="s">
        <v>53</v>
      </c>
      <c r="C2679">
        <v>17</v>
      </c>
      <c r="D2679" t="s">
        <v>443</v>
      </c>
      <c r="E2679" s="217">
        <v>45170</v>
      </c>
      <c r="F2679">
        <v>0</v>
      </c>
      <c r="G2679" t="s">
        <v>434</v>
      </c>
    </row>
    <row r="2680" spans="1:7">
      <c r="A2680" s="216">
        <v>45170</v>
      </c>
      <c r="B2680" t="s">
        <v>53</v>
      </c>
      <c r="C2680">
        <v>18</v>
      </c>
      <c r="D2680" t="s">
        <v>444</v>
      </c>
      <c r="E2680" s="217">
        <v>45170</v>
      </c>
      <c r="F2680">
        <v>508</v>
      </c>
      <c r="G2680" t="s">
        <v>251</v>
      </c>
    </row>
    <row r="2681" spans="1:7">
      <c r="A2681" s="216">
        <v>45170</v>
      </c>
      <c r="B2681" t="s">
        <v>53</v>
      </c>
      <c r="C2681">
        <v>18</v>
      </c>
      <c r="D2681" t="s">
        <v>444</v>
      </c>
      <c r="E2681" s="217">
        <v>45170</v>
      </c>
      <c r="F2681">
        <v>1207</v>
      </c>
      <c r="G2681" t="s">
        <v>252</v>
      </c>
    </row>
    <row r="2682" spans="1:7">
      <c r="A2682" s="216">
        <v>45170</v>
      </c>
      <c r="B2682" t="s">
        <v>53</v>
      </c>
      <c r="C2682">
        <v>18</v>
      </c>
      <c r="D2682" t="s">
        <v>444</v>
      </c>
      <c r="E2682" s="217">
        <v>45170</v>
      </c>
      <c r="F2682">
        <v>4741</v>
      </c>
      <c r="G2682" t="s">
        <v>253</v>
      </c>
    </row>
    <row r="2683" spans="1:7">
      <c r="A2683" s="216">
        <v>45170</v>
      </c>
      <c r="B2683" t="s">
        <v>53</v>
      </c>
      <c r="C2683">
        <v>18</v>
      </c>
      <c r="D2683" t="s">
        <v>444</v>
      </c>
      <c r="E2683" s="217">
        <v>45170</v>
      </c>
      <c r="F2683">
        <v>5206</v>
      </c>
      <c r="G2683" t="s">
        <v>254</v>
      </c>
    </row>
    <row r="2684" spans="1:7">
      <c r="A2684" s="216">
        <v>45170</v>
      </c>
      <c r="B2684" t="s">
        <v>53</v>
      </c>
      <c r="C2684">
        <v>18</v>
      </c>
      <c r="D2684" t="s">
        <v>444</v>
      </c>
      <c r="E2684" s="217">
        <v>45170</v>
      </c>
      <c r="F2684">
        <v>1975</v>
      </c>
      <c r="G2684" t="s">
        <v>255</v>
      </c>
    </row>
    <row r="2685" spans="1:7">
      <c r="A2685" s="216">
        <v>45170</v>
      </c>
      <c r="B2685" t="s">
        <v>53</v>
      </c>
      <c r="C2685">
        <v>18</v>
      </c>
      <c r="D2685" t="s">
        <v>444</v>
      </c>
      <c r="E2685" s="217">
        <v>45170</v>
      </c>
      <c r="F2685">
        <v>5042</v>
      </c>
      <c r="G2685" t="s">
        <v>256</v>
      </c>
    </row>
    <row r="2686" spans="1:7">
      <c r="A2686" s="216">
        <v>45170</v>
      </c>
      <c r="B2686" t="s">
        <v>53</v>
      </c>
      <c r="C2686">
        <v>18</v>
      </c>
      <c r="D2686" t="s">
        <v>444</v>
      </c>
      <c r="E2686" s="217">
        <v>45170</v>
      </c>
      <c r="F2686">
        <v>19541.7278416667</v>
      </c>
      <c r="G2686" t="s">
        <v>257</v>
      </c>
    </row>
    <row r="2687" spans="1:7">
      <c r="A2687" s="216">
        <v>45170</v>
      </c>
      <c r="B2687" t="s">
        <v>53</v>
      </c>
      <c r="C2687">
        <v>18</v>
      </c>
      <c r="D2687" t="s">
        <v>444</v>
      </c>
      <c r="E2687" s="217">
        <v>45170</v>
      </c>
      <c r="F2687">
        <v>19541.7278416667</v>
      </c>
      <c r="G2687" t="s">
        <v>258</v>
      </c>
    </row>
    <row r="2688" spans="1:7">
      <c r="A2688" s="216">
        <v>45170</v>
      </c>
      <c r="B2688" t="s">
        <v>53</v>
      </c>
      <c r="C2688">
        <v>18</v>
      </c>
      <c r="D2688" t="s">
        <v>444</v>
      </c>
      <c r="E2688" s="217">
        <v>45170</v>
      </c>
      <c r="F2688">
        <v>19541.7278416667</v>
      </c>
      <c r="G2688" t="s">
        <v>259</v>
      </c>
    </row>
    <row r="2689" spans="1:7">
      <c r="A2689" s="216">
        <v>45170</v>
      </c>
      <c r="B2689" t="s">
        <v>53</v>
      </c>
      <c r="C2689">
        <v>18</v>
      </c>
      <c r="D2689" t="s">
        <v>444</v>
      </c>
      <c r="E2689" s="217">
        <v>45170</v>
      </c>
      <c r="F2689">
        <v>19541.7278416667</v>
      </c>
      <c r="G2689" t="s">
        <v>260</v>
      </c>
    </row>
    <row r="2690" spans="1:7">
      <c r="A2690" s="216">
        <v>45170</v>
      </c>
      <c r="B2690" t="s">
        <v>53</v>
      </c>
      <c r="C2690">
        <v>18</v>
      </c>
      <c r="D2690" t="s">
        <v>444</v>
      </c>
      <c r="E2690" s="217">
        <v>45170</v>
      </c>
      <c r="F2690">
        <v>19541.7278416667</v>
      </c>
      <c r="G2690" t="s">
        <v>261</v>
      </c>
    </row>
    <row r="2691" spans="1:7">
      <c r="A2691" s="216">
        <v>45170</v>
      </c>
      <c r="B2691" t="s">
        <v>53</v>
      </c>
      <c r="C2691">
        <v>18</v>
      </c>
      <c r="D2691" t="s">
        <v>444</v>
      </c>
      <c r="E2691" s="217">
        <v>45170</v>
      </c>
      <c r="F2691">
        <v>19541.7278416667</v>
      </c>
      <c r="G2691" t="s">
        <v>262</v>
      </c>
    </row>
    <row r="2692" spans="1:7">
      <c r="A2692" s="216">
        <v>45170</v>
      </c>
      <c r="B2692" t="s">
        <v>53</v>
      </c>
      <c r="C2692">
        <v>18</v>
      </c>
      <c r="D2692" t="s">
        <v>444</v>
      </c>
      <c r="E2692" s="217">
        <v>45170</v>
      </c>
      <c r="F2692">
        <v>135929.36705</v>
      </c>
      <c r="G2692" t="s">
        <v>434</v>
      </c>
    </row>
    <row r="2693" spans="1:7">
      <c r="A2693" s="216">
        <v>45170</v>
      </c>
      <c r="B2693" t="s">
        <v>53</v>
      </c>
      <c r="C2693">
        <v>19</v>
      </c>
      <c r="D2693" t="s">
        <v>440</v>
      </c>
      <c r="E2693" s="217">
        <v>45170</v>
      </c>
      <c r="F2693">
        <v>0</v>
      </c>
      <c r="G2693" t="s">
        <v>251</v>
      </c>
    </row>
    <row r="2694" spans="1:7">
      <c r="A2694" s="216">
        <v>45170</v>
      </c>
      <c r="B2694" t="s">
        <v>53</v>
      </c>
      <c r="C2694">
        <v>19</v>
      </c>
      <c r="D2694" t="s">
        <v>440</v>
      </c>
      <c r="E2694" s="217">
        <v>45170</v>
      </c>
      <c r="F2694">
        <v>0</v>
      </c>
      <c r="G2694" t="s">
        <v>252</v>
      </c>
    </row>
    <row r="2695" spans="1:7">
      <c r="A2695" s="216">
        <v>45170</v>
      </c>
      <c r="B2695" t="s">
        <v>53</v>
      </c>
      <c r="C2695">
        <v>19</v>
      </c>
      <c r="D2695" t="s">
        <v>440</v>
      </c>
      <c r="E2695" s="217">
        <v>45170</v>
      </c>
      <c r="F2695">
        <v>0</v>
      </c>
      <c r="G2695" t="s">
        <v>253</v>
      </c>
    </row>
    <row r="2696" spans="1:7">
      <c r="A2696" s="216">
        <v>45170</v>
      </c>
      <c r="B2696" t="s">
        <v>53</v>
      </c>
      <c r="C2696">
        <v>19</v>
      </c>
      <c r="D2696" t="s">
        <v>440</v>
      </c>
      <c r="E2696" s="217">
        <v>45170</v>
      </c>
      <c r="F2696">
        <v>0</v>
      </c>
      <c r="G2696" t="s">
        <v>254</v>
      </c>
    </row>
    <row r="2697" spans="1:7">
      <c r="A2697" s="216">
        <v>45170</v>
      </c>
      <c r="B2697" t="s">
        <v>53</v>
      </c>
      <c r="C2697">
        <v>19</v>
      </c>
      <c r="D2697" t="s">
        <v>440</v>
      </c>
      <c r="E2697" s="217">
        <v>45170</v>
      </c>
      <c r="F2697">
        <v>0</v>
      </c>
      <c r="G2697" t="s">
        <v>255</v>
      </c>
    </row>
    <row r="2698" spans="1:7">
      <c r="A2698" s="216">
        <v>45170</v>
      </c>
      <c r="B2698" t="s">
        <v>53</v>
      </c>
      <c r="C2698">
        <v>19</v>
      </c>
      <c r="D2698" t="s">
        <v>440</v>
      </c>
      <c r="E2698" s="217">
        <v>45170</v>
      </c>
      <c r="F2698">
        <v>0</v>
      </c>
      <c r="G2698" t="s">
        <v>256</v>
      </c>
    </row>
    <row r="2699" spans="1:7">
      <c r="A2699" s="216">
        <v>45170</v>
      </c>
      <c r="B2699" t="s">
        <v>53</v>
      </c>
      <c r="C2699">
        <v>19</v>
      </c>
      <c r="D2699" t="s">
        <v>440</v>
      </c>
      <c r="E2699" s="217">
        <v>45170</v>
      </c>
      <c r="F2699">
        <v>0</v>
      </c>
      <c r="G2699" t="s">
        <v>257</v>
      </c>
    </row>
    <row r="2700" spans="1:7">
      <c r="A2700" s="216">
        <v>45170</v>
      </c>
      <c r="B2700" t="s">
        <v>53</v>
      </c>
      <c r="C2700">
        <v>19</v>
      </c>
      <c r="D2700" t="s">
        <v>440</v>
      </c>
      <c r="E2700" s="217">
        <v>45170</v>
      </c>
      <c r="F2700">
        <v>0</v>
      </c>
      <c r="G2700" t="s">
        <v>258</v>
      </c>
    </row>
    <row r="2701" spans="1:7">
      <c r="A2701" s="216">
        <v>45170</v>
      </c>
      <c r="B2701" t="s">
        <v>53</v>
      </c>
      <c r="C2701">
        <v>19</v>
      </c>
      <c r="D2701" t="s">
        <v>440</v>
      </c>
      <c r="E2701" s="217">
        <v>45170</v>
      </c>
      <c r="F2701">
        <v>0</v>
      </c>
      <c r="G2701" t="s">
        <v>259</v>
      </c>
    </row>
    <row r="2702" spans="1:7">
      <c r="A2702" s="216">
        <v>45170</v>
      </c>
      <c r="B2702" t="s">
        <v>53</v>
      </c>
      <c r="C2702">
        <v>19</v>
      </c>
      <c r="D2702" t="s">
        <v>440</v>
      </c>
      <c r="E2702" s="217">
        <v>45170</v>
      </c>
      <c r="F2702">
        <v>0</v>
      </c>
      <c r="G2702" t="s">
        <v>260</v>
      </c>
    </row>
    <row r="2703" spans="1:7">
      <c r="A2703" s="216">
        <v>45170</v>
      </c>
      <c r="B2703" t="s">
        <v>53</v>
      </c>
      <c r="C2703">
        <v>19</v>
      </c>
      <c r="D2703" t="s">
        <v>440</v>
      </c>
      <c r="E2703" s="217">
        <v>45170</v>
      </c>
      <c r="F2703">
        <v>0</v>
      </c>
      <c r="G2703" t="s">
        <v>261</v>
      </c>
    </row>
    <row r="2704" spans="1:7">
      <c r="A2704" s="216">
        <v>45170</v>
      </c>
      <c r="B2704" t="s">
        <v>53</v>
      </c>
      <c r="C2704">
        <v>19</v>
      </c>
      <c r="D2704" t="s">
        <v>440</v>
      </c>
      <c r="E2704" s="217">
        <v>45170</v>
      </c>
      <c r="F2704">
        <v>0</v>
      </c>
      <c r="G2704" t="s">
        <v>262</v>
      </c>
    </row>
    <row r="2705" spans="1:7">
      <c r="A2705" s="216">
        <v>45170</v>
      </c>
      <c r="B2705" t="s">
        <v>53</v>
      </c>
      <c r="C2705">
        <v>19</v>
      </c>
      <c r="D2705" t="s">
        <v>440</v>
      </c>
      <c r="E2705" s="217">
        <v>45170</v>
      </c>
      <c r="F2705">
        <v>0</v>
      </c>
      <c r="G2705" t="s">
        <v>434</v>
      </c>
    </row>
    <row r="2706" spans="1:7">
      <c r="A2706" s="216">
        <v>45170</v>
      </c>
      <c r="B2706" t="s">
        <v>53</v>
      </c>
      <c r="C2706">
        <v>20</v>
      </c>
      <c r="D2706" t="s">
        <v>456</v>
      </c>
      <c r="E2706" s="217">
        <v>45170</v>
      </c>
      <c r="F2706">
        <v>0</v>
      </c>
      <c r="G2706" t="s">
        <v>251</v>
      </c>
    </row>
    <row r="2707" spans="1:7">
      <c r="A2707" s="216">
        <v>45170</v>
      </c>
      <c r="B2707" t="s">
        <v>53</v>
      </c>
      <c r="C2707">
        <v>20</v>
      </c>
      <c r="D2707" t="s">
        <v>456</v>
      </c>
      <c r="E2707" s="217">
        <v>45170</v>
      </c>
      <c r="F2707">
        <v>0</v>
      </c>
      <c r="G2707" t="s">
        <v>252</v>
      </c>
    </row>
    <row r="2708" spans="1:7">
      <c r="A2708" s="216">
        <v>45170</v>
      </c>
      <c r="B2708" t="s">
        <v>53</v>
      </c>
      <c r="C2708">
        <v>20</v>
      </c>
      <c r="D2708" t="s">
        <v>456</v>
      </c>
      <c r="E2708" s="217">
        <v>45170</v>
      </c>
      <c r="F2708">
        <v>0</v>
      </c>
      <c r="G2708" t="s">
        <v>253</v>
      </c>
    </row>
    <row r="2709" spans="1:7">
      <c r="A2709" s="216">
        <v>45170</v>
      </c>
      <c r="B2709" t="s">
        <v>53</v>
      </c>
      <c r="C2709">
        <v>20</v>
      </c>
      <c r="D2709" t="s">
        <v>456</v>
      </c>
      <c r="E2709" s="217">
        <v>45170</v>
      </c>
      <c r="F2709">
        <v>0</v>
      </c>
      <c r="G2709" t="s">
        <v>254</v>
      </c>
    </row>
    <row r="2710" spans="1:7">
      <c r="A2710" s="216">
        <v>45170</v>
      </c>
      <c r="B2710" t="s">
        <v>53</v>
      </c>
      <c r="C2710">
        <v>20</v>
      </c>
      <c r="D2710" t="s">
        <v>456</v>
      </c>
      <c r="E2710" s="217">
        <v>45170</v>
      </c>
      <c r="F2710">
        <v>0</v>
      </c>
      <c r="G2710" t="s">
        <v>255</v>
      </c>
    </row>
    <row r="2711" spans="1:7">
      <c r="A2711" s="216">
        <v>45170</v>
      </c>
      <c r="B2711" t="s">
        <v>53</v>
      </c>
      <c r="C2711">
        <v>20</v>
      </c>
      <c r="D2711" t="s">
        <v>456</v>
      </c>
      <c r="E2711" s="217">
        <v>45170</v>
      </c>
      <c r="F2711">
        <v>0</v>
      </c>
      <c r="G2711" t="s">
        <v>256</v>
      </c>
    </row>
    <row r="2712" spans="1:7">
      <c r="A2712" s="216">
        <v>45170</v>
      </c>
      <c r="B2712" t="s">
        <v>53</v>
      </c>
      <c r="C2712">
        <v>20</v>
      </c>
      <c r="D2712" t="s">
        <v>456</v>
      </c>
      <c r="E2712" s="217">
        <v>45170</v>
      </c>
      <c r="F2712">
        <v>0</v>
      </c>
      <c r="G2712" t="s">
        <v>257</v>
      </c>
    </row>
    <row r="2713" spans="1:7">
      <c r="A2713" s="216">
        <v>45170</v>
      </c>
      <c r="B2713" t="s">
        <v>53</v>
      </c>
      <c r="C2713">
        <v>20</v>
      </c>
      <c r="D2713" t="s">
        <v>456</v>
      </c>
      <c r="E2713" s="217">
        <v>45170</v>
      </c>
      <c r="F2713">
        <v>0</v>
      </c>
      <c r="G2713" t="s">
        <v>258</v>
      </c>
    </row>
    <row r="2714" spans="1:7">
      <c r="A2714" s="216">
        <v>45170</v>
      </c>
      <c r="B2714" t="s">
        <v>53</v>
      </c>
      <c r="C2714">
        <v>20</v>
      </c>
      <c r="D2714" t="s">
        <v>456</v>
      </c>
      <c r="E2714" s="217">
        <v>45170</v>
      </c>
      <c r="F2714">
        <v>0</v>
      </c>
      <c r="G2714" t="s">
        <v>259</v>
      </c>
    </row>
    <row r="2715" spans="1:7">
      <c r="A2715" s="216">
        <v>45170</v>
      </c>
      <c r="B2715" t="s">
        <v>53</v>
      </c>
      <c r="C2715">
        <v>20</v>
      </c>
      <c r="D2715" t="s">
        <v>456</v>
      </c>
      <c r="E2715" s="217">
        <v>45170</v>
      </c>
      <c r="F2715">
        <v>0</v>
      </c>
      <c r="G2715" t="s">
        <v>260</v>
      </c>
    </row>
    <row r="2716" spans="1:7">
      <c r="A2716" s="216">
        <v>45170</v>
      </c>
      <c r="B2716" t="s">
        <v>53</v>
      </c>
      <c r="C2716">
        <v>20</v>
      </c>
      <c r="D2716" t="s">
        <v>456</v>
      </c>
      <c r="E2716" s="217">
        <v>45170</v>
      </c>
      <c r="F2716">
        <v>0</v>
      </c>
      <c r="G2716" t="s">
        <v>261</v>
      </c>
    </row>
    <row r="2717" spans="1:7">
      <c r="A2717" s="216">
        <v>45170</v>
      </c>
      <c r="B2717" t="s">
        <v>53</v>
      </c>
      <c r="C2717">
        <v>20</v>
      </c>
      <c r="D2717" t="s">
        <v>456</v>
      </c>
      <c r="E2717" s="217">
        <v>45170</v>
      </c>
      <c r="F2717">
        <v>0</v>
      </c>
      <c r="G2717" t="s">
        <v>262</v>
      </c>
    </row>
    <row r="2718" spans="1:7">
      <c r="A2718" s="216">
        <v>45170</v>
      </c>
      <c r="B2718" t="s">
        <v>53</v>
      </c>
      <c r="C2718">
        <v>20</v>
      </c>
      <c r="D2718" t="s">
        <v>456</v>
      </c>
      <c r="E2718" s="217">
        <v>45170</v>
      </c>
      <c r="F2718">
        <v>0</v>
      </c>
      <c r="G2718" t="s">
        <v>434</v>
      </c>
    </row>
    <row r="2719" spans="1:7">
      <c r="A2719" s="216">
        <v>45170</v>
      </c>
      <c r="B2719" t="s">
        <v>53</v>
      </c>
      <c r="C2719">
        <v>21</v>
      </c>
      <c r="D2719" t="s">
        <v>455</v>
      </c>
      <c r="E2719" s="217">
        <v>45170</v>
      </c>
      <c r="F2719">
        <v>0</v>
      </c>
      <c r="G2719" t="s">
        <v>251</v>
      </c>
    </row>
    <row r="2720" spans="1:7">
      <c r="A2720" s="216">
        <v>45170</v>
      </c>
      <c r="B2720" t="s">
        <v>53</v>
      </c>
      <c r="C2720">
        <v>21</v>
      </c>
      <c r="D2720" t="s">
        <v>455</v>
      </c>
      <c r="E2720" s="217">
        <v>45170</v>
      </c>
      <c r="F2720">
        <v>0</v>
      </c>
      <c r="G2720" t="s">
        <v>252</v>
      </c>
    </row>
    <row r="2721" spans="1:7">
      <c r="A2721" s="216">
        <v>45170</v>
      </c>
      <c r="B2721" t="s">
        <v>53</v>
      </c>
      <c r="C2721">
        <v>21</v>
      </c>
      <c r="D2721" t="s">
        <v>455</v>
      </c>
      <c r="E2721" s="217">
        <v>45170</v>
      </c>
      <c r="F2721">
        <v>0</v>
      </c>
      <c r="G2721" t="s">
        <v>253</v>
      </c>
    </row>
    <row r="2722" spans="1:7">
      <c r="A2722" s="216">
        <v>45170</v>
      </c>
      <c r="B2722" t="s">
        <v>53</v>
      </c>
      <c r="C2722">
        <v>21</v>
      </c>
      <c r="D2722" t="s">
        <v>455</v>
      </c>
      <c r="E2722" s="217">
        <v>45170</v>
      </c>
      <c r="F2722">
        <v>0</v>
      </c>
      <c r="G2722" t="s">
        <v>254</v>
      </c>
    </row>
    <row r="2723" spans="1:7">
      <c r="A2723" s="216">
        <v>45170</v>
      </c>
      <c r="B2723" t="s">
        <v>53</v>
      </c>
      <c r="C2723">
        <v>21</v>
      </c>
      <c r="D2723" t="s">
        <v>455</v>
      </c>
      <c r="E2723" s="217">
        <v>45170</v>
      </c>
      <c r="F2723">
        <v>0</v>
      </c>
      <c r="G2723" t="s">
        <v>255</v>
      </c>
    </row>
    <row r="2724" spans="1:7">
      <c r="A2724" s="216">
        <v>45170</v>
      </c>
      <c r="B2724" t="s">
        <v>53</v>
      </c>
      <c r="C2724">
        <v>21</v>
      </c>
      <c r="D2724" t="s">
        <v>455</v>
      </c>
      <c r="E2724" s="217">
        <v>45170</v>
      </c>
      <c r="F2724">
        <v>0</v>
      </c>
      <c r="G2724" t="s">
        <v>256</v>
      </c>
    </row>
    <row r="2725" spans="1:7">
      <c r="A2725" s="216">
        <v>45170</v>
      </c>
      <c r="B2725" t="s">
        <v>53</v>
      </c>
      <c r="C2725">
        <v>21</v>
      </c>
      <c r="D2725" t="s">
        <v>455</v>
      </c>
      <c r="E2725" s="217">
        <v>45170</v>
      </c>
      <c r="F2725">
        <v>0</v>
      </c>
      <c r="G2725" t="s">
        <v>257</v>
      </c>
    </row>
    <row r="2726" spans="1:7">
      <c r="A2726" s="216">
        <v>45170</v>
      </c>
      <c r="B2726" t="s">
        <v>53</v>
      </c>
      <c r="C2726">
        <v>21</v>
      </c>
      <c r="D2726" t="s">
        <v>455</v>
      </c>
      <c r="E2726" s="217">
        <v>45170</v>
      </c>
      <c r="F2726">
        <v>0</v>
      </c>
      <c r="G2726" t="s">
        <v>258</v>
      </c>
    </row>
    <row r="2727" spans="1:7">
      <c r="A2727" s="216">
        <v>45170</v>
      </c>
      <c r="B2727" t="s">
        <v>53</v>
      </c>
      <c r="C2727">
        <v>21</v>
      </c>
      <c r="D2727" t="s">
        <v>455</v>
      </c>
      <c r="E2727" s="217">
        <v>45170</v>
      </c>
      <c r="F2727">
        <v>0</v>
      </c>
      <c r="G2727" t="s">
        <v>259</v>
      </c>
    </row>
    <row r="2728" spans="1:7">
      <c r="A2728" s="216">
        <v>45170</v>
      </c>
      <c r="B2728" t="s">
        <v>53</v>
      </c>
      <c r="C2728">
        <v>21</v>
      </c>
      <c r="D2728" t="s">
        <v>455</v>
      </c>
      <c r="E2728" s="217">
        <v>45170</v>
      </c>
      <c r="F2728">
        <v>0</v>
      </c>
      <c r="G2728" t="s">
        <v>260</v>
      </c>
    </row>
    <row r="2729" spans="1:7">
      <c r="A2729" s="216">
        <v>45170</v>
      </c>
      <c r="B2729" t="s">
        <v>53</v>
      </c>
      <c r="C2729">
        <v>21</v>
      </c>
      <c r="D2729" t="s">
        <v>455</v>
      </c>
      <c r="E2729" s="217">
        <v>45170</v>
      </c>
      <c r="F2729">
        <v>0</v>
      </c>
      <c r="G2729" t="s">
        <v>261</v>
      </c>
    </row>
    <row r="2730" spans="1:7">
      <c r="A2730" s="216">
        <v>45170</v>
      </c>
      <c r="B2730" t="s">
        <v>53</v>
      </c>
      <c r="C2730">
        <v>21</v>
      </c>
      <c r="D2730" t="s">
        <v>455</v>
      </c>
      <c r="E2730" s="217">
        <v>45170</v>
      </c>
      <c r="F2730">
        <v>0</v>
      </c>
      <c r="G2730" t="s">
        <v>262</v>
      </c>
    </row>
    <row r="2731" spans="1:7">
      <c r="A2731" s="216">
        <v>45170</v>
      </c>
      <c r="B2731" t="s">
        <v>53</v>
      </c>
      <c r="C2731">
        <v>21</v>
      </c>
      <c r="D2731" t="s">
        <v>455</v>
      </c>
      <c r="E2731" s="217">
        <v>45170</v>
      </c>
      <c r="F2731">
        <v>0</v>
      </c>
      <c r="G2731" t="s">
        <v>434</v>
      </c>
    </row>
    <row r="2732" spans="1:7">
      <c r="A2732" s="216">
        <v>45170</v>
      </c>
      <c r="B2732" t="s">
        <v>53</v>
      </c>
      <c r="C2732">
        <v>22</v>
      </c>
      <c r="D2732" t="s">
        <v>439</v>
      </c>
      <c r="E2732" s="217">
        <v>45170</v>
      </c>
      <c r="F2732">
        <v>523</v>
      </c>
      <c r="G2732" t="s">
        <v>251</v>
      </c>
    </row>
    <row r="2733" spans="1:7">
      <c r="A2733" s="216">
        <v>45170</v>
      </c>
      <c r="B2733" t="s">
        <v>53</v>
      </c>
      <c r="C2733">
        <v>22</v>
      </c>
      <c r="D2733" t="s">
        <v>439</v>
      </c>
      <c r="E2733" s="217">
        <v>45170</v>
      </c>
      <c r="F2733">
        <v>419.1</v>
      </c>
      <c r="G2733" t="s">
        <v>252</v>
      </c>
    </row>
    <row r="2734" spans="1:7">
      <c r="A2734" s="216">
        <v>45170</v>
      </c>
      <c r="B2734" t="s">
        <v>53</v>
      </c>
      <c r="C2734">
        <v>22</v>
      </c>
      <c r="D2734" t="s">
        <v>439</v>
      </c>
      <c r="E2734" s="217">
        <v>45170</v>
      </c>
      <c r="F2734">
        <v>472.4</v>
      </c>
      <c r="G2734" t="s">
        <v>253</v>
      </c>
    </row>
    <row r="2735" spans="1:7">
      <c r="A2735" s="216">
        <v>45170</v>
      </c>
      <c r="B2735" t="s">
        <v>53</v>
      </c>
      <c r="C2735">
        <v>22</v>
      </c>
      <c r="D2735" t="s">
        <v>439</v>
      </c>
      <c r="E2735" s="217">
        <v>45170</v>
      </c>
      <c r="F2735">
        <v>463.82165906300003</v>
      </c>
      <c r="G2735" t="s">
        <v>254</v>
      </c>
    </row>
    <row r="2736" spans="1:7">
      <c r="A2736" s="216">
        <v>45170</v>
      </c>
      <c r="B2736" t="s">
        <v>53</v>
      </c>
      <c r="C2736">
        <v>22</v>
      </c>
      <c r="D2736" t="s">
        <v>439</v>
      </c>
      <c r="E2736" s="217">
        <v>45170</v>
      </c>
      <c r="F2736">
        <v>492.46911347192901</v>
      </c>
      <c r="G2736" t="s">
        <v>255</v>
      </c>
    </row>
    <row r="2737" spans="1:7">
      <c r="A2737" s="216">
        <v>45170</v>
      </c>
      <c r="B2737" t="s">
        <v>53</v>
      </c>
      <c r="C2737">
        <v>22</v>
      </c>
      <c r="D2737" t="s">
        <v>439</v>
      </c>
      <c r="E2737" s="217">
        <v>45170</v>
      </c>
      <c r="F2737">
        <v>458</v>
      </c>
      <c r="G2737" t="s">
        <v>256</v>
      </c>
    </row>
    <row r="2738" spans="1:7">
      <c r="A2738" s="216">
        <v>45170</v>
      </c>
      <c r="B2738" t="s">
        <v>53</v>
      </c>
      <c r="C2738">
        <v>22</v>
      </c>
      <c r="D2738" t="s">
        <v>439</v>
      </c>
      <c r="E2738" s="217">
        <v>45170</v>
      </c>
      <c r="F2738">
        <v>468</v>
      </c>
      <c r="G2738" t="s">
        <v>257</v>
      </c>
    </row>
    <row r="2739" spans="1:7">
      <c r="A2739" s="216">
        <v>45170</v>
      </c>
      <c r="B2739" t="s">
        <v>53</v>
      </c>
      <c r="C2739">
        <v>22</v>
      </c>
      <c r="D2739" t="s">
        <v>439</v>
      </c>
      <c r="E2739" s="217">
        <v>45170</v>
      </c>
      <c r="F2739">
        <v>468</v>
      </c>
      <c r="G2739" t="s">
        <v>258</v>
      </c>
    </row>
    <row r="2740" spans="1:7">
      <c r="A2740" s="216">
        <v>45170</v>
      </c>
      <c r="B2740" t="s">
        <v>53</v>
      </c>
      <c r="C2740">
        <v>22</v>
      </c>
      <c r="D2740" t="s">
        <v>439</v>
      </c>
      <c r="E2740" s="217">
        <v>45170</v>
      </c>
      <c r="F2740">
        <v>468.4</v>
      </c>
      <c r="G2740" t="s">
        <v>259</v>
      </c>
    </row>
    <row r="2741" spans="1:7">
      <c r="A2741" s="216">
        <v>45170</v>
      </c>
      <c r="B2741" t="s">
        <v>53</v>
      </c>
      <c r="C2741">
        <v>22</v>
      </c>
      <c r="D2741" t="s">
        <v>439</v>
      </c>
      <c r="E2741" s="217">
        <v>45170</v>
      </c>
      <c r="F2741">
        <v>469.4</v>
      </c>
      <c r="G2741" t="s">
        <v>260</v>
      </c>
    </row>
    <row r="2742" spans="1:7">
      <c r="A2742" s="216">
        <v>45170</v>
      </c>
      <c r="B2742" t="s">
        <v>53</v>
      </c>
      <c r="C2742">
        <v>22</v>
      </c>
      <c r="D2742" t="s">
        <v>439</v>
      </c>
      <c r="E2742" s="217">
        <v>45170</v>
      </c>
      <c r="F2742">
        <v>468.9</v>
      </c>
      <c r="G2742" t="s">
        <v>261</v>
      </c>
    </row>
    <row r="2743" spans="1:7">
      <c r="A2743" s="216">
        <v>45170</v>
      </c>
      <c r="B2743" t="s">
        <v>53</v>
      </c>
      <c r="C2743">
        <v>22</v>
      </c>
      <c r="D2743" t="s">
        <v>439</v>
      </c>
      <c r="E2743" s="217">
        <v>45170</v>
      </c>
      <c r="F2743">
        <v>562.29999999999995</v>
      </c>
      <c r="G2743" t="s">
        <v>262</v>
      </c>
    </row>
    <row r="2744" spans="1:7">
      <c r="A2744" s="216">
        <v>45170</v>
      </c>
      <c r="B2744" t="s">
        <v>53</v>
      </c>
      <c r="C2744">
        <v>22</v>
      </c>
      <c r="D2744" t="s">
        <v>439</v>
      </c>
      <c r="E2744" s="217">
        <v>45170</v>
      </c>
      <c r="F2744">
        <v>5733.7907725349296</v>
      </c>
      <c r="G2744" t="s">
        <v>434</v>
      </c>
    </row>
    <row r="2745" spans="1:7">
      <c r="A2745" s="216">
        <v>45170</v>
      </c>
      <c r="B2745" t="s">
        <v>53</v>
      </c>
      <c r="C2745">
        <v>23</v>
      </c>
      <c r="D2745" t="s">
        <v>435</v>
      </c>
      <c r="E2745" s="217">
        <v>45170</v>
      </c>
      <c r="F2745">
        <v>19.9166666666667</v>
      </c>
      <c r="G2745" t="s">
        <v>251</v>
      </c>
    </row>
    <row r="2746" spans="1:7">
      <c r="A2746" s="216">
        <v>45170</v>
      </c>
      <c r="B2746" t="s">
        <v>53</v>
      </c>
      <c r="C2746">
        <v>23</v>
      </c>
      <c r="D2746" t="s">
        <v>435</v>
      </c>
      <c r="E2746" s="217">
        <v>45170</v>
      </c>
      <c r="F2746">
        <v>19.81718</v>
      </c>
      <c r="G2746" t="s">
        <v>252</v>
      </c>
    </row>
    <row r="2747" spans="1:7">
      <c r="A2747" s="216">
        <v>45170</v>
      </c>
      <c r="B2747" t="s">
        <v>53</v>
      </c>
      <c r="C2747">
        <v>23</v>
      </c>
      <c r="D2747" t="s">
        <v>435</v>
      </c>
      <c r="E2747" s="217">
        <v>45170</v>
      </c>
      <c r="F2747">
        <v>19.81718</v>
      </c>
      <c r="G2747" t="s">
        <v>253</v>
      </c>
    </row>
    <row r="2748" spans="1:7">
      <c r="A2748" s="216">
        <v>45170</v>
      </c>
      <c r="B2748" t="s">
        <v>53</v>
      </c>
      <c r="C2748">
        <v>23</v>
      </c>
      <c r="D2748" t="s">
        <v>435</v>
      </c>
      <c r="E2748" s="217">
        <v>45170</v>
      </c>
      <c r="F2748">
        <v>19.81718</v>
      </c>
      <c r="G2748" t="s">
        <v>254</v>
      </c>
    </row>
    <row r="2749" spans="1:7">
      <c r="A2749" s="216">
        <v>45170</v>
      </c>
      <c r="B2749" t="s">
        <v>53</v>
      </c>
      <c r="C2749">
        <v>23</v>
      </c>
      <c r="D2749" t="s">
        <v>435</v>
      </c>
      <c r="E2749" s="217">
        <v>45170</v>
      </c>
      <c r="F2749">
        <v>19.81718</v>
      </c>
      <c r="G2749" t="s">
        <v>255</v>
      </c>
    </row>
    <row r="2750" spans="1:7">
      <c r="A2750" s="216">
        <v>45170</v>
      </c>
      <c r="B2750" t="s">
        <v>53</v>
      </c>
      <c r="C2750">
        <v>23</v>
      </c>
      <c r="D2750" t="s">
        <v>435</v>
      </c>
      <c r="E2750" s="217">
        <v>45170</v>
      </c>
      <c r="F2750">
        <v>19.81718</v>
      </c>
      <c r="G2750" t="s">
        <v>256</v>
      </c>
    </row>
    <row r="2751" spans="1:7">
      <c r="A2751" s="216">
        <v>45170</v>
      </c>
      <c r="B2751" t="s">
        <v>53</v>
      </c>
      <c r="C2751">
        <v>23</v>
      </c>
      <c r="D2751" t="s">
        <v>435</v>
      </c>
      <c r="E2751" s="217">
        <v>45170</v>
      </c>
      <c r="F2751">
        <v>19.81718</v>
      </c>
      <c r="G2751" t="s">
        <v>257</v>
      </c>
    </row>
    <row r="2752" spans="1:7">
      <c r="A2752" s="216">
        <v>45170</v>
      </c>
      <c r="B2752" t="s">
        <v>53</v>
      </c>
      <c r="C2752">
        <v>23</v>
      </c>
      <c r="D2752" t="s">
        <v>435</v>
      </c>
      <c r="E2752" s="217">
        <v>45170</v>
      </c>
      <c r="F2752">
        <v>19.81718</v>
      </c>
      <c r="G2752" t="s">
        <v>258</v>
      </c>
    </row>
    <row r="2753" spans="1:7">
      <c r="A2753" s="216">
        <v>45170</v>
      </c>
      <c r="B2753" t="s">
        <v>53</v>
      </c>
      <c r="C2753">
        <v>23</v>
      </c>
      <c r="D2753" t="s">
        <v>435</v>
      </c>
      <c r="E2753" s="217">
        <v>45170</v>
      </c>
      <c r="F2753">
        <v>19.81718</v>
      </c>
      <c r="G2753" t="s">
        <v>259</v>
      </c>
    </row>
    <row r="2754" spans="1:7">
      <c r="A2754" s="216">
        <v>45170</v>
      </c>
      <c r="B2754" t="s">
        <v>53</v>
      </c>
      <c r="C2754">
        <v>23</v>
      </c>
      <c r="D2754" t="s">
        <v>435</v>
      </c>
      <c r="E2754" s="217">
        <v>45170</v>
      </c>
      <c r="F2754">
        <v>19.81718</v>
      </c>
      <c r="G2754" t="s">
        <v>260</v>
      </c>
    </row>
    <row r="2755" spans="1:7">
      <c r="A2755" s="216">
        <v>45170</v>
      </c>
      <c r="B2755" t="s">
        <v>53</v>
      </c>
      <c r="C2755">
        <v>23</v>
      </c>
      <c r="D2755" t="s">
        <v>435</v>
      </c>
      <c r="E2755" s="217">
        <v>45170</v>
      </c>
      <c r="F2755">
        <v>19.81718</v>
      </c>
      <c r="G2755" t="s">
        <v>261</v>
      </c>
    </row>
    <row r="2756" spans="1:7">
      <c r="A2756" s="216">
        <v>45170</v>
      </c>
      <c r="B2756" t="s">
        <v>53</v>
      </c>
      <c r="C2756">
        <v>23</v>
      </c>
      <c r="D2756" t="s">
        <v>435</v>
      </c>
      <c r="E2756" s="217">
        <v>45170</v>
      </c>
      <c r="F2756">
        <v>19.81718</v>
      </c>
      <c r="G2756" t="s">
        <v>262</v>
      </c>
    </row>
    <row r="2757" spans="1:7">
      <c r="A2757" s="216">
        <v>45170</v>
      </c>
      <c r="B2757" t="s">
        <v>53</v>
      </c>
      <c r="C2757">
        <v>23</v>
      </c>
      <c r="D2757" t="s">
        <v>435</v>
      </c>
      <c r="E2757" s="217">
        <v>45170</v>
      </c>
      <c r="F2757">
        <v>237.905646666667</v>
      </c>
      <c r="G2757" t="s">
        <v>434</v>
      </c>
    </row>
    <row r="2758" spans="1:7">
      <c r="A2758" s="216">
        <v>45170</v>
      </c>
      <c r="B2758" t="s">
        <v>53</v>
      </c>
      <c r="C2758">
        <v>24</v>
      </c>
      <c r="D2758" t="s">
        <v>457</v>
      </c>
      <c r="E2758" s="217">
        <v>45170</v>
      </c>
      <c r="F2758">
        <v>0</v>
      </c>
      <c r="G2758" t="s">
        <v>251</v>
      </c>
    </row>
    <row r="2759" spans="1:7">
      <c r="A2759" s="216">
        <v>45170</v>
      </c>
      <c r="B2759" t="s">
        <v>53</v>
      </c>
      <c r="C2759">
        <v>24</v>
      </c>
      <c r="D2759" t="s">
        <v>457</v>
      </c>
      <c r="E2759" s="217">
        <v>45170</v>
      </c>
      <c r="F2759">
        <v>0</v>
      </c>
      <c r="G2759" t="s">
        <v>252</v>
      </c>
    </row>
    <row r="2760" spans="1:7">
      <c r="A2760" s="216">
        <v>45170</v>
      </c>
      <c r="B2760" t="s">
        <v>53</v>
      </c>
      <c r="C2760">
        <v>24</v>
      </c>
      <c r="D2760" t="s">
        <v>457</v>
      </c>
      <c r="E2760" s="217">
        <v>45170</v>
      </c>
      <c r="F2760">
        <v>0</v>
      </c>
      <c r="G2760" t="s">
        <v>253</v>
      </c>
    </row>
    <row r="2761" spans="1:7">
      <c r="A2761" s="216">
        <v>45170</v>
      </c>
      <c r="B2761" t="s">
        <v>53</v>
      </c>
      <c r="C2761">
        <v>24</v>
      </c>
      <c r="D2761" t="s">
        <v>457</v>
      </c>
      <c r="E2761" s="217">
        <v>45170</v>
      </c>
      <c r="F2761">
        <v>0</v>
      </c>
      <c r="G2761" t="s">
        <v>254</v>
      </c>
    </row>
    <row r="2762" spans="1:7">
      <c r="A2762" s="216">
        <v>45170</v>
      </c>
      <c r="B2762" t="s">
        <v>53</v>
      </c>
      <c r="C2762">
        <v>24</v>
      </c>
      <c r="D2762" t="s">
        <v>457</v>
      </c>
      <c r="E2762" s="217">
        <v>45170</v>
      </c>
      <c r="F2762">
        <v>0</v>
      </c>
      <c r="G2762" t="s">
        <v>255</v>
      </c>
    </row>
    <row r="2763" spans="1:7">
      <c r="A2763" s="216">
        <v>45170</v>
      </c>
      <c r="B2763" t="s">
        <v>53</v>
      </c>
      <c r="C2763">
        <v>24</v>
      </c>
      <c r="D2763" t="s">
        <v>457</v>
      </c>
      <c r="E2763" s="217">
        <v>45170</v>
      </c>
      <c r="F2763">
        <v>0</v>
      </c>
      <c r="G2763" t="s">
        <v>256</v>
      </c>
    </row>
    <row r="2764" spans="1:7">
      <c r="A2764" s="216">
        <v>45170</v>
      </c>
      <c r="B2764" t="s">
        <v>53</v>
      </c>
      <c r="C2764">
        <v>24</v>
      </c>
      <c r="D2764" t="s">
        <v>457</v>
      </c>
      <c r="E2764" s="217">
        <v>45170</v>
      </c>
      <c r="F2764">
        <v>0</v>
      </c>
      <c r="G2764" t="s">
        <v>257</v>
      </c>
    </row>
    <row r="2765" spans="1:7">
      <c r="A2765" s="216">
        <v>45170</v>
      </c>
      <c r="B2765" t="s">
        <v>53</v>
      </c>
      <c r="C2765">
        <v>24</v>
      </c>
      <c r="D2765" t="s">
        <v>457</v>
      </c>
      <c r="E2765" s="217">
        <v>45170</v>
      </c>
      <c r="F2765">
        <v>0</v>
      </c>
      <c r="G2765" t="s">
        <v>258</v>
      </c>
    </row>
    <row r="2766" spans="1:7">
      <c r="A2766" s="216">
        <v>45170</v>
      </c>
      <c r="B2766" t="s">
        <v>53</v>
      </c>
      <c r="C2766">
        <v>24</v>
      </c>
      <c r="D2766" t="s">
        <v>457</v>
      </c>
      <c r="E2766" s="217">
        <v>45170</v>
      </c>
      <c r="F2766">
        <v>0</v>
      </c>
      <c r="G2766" t="s">
        <v>259</v>
      </c>
    </row>
    <row r="2767" spans="1:7">
      <c r="A2767" s="216">
        <v>45170</v>
      </c>
      <c r="B2767" t="s">
        <v>53</v>
      </c>
      <c r="C2767">
        <v>24</v>
      </c>
      <c r="D2767" t="s">
        <v>457</v>
      </c>
      <c r="E2767" s="217">
        <v>45170</v>
      </c>
      <c r="F2767">
        <v>0</v>
      </c>
      <c r="G2767" t="s">
        <v>260</v>
      </c>
    </row>
    <row r="2768" spans="1:7">
      <c r="A2768" s="216">
        <v>45170</v>
      </c>
      <c r="B2768" t="s">
        <v>53</v>
      </c>
      <c r="C2768">
        <v>24</v>
      </c>
      <c r="D2768" t="s">
        <v>457</v>
      </c>
      <c r="E2768" s="217">
        <v>45170</v>
      </c>
      <c r="F2768">
        <v>0</v>
      </c>
      <c r="G2768" t="s">
        <v>261</v>
      </c>
    </row>
    <row r="2769" spans="1:7">
      <c r="A2769" s="216">
        <v>45170</v>
      </c>
      <c r="B2769" t="s">
        <v>53</v>
      </c>
      <c r="C2769">
        <v>24</v>
      </c>
      <c r="D2769" t="s">
        <v>457</v>
      </c>
      <c r="E2769" s="217">
        <v>45170</v>
      </c>
      <c r="F2769">
        <v>0</v>
      </c>
      <c r="G2769" t="s">
        <v>262</v>
      </c>
    </row>
    <row r="2770" spans="1:7">
      <c r="A2770" s="216">
        <v>45170</v>
      </c>
      <c r="B2770" t="s">
        <v>53</v>
      </c>
      <c r="C2770">
        <v>24</v>
      </c>
      <c r="D2770" t="s">
        <v>457</v>
      </c>
      <c r="E2770" s="217">
        <v>45170</v>
      </c>
      <c r="F2770">
        <v>0</v>
      </c>
      <c r="G2770" t="s">
        <v>434</v>
      </c>
    </row>
    <row r="2771" spans="1:7">
      <c r="A2771" s="216">
        <v>45170</v>
      </c>
      <c r="B2771" t="s">
        <v>53</v>
      </c>
      <c r="C2771">
        <v>25</v>
      </c>
      <c r="D2771" t="s">
        <v>452</v>
      </c>
      <c r="E2771" s="217">
        <v>45170</v>
      </c>
      <c r="F2771">
        <v>0</v>
      </c>
      <c r="G2771" t="s">
        <v>251</v>
      </c>
    </row>
    <row r="2772" spans="1:7">
      <c r="A2772" s="216">
        <v>45170</v>
      </c>
      <c r="B2772" t="s">
        <v>53</v>
      </c>
      <c r="C2772">
        <v>25</v>
      </c>
      <c r="D2772" t="s">
        <v>452</v>
      </c>
      <c r="E2772" s="217">
        <v>45170</v>
      </c>
      <c r="F2772">
        <v>0</v>
      </c>
      <c r="G2772" t="s">
        <v>252</v>
      </c>
    </row>
    <row r="2773" spans="1:7">
      <c r="A2773" s="216">
        <v>45170</v>
      </c>
      <c r="B2773" t="s">
        <v>53</v>
      </c>
      <c r="C2773">
        <v>25</v>
      </c>
      <c r="D2773" t="s">
        <v>452</v>
      </c>
      <c r="E2773" s="217">
        <v>45170</v>
      </c>
      <c r="F2773">
        <v>0</v>
      </c>
      <c r="G2773" t="s">
        <v>253</v>
      </c>
    </row>
    <row r="2774" spans="1:7">
      <c r="A2774" s="216">
        <v>45170</v>
      </c>
      <c r="B2774" t="s">
        <v>53</v>
      </c>
      <c r="C2774">
        <v>25</v>
      </c>
      <c r="D2774" t="s">
        <v>452</v>
      </c>
      <c r="E2774" s="217">
        <v>45170</v>
      </c>
      <c r="F2774">
        <v>0</v>
      </c>
      <c r="G2774" t="s">
        <v>254</v>
      </c>
    </row>
    <row r="2775" spans="1:7">
      <c r="A2775" s="216">
        <v>45170</v>
      </c>
      <c r="B2775" t="s">
        <v>53</v>
      </c>
      <c r="C2775">
        <v>25</v>
      </c>
      <c r="D2775" t="s">
        <v>452</v>
      </c>
      <c r="E2775" s="217">
        <v>45170</v>
      </c>
      <c r="F2775">
        <v>0</v>
      </c>
      <c r="G2775" t="s">
        <v>255</v>
      </c>
    </row>
    <row r="2776" spans="1:7">
      <c r="A2776" s="216">
        <v>45170</v>
      </c>
      <c r="B2776" t="s">
        <v>53</v>
      </c>
      <c r="C2776">
        <v>25</v>
      </c>
      <c r="D2776" t="s">
        <v>452</v>
      </c>
      <c r="E2776" s="217">
        <v>45170</v>
      </c>
      <c r="F2776">
        <v>0</v>
      </c>
      <c r="G2776" t="s">
        <v>256</v>
      </c>
    </row>
    <row r="2777" spans="1:7">
      <c r="A2777" s="216">
        <v>45170</v>
      </c>
      <c r="B2777" t="s">
        <v>53</v>
      </c>
      <c r="C2777">
        <v>25</v>
      </c>
      <c r="D2777" t="s">
        <v>452</v>
      </c>
      <c r="E2777" s="217">
        <v>45170</v>
      </c>
      <c r="F2777">
        <v>0</v>
      </c>
      <c r="G2777" t="s">
        <v>257</v>
      </c>
    </row>
    <row r="2778" spans="1:7">
      <c r="A2778" s="216">
        <v>45170</v>
      </c>
      <c r="B2778" t="s">
        <v>53</v>
      </c>
      <c r="C2778">
        <v>25</v>
      </c>
      <c r="D2778" t="s">
        <v>452</v>
      </c>
      <c r="E2778" s="217">
        <v>45170</v>
      </c>
      <c r="F2778">
        <v>0</v>
      </c>
      <c r="G2778" t="s">
        <v>258</v>
      </c>
    </row>
    <row r="2779" spans="1:7">
      <c r="A2779" s="216">
        <v>45170</v>
      </c>
      <c r="B2779" t="s">
        <v>53</v>
      </c>
      <c r="C2779">
        <v>25</v>
      </c>
      <c r="D2779" t="s">
        <v>452</v>
      </c>
      <c r="E2779" s="217">
        <v>45170</v>
      </c>
      <c r="F2779">
        <v>0</v>
      </c>
      <c r="G2779" t="s">
        <v>259</v>
      </c>
    </row>
    <row r="2780" spans="1:7">
      <c r="A2780" s="216">
        <v>45170</v>
      </c>
      <c r="B2780" t="s">
        <v>53</v>
      </c>
      <c r="C2780">
        <v>25</v>
      </c>
      <c r="D2780" t="s">
        <v>452</v>
      </c>
      <c r="E2780" s="217">
        <v>45170</v>
      </c>
      <c r="F2780">
        <v>0</v>
      </c>
      <c r="G2780" t="s">
        <v>260</v>
      </c>
    </row>
    <row r="2781" spans="1:7">
      <c r="A2781" s="216">
        <v>45170</v>
      </c>
      <c r="B2781" t="s">
        <v>53</v>
      </c>
      <c r="C2781">
        <v>25</v>
      </c>
      <c r="D2781" t="s">
        <v>452</v>
      </c>
      <c r="E2781" s="217">
        <v>45170</v>
      </c>
      <c r="F2781">
        <v>0</v>
      </c>
      <c r="G2781" t="s">
        <v>261</v>
      </c>
    </row>
    <row r="2782" spans="1:7">
      <c r="A2782" s="216">
        <v>45170</v>
      </c>
      <c r="B2782" t="s">
        <v>53</v>
      </c>
      <c r="C2782">
        <v>25</v>
      </c>
      <c r="D2782" t="s">
        <v>452</v>
      </c>
      <c r="E2782" s="217">
        <v>45170</v>
      </c>
      <c r="F2782">
        <v>0</v>
      </c>
      <c r="G2782" t="s">
        <v>262</v>
      </c>
    </row>
    <row r="2783" spans="1:7">
      <c r="A2783" s="216">
        <v>45170</v>
      </c>
      <c r="B2783" t="s">
        <v>53</v>
      </c>
      <c r="C2783">
        <v>25</v>
      </c>
      <c r="D2783" t="s">
        <v>452</v>
      </c>
      <c r="E2783" s="217">
        <v>45170</v>
      </c>
      <c r="F2783">
        <v>0</v>
      </c>
      <c r="G2783" t="s">
        <v>434</v>
      </c>
    </row>
    <row r="2784" spans="1:7">
      <c r="A2784" s="216">
        <v>45170</v>
      </c>
      <c r="B2784" t="s">
        <v>53</v>
      </c>
      <c r="C2784">
        <v>26</v>
      </c>
      <c r="D2784" t="s">
        <v>438</v>
      </c>
      <c r="E2784" s="217">
        <v>45170</v>
      </c>
      <c r="F2784">
        <v>42167.979946666703</v>
      </c>
      <c r="G2784" t="s">
        <v>251</v>
      </c>
    </row>
    <row r="2785" spans="1:7">
      <c r="A2785" s="216">
        <v>45170</v>
      </c>
      <c r="B2785" t="s">
        <v>53</v>
      </c>
      <c r="C2785">
        <v>26</v>
      </c>
      <c r="D2785" t="s">
        <v>438</v>
      </c>
      <c r="E2785" s="217">
        <v>45170</v>
      </c>
      <c r="F2785">
        <v>42945.0046</v>
      </c>
      <c r="G2785" t="s">
        <v>252</v>
      </c>
    </row>
    <row r="2786" spans="1:7">
      <c r="A2786" s="216">
        <v>45170</v>
      </c>
      <c r="B2786" t="s">
        <v>53</v>
      </c>
      <c r="C2786">
        <v>26</v>
      </c>
      <c r="D2786" t="s">
        <v>438</v>
      </c>
      <c r="E2786" s="217">
        <v>45170</v>
      </c>
      <c r="F2786">
        <v>47159.21718</v>
      </c>
      <c r="G2786" t="s">
        <v>253</v>
      </c>
    </row>
    <row r="2787" spans="1:7">
      <c r="A2787" s="216">
        <v>45170</v>
      </c>
      <c r="B2787" t="s">
        <v>53</v>
      </c>
      <c r="C2787">
        <v>26</v>
      </c>
      <c r="D2787" t="s">
        <v>438</v>
      </c>
      <c r="E2787" s="217">
        <v>45170</v>
      </c>
      <c r="F2787">
        <v>50127.210329062997</v>
      </c>
      <c r="G2787" t="s">
        <v>254</v>
      </c>
    </row>
    <row r="2788" spans="1:7">
      <c r="A2788" s="216">
        <v>45170</v>
      </c>
      <c r="B2788" t="s">
        <v>53</v>
      </c>
      <c r="C2788">
        <v>26</v>
      </c>
      <c r="D2788" t="s">
        <v>438</v>
      </c>
      <c r="E2788" s="217">
        <v>45170</v>
      </c>
      <c r="F2788">
        <v>44982.884943471901</v>
      </c>
      <c r="G2788" t="s">
        <v>255</v>
      </c>
    </row>
    <row r="2789" spans="1:7">
      <c r="A2789" s="216">
        <v>45170</v>
      </c>
      <c r="B2789" t="s">
        <v>53</v>
      </c>
      <c r="C2789">
        <v>26</v>
      </c>
      <c r="D2789" t="s">
        <v>438</v>
      </c>
      <c r="E2789" s="217">
        <v>45170</v>
      </c>
      <c r="F2789">
        <v>49983.895900000003</v>
      </c>
      <c r="G2789" t="s">
        <v>256</v>
      </c>
    </row>
    <row r="2790" spans="1:7">
      <c r="A2790" s="216">
        <v>45170</v>
      </c>
      <c r="B2790" t="s">
        <v>53</v>
      </c>
      <c r="C2790">
        <v>26</v>
      </c>
      <c r="D2790" t="s">
        <v>438</v>
      </c>
      <c r="E2790" s="217">
        <v>45170</v>
      </c>
      <c r="F2790">
        <v>68953.775021666705</v>
      </c>
      <c r="G2790" t="s">
        <v>257</v>
      </c>
    </row>
    <row r="2791" spans="1:7">
      <c r="A2791" s="216">
        <v>45170</v>
      </c>
      <c r="B2791" t="s">
        <v>53</v>
      </c>
      <c r="C2791">
        <v>26</v>
      </c>
      <c r="D2791" t="s">
        <v>438</v>
      </c>
      <c r="E2791" s="217">
        <v>45170</v>
      </c>
      <c r="F2791">
        <v>62210.0050216667</v>
      </c>
      <c r="G2791" t="s">
        <v>258</v>
      </c>
    </row>
    <row r="2792" spans="1:7">
      <c r="A2792" s="216">
        <v>45170</v>
      </c>
      <c r="B2792" t="s">
        <v>53</v>
      </c>
      <c r="C2792">
        <v>26</v>
      </c>
      <c r="D2792" t="s">
        <v>438</v>
      </c>
      <c r="E2792" s="217">
        <v>45170</v>
      </c>
      <c r="F2792">
        <v>70056.510021666705</v>
      </c>
      <c r="G2792" t="s">
        <v>259</v>
      </c>
    </row>
    <row r="2793" spans="1:7">
      <c r="A2793" s="216">
        <v>45170</v>
      </c>
      <c r="B2793" t="s">
        <v>53</v>
      </c>
      <c r="C2793">
        <v>26</v>
      </c>
      <c r="D2793" t="s">
        <v>438</v>
      </c>
      <c r="E2793" s="217">
        <v>45170</v>
      </c>
      <c r="F2793">
        <v>62205.497021666699</v>
      </c>
      <c r="G2793" t="s">
        <v>260</v>
      </c>
    </row>
    <row r="2794" spans="1:7">
      <c r="A2794" s="216">
        <v>45170</v>
      </c>
      <c r="B2794" t="s">
        <v>53</v>
      </c>
      <c r="C2794">
        <v>26</v>
      </c>
      <c r="D2794" t="s">
        <v>438</v>
      </c>
      <c r="E2794" s="217">
        <v>45170</v>
      </c>
      <c r="F2794">
        <v>62208.104021666702</v>
      </c>
      <c r="G2794" t="s">
        <v>261</v>
      </c>
    </row>
    <row r="2795" spans="1:7">
      <c r="A2795" s="216">
        <v>45170</v>
      </c>
      <c r="B2795" t="s">
        <v>53</v>
      </c>
      <c r="C2795">
        <v>26</v>
      </c>
      <c r="D2795" t="s">
        <v>438</v>
      </c>
      <c r="E2795" s="217">
        <v>45170</v>
      </c>
      <c r="F2795">
        <v>72524.100021666702</v>
      </c>
      <c r="G2795" t="s">
        <v>262</v>
      </c>
    </row>
    <row r="2796" spans="1:7">
      <c r="A2796" s="216">
        <v>45170</v>
      </c>
      <c r="B2796" t="s">
        <v>53</v>
      </c>
      <c r="C2796">
        <v>26</v>
      </c>
      <c r="D2796" t="s">
        <v>438</v>
      </c>
      <c r="E2796" s="217">
        <v>45170</v>
      </c>
      <c r="F2796">
        <v>675524.18402920198</v>
      </c>
      <c r="G2796" t="s">
        <v>434</v>
      </c>
    </row>
    <row r="2797" spans="1:7">
      <c r="A2797" s="216">
        <v>45170</v>
      </c>
      <c r="B2797" t="s">
        <v>53</v>
      </c>
      <c r="C2797">
        <v>27</v>
      </c>
      <c r="D2797" t="s">
        <v>446</v>
      </c>
      <c r="E2797" s="217">
        <v>45170</v>
      </c>
      <c r="F2797">
        <v>2.0053333333635199E-2</v>
      </c>
      <c r="G2797" t="s">
        <v>251</v>
      </c>
    </row>
    <row r="2798" spans="1:7">
      <c r="A2798" s="216">
        <v>45170</v>
      </c>
      <c r="B2798" t="s">
        <v>53</v>
      </c>
      <c r="C2798">
        <v>27</v>
      </c>
      <c r="D2798" t="s">
        <v>446</v>
      </c>
      <c r="E2798" s="217">
        <v>45170</v>
      </c>
      <c r="F2798">
        <v>-4.6000000074855104E-3</v>
      </c>
      <c r="G2798" t="s">
        <v>252</v>
      </c>
    </row>
    <row r="2799" spans="1:7">
      <c r="A2799" s="216">
        <v>45170</v>
      </c>
      <c r="B2799" t="s">
        <v>53</v>
      </c>
      <c r="C2799">
        <v>27</v>
      </c>
      <c r="D2799" t="s">
        <v>446</v>
      </c>
      <c r="E2799" s="217">
        <v>45170</v>
      </c>
      <c r="F2799">
        <v>-0.21717999999964399</v>
      </c>
      <c r="G2799" t="s">
        <v>253</v>
      </c>
    </row>
    <row r="2800" spans="1:7">
      <c r="A2800" s="216">
        <v>45170</v>
      </c>
      <c r="B2800" t="s">
        <v>53</v>
      </c>
      <c r="C2800">
        <v>27</v>
      </c>
      <c r="D2800" t="s">
        <v>446</v>
      </c>
      <c r="E2800" s="217">
        <v>45170</v>
      </c>
      <c r="F2800">
        <v>-0.21032906300388299</v>
      </c>
      <c r="G2800" t="s">
        <v>254</v>
      </c>
    </row>
    <row r="2801" spans="1:7">
      <c r="A2801" s="216">
        <v>45170</v>
      </c>
      <c r="B2801" t="s">
        <v>53</v>
      </c>
      <c r="C2801">
        <v>27</v>
      </c>
      <c r="D2801" t="s">
        <v>446</v>
      </c>
      <c r="E2801" s="217">
        <v>45170</v>
      </c>
      <c r="F2801">
        <v>0.115056528054993</v>
      </c>
      <c r="G2801" t="s">
        <v>255</v>
      </c>
    </row>
    <row r="2802" spans="1:7">
      <c r="A2802" s="216">
        <v>45170</v>
      </c>
      <c r="B2802" t="s">
        <v>53</v>
      </c>
      <c r="C2802">
        <v>27</v>
      </c>
      <c r="D2802" t="s">
        <v>446</v>
      </c>
      <c r="E2802" s="217">
        <v>45170</v>
      </c>
      <c r="F2802">
        <v>0.104099999982282</v>
      </c>
      <c r="G2802" t="s">
        <v>256</v>
      </c>
    </row>
    <row r="2803" spans="1:7">
      <c r="A2803" s="216">
        <v>45170</v>
      </c>
      <c r="B2803" t="s">
        <v>53</v>
      </c>
      <c r="C2803">
        <v>27</v>
      </c>
      <c r="D2803" t="s">
        <v>446</v>
      </c>
      <c r="E2803" s="217">
        <v>45170</v>
      </c>
      <c r="F2803">
        <v>0.22497833329543901</v>
      </c>
      <c r="G2803" t="s">
        <v>257</v>
      </c>
    </row>
    <row r="2804" spans="1:7">
      <c r="A2804" s="216">
        <v>45170</v>
      </c>
      <c r="B2804" t="s">
        <v>53</v>
      </c>
      <c r="C2804">
        <v>27</v>
      </c>
      <c r="D2804" t="s">
        <v>446</v>
      </c>
      <c r="E2804" s="217">
        <v>45170</v>
      </c>
      <c r="F2804">
        <v>-5.0216666713822598E-3</v>
      </c>
      <c r="G2804" t="s">
        <v>258</v>
      </c>
    </row>
    <row r="2805" spans="1:7">
      <c r="A2805" s="216">
        <v>45170</v>
      </c>
      <c r="B2805" t="s">
        <v>53</v>
      </c>
      <c r="C2805">
        <v>27</v>
      </c>
      <c r="D2805" t="s">
        <v>446</v>
      </c>
      <c r="E2805" s="217">
        <v>45170</v>
      </c>
      <c r="F2805">
        <v>0.48997833333851298</v>
      </c>
      <c r="G2805" t="s">
        <v>259</v>
      </c>
    </row>
    <row r="2806" spans="1:7">
      <c r="A2806" s="216">
        <v>45170</v>
      </c>
      <c r="B2806" t="s">
        <v>53</v>
      </c>
      <c r="C2806">
        <v>27</v>
      </c>
      <c r="D2806" t="s">
        <v>446</v>
      </c>
      <c r="E2806" s="217">
        <v>45170</v>
      </c>
      <c r="F2806">
        <v>-0.497021666669752</v>
      </c>
      <c r="G2806" t="s">
        <v>260</v>
      </c>
    </row>
    <row r="2807" spans="1:7">
      <c r="A2807" s="216">
        <v>45170</v>
      </c>
      <c r="B2807" t="s">
        <v>53</v>
      </c>
      <c r="C2807">
        <v>27</v>
      </c>
      <c r="D2807" t="s">
        <v>446</v>
      </c>
      <c r="E2807" s="217">
        <v>45170</v>
      </c>
      <c r="F2807">
        <v>-0.10402166666608501</v>
      </c>
      <c r="G2807" t="s">
        <v>261</v>
      </c>
    </row>
    <row r="2808" spans="1:7">
      <c r="A2808" s="216">
        <v>45170</v>
      </c>
      <c r="B2808" t="s">
        <v>53</v>
      </c>
      <c r="C2808">
        <v>27</v>
      </c>
      <c r="D2808" t="s">
        <v>446</v>
      </c>
      <c r="E2808" s="217">
        <v>45170</v>
      </c>
      <c r="F2808">
        <v>-0.100021666672546</v>
      </c>
      <c r="G2808" t="s">
        <v>262</v>
      </c>
    </row>
    <row r="2809" spans="1:7">
      <c r="A2809" s="216">
        <v>45170</v>
      </c>
      <c r="B2809" t="s">
        <v>53</v>
      </c>
      <c r="C2809">
        <v>27</v>
      </c>
      <c r="D2809" t="s">
        <v>446</v>
      </c>
      <c r="E2809" s="217">
        <v>45170</v>
      </c>
      <c r="F2809">
        <v>-0.18402920174412399</v>
      </c>
      <c r="G2809" t="s">
        <v>434</v>
      </c>
    </row>
    <row r="2810" spans="1:7">
      <c r="A2810" s="216">
        <v>45170</v>
      </c>
      <c r="B2810" t="s">
        <v>48</v>
      </c>
      <c r="C2810">
        <v>1</v>
      </c>
      <c r="D2810" t="s">
        <v>453</v>
      </c>
      <c r="E2810" s="217">
        <v>45170</v>
      </c>
      <c r="F2810">
        <v>0</v>
      </c>
      <c r="G2810" t="s">
        <v>251</v>
      </c>
    </row>
    <row r="2811" spans="1:7">
      <c r="A2811" s="216">
        <v>45170</v>
      </c>
      <c r="B2811" t="s">
        <v>48</v>
      </c>
      <c r="C2811">
        <v>1</v>
      </c>
      <c r="D2811" t="s">
        <v>453</v>
      </c>
      <c r="E2811" s="217">
        <v>45170</v>
      </c>
      <c r="F2811">
        <v>0</v>
      </c>
      <c r="G2811" t="s">
        <v>252</v>
      </c>
    </row>
    <row r="2812" spans="1:7">
      <c r="A2812" s="216">
        <v>45170</v>
      </c>
      <c r="B2812" t="s">
        <v>48</v>
      </c>
      <c r="C2812">
        <v>1</v>
      </c>
      <c r="D2812" t="s">
        <v>453</v>
      </c>
      <c r="E2812" s="217">
        <v>45170</v>
      </c>
      <c r="F2812">
        <v>0</v>
      </c>
      <c r="G2812" t="s">
        <v>253</v>
      </c>
    </row>
    <row r="2813" spans="1:7">
      <c r="A2813" s="216">
        <v>45170</v>
      </c>
      <c r="B2813" t="s">
        <v>48</v>
      </c>
      <c r="C2813">
        <v>1</v>
      </c>
      <c r="D2813" t="s">
        <v>453</v>
      </c>
      <c r="E2813" s="217">
        <v>45170</v>
      </c>
      <c r="F2813">
        <v>0</v>
      </c>
      <c r="G2813" t="s">
        <v>254</v>
      </c>
    </row>
    <row r="2814" spans="1:7">
      <c r="A2814" s="216">
        <v>45170</v>
      </c>
      <c r="B2814" t="s">
        <v>48</v>
      </c>
      <c r="C2814">
        <v>1</v>
      </c>
      <c r="D2814" t="s">
        <v>453</v>
      </c>
      <c r="E2814" s="217">
        <v>45170</v>
      </c>
      <c r="F2814">
        <v>0</v>
      </c>
      <c r="G2814" t="s">
        <v>255</v>
      </c>
    </row>
    <row r="2815" spans="1:7">
      <c r="A2815" s="216">
        <v>45170</v>
      </c>
      <c r="B2815" t="s">
        <v>48</v>
      </c>
      <c r="C2815">
        <v>1</v>
      </c>
      <c r="D2815" t="s">
        <v>453</v>
      </c>
      <c r="E2815" s="217">
        <v>45170</v>
      </c>
      <c r="F2815">
        <v>0</v>
      </c>
      <c r="G2815" t="s">
        <v>256</v>
      </c>
    </row>
    <row r="2816" spans="1:7">
      <c r="A2816" s="216">
        <v>45170</v>
      </c>
      <c r="B2816" t="s">
        <v>48</v>
      </c>
      <c r="C2816">
        <v>1</v>
      </c>
      <c r="D2816" t="s">
        <v>453</v>
      </c>
      <c r="E2816" s="217">
        <v>45170</v>
      </c>
      <c r="F2816">
        <v>0</v>
      </c>
      <c r="G2816" t="s">
        <v>257</v>
      </c>
    </row>
    <row r="2817" spans="1:7">
      <c r="A2817" s="216">
        <v>45170</v>
      </c>
      <c r="B2817" t="s">
        <v>48</v>
      </c>
      <c r="C2817">
        <v>1</v>
      </c>
      <c r="D2817" t="s">
        <v>453</v>
      </c>
      <c r="E2817" s="217">
        <v>45170</v>
      </c>
      <c r="F2817">
        <v>0</v>
      </c>
      <c r="G2817" t="s">
        <v>258</v>
      </c>
    </row>
    <row r="2818" spans="1:7">
      <c r="A2818" s="216">
        <v>45170</v>
      </c>
      <c r="B2818" t="s">
        <v>48</v>
      </c>
      <c r="C2818">
        <v>1</v>
      </c>
      <c r="D2818" t="s">
        <v>453</v>
      </c>
      <c r="E2818" s="217">
        <v>45170</v>
      </c>
      <c r="F2818">
        <v>0</v>
      </c>
      <c r="G2818" t="s">
        <v>259</v>
      </c>
    </row>
    <row r="2819" spans="1:7">
      <c r="A2819" s="216">
        <v>45170</v>
      </c>
      <c r="B2819" t="s">
        <v>48</v>
      </c>
      <c r="C2819">
        <v>1</v>
      </c>
      <c r="D2819" t="s">
        <v>453</v>
      </c>
      <c r="E2819" s="217">
        <v>45170</v>
      </c>
      <c r="F2819">
        <v>0</v>
      </c>
      <c r="G2819" t="s">
        <v>260</v>
      </c>
    </row>
    <row r="2820" spans="1:7">
      <c r="A2820" s="216">
        <v>45170</v>
      </c>
      <c r="B2820" t="s">
        <v>48</v>
      </c>
      <c r="C2820">
        <v>1</v>
      </c>
      <c r="D2820" t="s">
        <v>453</v>
      </c>
      <c r="E2820" s="217">
        <v>45170</v>
      </c>
      <c r="F2820">
        <v>0</v>
      </c>
      <c r="G2820" t="s">
        <v>261</v>
      </c>
    </row>
    <row r="2821" spans="1:7">
      <c r="A2821" s="216">
        <v>45170</v>
      </c>
      <c r="B2821" t="s">
        <v>48</v>
      </c>
      <c r="C2821">
        <v>1</v>
      </c>
      <c r="D2821" t="s">
        <v>453</v>
      </c>
      <c r="E2821" s="217">
        <v>45170</v>
      </c>
      <c r="F2821">
        <v>0</v>
      </c>
      <c r="G2821" t="s">
        <v>262</v>
      </c>
    </row>
    <row r="2822" spans="1:7">
      <c r="A2822" s="216">
        <v>45170</v>
      </c>
      <c r="B2822" t="s">
        <v>48</v>
      </c>
      <c r="C2822">
        <v>1</v>
      </c>
      <c r="D2822" t="s">
        <v>453</v>
      </c>
      <c r="E2822" s="217">
        <v>45170</v>
      </c>
      <c r="F2822">
        <v>0</v>
      </c>
      <c r="G2822" t="s">
        <v>434</v>
      </c>
    </row>
    <row r="2823" spans="1:7">
      <c r="A2823" s="216">
        <v>45170</v>
      </c>
      <c r="B2823" t="s">
        <v>48</v>
      </c>
      <c r="C2823">
        <v>2</v>
      </c>
      <c r="D2823" t="s">
        <v>436</v>
      </c>
      <c r="E2823" s="217">
        <v>45170</v>
      </c>
      <c r="F2823">
        <v>0</v>
      </c>
      <c r="G2823" t="s">
        <v>251</v>
      </c>
    </row>
    <row r="2824" spans="1:7">
      <c r="A2824" s="216">
        <v>45170</v>
      </c>
      <c r="B2824" t="s">
        <v>48</v>
      </c>
      <c r="C2824">
        <v>2</v>
      </c>
      <c r="D2824" t="s">
        <v>436</v>
      </c>
      <c r="E2824" s="217">
        <v>45170</v>
      </c>
      <c r="F2824">
        <v>0</v>
      </c>
      <c r="G2824" t="s">
        <v>252</v>
      </c>
    </row>
    <row r="2825" spans="1:7">
      <c r="A2825" s="216">
        <v>45170</v>
      </c>
      <c r="B2825" t="s">
        <v>48</v>
      </c>
      <c r="C2825">
        <v>2</v>
      </c>
      <c r="D2825" t="s">
        <v>436</v>
      </c>
      <c r="E2825" s="217">
        <v>45170</v>
      </c>
      <c r="F2825">
        <v>0</v>
      </c>
      <c r="G2825" t="s">
        <v>253</v>
      </c>
    </row>
    <row r="2826" spans="1:7">
      <c r="A2826" s="216">
        <v>45170</v>
      </c>
      <c r="B2826" t="s">
        <v>48</v>
      </c>
      <c r="C2826">
        <v>2</v>
      </c>
      <c r="D2826" t="s">
        <v>436</v>
      </c>
      <c r="E2826" s="217">
        <v>45170</v>
      </c>
      <c r="F2826">
        <v>0</v>
      </c>
      <c r="G2826" t="s">
        <v>254</v>
      </c>
    </row>
    <row r="2827" spans="1:7">
      <c r="A2827" s="216">
        <v>45170</v>
      </c>
      <c r="B2827" t="s">
        <v>48</v>
      </c>
      <c r="C2827">
        <v>2</v>
      </c>
      <c r="D2827" t="s">
        <v>436</v>
      </c>
      <c r="E2827" s="217">
        <v>45170</v>
      </c>
      <c r="F2827">
        <v>0</v>
      </c>
      <c r="G2827" t="s">
        <v>255</v>
      </c>
    </row>
    <row r="2828" spans="1:7">
      <c r="A2828" s="216">
        <v>45170</v>
      </c>
      <c r="B2828" t="s">
        <v>48</v>
      </c>
      <c r="C2828">
        <v>2</v>
      </c>
      <c r="D2828" t="s">
        <v>436</v>
      </c>
      <c r="E2828" s="217">
        <v>45170</v>
      </c>
      <c r="F2828">
        <v>0</v>
      </c>
      <c r="G2828" t="s">
        <v>256</v>
      </c>
    </row>
    <row r="2829" spans="1:7">
      <c r="A2829" s="216">
        <v>45170</v>
      </c>
      <c r="B2829" t="s">
        <v>48</v>
      </c>
      <c r="C2829">
        <v>2</v>
      </c>
      <c r="D2829" t="s">
        <v>436</v>
      </c>
      <c r="E2829" s="217">
        <v>45170</v>
      </c>
      <c r="F2829">
        <v>0</v>
      </c>
      <c r="G2829" t="s">
        <v>257</v>
      </c>
    </row>
    <row r="2830" spans="1:7">
      <c r="A2830" s="216">
        <v>45170</v>
      </c>
      <c r="B2830" t="s">
        <v>48</v>
      </c>
      <c r="C2830">
        <v>2</v>
      </c>
      <c r="D2830" t="s">
        <v>436</v>
      </c>
      <c r="E2830" s="217">
        <v>45170</v>
      </c>
      <c r="F2830">
        <v>0</v>
      </c>
      <c r="G2830" t="s">
        <v>258</v>
      </c>
    </row>
    <row r="2831" spans="1:7">
      <c r="A2831" s="216">
        <v>45170</v>
      </c>
      <c r="B2831" t="s">
        <v>48</v>
      </c>
      <c r="C2831">
        <v>2</v>
      </c>
      <c r="D2831" t="s">
        <v>436</v>
      </c>
      <c r="E2831" s="217">
        <v>45170</v>
      </c>
      <c r="F2831">
        <v>0</v>
      </c>
      <c r="G2831" t="s">
        <v>259</v>
      </c>
    </row>
    <row r="2832" spans="1:7">
      <c r="A2832" s="216">
        <v>45170</v>
      </c>
      <c r="B2832" t="s">
        <v>48</v>
      </c>
      <c r="C2832">
        <v>2</v>
      </c>
      <c r="D2832" t="s">
        <v>436</v>
      </c>
      <c r="E2832" s="217">
        <v>45170</v>
      </c>
      <c r="F2832">
        <v>0</v>
      </c>
      <c r="G2832" t="s">
        <v>260</v>
      </c>
    </row>
    <row r="2833" spans="1:7">
      <c r="A2833" s="216">
        <v>45170</v>
      </c>
      <c r="B2833" t="s">
        <v>48</v>
      </c>
      <c r="C2833">
        <v>2</v>
      </c>
      <c r="D2833" t="s">
        <v>436</v>
      </c>
      <c r="E2833" s="217">
        <v>45170</v>
      </c>
      <c r="F2833">
        <v>0</v>
      </c>
      <c r="G2833" t="s">
        <v>261</v>
      </c>
    </row>
    <row r="2834" spans="1:7">
      <c r="A2834" s="216">
        <v>45170</v>
      </c>
      <c r="B2834" t="s">
        <v>48</v>
      </c>
      <c r="C2834">
        <v>2</v>
      </c>
      <c r="D2834" t="s">
        <v>436</v>
      </c>
      <c r="E2834" s="217">
        <v>45170</v>
      </c>
      <c r="F2834">
        <v>0</v>
      </c>
      <c r="G2834" t="s">
        <v>262</v>
      </c>
    </row>
    <row r="2835" spans="1:7">
      <c r="A2835" s="216">
        <v>45170</v>
      </c>
      <c r="B2835" t="s">
        <v>48</v>
      </c>
      <c r="C2835">
        <v>2</v>
      </c>
      <c r="D2835" t="s">
        <v>436</v>
      </c>
      <c r="E2835" s="217">
        <v>45170</v>
      </c>
      <c r="F2835">
        <v>0</v>
      </c>
      <c r="G2835" t="s">
        <v>434</v>
      </c>
    </row>
    <row r="2836" spans="1:7">
      <c r="A2836" s="216">
        <v>45170</v>
      </c>
      <c r="B2836" t="s">
        <v>48</v>
      </c>
      <c r="C2836">
        <v>3</v>
      </c>
      <c r="D2836" t="s">
        <v>459</v>
      </c>
      <c r="E2836" s="217">
        <v>45170</v>
      </c>
      <c r="F2836">
        <v>1922</v>
      </c>
      <c r="G2836" t="s">
        <v>251</v>
      </c>
    </row>
    <row r="2837" spans="1:7">
      <c r="A2837" s="216">
        <v>45170</v>
      </c>
      <c r="B2837" t="s">
        <v>48</v>
      </c>
      <c r="C2837">
        <v>3</v>
      </c>
      <c r="D2837" t="s">
        <v>459</v>
      </c>
      <c r="E2837" s="217">
        <v>45170</v>
      </c>
      <c r="F2837">
        <v>1928</v>
      </c>
      <c r="G2837" t="s">
        <v>252</v>
      </c>
    </row>
    <row r="2838" spans="1:7">
      <c r="A2838" s="216">
        <v>45170</v>
      </c>
      <c r="B2838" t="s">
        <v>48</v>
      </c>
      <c r="C2838">
        <v>3</v>
      </c>
      <c r="D2838" t="s">
        <v>459</v>
      </c>
      <c r="E2838" s="217">
        <v>45170</v>
      </c>
      <c r="F2838">
        <v>2199</v>
      </c>
      <c r="G2838" t="s">
        <v>253</v>
      </c>
    </row>
    <row r="2839" spans="1:7">
      <c r="A2839" s="216">
        <v>45170</v>
      </c>
      <c r="B2839" t="s">
        <v>48</v>
      </c>
      <c r="C2839">
        <v>3</v>
      </c>
      <c r="D2839" t="s">
        <v>459</v>
      </c>
      <c r="E2839" s="217">
        <v>45170</v>
      </c>
      <c r="F2839">
        <v>2258</v>
      </c>
      <c r="G2839" t="s">
        <v>254</v>
      </c>
    </row>
    <row r="2840" spans="1:7">
      <c r="A2840" s="216">
        <v>45170</v>
      </c>
      <c r="B2840" t="s">
        <v>48</v>
      </c>
      <c r="C2840">
        <v>3</v>
      </c>
      <c r="D2840" t="s">
        <v>459</v>
      </c>
      <c r="E2840" s="217">
        <v>45170</v>
      </c>
      <c r="F2840">
        <v>2227</v>
      </c>
      <c r="G2840" t="s">
        <v>255</v>
      </c>
    </row>
    <row r="2841" spans="1:7">
      <c r="A2841" s="216">
        <v>45170</v>
      </c>
      <c r="B2841" t="s">
        <v>48</v>
      </c>
      <c r="C2841">
        <v>3</v>
      </c>
      <c r="D2841" t="s">
        <v>459</v>
      </c>
      <c r="E2841" s="217">
        <v>45170</v>
      </c>
      <c r="F2841">
        <v>2035</v>
      </c>
      <c r="G2841" t="s">
        <v>256</v>
      </c>
    </row>
    <row r="2842" spans="1:7">
      <c r="A2842" s="216">
        <v>45170</v>
      </c>
      <c r="B2842" t="s">
        <v>48</v>
      </c>
      <c r="C2842">
        <v>3</v>
      </c>
      <c r="D2842" t="s">
        <v>459</v>
      </c>
      <c r="E2842" s="217">
        <v>45170</v>
      </c>
      <c r="F2842">
        <v>1978</v>
      </c>
      <c r="G2842" t="s">
        <v>257</v>
      </c>
    </row>
    <row r="2843" spans="1:7">
      <c r="A2843" s="216">
        <v>45170</v>
      </c>
      <c r="B2843" t="s">
        <v>48</v>
      </c>
      <c r="C2843">
        <v>3</v>
      </c>
      <c r="D2843" t="s">
        <v>459</v>
      </c>
      <c r="E2843" s="217">
        <v>45170</v>
      </c>
      <c r="F2843">
        <v>1972</v>
      </c>
      <c r="G2843" t="s">
        <v>258</v>
      </c>
    </row>
    <row r="2844" spans="1:7">
      <c r="A2844" s="216">
        <v>45170</v>
      </c>
      <c r="B2844" t="s">
        <v>48</v>
      </c>
      <c r="C2844">
        <v>3</v>
      </c>
      <c r="D2844" t="s">
        <v>459</v>
      </c>
      <c r="E2844" s="217">
        <v>45170</v>
      </c>
      <c r="F2844">
        <v>1972</v>
      </c>
      <c r="G2844" t="s">
        <v>259</v>
      </c>
    </row>
    <row r="2845" spans="1:7">
      <c r="A2845" s="216">
        <v>45170</v>
      </c>
      <c r="B2845" t="s">
        <v>48</v>
      </c>
      <c r="C2845">
        <v>3</v>
      </c>
      <c r="D2845" t="s">
        <v>459</v>
      </c>
      <c r="E2845" s="217">
        <v>45170</v>
      </c>
      <c r="F2845">
        <v>1972</v>
      </c>
      <c r="G2845" t="s">
        <v>260</v>
      </c>
    </row>
    <row r="2846" spans="1:7">
      <c r="A2846" s="216">
        <v>45170</v>
      </c>
      <c r="B2846" t="s">
        <v>48</v>
      </c>
      <c r="C2846">
        <v>3</v>
      </c>
      <c r="D2846" t="s">
        <v>459</v>
      </c>
      <c r="E2846" s="217">
        <v>45170</v>
      </c>
      <c r="F2846">
        <v>1972</v>
      </c>
      <c r="G2846" t="s">
        <v>261</v>
      </c>
    </row>
    <row r="2847" spans="1:7">
      <c r="A2847" s="216">
        <v>45170</v>
      </c>
      <c r="B2847" t="s">
        <v>48</v>
      </c>
      <c r="C2847">
        <v>3</v>
      </c>
      <c r="D2847" t="s">
        <v>459</v>
      </c>
      <c r="E2847" s="217">
        <v>45170</v>
      </c>
      <c r="F2847">
        <v>1972</v>
      </c>
      <c r="G2847" t="s">
        <v>262</v>
      </c>
    </row>
    <row r="2848" spans="1:7">
      <c r="A2848" s="216">
        <v>45170</v>
      </c>
      <c r="B2848" t="s">
        <v>48</v>
      </c>
      <c r="C2848">
        <v>3</v>
      </c>
      <c r="D2848" t="s">
        <v>459</v>
      </c>
      <c r="E2848" s="217">
        <v>45170</v>
      </c>
      <c r="F2848">
        <v>24407</v>
      </c>
      <c r="G2848" t="s">
        <v>434</v>
      </c>
    </row>
    <row r="2849" spans="1:7">
      <c r="A2849" s="216">
        <v>45170</v>
      </c>
      <c r="B2849" t="s">
        <v>48</v>
      </c>
      <c r="C2849">
        <v>4</v>
      </c>
      <c r="D2849" t="s">
        <v>460</v>
      </c>
      <c r="E2849" s="217">
        <v>45170</v>
      </c>
      <c r="F2849">
        <v>16</v>
      </c>
      <c r="G2849" t="s">
        <v>251</v>
      </c>
    </row>
    <row r="2850" spans="1:7">
      <c r="A2850" s="216">
        <v>45170</v>
      </c>
      <c r="B2850" t="s">
        <v>48</v>
      </c>
      <c r="C2850">
        <v>4</v>
      </c>
      <c r="D2850" t="s">
        <v>460</v>
      </c>
      <c r="E2850" s="217">
        <v>45170</v>
      </c>
      <c r="F2850">
        <v>18</v>
      </c>
      <c r="G2850" t="s">
        <v>252</v>
      </c>
    </row>
    <row r="2851" spans="1:7">
      <c r="A2851" s="216">
        <v>45170</v>
      </c>
      <c r="B2851" t="s">
        <v>48</v>
      </c>
      <c r="C2851">
        <v>4</v>
      </c>
      <c r="D2851" t="s">
        <v>460</v>
      </c>
      <c r="E2851" s="217">
        <v>45170</v>
      </c>
      <c r="F2851">
        <v>16</v>
      </c>
      <c r="G2851" t="s">
        <v>253</v>
      </c>
    </row>
    <row r="2852" spans="1:7">
      <c r="A2852" s="216">
        <v>45170</v>
      </c>
      <c r="B2852" t="s">
        <v>48</v>
      </c>
      <c r="C2852">
        <v>4</v>
      </c>
      <c r="D2852" t="s">
        <v>460</v>
      </c>
      <c r="E2852" s="217">
        <v>45170</v>
      </c>
      <c r="F2852">
        <v>27</v>
      </c>
      <c r="G2852" t="s">
        <v>254</v>
      </c>
    </row>
    <row r="2853" spans="1:7">
      <c r="A2853" s="216">
        <v>45170</v>
      </c>
      <c r="B2853" t="s">
        <v>48</v>
      </c>
      <c r="C2853">
        <v>4</v>
      </c>
      <c r="D2853" t="s">
        <v>460</v>
      </c>
      <c r="E2853" s="217">
        <v>45170</v>
      </c>
      <c r="F2853">
        <v>19</v>
      </c>
      <c r="G2853" t="s">
        <v>255</v>
      </c>
    </row>
    <row r="2854" spans="1:7">
      <c r="A2854" s="216">
        <v>45170</v>
      </c>
      <c r="B2854" t="s">
        <v>48</v>
      </c>
      <c r="C2854">
        <v>4</v>
      </c>
      <c r="D2854" t="s">
        <v>460</v>
      </c>
      <c r="E2854" s="217">
        <v>45170</v>
      </c>
      <c r="F2854">
        <v>19</v>
      </c>
      <c r="G2854" t="s">
        <v>256</v>
      </c>
    </row>
    <row r="2855" spans="1:7">
      <c r="A2855" s="216">
        <v>45170</v>
      </c>
      <c r="B2855" t="s">
        <v>48</v>
      </c>
      <c r="C2855">
        <v>4</v>
      </c>
      <c r="D2855" t="s">
        <v>460</v>
      </c>
      <c r="E2855" s="217">
        <v>45170</v>
      </c>
      <c r="F2855">
        <v>18</v>
      </c>
      <c r="G2855" t="s">
        <v>257</v>
      </c>
    </row>
    <row r="2856" spans="1:7">
      <c r="A2856" s="216">
        <v>45170</v>
      </c>
      <c r="B2856" t="s">
        <v>48</v>
      </c>
      <c r="C2856">
        <v>4</v>
      </c>
      <c r="D2856" t="s">
        <v>460</v>
      </c>
      <c r="E2856" s="217">
        <v>45170</v>
      </c>
      <c r="F2856">
        <v>18</v>
      </c>
      <c r="G2856" t="s">
        <v>258</v>
      </c>
    </row>
    <row r="2857" spans="1:7">
      <c r="A2857" s="216">
        <v>45170</v>
      </c>
      <c r="B2857" t="s">
        <v>48</v>
      </c>
      <c r="C2857">
        <v>4</v>
      </c>
      <c r="D2857" t="s">
        <v>460</v>
      </c>
      <c r="E2857" s="217">
        <v>45170</v>
      </c>
      <c r="F2857">
        <v>18</v>
      </c>
      <c r="G2857" t="s">
        <v>259</v>
      </c>
    </row>
    <row r="2858" spans="1:7">
      <c r="A2858" s="216">
        <v>45170</v>
      </c>
      <c r="B2858" t="s">
        <v>48</v>
      </c>
      <c r="C2858">
        <v>4</v>
      </c>
      <c r="D2858" t="s">
        <v>460</v>
      </c>
      <c r="E2858" s="217">
        <v>45170</v>
      </c>
      <c r="F2858">
        <v>18</v>
      </c>
      <c r="G2858" t="s">
        <v>260</v>
      </c>
    </row>
    <row r="2859" spans="1:7">
      <c r="A2859" s="216">
        <v>45170</v>
      </c>
      <c r="B2859" t="s">
        <v>48</v>
      </c>
      <c r="C2859">
        <v>4</v>
      </c>
      <c r="D2859" t="s">
        <v>460</v>
      </c>
      <c r="E2859" s="217">
        <v>45170</v>
      </c>
      <c r="F2859">
        <v>18</v>
      </c>
      <c r="G2859" t="s">
        <v>261</v>
      </c>
    </row>
    <row r="2860" spans="1:7">
      <c r="A2860" s="216">
        <v>45170</v>
      </c>
      <c r="B2860" t="s">
        <v>48</v>
      </c>
      <c r="C2860">
        <v>4</v>
      </c>
      <c r="D2860" t="s">
        <v>460</v>
      </c>
      <c r="E2860" s="217">
        <v>45170</v>
      </c>
      <c r="F2860">
        <v>18</v>
      </c>
      <c r="G2860" t="s">
        <v>262</v>
      </c>
    </row>
    <row r="2861" spans="1:7">
      <c r="A2861" s="216">
        <v>45170</v>
      </c>
      <c r="B2861" t="s">
        <v>48</v>
      </c>
      <c r="C2861">
        <v>4</v>
      </c>
      <c r="D2861" t="s">
        <v>460</v>
      </c>
      <c r="E2861" s="217">
        <v>45170</v>
      </c>
      <c r="F2861">
        <v>223</v>
      </c>
      <c r="G2861" t="s">
        <v>434</v>
      </c>
    </row>
    <row r="2862" spans="1:7">
      <c r="A2862" s="216">
        <v>45170</v>
      </c>
      <c r="B2862" t="s">
        <v>48</v>
      </c>
      <c r="C2862">
        <v>5</v>
      </c>
      <c r="D2862" t="s">
        <v>458</v>
      </c>
      <c r="E2862" s="217">
        <v>45170</v>
      </c>
      <c r="F2862">
        <v>15778</v>
      </c>
      <c r="G2862" t="s">
        <v>251</v>
      </c>
    </row>
    <row r="2863" spans="1:7">
      <c r="A2863" s="216">
        <v>45170</v>
      </c>
      <c r="B2863" t="s">
        <v>48</v>
      </c>
      <c r="C2863">
        <v>5</v>
      </c>
      <c r="D2863" t="s">
        <v>458</v>
      </c>
      <c r="E2863" s="217">
        <v>45170</v>
      </c>
      <c r="F2863">
        <v>16064</v>
      </c>
      <c r="G2863" t="s">
        <v>252</v>
      </c>
    </row>
    <row r="2864" spans="1:7">
      <c r="A2864" s="216">
        <v>45170</v>
      </c>
      <c r="B2864" t="s">
        <v>48</v>
      </c>
      <c r="C2864">
        <v>5</v>
      </c>
      <c r="D2864" t="s">
        <v>458</v>
      </c>
      <c r="E2864" s="217">
        <v>45170</v>
      </c>
      <c r="F2864">
        <v>16123</v>
      </c>
      <c r="G2864" t="s">
        <v>253</v>
      </c>
    </row>
    <row r="2865" spans="1:7">
      <c r="A2865" s="216">
        <v>45170</v>
      </c>
      <c r="B2865" t="s">
        <v>48</v>
      </c>
      <c r="C2865">
        <v>5</v>
      </c>
      <c r="D2865" t="s">
        <v>458</v>
      </c>
      <c r="E2865" s="217">
        <v>45170</v>
      </c>
      <c r="F2865">
        <v>17884</v>
      </c>
      <c r="G2865" t="s">
        <v>254</v>
      </c>
    </row>
    <row r="2866" spans="1:7">
      <c r="A2866" s="216">
        <v>45170</v>
      </c>
      <c r="B2866" t="s">
        <v>48</v>
      </c>
      <c r="C2866">
        <v>5</v>
      </c>
      <c r="D2866" t="s">
        <v>458</v>
      </c>
      <c r="E2866" s="217">
        <v>45170</v>
      </c>
      <c r="F2866">
        <v>17098</v>
      </c>
      <c r="G2866" t="s">
        <v>255</v>
      </c>
    </row>
    <row r="2867" spans="1:7">
      <c r="A2867" s="216">
        <v>45170</v>
      </c>
      <c r="B2867" t="s">
        <v>48</v>
      </c>
      <c r="C2867">
        <v>5</v>
      </c>
      <c r="D2867" t="s">
        <v>458</v>
      </c>
      <c r="E2867" s="217">
        <v>45170</v>
      </c>
      <c r="F2867">
        <v>17332</v>
      </c>
      <c r="G2867" t="s">
        <v>256</v>
      </c>
    </row>
    <row r="2868" spans="1:7">
      <c r="A2868" s="216">
        <v>45170</v>
      </c>
      <c r="B2868" t="s">
        <v>48</v>
      </c>
      <c r="C2868">
        <v>5</v>
      </c>
      <c r="D2868" t="s">
        <v>458</v>
      </c>
      <c r="E2868" s="217">
        <v>45170</v>
      </c>
      <c r="F2868">
        <v>18761.069911133302</v>
      </c>
      <c r="G2868" t="s">
        <v>257</v>
      </c>
    </row>
    <row r="2869" spans="1:7">
      <c r="A2869" s="216">
        <v>45170</v>
      </c>
      <c r="B2869" t="s">
        <v>48</v>
      </c>
      <c r="C2869">
        <v>5</v>
      </c>
      <c r="D2869" t="s">
        <v>458</v>
      </c>
      <c r="E2869" s="217">
        <v>45170</v>
      </c>
      <c r="F2869">
        <v>18028.777075666701</v>
      </c>
      <c r="G2869" t="s">
        <v>258</v>
      </c>
    </row>
    <row r="2870" spans="1:7">
      <c r="A2870" s="216">
        <v>45170</v>
      </c>
      <c r="B2870" t="s">
        <v>48</v>
      </c>
      <c r="C2870">
        <v>5</v>
      </c>
      <c r="D2870" t="s">
        <v>458</v>
      </c>
      <c r="E2870" s="217">
        <v>45170</v>
      </c>
      <c r="F2870">
        <v>18417.190917799999</v>
      </c>
      <c r="G2870" t="s">
        <v>259</v>
      </c>
    </row>
    <row r="2871" spans="1:7">
      <c r="A2871" s="216">
        <v>45170</v>
      </c>
      <c r="B2871" t="s">
        <v>48</v>
      </c>
      <c r="C2871">
        <v>5</v>
      </c>
      <c r="D2871" t="s">
        <v>458</v>
      </c>
      <c r="E2871" s="217">
        <v>45170</v>
      </c>
      <c r="F2871">
        <v>18179.603191133301</v>
      </c>
      <c r="G2871" t="s">
        <v>260</v>
      </c>
    </row>
    <row r="2872" spans="1:7">
      <c r="A2872" s="216">
        <v>45170</v>
      </c>
      <c r="B2872" t="s">
        <v>48</v>
      </c>
      <c r="C2872">
        <v>5</v>
      </c>
      <c r="D2872" t="s">
        <v>458</v>
      </c>
      <c r="E2872" s="217">
        <v>45170</v>
      </c>
      <c r="F2872">
        <v>18088.476393533299</v>
      </c>
      <c r="G2872" t="s">
        <v>261</v>
      </c>
    </row>
    <row r="2873" spans="1:7">
      <c r="A2873" s="216">
        <v>45170</v>
      </c>
      <c r="B2873" t="s">
        <v>48</v>
      </c>
      <c r="C2873">
        <v>5</v>
      </c>
      <c r="D2873" t="s">
        <v>458</v>
      </c>
      <c r="E2873" s="217">
        <v>45170</v>
      </c>
      <c r="F2873">
        <v>22605.462164466699</v>
      </c>
      <c r="G2873" t="s">
        <v>262</v>
      </c>
    </row>
    <row r="2874" spans="1:7">
      <c r="A2874" s="216">
        <v>45170</v>
      </c>
      <c r="B2874" t="s">
        <v>48</v>
      </c>
      <c r="C2874">
        <v>5</v>
      </c>
      <c r="D2874" t="s">
        <v>458</v>
      </c>
      <c r="E2874" s="217">
        <v>45170</v>
      </c>
      <c r="F2874">
        <v>214359.579653733</v>
      </c>
      <c r="G2874" t="s">
        <v>434</v>
      </c>
    </row>
    <row r="2875" spans="1:7">
      <c r="A2875" s="216">
        <v>45170</v>
      </c>
      <c r="B2875" t="s">
        <v>48</v>
      </c>
      <c r="C2875">
        <v>6</v>
      </c>
      <c r="D2875" t="s">
        <v>448</v>
      </c>
      <c r="E2875" s="217">
        <v>45170</v>
      </c>
      <c r="F2875">
        <v>481</v>
      </c>
      <c r="G2875" t="s">
        <v>251</v>
      </c>
    </row>
    <row r="2876" spans="1:7">
      <c r="A2876" s="216">
        <v>45170</v>
      </c>
      <c r="B2876" t="s">
        <v>48</v>
      </c>
      <c r="C2876">
        <v>6</v>
      </c>
      <c r="D2876" t="s">
        <v>448</v>
      </c>
      <c r="E2876" s="217">
        <v>45170</v>
      </c>
      <c r="F2876">
        <v>507</v>
      </c>
      <c r="G2876" t="s">
        <v>252</v>
      </c>
    </row>
    <row r="2877" spans="1:7">
      <c r="A2877" s="216">
        <v>45170</v>
      </c>
      <c r="B2877" t="s">
        <v>48</v>
      </c>
      <c r="C2877">
        <v>6</v>
      </c>
      <c r="D2877" t="s">
        <v>448</v>
      </c>
      <c r="E2877" s="217">
        <v>45170</v>
      </c>
      <c r="F2877">
        <v>645</v>
      </c>
      <c r="G2877" t="s">
        <v>253</v>
      </c>
    </row>
    <row r="2878" spans="1:7">
      <c r="A2878" s="216">
        <v>45170</v>
      </c>
      <c r="B2878" t="s">
        <v>48</v>
      </c>
      <c r="C2878">
        <v>6</v>
      </c>
      <c r="D2878" t="s">
        <v>448</v>
      </c>
      <c r="E2878" s="217">
        <v>45170</v>
      </c>
      <c r="F2878">
        <v>669</v>
      </c>
      <c r="G2878" t="s">
        <v>254</v>
      </c>
    </row>
    <row r="2879" spans="1:7">
      <c r="A2879" s="216">
        <v>45170</v>
      </c>
      <c r="B2879" t="s">
        <v>48</v>
      </c>
      <c r="C2879">
        <v>6</v>
      </c>
      <c r="D2879" t="s">
        <v>448</v>
      </c>
      <c r="E2879" s="217">
        <v>45170</v>
      </c>
      <c r="F2879">
        <v>561</v>
      </c>
      <c r="G2879" t="s">
        <v>255</v>
      </c>
    </row>
    <row r="2880" spans="1:7">
      <c r="A2880" s="216">
        <v>45170</v>
      </c>
      <c r="B2880" t="s">
        <v>48</v>
      </c>
      <c r="C2880">
        <v>6</v>
      </c>
      <c r="D2880" t="s">
        <v>448</v>
      </c>
      <c r="E2880" s="217">
        <v>45170</v>
      </c>
      <c r="F2880">
        <v>427</v>
      </c>
      <c r="G2880" t="s">
        <v>256</v>
      </c>
    </row>
    <row r="2881" spans="1:7">
      <c r="A2881" s="216">
        <v>45170</v>
      </c>
      <c r="B2881" t="s">
        <v>48</v>
      </c>
      <c r="C2881">
        <v>6</v>
      </c>
      <c r="D2881" t="s">
        <v>448</v>
      </c>
      <c r="E2881" s="217">
        <v>45170</v>
      </c>
      <c r="F2881">
        <v>491</v>
      </c>
      <c r="G2881" t="s">
        <v>257</v>
      </c>
    </row>
    <row r="2882" spans="1:7">
      <c r="A2882" s="216">
        <v>45170</v>
      </c>
      <c r="B2882" t="s">
        <v>48</v>
      </c>
      <c r="C2882">
        <v>6</v>
      </c>
      <c r="D2882" t="s">
        <v>448</v>
      </c>
      <c r="E2882" s="217">
        <v>45170</v>
      </c>
      <c r="F2882">
        <v>461</v>
      </c>
      <c r="G2882" t="s">
        <v>258</v>
      </c>
    </row>
    <row r="2883" spans="1:7">
      <c r="A2883" s="216">
        <v>45170</v>
      </c>
      <c r="B2883" t="s">
        <v>48</v>
      </c>
      <c r="C2883">
        <v>6</v>
      </c>
      <c r="D2883" t="s">
        <v>448</v>
      </c>
      <c r="E2883" s="217">
        <v>45170</v>
      </c>
      <c r="F2883">
        <v>461</v>
      </c>
      <c r="G2883" t="s">
        <v>259</v>
      </c>
    </row>
    <row r="2884" spans="1:7">
      <c r="A2884" s="216">
        <v>45170</v>
      </c>
      <c r="B2884" t="s">
        <v>48</v>
      </c>
      <c r="C2884">
        <v>6</v>
      </c>
      <c r="D2884" t="s">
        <v>448</v>
      </c>
      <c r="E2884" s="217">
        <v>45170</v>
      </c>
      <c r="F2884">
        <v>459</v>
      </c>
      <c r="G2884" t="s">
        <v>260</v>
      </c>
    </row>
    <row r="2885" spans="1:7">
      <c r="A2885" s="216">
        <v>45170</v>
      </c>
      <c r="B2885" t="s">
        <v>48</v>
      </c>
      <c r="C2885">
        <v>6</v>
      </c>
      <c r="D2885" t="s">
        <v>448</v>
      </c>
      <c r="E2885" s="217">
        <v>45170</v>
      </c>
      <c r="F2885">
        <v>457</v>
      </c>
      <c r="G2885" t="s">
        <v>261</v>
      </c>
    </row>
    <row r="2886" spans="1:7">
      <c r="A2886" s="216">
        <v>45170</v>
      </c>
      <c r="B2886" t="s">
        <v>48</v>
      </c>
      <c r="C2886">
        <v>6</v>
      </c>
      <c r="D2886" t="s">
        <v>448</v>
      </c>
      <c r="E2886" s="217">
        <v>45170</v>
      </c>
      <c r="F2886">
        <v>457</v>
      </c>
      <c r="G2886" t="s">
        <v>262</v>
      </c>
    </row>
    <row r="2887" spans="1:7">
      <c r="A2887" s="216">
        <v>45170</v>
      </c>
      <c r="B2887" t="s">
        <v>48</v>
      </c>
      <c r="C2887">
        <v>6</v>
      </c>
      <c r="D2887" t="s">
        <v>448</v>
      </c>
      <c r="E2887" s="217">
        <v>45170</v>
      </c>
      <c r="F2887">
        <v>6076</v>
      </c>
      <c r="G2887" t="s">
        <v>434</v>
      </c>
    </row>
    <row r="2888" spans="1:7">
      <c r="A2888" s="216">
        <v>45170</v>
      </c>
      <c r="B2888" t="s">
        <v>48</v>
      </c>
      <c r="C2888">
        <v>7</v>
      </c>
      <c r="D2888" t="s">
        <v>442</v>
      </c>
      <c r="E2888" s="217">
        <v>45170</v>
      </c>
      <c r="F2888">
        <v>18197</v>
      </c>
      <c r="G2888" t="s">
        <v>251</v>
      </c>
    </row>
    <row r="2889" spans="1:7">
      <c r="A2889" s="216">
        <v>45170</v>
      </c>
      <c r="B2889" t="s">
        <v>48</v>
      </c>
      <c r="C2889">
        <v>7</v>
      </c>
      <c r="D2889" t="s">
        <v>442</v>
      </c>
      <c r="E2889" s="217">
        <v>45170</v>
      </c>
      <c r="F2889">
        <v>18517</v>
      </c>
      <c r="G2889" t="s">
        <v>252</v>
      </c>
    </row>
    <row r="2890" spans="1:7">
      <c r="A2890" s="216">
        <v>45170</v>
      </c>
      <c r="B2890" t="s">
        <v>48</v>
      </c>
      <c r="C2890">
        <v>7</v>
      </c>
      <c r="D2890" t="s">
        <v>442</v>
      </c>
      <c r="E2890" s="217">
        <v>45170</v>
      </c>
      <c r="F2890">
        <v>18983</v>
      </c>
      <c r="G2890" t="s">
        <v>253</v>
      </c>
    </row>
    <row r="2891" spans="1:7">
      <c r="A2891" s="216">
        <v>45170</v>
      </c>
      <c r="B2891" t="s">
        <v>48</v>
      </c>
      <c r="C2891">
        <v>7</v>
      </c>
      <c r="D2891" t="s">
        <v>442</v>
      </c>
      <c r="E2891" s="217">
        <v>45170</v>
      </c>
      <c r="F2891">
        <v>20838</v>
      </c>
      <c r="G2891" t="s">
        <v>254</v>
      </c>
    </row>
    <row r="2892" spans="1:7">
      <c r="A2892" s="216">
        <v>45170</v>
      </c>
      <c r="B2892" t="s">
        <v>48</v>
      </c>
      <c r="C2892">
        <v>7</v>
      </c>
      <c r="D2892" t="s">
        <v>442</v>
      </c>
      <c r="E2892" s="217">
        <v>45170</v>
      </c>
      <c r="F2892">
        <v>19905</v>
      </c>
      <c r="G2892" t="s">
        <v>255</v>
      </c>
    </row>
    <row r="2893" spans="1:7">
      <c r="A2893" s="216">
        <v>45170</v>
      </c>
      <c r="B2893" t="s">
        <v>48</v>
      </c>
      <c r="C2893">
        <v>7</v>
      </c>
      <c r="D2893" t="s">
        <v>442</v>
      </c>
      <c r="E2893" s="217">
        <v>45170</v>
      </c>
      <c r="F2893">
        <v>19813</v>
      </c>
      <c r="G2893" t="s">
        <v>256</v>
      </c>
    </row>
    <row r="2894" spans="1:7">
      <c r="A2894" s="216">
        <v>45170</v>
      </c>
      <c r="B2894" t="s">
        <v>48</v>
      </c>
      <c r="C2894">
        <v>7</v>
      </c>
      <c r="D2894" t="s">
        <v>442</v>
      </c>
      <c r="E2894" s="217">
        <v>45170</v>
      </c>
      <c r="F2894">
        <v>21248.069911133302</v>
      </c>
      <c r="G2894" t="s">
        <v>257</v>
      </c>
    </row>
    <row r="2895" spans="1:7">
      <c r="A2895" s="216">
        <v>45170</v>
      </c>
      <c r="B2895" t="s">
        <v>48</v>
      </c>
      <c r="C2895">
        <v>7</v>
      </c>
      <c r="D2895" t="s">
        <v>442</v>
      </c>
      <c r="E2895" s="217">
        <v>45170</v>
      </c>
      <c r="F2895">
        <v>20479.777075666701</v>
      </c>
      <c r="G2895" t="s">
        <v>258</v>
      </c>
    </row>
    <row r="2896" spans="1:7">
      <c r="A2896" s="216">
        <v>45170</v>
      </c>
      <c r="B2896" t="s">
        <v>48</v>
      </c>
      <c r="C2896">
        <v>7</v>
      </c>
      <c r="D2896" t="s">
        <v>442</v>
      </c>
      <c r="E2896" s="217">
        <v>45170</v>
      </c>
      <c r="F2896">
        <v>20868.190917799999</v>
      </c>
      <c r="G2896" t="s">
        <v>259</v>
      </c>
    </row>
    <row r="2897" spans="1:7">
      <c r="A2897" s="216">
        <v>45170</v>
      </c>
      <c r="B2897" t="s">
        <v>48</v>
      </c>
      <c r="C2897">
        <v>7</v>
      </c>
      <c r="D2897" t="s">
        <v>442</v>
      </c>
      <c r="E2897" s="217">
        <v>45170</v>
      </c>
      <c r="F2897">
        <v>20628.603191133301</v>
      </c>
      <c r="G2897" t="s">
        <v>260</v>
      </c>
    </row>
    <row r="2898" spans="1:7">
      <c r="A2898" s="216">
        <v>45170</v>
      </c>
      <c r="B2898" t="s">
        <v>48</v>
      </c>
      <c r="C2898">
        <v>7</v>
      </c>
      <c r="D2898" t="s">
        <v>442</v>
      </c>
      <c r="E2898" s="217">
        <v>45170</v>
      </c>
      <c r="F2898">
        <v>20535.476393533299</v>
      </c>
      <c r="G2898" t="s">
        <v>261</v>
      </c>
    </row>
    <row r="2899" spans="1:7">
      <c r="A2899" s="216">
        <v>45170</v>
      </c>
      <c r="B2899" t="s">
        <v>48</v>
      </c>
      <c r="C2899">
        <v>7</v>
      </c>
      <c r="D2899" t="s">
        <v>442</v>
      </c>
      <c r="E2899" s="217">
        <v>45170</v>
      </c>
      <c r="F2899">
        <v>25052.462164466699</v>
      </c>
      <c r="G2899" t="s">
        <v>262</v>
      </c>
    </row>
    <row r="2900" spans="1:7">
      <c r="A2900" s="216">
        <v>45170</v>
      </c>
      <c r="B2900" t="s">
        <v>48</v>
      </c>
      <c r="C2900">
        <v>7</v>
      </c>
      <c r="D2900" t="s">
        <v>442</v>
      </c>
      <c r="E2900" s="217">
        <v>45170</v>
      </c>
      <c r="F2900">
        <v>245065.579653733</v>
      </c>
      <c r="G2900" t="s">
        <v>434</v>
      </c>
    </row>
    <row r="2901" spans="1:7">
      <c r="A2901" s="216">
        <v>45170</v>
      </c>
      <c r="B2901" t="s">
        <v>48</v>
      </c>
      <c r="C2901">
        <v>8</v>
      </c>
      <c r="D2901" t="s">
        <v>451</v>
      </c>
      <c r="E2901" s="217">
        <v>45170</v>
      </c>
      <c r="F2901">
        <v>0</v>
      </c>
      <c r="G2901" t="s">
        <v>251</v>
      </c>
    </row>
    <row r="2902" spans="1:7">
      <c r="A2902" s="216">
        <v>45170</v>
      </c>
      <c r="B2902" t="s">
        <v>48</v>
      </c>
      <c r="C2902">
        <v>8</v>
      </c>
      <c r="D2902" t="s">
        <v>451</v>
      </c>
      <c r="E2902" s="217">
        <v>45170</v>
      </c>
      <c r="F2902">
        <v>0</v>
      </c>
      <c r="G2902" t="s">
        <v>252</v>
      </c>
    </row>
    <row r="2903" spans="1:7">
      <c r="A2903" s="216">
        <v>45170</v>
      </c>
      <c r="B2903" t="s">
        <v>48</v>
      </c>
      <c r="C2903">
        <v>8</v>
      </c>
      <c r="D2903" t="s">
        <v>451</v>
      </c>
      <c r="E2903" s="217">
        <v>45170</v>
      </c>
      <c r="F2903">
        <v>0</v>
      </c>
      <c r="G2903" t="s">
        <v>253</v>
      </c>
    </row>
    <row r="2904" spans="1:7">
      <c r="A2904" s="216">
        <v>45170</v>
      </c>
      <c r="B2904" t="s">
        <v>48</v>
      </c>
      <c r="C2904">
        <v>8</v>
      </c>
      <c r="D2904" t="s">
        <v>451</v>
      </c>
      <c r="E2904" s="217">
        <v>45170</v>
      </c>
      <c r="F2904">
        <v>0</v>
      </c>
      <c r="G2904" t="s">
        <v>254</v>
      </c>
    </row>
    <row r="2905" spans="1:7">
      <c r="A2905" s="216">
        <v>45170</v>
      </c>
      <c r="B2905" t="s">
        <v>48</v>
      </c>
      <c r="C2905">
        <v>8</v>
      </c>
      <c r="D2905" t="s">
        <v>451</v>
      </c>
      <c r="E2905" s="217">
        <v>45170</v>
      </c>
      <c r="F2905">
        <v>0</v>
      </c>
      <c r="G2905" t="s">
        <v>255</v>
      </c>
    </row>
    <row r="2906" spans="1:7">
      <c r="A2906" s="216">
        <v>45170</v>
      </c>
      <c r="B2906" t="s">
        <v>48</v>
      </c>
      <c r="C2906">
        <v>8</v>
      </c>
      <c r="D2906" t="s">
        <v>451</v>
      </c>
      <c r="E2906" s="217">
        <v>45170</v>
      </c>
      <c r="F2906">
        <v>0</v>
      </c>
      <c r="G2906" t="s">
        <v>256</v>
      </c>
    </row>
    <row r="2907" spans="1:7">
      <c r="A2907" s="216">
        <v>45170</v>
      </c>
      <c r="B2907" t="s">
        <v>48</v>
      </c>
      <c r="C2907">
        <v>8</v>
      </c>
      <c r="D2907" t="s">
        <v>451</v>
      </c>
      <c r="E2907" s="217">
        <v>45170</v>
      </c>
      <c r="F2907">
        <v>0</v>
      </c>
      <c r="G2907" t="s">
        <v>257</v>
      </c>
    </row>
    <row r="2908" spans="1:7">
      <c r="A2908" s="216">
        <v>45170</v>
      </c>
      <c r="B2908" t="s">
        <v>48</v>
      </c>
      <c r="C2908">
        <v>8</v>
      </c>
      <c r="D2908" t="s">
        <v>451</v>
      </c>
      <c r="E2908" s="217">
        <v>45170</v>
      </c>
      <c r="F2908">
        <v>0</v>
      </c>
      <c r="G2908" t="s">
        <v>258</v>
      </c>
    </row>
    <row r="2909" spans="1:7">
      <c r="A2909" s="216">
        <v>45170</v>
      </c>
      <c r="B2909" t="s">
        <v>48</v>
      </c>
      <c r="C2909">
        <v>8</v>
      </c>
      <c r="D2909" t="s">
        <v>451</v>
      </c>
      <c r="E2909" s="217">
        <v>45170</v>
      </c>
      <c r="F2909">
        <v>0</v>
      </c>
      <c r="G2909" t="s">
        <v>259</v>
      </c>
    </row>
    <row r="2910" spans="1:7">
      <c r="A2910" s="216">
        <v>45170</v>
      </c>
      <c r="B2910" t="s">
        <v>48</v>
      </c>
      <c r="C2910">
        <v>8</v>
      </c>
      <c r="D2910" t="s">
        <v>451</v>
      </c>
      <c r="E2910" s="217">
        <v>45170</v>
      </c>
      <c r="F2910">
        <v>0</v>
      </c>
      <c r="G2910" t="s">
        <v>260</v>
      </c>
    </row>
    <row r="2911" spans="1:7">
      <c r="A2911" s="216">
        <v>45170</v>
      </c>
      <c r="B2911" t="s">
        <v>48</v>
      </c>
      <c r="C2911">
        <v>8</v>
      </c>
      <c r="D2911" t="s">
        <v>451</v>
      </c>
      <c r="E2911" s="217">
        <v>45170</v>
      </c>
      <c r="F2911">
        <v>0</v>
      </c>
      <c r="G2911" t="s">
        <v>261</v>
      </c>
    </row>
    <row r="2912" spans="1:7">
      <c r="A2912" s="216">
        <v>45170</v>
      </c>
      <c r="B2912" t="s">
        <v>48</v>
      </c>
      <c r="C2912">
        <v>8</v>
      </c>
      <c r="D2912" t="s">
        <v>451</v>
      </c>
      <c r="E2912" s="217">
        <v>45170</v>
      </c>
      <c r="F2912">
        <v>0</v>
      </c>
      <c r="G2912" t="s">
        <v>262</v>
      </c>
    </row>
    <row r="2913" spans="1:7">
      <c r="A2913" s="216">
        <v>45170</v>
      </c>
      <c r="B2913" t="s">
        <v>48</v>
      </c>
      <c r="C2913">
        <v>8</v>
      </c>
      <c r="D2913" t="s">
        <v>451</v>
      </c>
      <c r="E2913" s="217">
        <v>45170</v>
      </c>
      <c r="F2913">
        <v>0</v>
      </c>
      <c r="G2913" t="s">
        <v>434</v>
      </c>
    </row>
    <row r="2914" spans="1:7">
      <c r="A2914" s="216">
        <v>45170</v>
      </c>
      <c r="B2914" t="s">
        <v>48</v>
      </c>
      <c r="C2914">
        <v>9</v>
      </c>
      <c r="D2914" t="s">
        <v>450</v>
      </c>
      <c r="E2914" s="217">
        <v>45170</v>
      </c>
      <c r="F2914">
        <v>0</v>
      </c>
      <c r="G2914" t="s">
        <v>251</v>
      </c>
    </row>
    <row r="2915" spans="1:7">
      <c r="A2915" s="216">
        <v>45170</v>
      </c>
      <c r="B2915" t="s">
        <v>48</v>
      </c>
      <c r="C2915">
        <v>9</v>
      </c>
      <c r="D2915" t="s">
        <v>450</v>
      </c>
      <c r="E2915" s="217">
        <v>45170</v>
      </c>
      <c r="F2915">
        <v>0</v>
      </c>
      <c r="G2915" t="s">
        <v>252</v>
      </c>
    </row>
    <row r="2916" spans="1:7">
      <c r="A2916" s="216">
        <v>45170</v>
      </c>
      <c r="B2916" t="s">
        <v>48</v>
      </c>
      <c r="C2916">
        <v>9</v>
      </c>
      <c r="D2916" t="s">
        <v>450</v>
      </c>
      <c r="E2916" s="217">
        <v>45170</v>
      </c>
      <c r="F2916">
        <v>0</v>
      </c>
      <c r="G2916" t="s">
        <v>253</v>
      </c>
    </row>
    <row r="2917" spans="1:7">
      <c r="A2917" s="216">
        <v>45170</v>
      </c>
      <c r="B2917" t="s">
        <v>48</v>
      </c>
      <c r="C2917">
        <v>9</v>
      </c>
      <c r="D2917" t="s">
        <v>450</v>
      </c>
      <c r="E2917" s="217">
        <v>45170</v>
      </c>
      <c r="F2917">
        <v>0</v>
      </c>
      <c r="G2917" t="s">
        <v>254</v>
      </c>
    </row>
    <row r="2918" spans="1:7">
      <c r="A2918" s="216">
        <v>45170</v>
      </c>
      <c r="B2918" t="s">
        <v>48</v>
      </c>
      <c r="C2918">
        <v>9</v>
      </c>
      <c r="D2918" t="s">
        <v>450</v>
      </c>
      <c r="E2918" s="217">
        <v>45170</v>
      </c>
      <c r="F2918">
        <v>0</v>
      </c>
      <c r="G2918" t="s">
        <v>255</v>
      </c>
    </row>
    <row r="2919" spans="1:7">
      <c r="A2919" s="216">
        <v>45170</v>
      </c>
      <c r="B2919" t="s">
        <v>48</v>
      </c>
      <c r="C2919">
        <v>9</v>
      </c>
      <c r="D2919" t="s">
        <v>450</v>
      </c>
      <c r="E2919" s="217">
        <v>45170</v>
      </c>
      <c r="F2919">
        <v>0</v>
      </c>
      <c r="G2919" t="s">
        <v>256</v>
      </c>
    </row>
    <row r="2920" spans="1:7">
      <c r="A2920" s="216">
        <v>45170</v>
      </c>
      <c r="B2920" t="s">
        <v>48</v>
      </c>
      <c r="C2920">
        <v>9</v>
      </c>
      <c r="D2920" t="s">
        <v>450</v>
      </c>
      <c r="E2920" s="217">
        <v>45170</v>
      </c>
      <c r="F2920">
        <v>0</v>
      </c>
      <c r="G2920" t="s">
        <v>257</v>
      </c>
    </row>
    <row r="2921" spans="1:7">
      <c r="A2921" s="216">
        <v>45170</v>
      </c>
      <c r="B2921" t="s">
        <v>48</v>
      </c>
      <c r="C2921">
        <v>9</v>
      </c>
      <c r="D2921" t="s">
        <v>450</v>
      </c>
      <c r="E2921" s="217">
        <v>45170</v>
      </c>
      <c r="F2921">
        <v>0</v>
      </c>
      <c r="G2921" t="s">
        <v>258</v>
      </c>
    </row>
    <row r="2922" spans="1:7">
      <c r="A2922" s="216">
        <v>45170</v>
      </c>
      <c r="B2922" t="s">
        <v>48</v>
      </c>
      <c r="C2922">
        <v>9</v>
      </c>
      <c r="D2922" t="s">
        <v>450</v>
      </c>
      <c r="E2922" s="217">
        <v>45170</v>
      </c>
      <c r="F2922">
        <v>0</v>
      </c>
      <c r="G2922" t="s">
        <v>259</v>
      </c>
    </row>
    <row r="2923" spans="1:7">
      <c r="A2923" s="216">
        <v>45170</v>
      </c>
      <c r="B2923" t="s">
        <v>48</v>
      </c>
      <c r="C2923">
        <v>9</v>
      </c>
      <c r="D2923" t="s">
        <v>450</v>
      </c>
      <c r="E2923" s="217">
        <v>45170</v>
      </c>
      <c r="F2923">
        <v>0</v>
      </c>
      <c r="G2923" t="s">
        <v>260</v>
      </c>
    </row>
    <row r="2924" spans="1:7">
      <c r="A2924" s="216">
        <v>45170</v>
      </c>
      <c r="B2924" t="s">
        <v>48</v>
      </c>
      <c r="C2924">
        <v>9</v>
      </c>
      <c r="D2924" t="s">
        <v>450</v>
      </c>
      <c r="E2924" s="217">
        <v>45170</v>
      </c>
      <c r="F2924">
        <v>0</v>
      </c>
      <c r="G2924" t="s">
        <v>261</v>
      </c>
    </row>
    <row r="2925" spans="1:7">
      <c r="A2925" s="216">
        <v>45170</v>
      </c>
      <c r="B2925" t="s">
        <v>48</v>
      </c>
      <c r="C2925">
        <v>9</v>
      </c>
      <c r="D2925" t="s">
        <v>450</v>
      </c>
      <c r="E2925" s="217">
        <v>45170</v>
      </c>
      <c r="F2925">
        <v>0</v>
      </c>
      <c r="G2925" t="s">
        <v>262</v>
      </c>
    </row>
    <row r="2926" spans="1:7">
      <c r="A2926" s="216">
        <v>45170</v>
      </c>
      <c r="B2926" t="s">
        <v>48</v>
      </c>
      <c r="C2926">
        <v>9</v>
      </c>
      <c r="D2926" t="s">
        <v>450</v>
      </c>
      <c r="E2926" s="217">
        <v>45170</v>
      </c>
      <c r="F2926">
        <v>0</v>
      </c>
      <c r="G2926" t="s">
        <v>434</v>
      </c>
    </row>
    <row r="2927" spans="1:7">
      <c r="A2927" s="216">
        <v>45170</v>
      </c>
      <c r="B2927" t="s">
        <v>48</v>
      </c>
      <c r="C2927">
        <v>10</v>
      </c>
      <c r="D2927" t="s">
        <v>433</v>
      </c>
      <c r="E2927" s="217">
        <v>45170</v>
      </c>
      <c r="F2927">
        <v>10151</v>
      </c>
      <c r="G2927" t="s">
        <v>251</v>
      </c>
    </row>
    <row r="2928" spans="1:7">
      <c r="A2928" s="216">
        <v>45170</v>
      </c>
      <c r="B2928" t="s">
        <v>48</v>
      </c>
      <c r="C2928">
        <v>10</v>
      </c>
      <c r="D2928" t="s">
        <v>433</v>
      </c>
      <c r="E2928" s="217">
        <v>45170</v>
      </c>
      <c r="F2928">
        <v>10557</v>
      </c>
      <c r="G2928" t="s">
        <v>252</v>
      </c>
    </row>
    <row r="2929" spans="1:7">
      <c r="A2929" s="216">
        <v>45170</v>
      </c>
      <c r="B2929" t="s">
        <v>48</v>
      </c>
      <c r="C2929">
        <v>10</v>
      </c>
      <c r="D2929" t="s">
        <v>433</v>
      </c>
      <c r="E2929" s="217">
        <v>45170</v>
      </c>
      <c r="F2929">
        <v>13690</v>
      </c>
      <c r="G2929" t="s">
        <v>253</v>
      </c>
    </row>
    <row r="2930" spans="1:7">
      <c r="A2930" s="216">
        <v>45170</v>
      </c>
      <c r="B2930" t="s">
        <v>48</v>
      </c>
      <c r="C2930">
        <v>10</v>
      </c>
      <c r="D2930" t="s">
        <v>433</v>
      </c>
      <c r="E2930" s="217">
        <v>45170</v>
      </c>
      <c r="F2930">
        <v>12349</v>
      </c>
      <c r="G2930" t="s">
        <v>254</v>
      </c>
    </row>
    <row r="2931" spans="1:7">
      <c r="A2931" s="216">
        <v>45170</v>
      </c>
      <c r="B2931" t="s">
        <v>48</v>
      </c>
      <c r="C2931">
        <v>10</v>
      </c>
      <c r="D2931" t="s">
        <v>433</v>
      </c>
      <c r="E2931" s="217">
        <v>45170</v>
      </c>
      <c r="F2931">
        <v>11570</v>
      </c>
      <c r="G2931" t="s">
        <v>255</v>
      </c>
    </row>
    <row r="2932" spans="1:7">
      <c r="A2932" s="216">
        <v>45170</v>
      </c>
      <c r="B2932" t="s">
        <v>48</v>
      </c>
      <c r="C2932">
        <v>10</v>
      </c>
      <c r="D2932" t="s">
        <v>433</v>
      </c>
      <c r="E2932" s="217">
        <v>45170</v>
      </c>
      <c r="F2932">
        <v>11261</v>
      </c>
      <c r="G2932" t="s">
        <v>256</v>
      </c>
    </row>
    <row r="2933" spans="1:7">
      <c r="A2933" s="216">
        <v>45170</v>
      </c>
      <c r="B2933" t="s">
        <v>48</v>
      </c>
      <c r="C2933">
        <v>10</v>
      </c>
      <c r="D2933" t="s">
        <v>433</v>
      </c>
      <c r="E2933" s="217">
        <v>45170</v>
      </c>
      <c r="F2933">
        <v>11541.033530000001</v>
      </c>
      <c r="G2933" t="s">
        <v>257</v>
      </c>
    </row>
    <row r="2934" spans="1:7">
      <c r="A2934" s="216">
        <v>45170</v>
      </c>
      <c r="B2934" t="s">
        <v>48</v>
      </c>
      <c r="C2934">
        <v>10</v>
      </c>
      <c r="D2934" t="s">
        <v>433</v>
      </c>
      <c r="E2934" s="217">
        <v>45170</v>
      </c>
      <c r="F2934">
        <v>11592.978446666701</v>
      </c>
      <c r="G2934" t="s">
        <v>258</v>
      </c>
    </row>
    <row r="2935" spans="1:7">
      <c r="A2935" s="216">
        <v>45170</v>
      </c>
      <c r="B2935" t="s">
        <v>48</v>
      </c>
      <c r="C2935">
        <v>10</v>
      </c>
      <c r="D2935" t="s">
        <v>433</v>
      </c>
      <c r="E2935" s="217">
        <v>45170</v>
      </c>
      <c r="F2935">
        <v>11611.677956666699</v>
      </c>
      <c r="G2935" t="s">
        <v>259</v>
      </c>
    </row>
    <row r="2936" spans="1:7">
      <c r="A2936" s="216">
        <v>45170</v>
      </c>
      <c r="B2936" t="s">
        <v>48</v>
      </c>
      <c r="C2936">
        <v>10</v>
      </c>
      <c r="D2936" t="s">
        <v>433</v>
      </c>
      <c r="E2936" s="217">
        <v>45170</v>
      </c>
      <c r="F2936">
        <v>11633.622873333299</v>
      </c>
      <c r="G2936" t="s">
        <v>260</v>
      </c>
    </row>
    <row r="2937" spans="1:7">
      <c r="A2937" s="216">
        <v>45170</v>
      </c>
      <c r="B2937" t="s">
        <v>48</v>
      </c>
      <c r="C2937">
        <v>10</v>
      </c>
      <c r="D2937" t="s">
        <v>433</v>
      </c>
      <c r="E2937" s="217">
        <v>45170</v>
      </c>
      <c r="F2937">
        <v>11611.779973333299</v>
      </c>
      <c r="G2937" t="s">
        <v>261</v>
      </c>
    </row>
    <row r="2938" spans="1:7">
      <c r="A2938" s="216">
        <v>45170</v>
      </c>
      <c r="B2938" t="s">
        <v>48</v>
      </c>
      <c r="C2938">
        <v>10</v>
      </c>
      <c r="D2938" t="s">
        <v>433</v>
      </c>
      <c r="E2938" s="217">
        <v>45170</v>
      </c>
      <c r="F2938">
        <v>11998.779973333299</v>
      </c>
      <c r="G2938" t="s">
        <v>262</v>
      </c>
    </row>
    <row r="2939" spans="1:7">
      <c r="A2939" s="216">
        <v>45170</v>
      </c>
      <c r="B2939" t="s">
        <v>48</v>
      </c>
      <c r="C2939">
        <v>10</v>
      </c>
      <c r="D2939" t="s">
        <v>433</v>
      </c>
      <c r="E2939" s="217">
        <v>45170</v>
      </c>
      <c r="F2939">
        <v>139567.87275333301</v>
      </c>
      <c r="G2939" t="s">
        <v>434</v>
      </c>
    </row>
    <row r="2940" spans="1:7">
      <c r="A2940" s="216">
        <v>45170</v>
      </c>
      <c r="B2940" t="s">
        <v>48</v>
      </c>
      <c r="C2940">
        <v>11</v>
      </c>
      <c r="D2940" t="s">
        <v>445</v>
      </c>
      <c r="E2940" s="217">
        <v>45170</v>
      </c>
      <c r="F2940">
        <v>7712.1790000000001</v>
      </c>
      <c r="G2940" t="s">
        <v>251</v>
      </c>
    </row>
    <row r="2941" spans="1:7">
      <c r="A2941" s="216">
        <v>45170</v>
      </c>
      <c r="B2941" t="s">
        <v>48</v>
      </c>
      <c r="C2941">
        <v>11</v>
      </c>
      <c r="D2941" t="s">
        <v>445</v>
      </c>
      <c r="E2941" s="217">
        <v>45170</v>
      </c>
      <c r="F2941">
        <v>7151.71</v>
      </c>
      <c r="G2941" t="s">
        <v>252</v>
      </c>
    </row>
    <row r="2942" spans="1:7">
      <c r="A2942" s="216">
        <v>45170</v>
      </c>
      <c r="B2942" t="s">
        <v>48</v>
      </c>
      <c r="C2942">
        <v>11</v>
      </c>
      <c r="D2942" t="s">
        <v>445</v>
      </c>
      <c r="E2942" s="217">
        <v>45170</v>
      </c>
      <c r="F2942">
        <v>4736.82</v>
      </c>
      <c r="G2942" t="s">
        <v>253</v>
      </c>
    </row>
    <row r="2943" spans="1:7">
      <c r="A2943" s="216">
        <v>45170</v>
      </c>
      <c r="B2943" t="s">
        <v>48</v>
      </c>
      <c r="C2943">
        <v>11</v>
      </c>
      <c r="D2943" t="s">
        <v>445</v>
      </c>
      <c r="E2943" s="217">
        <v>45170</v>
      </c>
      <c r="F2943">
        <v>7849.82</v>
      </c>
      <c r="G2943" t="s">
        <v>254</v>
      </c>
    </row>
    <row r="2944" spans="1:7">
      <c r="A2944" s="216">
        <v>45170</v>
      </c>
      <c r="B2944" t="s">
        <v>48</v>
      </c>
      <c r="C2944">
        <v>11</v>
      </c>
      <c r="D2944" t="s">
        <v>445</v>
      </c>
      <c r="E2944" s="217">
        <v>45170</v>
      </c>
      <c r="F2944">
        <v>7802.41</v>
      </c>
      <c r="G2944" t="s">
        <v>255</v>
      </c>
    </row>
    <row r="2945" spans="1:7">
      <c r="A2945" s="216">
        <v>45170</v>
      </c>
      <c r="B2945" t="s">
        <v>48</v>
      </c>
      <c r="C2945">
        <v>11</v>
      </c>
      <c r="D2945" t="s">
        <v>445</v>
      </c>
      <c r="E2945" s="217">
        <v>45170</v>
      </c>
      <c r="F2945">
        <v>7866.11</v>
      </c>
      <c r="G2945" t="s">
        <v>256</v>
      </c>
    </row>
    <row r="2946" spans="1:7">
      <c r="A2946" s="216">
        <v>45170</v>
      </c>
      <c r="B2946" t="s">
        <v>48</v>
      </c>
      <c r="C2946">
        <v>11</v>
      </c>
      <c r="D2946" t="s">
        <v>445</v>
      </c>
      <c r="E2946" s="217">
        <v>45170</v>
      </c>
      <c r="F2946">
        <v>9135.1463811333306</v>
      </c>
      <c r="G2946" t="s">
        <v>257</v>
      </c>
    </row>
    <row r="2947" spans="1:7">
      <c r="A2947" s="216">
        <v>45170</v>
      </c>
      <c r="B2947" t="s">
        <v>48</v>
      </c>
      <c r="C2947">
        <v>11</v>
      </c>
      <c r="D2947" t="s">
        <v>445</v>
      </c>
      <c r="E2947" s="217">
        <v>45170</v>
      </c>
      <c r="F2947">
        <v>8314.9086289999996</v>
      </c>
      <c r="G2947" t="s">
        <v>258</v>
      </c>
    </row>
    <row r="2948" spans="1:7">
      <c r="A2948" s="216">
        <v>45170</v>
      </c>
      <c r="B2948" t="s">
        <v>48</v>
      </c>
      <c r="C2948">
        <v>11</v>
      </c>
      <c r="D2948" t="s">
        <v>445</v>
      </c>
      <c r="E2948" s="217">
        <v>45170</v>
      </c>
      <c r="F2948">
        <v>8684.6229611333292</v>
      </c>
      <c r="G2948" t="s">
        <v>259</v>
      </c>
    </row>
    <row r="2949" spans="1:7">
      <c r="A2949" s="216">
        <v>45170</v>
      </c>
      <c r="B2949" t="s">
        <v>48</v>
      </c>
      <c r="C2949">
        <v>11</v>
      </c>
      <c r="D2949" t="s">
        <v>445</v>
      </c>
      <c r="E2949" s="217">
        <v>45170</v>
      </c>
      <c r="F2949">
        <v>8423.0903178000008</v>
      </c>
      <c r="G2949" t="s">
        <v>260</v>
      </c>
    </row>
    <row r="2950" spans="1:7">
      <c r="A2950" s="216">
        <v>45170</v>
      </c>
      <c r="B2950" t="s">
        <v>48</v>
      </c>
      <c r="C2950">
        <v>11</v>
      </c>
      <c r="D2950" t="s">
        <v>445</v>
      </c>
      <c r="E2950" s="217">
        <v>45170</v>
      </c>
      <c r="F2950">
        <v>8351.8064202000005</v>
      </c>
      <c r="G2950" t="s">
        <v>261</v>
      </c>
    </row>
    <row r="2951" spans="1:7">
      <c r="A2951" s="216">
        <v>45170</v>
      </c>
      <c r="B2951" t="s">
        <v>48</v>
      </c>
      <c r="C2951">
        <v>11</v>
      </c>
      <c r="D2951" t="s">
        <v>445</v>
      </c>
      <c r="E2951" s="217">
        <v>45170</v>
      </c>
      <c r="F2951">
        <v>12606.092191133301</v>
      </c>
      <c r="G2951" t="s">
        <v>262</v>
      </c>
    </row>
    <row r="2952" spans="1:7">
      <c r="A2952" s="216">
        <v>45170</v>
      </c>
      <c r="B2952" t="s">
        <v>48</v>
      </c>
      <c r="C2952">
        <v>11</v>
      </c>
      <c r="D2952" t="s">
        <v>445</v>
      </c>
      <c r="E2952" s="217">
        <v>45170</v>
      </c>
      <c r="F2952">
        <v>98634.715900399999</v>
      </c>
      <c r="G2952" t="s">
        <v>434</v>
      </c>
    </row>
    <row r="2953" spans="1:7">
      <c r="A2953" s="216">
        <v>45170</v>
      </c>
      <c r="B2953" t="s">
        <v>48</v>
      </c>
      <c r="C2953">
        <v>12</v>
      </c>
      <c r="D2953" t="s">
        <v>454</v>
      </c>
      <c r="E2953" s="217">
        <v>45170</v>
      </c>
      <c r="F2953">
        <v>0</v>
      </c>
      <c r="G2953" t="s">
        <v>251</v>
      </c>
    </row>
    <row r="2954" spans="1:7">
      <c r="A2954" s="216">
        <v>45170</v>
      </c>
      <c r="B2954" t="s">
        <v>48</v>
      </c>
      <c r="C2954">
        <v>12</v>
      </c>
      <c r="D2954" t="s">
        <v>454</v>
      </c>
      <c r="E2954" s="217">
        <v>45170</v>
      </c>
      <c r="F2954">
        <v>0</v>
      </c>
      <c r="G2954" t="s">
        <v>252</v>
      </c>
    </row>
    <row r="2955" spans="1:7">
      <c r="A2955" s="216">
        <v>45170</v>
      </c>
      <c r="B2955" t="s">
        <v>48</v>
      </c>
      <c r="C2955">
        <v>12</v>
      </c>
      <c r="D2955" t="s">
        <v>454</v>
      </c>
      <c r="E2955" s="217">
        <v>45170</v>
      </c>
      <c r="F2955">
        <v>0</v>
      </c>
      <c r="G2955" t="s">
        <v>253</v>
      </c>
    </row>
    <row r="2956" spans="1:7">
      <c r="A2956" s="216">
        <v>45170</v>
      </c>
      <c r="B2956" t="s">
        <v>48</v>
      </c>
      <c r="C2956">
        <v>12</v>
      </c>
      <c r="D2956" t="s">
        <v>454</v>
      </c>
      <c r="E2956" s="217">
        <v>45170</v>
      </c>
      <c r="F2956">
        <v>0</v>
      </c>
      <c r="G2956" t="s">
        <v>254</v>
      </c>
    </row>
    <row r="2957" spans="1:7">
      <c r="A2957" s="216">
        <v>45170</v>
      </c>
      <c r="B2957" t="s">
        <v>48</v>
      </c>
      <c r="C2957">
        <v>12</v>
      </c>
      <c r="D2957" t="s">
        <v>454</v>
      </c>
      <c r="E2957" s="217">
        <v>45170</v>
      </c>
      <c r="F2957">
        <v>0</v>
      </c>
      <c r="G2957" t="s">
        <v>255</v>
      </c>
    </row>
    <row r="2958" spans="1:7">
      <c r="A2958" s="216">
        <v>45170</v>
      </c>
      <c r="B2958" t="s">
        <v>48</v>
      </c>
      <c r="C2958">
        <v>12</v>
      </c>
      <c r="D2958" t="s">
        <v>454</v>
      </c>
      <c r="E2958" s="217">
        <v>45170</v>
      </c>
      <c r="F2958">
        <v>0</v>
      </c>
      <c r="G2958" t="s">
        <v>256</v>
      </c>
    </row>
    <row r="2959" spans="1:7">
      <c r="A2959" s="216">
        <v>45170</v>
      </c>
      <c r="B2959" t="s">
        <v>48</v>
      </c>
      <c r="C2959">
        <v>12</v>
      </c>
      <c r="D2959" t="s">
        <v>454</v>
      </c>
      <c r="E2959" s="217">
        <v>45170</v>
      </c>
      <c r="F2959">
        <v>0</v>
      </c>
      <c r="G2959" t="s">
        <v>257</v>
      </c>
    </row>
    <row r="2960" spans="1:7">
      <c r="A2960" s="216">
        <v>45170</v>
      </c>
      <c r="B2960" t="s">
        <v>48</v>
      </c>
      <c r="C2960">
        <v>12</v>
      </c>
      <c r="D2960" t="s">
        <v>454</v>
      </c>
      <c r="E2960" s="217">
        <v>45170</v>
      </c>
      <c r="F2960">
        <v>0</v>
      </c>
      <c r="G2960" t="s">
        <v>258</v>
      </c>
    </row>
    <row r="2961" spans="1:7">
      <c r="A2961" s="216">
        <v>45170</v>
      </c>
      <c r="B2961" t="s">
        <v>48</v>
      </c>
      <c r="C2961">
        <v>12</v>
      </c>
      <c r="D2961" t="s">
        <v>454</v>
      </c>
      <c r="E2961" s="217">
        <v>45170</v>
      </c>
      <c r="F2961">
        <v>0</v>
      </c>
      <c r="G2961" t="s">
        <v>259</v>
      </c>
    </row>
    <row r="2962" spans="1:7">
      <c r="A2962" s="216">
        <v>45170</v>
      </c>
      <c r="B2962" t="s">
        <v>48</v>
      </c>
      <c r="C2962">
        <v>12</v>
      </c>
      <c r="D2962" t="s">
        <v>454</v>
      </c>
      <c r="E2962" s="217">
        <v>45170</v>
      </c>
      <c r="F2962">
        <v>0</v>
      </c>
      <c r="G2962" t="s">
        <v>260</v>
      </c>
    </row>
    <row r="2963" spans="1:7">
      <c r="A2963" s="216">
        <v>45170</v>
      </c>
      <c r="B2963" t="s">
        <v>48</v>
      </c>
      <c r="C2963">
        <v>12</v>
      </c>
      <c r="D2963" t="s">
        <v>454</v>
      </c>
      <c r="E2963" s="217">
        <v>45170</v>
      </c>
      <c r="F2963">
        <v>0</v>
      </c>
      <c r="G2963" t="s">
        <v>261</v>
      </c>
    </row>
    <row r="2964" spans="1:7">
      <c r="A2964" s="216">
        <v>45170</v>
      </c>
      <c r="B2964" t="s">
        <v>48</v>
      </c>
      <c r="C2964">
        <v>12</v>
      </c>
      <c r="D2964" t="s">
        <v>454</v>
      </c>
      <c r="E2964" s="217">
        <v>45170</v>
      </c>
      <c r="F2964">
        <v>0</v>
      </c>
      <c r="G2964" t="s">
        <v>262</v>
      </c>
    </row>
    <row r="2965" spans="1:7">
      <c r="A2965" s="216">
        <v>45170</v>
      </c>
      <c r="B2965" t="s">
        <v>48</v>
      </c>
      <c r="C2965">
        <v>12</v>
      </c>
      <c r="D2965" t="s">
        <v>454</v>
      </c>
      <c r="E2965" s="217">
        <v>45170</v>
      </c>
      <c r="F2965">
        <v>0</v>
      </c>
      <c r="G2965" t="s">
        <v>434</v>
      </c>
    </row>
    <row r="2966" spans="1:7">
      <c r="A2966" s="216">
        <v>45170</v>
      </c>
      <c r="B2966" t="s">
        <v>48</v>
      </c>
      <c r="C2966">
        <v>13</v>
      </c>
      <c r="D2966" t="s">
        <v>441</v>
      </c>
      <c r="E2966" s="217">
        <v>45170</v>
      </c>
      <c r="F2966">
        <v>0</v>
      </c>
      <c r="G2966" t="s">
        <v>251</v>
      </c>
    </row>
    <row r="2967" spans="1:7">
      <c r="A2967" s="216">
        <v>45170</v>
      </c>
      <c r="B2967" t="s">
        <v>48</v>
      </c>
      <c r="C2967">
        <v>13</v>
      </c>
      <c r="D2967" t="s">
        <v>441</v>
      </c>
      <c r="E2967" s="217">
        <v>45170</v>
      </c>
      <c r="F2967">
        <v>0</v>
      </c>
      <c r="G2967" t="s">
        <v>252</v>
      </c>
    </row>
    <row r="2968" spans="1:7">
      <c r="A2968" s="216">
        <v>45170</v>
      </c>
      <c r="B2968" t="s">
        <v>48</v>
      </c>
      <c r="C2968">
        <v>13</v>
      </c>
      <c r="D2968" t="s">
        <v>441</v>
      </c>
      <c r="E2968" s="217">
        <v>45170</v>
      </c>
      <c r="F2968">
        <v>0</v>
      </c>
      <c r="G2968" t="s">
        <v>253</v>
      </c>
    </row>
    <row r="2969" spans="1:7">
      <c r="A2969" s="216">
        <v>45170</v>
      </c>
      <c r="B2969" t="s">
        <v>48</v>
      </c>
      <c r="C2969">
        <v>13</v>
      </c>
      <c r="D2969" t="s">
        <v>441</v>
      </c>
      <c r="E2969" s="217">
        <v>45170</v>
      </c>
      <c r="F2969">
        <v>0</v>
      </c>
      <c r="G2969" t="s">
        <v>254</v>
      </c>
    </row>
    <row r="2970" spans="1:7">
      <c r="A2970" s="216">
        <v>45170</v>
      </c>
      <c r="B2970" t="s">
        <v>48</v>
      </c>
      <c r="C2970">
        <v>13</v>
      </c>
      <c r="D2970" t="s">
        <v>441</v>
      </c>
      <c r="E2970" s="217">
        <v>45170</v>
      </c>
      <c r="F2970">
        <v>0</v>
      </c>
      <c r="G2970" t="s">
        <v>255</v>
      </c>
    </row>
    <row r="2971" spans="1:7">
      <c r="A2971" s="216">
        <v>45170</v>
      </c>
      <c r="B2971" t="s">
        <v>48</v>
      </c>
      <c r="C2971">
        <v>13</v>
      </c>
      <c r="D2971" t="s">
        <v>441</v>
      </c>
      <c r="E2971" s="217">
        <v>45170</v>
      </c>
      <c r="F2971">
        <v>0</v>
      </c>
      <c r="G2971" t="s">
        <v>256</v>
      </c>
    </row>
    <row r="2972" spans="1:7">
      <c r="A2972" s="216">
        <v>45170</v>
      </c>
      <c r="B2972" t="s">
        <v>48</v>
      </c>
      <c r="C2972">
        <v>13</v>
      </c>
      <c r="D2972" t="s">
        <v>441</v>
      </c>
      <c r="E2972" s="217">
        <v>45170</v>
      </c>
      <c r="F2972">
        <v>0</v>
      </c>
      <c r="G2972" t="s">
        <v>257</v>
      </c>
    </row>
    <row r="2973" spans="1:7">
      <c r="A2973" s="216">
        <v>45170</v>
      </c>
      <c r="B2973" t="s">
        <v>48</v>
      </c>
      <c r="C2973">
        <v>13</v>
      </c>
      <c r="D2973" t="s">
        <v>441</v>
      </c>
      <c r="E2973" s="217">
        <v>45170</v>
      </c>
      <c r="F2973">
        <v>0</v>
      </c>
      <c r="G2973" t="s">
        <v>258</v>
      </c>
    </row>
    <row r="2974" spans="1:7">
      <c r="A2974" s="216">
        <v>45170</v>
      </c>
      <c r="B2974" t="s">
        <v>48</v>
      </c>
      <c r="C2974">
        <v>13</v>
      </c>
      <c r="D2974" t="s">
        <v>441</v>
      </c>
      <c r="E2974" s="217">
        <v>45170</v>
      </c>
      <c r="F2974">
        <v>0</v>
      </c>
      <c r="G2974" t="s">
        <v>259</v>
      </c>
    </row>
    <row r="2975" spans="1:7">
      <c r="A2975" s="216">
        <v>45170</v>
      </c>
      <c r="B2975" t="s">
        <v>48</v>
      </c>
      <c r="C2975">
        <v>13</v>
      </c>
      <c r="D2975" t="s">
        <v>441</v>
      </c>
      <c r="E2975" s="217">
        <v>45170</v>
      </c>
      <c r="F2975">
        <v>0</v>
      </c>
      <c r="G2975" t="s">
        <v>260</v>
      </c>
    </row>
    <row r="2976" spans="1:7">
      <c r="A2976" s="216">
        <v>45170</v>
      </c>
      <c r="B2976" t="s">
        <v>48</v>
      </c>
      <c r="C2976">
        <v>13</v>
      </c>
      <c r="D2976" t="s">
        <v>441</v>
      </c>
      <c r="E2976" s="217">
        <v>45170</v>
      </c>
      <c r="F2976">
        <v>0</v>
      </c>
      <c r="G2976" t="s">
        <v>261</v>
      </c>
    </row>
    <row r="2977" spans="1:7">
      <c r="A2977" s="216">
        <v>45170</v>
      </c>
      <c r="B2977" t="s">
        <v>48</v>
      </c>
      <c r="C2977">
        <v>13</v>
      </c>
      <c r="D2977" t="s">
        <v>441</v>
      </c>
      <c r="E2977" s="217">
        <v>45170</v>
      </c>
      <c r="F2977">
        <v>0</v>
      </c>
      <c r="G2977" t="s">
        <v>262</v>
      </c>
    </row>
    <row r="2978" spans="1:7">
      <c r="A2978" s="216">
        <v>45170</v>
      </c>
      <c r="B2978" t="s">
        <v>48</v>
      </c>
      <c r="C2978">
        <v>13</v>
      </c>
      <c r="D2978" t="s">
        <v>441</v>
      </c>
      <c r="E2978" s="217">
        <v>45170</v>
      </c>
      <c r="F2978">
        <v>0</v>
      </c>
      <c r="G2978" t="s">
        <v>434</v>
      </c>
    </row>
    <row r="2979" spans="1:7">
      <c r="A2979" s="216">
        <v>45170</v>
      </c>
      <c r="B2979" t="s">
        <v>48</v>
      </c>
      <c r="C2979">
        <v>14</v>
      </c>
      <c r="D2979" t="s">
        <v>447</v>
      </c>
      <c r="E2979" s="217">
        <v>45170</v>
      </c>
      <c r="F2979">
        <v>0</v>
      </c>
      <c r="G2979" t="s">
        <v>251</v>
      </c>
    </row>
    <row r="2980" spans="1:7">
      <c r="A2980" s="216">
        <v>45170</v>
      </c>
      <c r="B2980" t="s">
        <v>48</v>
      </c>
      <c r="C2980">
        <v>14</v>
      </c>
      <c r="D2980" t="s">
        <v>447</v>
      </c>
      <c r="E2980" s="217">
        <v>45170</v>
      </c>
      <c r="F2980">
        <v>0</v>
      </c>
      <c r="G2980" t="s">
        <v>252</v>
      </c>
    </row>
    <row r="2981" spans="1:7">
      <c r="A2981" s="216">
        <v>45170</v>
      </c>
      <c r="B2981" t="s">
        <v>48</v>
      </c>
      <c r="C2981">
        <v>14</v>
      </c>
      <c r="D2981" t="s">
        <v>447</v>
      </c>
      <c r="E2981" s="217">
        <v>45170</v>
      </c>
      <c r="F2981">
        <v>0</v>
      </c>
      <c r="G2981" t="s">
        <v>253</v>
      </c>
    </row>
    <row r="2982" spans="1:7">
      <c r="A2982" s="216">
        <v>45170</v>
      </c>
      <c r="B2982" t="s">
        <v>48</v>
      </c>
      <c r="C2982">
        <v>14</v>
      </c>
      <c r="D2982" t="s">
        <v>447</v>
      </c>
      <c r="E2982" s="217">
        <v>45170</v>
      </c>
      <c r="F2982">
        <v>0</v>
      </c>
      <c r="G2982" t="s">
        <v>254</v>
      </c>
    </row>
    <row r="2983" spans="1:7">
      <c r="A2983" s="216">
        <v>45170</v>
      </c>
      <c r="B2983" t="s">
        <v>48</v>
      </c>
      <c r="C2983">
        <v>14</v>
      </c>
      <c r="D2983" t="s">
        <v>447</v>
      </c>
      <c r="E2983" s="217">
        <v>45170</v>
      </c>
      <c r="F2983">
        <v>0</v>
      </c>
      <c r="G2983" t="s">
        <v>255</v>
      </c>
    </row>
    <row r="2984" spans="1:7">
      <c r="A2984" s="216">
        <v>45170</v>
      </c>
      <c r="B2984" t="s">
        <v>48</v>
      </c>
      <c r="C2984">
        <v>14</v>
      </c>
      <c r="D2984" t="s">
        <v>447</v>
      </c>
      <c r="E2984" s="217">
        <v>45170</v>
      </c>
      <c r="F2984">
        <v>0</v>
      </c>
      <c r="G2984" t="s">
        <v>256</v>
      </c>
    </row>
    <row r="2985" spans="1:7">
      <c r="A2985" s="216">
        <v>45170</v>
      </c>
      <c r="B2985" t="s">
        <v>48</v>
      </c>
      <c r="C2985">
        <v>14</v>
      </c>
      <c r="D2985" t="s">
        <v>447</v>
      </c>
      <c r="E2985" s="217">
        <v>45170</v>
      </c>
      <c r="F2985">
        <v>0</v>
      </c>
      <c r="G2985" t="s">
        <v>257</v>
      </c>
    </row>
    <row r="2986" spans="1:7">
      <c r="A2986" s="216">
        <v>45170</v>
      </c>
      <c r="B2986" t="s">
        <v>48</v>
      </c>
      <c r="C2986">
        <v>14</v>
      </c>
      <c r="D2986" t="s">
        <v>447</v>
      </c>
      <c r="E2986" s="217">
        <v>45170</v>
      </c>
      <c r="F2986">
        <v>0</v>
      </c>
      <c r="G2986" t="s">
        <v>258</v>
      </c>
    </row>
    <row r="2987" spans="1:7">
      <c r="A2987" s="216">
        <v>45170</v>
      </c>
      <c r="B2987" t="s">
        <v>48</v>
      </c>
      <c r="C2987">
        <v>14</v>
      </c>
      <c r="D2987" t="s">
        <v>447</v>
      </c>
      <c r="E2987" s="217">
        <v>45170</v>
      </c>
      <c r="F2987">
        <v>0</v>
      </c>
      <c r="G2987" t="s">
        <v>259</v>
      </c>
    </row>
    <row r="2988" spans="1:7">
      <c r="A2988" s="216">
        <v>45170</v>
      </c>
      <c r="B2988" t="s">
        <v>48</v>
      </c>
      <c r="C2988">
        <v>14</v>
      </c>
      <c r="D2988" t="s">
        <v>447</v>
      </c>
      <c r="E2988" s="217">
        <v>45170</v>
      </c>
      <c r="F2988">
        <v>0</v>
      </c>
      <c r="G2988" t="s">
        <v>260</v>
      </c>
    </row>
    <row r="2989" spans="1:7">
      <c r="A2989" s="216">
        <v>45170</v>
      </c>
      <c r="B2989" t="s">
        <v>48</v>
      </c>
      <c r="C2989">
        <v>14</v>
      </c>
      <c r="D2989" t="s">
        <v>447</v>
      </c>
      <c r="E2989" s="217">
        <v>45170</v>
      </c>
      <c r="F2989">
        <v>0</v>
      </c>
      <c r="G2989" t="s">
        <v>261</v>
      </c>
    </row>
    <row r="2990" spans="1:7">
      <c r="A2990" s="216">
        <v>45170</v>
      </c>
      <c r="B2990" t="s">
        <v>48</v>
      </c>
      <c r="C2990">
        <v>14</v>
      </c>
      <c r="D2990" t="s">
        <v>447</v>
      </c>
      <c r="E2990" s="217">
        <v>45170</v>
      </c>
      <c r="F2990">
        <v>0</v>
      </c>
      <c r="G2990" t="s">
        <v>262</v>
      </c>
    </row>
    <row r="2991" spans="1:7">
      <c r="A2991" s="216">
        <v>45170</v>
      </c>
      <c r="B2991" t="s">
        <v>48</v>
      </c>
      <c r="C2991">
        <v>14</v>
      </c>
      <c r="D2991" t="s">
        <v>447</v>
      </c>
      <c r="E2991" s="217">
        <v>45170</v>
      </c>
      <c r="F2991">
        <v>0</v>
      </c>
      <c r="G2991" t="s">
        <v>434</v>
      </c>
    </row>
    <row r="2992" spans="1:7">
      <c r="A2992" s="216">
        <v>45170</v>
      </c>
      <c r="B2992" t="s">
        <v>48</v>
      </c>
      <c r="C2992">
        <v>15</v>
      </c>
      <c r="D2992" t="s">
        <v>437</v>
      </c>
      <c r="E2992" s="217">
        <v>45170</v>
      </c>
      <c r="F2992">
        <v>0</v>
      </c>
      <c r="G2992" t="s">
        <v>251</v>
      </c>
    </row>
    <row r="2993" spans="1:7">
      <c r="A2993" s="216">
        <v>45170</v>
      </c>
      <c r="B2993" t="s">
        <v>48</v>
      </c>
      <c r="C2993">
        <v>15</v>
      </c>
      <c r="D2993" t="s">
        <v>437</v>
      </c>
      <c r="E2993" s="217">
        <v>45170</v>
      </c>
      <c r="F2993">
        <v>0</v>
      </c>
      <c r="G2993" t="s">
        <v>252</v>
      </c>
    </row>
    <row r="2994" spans="1:7">
      <c r="A2994" s="216">
        <v>45170</v>
      </c>
      <c r="B2994" t="s">
        <v>48</v>
      </c>
      <c r="C2994">
        <v>15</v>
      </c>
      <c r="D2994" t="s">
        <v>437</v>
      </c>
      <c r="E2994" s="217">
        <v>45170</v>
      </c>
      <c r="F2994">
        <v>0</v>
      </c>
      <c r="G2994" t="s">
        <v>253</v>
      </c>
    </row>
    <row r="2995" spans="1:7">
      <c r="A2995" s="216">
        <v>45170</v>
      </c>
      <c r="B2995" t="s">
        <v>48</v>
      </c>
      <c r="C2995">
        <v>15</v>
      </c>
      <c r="D2995" t="s">
        <v>437</v>
      </c>
      <c r="E2995" s="217">
        <v>45170</v>
      </c>
      <c r="F2995">
        <v>0</v>
      </c>
      <c r="G2995" t="s">
        <v>254</v>
      </c>
    </row>
    <row r="2996" spans="1:7">
      <c r="A2996" s="216">
        <v>45170</v>
      </c>
      <c r="B2996" t="s">
        <v>48</v>
      </c>
      <c r="C2996">
        <v>15</v>
      </c>
      <c r="D2996" t="s">
        <v>437</v>
      </c>
      <c r="E2996" s="217">
        <v>45170</v>
      </c>
      <c r="F2996">
        <v>0</v>
      </c>
      <c r="G2996" t="s">
        <v>255</v>
      </c>
    </row>
    <row r="2997" spans="1:7">
      <c r="A2997" s="216">
        <v>45170</v>
      </c>
      <c r="B2997" t="s">
        <v>48</v>
      </c>
      <c r="C2997">
        <v>15</v>
      </c>
      <c r="D2997" t="s">
        <v>437</v>
      </c>
      <c r="E2997" s="217">
        <v>45170</v>
      </c>
      <c r="F2997">
        <v>0</v>
      </c>
      <c r="G2997" t="s">
        <v>256</v>
      </c>
    </row>
    <row r="2998" spans="1:7">
      <c r="A2998" s="216">
        <v>45170</v>
      </c>
      <c r="B2998" t="s">
        <v>48</v>
      </c>
      <c r="C2998">
        <v>15</v>
      </c>
      <c r="D2998" t="s">
        <v>437</v>
      </c>
      <c r="E2998" s="217">
        <v>45170</v>
      </c>
      <c r="F2998">
        <v>0</v>
      </c>
      <c r="G2998" t="s">
        <v>257</v>
      </c>
    </row>
    <row r="2999" spans="1:7">
      <c r="A2999" s="216">
        <v>45170</v>
      </c>
      <c r="B2999" t="s">
        <v>48</v>
      </c>
      <c r="C2999">
        <v>15</v>
      </c>
      <c r="D2999" t="s">
        <v>437</v>
      </c>
      <c r="E2999" s="217">
        <v>45170</v>
      </c>
      <c r="F2999">
        <v>0</v>
      </c>
      <c r="G2999" t="s">
        <v>258</v>
      </c>
    </row>
    <row r="3000" spans="1:7">
      <c r="A3000" s="216">
        <v>45170</v>
      </c>
      <c r="B3000" t="s">
        <v>48</v>
      </c>
      <c r="C3000">
        <v>15</v>
      </c>
      <c r="D3000" t="s">
        <v>437</v>
      </c>
      <c r="E3000" s="217">
        <v>45170</v>
      </c>
      <c r="F3000">
        <v>0</v>
      </c>
      <c r="G3000" t="s">
        <v>259</v>
      </c>
    </row>
    <row r="3001" spans="1:7">
      <c r="A3001" s="216">
        <v>45170</v>
      </c>
      <c r="B3001" t="s">
        <v>48</v>
      </c>
      <c r="C3001">
        <v>15</v>
      </c>
      <c r="D3001" t="s">
        <v>437</v>
      </c>
      <c r="E3001" s="217">
        <v>45170</v>
      </c>
      <c r="F3001">
        <v>0</v>
      </c>
      <c r="G3001" t="s">
        <v>260</v>
      </c>
    </row>
    <row r="3002" spans="1:7">
      <c r="A3002" s="216">
        <v>45170</v>
      </c>
      <c r="B3002" t="s">
        <v>48</v>
      </c>
      <c r="C3002">
        <v>15</v>
      </c>
      <c r="D3002" t="s">
        <v>437</v>
      </c>
      <c r="E3002" s="217">
        <v>45170</v>
      </c>
      <c r="F3002">
        <v>0</v>
      </c>
      <c r="G3002" t="s">
        <v>261</v>
      </c>
    </row>
    <row r="3003" spans="1:7">
      <c r="A3003" s="216">
        <v>45170</v>
      </c>
      <c r="B3003" t="s">
        <v>48</v>
      </c>
      <c r="C3003">
        <v>15</v>
      </c>
      <c r="D3003" t="s">
        <v>437</v>
      </c>
      <c r="E3003" s="217">
        <v>45170</v>
      </c>
      <c r="F3003">
        <v>0</v>
      </c>
      <c r="G3003" t="s">
        <v>262</v>
      </c>
    </row>
    <row r="3004" spans="1:7">
      <c r="A3004" s="216">
        <v>45170</v>
      </c>
      <c r="B3004" t="s">
        <v>48</v>
      </c>
      <c r="C3004">
        <v>15</v>
      </c>
      <c r="D3004" t="s">
        <v>437</v>
      </c>
      <c r="E3004" s="217">
        <v>45170</v>
      </c>
      <c r="F3004">
        <v>0</v>
      </c>
      <c r="G3004" t="s">
        <v>434</v>
      </c>
    </row>
    <row r="3005" spans="1:7">
      <c r="A3005" s="216">
        <v>45170</v>
      </c>
      <c r="B3005" t="s">
        <v>48</v>
      </c>
      <c r="C3005">
        <v>16</v>
      </c>
      <c r="D3005" t="s">
        <v>449</v>
      </c>
      <c r="E3005" s="217">
        <v>45170</v>
      </c>
      <c r="F3005">
        <v>0</v>
      </c>
      <c r="G3005" t="s">
        <v>251</v>
      </c>
    </row>
    <row r="3006" spans="1:7">
      <c r="A3006" s="216">
        <v>45170</v>
      </c>
      <c r="B3006" t="s">
        <v>48</v>
      </c>
      <c r="C3006">
        <v>16</v>
      </c>
      <c r="D3006" t="s">
        <v>449</v>
      </c>
      <c r="E3006" s="217">
        <v>45170</v>
      </c>
      <c r="F3006">
        <v>0</v>
      </c>
      <c r="G3006" t="s">
        <v>252</v>
      </c>
    </row>
    <row r="3007" spans="1:7">
      <c r="A3007" s="216">
        <v>45170</v>
      </c>
      <c r="B3007" t="s">
        <v>48</v>
      </c>
      <c r="C3007">
        <v>16</v>
      </c>
      <c r="D3007" t="s">
        <v>449</v>
      </c>
      <c r="E3007" s="217">
        <v>45170</v>
      </c>
      <c r="F3007">
        <v>0</v>
      </c>
      <c r="G3007" t="s">
        <v>253</v>
      </c>
    </row>
    <row r="3008" spans="1:7">
      <c r="A3008" s="216">
        <v>45170</v>
      </c>
      <c r="B3008" t="s">
        <v>48</v>
      </c>
      <c r="C3008">
        <v>16</v>
      </c>
      <c r="D3008" t="s">
        <v>449</v>
      </c>
      <c r="E3008" s="217">
        <v>45170</v>
      </c>
      <c r="F3008">
        <v>0</v>
      </c>
      <c r="G3008" t="s">
        <v>254</v>
      </c>
    </row>
    <row r="3009" spans="1:7">
      <c r="A3009" s="216">
        <v>45170</v>
      </c>
      <c r="B3009" t="s">
        <v>48</v>
      </c>
      <c r="C3009">
        <v>16</v>
      </c>
      <c r="D3009" t="s">
        <v>449</v>
      </c>
      <c r="E3009" s="217">
        <v>45170</v>
      </c>
      <c r="F3009">
        <v>0</v>
      </c>
      <c r="G3009" t="s">
        <v>255</v>
      </c>
    </row>
    <row r="3010" spans="1:7">
      <c r="A3010" s="216">
        <v>45170</v>
      </c>
      <c r="B3010" t="s">
        <v>48</v>
      </c>
      <c r="C3010">
        <v>16</v>
      </c>
      <c r="D3010" t="s">
        <v>449</v>
      </c>
      <c r="E3010" s="217">
        <v>45170</v>
      </c>
      <c r="F3010">
        <v>0</v>
      </c>
      <c r="G3010" t="s">
        <v>256</v>
      </c>
    </row>
    <row r="3011" spans="1:7">
      <c r="A3011" s="216">
        <v>45170</v>
      </c>
      <c r="B3011" t="s">
        <v>48</v>
      </c>
      <c r="C3011">
        <v>16</v>
      </c>
      <c r="D3011" t="s">
        <v>449</v>
      </c>
      <c r="E3011" s="217">
        <v>45170</v>
      </c>
      <c r="F3011">
        <v>0</v>
      </c>
      <c r="G3011" t="s">
        <v>257</v>
      </c>
    </row>
    <row r="3012" spans="1:7">
      <c r="A3012" s="216">
        <v>45170</v>
      </c>
      <c r="B3012" t="s">
        <v>48</v>
      </c>
      <c r="C3012">
        <v>16</v>
      </c>
      <c r="D3012" t="s">
        <v>449</v>
      </c>
      <c r="E3012" s="217">
        <v>45170</v>
      </c>
      <c r="F3012">
        <v>0</v>
      </c>
      <c r="G3012" t="s">
        <v>258</v>
      </c>
    </row>
    <row r="3013" spans="1:7">
      <c r="A3013" s="216">
        <v>45170</v>
      </c>
      <c r="B3013" t="s">
        <v>48</v>
      </c>
      <c r="C3013">
        <v>16</v>
      </c>
      <c r="D3013" t="s">
        <v>449</v>
      </c>
      <c r="E3013" s="217">
        <v>45170</v>
      </c>
      <c r="F3013">
        <v>0</v>
      </c>
      <c r="G3013" t="s">
        <v>259</v>
      </c>
    </row>
    <row r="3014" spans="1:7">
      <c r="A3014" s="216">
        <v>45170</v>
      </c>
      <c r="B3014" t="s">
        <v>48</v>
      </c>
      <c r="C3014">
        <v>16</v>
      </c>
      <c r="D3014" t="s">
        <v>449</v>
      </c>
      <c r="E3014" s="217">
        <v>45170</v>
      </c>
      <c r="F3014">
        <v>0</v>
      </c>
      <c r="G3014" t="s">
        <v>260</v>
      </c>
    </row>
    <row r="3015" spans="1:7">
      <c r="A3015" s="216">
        <v>45170</v>
      </c>
      <c r="B3015" t="s">
        <v>48</v>
      </c>
      <c r="C3015">
        <v>16</v>
      </c>
      <c r="D3015" t="s">
        <v>449</v>
      </c>
      <c r="E3015" s="217">
        <v>45170</v>
      </c>
      <c r="F3015">
        <v>0</v>
      </c>
      <c r="G3015" t="s">
        <v>261</v>
      </c>
    </row>
    <row r="3016" spans="1:7">
      <c r="A3016" s="216">
        <v>45170</v>
      </c>
      <c r="B3016" t="s">
        <v>48</v>
      </c>
      <c r="C3016">
        <v>16</v>
      </c>
      <c r="D3016" t="s">
        <v>449</v>
      </c>
      <c r="E3016" s="217">
        <v>45170</v>
      </c>
      <c r="F3016">
        <v>0</v>
      </c>
      <c r="G3016" t="s">
        <v>262</v>
      </c>
    </row>
    <row r="3017" spans="1:7">
      <c r="A3017" s="216">
        <v>45170</v>
      </c>
      <c r="B3017" t="s">
        <v>48</v>
      </c>
      <c r="C3017">
        <v>16</v>
      </c>
      <c r="D3017" t="s">
        <v>449</v>
      </c>
      <c r="E3017" s="217">
        <v>45170</v>
      </c>
      <c r="F3017">
        <v>0</v>
      </c>
      <c r="G3017" t="s">
        <v>434</v>
      </c>
    </row>
    <row r="3018" spans="1:7">
      <c r="A3018" s="216">
        <v>45170</v>
      </c>
      <c r="B3018" t="s">
        <v>48</v>
      </c>
      <c r="C3018">
        <v>17</v>
      </c>
      <c r="D3018" t="s">
        <v>443</v>
      </c>
      <c r="E3018" s="217">
        <v>45170</v>
      </c>
      <c r="F3018">
        <v>0</v>
      </c>
      <c r="G3018" t="s">
        <v>251</v>
      </c>
    </row>
    <row r="3019" spans="1:7">
      <c r="A3019" s="216">
        <v>45170</v>
      </c>
      <c r="B3019" t="s">
        <v>48</v>
      </c>
      <c r="C3019">
        <v>17</v>
      </c>
      <c r="D3019" t="s">
        <v>443</v>
      </c>
      <c r="E3019" s="217">
        <v>45170</v>
      </c>
      <c r="F3019">
        <v>0</v>
      </c>
      <c r="G3019" t="s">
        <v>252</v>
      </c>
    </row>
    <row r="3020" spans="1:7">
      <c r="A3020" s="216">
        <v>45170</v>
      </c>
      <c r="B3020" t="s">
        <v>48</v>
      </c>
      <c r="C3020">
        <v>17</v>
      </c>
      <c r="D3020" t="s">
        <v>443</v>
      </c>
      <c r="E3020" s="217">
        <v>45170</v>
      </c>
      <c r="F3020">
        <v>0</v>
      </c>
      <c r="G3020" t="s">
        <v>253</v>
      </c>
    </row>
    <row r="3021" spans="1:7">
      <c r="A3021" s="216">
        <v>45170</v>
      </c>
      <c r="B3021" t="s">
        <v>48</v>
      </c>
      <c r="C3021">
        <v>17</v>
      </c>
      <c r="D3021" t="s">
        <v>443</v>
      </c>
      <c r="E3021" s="217">
        <v>45170</v>
      </c>
      <c r="F3021">
        <v>0</v>
      </c>
      <c r="G3021" t="s">
        <v>254</v>
      </c>
    </row>
    <row r="3022" spans="1:7">
      <c r="A3022" s="216">
        <v>45170</v>
      </c>
      <c r="B3022" t="s">
        <v>48</v>
      </c>
      <c r="C3022">
        <v>17</v>
      </c>
      <c r="D3022" t="s">
        <v>443</v>
      </c>
      <c r="E3022" s="217">
        <v>45170</v>
      </c>
      <c r="F3022">
        <v>0</v>
      </c>
      <c r="G3022" t="s">
        <v>255</v>
      </c>
    </row>
    <row r="3023" spans="1:7">
      <c r="A3023" s="216">
        <v>45170</v>
      </c>
      <c r="B3023" t="s">
        <v>48</v>
      </c>
      <c r="C3023">
        <v>17</v>
      </c>
      <c r="D3023" t="s">
        <v>443</v>
      </c>
      <c r="E3023" s="217">
        <v>45170</v>
      </c>
      <c r="F3023">
        <v>0</v>
      </c>
      <c r="G3023" t="s">
        <v>256</v>
      </c>
    </row>
    <row r="3024" spans="1:7">
      <c r="A3024" s="216">
        <v>45170</v>
      </c>
      <c r="B3024" t="s">
        <v>48</v>
      </c>
      <c r="C3024">
        <v>17</v>
      </c>
      <c r="D3024" t="s">
        <v>443</v>
      </c>
      <c r="E3024" s="217">
        <v>45170</v>
      </c>
      <c r="F3024">
        <v>0</v>
      </c>
      <c r="G3024" t="s">
        <v>257</v>
      </c>
    </row>
    <row r="3025" spans="1:7">
      <c r="A3025" s="216">
        <v>45170</v>
      </c>
      <c r="B3025" t="s">
        <v>48</v>
      </c>
      <c r="C3025">
        <v>17</v>
      </c>
      <c r="D3025" t="s">
        <v>443</v>
      </c>
      <c r="E3025" s="217">
        <v>45170</v>
      </c>
      <c r="F3025">
        <v>0</v>
      </c>
      <c r="G3025" t="s">
        <v>258</v>
      </c>
    </row>
    <row r="3026" spans="1:7">
      <c r="A3026" s="216">
        <v>45170</v>
      </c>
      <c r="B3026" t="s">
        <v>48</v>
      </c>
      <c r="C3026">
        <v>17</v>
      </c>
      <c r="D3026" t="s">
        <v>443</v>
      </c>
      <c r="E3026" s="217">
        <v>45170</v>
      </c>
      <c r="F3026">
        <v>0</v>
      </c>
      <c r="G3026" t="s">
        <v>259</v>
      </c>
    </row>
    <row r="3027" spans="1:7">
      <c r="A3027" s="216">
        <v>45170</v>
      </c>
      <c r="B3027" t="s">
        <v>48</v>
      </c>
      <c r="C3027">
        <v>17</v>
      </c>
      <c r="D3027" t="s">
        <v>443</v>
      </c>
      <c r="E3027" s="217">
        <v>45170</v>
      </c>
      <c r="F3027">
        <v>0</v>
      </c>
      <c r="G3027" t="s">
        <v>260</v>
      </c>
    </row>
    <row r="3028" spans="1:7">
      <c r="A3028" s="216">
        <v>45170</v>
      </c>
      <c r="B3028" t="s">
        <v>48</v>
      </c>
      <c r="C3028">
        <v>17</v>
      </c>
      <c r="D3028" t="s">
        <v>443</v>
      </c>
      <c r="E3028" s="217">
        <v>45170</v>
      </c>
      <c r="F3028">
        <v>0</v>
      </c>
      <c r="G3028" t="s">
        <v>261</v>
      </c>
    </row>
    <row r="3029" spans="1:7">
      <c r="A3029" s="216">
        <v>45170</v>
      </c>
      <c r="B3029" t="s">
        <v>48</v>
      </c>
      <c r="C3029">
        <v>17</v>
      </c>
      <c r="D3029" t="s">
        <v>443</v>
      </c>
      <c r="E3029" s="217">
        <v>45170</v>
      </c>
      <c r="F3029">
        <v>0</v>
      </c>
      <c r="G3029" t="s">
        <v>262</v>
      </c>
    </row>
    <row r="3030" spans="1:7">
      <c r="A3030" s="216">
        <v>45170</v>
      </c>
      <c r="B3030" t="s">
        <v>48</v>
      </c>
      <c r="C3030">
        <v>17</v>
      </c>
      <c r="D3030" t="s">
        <v>443</v>
      </c>
      <c r="E3030" s="217">
        <v>45170</v>
      </c>
      <c r="F3030">
        <v>0</v>
      </c>
      <c r="G3030" t="s">
        <v>434</v>
      </c>
    </row>
    <row r="3031" spans="1:7">
      <c r="A3031" s="216">
        <v>45170</v>
      </c>
      <c r="B3031" t="s">
        <v>48</v>
      </c>
      <c r="C3031">
        <v>18</v>
      </c>
      <c r="D3031" t="s">
        <v>444</v>
      </c>
      <c r="E3031" s="217">
        <v>45170</v>
      </c>
      <c r="F3031">
        <v>0</v>
      </c>
      <c r="G3031" t="s">
        <v>251</v>
      </c>
    </row>
    <row r="3032" spans="1:7">
      <c r="A3032" s="216">
        <v>45170</v>
      </c>
      <c r="B3032" t="s">
        <v>48</v>
      </c>
      <c r="C3032">
        <v>18</v>
      </c>
      <c r="D3032" t="s">
        <v>444</v>
      </c>
      <c r="E3032" s="217">
        <v>45170</v>
      </c>
      <c r="F3032">
        <v>0</v>
      </c>
      <c r="G3032" t="s">
        <v>252</v>
      </c>
    </row>
    <row r="3033" spans="1:7">
      <c r="A3033" s="216">
        <v>45170</v>
      </c>
      <c r="B3033" t="s">
        <v>48</v>
      </c>
      <c r="C3033">
        <v>18</v>
      </c>
      <c r="D3033" t="s">
        <v>444</v>
      </c>
      <c r="E3033" s="217">
        <v>45170</v>
      </c>
      <c r="F3033">
        <v>0</v>
      </c>
      <c r="G3033" t="s">
        <v>253</v>
      </c>
    </row>
    <row r="3034" spans="1:7">
      <c r="A3034" s="216">
        <v>45170</v>
      </c>
      <c r="B3034" t="s">
        <v>48</v>
      </c>
      <c r="C3034">
        <v>18</v>
      </c>
      <c r="D3034" t="s">
        <v>444</v>
      </c>
      <c r="E3034" s="217">
        <v>45170</v>
      </c>
      <c r="F3034">
        <v>0</v>
      </c>
      <c r="G3034" t="s">
        <v>254</v>
      </c>
    </row>
    <row r="3035" spans="1:7">
      <c r="A3035" s="216">
        <v>45170</v>
      </c>
      <c r="B3035" t="s">
        <v>48</v>
      </c>
      <c r="C3035">
        <v>18</v>
      </c>
      <c r="D3035" t="s">
        <v>444</v>
      </c>
      <c r="E3035" s="217">
        <v>45170</v>
      </c>
      <c r="F3035">
        <v>0</v>
      </c>
      <c r="G3035" t="s">
        <v>255</v>
      </c>
    </row>
    <row r="3036" spans="1:7">
      <c r="A3036" s="216">
        <v>45170</v>
      </c>
      <c r="B3036" t="s">
        <v>48</v>
      </c>
      <c r="C3036">
        <v>18</v>
      </c>
      <c r="D3036" t="s">
        <v>444</v>
      </c>
      <c r="E3036" s="217">
        <v>45170</v>
      </c>
      <c r="F3036">
        <v>0</v>
      </c>
      <c r="G3036" t="s">
        <v>256</v>
      </c>
    </row>
    <row r="3037" spans="1:7">
      <c r="A3037" s="216">
        <v>45170</v>
      </c>
      <c r="B3037" t="s">
        <v>48</v>
      </c>
      <c r="C3037">
        <v>18</v>
      </c>
      <c r="D3037" t="s">
        <v>444</v>
      </c>
      <c r="E3037" s="217">
        <v>45170</v>
      </c>
      <c r="F3037">
        <v>0</v>
      </c>
      <c r="G3037" t="s">
        <v>257</v>
      </c>
    </row>
    <row r="3038" spans="1:7">
      <c r="A3038" s="216">
        <v>45170</v>
      </c>
      <c r="B3038" t="s">
        <v>48</v>
      </c>
      <c r="C3038">
        <v>18</v>
      </c>
      <c r="D3038" t="s">
        <v>444</v>
      </c>
      <c r="E3038" s="217">
        <v>45170</v>
      </c>
      <c r="F3038">
        <v>0</v>
      </c>
      <c r="G3038" t="s">
        <v>258</v>
      </c>
    </row>
    <row r="3039" spans="1:7">
      <c r="A3039" s="216">
        <v>45170</v>
      </c>
      <c r="B3039" t="s">
        <v>48</v>
      </c>
      <c r="C3039">
        <v>18</v>
      </c>
      <c r="D3039" t="s">
        <v>444</v>
      </c>
      <c r="E3039" s="217">
        <v>45170</v>
      </c>
      <c r="F3039">
        <v>0</v>
      </c>
      <c r="G3039" t="s">
        <v>259</v>
      </c>
    </row>
    <row r="3040" spans="1:7">
      <c r="A3040" s="216">
        <v>45170</v>
      </c>
      <c r="B3040" t="s">
        <v>48</v>
      </c>
      <c r="C3040">
        <v>18</v>
      </c>
      <c r="D3040" t="s">
        <v>444</v>
      </c>
      <c r="E3040" s="217">
        <v>45170</v>
      </c>
      <c r="F3040">
        <v>0</v>
      </c>
      <c r="G3040" t="s">
        <v>260</v>
      </c>
    </row>
    <row r="3041" spans="1:7">
      <c r="A3041" s="216">
        <v>45170</v>
      </c>
      <c r="B3041" t="s">
        <v>48</v>
      </c>
      <c r="C3041">
        <v>18</v>
      </c>
      <c r="D3041" t="s">
        <v>444</v>
      </c>
      <c r="E3041" s="217">
        <v>45170</v>
      </c>
      <c r="F3041">
        <v>0</v>
      </c>
      <c r="G3041" t="s">
        <v>261</v>
      </c>
    </row>
    <row r="3042" spans="1:7">
      <c r="A3042" s="216">
        <v>45170</v>
      </c>
      <c r="B3042" t="s">
        <v>48</v>
      </c>
      <c r="C3042">
        <v>18</v>
      </c>
      <c r="D3042" t="s">
        <v>444</v>
      </c>
      <c r="E3042" s="217">
        <v>45170</v>
      </c>
      <c r="F3042">
        <v>0</v>
      </c>
      <c r="G3042" t="s">
        <v>262</v>
      </c>
    </row>
    <row r="3043" spans="1:7">
      <c r="A3043" s="216">
        <v>45170</v>
      </c>
      <c r="B3043" t="s">
        <v>48</v>
      </c>
      <c r="C3043">
        <v>18</v>
      </c>
      <c r="D3043" t="s">
        <v>444</v>
      </c>
      <c r="E3043" s="217">
        <v>45170</v>
      </c>
      <c r="F3043">
        <v>0</v>
      </c>
      <c r="G3043" t="s">
        <v>434</v>
      </c>
    </row>
    <row r="3044" spans="1:7">
      <c r="A3044" s="216">
        <v>45170</v>
      </c>
      <c r="B3044" t="s">
        <v>48</v>
      </c>
      <c r="C3044">
        <v>19</v>
      </c>
      <c r="D3044" t="s">
        <v>440</v>
      </c>
      <c r="E3044" s="217">
        <v>45170</v>
      </c>
      <c r="F3044">
        <v>0</v>
      </c>
      <c r="G3044" t="s">
        <v>251</v>
      </c>
    </row>
    <row r="3045" spans="1:7">
      <c r="A3045" s="216">
        <v>45170</v>
      </c>
      <c r="B3045" t="s">
        <v>48</v>
      </c>
      <c r="C3045">
        <v>19</v>
      </c>
      <c r="D3045" t="s">
        <v>440</v>
      </c>
      <c r="E3045" s="217">
        <v>45170</v>
      </c>
      <c r="F3045">
        <v>0</v>
      </c>
      <c r="G3045" t="s">
        <v>252</v>
      </c>
    </row>
    <row r="3046" spans="1:7">
      <c r="A3046" s="216">
        <v>45170</v>
      </c>
      <c r="B3046" t="s">
        <v>48</v>
      </c>
      <c r="C3046">
        <v>19</v>
      </c>
      <c r="D3046" t="s">
        <v>440</v>
      </c>
      <c r="E3046" s="217">
        <v>45170</v>
      </c>
      <c r="F3046">
        <v>0</v>
      </c>
      <c r="G3046" t="s">
        <v>253</v>
      </c>
    </row>
    <row r="3047" spans="1:7">
      <c r="A3047" s="216">
        <v>45170</v>
      </c>
      <c r="B3047" t="s">
        <v>48</v>
      </c>
      <c r="C3047">
        <v>19</v>
      </c>
      <c r="D3047" t="s">
        <v>440</v>
      </c>
      <c r="E3047" s="217">
        <v>45170</v>
      </c>
      <c r="F3047">
        <v>0</v>
      </c>
      <c r="G3047" t="s">
        <v>254</v>
      </c>
    </row>
    <row r="3048" spans="1:7">
      <c r="A3048" s="216">
        <v>45170</v>
      </c>
      <c r="B3048" t="s">
        <v>48</v>
      </c>
      <c r="C3048">
        <v>19</v>
      </c>
      <c r="D3048" t="s">
        <v>440</v>
      </c>
      <c r="E3048" s="217">
        <v>45170</v>
      </c>
      <c r="F3048">
        <v>0</v>
      </c>
      <c r="G3048" t="s">
        <v>255</v>
      </c>
    </row>
    <row r="3049" spans="1:7">
      <c r="A3049" s="216">
        <v>45170</v>
      </c>
      <c r="B3049" t="s">
        <v>48</v>
      </c>
      <c r="C3049">
        <v>19</v>
      </c>
      <c r="D3049" t="s">
        <v>440</v>
      </c>
      <c r="E3049" s="217">
        <v>45170</v>
      </c>
      <c r="F3049">
        <v>0</v>
      </c>
      <c r="G3049" t="s">
        <v>256</v>
      </c>
    </row>
    <row r="3050" spans="1:7">
      <c r="A3050" s="216">
        <v>45170</v>
      </c>
      <c r="B3050" t="s">
        <v>48</v>
      </c>
      <c r="C3050">
        <v>19</v>
      </c>
      <c r="D3050" t="s">
        <v>440</v>
      </c>
      <c r="E3050" s="217">
        <v>45170</v>
      </c>
      <c r="F3050">
        <v>0</v>
      </c>
      <c r="G3050" t="s">
        <v>257</v>
      </c>
    </row>
    <row r="3051" spans="1:7">
      <c r="A3051" s="216">
        <v>45170</v>
      </c>
      <c r="B3051" t="s">
        <v>48</v>
      </c>
      <c r="C3051">
        <v>19</v>
      </c>
      <c r="D3051" t="s">
        <v>440</v>
      </c>
      <c r="E3051" s="217">
        <v>45170</v>
      </c>
      <c r="F3051">
        <v>0</v>
      </c>
      <c r="G3051" t="s">
        <v>258</v>
      </c>
    </row>
    <row r="3052" spans="1:7">
      <c r="A3052" s="216">
        <v>45170</v>
      </c>
      <c r="B3052" t="s">
        <v>48</v>
      </c>
      <c r="C3052">
        <v>19</v>
      </c>
      <c r="D3052" t="s">
        <v>440</v>
      </c>
      <c r="E3052" s="217">
        <v>45170</v>
      </c>
      <c r="F3052">
        <v>0</v>
      </c>
      <c r="G3052" t="s">
        <v>259</v>
      </c>
    </row>
    <row r="3053" spans="1:7">
      <c r="A3053" s="216">
        <v>45170</v>
      </c>
      <c r="B3053" t="s">
        <v>48</v>
      </c>
      <c r="C3053">
        <v>19</v>
      </c>
      <c r="D3053" t="s">
        <v>440</v>
      </c>
      <c r="E3053" s="217">
        <v>45170</v>
      </c>
      <c r="F3053">
        <v>0</v>
      </c>
      <c r="G3053" t="s">
        <v>260</v>
      </c>
    </row>
    <row r="3054" spans="1:7">
      <c r="A3054" s="216">
        <v>45170</v>
      </c>
      <c r="B3054" t="s">
        <v>48</v>
      </c>
      <c r="C3054">
        <v>19</v>
      </c>
      <c r="D3054" t="s">
        <v>440</v>
      </c>
      <c r="E3054" s="217">
        <v>45170</v>
      </c>
      <c r="F3054">
        <v>0</v>
      </c>
      <c r="G3054" t="s">
        <v>261</v>
      </c>
    </row>
    <row r="3055" spans="1:7">
      <c r="A3055" s="216">
        <v>45170</v>
      </c>
      <c r="B3055" t="s">
        <v>48</v>
      </c>
      <c r="C3055">
        <v>19</v>
      </c>
      <c r="D3055" t="s">
        <v>440</v>
      </c>
      <c r="E3055" s="217">
        <v>45170</v>
      </c>
      <c r="F3055">
        <v>0</v>
      </c>
      <c r="G3055" t="s">
        <v>262</v>
      </c>
    </row>
    <row r="3056" spans="1:7">
      <c r="A3056" s="216">
        <v>45170</v>
      </c>
      <c r="B3056" t="s">
        <v>48</v>
      </c>
      <c r="C3056">
        <v>19</v>
      </c>
      <c r="D3056" t="s">
        <v>440</v>
      </c>
      <c r="E3056" s="217">
        <v>45170</v>
      </c>
      <c r="F3056">
        <v>0</v>
      </c>
      <c r="G3056" t="s">
        <v>434</v>
      </c>
    </row>
    <row r="3057" spans="1:7">
      <c r="A3057" s="216">
        <v>45170</v>
      </c>
      <c r="B3057" t="s">
        <v>48</v>
      </c>
      <c r="C3057">
        <v>20</v>
      </c>
      <c r="D3057" t="s">
        <v>456</v>
      </c>
      <c r="E3057" s="217">
        <v>45170</v>
      </c>
      <c r="F3057">
        <v>0</v>
      </c>
      <c r="G3057" t="s">
        <v>251</v>
      </c>
    </row>
    <row r="3058" spans="1:7">
      <c r="A3058" s="216">
        <v>45170</v>
      </c>
      <c r="B3058" t="s">
        <v>48</v>
      </c>
      <c r="C3058">
        <v>20</v>
      </c>
      <c r="D3058" t="s">
        <v>456</v>
      </c>
      <c r="E3058" s="217">
        <v>45170</v>
      </c>
      <c r="F3058">
        <v>0</v>
      </c>
      <c r="G3058" t="s">
        <v>252</v>
      </c>
    </row>
    <row r="3059" spans="1:7">
      <c r="A3059" s="216">
        <v>45170</v>
      </c>
      <c r="B3059" t="s">
        <v>48</v>
      </c>
      <c r="C3059">
        <v>20</v>
      </c>
      <c r="D3059" t="s">
        <v>456</v>
      </c>
      <c r="E3059" s="217">
        <v>45170</v>
      </c>
      <c r="F3059">
        <v>0</v>
      </c>
      <c r="G3059" t="s">
        <v>253</v>
      </c>
    </row>
    <row r="3060" spans="1:7">
      <c r="A3060" s="216">
        <v>45170</v>
      </c>
      <c r="B3060" t="s">
        <v>48</v>
      </c>
      <c r="C3060">
        <v>20</v>
      </c>
      <c r="D3060" t="s">
        <v>456</v>
      </c>
      <c r="E3060" s="217">
        <v>45170</v>
      </c>
      <c r="F3060">
        <v>0</v>
      </c>
      <c r="G3060" t="s">
        <v>254</v>
      </c>
    </row>
    <row r="3061" spans="1:7">
      <c r="A3061" s="216">
        <v>45170</v>
      </c>
      <c r="B3061" t="s">
        <v>48</v>
      </c>
      <c r="C3061">
        <v>20</v>
      </c>
      <c r="D3061" t="s">
        <v>456</v>
      </c>
      <c r="E3061" s="217">
        <v>45170</v>
      </c>
      <c r="F3061">
        <v>0</v>
      </c>
      <c r="G3061" t="s">
        <v>255</v>
      </c>
    </row>
    <row r="3062" spans="1:7">
      <c r="A3062" s="216">
        <v>45170</v>
      </c>
      <c r="B3062" t="s">
        <v>48</v>
      </c>
      <c r="C3062">
        <v>20</v>
      </c>
      <c r="D3062" t="s">
        <v>456</v>
      </c>
      <c r="E3062" s="217">
        <v>45170</v>
      </c>
      <c r="F3062">
        <v>0</v>
      </c>
      <c r="G3062" t="s">
        <v>256</v>
      </c>
    </row>
    <row r="3063" spans="1:7">
      <c r="A3063" s="216">
        <v>45170</v>
      </c>
      <c r="B3063" t="s">
        <v>48</v>
      </c>
      <c r="C3063">
        <v>20</v>
      </c>
      <c r="D3063" t="s">
        <v>456</v>
      </c>
      <c r="E3063" s="217">
        <v>45170</v>
      </c>
      <c r="F3063">
        <v>0</v>
      </c>
      <c r="G3063" t="s">
        <v>257</v>
      </c>
    </row>
    <row r="3064" spans="1:7">
      <c r="A3064" s="216">
        <v>45170</v>
      </c>
      <c r="B3064" t="s">
        <v>48</v>
      </c>
      <c r="C3064">
        <v>20</v>
      </c>
      <c r="D3064" t="s">
        <v>456</v>
      </c>
      <c r="E3064" s="217">
        <v>45170</v>
      </c>
      <c r="F3064">
        <v>0</v>
      </c>
      <c r="G3064" t="s">
        <v>258</v>
      </c>
    </row>
    <row r="3065" spans="1:7">
      <c r="A3065" s="216">
        <v>45170</v>
      </c>
      <c r="B3065" t="s">
        <v>48</v>
      </c>
      <c r="C3065">
        <v>20</v>
      </c>
      <c r="D3065" t="s">
        <v>456</v>
      </c>
      <c r="E3065" s="217">
        <v>45170</v>
      </c>
      <c r="F3065">
        <v>0</v>
      </c>
      <c r="G3065" t="s">
        <v>259</v>
      </c>
    </row>
    <row r="3066" spans="1:7">
      <c r="A3066" s="216">
        <v>45170</v>
      </c>
      <c r="B3066" t="s">
        <v>48</v>
      </c>
      <c r="C3066">
        <v>20</v>
      </c>
      <c r="D3066" t="s">
        <v>456</v>
      </c>
      <c r="E3066" s="217">
        <v>45170</v>
      </c>
      <c r="F3066">
        <v>0</v>
      </c>
      <c r="G3066" t="s">
        <v>260</v>
      </c>
    </row>
    <row r="3067" spans="1:7">
      <c r="A3067" s="216">
        <v>45170</v>
      </c>
      <c r="B3067" t="s">
        <v>48</v>
      </c>
      <c r="C3067">
        <v>20</v>
      </c>
      <c r="D3067" t="s">
        <v>456</v>
      </c>
      <c r="E3067" s="217">
        <v>45170</v>
      </c>
      <c r="F3067">
        <v>0</v>
      </c>
      <c r="G3067" t="s">
        <v>261</v>
      </c>
    </row>
    <row r="3068" spans="1:7">
      <c r="A3068" s="216">
        <v>45170</v>
      </c>
      <c r="B3068" t="s">
        <v>48</v>
      </c>
      <c r="C3068">
        <v>20</v>
      </c>
      <c r="D3068" t="s">
        <v>456</v>
      </c>
      <c r="E3068" s="217">
        <v>45170</v>
      </c>
      <c r="F3068">
        <v>0</v>
      </c>
      <c r="G3068" t="s">
        <v>262</v>
      </c>
    </row>
    <row r="3069" spans="1:7">
      <c r="A3069" s="216">
        <v>45170</v>
      </c>
      <c r="B3069" t="s">
        <v>48</v>
      </c>
      <c r="C3069">
        <v>20</v>
      </c>
      <c r="D3069" t="s">
        <v>456</v>
      </c>
      <c r="E3069" s="217">
        <v>45170</v>
      </c>
      <c r="F3069">
        <v>0</v>
      </c>
      <c r="G3069" t="s">
        <v>434</v>
      </c>
    </row>
    <row r="3070" spans="1:7">
      <c r="A3070" s="216">
        <v>45170</v>
      </c>
      <c r="B3070" t="s">
        <v>48</v>
      </c>
      <c r="C3070">
        <v>21</v>
      </c>
      <c r="D3070" t="s">
        <v>455</v>
      </c>
      <c r="E3070" s="217">
        <v>45170</v>
      </c>
      <c r="F3070">
        <v>0</v>
      </c>
      <c r="G3070" t="s">
        <v>251</v>
      </c>
    </row>
    <row r="3071" spans="1:7">
      <c r="A3071" s="216">
        <v>45170</v>
      </c>
      <c r="B3071" t="s">
        <v>48</v>
      </c>
      <c r="C3071">
        <v>21</v>
      </c>
      <c r="D3071" t="s">
        <v>455</v>
      </c>
      <c r="E3071" s="217">
        <v>45170</v>
      </c>
      <c r="F3071">
        <v>0</v>
      </c>
      <c r="G3071" t="s">
        <v>252</v>
      </c>
    </row>
    <row r="3072" spans="1:7">
      <c r="A3072" s="216">
        <v>45170</v>
      </c>
      <c r="B3072" t="s">
        <v>48</v>
      </c>
      <c r="C3072">
        <v>21</v>
      </c>
      <c r="D3072" t="s">
        <v>455</v>
      </c>
      <c r="E3072" s="217">
        <v>45170</v>
      </c>
      <c r="F3072">
        <v>0</v>
      </c>
      <c r="G3072" t="s">
        <v>253</v>
      </c>
    </row>
    <row r="3073" spans="1:7">
      <c r="A3073" s="216">
        <v>45170</v>
      </c>
      <c r="B3073" t="s">
        <v>48</v>
      </c>
      <c r="C3073">
        <v>21</v>
      </c>
      <c r="D3073" t="s">
        <v>455</v>
      </c>
      <c r="E3073" s="217">
        <v>45170</v>
      </c>
      <c r="F3073">
        <v>0</v>
      </c>
      <c r="G3073" t="s">
        <v>254</v>
      </c>
    </row>
    <row r="3074" spans="1:7">
      <c r="A3074" s="216">
        <v>45170</v>
      </c>
      <c r="B3074" t="s">
        <v>48</v>
      </c>
      <c r="C3074">
        <v>21</v>
      </c>
      <c r="D3074" t="s">
        <v>455</v>
      </c>
      <c r="E3074" s="217">
        <v>45170</v>
      </c>
      <c r="F3074">
        <v>0</v>
      </c>
      <c r="G3074" t="s">
        <v>255</v>
      </c>
    </row>
    <row r="3075" spans="1:7">
      <c r="A3075" s="216">
        <v>45170</v>
      </c>
      <c r="B3075" t="s">
        <v>48</v>
      </c>
      <c r="C3075">
        <v>21</v>
      </c>
      <c r="D3075" t="s">
        <v>455</v>
      </c>
      <c r="E3075" s="217">
        <v>45170</v>
      </c>
      <c r="F3075">
        <v>0</v>
      </c>
      <c r="G3075" t="s">
        <v>256</v>
      </c>
    </row>
    <row r="3076" spans="1:7">
      <c r="A3076" s="216">
        <v>45170</v>
      </c>
      <c r="B3076" t="s">
        <v>48</v>
      </c>
      <c r="C3076">
        <v>21</v>
      </c>
      <c r="D3076" t="s">
        <v>455</v>
      </c>
      <c r="E3076" s="217">
        <v>45170</v>
      </c>
      <c r="F3076">
        <v>0</v>
      </c>
      <c r="G3076" t="s">
        <v>257</v>
      </c>
    </row>
    <row r="3077" spans="1:7">
      <c r="A3077" s="216">
        <v>45170</v>
      </c>
      <c r="B3077" t="s">
        <v>48</v>
      </c>
      <c r="C3077">
        <v>21</v>
      </c>
      <c r="D3077" t="s">
        <v>455</v>
      </c>
      <c r="E3077" s="217">
        <v>45170</v>
      </c>
      <c r="F3077">
        <v>0</v>
      </c>
      <c r="G3077" t="s">
        <v>258</v>
      </c>
    </row>
    <row r="3078" spans="1:7">
      <c r="A3078" s="216">
        <v>45170</v>
      </c>
      <c r="B3078" t="s">
        <v>48</v>
      </c>
      <c r="C3078">
        <v>21</v>
      </c>
      <c r="D3078" t="s">
        <v>455</v>
      </c>
      <c r="E3078" s="217">
        <v>45170</v>
      </c>
      <c r="F3078">
        <v>0</v>
      </c>
      <c r="G3078" t="s">
        <v>259</v>
      </c>
    </row>
    <row r="3079" spans="1:7">
      <c r="A3079" s="216">
        <v>45170</v>
      </c>
      <c r="B3079" t="s">
        <v>48</v>
      </c>
      <c r="C3079">
        <v>21</v>
      </c>
      <c r="D3079" t="s">
        <v>455</v>
      </c>
      <c r="E3079" s="217">
        <v>45170</v>
      </c>
      <c r="F3079">
        <v>0</v>
      </c>
      <c r="G3079" t="s">
        <v>260</v>
      </c>
    </row>
    <row r="3080" spans="1:7">
      <c r="A3080" s="216">
        <v>45170</v>
      </c>
      <c r="B3080" t="s">
        <v>48</v>
      </c>
      <c r="C3080">
        <v>21</v>
      </c>
      <c r="D3080" t="s">
        <v>455</v>
      </c>
      <c r="E3080" s="217">
        <v>45170</v>
      </c>
      <c r="F3080">
        <v>0</v>
      </c>
      <c r="G3080" t="s">
        <v>261</v>
      </c>
    </row>
    <row r="3081" spans="1:7">
      <c r="A3081" s="216">
        <v>45170</v>
      </c>
      <c r="B3081" t="s">
        <v>48</v>
      </c>
      <c r="C3081">
        <v>21</v>
      </c>
      <c r="D3081" t="s">
        <v>455</v>
      </c>
      <c r="E3081" s="217">
        <v>45170</v>
      </c>
      <c r="F3081">
        <v>0</v>
      </c>
      <c r="G3081" t="s">
        <v>262</v>
      </c>
    </row>
    <row r="3082" spans="1:7">
      <c r="A3082" s="216">
        <v>45170</v>
      </c>
      <c r="B3082" t="s">
        <v>48</v>
      </c>
      <c r="C3082">
        <v>21</v>
      </c>
      <c r="D3082" t="s">
        <v>455</v>
      </c>
      <c r="E3082" s="217">
        <v>45170</v>
      </c>
      <c r="F3082">
        <v>0</v>
      </c>
      <c r="G3082" t="s">
        <v>434</v>
      </c>
    </row>
    <row r="3083" spans="1:7">
      <c r="A3083" s="216">
        <v>45170</v>
      </c>
      <c r="B3083" t="s">
        <v>48</v>
      </c>
      <c r="C3083">
        <v>22</v>
      </c>
      <c r="D3083" t="s">
        <v>439</v>
      </c>
      <c r="E3083" s="217">
        <v>45170</v>
      </c>
      <c r="F3083">
        <v>283.82100000000003</v>
      </c>
      <c r="G3083" t="s">
        <v>251</v>
      </c>
    </row>
    <row r="3084" spans="1:7">
      <c r="A3084" s="216">
        <v>45170</v>
      </c>
      <c r="B3084" t="s">
        <v>48</v>
      </c>
      <c r="C3084">
        <v>22</v>
      </c>
      <c r="D3084" t="s">
        <v>439</v>
      </c>
      <c r="E3084" s="217">
        <v>45170</v>
      </c>
      <c r="F3084">
        <v>753.16</v>
      </c>
      <c r="G3084" t="s">
        <v>252</v>
      </c>
    </row>
    <row r="3085" spans="1:7">
      <c r="A3085" s="216">
        <v>45170</v>
      </c>
      <c r="B3085" t="s">
        <v>48</v>
      </c>
      <c r="C3085">
        <v>22</v>
      </c>
      <c r="D3085" t="s">
        <v>439</v>
      </c>
      <c r="E3085" s="217">
        <v>45170</v>
      </c>
      <c r="F3085">
        <v>518.59</v>
      </c>
      <c r="G3085" t="s">
        <v>253</v>
      </c>
    </row>
    <row r="3086" spans="1:7">
      <c r="A3086" s="216">
        <v>45170</v>
      </c>
      <c r="B3086" t="s">
        <v>48</v>
      </c>
      <c r="C3086">
        <v>22</v>
      </c>
      <c r="D3086" t="s">
        <v>439</v>
      </c>
      <c r="E3086" s="217">
        <v>45170</v>
      </c>
      <c r="F3086">
        <v>518.59</v>
      </c>
      <c r="G3086" t="s">
        <v>254</v>
      </c>
    </row>
    <row r="3087" spans="1:7">
      <c r="A3087" s="216">
        <v>45170</v>
      </c>
      <c r="B3087" t="s">
        <v>48</v>
      </c>
      <c r="C3087">
        <v>22</v>
      </c>
      <c r="D3087" t="s">
        <v>439</v>
      </c>
      <c r="E3087" s="217">
        <v>45170</v>
      </c>
      <c r="F3087">
        <v>645.16999999999996</v>
      </c>
      <c r="G3087" t="s">
        <v>255</v>
      </c>
    </row>
    <row r="3088" spans="1:7">
      <c r="A3088" s="216">
        <v>45170</v>
      </c>
      <c r="B3088" t="s">
        <v>48</v>
      </c>
      <c r="C3088">
        <v>22</v>
      </c>
      <c r="D3088" t="s">
        <v>439</v>
      </c>
      <c r="E3088" s="217">
        <v>45170</v>
      </c>
      <c r="F3088">
        <v>543.77</v>
      </c>
      <c r="G3088" t="s">
        <v>256</v>
      </c>
    </row>
    <row r="3089" spans="1:7">
      <c r="A3089" s="216">
        <v>45170</v>
      </c>
      <c r="B3089" t="s">
        <v>48</v>
      </c>
      <c r="C3089">
        <v>22</v>
      </c>
      <c r="D3089" t="s">
        <v>439</v>
      </c>
      <c r="E3089" s="217">
        <v>45170</v>
      </c>
      <c r="F3089">
        <v>543.77</v>
      </c>
      <c r="G3089" t="s">
        <v>257</v>
      </c>
    </row>
    <row r="3090" spans="1:7">
      <c r="A3090" s="216">
        <v>45170</v>
      </c>
      <c r="B3090" t="s">
        <v>48</v>
      </c>
      <c r="C3090">
        <v>22</v>
      </c>
      <c r="D3090" t="s">
        <v>439</v>
      </c>
      <c r="E3090" s="217">
        <v>45170</v>
      </c>
      <c r="F3090">
        <v>543.77</v>
      </c>
      <c r="G3090" t="s">
        <v>258</v>
      </c>
    </row>
    <row r="3091" spans="1:7">
      <c r="A3091" s="216">
        <v>45170</v>
      </c>
      <c r="B3091" t="s">
        <v>48</v>
      </c>
      <c r="C3091">
        <v>22</v>
      </c>
      <c r="D3091" t="s">
        <v>439</v>
      </c>
      <c r="E3091" s="217">
        <v>45170</v>
      </c>
      <c r="F3091">
        <v>543.77</v>
      </c>
      <c r="G3091" t="s">
        <v>259</v>
      </c>
    </row>
    <row r="3092" spans="1:7">
      <c r="A3092" s="216">
        <v>45170</v>
      </c>
      <c r="B3092" t="s">
        <v>48</v>
      </c>
      <c r="C3092">
        <v>22</v>
      </c>
      <c r="D3092" t="s">
        <v>439</v>
      </c>
      <c r="E3092" s="217">
        <v>45170</v>
      </c>
      <c r="F3092">
        <v>543.77</v>
      </c>
      <c r="G3092" t="s">
        <v>260</v>
      </c>
    </row>
    <row r="3093" spans="1:7">
      <c r="A3093" s="216">
        <v>45170</v>
      </c>
      <c r="B3093" t="s">
        <v>48</v>
      </c>
      <c r="C3093">
        <v>22</v>
      </c>
      <c r="D3093" t="s">
        <v>439</v>
      </c>
      <c r="E3093" s="217">
        <v>45170</v>
      </c>
      <c r="F3093">
        <v>543.77</v>
      </c>
      <c r="G3093" t="s">
        <v>261</v>
      </c>
    </row>
    <row r="3094" spans="1:7">
      <c r="A3094" s="216">
        <v>45170</v>
      </c>
      <c r="B3094" t="s">
        <v>48</v>
      </c>
      <c r="C3094">
        <v>22</v>
      </c>
      <c r="D3094" t="s">
        <v>439</v>
      </c>
      <c r="E3094" s="217">
        <v>45170</v>
      </c>
      <c r="F3094">
        <v>543.16999999999996</v>
      </c>
      <c r="G3094" t="s">
        <v>262</v>
      </c>
    </row>
    <row r="3095" spans="1:7">
      <c r="A3095" s="216">
        <v>45170</v>
      </c>
      <c r="B3095" t="s">
        <v>48</v>
      </c>
      <c r="C3095">
        <v>22</v>
      </c>
      <c r="D3095" t="s">
        <v>439</v>
      </c>
      <c r="E3095" s="217">
        <v>45170</v>
      </c>
      <c r="F3095">
        <v>6525.1210000000001</v>
      </c>
      <c r="G3095" t="s">
        <v>434</v>
      </c>
    </row>
    <row r="3096" spans="1:7">
      <c r="A3096" s="216">
        <v>45170</v>
      </c>
      <c r="B3096" t="s">
        <v>48</v>
      </c>
      <c r="C3096">
        <v>23</v>
      </c>
      <c r="D3096" t="s">
        <v>435</v>
      </c>
      <c r="E3096" s="217">
        <v>45170</v>
      </c>
      <c r="F3096">
        <v>0</v>
      </c>
      <c r="G3096" t="s">
        <v>251</v>
      </c>
    </row>
    <row r="3097" spans="1:7">
      <c r="A3097" s="216">
        <v>45170</v>
      </c>
      <c r="B3097" t="s">
        <v>48</v>
      </c>
      <c r="C3097">
        <v>23</v>
      </c>
      <c r="D3097" t="s">
        <v>435</v>
      </c>
      <c r="E3097" s="217">
        <v>45170</v>
      </c>
      <c r="F3097">
        <v>53.13</v>
      </c>
      <c r="G3097" t="s">
        <v>252</v>
      </c>
    </row>
    <row r="3098" spans="1:7">
      <c r="A3098" s="216">
        <v>45170</v>
      </c>
      <c r="B3098" t="s">
        <v>48</v>
      </c>
      <c r="C3098">
        <v>23</v>
      </c>
      <c r="D3098" t="s">
        <v>435</v>
      </c>
      <c r="E3098" s="217">
        <v>45170</v>
      </c>
      <c r="F3098">
        <v>26.59</v>
      </c>
      <c r="G3098" t="s">
        <v>253</v>
      </c>
    </row>
    <row r="3099" spans="1:7">
      <c r="A3099" s="216">
        <v>45170</v>
      </c>
      <c r="B3099" t="s">
        <v>48</v>
      </c>
      <c r="C3099">
        <v>23</v>
      </c>
      <c r="D3099" t="s">
        <v>435</v>
      </c>
      <c r="E3099" s="217">
        <v>45170</v>
      </c>
      <c r="F3099">
        <v>26.59</v>
      </c>
      <c r="G3099" t="s">
        <v>254</v>
      </c>
    </row>
    <row r="3100" spans="1:7">
      <c r="A3100" s="216">
        <v>45170</v>
      </c>
      <c r="B3100" t="s">
        <v>48</v>
      </c>
      <c r="C3100">
        <v>23</v>
      </c>
      <c r="D3100" t="s">
        <v>435</v>
      </c>
      <c r="E3100" s="217">
        <v>45170</v>
      </c>
      <c r="F3100">
        <v>34.42</v>
      </c>
      <c r="G3100" t="s">
        <v>255</v>
      </c>
    </row>
    <row r="3101" spans="1:7">
      <c r="A3101" s="216">
        <v>45170</v>
      </c>
      <c r="B3101" t="s">
        <v>48</v>
      </c>
      <c r="C3101">
        <v>23</v>
      </c>
      <c r="D3101" t="s">
        <v>435</v>
      </c>
      <c r="E3101" s="217">
        <v>45170</v>
      </c>
      <c r="F3101">
        <v>28.12</v>
      </c>
      <c r="G3101" t="s">
        <v>256</v>
      </c>
    </row>
    <row r="3102" spans="1:7">
      <c r="A3102" s="216">
        <v>45170</v>
      </c>
      <c r="B3102" t="s">
        <v>48</v>
      </c>
      <c r="C3102">
        <v>23</v>
      </c>
      <c r="D3102" t="s">
        <v>435</v>
      </c>
      <c r="E3102" s="217">
        <v>45170</v>
      </c>
      <c r="F3102">
        <v>28.12</v>
      </c>
      <c r="G3102" t="s">
        <v>257</v>
      </c>
    </row>
    <row r="3103" spans="1:7">
      <c r="A3103" s="216">
        <v>45170</v>
      </c>
      <c r="B3103" t="s">
        <v>48</v>
      </c>
      <c r="C3103">
        <v>23</v>
      </c>
      <c r="D3103" t="s">
        <v>435</v>
      </c>
      <c r="E3103" s="217">
        <v>45170</v>
      </c>
      <c r="F3103">
        <v>28.12</v>
      </c>
      <c r="G3103" t="s">
        <v>258</v>
      </c>
    </row>
    <row r="3104" spans="1:7">
      <c r="A3104" s="216">
        <v>45170</v>
      </c>
      <c r="B3104" t="s">
        <v>48</v>
      </c>
      <c r="C3104">
        <v>23</v>
      </c>
      <c r="D3104" t="s">
        <v>435</v>
      </c>
      <c r="E3104" s="217">
        <v>45170</v>
      </c>
      <c r="F3104">
        <v>28.12</v>
      </c>
      <c r="G3104" t="s">
        <v>259</v>
      </c>
    </row>
    <row r="3105" spans="1:7">
      <c r="A3105" s="216">
        <v>45170</v>
      </c>
      <c r="B3105" t="s">
        <v>48</v>
      </c>
      <c r="C3105">
        <v>23</v>
      </c>
      <c r="D3105" t="s">
        <v>435</v>
      </c>
      <c r="E3105" s="217">
        <v>45170</v>
      </c>
      <c r="F3105">
        <v>28.12</v>
      </c>
      <c r="G3105" t="s">
        <v>260</v>
      </c>
    </row>
    <row r="3106" spans="1:7">
      <c r="A3106" s="216">
        <v>45170</v>
      </c>
      <c r="B3106" t="s">
        <v>48</v>
      </c>
      <c r="C3106">
        <v>23</v>
      </c>
      <c r="D3106" t="s">
        <v>435</v>
      </c>
      <c r="E3106" s="217">
        <v>45170</v>
      </c>
      <c r="F3106">
        <v>28.12</v>
      </c>
      <c r="G3106" t="s">
        <v>261</v>
      </c>
    </row>
    <row r="3107" spans="1:7">
      <c r="A3107" s="216">
        <v>45170</v>
      </c>
      <c r="B3107" t="s">
        <v>48</v>
      </c>
      <c r="C3107">
        <v>23</v>
      </c>
      <c r="D3107" t="s">
        <v>435</v>
      </c>
      <c r="E3107" s="217">
        <v>45170</v>
      </c>
      <c r="F3107">
        <v>28.42</v>
      </c>
      <c r="G3107" t="s">
        <v>262</v>
      </c>
    </row>
    <row r="3108" spans="1:7">
      <c r="A3108" s="216">
        <v>45170</v>
      </c>
      <c r="B3108" t="s">
        <v>48</v>
      </c>
      <c r="C3108">
        <v>23</v>
      </c>
      <c r="D3108" t="s">
        <v>435</v>
      </c>
      <c r="E3108" s="217">
        <v>45170</v>
      </c>
      <c r="F3108">
        <v>337.87</v>
      </c>
      <c r="G3108" t="s">
        <v>434</v>
      </c>
    </row>
    <row r="3109" spans="1:7">
      <c r="A3109" s="216">
        <v>45170</v>
      </c>
      <c r="B3109" t="s">
        <v>48</v>
      </c>
      <c r="C3109">
        <v>24</v>
      </c>
      <c r="D3109" t="s">
        <v>457</v>
      </c>
      <c r="E3109" s="217">
        <v>45170</v>
      </c>
      <c r="F3109">
        <v>0</v>
      </c>
      <c r="G3109" t="s">
        <v>251</v>
      </c>
    </row>
    <row r="3110" spans="1:7">
      <c r="A3110" s="216">
        <v>45170</v>
      </c>
      <c r="B3110" t="s">
        <v>48</v>
      </c>
      <c r="C3110">
        <v>24</v>
      </c>
      <c r="D3110" t="s">
        <v>457</v>
      </c>
      <c r="E3110" s="217">
        <v>45170</v>
      </c>
      <c r="F3110">
        <v>0</v>
      </c>
      <c r="G3110" t="s">
        <v>252</v>
      </c>
    </row>
    <row r="3111" spans="1:7">
      <c r="A3111" s="216">
        <v>45170</v>
      </c>
      <c r="B3111" t="s">
        <v>48</v>
      </c>
      <c r="C3111">
        <v>24</v>
      </c>
      <c r="D3111" t="s">
        <v>457</v>
      </c>
      <c r="E3111" s="217">
        <v>45170</v>
      </c>
      <c r="F3111">
        <v>0</v>
      </c>
      <c r="G3111" t="s">
        <v>253</v>
      </c>
    </row>
    <row r="3112" spans="1:7">
      <c r="A3112" s="216">
        <v>45170</v>
      </c>
      <c r="B3112" t="s">
        <v>48</v>
      </c>
      <c r="C3112">
        <v>24</v>
      </c>
      <c r="D3112" t="s">
        <v>457</v>
      </c>
      <c r="E3112" s="217">
        <v>45170</v>
      </c>
      <c r="F3112">
        <v>0</v>
      </c>
      <c r="G3112" t="s">
        <v>254</v>
      </c>
    </row>
    <row r="3113" spans="1:7">
      <c r="A3113" s="216">
        <v>45170</v>
      </c>
      <c r="B3113" t="s">
        <v>48</v>
      </c>
      <c r="C3113">
        <v>24</v>
      </c>
      <c r="D3113" t="s">
        <v>457</v>
      </c>
      <c r="E3113" s="217">
        <v>45170</v>
      </c>
      <c r="F3113">
        <v>0</v>
      </c>
      <c r="G3113" t="s">
        <v>255</v>
      </c>
    </row>
    <row r="3114" spans="1:7">
      <c r="A3114" s="216">
        <v>45170</v>
      </c>
      <c r="B3114" t="s">
        <v>48</v>
      </c>
      <c r="C3114">
        <v>24</v>
      </c>
      <c r="D3114" t="s">
        <v>457</v>
      </c>
      <c r="E3114" s="217">
        <v>45170</v>
      </c>
      <c r="F3114">
        <v>0</v>
      </c>
      <c r="G3114" t="s">
        <v>256</v>
      </c>
    </row>
    <row r="3115" spans="1:7">
      <c r="A3115" s="216">
        <v>45170</v>
      </c>
      <c r="B3115" t="s">
        <v>48</v>
      </c>
      <c r="C3115">
        <v>24</v>
      </c>
      <c r="D3115" t="s">
        <v>457</v>
      </c>
      <c r="E3115" s="217">
        <v>45170</v>
      </c>
      <c r="F3115">
        <v>0</v>
      </c>
      <c r="G3115" t="s">
        <v>257</v>
      </c>
    </row>
    <row r="3116" spans="1:7">
      <c r="A3116" s="216">
        <v>45170</v>
      </c>
      <c r="B3116" t="s">
        <v>48</v>
      </c>
      <c r="C3116">
        <v>24</v>
      </c>
      <c r="D3116" t="s">
        <v>457</v>
      </c>
      <c r="E3116" s="217">
        <v>45170</v>
      </c>
      <c r="F3116">
        <v>0</v>
      </c>
      <c r="G3116" t="s">
        <v>258</v>
      </c>
    </row>
    <row r="3117" spans="1:7">
      <c r="A3117" s="216">
        <v>45170</v>
      </c>
      <c r="B3117" t="s">
        <v>48</v>
      </c>
      <c r="C3117">
        <v>24</v>
      </c>
      <c r="D3117" t="s">
        <v>457</v>
      </c>
      <c r="E3117" s="217">
        <v>45170</v>
      </c>
      <c r="F3117">
        <v>0</v>
      </c>
      <c r="G3117" t="s">
        <v>259</v>
      </c>
    </row>
    <row r="3118" spans="1:7">
      <c r="A3118" s="216">
        <v>45170</v>
      </c>
      <c r="B3118" t="s">
        <v>48</v>
      </c>
      <c r="C3118">
        <v>24</v>
      </c>
      <c r="D3118" t="s">
        <v>457</v>
      </c>
      <c r="E3118" s="217">
        <v>45170</v>
      </c>
      <c r="F3118">
        <v>0</v>
      </c>
      <c r="G3118" t="s">
        <v>260</v>
      </c>
    </row>
    <row r="3119" spans="1:7">
      <c r="A3119" s="216">
        <v>45170</v>
      </c>
      <c r="B3119" t="s">
        <v>48</v>
      </c>
      <c r="C3119">
        <v>24</v>
      </c>
      <c r="D3119" t="s">
        <v>457</v>
      </c>
      <c r="E3119" s="217">
        <v>45170</v>
      </c>
      <c r="F3119">
        <v>0</v>
      </c>
      <c r="G3119" t="s">
        <v>261</v>
      </c>
    </row>
    <row r="3120" spans="1:7">
      <c r="A3120" s="216">
        <v>45170</v>
      </c>
      <c r="B3120" t="s">
        <v>48</v>
      </c>
      <c r="C3120">
        <v>24</v>
      </c>
      <c r="D3120" t="s">
        <v>457</v>
      </c>
      <c r="E3120" s="217">
        <v>45170</v>
      </c>
      <c r="F3120">
        <v>0</v>
      </c>
      <c r="G3120" t="s">
        <v>262</v>
      </c>
    </row>
    <row r="3121" spans="1:7">
      <c r="A3121" s="216">
        <v>45170</v>
      </c>
      <c r="B3121" t="s">
        <v>48</v>
      </c>
      <c r="C3121">
        <v>24</v>
      </c>
      <c r="D3121" t="s">
        <v>457</v>
      </c>
      <c r="E3121" s="217">
        <v>45170</v>
      </c>
      <c r="F3121">
        <v>0</v>
      </c>
      <c r="G3121" t="s">
        <v>434</v>
      </c>
    </row>
    <row r="3122" spans="1:7">
      <c r="A3122" s="216">
        <v>45170</v>
      </c>
      <c r="B3122" t="s">
        <v>48</v>
      </c>
      <c r="C3122">
        <v>25</v>
      </c>
      <c r="D3122" t="s">
        <v>452</v>
      </c>
      <c r="E3122" s="217">
        <v>45170</v>
      </c>
      <c r="F3122">
        <v>0</v>
      </c>
      <c r="G3122" t="s">
        <v>251</v>
      </c>
    </row>
    <row r="3123" spans="1:7">
      <c r="A3123" s="216">
        <v>45170</v>
      </c>
      <c r="B3123" t="s">
        <v>48</v>
      </c>
      <c r="C3123">
        <v>25</v>
      </c>
      <c r="D3123" t="s">
        <v>452</v>
      </c>
      <c r="E3123" s="217">
        <v>45170</v>
      </c>
      <c r="F3123">
        <v>0</v>
      </c>
      <c r="G3123" t="s">
        <v>252</v>
      </c>
    </row>
    <row r="3124" spans="1:7">
      <c r="A3124" s="216">
        <v>45170</v>
      </c>
      <c r="B3124" t="s">
        <v>48</v>
      </c>
      <c r="C3124">
        <v>25</v>
      </c>
      <c r="D3124" t="s">
        <v>452</v>
      </c>
      <c r="E3124" s="217">
        <v>45170</v>
      </c>
      <c r="F3124">
        <v>0</v>
      </c>
      <c r="G3124" t="s">
        <v>253</v>
      </c>
    </row>
    <row r="3125" spans="1:7">
      <c r="A3125" s="216">
        <v>45170</v>
      </c>
      <c r="B3125" t="s">
        <v>48</v>
      </c>
      <c r="C3125">
        <v>25</v>
      </c>
      <c r="D3125" t="s">
        <v>452</v>
      </c>
      <c r="E3125" s="217">
        <v>45170</v>
      </c>
      <c r="F3125">
        <v>0</v>
      </c>
      <c r="G3125" t="s">
        <v>254</v>
      </c>
    </row>
    <row r="3126" spans="1:7">
      <c r="A3126" s="216">
        <v>45170</v>
      </c>
      <c r="B3126" t="s">
        <v>48</v>
      </c>
      <c r="C3126">
        <v>25</v>
      </c>
      <c r="D3126" t="s">
        <v>452</v>
      </c>
      <c r="E3126" s="217">
        <v>45170</v>
      </c>
      <c r="F3126">
        <v>0</v>
      </c>
      <c r="G3126" t="s">
        <v>255</v>
      </c>
    </row>
    <row r="3127" spans="1:7">
      <c r="A3127" s="216">
        <v>45170</v>
      </c>
      <c r="B3127" t="s">
        <v>48</v>
      </c>
      <c r="C3127">
        <v>25</v>
      </c>
      <c r="D3127" t="s">
        <v>452</v>
      </c>
      <c r="E3127" s="217">
        <v>45170</v>
      </c>
      <c r="F3127">
        <v>0</v>
      </c>
      <c r="G3127" t="s">
        <v>256</v>
      </c>
    </row>
    <row r="3128" spans="1:7">
      <c r="A3128" s="216">
        <v>45170</v>
      </c>
      <c r="B3128" t="s">
        <v>48</v>
      </c>
      <c r="C3128">
        <v>25</v>
      </c>
      <c r="D3128" t="s">
        <v>452</v>
      </c>
      <c r="E3128" s="217">
        <v>45170</v>
      </c>
      <c r="F3128">
        <v>0</v>
      </c>
      <c r="G3128" t="s">
        <v>257</v>
      </c>
    </row>
    <row r="3129" spans="1:7">
      <c r="A3129" s="216">
        <v>45170</v>
      </c>
      <c r="B3129" t="s">
        <v>48</v>
      </c>
      <c r="C3129">
        <v>25</v>
      </c>
      <c r="D3129" t="s">
        <v>452</v>
      </c>
      <c r="E3129" s="217">
        <v>45170</v>
      </c>
      <c r="F3129">
        <v>0</v>
      </c>
      <c r="G3129" t="s">
        <v>258</v>
      </c>
    </row>
    <row r="3130" spans="1:7">
      <c r="A3130" s="216">
        <v>45170</v>
      </c>
      <c r="B3130" t="s">
        <v>48</v>
      </c>
      <c r="C3130">
        <v>25</v>
      </c>
      <c r="D3130" t="s">
        <v>452</v>
      </c>
      <c r="E3130" s="217">
        <v>45170</v>
      </c>
      <c r="F3130">
        <v>0</v>
      </c>
      <c r="G3130" t="s">
        <v>259</v>
      </c>
    </row>
    <row r="3131" spans="1:7">
      <c r="A3131" s="216">
        <v>45170</v>
      </c>
      <c r="B3131" t="s">
        <v>48</v>
      </c>
      <c r="C3131">
        <v>25</v>
      </c>
      <c r="D3131" t="s">
        <v>452</v>
      </c>
      <c r="E3131" s="217">
        <v>45170</v>
      </c>
      <c r="F3131">
        <v>0</v>
      </c>
      <c r="G3131" t="s">
        <v>260</v>
      </c>
    </row>
    <row r="3132" spans="1:7">
      <c r="A3132" s="216">
        <v>45170</v>
      </c>
      <c r="B3132" t="s">
        <v>48</v>
      </c>
      <c r="C3132">
        <v>25</v>
      </c>
      <c r="D3132" t="s">
        <v>452</v>
      </c>
      <c r="E3132" s="217">
        <v>45170</v>
      </c>
      <c r="F3132">
        <v>0</v>
      </c>
      <c r="G3132" t="s">
        <v>261</v>
      </c>
    </row>
    <row r="3133" spans="1:7">
      <c r="A3133" s="216">
        <v>45170</v>
      </c>
      <c r="B3133" t="s">
        <v>48</v>
      </c>
      <c r="C3133">
        <v>25</v>
      </c>
      <c r="D3133" t="s">
        <v>452</v>
      </c>
      <c r="E3133" s="217">
        <v>45170</v>
      </c>
      <c r="F3133">
        <v>0</v>
      </c>
      <c r="G3133" t="s">
        <v>262</v>
      </c>
    </row>
    <row r="3134" spans="1:7">
      <c r="A3134" s="216">
        <v>45170</v>
      </c>
      <c r="B3134" t="s">
        <v>48</v>
      </c>
      <c r="C3134">
        <v>25</v>
      </c>
      <c r="D3134" t="s">
        <v>452</v>
      </c>
      <c r="E3134" s="217">
        <v>45170</v>
      </c>
      <c r="F3134">
        <v>0</v>
      </c>
      <c r="G3134" t="s">
        <v>434</v>
      </c>
    </row>
    <row r="3135" spans="1:7">
      <c r="A3135" s="216">
        <v>45170</v>
      </c>
      <c r="B3135" t="s">
        <v>48</v>
      </c>
      <c r="C3135">
        <v>26</v>
      </c>
      <c r="D3135" t="s">
        <v>438</v>
      </c>
      <c r="E3135" s="217">
        <v>45170</v>
      </c>
      <c r="F3135">
        <v>18147</v>
      </c>
      <c r="G3135" t="s">
        <v>251</v>
      </c>
    </row>
    <row r="3136" spans="1:7">
      <c r="A3136" s="216">
        <v>45170</v>
      </c>
      <c r="B3136" t="s">
        <v>48</v>
      </c>
      <c r="C3136">
        <v>26</v>
      </c>
      <c r="D3136" t="s">
        <v>438</v>
      </c>
      <c r="E3136" s="217">
        <v>45170</v>
      </c>
      <c r="F3136">
        <v>18515</v>
      </c>
      <c r="G3136" t="s">
        <v>252</v>
      </c>
    </row>
    <row r="3137" spans="1:7">
      <c r="A3137" s="216">
        <v>45170</v>
      </c>
      <c r="B3137" t="s">
        <v>48</v>
      </c>
      <c r="C3137">
        <v>26</v>
      </c>
      <c r="D3137" t="s">
        <v>438</v>
      </c>
      <c r="E3137" s="217">
        <v>45170</v>
      </c>
      <c r="F3137">
        <v>18972</v>
      </c>
      <c r="G3137" t="s">
        <v>253</v>
      </c>
    </row>
    <row r="3138" spans="1:7">
      <c r="A3138" s="216">
        <v>45170</v>
      </c>
      <c r="B3138" t="s">
        <v>48</v>
      </c>
      <c r="C3138">
        <v>26</v>
      </c>
      <c r="D3138" t="s">
        <v>438</v>
      </c>
      <c r="E3138" s="217">
        <v>45170</v>
      </c>
      <c r="F3138">
        <v>20744</v>
      </c>
      <c r="G3138" t="s">
        <v>254</v>
      </c>
    </row>
    <row r="3139" spans="1:7">
      <c r="A3139" s="216">
        <v>45170</v>
      </c>
      <c r="B3139" t="s">
        <v>48</v>
      </c>
      <c r="C3139">
        <v>26</v>
      </c>
      <c r="D3139" t="s">
        <v>438</v>
      </c>
      <c r="E3139" s="217">
        <v>45170</v>
      </c>
      <c r="F3139">
        <v>20052</v>
      </c>
      <c r="G3139" t="s">
        <v>255</v>
      </c>
    </row>
    <row r="3140" spans="1:7">
      <c r="A3140" s="216">
        <v>45170</v>
      </c>
      <c r="B3140" t="s">
        <v>48</v>
      </c>
      <c r="C3140">
        <v>26</v>
      </c>
      <c r="D3140" t="s">
        <v>438</v>
      </c>
      <c r="E3140" s="217">
        <v>45170</v>
      </c>
      <c r="F3140">
        <v>19699</v>
      </c>
      <c r="G3140" t="s">
        <v>256</v>
      </c>
    </row>
    <row r="3141" spans="1:7">
      <c r="A3141" s="216">
        <v>45170</v>
      </c>
      <c r="B3141" t="s">
        <v>48</v>
      </c>
      <c r="C3141">
        <v>26</v>
      </c>
      <c r="D3141" t="s">
        <v>438</v>
      </c>
      <c r="E3141" s="217">
        <v>45170</v>
      </c>
      <c r="F3141">
        <v>21248.069911133302</v>
      </c>
      <c r="G3141" t="s">
        <v>257</v>
      </c>
    </row>
    <row r="3142" spans="1:7">
      <c r="A3142" s="216">
        <v>45170</v>
      </c>
      <c r="B3142" t="s">
        <v>48</v>
      </c>
      <c r="C3142">
        <v>26</v>
      </c>
      <c r="D3142" t="s">
        <v>438</v>
      </c>
      <c r="E3142" s="217">
        <v>45170</v>
      </c>
      <c r="F3142">
        <v>20479.777075666701</v>
      </c>
      <c r="G3142" t="s">
        <v>258</v>
      </c>
    </row>
    <row r="3143" spans="1:7">
      <c r="A3143" s="216">
        <v>45170</v>
      </c>
      <c r="B3143" t="s">
        <v>48</v>
      </c>
      <c r="C3143">
        <v>26</v>
      </c>
      <c r="D3143" t="s">
        <v>438</v>
      </c>
      <c r="E3143" s="217">
        <v>45170</v>
      </c>
      <c r="F3143">
        <v>20868.190917799999</v>
      </c>
      <c r="G3143" t="s">
        <v>259</v>
      </c>
    </row>
    <row r="3144" spans="1:7">
      <c r="A3144" s="216">
        <v>45170</v>
      </c>
      <c r="B3144" t="s">
        <v>48</v>
      </c>
      <c r="C3144">
        <v>26</v>
      </c>
      <c r="D3144" t="s">
        <v>438</v>
      </c>
      <c r="E3144" s="217">
        <v>45170</v>
      </c>
      <c r="F3144">
        <v>20628.603191133301</v>
      </c>
      <c r="G3144" t="s">
        <v>260</v>
      </c>
    </row>
    <row r="3145" spans="1:7">
      <c r="A3145" s="216">
        <v>45170</v>
      </c>
      <c r="B3145" t="s">
        <v>48</v>
      </c>
      <c r="C3145">
        <v>26</v>
      </c>
      <c r="D3145" t="s">
        <v>438</v>
      </c>
      <c r="E3145" s="217">
        <v>45170</v>
      </c>
      <c r="F3145">
        <v>20535.476393533299</v>
      </c>
      <c r="G3145" t="s">
        <v>261</v>
      </c>
    </row>
    <row r="3146" spans="1:7">
      <c r="A3146" s="216">
        <v>45170</v>
      </c>
      <c r="B3146" t="s">
        <v>48</v>
      </c>
      <c r="C3146">
        <v>26</v>
      </c>
      <c r="D3146" t="s">
        <v>438</v>
      </c>
      <c r="E3146" s="217">
        <v>45170</v>
      </c>
      <c r="F3146">
        <v>25176.462164466699</v>
      </c>
      <c r="G3146" t="s">
        <v>262</v>
      </c>
    </row>
    <row r="3147" spans="1:7">
      <c r="A3147" s="216">
        <v>45170</v>
      </c>
      <c r="B3147" t="s">
        <v>48</v>
      </c>
      <c r="C3147">
        <v>26</v>
      </c>
      <c r="D3147" t="s">
        <v>438</v>
      </c>
      <c r="E3147" s="217">
        <v>45170</v>
      </c>
      <c r="F3147">
        <v>245065.579653733</v>
      </c>
      <c r="G3147" t="s">
        <v>434</v>
      </c>
    </row>
    <row r="3148" spans="1:7">
      <c r="A3148" s="216">
        <v>45170</v>
      </c>
      <c r="B3148" t="s">
        <v>48</v>
      </c>
      <c r="C3148">
        <v>27</v>
      </c>
      <c r="D3148" t="s">
        <v>446</v>
      </c>
      <c r="E3148" s="217">
        <v>45170</v>
      </c>
      <c r="F3148">
        <v>50</v>
      </c>
      <c r="G3148" t="s">
        <v>251</v>
      </c>
    </row>
    <row r="3149" spans="1:7">
      <c r="A3149" s="216">
        <v>45170</v>
      </c>
      <c r="B3149" t="s">
        <v>48</v>
      </c>
      <c r="C3149">
        <v>27</v>
      </c>
      <c r="D3149" t="s">
        <v>446</v>
      </c>
      <c r="E3149" s="217">
        <v>45170</v>
      </c>
      <c r="F3149">
        <v>2</v>
      </c>
      <c r="G3149" t="s">
        <v>252</v>
      </c>
    </row>
    <row r="3150" spans="1:7">
      <c r="A3150" s="216">
        <v>45170</v>
      </c>
      <c r="B3150" t="s">
        <v>48</v>
      </c>
      <c r="C3150">
        <v>27</v>
      </c>
      <c r="D3150" t="s">
        <v>446</v>
      </c>
      <c r="E3150" s="217">
        <v>45170</v>
      </c>
      <c r="F3150">
        <v>11</v>
      </c>
      <c r="G3150" t="s">
        <v>253</v>
      </c>
    </row>
    <row r="3151" spans="1:7">
      <c r="A3151" s="216">
        <v>45170</v>
      </c>
      <c r="B3151" t="s">
        <v>48</v>
      </c>
      <c r="C3151">
        <v>27</v>
      </c>
      <c r="D3151" t="s">
        <v>446</v>
      </c>
      <c r="E3151" s="217">
        <v>45170</v>
      </c>
      <c r="F3151">
        <v>94</v>
      </c>
      <c r="G3151" t="s">
        <v>254</v>
      </c>
    </row>
    <row r="3152" spans="1:7">
      <c r="A3152" s="216">
        <v>45170</v>
      </c>
      <c r="B3152" t="s">
        <v>48</v>
      </c>
      <c r="C3152">
        <v>27</v>
      </c>
      <c r="D3152" t="s">
        <v>446</v>
      </c>
      <c r="E3152" s="217">
        <v>45170</v>
      </c>
      <c r="F3152">
        <v>-146.99999999999599</v>
      </c>
      <c r="G3152" t="s">
        <v>255</v>
      </c>
    </row>
    <row r="3153" spans="1:7">
      <c r="A3153" s="216">
        <v>45170</v>
      </c>
      <c r="B3153" t="s">
        <v>48</v>
      </c>
      <c r="C3153">
        <v>27</v>
      </c>
      <c r="D3153" t="s">
        <v>446</v>
      </c>
      <c r="E3153" s="217">
        <v>45170</v>
      </c>
      <c r="F3153">
        <v>114</v>
      </c>
      <c r="G3153" t="s">
        <v>256</v>
      </c>
    </row>
    <row r="3154" spans="1:7">
      <c r="A3154" s="216">
        <v>45170</v>
      </c>
      <c r="B3154" t="s">
        <v>48</v>
      </c>
      <c r="C3154">
        <v>27</v>
      </c>
      <c r="D3154" t="s">
        <v>446</v>
      </c>
      <c r="E3154" s="217">
        <v>45170</v>
      </c>
      <c r="F3154" s="218">
        <v>3.6379788070917101E-12</v>
      </c>
      <c r="G3154" t="s">
        <v>257</v>
      </c>
    </row>
    <row r="3155" spans="1:7">
      <c r="A3155" s="216">
        <v>45170</v>
      </c>
      <c r="B3155" t="s">
        <v>48</v>
      </c>
      <c r="C3155">
        <v>27</v>
      </c>
      <c r="D3155" t="s">
        <v>446</v>
      </c>
      <c r="E3155" s="217">
        <v>45170</v>
      </c>
      <c r="F3155">
        <v>0</v>
      </c>
      <c r="G3155" t="s">
        <v>258</v>
      </c>
    </row>
    <row r="3156" spans="1:7">
      <c r="A3156" s="216">
        <v>45170</v>
      </c>
      <c r="B3156" t="s">
        <v>48</v>
      </c>
      <c r="C3156">
        <v>27</v>
      </c>
      <c r="D3156" t="s">
        <v>446</v>
      </c>
      <c r="E3156" s="217">
        <v>45170</v>
      </c>
      <c r="F3156">
        <v>0</v>
      </c>
      <c r="G3156" t="s">
        <v>259</v>
      </c>
    </row>
    <row r="3157" spans="1:7">
      <c r="A3157" s="216">
        <v>45170</v>
      </c>
      <c r="B3157" t="s">
        <v>48</v>
      </c>
      <c r="C3157">
        <v>27</v>
      </c>
      <c r="D3157" t="s">
        <v>446</v>
      </c>
      <c r="E3157" s="217">
        <v>45170</v>
      </c>
      <c r="F3157">
        <v>0</v>
      </c>
      <c r="G3157" t="s">
        <v>260</v>
      </c>
    </row>
    <row r="3158" spans="1:7">
      <c r="A3158" s="216">
        <v>45170</v>
      </c>
      <c r="B3158" t="s">
        <v>48</v>
      </c>
      <c r="C3158">
        <v>27</v>
      </c>
      <c r="D3158" t="s">
        <v>446</v>
      </c>
      <c r="E3158" s="217">
        <v>45170</v>
      </c>
      <c r="F3158">
        <v>0</v>
      </c>
      <c r="G3158" t="s">
        <v>261</v>
      </c>
    </row>
    <row r="3159" spans="1:7">
      <c r="A3159" s="216">
        <v>45170</v>
      </c>
      <c r="B3159" t="s">
        <v>48</v>
      </c>
      <c r="C3159">
        <v>27</v>
      </c>
      <c r="D3159" t="s">
        <v>446</v>
      </c>
      <c r="E3159" s="217">
        <v>45170</v>
      </c>
      <c r="F3159">
        <v>-123.99999999999601</v>
      </c>
      <c r="G3159" t="s">
        <v>262</v>
      </c>
    </row>
    <row r="3160" spans="1:7">
      <c r="A3160" s="216">
        <v>45170</v>
      </c>
      <c r="B3160" t="s">
        <v>48</v>
      </c>
      <c r="C3160">
        <v>27</v>
      </c>
      <c r="D3160" t="s">
        <v>446</v>
      </c>
      <c r="E3160" s="217">
        <v>45170</v>
      </c>
      <c r="F3160">
        <v>0</v>
      </c>
      <c r="G3160" t="s">
        <v>434</v>
      </c>
    </row>
    <row r="3161" spans="1:7">
      <c r="A3161" s="216">
        <v>45170</v>
      </c>
      <c r="B3161" t="s">
        <v>47</v>
      </c>
      <c r="C3161">
        <v>1</v>
      </c>
      <c r="D3161" t="s">
        <v>453</v>
      </c>
      <c r="E3161" s="217">
        <v>45170</v>
      </c>
      <c r="F3161">
        <v>31335.03</v>
      </c>
      <c r="G3161" t="s">
        <v>251</v>
      </c>
    </row>
    <row r="3162" spans="1:7">
      <c r="A3162" s="216">
        <v>45170</v>
      </c>
      <c r="B3162" t="s">
        <v>47</v>
      </c>
      <c r="C3162">
        <v>1</v>
      </c>
      <c r="D3162" t="s">
        <v>453</v>
      </c>
      <c r="E3162" s="217">
        <v>45170</v>
      </c>
      <c r="F3162">
        <v>31313.7</v>
      </c>
      <c r="G3162" t="s">
        <v>252</v>
      </c>
    </row>
    <row r="3163" spans="1:7">
      <c r="A3163" s="216">
        <v>45170</v>
      </c>
      <c r="B3163" t="s">
        <v>47</v>
      </c>
      <c r="C3163">
        <v>1</v>
      </c>
      <c r="D3163" t="s">
        <v>453</v>
      </c>
      <c r="E3163" s="217">
        <v>45170</v>
      </c>
      <c r="F3163">
        <v>34523.99</v>
      </c>
      <c r="G3163" t="s">
        <v>253</v>
      </c>
    </row>
    <row r="3164" spans="1:7">
      <c r="A3164" s="216">
        <v>45170</v>
      </c>
      <c r="B3164" t="s">
        <v>47</v>
      </c>
      <c r="C3164">
        <v>1</v>
      </c>
      <c r="D3164" t="s">
        <v>453</v>
      </c>
      <c r="E3164" s="217">
        <v>45170</v>
      </c>
      <c r="F3164">
        <v>32961</v>
      </c>
      <c r="G3164" t="s">
        <v>254</v>
      </c>
    </row>
    <row r="3165" spans="1:7">
      <c r="A3165" s="216">
        <v>45170</v>
      </c>
      <c r="B3165" t="s">
        <v>47</v>
      </c>
      <c r="C3165">
        <v>1</v>
      </c>
      <c r="D3165" t="s">
        <v>453</v>
      </c>
      <c r="E3165" s="217">
        <v>45170</v>
      </c>
      <c r="F3165">
        <v>32220.74</v>
      </c>
      <c r="G3165" t="s">
        <v>255</v>
      </c>
    </row>
    <row r="3166" spans="1:7">
      <c r="A3166" s="216">
        <v>45170</v>
      </c>
      <c r="B3166" t="s">
        <v>47</v>
      </c>
      <c r="C3166">
        <v>1</v>
      </c>
      <c r="D3166" t="s">
        <v>453</v>
      </c>
      <c r="E3166" s="217">
        <v>45170</v>
      </c>
      <c r="F3166">
        <v>31935.34</v>
      </c>
      <c r="G3166" t="s">
        <v>256</v>
      </c>
    </row>
    <row r="3167" spans="1:7">
      <c r="A3167" s="216">
        <v>45170</v>
      </c>
      <c r="B3167" t="s">
        <v>47</v>
      </c>
      <c r="C3167">
        <v>1</v>
      </c>
      <c r="D3167" t="s">
        <v>453</v>
      </c>
      <c r="E3167" s="217">
        <v>45170</v>
      </c>
      <c r="F3167">
        <v>31920.48</v>
      </c>
      <c r="G3167" t="s">
        <v>257</v>
      </c>
    </row>
    <row r="3168" spans="1:7">
      <c r="A3168" s="216">
        <v>45170</v>
      </c>
      <c r="B3168" t="s">
        <v>47</v>
      </c>
      <c r="C3168">
        <v>1</v>
      </c>
      <c r="D3168" t="s">
        <v>453</v>
      </c>
      <c r="E3168" s="217">
        <v>45170</v>
      </c>
      <c r="F3168">
        <v>31920.48</v>
      </c>
      <c r="G3168" t="s">
        <v>258</v>
      </c>
    </row>
    <row r="3169" spans="1:7">
      <c r="A3169" s="216">
        <v>45170</v>
      </c>
      <c r="B3169" t="s">
        <v>47</v>
      </c>
      <c r="C3169">
        <v>1</v>
      </c>
      <c r="D3169" t="s">
        <v>453</v>
      </c>
      <c r="E3169" s="217">
        <v>45170</v>
      </c>
      <c r="F3169">
        <v>31920.48</v>
      </c>
      <c r="G3169" t="s">
        <v>259</v>
      </c>
    </row>
    <row r="3170" spans="1:7">
      <c r="A3170" s="216">
        <v>45170</v>
      </c>
      <c r="B3170" t="s">
        <v>47</v>
      </c>
      <c r="C3170">
        <v>1</v>
      </c>
      <c r="D3170" t="s">
        <v>453</v>
      </c>
      <c r="E3170" s="217">
        <v>45170</v>
      </c>
      <c r="F3170">
        <v>31920.48</v>
      </c>
      <c r="G3170" t="s">
        <v>260</v>
      </c>
    </row>
    <row r="3171" spans="1:7">
      <c r="A3171" s="216">
        <v>45170</v>
      </c>
      <c r="B3171" t="s">
        <v>47</v>
      </c>
      <c r="C3171">
        <v>1</v>
      </c>
      <c r="D3171" t="s">
        <v>453</v>
      </c>
      <c r="E3171" s="217">
        <v>45170</v>
      </c>
      <c r="F3171">
        <v>31920.48</v>
      </c>
      <c r="G3171" t="s">
        <v>261</v>
      </c>
    </row>
    <row r="3172" spans="1:7">
      <c r="A3172" s="216">
        <v>45170</v>
      </c>
      <c r="B3172" t="s">
        <v>47</v>
      </c>
      <c r="C3172">
        <v>1</v>
      </c>
      <c r="D3172" t="s">
        <v>453</v>
      </c>
      <c r="E3172" s="217">
        <v>45170</v>
      </c>
      <c r="F3172">
        <v>33084.699999999997</v>
      </c>
      <c r="G3172" t="s">
        <v>262</v>
      </c>
    </row>
    <row r="3173" spans="1:7">
      <c r="A3173" s="216">
        <v>45170</v>
      </c>
      <c r="B3173" t="s">
        <v>47</v>
      </c>
      <c r="C3173">
        <v>1</v>
      </c>
      <c r="D3173" t="s">
        <v>453</v>
      </c>
      <c r="E3173" s="217">
        <v>45170</v>
      </c>
      <c r="F3173">
        <v>386976.9</v>
      </c>
      <c r="G3173" t="s">
        <v>434</v>
      </c>
    </row>
    <row r="3174" spans="1:7">
      <c r="A3174" s="216">
        <v>45170</v>
      </c>
      <c r="B3174" t="s">
        <v>47</v>
      </c>
      <c r="C3174">
        <v>2</v>
      </c>
      <c r="D3174" t="s">
        <v>436</v>
      </c>
      <c r="E3174" s="217">
        <v>45170</v>
      </c>
      <c r="F3174">
        <v>43.92</v>
      </c>
      <c r="G3174" t="s">
        <v>251</v>
      </c>
    </row>
    <row r="3175" spans="1:7">
      <c r="A3175" s="216">
        <v>45170</v>
      </c>
      <c r="B3175" t="s">
        <v>47</v>
      </c>
      <c r="C3175">
        <v>2</v>
      </c>
      <c r="D3175" t="s">
        <v>436</v>
      </c>
      <c r="E3175" s="217">
        <v>45170</v>
      </c>
      <c r="F3175">
        <v>43.92</v>
      </c>
      <c r="G3175" t="s">
        <v>252</v>
      </c>
    </row>
    <row r="3176" spans="1:7">
      <c r="A3176" s="216">
        <v>45170</v>
      </c>
      <c r="B3176" t="s">
        <v>47</v>
      </c>
      <c r="C3176">
        <v>2</v>
      </c>
      <c r="D3176" t="s">
        <v>436</v>
      </c>
      <c r="E3176" s="217">
        <v>45170</v>
      </c>
      <c r="F3176">
        <v>-55.33</v>
      </c>
      <c r="G3176" t="s">
        <v>253</v>
      </c>
    </row>
    <row r="3177" spans="1:7">
      <c r="A3177" s="216">
        <v>45170</v>
      </c>
      <c r="B3177" t="s">
        <v>47</v>
      </c>
      <c r="C3177">
        <v>2</v>
      </c>
      <c r="D3177" t="s">
        <v>436</v>
      </c>
      <c r="E3177" s="217">
        <v>45170</v>
      </c>
      <c r="F3177">
        <v>10.83</v>
      </c>
      <c r="G3177" t="s">
        <v>254</v>
      </c>
    </row>
    <row r="3178" spans="1:7">
      <c r="A3178" s="216">
        <v>45170</v>
      </c>
      <c r="B3178" t="s">
        <v>47</v>
      </c>
      <c r="C3178">
        <v>2</v>
      </c>
      <c r="D3178" t="s">
        <v>436</v>
      </c>
      <c r="E3178" s="217">
        <v>45170</v>
      </c>
      <c r="F3178">
        <v>10.83</v>
      </c>
      <c r="G3178" t="s">
        <v>255</v>
      </c>
    </row>
    <row r="3179" spans="1:7">
      <c r="A3179" s="216">
        <v>45170</v>
      </c>
      <c r="B3179" t="s">
        <v>47</v>
      </c>
      <c r="C3179">
        <v>2</v>
      </c>
      <c r="D3179" t="s">
        <v>436</v>
      </c>
      <c r="E3179" s="217">
        <v>45170</v>
      </c>
      <c r="F3179">
        <v>10.83</v>
      </c>
      <c r="G3179" t="s">
        <v>256</v>
      </c>
    </row>
    <row r="3180" spans="1:7">
      <c r="A3180" s="216">
        <v>45170</v>
      </c>
      <c r="B3180" t="s">
        <v>47</v>
      </c>
      <c r="C3180">
        <v>2</v>
      </c>
      <c r="D3180" t="s">
        <v>436</v>
      </c>
      <c r="E3180" s="217">
        <v>45170</v>
      </c>
      <c r="F3180">
        <v>10.83</v>
      </c>
      <c r="G3180" t="s">
        <v>257</v>
      </c>
    </row>
    <row r="3181" spans="1:7">
      <c r="A3181" s="216">
        <v>45170</v>
      </c>
      <c r="B3181" t="s">
        <v>47</v>
      </c>
      <c r="C3181">
        <v>2</v>
      </c>
      <c r="D3181" t="s">
        <v>436</v>
      </c>
      <c r="E3181" s="217">
        <v>45170</v>
      </c>
      <c r="F3181">
        <v>10.83</v>
      </c>
      <c r="G3181" t="s">
        <v>258</v>
      </c>
    </row>
    <row r="3182" spans="1:7">
      <c r="A3182" s="216">
        <v>45170</v>
      </c>
      <c r="B3182" t="s">
        <v>47</v>
      </c>
      <c r="C3182">
        <v>2</v>
      </c>
      <c r="D3182" t="s">
        <v>436</v>
      </c>
      <c r="E3182" s="217">
        <v>45170</v>
      </c>
      <c r="F3182">
        <v>10.83</v>
      </c>
      <c r="G3182" t="s">
        <v>259</v>
      </c>
    </row>
    <row r="3183" spans="1:7">
      <c r="A3183" s="216">
        <v>45170</v>
      </c>
      <c r="B3183" t="s">
        <v>47</v>
      </c>
      <c r="C3183">
        <v>2</v>
      </c>
      <c r="D3183" t="s">
        <v>436</v>
      </c>
      <c r="E3183" s="217">
        <v>45170</v>
      </c>
      <c r="F3183">
        <v>10.83</v>
      </c>
      <c r="G3183" t="s">
        <v>260</v>
      </c>
    </row>
    <row r="3184" spans="1:7">
      <c r="A3184" s="216">
        <v>45170</v>
      </c>
      <c r="B3184" t="s">
        <v>47</v>
      </c>
      <c r="C3184">
        <v>2</v>
      </c>
      <c r="D3184" t="s">
        <v>436</v>
      </c>
      <c r="E3184" s="217">
        <v>45170</v>
      </c>
      <c r="F3184">
        <v>10.83</v>
      </c>
      <c r="G3184" t="s">
        <v>261</v>
      </c>
    </row>
    <row r="3185" spans="1:7">
      <c r="A3185" s="216">
        <v>45170</v>
      </c>
      <c r="B3185" t="s">
        <v>47</v>
      </c>
      <c r="C3185">
        <v>2</v>
      </c>
      <c r="D3185" t="s">
        <v>436</v>
      </c>
      <c r="E3185" s="217">
        <v>45170</v>
      </c>
      <c r="F3185">
        <v>10.83</v>
      </c>
      <c r="G3185" t="s">
        <v>262</v>
      </c>
    </row>
    <row r="3186" spans="1:7">
      <c r="A3186" s="216">
        <v>45170</v>
      </c>
      <c r="B3186" t="s">
        <v>47</v>
      </c>
      <c r="C3186">
        <v>2</v>
      </c>
      <c r="D3186" t="s">
        <v>436</v>
      </c>
      <c r="E3186" s="217">
        <v>45170</v>
      </c>
      <c r="F3186">
        <v>129.97999999999999</v>
      </c>
      <c r="G3186" t="s">
        <v>434</v>
      </c>
    </row>
    <row r="3187" spans="1:7">
      <c r="A3187" s="216">
        <v>45170</v>
      </c>
      <c r="B3187" t="s">
        <v>47</v>
      </c>
      <c r="C3187">
        <v>3</v>
      </c>
      <c r="D3187" t="s">
        <v>459</v>
      </c>
      <c r="E3187" s="217">
        <v>45170</v>
      </c>
      <c r="F3187">
        <v>0</v>
      </c>
      <c r="G3187" t="s">
        <v>251</v>
      </c>
    </row>
    <row r="3188" spans="1:7">
      <c r="A3188" s="216">
        <v>45170</v>
      </c>
      <c r="B3188" t="s">
        <v>47</v>
      </c>
      <c r="C3188">
        <v>3</v>
      </c>
      <c r="D3188" t="s">
        <v>459</v>
      </c>
      <c r="E3188" s="217">
        <v>45170</v>
      </c>
      <c r="F3188">
        <v>0</v>
      </c>
      <c r="G3188" t="s">
        <v>252</v>
      </c>
    </row>
    <row r="3189" spans="1:7">
      <c r="A3189" s="216">
        <v>45170</v>
      </c>
      <c r="B3189" t="s">
        <v>47</v>
      </c>
      <c r="C3189">
        <v>3</v>
      </c>
      <c r="D3189" t="s">
        <v>459</v>
      </c>
      <c r="E3189" s="217">
        <v>45170</v>
      </c>
      <c r="F3189">
        <v>0</v>
      </c>
      <c r="G3189" t="s">
        <v>253</v>
      </c>
    </row>
    <row r="3190" spans="1:7">
      <c r="A3190" s="216">
        <v>45170</v>
      </c>
      <c r="B3190" t="s">
        <v>47</v>
      </c>
      <c r="C3190">
        <v>3</v>
      </c>
      <c r="D3190" t="s">
        <v>459</v>
      </c>
      <c r="E3190" s="217">
        <v>45170</v>
      </c>
      <c r="F3190">
        <v>0</v>
      </c>
      <c r="G3190" t="s">
        <v>254</v>
      </c>
    </row>
    <row r="3191" spans="1:7">
      <c r="A3191" s="216">
        <v>45170</v>
      </c>
      <c r="B3191" t="s">
        <v>47</v>
      </c>
      <c r="C3191">
        <v>3</v>
      </c>
      <c r="D3191" t="s">
        <v>459</v>
      </c>
      <c r="E3191" s="217">
        <v>45170</v>
      </c>
      <c r="F3191">
        <v>0</v>
      </c>
      <c r="G3191" t="s">
        <v>255</v>
      </c>
    </row>
    <row r="3192" spans="1:7">
      <c r="A3192" s="216">
        <v>45170</v>
      </c>
      <c r="B3192" t="s">
        <v>47</v>
      </c>
      <c r="C3192">
        <v>3</v>
      </c>
      <c r="D3192" t="s">
        <v>459</v>
      </c>
      <c r="E3192" s="217">
        <v>45170</v>
      </c>
      <c r="F3192">
        <v>0</v>
      </c>
      <c r="G3192" t="s">
        <v>256</v>
      </c>
    </row>
    <row r="3193" spans="1:7">
      <c r="A3193" s="216">
        <v>45170</v>
      </c>
      <c r="B3193" t="s">
        <v>47</v>
      </c>
      <c r="C3193">
        <v>3</v>
      </c>
      <c r="D3193" t="s">
        <v>459</v>
      </c>
      <c r="E3193" s="217">
        <v>45170</v>
      </c>
      <c r="F3193">
        <v>0</v>
      </c>
      <c r="G3193" t="s">
        <v>257</v>
      </c>
    </row>
    <row r="3194" spans="1:7">
      <c r="A3194" s="216">
        <v>45170</v>
      </c>
      <c r="B3194" t="s">
        <v>47</v>
      </c>
      <c r="C3194">
        <v>3</v>
      </c>
      <c r="D3194" t="s">
        <v>459</v>
      </c>
      <c r="E3194" s="217">
        <v>45170</v>
      </c>
      <c r="F3194">
        <v>0</v>
      </c>
      <c r="G3194" t="s">
        <v>258</v>
      </c>
    </row>
    <row r="3195" spans="1:7">
      <c r="A3195" s="216">
        <v>45170</v>
      </c>
      <c r="B3195" t="s">
        <v>47</v>
      </c>
      <c r="C3195">
        <v>3</v>
      </c>
      <c r="D3195" t="s">
        <v>459</v>
      </c>
      <c r="E3195" s="217">
        <v>45170</v>
      </c>
      <c r="F3195">
        <v>0</v>
      </c>
      <c r="G3195" t="s">
        <v>259</v>
      </c>
    </row>
    <row r="3196" spans="1:7">
      <c r="A3196" s="216">
        <v>45170</v>
      </c>
      <c r="B3196" t="s">
        <v>47</v>
      </c>
      <c r="C3196">
        <v>3</v>
      </c>
      <c r="D3196" t="s">
        <v>459</v>
      </c>
      <c r="E3196" s="217">
        <v>45170</v>
      </c>
      <c r="F3196">
        <v>0</v>
      </c>
      <c r="G3196" t="s">
        <v>260</v>
      </c>
    </row>
    <row r="3197" spans="1:7">
      <c r="A3197" s="216">
        <v>45170</v>
      </c>
      <c r="B3197" t="s">
        <v>47</v>
      </c>
      <c r="C3197">
        <v>3</v>
      </c>
      <c r="D3197" t="s">
        <v>459</v>
      </c>
      <c r="E3197" s="217">
        <v>45170</v>
      </c>
      <c r="F3197">
        <v>0</v>
      </c>
      <c r="G3197" t="s">
        <v>261</v>
      </c>
    </row>
    <row r="3198" spans="1:7">
      <c r="A3198" s="216">
        <v>45170</v>
      </c>
      <c r="B3198" t="s">
        <v>47</v>
      </c>
      <c r="C3198">
        <v>3</v>
      </c>
      <c r="D3198" t="s">
        <v>459</v>
      </c>
      <c r="E3198" s="217">
        <v>45170</v>
      </c>
      <c r="F3198">
        <v>0</v>
      </c>
      <c r="G3198" t="s">
        <v>262</v>
      </c>
    </row>
    <row r="3199" spans="1:7">
      <c r="A3199" s="216">
        <v>45170</v>
      </c>
      <c r="B3199" t="s">
        <v>47</v>
      </c>
      <c r="C3199">
        <v>3</v>
      </c>
      <c r="D3199" t="s">
        <v>459</v>
      </c>
      <c r="E3199" s="217">
        <v>45170</v>
      </c>
      <c r="F3199">
        <v>0</v>
      </c>
      <c r="G3199" t="s">
        <v>434</v>
      </c>
    </row>
    <row r="3200" spans="1:7">
      <c r="A3200" s="216">
        <v>45170</v>
      </c>
      <c r="B3200" t="s">
        <v>47</v>
      </c>
      <c r="C3200">
        <v>4</v>
      </c>
      <c r="D3200" t="s">
        <v>460</v>
      </c>
      <c r="E3200" s="217">
        <v>45170</v>
      </c>
      <c r="F3200">
        <v>0</v>
      </c>
      <c r="G3200" t="s">
        <v>251</v>
      </c>
    </row>
    <row r="3201" spans="1:7">
      <c r="A3201" s="216">
        <v>45170</v>
      </c>
      <c r="B3201" t="s">
        <v>47</v>
      </c>
      <c r="C3201">
        <v>4</v>
      </c>
      <c r="D3201" t="s">
        <v>460</v>
      </c>
      <c r="E3201" s="217">
        <v>45170</v>
      </c>
      <c r="F3201">
        <v>0</v>
      </c>
      <c r="G3201" t="s">
        <v>252</v>
      </c>
    </row>
    <row r="3202" spans="1:7">
      <c r="A3202" s="216">
        <v>45170</v>
      </c>
      <c r="B3202" t="s">
        <v>47</v>
      </c>
      <c r="C3202">
        <v>4</v>
      </c>
      <c r="D3202" t="s">
        <v>460</v>
      </c>
      <c r="E3202" s="217">
        <v>45170</v>
      </c>
      <c r="F3202">
        <v>0</v>
      </c>
      <c r="G3202" t="s">
        <v>253</v>
      </c>
    </row>
    <row r="3203" spans="1:7">
      <c r="A3203" s="216">
        <v>45170</v>
      </c>
      <c r="B3203" t="s">
        <v>47</v>
      </c>
      <c r="C3203">
        <v>4</v>
      </c>
      <c r="D3203" t="s">
        <v>460</v>
      </c>
      <c r="E3203" s="217">
        <v>45170</v>
      </c>
      <c r="F3203">
        <v>0</v>
      </c>
      <c r="G3203" t="s">
        <v>254</v>
      </c>
    </row>
    <row r="3204" spans="1:7">
      <c r="A3204" s="216">
        <v>45170</v>
      </c>
      <c r="B3204" t="s">
        <v>47</v>
      </c>
      <c r="C3204">
        <v>4</v>
      </c>
      <c r="D3204" t="s">
        <v>460</v>
      </c>
      <c r="E3204" s="217">
        <v>45170</v>
      </c>
      <c r="F3204">
        <v>0</v>
      </c>
      <c r="G3204" t="s">
        <v>255</v>
      </c>
    </row>
    <row r="3205" spans="1:7">
      <c r="A3205" s="216">
        <v>45170</v>
      </c>
      <c r="B3205" t="s">
        <v>47</v>
      </c>
      <c r="C3205">
        <v>4</v>
      </c>
      <c r="D3205" t="s">
        <v>460</v>
      </c>
      <c r="E3205" s="217">
        <v>45170</v>
      </c>
      <c r="F3205">
        <v>0</v>
      </c>
      <c r="G3205" t="s">
        <v>256</v>
      </c>
    </row>
    <row r="3206" spans="1:7">
      <c r="A3206" s="216">
        <v>45170</v>
      </c>
      <c r="B3206" t="s">
        <v>47</v>
      </c>
      <c r="C3206">
        <v>4</v>
      </c>
      <c r="D3206" t="s">
        <v>460</v>
      </c>
      <c r="E3206" s="217">
        <v>45170</v>
      </c>
      <c r="F3206">
        <v>0</v>
      </c>
      <c r="G3206" t="s">
        <v>257</v>
      </c>
    </row>
    <row r="3207" spans="1:7">
      <c r="A3207" s="216">
        <v>45170</v>
      </c>
      <c r="B3207" t="s">
        <v>47</v>
      </c>
      <c r="C3207">
        <v>4</v>
      </c>
      <c r="D3207" t="s">
        <v>460</v>
      </c>
      <c r="E3207" s="217">
        <v>45170</v>
      </c>
      <c r="F3207">
        <v>0</v>
      </c>
      <c r="G3207" t="s">
        <v>258</v>
      </c>
    </row>
    <row r="3208" spans="1:7">
      <c r="A3208" s="216">
        <v>45170</v>
      </c>
      <c r="B3208" t="s">
        <v>47</v>
      </c>
      <c r="C3208">
        <v>4</v>
      </c>
      <c r="D3208" t="s">
        <v>460</v>
      </c>
      <c r="E3208" s="217">
        <v>45170</v>
      </c>
      <c r="F3208">
        <v>0</v>
      </c>
      <c r="G3208" t="s">
        <v>259</v>
      </c>
    </row>
    <row r="3209" spans="1:7">
      <c r="A3209" s="216">
        <v>45170</v>
      </c>
      <c r="B3209" t="s">
        <v>47</v>
      </c>
      <c r="C3209">
        <v>4</v>
      </c>
      <c r="D3209" t="s">
        <v>460</v>
      </c>
      <c r="E3209" s="217">
        <v>45170</v>
      </c>
      <c r="F3209">
        <v>0</v>
      </c>
      <c r="G3209" t="s">
        <v>260</v>
      </c>
    </row>
    <row r="3210" spans="1:7">
      <c r="A3210" s="216">
        <v>45170</v>
      </c>
      <c r="B3210" t="s">
        <v>47</v>
      </c>
      <c r="C3210">
        <v>4</v>
      </c>
      <c r="D3210" t="s">
        <v>460</v>
      </c>
      <c r="E3210" s="217">
        <v>45170</v>
      </c>
      <c r="F3210">
        <v>0</v>
      </c>
      <c r="G3210" t="s">
        <v>261</v>
      </c>
    </row>
    <row r="3211" spans="1:7">
      <c r="A3211" s="216">
        <v>45170</v>
      </c>
      <c r="B3211" t="s">
        <v>47</v>
      </c>
      <c r="C3211">
        <v>4</v>
      </c>
      <c r="D3211" t="s">
        <v>460</v>
      </c>
      <c r="E3211" s="217">
        <v>45170</v>
      </c>
      <c r="F3211">
        <v>0</v>
      </c>
      <c r="G3211" t="s">
        <v>262</v>
      </c>
    </row>
    <row r="3212" spans="1:7">
      <c r="A3212" s="216">
        <v>45170</v>
      </c>
      <c r="B3212" t="s">
        <v>47</v>
      </c>
      <c r="C3212">
        <v>4</v>
      </c>
      <c r="D3212" t="s">
        <v>460</v>
      </c>
      <c r="E3212" s="217">
        <v>45170</v>
      </c>
      <c r="F3212">
        <v>0</v>
      </c>
      <c r="G3212" t="s">
        <v>434</v>
      </c>
    </row>
    <row r="3213" spans="1:7">
      <c r="A3213" s="216">
        <v>45170</v>
      </c>
      <c r="B3213" t="s">
        <v>47</v>
      </c>
      <c r="C3213">
        <v>5</v>
      </c>
      <c r="D3213" t="s">
        <v>458</v>
      </c>
      <c r="E3213" s="217">
        <v>45170</v>
      </c>
      <c r="F3213">
        <v>0</v>
      </c>
      <c r="G3213" t="s">
        <v>251</v>
      </c>
    </row>
    <row r="3214" spans="1:7">
      <c r="A3214" s="216">
        <v>45170</v>
      </c>
      <c r="B3214" t="s">
        <v>47</v>
      </c>
      <c r="C3214">
        <v>5</v>
      </c>
      <c r="D3214" t="s">
        <v>458</v>
      </c>
      <c r="E3214" s="217">
        <v>45170</v>
      </c>
      <c r="F3214">
        <v>0</v>
      </c>
      <c r="G3214" t="s">
        <v>252</v>
      </c>
    </row>
    <row r="3215" spans="1:7">
      <c r="A3215" s="216">
        <v>45170</v>
      </c>
      <c r="B3215" t="s">
        <v>47</v>
      </c>
      <c r="C3215">
        <v>5</v>
      </c>
      <c r="D3215" t="s">
        <v>458</v>
      </c>
      <c r="E3215" s="217">
        <v>45170</v>
      </c>
      <c r="F3215">
        <v>0</v>
      </c>
      <c r="G3215" t="s">
        <v>253</v>
      </c>
    </row>
    <row r="3216" spans="1:7">
      <c r="A3216" s="216">
        <v>45170</v>
      </c>
      <c r="B3216" t="s">
        <v>47</v>
      </c>
      <c r="C3216">
        <v>5</v>
      </c>
      <c r="D3216" t="s">
        <v>458</v>
      </c>
      <c r="E3216" s="217">
        <v>45170</v>
      </c>
      <c r="F3216">
        <v>0</v>
      </c>
      <c r="G3216" t="s">
        <v>254</v>
      </c>
    </row>
    <row r="3217" spans="1:7">
      <c r="A3217" s="216">
        <v>45170</v>
      </c>
      <c r="B3217" t="s">
        <v>47</v>
      </c>
      <c r="C3217">
        <v>5</v>
      </c>
      <c r="D3217" t="s">
        <v>458</v>
      </c>
      <c r="E3217" s="217">
        <v>45170</v>
      </c>
      <c r="F3217">
        <v>0</v>
      </c>
      <c r="G3217" t="s">
        <v>255</v>
      </c>
    </row>
    <row r="3218" spans="1:7">
      <c r="A3218" s="216">
        <v>45170</v>
      </c>
      <c r="B3218" t="s">
        <v>47</v>
      </c>
      <c r="C3218">
        <v>5</v>
      </c>
      <c r="D3218" t="s">
        <v>458</v>
      </c>
      <c r="E3218" s="217">
        <v>45170</v>
      </c>
      <c r="F3218">
        <v>0</v>
      </c>
      <c r="G3218" t="s">
        <v>256</v>
      </c>
    </row>
    <row r="3219" spans="1:7">
      <c r="A3219" s="216">
        <v>45170</v>
      </c>
      <c r="B3219" t="s">
        <v>47</v>
      </c>
      <c r="C3219">
        <v>5</v>
      </c>
      <c r="D3219" t="s">
        <v>458</v>
      </c>
      <c r="E3219" s="217">
        <v>45170</v>
      </c>
      <c r="F3219">
        <v>0</v>
      </c>
      <c r="G3219" t="s">
        <v>257</v>
      </c>
    </row>
    <row r="3220" spans="1:7">
      <c r="A3220" s="216">
        <v>45170</v>
      </c>
      <c r="B3220" t="s">
        <v>47</v>
      </c>
      <c r="C3220">
        <v>5</v>
      </c>
      <c r="D3220" t="s">
        <v>458</v>
      </c>
      <c r="E3220" s="217">
        <v>45170</v>
      </c>
      <c r="F3220">
        <v>0</v>
      </c>
      <c r="G3220" t="s">
        <v>258</v>
      </c>
    </row>
    <row r="3221" spans="1:7">
      <c r="A3221" s="216">
        <v>45170</v>
      </c>
      <c r="B3221" t="s">
        <v>47</v>
      </c>
      <c r="C3221">
        <v>5</v>
      </c>
      <c r="D3221" t="s">
        <v>458</v>
      </c>
      <c r="E3221" s="217">
        <v>45170</v>
      </c>
      <c r="F3221">
        <v>0</v>
      </c>
      <c r="G3221" t="s">
        <v>259</v>
      </c>
    </row>
    <row r="3222" spans="1:7">
      <c r="A3222" s="216">
        <v>45170</v>
      </c>
      <c r="B3222" t="s">
        <v>47</v>
      </c>
      <c r="C3222">
        <v>5</v>
      </c>
      <c r="D3222" t="s">
        <v>458</v>
      </c>
      <c r="E3222" s="217">
        <v>45170</v>
      </c>
      <c r="F3222">
        <v>0</v>
      </c>
      <c r="G3222" t="s">
        <v>260</v>
      </c>
    </row>
    <row r="3223" spans="1:7">
      <c r="A3223" s="216">
        <v>45170</v>
      </c>
      <c r="B3223" t="s">
        <v>47</v>
      </c>
      <c r="C3223">
        <v>5</v>
      </c>
      <c r="D3223" t="s">
        <v>458</v>
      </c>
      <c r="E3223" s="217">
        <v>45170</v>
      </c>
      <c r="F3223">
        <v>0</v>
      </c>
      <c r="G3223" t="s">
        <v>261</v>
      </c>
    </row>
    <row r="3224" spans="1:7">
      <c r="A3224" s="216">
        <v>45170</v>
      </c>
      <c r="B3224" t="s">
        <v>47</v>
      </c>
      <c r="C3224">
        <v>5</v>
      </c>
      <c r="D3224" t="s">
        <v>458</v>
      </c>
      <c r="E3224" s="217">
        <v>45170</v>
      </c>
      <c r="F3224">
        <v>0</v>
      </c>
      <c r="G3224" t="s">
        <v>262</v>
      </c>
    </row>
    <row r="3225" spans="1:7">
      <c r="A3225" s="216">
        <v>45170</v>
      </c>
      <c r="B3225" t="s">
        <v>47</v>
      </c>
      <c r="C3225">
        <v>5</v>
      </c>
      <c r="D3225" t="s">
        <v>458</v>
      </c>
      <c r="E3225" s="217">
        <v>45170</v>
      </c>
      <c r="F3225">
        <v>0</v>
      </c>
      <c r="G3225" t="s">
        <v>434</v>
      </c>
    </row>
    <row r="3226" spans="1:7">
      <c r="A3226" s="216">
        <v>45170</v>
      </c>
      <c r="B3226" t="s">
        <v>47</v>
      </c>
      <c r="C3226">
        <v>6</v>
      </c>
      <c r="D3226" t="s">
        <v>448</v>
      </c>
      <c r="E3226" s="217">
        <v>45170</v>
      </c>
      <c r="F3226">
        <v>631.49</v>
      </c>
      <c r="G3226" t="s">
        <v>251</v>
      </c>
    </row>
    <row r="3227" spans="1:7">
      <c r="A3227" s="216">
        <v>45170</v>
      </c>
      <c r="B3227" t="s">
        <v>47</v>
      </c>
      <c r="C3227">
        <v>6</v>
      </c>
      <c r="D3227" t="s">
        <v>448</v>
      </c>
      <c r="E3227" s="217">
        <v>45170</v>
      </c>
      <c r="F3227">
        <v>879.15</v>
      </c>
      <c r="G3227" t="s">
        <v>252</v>
      </c>
    </row>
    <row r="3228" spans="1:7">
      <c r="A3228" s="216">
        <v>45170</v>
      </c>
      <c r="B3228" t="s">
        <v>47</v>
      </c>
      <c r="C3228">
        <v>6</v>
      </c>
      <c r="D3228" t="s">
        <v>448</v>
      </c>
      <c r="E3228" s="217">
        <v>45170</v>
      </c>
      <c r="F3228">
        <v>338.87</v>
      </c>
      <c r="G3228" t="s">
        <v>253</v>
      </c>
    </row>
    <row r="3229" spans="1:7">
      <c r="A3229" s="216">
        <v>45170</v>
      </c>
      <c r="B3229" t="s">
        <v>47</v>
      </c>
      <c r="C3229">
        <v>6</v>
      </c>
      <c r="D3229" t="s">
        <v>448</v>
      </c>
      <c r="E3229" s="217">
        <v>45170</v>
      </c>
      <c r="F3229">
        <v>713.52</v>
      </c>
      <c r="G3229" t="s">
        <v>254</v>
      </c>
    </row>
    <row r="3230" spans="1:7">
      <c r="A3230" s="216">
        <v>45170</v>
      </c>
      <c r="B3230" t="s">
        <v>47</v>
      </c>
      <c r="C3230">
        <v>6</v>
      </c>
      <c r="D3230" t="s">
        <v>448</v>
      </c>
      <c r="E3230" s="217">
        <v>45170</v>
      </c>
      <c r="F3230">
        <v>721.2</v>
      </c>
      <c r="G3230" t="s">
        <v>255</v>
      </c>
    </row>
    <row r="3231" spans="1:7">
      <c r="A3231" s="216">
        <v>45170</v>
      </c>
      <c r="B3231" t="s">
        <v>47</v>
      </c>
      <c r="C3231">
        <v>6</v>
      </c>
      <c r="D3231" t="s">
        <v>448</v>
      </c>
      <c r="E3231" s="217">
        <v>45170</v>
      </c>
      <c r="F3231">
        <v>697.83</v>
      </c>
      <c r="G3231" t="s">
        <v>256</v>
      </c>
    </row>
    <row r="3232" spans="1:7">
      <c r="A3232" s="216">
        <v>45170</v>
      </c>
      <c r="B3232" t="s">
        <v>47</v>
      </c>
      <c r="C3232">
        <v>6</v>
      </c>
      <c r="D3232" t="s">
        <v>448</v>
      </c>
      <c r="E3232" s="217">
        <v>45170</v>
      </c>
      <c r="F3232">
        <v>689.43</v>
      </c>
      <c r="G3232" t="s">
        <v>257</v>
      </c>
    </row>
    <row r="3233" spans="1:7">
      <c r="A3233" s="216">
        <v>45170</v>
      </c>
      <c r="B3233" t="s">
        <v>47</v>
      </c>
      <c r="C3233">
        <v>6</v>
      </c>
      <c r="D3233" t="s">
        <v>448</v>
      </c>
      <c r="E3233" s="217">
        <v>45170</v>
      </c>
      <c r="F3233">
        <v>666.66</v>
      </c>
      <c r="G3233" t="s">
        <v>258</v>
      </c>
    </row>
    <row r="3234" spans="1:7">
      <c r="A3234" s="216">
        <v>45170</v>
      </c>
      <c r="B3234" t="s">
        <v>47</v>
      </c>
      <c r="C3234">
        <v>6</v>
      </c>
      <c r="D3234" t="s">
        <v>448</v>
      </c>
      <c r="E3234" s="217">
        <v>45170</v>
      </c>
      <c r="F3234">
        <v>666.66</v>
      </c>
      <c r="G3234" t="s">
        <v>259</v>
      </c>
    </row>
    <row r="3235" spans="1:7">
      <c r="A3235" s="216">
        <v>45170</v>
      </c>
      <c r="B3235" t="s">
        <v>47</v>
      </c>
      <c r="C3235">
        <v>6</v>
      </c>
      <c r="D3235" t="s">
        <v>448</v>
      </c>
      <c r="E3235" s="217">
        <v>45170</v>
      </c>
      <c r="F3235">
        <v>666.66</v>
      </c>
      <c r="G3235" t="s">
        <v>260</v>
      </c>
    </row>
    <row r="3236" spans="1:7">
      <c r="A3236" s="216">
        <v>45170</v>
      </c>
      <c r="B3236" t="s">
        <v>47</v>
      </c>
      <c r="C3236">
        <v>6</v>
      </c>
      <c r="D3236" t="s">
        <v>448</v>
      </c>
      <c r="E3236" s="217">
        <v>45170</v>
      </c>
      <c r="F3236">
        <v>657.54</v>
      </c>
      <c r="G3236" t="s">
        <v>261</v>
      </c>
    </row>
    <row r="3237" spans="1:7">
      <c r="A3237" s="216">
        <v>45170</v>
      </c>
      <c r="B3237" t="s">
        <v>47</v>
      </c>
      <c r="C3237">
        <v>6</v>
      </c>
      <c r="D3237" t="s">
        <v>448</v>
      </c>
      <c r="E3237" s="217">
        <v>45170</v>
      </c>
      <c r="F3237">
        <v>657.35</v>
      </c>
      <c r="G3237" t="s">
        <v>262</v>
      </c>
    </row>
    <row r="3238" spans="1:7">
      <c r="A3238" s="216">
        <v>45170</v>
      </c>
      <c r="B3238" t="s">
        <v>47</v>
      </c>
      <c r="C3238">
        <v>6</v>
      </c>
      <c r="D3238" t="s">
        <v>448</v>
      </c>
      <c r="E3238" s="217">
        <v>45170</v>
      </c>
      <c r="F3238">
        <v>7986.36</v>
      </c>
      <c r="G3238" t="s">
        <v>434</v>
      </c>
    </row>
    <row r="3239" spans="1:7">
      <c r="A3239" s="216">
        <v>45170</v>
      </c>
      <c r="B3239" t="s">
        <v>47</v>
      </c>
      <c r="C3239">
        <v>7</v>
      </c>
      <c r="D3239" t="s">
        <v>442</v>
      </c>
      <c r="E3239" s="217">
        <v>45170</v>
      </c>
      <c r="F3239">
        <v>32010.44</v>
      </c>
      <c r="G3239" t="s">
        <v>251</v>
      </c>
    </row>
    <row r="3240" spans="1:7">
      <c r="A3240" s="216">
        <v>45170</v>
      </c>
      <c r="B3240" t="s">
        <v>47</v>
      </c>
      <c r="C3240">
        <v>7</v>
      </c>
      <c r="D3240" t="s">
        <v>442</v>
      </c>
      <c r="E3240" s="217">
        <v>45170</v>
      </c>
      <c r="F3240">
        <v>32236.77</v>
      </c>
      <c r="G3240" t="s">
        <v>252</v>
      </c>
    </row>
    <row r="3241" spans="1:7">
      <c r="A3241" s="216">
        <v>45170</v>
      </c>
      <c r="B3241" t="s">
        <v>47</v>
      </c>
      <c r="C3241">
        <v>7</v>
      </c>
      <c r="D3241" t="s">
        <v>442</v>
      </c>
      <c r="E3241" s="217">
        <v>45170</v>
      </c>
      <c r="F3241">
        <v>34807.53</v>
      </c>
      <c r="G3241" t="s">
        <v>253</v>
      </c>
    </row>
    <row r="3242" spans="1:7">
      <c r="A3242" s="216">
        <v>45170</v>
      </c>
      <c r="B3242" t="s">
        <v>47</v>
      </c>
      <c r="C3242">
        <v>7</v>
      </c>
      <c r="D3242" t="s">
        <v>442</v>
      </c>
      <c r="E3242" s="217">
        <v>45170</v>
      </c>
      <c r="F3242">
        <v>33685.35</v>
      </c>
      <c r="G3242" t="s">
        <v>254</v>
      </c>
    </row>
    <row r="3243" spans="1:7">
      <c r="A3243" s="216">
        <v>45170</v>
      </c>
      <c r="B3243" t="s">
        <v>47</v>
      </c>
      <c r="C3243">
        <v>7</v>
      </c>
      <c r="D3243" t="s">
        <v>442</v>
      </c>
      <c r="E3243" s="217">
        <v>45170</v>
      </c>
      <c r="F3243">
        <v>32952.769999999997</v>
      </c>
      <c r="G3243" t="s">
        <v>255</v>
      </c>
    </row>
    <row r="3244" spans="1:7">
      <c r="A3244" s="216">
        <v>45170</v>
      </c>
      <c r="B3244" t="s">
        <v>47</v>
      </c>
      <c r="C3244">
        <v>7</v>
      </c>
      <c r="D3244" t="s">
        <v>442</v>
      </c>
      <c r="E3244" s="217">
        <v>45170</v>
      </c>
      <c r="F3244">
        <v>32644</v>
      </c>
      <c r="G3244" t="s">
        <v>256</v>
      </c>
    </row>
    <row r="3245" spans="1:7">
      <c r="A3245" s="216">
        <v>45170</v>
      </c>
      <c r="B3245" t="s">
        <v>47</v>
      </c>
      <c r="C3245">
        <v>7</v>
      </c>
      <c r="D3245" t="s">
        <v>442</v>
      </c>
      <c r="E3245" s="217">
        <v>45170</v>
      </c>
      <c r="F3245">
        <v>32620.74</v>
      </c>
      <c r="G3245" t="s">
        <v>257</v>
      </c>
    </row>
    <row r="3246" spans="1:7">
      <c r="A3246" s="216">
        <v>45170</v>
      </c>
      <c r="B3246" t="s">
        <v>47</v>
      </c>
      <c r="C3246">
        <v>7</v>
      </c>
      <c r="D3246" t="s">
        <v>442</v>
      </c>
      <c r="E3246" s="217">
        <v>45170</v>
      </c>
      <c r="F3246">
        <v>32597.97</v>
      </c>
      <c r="G3246" t="s">
        <v>258</v>
      </c>
    </row>
    <row r="3247" spans="1:7">
      <c r="A3247" s="216">
        <v>45170</v>
      </c>
      <c r="B3247" t="s">
        <v>47</v>
      </c>
      <c r="C3247">
        <v>7</v>
      </c>
      <c r="D3247" t="s">
        <v>442</v>
      </c>
      <c r="E3247" s="217">
        <v>45170</v>
      </c>
      <c r="F3247">
        <v>32597.97</v>
      </c>
      <c r="G3247" t="s">
        <v>259</v>
      </c>
    </row>
    <row r="3248" spans="1:7">
      <c r="A3248" s="216">
        <v>45170</v>
      </c>
      <c r="B3248" t="s">
        <v>47</v>
      </c>
      <c r="C3248">
        <v>7</v>
      </c>
      <c r="D3248" t="s">
        <v>442</v>
      </c>
      <c r="E3248" s="217">
        <v>45170</v>
      </c>
      <c r="F3248">
        <v>32597.97</v>
      </c>
      <c r="G3248" t="s">
        <v>260</v>
      </c>
    </row>
    <row r="3249" spans="1:7">
      <c r="A3249" s="216">
        <v>45170</v>
      </c>
      <c r="B3249" t="s">
        <v>47</v>
      </c>
      <c r="C3249">
        <v>7</v>
      </c>
      <c r="D3249" t="s">
        <v>442</v>
      </c>
      <c r="E3249" s="217">
        <v>45170</v>
      </c>
      <c r="F3249">
        <v>32588.85</v>
      </c>
      <c r="G3249" t="s">
        <v>261</v>
      </c>
    </row>
    <row r="3250" spans="1:7">
      <c r="A3250" s="216">
        <v>45170</v>
      </c>
      <c r="B3250" t="s">
        <v>47</v>
      </c>
      <c r="C3250">
        <v>7</v>
      </c>
      <c r="D3250" t="s">
        <v>442</v>
      </c>
      <c r="E3250" s="217">
        <v>45170</v>
      </c>
      <c r="F3250">
        <v>33752.879999999997</v>
      </c>
      <c r="G3250" t="s">
        <v>262</v>
      </c>
    </row>
    <row r="3251" spans="1:7">
      <c r="A3251" s="216">
        <v>45170</v>
      </c>
      <c r="B3251" t="s">
        <v>47</v>
      </c>
      <c r="C3251">
        <v>7</v>
      </c>
      <c r="D3251" t="s">
        <v>442</v>
      </c>
      <c r="E3251" s="217">
        <v>45170</v>
      </c>
      <c r="F3251">
        <v>395093.24</v>
      </c>
      <c r="G3251" t="s">
        <v>434</v>
      </c>
    </row>
    <row r="3252" spans="1:7">
      <c r="A3252" s="216">
        <v>45170</v>
      </c>
      <c r="B3252" t="s">
        <v>47</v>
      </c>
      <c r="C3252">
        <v>8</v>
      </c>
      <c r="D3252" t="s">
        <v>451</v>
      </c>
      <c r="E3252" s="217">
        <v>45170</v>
      </c>
      <c r="F3252">
        <v>3524.86</v>
      </c>
      <c r="G3252" t="s">
        <v>251</v>
      </c>
    </row>
    <row r="3253" spans="1:7">
      <c r="A3253" s="216">
        <v>45170</v>
      </c>
      <c r="B3253" t="s">
        <v>47</v>
      </c>
      <c r="C3253">
        <v>8</v>
      </c>
      <c r="D3253" t="s">
        <v>451</v>
      </c>
      <c r="E3253" s="217">
        <v>45170</v>
      </c>
      <c r="F3253">
        <v>3649.46</v>
      </c>
      <c r="G3253" t="s">
        <v>252</v>
      </c>
    </row>
    <row r="3254" spans="1:7">
      <c r="A3254" s="216">
        <v>45170</v>
      </c>
      <c r="B3254" t="s">
        <v>47</v>
      </c>
      <c r="C3254">
        <v>8</v>
      </c>
      <c r="D3254" t="s">
        <v>451</v>
      </c>
      <c r="E3254" s="217">
        <v>45170</v>
      </c>
      <c r="F3254">
        <v>3573.81</v>
      </c>
      <c r="G3254" t="s">
        <v>253</v>
      </c>
    </row>
    <row r="3255" spans="1:7">
      <c r="A3255" s="216">
        <v>45170</v>
      </c>
      <c r="B3255" t="s">
        <v>47</v>
      </c>
      <c r="C3255">
        <v>8</v>
      </c>
      <c r="D3255" t="s">
        <v>451</v>
      </c>
      <c r="E3255" s="217">
        <v>45170</v>
      </c>
      <c r="F3255">
        <v>3632.02</v>
      </c>
      <c r="G3255" t="s">
        <v>254</v>
      </c>
    </row>
    <row r="3256" spans="1:7">
      <c r="A3256" s="216">
        <v>45170</v>
      </c>
      <c r="B3256" t="s">
        <v>47</v>
      </c>
      <c r="C3256">
        <v>8</v>
      </c>
      <c r="D3256" t="s">
        <v>451</v>
      </c>
      <c r="E3256" s="217">
        <v>45170</v>
      </c>
      <c r="F3256">
        <v>3612.46</v>
      </c>
      <c r="G3256" t="s">
        <v>255</v>
      </c>
    </row>
    <row r="3257" spans="1:7">
      <c r="A3257" s="216">
        <v>45170</v>
      </c>
      <c r="B3257" t="s">
        <v>47</v>
      </c>
      <c r="C3257">
        <v>8</v>
      </c>
      <c r="D3257" t="s">
        <v>451</v>
      </c>
      <c r="E3257" s="217">
        <v>45170</v>
      </c>
      <c r="F3257">
        <v>3611.05</v>
      </c>
      <c r="G3257" t="s">
        <v>256</v>
      </c>
    </row>
    <row r="3258" spans="1:7">
      <c r="A3258" s="216">
        <v>45170</v>
      </c>
      <c r="B3258" t="s">
        <v>47</v>
      </c>
      <c r="C3258">
        <v>8</v>
      </c>
      <c r="D3258" t="s">
        <v>451</v>
      </c>
      <c r="E3258" s="217">
        <v>45170</v>
      </c>
      <c r="F3258">
        <v>3600.6</v>
      </c>
      <c r="G3258" t="s">
        <v>257</v>
      </c>
    </row>
    <row r="3259" spans="1:7">
      <c r="A3259" s="216">
        <v>45170</v>
      </c>
      <c r="B3259" t="s">
        <v>47</v>
      </c>
      <c r="C3259">
        <v>8</v>
      </c>
      <c r="D3259" t="s">
        <v>451</v>
      </c>
      <c r="E3259" s="217">
        <v>45170</v>
      </c>
      <c r="F3259">
        <v>3600.6</v>
      </c>
      <c r="G3259" t="s">
        <v>258</v>
      </c>
    </row>
    <row r="3260" spans="1:7">
      <c r="A3260" s="216">
        <v>45170</v>
      </c>
      <c r="B3260" t="s">
        <v>47</v>
      </c>
      <c r="C3260">
        <v>8</v>
      </c>
      <c r="D3260" t="s">
        <v>451</v>
      </c>
      <c r="E3260" s="217">
        <v>45170</v>
      </c>
      <c r="F3260">
        <v>3600.6</v>
      </c>
      <c r="G3260" t="s">
        <v>259</v>
      </c>
    </row>
    <row r="3261" spans="1:7">
      <c r="A3261" s="216">
        <v>45170</v>
      </c>
      <c r="B3261" t="s">
        <v>47</v>
      </c>
      <c r="C3261">
        <v>8</v>
      </c>
      <c r="D3261" t="s">
        <v>451</v>
      </c>
      <c r="E3261" s="217">
        <v>45170</v>
      </c>
      <c r="F3261">
        <v>3600.6</v>
      </c>
      <c r="G3261" t="s">
        <v>260</v>
      </c>
    </row>
    <row r="3262" spans="1:7">
      <c r="A3262" s="216">
        <v>45170</v>
      </c>
      <c r="B3262" t="s">
        <v>47</v>
      </c>
      <c r="C3262">
        <v>8</v>
      </c>
      <c r="D3262" t="s">
        <v>451</v>
      </c>
      <c r="E3262" s="217">
        <v>45170</v>
      </c>
      <c r="F3262">
        <v>3600.6</v>
      </c>
      <c r="G3262" t="s">
        <v>261</v>
      </c>
    </row>
    <row r="3263" spans="1:7">
      <c r="A3263" s="216">
        <v>45170</v>
      </c>
      <c r="B3263" t="s">
        <v>47</v>
      </c>
      <c r="C3263">
        <v>8</v>
      </c>
      <c r="D3263" t="s">
        <v>451</v>
      </c>
      <c r="E3263" s="217">
        <v>45170</v>
      </c>
      <c r="F3263">
        <v>3600.21</v>
      </c>
      <c r="G3263" t="s">
        <v>262</v>
      </c>
    </row>
    <row r="3264" spans="1:7">
      <c r="A3264" s="216">
        <v>45170</v>
      </c>
      <c r="B3264" t="s">
        <v>47</v>
      </c>
      <c r="C3264">
        <v>8</v>
      </c>
      <c r="D3264" t="s">
        <v>451</v>
      </c>
      <c r="E3264" s="217">
        <v>45170</v>
      </c>
      <c r="F3264">
        <v>43206.87</v>
      </c>
      <c r="G3264" t="s">
        <v>434</v>
      </c>
    </row>
    <row r="3265" spans="1:7">
      <c r="A3265" s="216">
        <v>45170</v>
      </c>
      <c r="B3265" t="s">
        <v>47</v>
      </c>
      <c r="C3265">
        <v>9</v>
      </c>
      <c r="D3265" t="s">
        <v>450</v>
      </c>
      <c r="E3265" s="217">
        <v>45170</v>
      </c>
      <c r="F3265">
        <v>2878.05</v>
      </c>
      <c r="G3265" t="s">
        <v>251</v>
      </c>
    </row>
    <row r="3266" spans="1:7">
      <c r="A3266" s="216">
        <v>45170</v>
      </c>
      <c r="B3266" t="s">
        <v>47</v>
      </c>
      <c r="C3266">
        <v>9</v>
      </c>
      <c r="D3266" t="s">
        <v>450</v>
      </c>
      <c r="E3266" s="217">
        <v>45170</v>
      </c>
      <c r="F3266">
        <v>2878.5</v>
      </c>
      <c r="G3266" t="s">
        <v>252</v>
      </c>
    </row>
    <row r="3267" spans="1:7">
      <c r="A3267" s="216">
        <v>45170</v>
      </c>
      <c r="B3267" t="s">
        <v>47</v>
      </c>
      <c r="C3267">
        <v>9</v>
      </c>
      <c r="D3267" t="s">
        <v>450</v>
      </c>
      <c r="E3267" s="217">
        <v>45170</v>
      </c>
      <c r="F3267">
        <v>3097.88</v>
      </c>
      <c r="G3267" t="s">
        <v>253</v>
      </c>
    </row>
    <row r="3268" spans="1:7">
      <c r="A3268" s="216">
        <v>45170</v>
      </c>
      <c r="B3268" t="s">
        <v>47</v>
      </c>
      <c r="C3268">
        <v>9</v>
      </c>
      <c r="D3268" t="s">
        <v>450</v>
      </c>
      <c r="E3268" s="217">
        <v>45170</v>
      </c>
      <c r="F3268">
        <v>2955.04</v>
      </c>
      <c r="G3268" t="s">
        <v>254</v>
      </c>
    </row>
    <row r="3269" spans="1:7">
      <c r="A3269" s="216">
        <v>45170</v>
      </c>
      <c r="B3269" t="s">
        <v>47</v>
      </c>
      <c r="C3269">
        <v>9</v>
      </c>
      <c r="D3269" t="s">
        <v>450</v>
      </c>
      <c r="E3269" s="217">
        <v>45170</v>
      </c>
      <c r="F3269">
        <v>3165.03</v>
      </c>
      <c r="G3269" t="s">
        <v>255</v>
      </c>
    </row>
    <row r="3270" spans="1:7">
      <c r="A3270" s="216">
        <v>45170</v>
      </c>
      <c r="B3270" t="s">
        <v>47</v>
      </c>
      <c r="C3270">
        <v>9</v>
      </c>
      <c r="D3270" t="s">
        <v>450</v>
      </c>
      <c r="E3270" s="217">
        <v>45170</v>
      </c>
      <c r="F3270">
        <v>2894.9</v>
      </c>
      <c r="G3270" t="s">
        <v>256</v>
      </c>
    </row>
    <row r="3271" spans="1:7">
      <c r="A3271" s="216">
        <v>45170</v>
      </c>
      <c r="B3271" t="s">
        <v>47</v>
      </c>
      <c r="C3271">
        <v>9</v>
      </c>
      <c r="D3271" t="s">
        <v>450</v>
      </c>
      <c r="E3271" s="217">
        <v>45170</v>
      </c>
      <c r="F3271">
        <v>2956.86</v>
      </c>
      <c r="G3271" t="s">
        <v>257</v>
      </c>
    </row>
    <row r="3272" spans="1:7">
      <c r="A3272" s="216">
        <v>45170</v>
      </c>
      <c r="B3272" t="s">
        <v>47</v>
      </c>
      <c r="C3272">
        <v>9</v>
      </c>
      <c r="D3272" t="s">
        <v>450</v>
      </c>
      <c r="E3272" s="217">
        <v>45170</v>
      </c>
      <c r="F3272">
        <v>2956.86</v>
      </c>
      <c r="G3272" t="s">
        <v>258</v>
      </c>
    </row>
    <row r="3273" spans="1:7">
      <c r="A3273" s="216">
        <v>45170</v>
      </c>
      <c r="B3273" t="s">
        <v>47</v>
      </c>
      <c r="C3273">
        <v>9</v>
      </c>
      <c r="D3273" t="s">
        <v>450</v>
      </c>
      <c r="E3273" s="217">
        <v>45170</v>
      </c>
      <c r="F3273">
        <v>2956.86</v>
      </c>
      <c r="G3273" t="s">
        <v>259</v>
      </c>
    </row>
    <row r="3274" spans="1:7">
      <c r="A3274" s="216">
        <v>45170</v>
      </c>
      <c r="B3274" t="s">
        <v>47</v>
      </c>
      <c r="C3274">
        <v>9</v>
      </c>
      <c r="D3274" t="s">
        <v>450</v>
      </c>
      <c r="E3274" s="217">
        <v>45170</v>
      </c>
      <c r="F3274">
        <v>2956.86</v>
      </c>
      <c r="G3274" t="s">
        <v>260</v>
      </c>
    </row>
    <row r="3275" spans="1:7">
      <c r="A3275" s="216">
        <v>45170</v>
      </c>
      <c r="B3275" t="s">
        <v>47</v>
      </c>
      <c r="C3275">
        <v>9</v>
      </c>
      <c r="D3275" t="s">
        <v>450</v>
      </c>
      <c r="E3275" s="217">
        <v>45170</v>
      </c>
      <c r="F3275">
        <v>2956.86</v>
      </c>
      <c r="G3275" t="s">
        <v>261</v>
      </c>
    </row>
    <row r="3276" spans="1:7">
      <c r="A3276" s="216">
        <v>45170</v>
      </c>
      <c r="B3276" t="s">
        <v>47</v>
      </c>
      <c r="C3276">
        <v>9</v>
      </c>
      <c r="D3276" t="s">
        <v>450</v>
      </c>
      <c r="E3276" s="217">
        <v>45170</v>
      </c>
      <c r="F3276">
        <v>2956.84</v>
      </c>
      <c r="G3276" t="s">
        <v>262</v>
      </c>
    </row>
    <row r="3277" spans="1:7">
      <c r="A3277" s="216">
        <v>45170</v>
      </c>
      <c r="B3277" t="s">
        <v>47</v>
      </c>
      <c r="C3277">
        <v>9</v>
      </c>
      <c r="D3277" t="s">
        <v>450</v>
      </c>
      <c r="E3277" s="217">
        <v>45170</v>
      </c>
      <c r="F3277">
        <v>35610.54</v>
      </c>
      <c r="G3277" t="s">
        <v>434</v>
      </c>
    </row>
    <row r="3278" spans="1:7">
      <c r="A3278" s="216">
        <v>45170</v>
      </c>
      <c r="B3278" t="s">
        <v>47</v>
      </c>
      <c r="C3278">
        <v>10</v>
      </c>
      <c r="D3278" t="s">
        <v>433</v>
      </c>
      <c r="E3278" s="217">
        <v>45170</v>
      </c>
      <c r="F3278">
        <v>8286.8799999999992</v>
      </c>
      <c r="G3278" t="s">
        <v>251</v>
      </c>
    </row>
    <row r="3279" spans="1:7">
      <c r="A3279" s="216">
        <v>45170</v>
      </c>
      <c r="B3279" t="s">
        <v>47</v>
      </c>
      <c r="C3279">
        <v>10</v>
      </c>
      <c r="D3279" t="s">
        <v>433</v>
      </c>
      <c r="E3279" s="217">
        <v>45170</v>
      </c>
      <c r="F3279">
        <v>8651.42</v>
      </c>
      <c r="G3279" t="s">
        <v>252</v>
      </c>
    </row>
    <row r="3280" spans="1:7">
      <c r="A3280" s="216">
        <v>45170</v>
      </c>
      <c r="B3280" t="s">
        <v>47</v>
      </c>
      <c r="C3280">
        <v>10</v>
      </c>
      <c r="D3280" t="s">
        <v>433</v>
      </c>
      <c r="E3280" s="217">
        <v>45170</v>
      </c>
      <c r="F3280">
        <v>10455.379999999999</v>
      </c>
      <c r="G3280" t="s">
        <v>253</v>
      </c>
    </row>
    <row r="3281" spans="1:7">
      <c r="A3281" s="216">
        <v>45170</v>
      </c>
      <c r="B3281" t="s">
        <v>47</v>
      </c>
      <c r="C3281">
        <v>10</v>
      </c>
      <c r="D3281" t="s">
        <v>433</v>
      </c>
      <c r="E3281" s="217">
        <v>45170</v>
      </c>
      <c r="F3281">
        <v>9815.84</v>
      </c>
      <c r="G3281" t="s">
        <v>254</v>
      </c>
    </row>
    <row r="3282" spans="1:7">
      <c r="A3282" s="216">
        <v>45170</v>
      </c>
      <c r="B3282" t="s">
        <v>47</v>
      </c>
      <c r="C3282">
        <v>10</v>
      </c>
      <c r="D3282" t="s">
        <v>433</v>
      </c>
      <c r="E3282" s="217">
        <v>45170</v>
      </c>
      <c r="F3282">
        <v>8663.2000000000007</v>
      </c>
      <c r="G3282" t="s">
        <v>255</v>
      </c>
    </row>
    <row r="3283" spans="1:7">
      <c r="A3283" s="216">
        <v>45170</v>
      </c>
      <c r="B3283" t="s">
        <v>47</v>
      </c>
      <c r="C3283">
        <v>10</v>
      </c>
      <c r="D3283" t="s">
        <v>433</v>
      </c>
      <c r="E3283" s="217">
        <v>45170</v>
      </c>
      <c r="F3283">
        <v>8666.06</v>
      </c>
      <c r="G3283" t="s">
        <v>256</v>
      </c>
    </row>
    <row r="3284" spans="1:7">
      <c r="A3284" s="216">
        <v>45170</v>
      </c>
      <c r="B3284" t="s">
        <v>47</v>
      </c>
      <c r="C3284">
        <v>10</v>
      </c>
      <c r="D3284" t="s">
        <v>433</v>
      </c>
      <c r="E3284" s="217">
        <v>45170</v>
      </c>
      <c r="F3284">
        <v>8873.26</v>
      </c>
      <c r="G3284" t="s">
        <v>257</v>
      </c>
    </row>
    <row r="3285" spans="1:7">
      <c r="A3285" s="216">
        <v>45170</v>
      </c>
      <c r="B3285" t="s">
        <v>47</v>
      </c>
      <c r="C3285">
        <v>10</v>
      </c>
      <c r="D3285" t="s">
        <v>433</v>
      </c>
      <c r="E3285" s="217">
        <v>45170</v>
      </c>
      <c r="F3285">
        <v>8850.5</v>
      </c>
      <c r="G3285" t="s">
        <v>258</v>
      </c>
    </row>
    <row r="3286" spans="1:7">
      <c r="A3286" s="216">
        <v>45170</v>
      </c>
      <c r="B3286" t="s">
        <v>47</v>
      </c>
      <c r="C3286">
        <v>10</v>
      </c>
      <c r="D3286" t="s">
        <v>433</v>
      </c>
      <c r="E3286" s="217">
        <v>45170</v>
      </c>
      <c r="F3286">
        <v>8850.5</v>
      </c>
      <c r="G3286" t="s">
        <v>259</v>
      </c>
    </row>
    <row r="3287" spans="1:7">
      <c r="A3287" s="216">
        <v>45170</v>
      </c>
      <c r="B3287" t="s">
        <v>47</v>
      </c>
      <c r="C3287">
        <v>10</v>
      </c>
      <c r="D3287" t="s">
        <v>433</v>
      </c>
      <c r="E3287" s="217">
        <v>45170</v>
      </c>
      <c r="F3287">
        <v>8850.49</v>
      </c>
      <c r="G3287" t="s">
        <v>260</v>
      </c>
    </row>
    <row r="3288" spans="1:7">
      <c r="A3288" s="216">
        <v>45170</v>
      </c>
      <c r="B3288" t="s">
        <v>47</v>
      </c>
      <c r="C3288">
        <v>10</v>
      </c>
      <c r="D3288" t="s">
        <v>433</v>
      </c>
      <c r="E3288" s="217">
        <v>45170</v>
      </c>
      <c r="F3288">
        <v>8841.3799999999992</v>
      </c>
      <c r="G3288" t="s">
        <v>261</v>
      </c>
    </row>
    <row r="3289" spans="1:7">
      <c r="A3289" s="216">
        <v>45170</v>
      </c>
      <c r="B3289" t="s">
        <v>47</v>
      </c>
      <c r="C3289">
        <v>10</v>
      </c>
      <c r="D3289" t="s">
        <v>433</v>
      </c>
      <c r="E3289" s="217">
        <v>45170</v>
      </c>
      <c r="F3289">
        <v>9085.3700000000008</v>
      </c>
      <c r="G3289" t="s">
        <v>262</v>
      </c>
    </row>
    <row r="3290" spans="1:7">
      <c r="A3290" s="216">
        <v>45170</v>
      </c>
      <c r="B3290" t="s">
        <v>47</v>
      </c>
      <c r="C3290">
        <v>10</v>
      </c>
      <c r="D3290" t="s">
        <v>433</v>
      </c>
      <c r="E3290" s="217">
        <v>45170</v>
      </c>
      <c r="F3290">
        <v>107890.28</v>
      </c>
      <c r="G3290" t="s">
        <v>434</v>
      </c>
    </row>
    <row r="3291" spans="1:7">
      <c r="A3291" s="216">
        <v>45170</v>
      </c>
      <c r="B3291" t="s">
        <v>47</v>
      </c>
      <c r="C3291">
        <v>11</v>
      </c>
      <c r="D3291" t="s">
        <v>445</v>
      </c>
      <c r="E3291" s="217">
        <v>45170</v>
      </c>
      <c r="F3291">
        <v>2513.5700000000002</v>
      </c>
      <c r="G3291" t="s">
        <v>251</v>
      </c>
    </row>
    <row r="3292" spans="1:7">
      <c r="A3292" s="216">
        <v>45170</v>
      </c>
      <c r="B3292" t="s">
        <v>47</v>
      </c>
      <c r="C3292">
        <v>11</v>
      </c>
      <c r="D3292" t="s">
        <v>445</v>
      </c>
      <c r="E3292" s="217">
        <v>45170</v>
      </c>
      <c r="F3292">
        <v>2581.9699999999998</v>
      </c>
      <c r="G3292" t="s">
        <v>252</v>
      </c>
    </row>
    <row r="3293" spans="1:7">
      <c r="A3293" s="216">
        <v>45170</v>
      </c>
      <c r="B3293" t="s">
        <v>47</v>
      </c>
      <c r="C3293">
        <v>11</v>
      </c>
      <c r="D3293" t="s">
        <v>445</v>
      </c>
      <c r="E3293" s="217">
        <v>45170</v>
      </c>
      <c r="F3293">
        <v>2442.7399999999998</v>
      </c>
      <c r="G3293" t="s">
        <v>253</v>
      </c>
    </row>
    <row r="3294" spans="1:7">
      <c r="A3294" s="216">
        <v>45170</v>
      </c>
      <c r="B3294" t="s">
        <v>47</v>
      </c>
      <c r="C3294">
        <v>11</v>
      </c>
      <c r="D3294" t="s">
        <v>445</v>
      </c>
      <c r="E3294" s="217">
        <v>45170</v>
      </c>
      <c r="F3294">
        <v>1307.73</v>
      </c>
      <c r="G3294" t="s">
        <v>254</v>
      </c>
    </row>
    <row r="3295" spans="1:7">
      <c r="A3295" s="216">
        <v>45170</v>
      </c>
      <c r="B3295" t="s">
        <v>47</v>
      </c>
      <c r="C3295">
        <v>11</v>
      </c>
      <c r="D3295" t="s">
        <v>445</v>
      </c>
      <c r="E3295" s="217">
        <v>45170</v>
      </c>
      <c r="F3295">
        <v>2197.41</v>
      </c>
      <c r="G3295" t="s">
        <v>255</v>
      </c>
    </row>
    <row r="3296" spans="1:7">
      <c r="A3296" s="216">
        <v>45170</v>
      </c>
      <c r="B3296" t="s">
        <v>47</v>
      </c>
      <c r="C3296">
        <v>11</v>
      </c>
      <c r="D3296" t="s">
        <v>445</v>
      </c>
      <c r="E3296" s="217">
        <v>45170</v>
      </c>
      <c r="F3296">
        <v>1603</v>
      </c>
      <c r="G3296" t="s">
        <v>256</v>
      </c>
    </row>
    <row r="3297" spans="1:7">
      <c r="A3297" s="216">
        <v>45170</v>
      </c>
      <c r="B3297" t="s">
        <v>47</v>
      </c>
      <c r="C3297">
        <v>11</v>
      </c>
      <c r="D3297" t="s">
        <v>445</v>
      </c>
      <c r="E3297" s="217">
        <v>45170</v>
      </c>
      <c r="F3297">
        <v>1644.93</v>
      </c>
      <c r="G3297" t="s">
        <v>257</v>
      </c>
    </row>
    <row r="3298" spans="1:7">
      <c r="A3298" s="216">
        <v>45170</v>
      </c>
      <c r="B3298" t="s">
        <v>47</v>
      </c>
      <c r="C3298">
        <v>11</v>
      </c>
      <c r="D3298" t="s">
        <v>445</v>
      </c>
      <c r="E3298" s="217">
        <v>45170</v>
      </c>
      <c r="F3298">
        <v>1644.95</v>
      </c>
      <c r="G3298" t="s">
        <v>258</v>
      </c>
    </row>
    <row r="3299" spans="1:7">
      <c r="A3299" s="216">
        <v>45170</v>
      </c>
      <c r="B3299" t="s">
        <v>47</v>
      </c>
      <c r="C3299">
        <v>11</v>
      </c>
      <c r="D3299" t="s">
        <v>445</v>
      </c>
      <c r="E3299" s="217">
        <v>45170</v>
      </c>
      <c r="F3299">
        <v>1644.95</v>
      </c>
      <c r="G3299" t="s">
        <v>259</v>
      </c>
    </row>
    <row r="3300" spans="1:7">
      <c r="A3300" s="216">
        <v>45170</v>
      </c>
      <c r="B3300" t="s">
        <v>47</v>
      </c>
      <c r="C3300">
        <v>11</v>
      </c>
      <c r="D3300" t="s">
        <v>445</v>
      </c>
      <c r="E3300" s="217">
        <v>45170</v>
      </c>
      <c r="F3300">
        <v>1644.95</v>
      </c>
      <c r="G3300" t="s">
        <v>260</v>
      </c>
    </row>
    <row r="3301" spans="1:7">
      <c r="A3301" s="216">
        <v>45170</v>
      </c>
      <c r="B3301" t="s">
        <v>47</v>
      </c>
      <c r="C3301">
        <v>11</v>
      </c>
      <c r="D3301" t="s">
        <v>445</v>
      </c>
      <c r="E3301" s="217">
        <v>45170</v>
      </c>
      <c r="F3301">
        <v>1644.95</v>
      </c>
      <c r="G3301" t="s">
        <v>261</v>
      </c>
    </row>
    <row r="3302" spans="1:7">
      <c r="A3302" s="216">
        <v>45170</v>
      </c>
      <c r="B3302" t="s">
        <v>47</v>
      </c>
      <c r="C3302">
        <v>11</v>
      </c>
      <c r="D3302" t="s">
        <v>445</v>
      </c>
      <c r="E3302" s="217">
        <v>45170</v>
      </c>
      <c r="F3302">
        <v>2564.88</v>
      </c>
      <c r="G3302" t="s">
        <v>262</v>
      </c>
    </row>
    <row r="3303" spans="1:7">
      <c r="A3303" s="216">
        <v>45170</v>
      </c>
      <c r="B3303" t="s">
        <v>47</v>
      </c>
      <c r="C3303">
        <v>11</v>
      </c>
      <c r="D3303" t="s">
        <v>445</v>
      </c>
      <c r="E3303" s="217">
        <v>45170</v>
      </c>
      <c r="F3303">
        <v>23436.03</v>
      </c>
      <c r="G3303" t="s">
        <v>434</v>
      </c>
    </row>
    <row r="3304" spans="1:7">
      <c r="A3304" s="216">
        <v>45170</v>
      </c>
      <c r="B3304" t="s">
        <v>47</v>
      </c>
      <c r="C3304">
        <v>12</v>
      </c>
      <c r="D3304" t="s">
        <v>454</v>
      </c>
      <c r="E3304" s="217">
        <v>45170</v>
      </c>
      <c r="F3304">
        <v>119.67</v>
      </c>
      <c r="G3304" t="s">
        <v>251</v>
      </c>
    </row>
    <row r="3305" spans="1:7">
      <c r="A3305" s="216">
        <v>45170</v>
      </c>
      <c r="B3305" t="s">
        <v>47</v>
      </c>
      <c r="C3305">
        <v>12</v>
      </c>
      <c r="D3305" t="s">
        <v>454</v>
      </c>
      <c r="E3305" s="217">
        <v>45170</v>
      </c>
      <c r="F3305">
        <v>130.66999999999999</v>
      </c>
      <c r="G3305" t="s">
        <v>252</v>
      </c>
    </row>
    <row r="3306" spans="1:7">
      <c r="A3306" s="216">
        <v>45170</v>
      </c>
      <c r="B3306" t="s">
        <v>47</v>
      </c>
      <c r="C3306">
        <v>12</v>
      </c>
      <c r="D3306" t="s">
        <v>454</v>
      </c>
      <c r="E3306" s="217">
        <v>45170</v>
      </c>
      <c r="F3306">
        <v>108.04</v>
      </c>
      <c r="G3306" t="s">
        <v>253</v>
      </c>
    </row>
    <row r="3307" spans="1:7">
      <c r="A3307" s="216">
        <v>45170</v>
      </c>
      <c r="B3307" t="s">
        <v>47</v>
      </c>
      <c r="C3307">
        <v>12</v>
      </c>
      <c r="D3307" t="s">
        <v>454</v>
      </c>
      <c r="E3307" s="217">
        <v>45170</v>
      </c>
      <c r="F3307">
        <v>119.06</v>
      </c>
      <c r="G3307" t="s">
        <v>254</v>
      </c>
    </row>
    <row r="3308" spans="1:7">
      <c r="A3308" s="216">
        <v>45170</v>
      </c>
      <c r="B3308" t="s">
        <v>47</v>
      </c>
      <c r="C3308">
        <v>12</v>
      </c>
      <c r="D3308" t="s">
        <v>454</v>
      </c>
      <c r="E3308" s="217">
        <v>45170</v>
      </c>
      <c r="F3308">
        <v>104.58</v>
      </c>
      <c r="G3308" t="s">
        <v>255</v>
      </c>
    </row>
    <row r="3309" spans="1:7">
      <c r="A3309" s="216">
        <v>45170</v>
      </c>
      <c r="B3309" t="s">
        <v>47</v>
      </c>
      <c r="C3309">
        <v>12</v>
      </c>
      <c r="D3309" t="s">
        <v>454</v>
      </c>
      <c r="E3309" s="217">
        <v>45170</v>
      </c>
      <c r="F3309">
        <v>134.85</v>
      </c>
      <c r="G3309" t="s">
        <v>256</v>
      </c>
    </row>
    <row r="3310" spans="1:7">
      <c r="A3310" s="216">
        <v>45170</v>
      </c>
      <c r="B3310" t="s">
        <v>47</v>
      </c>
      <c r="C3310">
        <v>12</v>
      </c>
      <c r="D3310" t="s">
        <v>454</v>
      </c>
      <c r="E3310" s="217">
        <v>45170</v>
      </c>
      <c r="F3310">
        <v>119.48</v>
      </c>
      <c r="G3310" t="s">
        <v>257</v>
      </c>
    </row>
    <row r="3311" spans="1:7">
      <c r="A3311" s="216">
        <v>45170</v>
      </c>
      <c r="B3311" t="s">
        <v>47</v>
      </c>
      <c r="C3311">
        <v>12</v>
      </c>
      <c r="D3311" t="s">
        <v>454</v>
      </c>
      <c r="E3311" s="217">
        <v>45170</v>
      </c>
      <c r="F3311">
        <v>119.48</v>
      </c>
      <c r="G3311" t="s">
        <v>258</v>
      </c>
    </row>
    <row r="3312" spans="1:7">
      <c r="A3312" s="216">
        <v>45170</v>
      </c>
      <c r="B3312" t="s">
        <v>47</v>
      </c>
      <c r="C3312">
        <v>12</v>
      </c>
      <c r="D3312" t="s">
        <v>454</v>
      </c>
      <c r="E3312" s="217">
        <v>45170</v>
      </c>
      <c r="F3312">
        <v>119.48</v>
      </c>
      <c r="G3312" t="s">
        <v>259</v>
      </c>
    </row>
    <row r="3313" spans="1:7">
      <c r="A3313" s="216">
        <v>45170</v>
      </c>
      <c r="B3313" t="s">
        <v>47</v>
      </c>
      <c r="C3313">
        <v>12</v>
      </c>
      <c r="D3313" t="s">
        <v>454</v>
      </c>
      <c r="E3313" s="217">
        <v>45170</v>
      </c>
      <c r="F3313">
        <v>119.48</v>
      </c>
      <c r="G3313" t="s">
        <v>260</v>
      </c>
    </row>
    <row r="3314" spans="1:7">
      <c r="A3314" s="216">
        <v>45170</v>
      </c>
      <c r="B3314" t="s">
        <v>47</v>
      </c>
      <c r="C3314">
        <v>12</v>
      </c>
      <c r="D3314" t="s">
        <v>454</v>
      </c>
      <c r="E3314" s="217">
        <v>45170</v>
      </c>
      <c r="F3314">
        <v>119.48</v>
      </c>
      <c r="G3314" t="s">
        <v>261</v>
      </c>
    </row>
    <row r="3315" spans="1:7">
      <c r="A3315" s="216">
        <v>45170</v>
      </c>
      <c r="B3315" t="s">
        <v>47</v>
      </c>
      <c r="C3315">
        <v>12</v>
      </c>
      <c r="D3315" t="s">
        <v>454</v>
      </c>
      <c r="E3315" s="217">
        <v>45170</v>
      </c>
      <c r="F3315">
        <v>119.48</v>
      </c>
      <c r="G3315" t="s">
        <v>262</v>
      </c>
    </row>
    <row r="3316" spans="1:7">
      <c r="A3316" s="216">
        <v>45170</v>
      </c>
      <c r="B3316" t="s">
        <v>47</v>
      </c>
      <c r="C3316">
        <v>12</v>
      </c>
      <c r="D3316" t="s">
        <v>454</v>
      </c>
      <c r="E3316" s="217">
        <v>45170</v>
      </c>
      <c r="F3316">
        <v>1433.75</v>
      </c>
      <c r="G3316" t="s">
        <v>434</v>
      </c>
    </row>
    <row r="3317" spans="1:7">
      <c r="A3317" s="216">
        <v>45170</v>
      </c>
      <c r="B3317" t="s">
        <v>47</v>
      </c>
      <c r="C3317">
        <v>13</v>
      </c>
      <c r="D3317" t="s">
        <v>441</v>
      </c>
      <c r="E3317" s="217">
        <v>45170</v>
      </c>
      <c r="F3317">
        <v>13527.64</v>
      </c>
      <c r="G3317" t="s">
        <v>251</v>
      </c>
    </row>
    <row r="3318" spans="1:7">
      <c r="A3318" s="216">
        <v>45170</v>
      </c>
      <c r="B3318" t="s">
        <v>47</v>
      </c>
      <c r="C3318">
        <v>13</v>
      </c>
      <c r="D3318" t="s">
        <v>441</v>
      </c>
      <c r="E3318" s="217">
        <v>45170</v>
      </c>
      <c r="F3318">
        <v>13297.33</v>
      </c>
      <c r="G3318" t="s">
        <v>252</v>
      </c>
    </row>
    <row r="3319" spans="1:7">
      <c r="A3319" s="216">
        <v>45170</v>
      </c>
      <c r="B3319" t="s">
        <v>47</v>
      </c>
      <c r="C3319">
        <v>13</v>
      </c>
      <c r="D3319" t="s">
        <v>441</v>
      </c>
      <c r="E3319" s="217">
        <v>45170</v>
      </c>
      <c r="F3319">
        <v>13412.49</v>
      </c>
      <c r="G3319" t="s">
        <v>253</v>
      </c>
    </row>
    <row r="3320" spans="1:7">
      <c r="A3320" s="216">
        <v>45170</v>
      </c>
      <c r="B3320" t="s">
        <v>47</v>
      </c>
      <c r="C3320">
        <v>13</v>
      </c>
      <c r="D3320" t="s">
        <v>441</v>
      </c>
      <c r="E3320" s="217">
        <v>45170</v>
      </c>
      <c r="F3320">
        <v>14465.94</v>
      </c>
      <c r="G3320" t="s">
        <v>254</v>
      </c>
    </row>
    <row r="3321" spans="1:7">
      <c r="A3321" s="216">
        <v>45170</v>
      </c>
      <c r="B3321" t="s">
        <v>47</v>
      </c>
      <c r="C3321">
        <v>13</v>
      </c>
      <c r="D3321" t="s">
        <v>441</v>
      </c>
      <c r="E3321" s="217">
        <v>45170</v>
      </c>
      <c r="F3321">
        <v>13705.32</v>
      </c>
      <c r="G3321" t="s">
        <v>255</v>
      </c>
    </row>
    <row r="3322" spans="1:7">
      <c r="A3322" s="216">
        <v>45170</v>
      </c>
      <c r="B3322" t="s">
        <v>47</v>
      </c>
      <c r="C3322">
        <v>13</v>
      </c>
      <c r="D3322" t="s">
        <v>441</v>
      </c>
      <c r="E3322" s="217">
        <v>45170</v>
      </c>
      <c r="F3322">
        <v>14489.62</v>
      </c>
      <c r="G3322" t="s">
        <v>256</v>
      </c>
    </row>
    <row r="3323" spans="1:7">
      <c r="A3323" s="216">
        <v>45170</v>
      </c>
      <c r="B3323" t="s">
        <v>47</v>
      </c>
      <c r="C3323">
        <v>13</v>
      </c>
      <c r="D3323" t="s">
        <v>441</v>
      </c>
      <c r="E3323" s="217">
        <v>45170</v>
      </c>
      <c r="F3323">
        <v>13808.39</v>
      </c>
      <c r="G3323" t="s">
        <v>257</v>
      </c>
    </row>
    <row r="3324" spans="1:7">
      <c r="A3324" s="216">
        <v>45170</v>
      </c>
      <c r="B3324" t="s">
        <v>47</v>
      </c>
      <c r="C3324">
        <v>13</v>
      </c>
      <c r="D3324" t="s">
        <v>441</v>
      </c>
      <c r="E3324" s="217">
        <v>45170</v>
      </c>
      <c r="F3324">
        <v>13808.39</v>
      </c>
      <c r="G3324" t="s">
        <v>258</v>
      </c>
    </row>
    <row r="3325" spans="1:7">
      <c r="A3325" s="216">
        <v>45170</v>
      </c>
      <c r="B3325" t="s">
        <v>47</v>
      </c>
      <c r="C3325">
        <v>13</v>
      </c>
      <c r="D3325" t="s">
        <v>441</v>
      </c>
      <c r="E3325" s="217">
        <v>45170</v>
      </c>
      <c r="F3325">
        <v>13808.39</v>
      </c>
      <c r="G3325" t="s">
        <v>259</v>
      </c>
    </row>
    <row r="3326" spans="1:7">
      <c r="A3326" s="216">
        <v>45170</v>
      </c>
      <c r="B3326" t="s">
        <v>47</v>
      </c>
      <c r="C3326">
        <v>13</v>
      </c>
      <c r="D3326" t="s">
        <v>441</v>
      </c>
      <c r="E3326" s="217">
        <v>45170</v>
      </c>
      <c r="F3326">
        <v>13808.39</v>
      </c>
      <c r="G3326" t="s">
        <v>260</v>
      </c>
    </row>
    <row r="3327" spans="1:7">
      <c r="A3327" s="216">
        <v>45170</v>
      </c>
      <c r="B3327" t="s">
        <v>47</v>
      </c>
      <c r="C3327">
        <v>13</v>
      </c>
      <c r="D3327" t="s">
        <v>441</v>
      </c>
      <c r="E3327" s="217">
        <v>45170</v>
      </c>
      <c r="F3327">
        <v>13808.39</v>
      </c>
      <c r="G3327" t="s">
        <v>261</v>
      </c>
    </row>
    <row r="3328" spans="1:7">
      <c r="A3328" s="216">
        <v>45170</v>
      </c>
      <c r="B3328" t="s">
        <v>47</v>
      </c>
      <c r="C3328">
        <v>13</v>
      </c>
      <c r="D3328" t="s">
        <v>441</v>
      </c>
      <c r="E3328" s="217">
        <v>45170</v>
      </c>
      <c r="F3328">
        <v>13808.6</v>
      </c>
      <c r="G3328" t="s">
        <v>262</v>
      </c>
    </row>
    <row r="3329" spans="1:7">
      <c r="A3329" s="216">
        <v>45170</v>
      </c>
      <c r="B3329" t="s">
        <v>47</v>
      </c>
      <c r="C3329">
        <v>13</v>
      </c>
      <c r="D3329" t="s">
        <v>441</v>
      </c>
      <c r="E3329" s="217">
        <v>45170</v>
      </c>
      <c r="F3329">
        <v>165748.89000000001</v>
      </c>
      <c r="G3329" t="s">
        <v>434</v>
      </c>
    </row>
    <row r="3330" spans="1:7">
      <c r="A3330" s="216">
        <v>45170</v>
      </c>
      <c r="B3330" t="s">
        <v>47</v>
      </c>
      <c r="C3330">
        <v>14</v>
      </c>
      <c r="D3330" t="s">
        <v>447</v>
      </c>
      <c r="E3330" s="217">
        <v>45170</v>
      </c>
      <c r="F3330">
        <v>0</v>
      </c>
      <c r="G3330" t="s">
        <v>251</v>
      </c>
    </row>
    <row r="3331" spans="1:7">
      <c r="A3331" s="216">
        <v>45170</v>
      </c>
      <c r="B3331" t="s">
        <v>47</v>
      </c>
      <c r="C3331">
        <v>14</v>
      </c>
      <c r="D3331" t="s">
        <v>447</v>
      </c>
      <c r="E3331" s="217">
        <v>45170</v>
      </c>
      <c r="F3331">
        <v>0</v>
      </c>
      <c r="G3331" t="s">
        <v>252</v>
      </c>
    </row>
    <row r="3332" spans="1:7">
      <c r="A3332" s="216">
        <v>45170</v>
      </c>
      <c r="B3332" t="s">
        <v>47</v>
      </c>
      <c r="C3332">
        <v>14</v>
      </c>
      <c r="D3332" t="s">
        <v>447</v>
      </c>
      <c r="E3332" s="217">
        <v>45170</v>
      </c>
      <c r="F3332">
        <v>0</v>
      </c>
      <c r="G3332" t="s">
        <v>253</v>
      </c>
    </row>
    <row r="3333" spans="1:7">
      <c r="A3333" s="216">
        <v>45170</v>
      </c>
      <c r="B3333" t="s">
        <v>47</v>
      </c>
      <c r="C3333">
        <v>14</v>
      </c>
      <c r="D3333" t="s">
        <v>447</v>
      </c>
      <c r="E3333" s="217">
        <v>45170</v>
      </c>
      <c r="F3333">
        <v>0</v>
      </c>
      <c r="G3333" t="s">
        <v>254</v>
      </c>
    </row>
    <row r="3334" spans="1:7">
      <c r="A3334" s="216">
        <v>45170</v>
      </c>
      <c r="B3334" t="s">
        <v>47</v>
      </c>
      <c r="C3334">
        <v>14</v>
      </c>
      <c r="D3334" t="s">
        <v>447</v>
      </c>
      <c r="E3334" s="217">
        <v>45170</v>
      </c>
      <c r="F3334">
        <v>0</v>
      </c>
      <c r="G3334" t="s">
        <v>255</v>
      </c>
    </row>
    <row r="3335" spans="1:7">
      <c r="A3335" s="216">
        <v>45170</v>
      </c>
      <c r="B3335" t="s">
        <v>47</v>
      </c>
      <c r="C3335">
        <v>14</v>
      </c>
      <c r="D3335" t="s">
        <v>447</v>
      </c>
      <c r="E3335" s="217">
        <v>45170</v>
      </c>
      <c r="F3335">
        <v>0</v>
      </c>
      <c r="G3335" t="s">
        <v>256</v>
      </c>
    </row>
    <row r="3336" spans="1:7">
      <c r="A3336" s="216">
        <v>45170</v>
      </c>
      <c r="B3336" t="s">
        <v>47</v>
      </c>
      <c r="C3336">
        <v>14</v>
      </c>
      <c r="D3336" t="s">
        <v>447</v>
      </c>
      <c r="E3336" s="217">
        <v>45170</v>
      </c>
      <c r="F3336">
        <v>0</v>
      </c>
      <c r="G3336" t="s">
        <v>257</v>
      </c>
    </row>
    <row r="3337" spans="1:7">
      <c r="A3337" s="216">
        <v>45170</v>
      </c>
      <c r="B3337" t="s">
        <v>47</v>
      </c>
      <c r="C3337">
        <v>14</v>
      </c>
      <c r="D3337" t="s">
        <v>447</v>
      </c>
      <c r="E3337" s="217">
        <v>45170</v>
      </c>
      <c r="F3337">
        <v>0</v>
      </c>
      <c r="G3337" t="s">
        <v>258</v>
      </c>
    </row>
    <row r="3338" spans="1:7">
      <c r="A3338" s="216">
        <v>45170</v>
      </c>
      <c r="B3338" t="s">
        <v>47</v>
      </c>
      <c r="C3338">
        <v>14</v>
      </c>
      <c r="D3338" t="s">
        <v>447</v>
      </c>
      <c r="E3338" s="217">
        <v>45170</v>
      </c>
      <c r="F3338">
        <v>0</v>
      </c>
      <c r="G3338" t="s">
        <v>259</v>
      </c>
    </row>
    <row r="3339" spans="1:7">
      <c r="A3339" s="216">
        <v>45170</v>
      </c>
      <c r="B3339" t="s">
        <v>47</v>
      </c>
      <c r="C3339">
        <v>14</v>
      </c>
      <c r="D3339" t="s">
        <v>447</v>
      </c>
      <c r="E3339" s="217">
        <v>45170</v>
      </c>
      <c r="F3339">
        <v>0</v>
      </c>
      <c r="G3339" t="s">
        <v>260</v>
      </c>
    </row>
    <row r="3340" spans="1:7">
      <c r="A3340" s="216">
        <v>45170</v>
      </c>
      <c r="B3340" t="s">
        <v>47</v>
      </c>
      <c r="C3340">
        <v>14</v>
      </c>
      <c r="D3340" t="s">
        <v>447</v>
      </c>
      <c r="E3340" s="217">
        <v>45170</v>
      </c>
      <c r="F3340">
        <v>0</v>
      </c>
      <c r="G3340" t="s">
        <v>261</v>
      </c>
    </row>
    <row r="3341" spans="1:7">
      <c r="A3341" s="216">
        <v>45170</v>
      </c>
      <c r="B3341" t="s">
        <v>47</v>
      </c>
      <c r="C3341">
        <v>14</v>
      </c>
      <c r="D3341" t="s">
        <v>447</v>
      </c>
      <c r="E3341" s="217">
        <v>45170</v>
      </c>
      <c r="F3341">
        <v>0</v>
      </c>
      <c r="G3341" t="s">
        <v>262</v>
      </c>
    </row>
    <row r="3342" spans="1:7">
      <c r="A3342" s="216">
        <v>45170</v>
      </c>
      <c r="B3342" t="s">
        <v>47</v>
      </c>
      <c r="C3342">
        <v>14</v>
      </c>
      <c r="D3342" t="s">
        <v>447</v>
      </c>
      <c r="E3342" s="217">
        <v>45170</v>
      </c>
      <c r="F3342">
        <v>0</v>
      </c>
      <c r="G3342" t="s">
        <v>434</v>
      </c>
    </row>
    <row r="3343" spans="1:7">
      <c r="A3343" s="216">
        <v>45170</v>
      </c>
      <c r="B3343" t="s">
        <v>47</v>
      </c>
      <c r="C3343">
        <v>15</v>
      </c>
      <c r="D3343" t="s">
        <v>437</v>
      </c>
      <c r="E3343" s="217">
        <v>45170</v>
      </c>
      <c r="F3343">
        <v>2386.4499999999998</v>
      </c>
      <c r="G3343" t="s">
        <v>251</v>
      </c>
    </row>
    <row r="3344" spans="1:7">
      <c r="A3344" s="216">
        <v>45170</v>
      </c>
      <c r="B3344" t="s">
        <v>47</v>
      </c>
      <c r="C3344">
        <v>15</v>
      </c>
      <c r="D3344" t="s">
        <v>437</v>
      </c>
      <c r="E3344" s="217">
        <v>45170</v>
      </c>
      <c r="F3344">
        <v>2396.21</v>
      </c>
      <c r="G3344" t="s">
        <v>252</v>
      </c>
    </row>
    <row r="3345" spans="1:7">
      <c r="A3345" s="216">
        <v>45170</v>
      </c>
      <c r="B3345" t="s">
        <v>47</v>
      </c>
      <c r="C3345">
        <v>15</v>
      </c>
      <c r="D3345" t="s">
        <v>437</v>
      </c>
      <c r="E3345" s="217">
        <v>45170</v>
      </c>
      <c r="F3345">
        <v>2306.64</v>
      </c>
      <c r="G3345" t="s">
        <v>253</v>
      </c>
    </row>
    <row r="3346" spans="1:7">
      <c r="A3346" s="216">
        <v>45170</v>
      </c>
      <c r="B3346" t="s">
        <v>47</v>
      </c>
      <c r="C3346">
        <v>15</v>
      </c>
      <c r="D3346" t="s">
        <v>437</v>
      </c>
      <c r="E3346" s="217">
        <v>45170</v>
      </c>
      <c r="F3346">
        <v>2566.84</v>
      </c>
      <c r="G3346" t="s">
        <v>254</v>
      </c>
    </row>
    <row r="3347" spans="1:7">
      <c r="A3347" s="216">
        <v>45170</v>
      </c>
      <c r="B3347" t="s">
        <v>47</v>
      </c>
      <c r="C3347">
        <v>15</v>
      </c>
      <c r="D3347" t="s">
        <v>437</v>
      </c>
      <c r="E3347" s="217">
        <v>45170</v>
      </c>
      <c r="F3347">
        <v>2478.7199999999998</v>
      </c>
      <c r="G3347" t="s">
        <v>255</v>
      </c>
    </row>
    <row r="3348" spans="1:7">
      <c r="A3348" s="216">
        <v>45170</v>
      </c>
      <c r="B3348" t="s">
        <v>47</v>
      </c>
      <c r="C3348">
        <v>15</v>
      </c>
      <c r="D3348" t="s">
        <v>437</v>
      </c>
      <c r="E3348" s="217">
        <v>45170</v>
      </c>
      <c r="F3348">
        <v>2426.77</v>
      </c>
      <c r="G3348" t="s">
        <v>256</v>
      </c>
    </row>
    <row r="3349" spans="1:7">
      <c r="A3349" s="216">
        <v>45170</v>
      </c>
      <c r="B3349" t="s">
        <v>47</v>
      </c>
      <c r="C3349">
        <v>15</v>
      </c>
      <c r="D3349" t="s">
        <v>437</v>
      </c>
      <c r="E3349" s="217">
        <v>45170</v>
      </c>
      <c r="F3349">
        <v>2459.4299999999998</v>
      </c>
      <c r="G3349" t="s">
        <v>257</v>
      </c>
    </row>
    <row r="3350" spans="1:7">
      <c r="A3350" s="216">
        <v>45170</v>
      </c>
      <c r="B3350" t="s">
        <v>47</v>
      </c>
      <c r="C3350">
        <v>15</v>
      </c>
      <c r="D3350" t="s">
        <v>437</v>
      </c>
      <c r="E3350" s="217">
        <v>45170</v>
      </c>
      <c r="F3350">
        <v>2459.4299999999998</v>
      </c>
      <c r="G3350" t="s">
        <v>258</v>
      </c>
    </row>
    <row r="3351" spans="1:7">
      <c r="A3351" s="216">
        <v>45170</v>
      </c>
      <c r="B3351" t="s">
        <v>47</v>
      </c>
      <c r="C3351">
        <v>15</v>
      </c>
      <c r="D3351" t="s">
        <v>437</v>
      </c>
      <c r="E3351" s="217">
        <v>45170</v>
      </c>
      <c r="F3351">
        <v>2459.4299999999998</v>
      </c>
      <c r="G3351" t="s">
        <v>259</v>
      </c>
    </row>
    <row r="3352" spans="1:7">
      <c r="A3352" s="216">
        <v>45170</v>
      </c>
      <c r="B3352" t="s">
        <v>47</v>
      </c>
      <c r="C3352">
        <v>15</v>
      </c>
      <c r="D3352" t="s">
        <v>437</v>
      </c>
      <c r="E3352" s="217">
        <v>45170</v>
      </c>
      <c r="F3352">
        <v>2459.4299999999998</v>
      </c>
      <c r="G3352" t="s">
        <v>260</v>
      </c>
    </row>
    <row r="3353" spans="1:7">
      <c r="A3353" s="216">
        <v>45170</v>
      </c>
      <c r="B3353" t="s">
        <v>47</v>
      </c>
      <c r="C3353">
        <v>15</v>
      </c>
      <c r="D3353" t="s">
        <v>437</v>
      </c>
      <c r="E3353" s="217">
        <v>45170</v>
      </c>
      <c r="F3353">
        <v>2459.4299999999998</v>
      </c>
      <c r="G3353" t="s">
        <v>261</v>
      </c>
    </row>
    <row r="3354" spans="1:7">
      <c r="A3354" s="216">
        <v>45170</v>
      </c>
      <c r="B3354" t="s">
        <v>47</v>
      </c>
      <c r="C3354">
        <v>15</v>
      </c>
      <c r="D3354" t="s">
        <v>437</v>
      </c>
      <c r="E3354" s="217">
        <v>45170</v>
      </c>
      <c r="F3354">
        <v>2459.48</v>
      </c>
      <c r="G3354" t="s">
        <v>262</v>
      </c>
    </row>
    <row r="3355" spans="1:7">
      <c r="A3355" s="216">
        <v>45170</v>
      </c>
      <c r="B3355" t="s">
        <v>47</v>
      </c>
      <c r="C3355">
        <v>15</v>
      </c>
      <c r="D3355" t="s">
        <v>437</v>
      </c>
      <c r="E3355" s="217">
        <v>45170</v>
      </c>
      <c r="F3355">
        <v>29318.26</v>
      </c>
      <c r="G3355" t="s">
        <v>434</v>
      </c>
    </row>
    <row r="3356" spans="1:7">
      <c r="A3356" s="216">
        <v>45170</v>
      </c>
      <c r="B3356" t="s">
        <v>47</v>
      </c>
      <c r="C3356">
        <v>16</v>
      </c>
      <c r="D3356" t="s">
        <v>449</v>
      </c>
      <c r="E3356" s="217">
        <v>45170</v>
      </c>
      <c r="F3356">
        <v>313.01</v>
      </c>
      <c r="G3356" t="s">
        <v>251</v>
      </c>
    </row>
    <row r="3357" spans="1:7">
      <c r="A3357" s="216">
        <v>45170</v>
      </c>
      <c r="B3357" t="s">
        <v>47</v>
      </c>
      <c r="C3357">
        <v>16</v>
      </c>
      <c r="D3357" t="s">
        <v>449</v>
      </c>
      <c r="E3357" s="217">
        <v>45170</v>
      </c>
      <c r="F3357">
        <v>265.26</v>
      </c>
      <c r="G3357" t="s">
        <v>252</v>
      </c>
    </row>
    <row r="3358" spans="1:7">
      <c r="A3358" s="216">
        <v>45170</v>
      </c>
      <c r="B3358" t="s">
        <v>47</v>
      </c>
      <c r="C3358">
        <v>16</v>
      </c>
      <c r="D3358" t="s">
        <v>449</v>
      </c>
      <c r="E3358" s="217">
        <v>45170</v>
      </c>
      <c r="F3358">
        <v>300.77</v>
      </c>
      <c r="G3358" t="s">
        <v>253</v>
      </c>
    </row>
    <row r="3359" spans="1:7">
      <c r="A3359" s="216">
        <v>45170</v>
      </c>
      <c r="B3359" t="s">
        <v>47</v>
      </c>
      <c r="C3359">
        <v>16</v>
      </c>
      <c r="D3359" t="s">
        <v>449</v>
      </c>
      <c r="E3359" s="217">
        <v>45170</v>
      </c>
      <c r="F3359">
        <v>236.24</v>
      </c>
      <c r="G3359" t="s">
        <v>254</v>
      </c>
    </row>
    <row r="3360" spans="1:7">
      <c r="A3360" s="216">
        <v>45170</v>
      </c>
      <c r="B3360" t="s">
        <v>47</v>
      </c>
      <c r="C3360">
        <v>16</v>
      </c>
      <c r="D3360" t="s">
        <v>449</v>
      </c>
      <c r="E3360" s="217">
        <v>45170</v>
      </c>
      <c r="F3360">
        <v>339.61</v>
      </c>
      <c r="G3360" t="s">
        <v>255</v>
      </c>
    </row>
    <row r="3361" spans="1:7">
      <c r="A3361" s="216">
        <v>45170</v>
      </c>
      <c r="B3361" t="s">
        <v>47</v>
      </c>
      <c r="C3361">
        <v>16</v>
      </c>
      <c r="D3361" t="s">
        <v>449</v>
      </c>
      <c r="E3361" s="217">
        <v>45170</v>
      </c>
      <c r="F3361">
        <v>249.43</v>
      </c>
      <c r="G3361" t="s">
        <v>256</v>
      </c>
    </row>
    <row r="3362" spans="1:7">
      <c r="A3362" s="216">
        <v>45170</v>
      </c>
      <c r="B3362" t="s">
        <v>47</v>
      </c>
      <c r="C3362">
        <v>16</v>
      </c>
      <c r="D3362" t="s">
        <v>449</v>
      </c>
      <c r="E3362" s="217">
        <v>45170</v>
      </c>
      <c r="F3362">
        <v>332.01</v>
      </c>
      <c r="G3362" t="s">
        <v>257</v>
      </c>
    </row>
    <row r="3363" spans="1:7">
      <c r="A3363" s="216">
        <v>45170</v>
      </c>
      <c r="B3363" t="s">
        <v>47</v>
      </c>
      <c r="C3363">
        <v>16</v>
      </c>
      <c r="D3363" t="s">
        <v>449</v>
      </c>
      <c r="E3363" s="217">
        <v>45170</v>
      </c>
      <c r="F3363">
        <v>332.01</v>
      </c>
      <c r="G3363" t="s">
        <v>258</v>
      </c>
    </row>
    <row r="3364" spans="1:7">
      <c r="A3364" s="216">
        <v>45170</v>
      </c>
      <c r="B3364" t="s">
        <v>47</v>
      </c>
      <c r="C3364">
        <v>16</v>
      </c>
      <c r="D3364" t="s">
        <v>449</v>
      </c>
      <c r="E3364" s="217">
        <v>45170</v>
      </c>
      <c r="F3364">
        <v>332.01</v>
      </c>
      <c r="G3364" t="s">
        <v>259</v>
      </c>
    </row>
    <row r="3365" spans="1:7">
      <c r="A3365" s="216">
        <v>45170</v>
      </c>
      <c r="B3365" t="s">
        <v>47</v>
      </c>
      <c r="C3365">
        <v>16</v>
      </c>
      <c r="D3365" t="s">
        <v>449</v>
      </c>
      <c r="E3365" s="217">
        <v>45170</v>
      </c>
      <c r="F3365">
        <v>332.01</v>
      </c>
      <c r="G3365" t="s">
        <v>260</v>
      </c>
    </row>
    <row r="3366" spans="1:7">
      <c r="A3366" s="216">
        <v>45170</v>
      </c>
      <c r="B3366" t="s">
        <v>47</v>
      </c>
      <c r="C3366">
        <v>16</v>
      </c>
      <c r="D3366" t="s">
        <v>449</v>
      </c>
      <c r="E3366" s="217">
        <v>45170</v>
      </c>
      <c r="F3366">
        <v>332.01</v>
      </c>
      <c r="G3366" t="s">
        <v>261</v>
      </c>
    </row>
    <row r="3367" spans="1:7">
      <c r="A3367" s="216">
        <v>45170</v>
      </c>
      <c r="B3367" t="s">
        <v>47</v>
      </c>
      <c r="C3367">
        <v>16</v>
      </c>
      <c r="D3367" t="s">
        <v>449</v>
      </c>
      <c r="E3367" s="217">
        <v>45170</v>
      </c>
      <c r="F3367">
        <v>332.03</v>
      </c>
      <c r="G3367" t="s">
        <v>262</v>
      </c>
    </row>
    <row r="3368" spans="1:7">
      <c r="A3368" s="216">
        <v>45170</v>
      </c>
      <c r="B3368" t="s">
        <v>47</v>
      </c>
      <c r="C3368">
        <v>16</v>
      </c>
      <c r="D3368" t="s">
        <v>449</v>
      </c>
      <c r="E3368" s="217">
        <v>45170</v>
      </c>
      <c r="F3368">
        <v>3696.4</v>
      </c>
      <c r="G3368" t="s">
        <v>434</v>
      </c>
    </row>
    <row r="3369" spans="1:7">
      <c r="A3369" s="216">
        <v>45170</v>
      </c>
      <c r="B3369" t="s">
        <v>47</v>
      </c>
      <c r="C3369">
        <v>17</v>
      </c>
      <c r="D3369" t="s">
        <v>443</v>
      </c>
      <c r="E3369" s="217">
        <v>45170</v>
      </c>
      <c r="F3369">
        <v>681.09</v>
      </c>
      <c r="G3369" t="s">
        <v>251</v>
      </c>
    </row>
    <row r="3370" spans="1:7">
      <c r="A3370" s="216">
        <v>45170</v>
      </c>
      <c r="B3370" t="s">
        <v>47</v>
      </c>
      <c r="C3370">
        <v>17</v>
      </c>
      <c r="D3370" t="s">
        <v>443</v>
      </c>
      <c r="E3370" s="217">
        <v>45170</v>
      </c>
      <c r="F3370">
        <v>665.28</v>
      </c>
      <c r="G3370" t="s">
        <v>252</v>
      </c>
    </row>
    <row r="3371" spans="1:7">
      <c r="A3371" s="216">
        <v>45170</v>
      </c>
      <c r="B3371" t="s">
        <v>47</v>
      </c>
      <c r="C3371">
        <v>17</v>
      </c>
      <c r="D3371" t="s">
        <v>443</v>
      </c>
      <c r="E3371" s="217">
        <v>45170</v>
      </c>
      <c r="F3371">
        <v>830.05</v>
      </c>
      <c r="G3371" t="s">
        <v>253</v>
      </c>
    </row>
    <row r="3372" spans="1:7">
      <c r="A3372" s="216">
        <v>45170</v>
      </c>
      <c r="B3372" t="s">
        <v>47</v>
      </c>
      <c r="C3372">
        <v>17</v>
      </c>
      <c r="D3372" t="s">
        <v>443</v>
      </c>
      <c r="E3372" s="217">
        <v>45170</v>
      </c>
      <c r="F3372">
        <v>894.45</v>
      </c>
      <c r="G3372" t="s">
        <v>254</v>
      </c>
    </row>
    <row r="3373" spans="1:7">
      <c r="A3373" s="216">
        <v>45170</v>
      </c>
      <c r="B3373" t="s">
        <v>47</v>
      </c>
      <c r="C3373">
        <v>17</v>
      </c>
      <c r="D3373" t="s">
        <v>443</v>
      </c>
      <c r="E3373" s="217">
        <v>45170</v>
      </c>
      <c r="F3373">
        <v>805.31</v>
      </c>
      <c r="G3373" t="s">
        <v>255</v>
      </c>
    </row>
    <row r="3374" spans="1:7">
      <c r="A3374" s="216">
        <v>45170</v>
      </c>
      <c r="B3374" t="s">
        <v>47</v>
      </c>
      <c r="C3374">
        <v>17</v>
      </c>
      <c r="D3374" t="s">
        <v>443</v>
      </c>
      <c r="E3374" s="217">
        <v>45170</v>
      </c>
      <c r="F3374">
        <v>805.35</v>
      </c>
      <c r="G3374" t="s">
        <v>256</v>
      </c>
    </row>
    <row r="3375" spans="1:7">
      <c r="A3375" s="216">
        <v>45170</v>
      </c>
      <c r="B3375" t="s">
        <v>47</v>
      </c>
      <c r="C3375">
        <v>17</v>
      </c>
      <c r="D3375" t="s">
        <v>443</v>
      </c>
      <c r="E3375" s="217">
        <v>45170</v>
      </c>
      <c r="F3375">
        <v>805.5</v>
      </c>
      <c r="G3375" t="s">
        <v>257</v>
      </c>
    </row>
    <row r="3376" spans="1:7">
      <c r="A3376" s="216">
        <v>45170</v>
      </c>
      <c r="B3376" t="s">
        <v>47</v>
      </c>
      <c r="C3376">
        <v>17</v>
      </c>
      <c r="D3376" t="s">
        <v>443</v>
      </c>
      <c r="E3376" s="217">
        <v>45170</v>
      </c>
      <c r="F3376">
        <v>805.5</v>
      </c>
      <c r="G3376" t="s">
        <v>258</v>
      </c>
    </row>
    <row r="3377" spans="1:7">
      <c r="A3377" s="216">
        <v>45170</v>
      </c>
      <c r="B3377" t="s">
        <v>47</v>
      </c>
      <c r="C3377">
        <v>17</v>
      </c>
      <c r="D3377" t="s">
        <v>443</v>
      </c>
      <c r="E3377" s="217">
        <v>45170</v>
      </c>
      <c r="F3377">
        <v>805.5</v>
      </c>
      <c r="G3377" t="s">
        <v>259</v>
      </c>
    </row>
    <row r="3378" spans="1:7">
      <c r="A3378" s="216">
        <v>45170</v>
      </c>
      <c r="B3378" t="s">
        <v>47</v>
      </c>
      <c r="C3378">
        <v>17</v>
      </c>
      <c r="D3378" t="s">
        <v>443</v>
      </c>
      <c r="E3378" s="217">
        <v>45170</v>
      </c>
      <c r="F3378">
        <v>805.5</v>
      </c>
      <c r="G3378" t="s">
        <v>260</v>
      </c>
    </row>
    <row r="3379" spans="1:7">
      <c r="A3379" s="216">
        <v>45170</v>
      </c>
      <c r="B3379" t="s">
        <v>47</v>
      </c>
      <c r="C3379">
        <v>17</v>
      </c>
      <c r="D3379" t="s">
        <v>443</v>
      </c>
      <c r="E3379" s="217">
        <v>45170</v>
      </c>
      <c r="F3379">
        <v>805.5</v>
      </c>
      <c r="G3379" t="s">
        <v>261</v>
      </c>
    </row>
    <row r="3380" spans="1:7">
      <c r="A3380" s="216">
        <v>45170</v>
      </c>
      <c r="B3380" t="s">
        <v>47</v>
      </c>
      <c r="C3380">
        <v>17</v>
      </c>
      <c r="D3380" t="s">
        <v>443</v>
      </c>
      <c r="E3380" s="217">
        <v>45170</v>
      </c>
      <c r="F3380">
        <v>805.72</v>
      </c>
      <c r="G3380" t="s">
        <v>262</v>
      </c>
    </row>
    <row r="3381" spans="1:7">
      <c r="A3381" s="216">
        <v>45170</v>
      </c>
      <c r="B3381" t="s">
        <v>47</v>
      </c>
      <c r="C3381">
        <v>17</v>
      </c>
      <c r="D3381" t="s">
        <v>443</v>
      </c>
      <c r="E3381" s="217">
        <v>45170</v>
      </c>
      <c r="F3381">
        <v>9514.75</v>
      </c>
      <c r="G3381" t="s">
        <v>434</v>
      </c>
    </row>
    <row r="3382" spans="1:7">
      <c r="A3382" s="216">
        <v>45170</v>
      </c>
      <c r="B3382" t="s">
        <v>47</v>
      </c>
      <c r="C3382">
        <v>18</v>
      </c>
      <c r="D3382" t="s">
        <v>444</v>
      </c>
      <c r="E3382" s="217">
        <v>45170</v>
      </c>
      <c r="F3382">
        <v>0</v>
      </c>
      <c r="G3382" t="s">
        <v>251</v>
      </c>
    </row>
    <row r="3383" spans="1:7">
      <c r="A3383" s="216">
        <v>45170</v>
      </c>
      <c r="B3383" t="s">
        <v>47</v>
      </c>
      <c r="C3383">
        <v>18</v>
      </c>
      <c r="D3383" t="s">
        <v>444</v>
      </c>
      <c r="E3383" s="217">
        <v>45170</v>
      </c>
      <c r="F3383">
        <v>0</v>
      </c>
      <c r="G3383" t="s">
        <v>252</v>
      </c>
    </row>
    <row r="3384" spans="1:7">
      <c r="A3384" s="216">
        <v>45170</v>
      </c>
      <c r="B3384" t="s">
        <v>47</v>
      </c>
      <c r="C3384">
        <v>18</v>
      </c>
      <c r="D3384" t="s">
        <v>444</v>
      </c>
      <c r="E3384" s="217">
        <v>45170</v>
      </c>
      <c r="F3384">
        <v>0</v>
      </c>
      <c r="G3384" t="s">
        <v>253</v>
      </c>
    </row>
    <row r="3385" spans="1:7">
      <c r="A3385" s="216">
        <v>45170</v>
      </c>
      <c r="B3385" t="s">
        <v>47</v>
      </c>
      <c r="C3385">
        <v>18</v>
      </c>
      <c r="D3385" t="s">
        <v>444</v>
      </c>
      <c r="E3385" s="217">
        <v>45170</v>
      </c>
      <c r="F3385">
        <v>0</v>
      </c>
      <c r="G3385" t="s">
        <v>254</v>
      </c>
    </row>
    <row r="3386" spans="1:7">
      <c r="A3386" s="216">
        <v>45170</v>
      </c>
      <c r="B3386" t="s">
        <v>47</v>
      </c>
      <c r="C3386">
        <v>18</v>
      </c>
      <c r="D3386" t="s">
        <v>444</v>
      </c>
      <c r="E3386" s="217">
        <v>45170</v>
      </c>
      <c r="F3386">
        <v>0</v>
      </c>
      <c r="G3386" t="s">
        <v>255</v>
      </c>
    </row>
    <row r="3387" spans="1:7">
      <c r="A3387" s="216">
        <v>45170</v>
      </c>
      <c r="B3387" t="s">
        <v>47</v>
      </c>
      <c r="C3387">
        <v>18</v>
      </c>
      <c r="D3387" t="s">
        <v>444</v>
      </c>
      <c r="E3387" s="217">
        <v>45170</v>
      </c>
      <c r="F3387">
        <v>0</v>
      </c>
      <c r="G3387" t="s">
        <v>256</v>
      </c>
    </row>
    <row r="3388" spans="1:7">
      <c r="A3388" s="216">
        <v>45170</v>
      </c>
      <c r="B3388" t="s">
        <v>47</v>
      </c>
      <c r="C3388">
        <v>18</v>
      </c>
      <c r="D3388" t="s">
        <v>444</v>
      </c>
      <c r="E3388" s="217">
        <v>45170</v>
      </c>
      <c r="F3388">
        <v>0</v>
      </c>
      <c r="G3388" t="s">
        <v>257</v>
      </c>
    </row>
    <row r="3389" spans="1:7">
      <c r="A3389" s="216">
        <v>45170</v>
      </c>
      <c r="B3389" t="s">
        <v>47</v>
      </c>
      <c r="C3389">
        <v>18</v>
      </c>
      <c r="D3389" t="s">
        <v>444</v>
      </c>
      <c r="E3389" s="217">
        <v>45170</v>
      </c>
      <c r="F3389">
        <v>0</v>
      </c>
      <c r="G3389" t="s">
        <v>258</v>
      </c>
    </row>
    <row r="3390" spans="1:7">
      <c r="A3390" s="216">
        <v>45170</v>
      </c>
      <c r="B3390" t="s">
        <v>47</v>
      </c>
      <c r="C3390">
        <v>18</v>
      </c>
      <c r="D3390" t="s">
        <v>444</v>
      </c>
      <c r="E3390" s="217">
        <v>45170</v>
      </c>
      <c r="F3390">
        <v>0</v>
      </c>
      <c r="G3390" t="s">
        <v>259</v>
      </c>
    </row>
    <row r="3391" spans="1:7">
      <c r="A3391" s="216">
        <v>45170</v>
      </c>
      <c r="B3391" t="s">
        <v>47</v>
      </c>
      <c r="C3391">
        <v>18</v>
      </c>
      <c r="D3391" t="s">
        <v>444</v>
      </c>
      <c r="E3391" s="217">
        <v>45170</v>
      </c>
      <c r="F3391">
        <v>0</v>
      </c>
      <c r="G3391" t="s">
        <v>260</v>
      </c>
    </row>
    <row r="3392" spans="1:7">
      <c r="A3392" s="216">
        <v>45170</v>
      </c>
      <c r="B3392" t="s">
        <v>47</v>
      </c>
      <c r="C3392">
        <v>18</v>
      </c>
      <c r="D3392" t="s">
        <v>444</v>
      </c>
      <c r="E3392" s="217">
        <v>45170</v>
      </c>
      <c r="F3392">
        <v>0</v>
      </c>
      <c r="G3392" t="s">
        <v>261</v>
      </c>
    </row>
    <row r="3393" spans="1:7">
      <c r="A3393" s="216">
        <v>45170</v>
      </c>
      <c r="B3393" t="s">
        <v>47</v>
      </c>
      <c r="C3393">
        <v>18</v>
      </c>
      <c r="D3393" t="s">
        <v>444</v>
      </c>
      <c r="E3393" s="217">
        <v>45170</v>
      </c>
      <c r="F3393">
        <v>0</v>
      </c>
      <c r="G3393" t="s">
        <v>262</v>
      </c>
    </row>
    <row r="3394" spans="1:7">
      <c r="A3394" s="216">
        <v>45170</v>
      </c>
      <c r="B3394" t="s">
        <v>47</v>
      </c>
      <c r="C3394">
        <v>18</v>
      </c>
      <c r="D3394" t="s">
        <v>444</v>
      </c>
      <c r="E3394" s="217">
        <v>45170</v>
      </c>
      <c r="F3394">
        <v>0</v>
      </c>
      <c r="G3394" t="s">
        <v>434</v>
      </c>
    </row>
    <row r="3395" spans="1:7">
      <c r="A3395" s="216">
        <v>45170</v>
      </c>
      <c r="B3395" t="s">
        <v>47</v>
      </c>
      <c r="C3395">
        <v>19</v>
      </c>
      <c r="D3395" t="s">
        <v>440</v>
      </c>
      <c r="E3395" s="217">
        <v>45170</v>
      </c>
      <c r="F3395">
        <v>0</v>
      </c>
      <c r="G3395" t="s">
        <v>251</v>
      </c>
    </row>
    <row r="3396" spans="1:7">
      <c r="A3396" s="216">
        <v>45170</v>
      </c>
      <c r="B3396" t="s">
        <v>47</v>
      </c>
      <c r="C3396">
        <v>19</v>
      </c>
      <c r="D3396" t="s">
        <v>440</v>
      </c>
      <c r="E3396" s="217">
        <v>45170</v>
      </c>
      <c r="F3396">
        <v>0</v>
      </c>
      <c r="G3396" t="s">
        <v>252</v>
      </c>
    </row>
    <row r="3397" spans="1:7">
      <c r="A3397" s="216">
        <v>45170</v>
      </c>
      <c r="B3397" t="s">
        <v>47</v>
      </c>
      <c r="C3397">
        <v>19</v>
      </c>
      <c r="D3397" t="s">
        <v>440</v>
      </c>
      <c r="E3397" s="217">
        <v>45170</v>
      </c>
      <c r="F3397">
        <v>0</v>
      </c>
      <c r="G3397" t="s">
        <v>253</v>
      </c>
    </row>
    <row r="3398" spans="1:7">
      <c r="A3398" s="216">
        <v>45170</v>
      </c>
      <c r="B3398" t="s">
        <v>47</v>
      </c>
      <c r="C3398">
        <v>19</v>
      </c>
      <c r="D3398" t="s">
        <v>440</v>
      </c>
      <c r="E3398" s="217">
        <v>45170</v>
      </c>
      <c r="F3398">
        <v>0</v>
      </c>
      <c r="G3398" t="s">
        <v>254</v>
      </c>
    </row>
    <row r="3399" spans="1:7">
      <c r="A3399" s="216">
        <v>45170</v>
      </c>
      <c r="B3399" t="s">
        <v>47</v>
      </c>
      <c r="C3399">
        <v>19</v>
      </c>
      <c r="D3399" t="s">
        <v>440</v>
      </c>
      <c r="E3399" s="217">
        <v>45170</v>
      </c>
      <c r="F3399">
        <v>0</v>
      </c>
      <c r="G3399" t="s">
        <v>255</v>
      </c>
    </row>
    <row r="3400" spans="1:7">
      <c r="A3400" s="216">
        <v>45170</v>
      </c>
      <c r="B3400" t="s">
        <v>47</v>
      </c>
      <c r="C3400">
        <v>19</v>
      </c>
      <c r="D3400" t="s">
        <v>440</v>
      </c>
      <c r="E3400" s="217">
        <v>45170</v>
      </c>
      <c r="F3400">
        <v>0</v>
      </c>
      <c r="G3400" t="s">
        <v>256</v>
      </c>
    </row>
    <row r="3401" spans="1:7">
      <c r="A3401" s="216">
        <v>45170</v>
      </c>
      <c r="B3401" t="s">
        <v>47</v>
      </c>
      <c r="C3401">
        <v>19</v>
      </c>
      <c r="D3401" t="s">
        <v>440</v>
      </c>
      <c r="E3401" s="217">
        <v>45170</v>
      </c>
      <c r="F3401">
        <v>0</v>
      </c>
      <c r="G3401" t="s">
        <v>257</v>
      </c>
    </row>
    <row r="3402" spans="1:7">
      <c r="A3402" s="216">
        <v>45170</v>
      </c>
      <c r="B3402" t="s">
        <v>47</v>
      </c>
      <c r="C3402">
        <v>19</v>
      </c>
      <c r="D3402" t="s">
        <v>440</v>
      </c>
      <c r="E3402" s="217">
        <v>45170</v>
      </c>
      <c r="F3402">
        <v>0</v>
      </c>
      <c r="G3402" t="s">
        <v>258</v>
      </c>
    </row>
    <row r="3403" spans="1:7">
      <c r="A3403" s="216">
        <v>45170</v>
      </c>
      <c r="B3403" t="s">
        <v>47</v>
      </c>
      <c r="C3403">
        <v>19</v>
      </c>
      <c r="D3403" t="s">
        <v>440</v>
      </c>
      <c r="E3403" s="217">
        <v>45170</v>
      </c>
      <c r="F3403">
        <v>0</v>
      </c>
      <c r="G3403" t="s">
        <v>259</v>
      </c>
    </row>
    <row r="3404" spans="1:7">
      <c r="A3404" s="216">
        <v>45170</v>
      </c>
      <c r="B3404" t="s">
        <v>47</v>
      </c>
      <c r="C3404">
        <v>19</v>
      </c>
      <c r="D3404" t="s">
        <v>440</v>
      </c>
      <c r="E3404" s="217">
        <v>45170</v>
      </c>
      <c r="F3404">
        <v>0</v>
      </c>
      <c r="G3404" t="s">
        <v>260</v>
      </c>
    </row>
    <row r="3405" spans="1:7">
      <c r="A3405" s="216">
        <v>45170</v>
      </c>
      <c r="B3405" t="s">
        <v>47</v>
      </c>
      <c r="C3405">
        <v>19</v>
      </c>
      <c r="D3405" t="s">
        <v>440</v>
      </c>
      <c r="E3405" s="217">
        <v>45170</v>
      </c>
      <c r="F3405">
        <v>0</v>
      </c>
      <c r="G3405" t="s">
        <v>261</v>
      </c>
    </row>
    <row r="3406" spans="1:7">
      <c r="A3406" s="216">
        <v>45170</v>
      </c>
      <c r="B3406" t="s">
        <v>47</v>
      </c>
      <c r="C3406">
        <v>19</v>
      </c>
      <c r="D3406" t="s">
        <v>440</v>
      </c>
      <c r="E3406" s="217">
        <v>45170</v>
      </c>
      <c r="F3406">
        <v>0</v>
      </c>
      <c r="G3406" t="s">
        <v>262</v>
      </c>
    </row>
    <row r="3407" spans="1:7">
      <c r="A3407" s="216">
        <v>45170</v>
      </c>
      <c r="B3407" t="s">
        <v>47</v>
      </c>
      <c r="C3407">
        <v>19</v>
      </c>
      <c r="D3407" t="s">
        <v>440</v>
      </c>
      <c r="E3407" s="217">
        <v>45170</v>
      </c>
      <c r="F3407">
        <v>0</v>
      </c>
      <c r="G3407" t="s">
        <v>434</v>
      </c>
    </row>
    <row r="3408" spans="1:7">
      <c r="A3408" s="216">
        <v>45170</v>
      </c>
      <c r="B3408" t="s">
        <v>47</v>
      </c>
      <c r="C3408">
        <v>20</v>
      </c>
      <c r="D3408" t="s">
        <v>456</v>
      </c>
      <c r="E3408" s="217">
        <v>45170</v>
      </c>
      <c r="F3408">
        <v>0</v>
      </c>
      <c r="G3408" t="s">
        <v>251</v>
      </c>
    </row>
    <row r="3409" spans="1:7">
      <c r="A3409" s="216">
        <v>45170</v>
      </c>
      <c r="B3409" t="s">
        <v>47</v>
      </c>
      <c r="C3409">
        <v>20</v>
      </c>
      <c r="D3409" t="s">
        <v>456</v>
      </c>
      <c r="E3409" s="217">
        <v>45170</v>
      </c>
      <c r="F3409">
        <v>0</v>
      </c>
      <c r="G3409" t="s">
        <v>252</v>
      </c>
    </row>
    <row r="3410" spans="1:7">
      <c r="A3410" s="216">
        <v>45170</v>
      </c>
      <c r="B3410" t="s">
        <v>47</v>
      </c>
      <c r="C3410">
        <v>20</v>
      </c>
      <c r="D3410" t="s">
        <v>456</v>
      </c>
      <c r="E3410" s="217">
        <v>45170</v>
      </c>
      <c r="F3410">
        <v>0</v>
      </c>
      <c r="G3410" t="s">
        <v>253</v>
      </c>
    </row>
    <row r="3411" spans="1:7">
      <c r="A3411" s="216">
        <v>45170</v>
      </c>
      <c r="B3411" t="s">
        <v>47</v>
      </c>
      <c r="C3411">
        <v>20</v>
      </c>
      <c r="D3411" t="s">
        <v>456</v>
      </c>
      <c r="E3411" s="217">
        <v>45170</v>
      </c>
      <c r="F3411">
        <v>0</v>
      </c>
      <c r="G3411" t="s">
        <v>254</v>
      </c>
    </row>
    <row r="3412" spans="1:7">
      <c r="A3412" s="216">
        <v>45170</v>
      </c>
      <c r="B3412" t="s">
        <v>47</v>
      </c>
      <c r="C3412">
        <v>20</v>
      </c>
      <c r="D3412" t="s">
        <v>456</v>
      </c>
      <c r="E3412" s="217">
        <v>45170</v>
      </c>
      <c r="F3412">
        <v>0</v>
      </c>
      <c r="G3412" t="s">
        <v>255</v>
      </c>
    </row>
    <row r="3413" spans="1:7">
      <c r="A3413" s="216">
        <v>45170</v>
      </c>
      <c r="B3413" t="s">
        <v>47</v>
      </c>
      <c r="C3413">
        <v>20</v>
      </c>
      <c r="D3413" t="s">
        <v>456</v>
      </c>
      <c r="E3413" s="217">
        <v>45170</v>
      </c>
      <c r="F3413">
        <v>0</v>
      </c>
      <c r="G3413" t="s">
        <v>256</v>
      </c>
    </row>
    <row r="3414" spans="1:7">
      <c r="A3414" s="216">
        <v>45170</v>
      </c>
      <c r="B3414" t="s">
        <v>47</v>
      </c>
      <c r="C3414">
        <v>20</v>
      </c>
      <c r="D3414" t="s">
        <v>456</v>
      </c>
      <c r="E3414" s="217">
        <v>45170</v>
      </c>
      <c r="F3414">
        <v>0</v>
      </c>
      <c r="G3414" t="s">
        <v>257</v>
      </c>
    </row>
    <row r="3415" spans="1:7">
      <c r="A3415" s="216">
        <v>45170</v>
      </c>
      <c r="B3415" t="s">
        <v>47</v>
      </c>
      <c r="C3415">
        <v>20</v>
      </c>
      <c r="D3415" t="s">
        <v>456</v>
      </c>
      <c r="E3415" s="217">
        <v>45170</v>
      </c>
      <c r="F3415">
        <v>0</v>
      </c>
      <c r="G3415" t="s">
        <v>258</v>
      </c>
    </row>
    <row r="3416" spans="1:7">
      <c r="A3416" s="216">
        <v>45170</v>
      </c>
      <c r="B3416" t="s">
        <v>47</v>
      </c>
      <c r="C3416">
        <v>20</v>
      </c>
      <c r="D3416" t="s">
        <v>456</v>
      </c>
      <c r="E3416" s="217">
        <v>45170</v>
      </c>
      <c r="F3416">
        <v>0</v>
      </c>
      <c r="G3416" t="s">
        <v>259</v>
      </c>
    </row>
    <row r="3417" spans="1:7">
      <c r="A3417" s="216">
        <v>45170</v>
      </c>
      <c r="B3417" t="s">
        <v>47</v>
      </c>
      <c r="C3417">
        <v>20</v>
      </c>
      <c r="D3417" t="s">
        <v>456</v>
      </c>
      <c r="E3417" s="217">
        <v>45170</v>
      </c>
      <c r="F3417">
        <v>0</v>
      </c>
      <c r="G3417" t="s">
        <v>260</v>
      </c>
    </row>
    <row r="3418" spans="1:7">
      <c r="A3418" s="216">
        <v>45170</v>
      </c>
      <c r="B3418" t="s">
        <v>47</v>
      </c>
      <c r="C3418">
        <v>20</v>
      </c>
      <c r="D3418" t="s">
        <v>456</v>
      </c>
      <c r="E3418" s="217">
        <v>45170</v>
      </c>
      <c r="F3418">
        <v>0</v>
      </c>
      <c r="G3418" t="s">
        <v>261</v>
      </c>
    </row>
    <row r="3419" spans="1:7">
      <c r="A3419" s="216">
        <v>45170</v>
      </c>
      <c r="B3419" t="s">
        <v>47</v>
      </c>
      <c r="C3419">
        <v>20</v>
      </c>
      <c r="D3419" t="s">
        <v>456</v>
      </c>
      <c r="E3419" s="217">
        <v>45170</v>
      </c>
      <c r="F3419">
        <v>0</v>
      </c>
      <c r="G3419" t="s">
        <v>262</v>
      </c>
    </row>
    <row r="3420" spans="1:7">
      <c r="A3420" s="216">
        <v>45170</v>
      </c>
      <c r="B3420" t="s">
        <v>47</v>
      </c>
      <c r="C3420">
        <v>20</v>
      </c>
      <c r="D3420" t="s">
        <v>456</v>
      </c>
      <c r="E3420" s="217">
        <v>45170</v>
      </c>
      <c r="F3420">
        <v>0</v>
      </c>
      <c r="G3420" t="s">
        <v>434</v>
      </c>
    </row>
    <row r="3421" spans="1:7">
      <c r="A3421" s="216">
        <v>45170</v>
      </c>
      <c r="B3421" t="s">
        <v>47</v>
      </c>
      <c r="C3421">
        <v>21</v>
      </c>
      <c r="D3421" t="s">
        <v>455</v>
      </c>
      <c r="E3421" s="217">
        <v>45170</v>
      </c>
      <c r="F3421">
        <v>0</v>
      </c>
      <c r="G3421" t="s">
        <v>251</v>
      </c>
    </row>
    <row r="3422" spans="1:7">
      <c r="A3422" s="216">
        <v>45170</v>
      </c>
      <c r="B3422" t="s">
        <v>47</v>
      </c>
      <c r="C3422">
        <v>21</v>
      </c>
      <c r="D3422" t="s">
        <v>455</v>
      </c>
      <c r="E3422" s="217">
        <v>45170</v>
      </c>
      <c r="F3422">
        <v>0</v>
      </c>
      <c r="G3422" t="s">
        <v>252</v>
      </c>
    </row>
    <row r="3423" spans="1:7">
      <c r="A3423" s="216">
        <v>45170</v>
      </c>
      <c r="B3423" t="s">
        <v>47</v>
      </c>
      <c r="C3423">
        <v>21</v>
      </c>
      <c r="D3423" t="s">
        <v>455</v>
      </c>
      <c r="E3423" s="217">
        <v>45170</v>
      </c>
      <c r="F3423">
        <v>0</v>
      </c>
      <c r="G3423" t="s">
        <v>253</v>
      </c>
    </row>
    <row r="3424" spans="1:7">
      <c r="A3424" s="216">
        <v>45170</v>
      </c>
      <c r="B3424" t="s">
        <v>47</v>
      </c>
      <c r="C3424">
        <v>21</v>
      </c>
      <c r="D3424" t="s">
        <v>455</v>
      </c>
      <c r="E3424" s="217">
        <v>45170</v>
      </c>
      <c r="F3424">
        <v>0</v>
      </c>
      <c r="G3424" t="s">
        <v>254</v>
      </c>
    </row>
    <row r="3425" spans="1:7">
      <c r="A3425" s="216">
        <v>45170</v>
      </c>
      <c r="B3425" t="s">
        <v>47</v>
      </c>
      <c r="C3425">
        <v>21</v>
      </c>
      <c r="D3425" t="s">
        <v>455</v>
      </c>
      <c r="E3425" s="217">
        <v>45170</v>
      </c>
      <c r="F3425">
        <v>0</v>
      </c>
      <c r="G3425" t="s">
        <v>255</v>
      </c>
    </row>
    <row r="3426" spans="1:7">
      <c r="A3426" s="216">
        <v>45170</v>
      </c>
      <c r="B3426" t="s">
        <v>47</v>
      </c>
      <c r="C3426">
        <v>21</v>
      </c>
      <c r="D3426" t="s">
        <v>455</v>
      </c>
      <c r="E3426" s="217">
        <v>45170</v>
      </c>
      <c r="F3426">
        <v>0</v>
      </c>
      <c r="G3426" t="s">
        <v>256</v>
      </c>
    </row>
    <row r="3427" spans="1:7">
      <c r="A3427" s="216">
        <v>45170</v>
      </c>
      <c r="B3427" t="s">
        <v>47</v>
      </c>
      <c r="C3427">
        <v>21</v>
      </c>
      <c r="D3427" t="s">
        <v>455</v>
      </c>
      <c r="E3427" s="217">
        <v>45170</v>
      </c>
      <c r="F3427">
        <v>0</v>
      </c>
      <c r="G3427" t="s">
        <v>257</v>
      </c>
    </row>
    <row r="3428" spans="1:7">
      <c r="A3428" s="216">
        <v>45170</v>
      </c>
      <c r="B3428" t="s">
        <v>47</v>
      </c>
      <c r="C3428">
        <v>21</v>
      </c>
      <c r="D3428" t="s">
        <v>455</v>
      </c>
      <c r="E3428" s="217">
        <v>45170</v>
      </c>
      <c r="F3428">
        <v>0</v>
      </c>
      <c r="G3428" t="s">
        <v>258</v>
      </c>
    </row>
    <row r="3429" spans="1:7">
      <c r="A3429" s="216">
        <v>45170</v>
      </c>
      <c r="B3429" t="s">
        <v>47</v>
      </c>
      <c r="C3429">
        <v>21</v>
      </c>
      <c r="D3429" t="s">
        <v>455</v>
      </c>
      <c r="E3429" s="217">
        <v>45170</v>
      </c>
      <c r="F3429">
        <v>0</v>
      </c>
      <c r="G3429" t="s">
        <v>259</v>
      </c>
    </row>
    <row r="3430" spans="1:7">
      <c r="A3430" s="216">
        <v>45170</v>
      </c>
      <c r="B3430" t="s">
        <v>47</v>
      </c>
      <c r="C3430">
        <v>21</v>
      </c>
      <c r="D3430" t="s">
        <v>455</v>
      </c>
      <c r="E3430" s="217">
        <v>45170</v>
      </c>
      <c r="F3430">
        <v>0</v>
      </c>
      <c r="G3430" t="s">
        <v>260</v>
      </c>
    </row>
    <row r="3431" spans="1:7">
      <c r="A3431" s="216">
        <v>45170</v>
      </c>
      <c r="B3431" t="s">
        <v>47</v>
      </c>
      <c r="C3431">
        <v>21</v>
      </c>
      <c r="D3431" t="s">
        <v>455</v>
      </c>
      <c r="E3431" s="217">
        <v>45170</v>
      </c>
      <c r="F3431">
        <v>0</v>
      </c>
      <c r="G3431" t="s">
        <v>261</v>
      </c>
    </row>
    <row r="3432" spans="1:7">
      <c r="A3432" s="216">
        <v>45170</v>
      </c>
      <c r="B3432" t="s">
        <v>47</v>
      </c>
      <c r="C3432">
        <v>21</v>
      </c>
      <c r="D3432" t="s">
        <v>455</v>
      </c>
      <c r="E3432" s="217">
        <v>45170</v>
      </c>
      <c r="F3432">
        <v>0</v>
      </c>
      <c r="G3432" t="s">
        <v>262</v>
      </c>
    </row>
    <row r="3433" spans="1:7">
      <c r="A3433" s="216">
        <v>45170</v>
      </c>
      <c r="B3433" t="s">
        <v>47</v>
      </c>
      <c r="C3433">
        <v>21</v>
      </c>
      <c r="D3433" t="s">
        <v>455</v>
      </c>
      <c r="E3433" s="217">
        <v>45170</v>
      </c>
      <c r="F3433">
        <v>0</v>
      </c>
      <c r="G3433" t="s">
        <v>434</v>
      </c>
    </row>
    <row r="3434" spans="1:7">
      <c r="A3434" s="216">
        <v>45170</v>
      </c>
      <c r="B3434" t="s">
        <v>47</v>
      </c>
      <c r="C3434">
        <v>22</v>
      </c>
      <c r="D3434" t="s">
        <v>439</v>
      </c>
      <c r="E3434" s="217">
        <v>45170</v>
      </c>
      <c r="F3434">
        <v>388.52</v>
      </c>
      <c r="G3434" t="s">
        <v>251</v>
      </c>
    </row>
    <row r="3435" spans="1:7">
      <c r="A3435" s="216">
        <v>45170</v>
      </c>
      <c r="B3435" t="s">
        <v>47</v>
      </c>
      <c r="C3435">
        <v>22</v>
      </c>
      <c r="D3435" t="s">
        <v>439</v>
      </c>
      <c r="E3435" s="217">
        <v>45170</v>
      </c>
      <c r="F3435">
        <v>388.52</v>
      </c>
      <c r="G3435" t="s">
        <v>252</v>
      </c>
    </row>
    <row r="3436" spans="1:7">
      <c r="A3436" s="216">
        <v>45170</v>
      </c>
      <c r="B3436" t="s">
        <v>47</v>
      </c>
      <c r="C3436">
        <v>22</v>
      </c>
      <c r="D3436" t="s">
        <v>439</v>
      </c>
      <c r="E3436" s="217">
        <v>45170</v>
      </c>
      <c r="F3436">
        <v>465.24</v>
      </c>
      <c r="G3436" t="s">
        <v>253</v>
      </c>
    </row>
    <row r="3437" spans="1:7">
      <c r="A3437" s="216">
        <v>45170</v>
      </c>
      <c r="B3437" t="s">
        <v>47</v>
      </c>
      <c r="C3437">
        <v>22</v>
      </c>
      <c r="D3437" t="s">
        <v>439</v>
      </c>
      <c r="E3437" s="217">
        <v>45170</v>
      </c>
      <c r="F3437">
        <v>414.09</v>
      </c>
      <c r="G3437" t="s">
        <v>254</v>
      </c>
    </row>
    <row r="3438" spans="1:7">
      <c r="A3438" s="216">
        <v>45170</v>
      </c>
      <c r="B3438" t="s">
        <v>47</v>
      </c>
      <c r="C3438">
        <v>22</v>
      </c>
      <c r="D3438" t="s">
        <v>439</v>
      </c>
      <c r="E3438" s="217">
        <v>45170</v>
      </c>
      <c r="F3438">
        <v>414.09</v>
      </c>
      <c r="G3438" t="s">
        <v>255</v>
      </c>
    </row>
    <row r="3439" spans="1:7">
      <c r="A3439" s="216">
        <v>45170</v>
      </c>
      <c r="B3439" t="s">
        <v>47</v>
      </c>
      <c r="C3439">
        <v>22</v>
      </c>
      <c r="D3439" t="s">
        <v>439</v>
      </c>
      <c r="E3439" s="217">
        <v>45170</v>
      </c>
      <c r="F3439">
        <v>414.09</v>
      </c>
      <c r="G3439" t="s">
        <v>256</v>
      </c>
    </row>
    <row r="3440" spans="1:7">
      <c r="A3440" s="216">
        <v>45170</v>
      </c>
      <c r="B3440" t="s">
        <v>47</v>
      </c>
      <c r="C3440">
        <v>22</v>
      </c>
      <c r="D3440" t="s">
        <v>439</v>
      </c>
      <c r="E3440" s="217">
        <v>45170</v>
      </c>
      <c r="F3440">
        <v>414.09</v>
      </c>
      <c r="G3440" t="s">
        <v>257</v>
      </c>
    </row>
    <row r="3441" spans="1:7">
      <c r="A3441" s="216">
        <v>45170</v>
      </c>
      <c r="B3441" t="s">
        <v>47</v>
      </c>
      <c r="C3441">
        <v>22</v>
      </c>
      <c r="D3441" t="s">
        <v>439</v>
      </c>
      <c r="E3441" s="217">
        <v>45170</v>
      </c>
      <c r="F3441">
        <v>414.09</v>
      </c>
      <c r="G3441" t="s">
        <v>258</v>
      </c>
    </row>
    <row r="3442" spans="1:7">
      <c r="A3442" s="216">
        <v>45170</v>
      </c>
      <c r="B3442" t="s">
        <v>47</v>
      </c>
      <c r="C3442">
        <v>22</v>
      </c>
      <c r="D3442" t="s">
        <v>439</v>
      </c>
      <c r="E3442" s="217">
        <v>45170</v>
      </c>
      <c r="F3442">
        <v>414.09</v>
      </c>
      <c r="G3442" t="s">
        <v>259</v>
      </c>
    </row>
    <row r="3443" spans="1:7">
      <c r="A3443" s="216">
        <v>45170</v>
      </c>
      <c r="B3443" t="s">
        <v>47</v>
      </c>
      <c r="C3443">
        <v>22</v>
      </c>
      <c r="D3443" t="s">
        <v>439</v>
      </c>
      <c r="E3443" s="217">
        <v>45170</v>
      </c>
      <c r="F3443">
        <v>414.09</v>
      </c>
      <c r="G3443" t="s">
        <v>260</v>
      </c>
    </row>
    <row r="3444" spans="1:7">
      <c r="A3444" s="216">
        <v>45170</v>
      </c>
      <c r="B3444" t="s">
        <v>47</v>
      </c>
      <c r="C3444">
        <v>22</v>
      </c>
      <c r="D3444" t="s">
        <v>439</v>
      </c>
      <c r="E3444" s="217">
        <v>45170</v>
      </c>
      <c r="F3444">
        <v>414.09</v>
      </c>
      <c r="G3444" t="s">
        <v>261</v>
      </c>
    </row>
    <row r="3445" spans="1:7">
      <c r="A3445" s="216">
        <v>45170</v>
      </c>
      <c r="B3445" t="s">
        <v>47</v>
      </c>
      <c r="C3445">
        <v>22</v>
      </c>
      <c r="D3445" t="s">
        <v>439</v>
      </c>
      <c r="E3445" s="217">
        <v>45170</v>
      </c>
      <c r="F3445">
        <v>414.11</v>
      </c>
      <c r="G3445" t="s">
        <v>262</v>
      </c>
    </row>
    <row r="3446" spans="1:7">
      <c r="A3446" s="216">
        <v>45170</v>
      </c>
      <c r="B3446" t="s">
        <v>47</v>
      </c>
      <c r="C3446">
        <v>22</v>
      </c>
      <c r="D3446" t="s">
        <v>439</v>
      </c>
      <c r="E3446" s="217">
        <v>45170</v>
      </c>
      <c r="F3446">
        <v>4969.1099999999997</v>
      </c>
      <c r="G3446" t="s">
        <v>434</v>
      </c>
    </row>
    <row r="3447" spans="1:7">
      <c r="A3447" s="216">
        <v>45170</v>
      </c>
      <c r="B3447" t="s">
        <v>47</v>
      </c>
      <c r="C3447">
        <v>23</v>
      </c>
      <c r="D3447" t="s">
        <v>435</v>
      </c>
      <c r="E3447" s="217">
        <v>45170</v>
      </c>
      <c r="F3447">
        <v>128.9</v>
      </c>
      <c r="G3447" t="s">
        <v>251</v>
      </c>
    </row>
    <row r="3448" spans="1:7">
      <c r="A3448" s="216">
        <v>45170</v>
      </c>
      <c r="B3448" t="s">
        <v>47</v>
      </c>
      <c r="C3448">
        <v>23</v>
      </c>
      <c r="D3448" t="s">
        <v>435</v>
      </c>
      <c r="E3448" s="217">
        <v>45170</v>
      </c>
      <c r="F3448">
        <v>128.9</v>
      </c>
      <c r="G3448" t="s">
        <v>252</v>
      </c>
    </row>
    <row r="3449" spans="1:7">
      <c r="A3449" s="216">
        <v>45170</v>
      </c>
      <c r="B3449" t="s">
        <v>47</v>
      </c>
      <c r="C3449">
        <v>23</v>
      </c>
      <c r="D3449" t="s">
        <v>435</v>
      </c>
      <c r="E3449" s="217">
        <v>45170</v>
      </c>
      <c r="F3449">
        <v>677.65</v>
      </c>
      <c r="G3449" t="s">
        <v>253</v>
      </c>
    </row>
    <row r="3450" spans="1:7">
      <c r="A3450" s="216">
        <v>45170</v>
      </c>
      <c r="B3450" t="s">
        <v>47</v>
      </c>
      <c r="C3450">
        <v>23</v>
      </c>
      <c r="D3450" t="s">
        <v>435</v>
      </c>
      <c r="E3450" s="217">
        <v>45170</v>
      </c>
      <c r="F3450">
        <v>311.81</v>
      </c>
      <c r="G3450" t="s">
        <v>254</v>
      </c>
    </row>
    <row r="3451" spans="1:7">
      <c r="A3451" s="216">
        <v>45170</v>
      </c>
      <c r="B3451" t="s">
        <v>47</v>
      </c>
      <c r="C3451">
        <v>23</v>
      </c>
      <c r="D3451" t="s">
        <v>435</v>
      </c>
      <c r="E3451" s="217">
        <v>45170</v>
      </c>
      <c r="F3451">
        <v>311.81</v>
      </c>
      <c r="G3451" t="s">
        <v>255</v>
      </c>
    </row>
    <row r="3452" spans="1:7">
      <c r="A3452" s="216">
        <v>45170</v>
      </c>
      <c r="B3452" t="s">
        <v>47</v>
      </c>
      <c r="C3452">
        <v>23</v>
      </c>
      <c r="D3452" t="s">
        <v>435</v>
      </c>
      <c r="E3452" s="217">
        <v>45170</v>
      </c>
      <c r="F3452">
        <v>311.81</v>
      </c>
      <c r="G3452" t="s">
        <v>256</v>
      </c>
    </row>
    <row r="3453" spans="1:7">
      <c r="A3453" s="216">
        <v>45170</v>
      </c>
      <c r="B3453" t="s">
        <v>47</v>
      </c>
      <c r="C3453">
        <v>23</v>
      </c>
      <c r="D3453" t="s">
        <v>435</v>
      </c>
      <c r="E3453" s="217">
        <v>45170</v>
      </c>
      <c r="F3453">
        <v>311.81</v>
      </c>
      <c r="G3453" t="s">
        <v>257</v>
      </c>
    </row>
    <row r="3454" spans="1:7">
      <c r="A3454" s="216">
        <v>45170</v>
      </c>
      <c r="B3454" t="s">
        <v>47</v>
      </c>
      <c r="C3454">
        <v>23</v>
      </c>
      <c r="D3454" t="s">
        <v>435</v>
      </c>
      <c r="E3454" s="217">
        <v>45170</v>
      </c>
      <c r="F3454">
        <v>311.81</v>
      </c>
      <c r="G3454" t="s">
        <v>258</v>
      </c>
    </row>
    <row r="3455" spans="1:7">
      <c r="A3455" s="216">
        <v>45170</v>
      </c>
      <c r="B3455" t="s">
        <v>47</v>
      </c>
      <c r="C3455">
        <v>23</v>
      </c>
      <c r="D3455" t="s">
        <v>435</v>
      </c>
      <c r="E3455" s="217">
        <v>45170</v>
      </c>
      <c r="F3455">
        <v>311.81</v>
      </c>
      <c r="G3455" t="s">
        <v>259</v>
      </c>
    </row>
    <row r="3456" spans="1:7">
      <c r="A3456" s="216">
        <v>45170</v>
      </c>
      <c r="B3456" t="s">
        <v>47</v>
      </c>
      <c r="C3456">
        <v>23</v>
      </c>
      <c r="D3456" t="s">
        <v>435</v>
      </c>
      <c r="E3456" s="217">
        <v>45170</v>
      </c>
      <c r="F3456">
        <v>311.81</v>
      </c>
      <c r="G3456" t="s">
        <v>260</v>
      </c>
    </row>
    <row r="3457" spans="1:7">
      <c r="A3457" s="216">
        <v>45170</v>
      </c>
      <c r="B3457" t="s">
        <v>47</v>
      </c>
      <c r="C3457">
        <v>23</v>
      </c>
      <c r="D3457" t="s">
        <v>435</v>
      </c>
      <c r="E3457" s="217">
        <v>45170</v>
      </c>
      <c r="F3457">
        <v>311.81</v>
      </c>
      <c r="G3457" t="s">
        <v>261</v>
      </c>
    </row>
    <row r="3458" spans="1:7">
      <c r="A3458" s="216">
        <v>45170</v>
      </c>
      <c r="B3458" t="s">
        <v>47</v>
      </c>
      <c r="C3458">
        <v>23</v>
      </c>
      <c r="D3458" t="s">
        <v>435</v>
      </c>
      <c r="E3458" s="217">
        <v>45170</v>
      </c>
      <c r="F3458">
        <v>311.82</v>
      </c>
      <c r="G3458" t="s">
        <v>262</v>
      </c>
    </row>
    <row r="3459" spans="1:7">
      <c r="A3459" s="216">
        <v>45170</v>
      </c>
      <c r="B3459" t="s">
        <v>47</v>
      </c>
      <c r="C3459">
        <v>23</v>
      </c>
      <c r="D3459" t="s">
        <v>435</v>
      </c>
      <c r="E3459" s="217">
        <v>45170</v>
      </c>
      <c r="F3459">
        <v>3741.75</v>
      </c>
      <c r="G3459" t="s">
        <v>434</v>
      </c>
    </row>
    <row r="3460" spans="1:7">
      <c r="A3460" s="216">
        <v>45170</v>
      </c>
      <c r="B3460" t="s">
        <v>47</v>
      </c>
      <c r="C3460">
        <v>24</v>
      </c>
      <c r="D3460" t="s">
        <v>457</v>
      </c>
      <c r="E3460" s="217">
        <v>45170</v>
      </c>
      <c r="F3460">
        <v>0</v>
      </c>
      <c r="G3460" t="s">
        <v>251</v>
      </c>
    </row>
    <row r="3461" spans="1:7">
      <c r="A3461" s="216">
        <v>45170</v>
      </c>
      <c r="B3461" t="s">
        <v>47</v>
      </c>
      <c r="C3461">
        <v>24</v>
      </c>
      <c r="D3461" t="s">
        <v>457</v>
      </c>
      <c r="E3461" s="217">
        <v>45170</v>
      </c>
      <c r="F3461">
        <v>0</v>
      </c>
      <c r="G3461" t="s">
        <v>252</v>
      </c>
    </row>
    <row r="3462" spans="1:7">
      <c r="A3462" s="216">
        <v>45170</v>
      </c>
      <c r="B3462" t="s">
        <v>47</v>
      </c>
      <c r="C3462">
        <v>24</v>
      </c>
      <c r="D3462" t="s">
        <v>457</v>
      </c>
      <c r="E3462" s="217">
        <v>45170</v>
      </c>
      <c r="F3462">
        <v>0</v>
      </c>
      <c r="G3462" t="s">
        <v>253</v>
      </c>
    </row>
    <row r="3463" spans="1:7">
      <c r="A3463" s="216">
        <v>45170</v>
      </c>
      <c r="B3463" t="s">
        <v>47</v>
      </c>
      <c r="C3463">
        <v>24</v>
      </c>
      <c r="D3463" t="s">
        <v>457</v>
      </c>
      <c r="E3463" s="217">
        <v>45170</v>
      </c>
      <c r="F3463">
        <v>0</v>
      </c>
      <c r="G3463" t="s">
        <v>254</v>
      </c>
    </row>
    <row r="3464" spans="1:7">
      <c r="A3464" s="216">
        <v>45170</v>
      </c>
      <c r="B3464" t="s">
        <v>47</v>
      </c>
      <c r="C3464">
        <v>24</v>
      </c>
      <c r="D3464" t="s">
        <v>457</v>
      </c>
      <c r="E3464" s="217">
        <v>45170</v>
      </c>
      <c r="F3464">
        <v>0</v>
      </c>
      <c r="G3464" t="s">
        <v>255</v>
      </c>
    </row>
    <row r="3465" spans="1:7">
      <c r="A3465" s="216">
        <v>45170</v>
      </c>
      <c r="B3465" t="s">
        <v>47</v>
      </c>
      <c r="C3465">
        <v>24</v>
      </c>
      <c r="D3465" t="s">
        <v>457</v>
      </c>
      <c r="E3465" s="217">
        <v>45170</v>
      </c>
      <c r="F3465">
        <v>0</v>
      </c>
      <c r="G3465" t="s">
        <v>256</v>
      </c>
    </row>
    <row r="3466" spans="1:7">
      <c r="A3466" s="216">
        <v>45170</v>
      </c>
      <c r="B3466" t="s">
        <v>47</v>
      </c>
      <c r="C3466">
        <v>24</v>
      </c>
      <c r="D3466" t="s">
        <v>457</v>
      </c>
      <c r="E3466" s="217">
        <v>45170</v>
      </c>
      <c r="F3466">
        <v>0</v>
      </c>
      <c r="G3466" t="s">
        <v>257</v>
      </c>
    </row>
    <row r="3467" spans="1:7">
      <c r="A3467" s="216">
        <v>45170</v>
      </c>
      <c r="B3467" t="s">
        <v>47</v>
      </c>
      <c r="C3467">
        <v>24</v>
      </c>
      <c r="D3467" t="s">
        <v>457</v>
      </c>
      <c r="E3467" s="217">
        <v>45170</v>
      </c>
      <c r="F3467">
        <v>0</v>
      </c>
      <c r="G3467" t="s">
        <v>258</v>
      </c>
    </row>
    <row r="3468" spans="1:7">
      <c r="A3468" s="216">
        <v>45170</v>
      </c>
      <c r="B3468" t="s">
        <v>47</v>
      </c>
      <c r="C3468">
        <v>24</v>
      </c>
      <c r="D3468" t="s">
        <v>457</v>
      </c>
      <c r="E3468" s="217">
        <v>45170</v>
      </c>
      <c r="F3468">
        <v>0</v>
      </c>
      <c r="G3468" t="s">
        <v>259</v>
      </c>
    </row>
    <row r="3469" spans="1:7">
      <c r="A3469" s="216">
        <v>45170</v>
      </c>
      <c r="B3469" t="s">
        <v>47</v>
      </c>
      <c r="C3469">
        <v>24</v>
      </c>
      <c r="D3469" t="s">
        <v>457</v>
      </c>
      <c r="E3469" s="217">
        <v>45170</v>
      </c>
      <c r="F3469">
        <v>0</v>
      </c>
      <c r="G3469" t="s">
        <v>260</v>
      </c>
    </row>
    <row r="3470" spans="1:7">
      <c r="A3470" s="216">
        <v>45170</v>
      </c>
      <c r="B3470" t="s">
        <v>47</v>
      </c>
      <c r="C3470">
        <v>24</v>
      </c>
      <c r="D3470" t="s">
        <v>457</v>
      </c>
      <c r="E3470" s="217">
        <v>45170</v>
      </c>
      <c r="F3470">
        <v>0</v>
      </c>
      <c r="G3470" t="s">
        <v>261</v>
      </c>
    </row>
    <row r="3471" spans="1:7">
      <c r="A3471" s="216">
        <v>45170</v>
      </c>
      <c r="B3471" t="s">
        <v>47</v>
      </c>
      <c r="C3471">
        <v>24</v>
      </c>
      <c r="D3471" t="s">
        <v>457</v>
      </c>
      <c r="E3471" s="217">
        <v>45170</v>
      </c>
      <c r="F3471">
        <v>0</v>
      </c>
      <c r="G3471" t="s">
        <v>262</v>
      </c>
    </row>
    <row r="3472" spans="1:7">
      <c r="A3472" s="216">
        <v>45170</v>
      </c>
      <c r="B3472" t="s">
        <v>47</v>
      </c>
      <c r="C3472">
        <v>24</v>
      </c>
      <c r="D3472" t="s">
        <v>457</v>
      </c>
      <c r="E3472" s="217">
        <v>45170</v>
      </c>
      <c r="F3472">
        <v>0</v>
      </c>
      <c r="G3472" t="s">
        <v>434</v>
      </c>
    </row>
    <row r="3473" spans="1:7">
      <c r="A3473" s="216">
        <v>45170</v>
      </c>
      <c r="B3473" t="s">
        <v>47</v>
      </c>
      <c r="C3473">
        <v>25</v>
      </c>
      <c r="D3473" t="s">
        <v>452</v>
      </c>
      <c r="E3473" s="217">
        <v>45170</v>
      </c>
      <c r="F3473">
        <v>0</v>
      </c>
      <c r="G3473" t="s">
        <v>251</v>
      </c>
    </row>
    <row r="3474" spans="1:7">
      <c r="A3474" s="216">
        <v>45170</v>
      </c>
      <c r="B3474" t="s">
        <v>47</v>
      </c>
      <c r="C3474">
        <v>25</v>
      </c>
      <c r="D3474" t="s">
        <v>452</v>
      </c>
      <c r="E3474" s="217">
        <v>45170</v>
      </c>
      <c r="F3474">
        <v>0</v>
      </c>
      <c r="G3474" t="s">
        <v>252</v>
      </c>
    </row>
    <row r="3475" spans="1:7">
      <c r="A3475" s="216">
        <v>45170</v>
      </c>
      <c r="B3475" t="s">
        <v>47</v>
      </c>
      <c r="C3475">
        <v>25</v>
      </c>
      <c r="D3475" t="s">
        <v>452</v>
      </c>
      <c r="E3475" s="217">
        <v>45170</v>
      </c>
      <c r="F3475">
        <v>0</v>
      </c>
      <c r="G3475" t="s">
        <v>253</v>
      </c>
    </row>
    <row r="3476" spans="1:7">
      <c r="A3476" s="216">
        <v>45170</v>
      </c>
      <c r="B3476" t="s">
        <v>47</v>
      </c>
      <c r="C3476">
        <v>25</v>
      </c>
      <c r="D3476" t="s">
        <v>452</v>
      </c>
      <c r="E3476" s="217">
        <v>45170</v>
      </c>
      <c r="F3476">
        <v>0</v>
      </c>
      <c r="G3476" t="s">
        <v>254</v>
      </c>
    </row>
    <row r="3477" spans="1:7">
      <c r="A3477" s="216">
        <v>45170</v>
      </c>
      <c r="B3477" t="s">
        <v>47</v>
      </c>
      <c r="C3477">
        <v>25</v>
      </c>
      <c r="D3477" t="s">
        <v>452</v>
      </c>
      <c r="E3477" s="217">
        <v>45170</v>
      </c>
      <c r="F3477">
        <v>0</v>
      </c>
      <c r="G3477" t="s">
        <v>255</v>
      </c>
    </row>
    <row r="3478" spans="1:7">
      <c r="A3478" s="216">
        <v>45170</v>
      </c>
      <c r="B3478" t="s">
        <v>47</v>
      </c>
      <c r="C3478">
        <v>25</v>
      </c>
      <c r="D3478" t="s">
        <v>452</v>
      </c>
      <c r="E3478" s="217">
        <v>45170</v>
      </c>
      <c r="F3478">
        <v>0</v>
      </c>
      <c r="G3478" t="s">
        <v>256</v>
      </c>
    </row>
    <row r="3479" spans="1:7">
      <c r="A3479" s="216">
        <v>45170</v>
      </c>
      <c r="B3479" t="s">
        <v>47</v>
      </c>
      <c r="C3479">
        <v>25</v>
      </c>
      <c r="D3479" t="s">
        <v>452</v>
      </c>
      <c r="E3479" s="217">
        <v>45170</v>
      </c>
      <c r="F3479">
        <v>0</v>
      </c>
      <c r="G3479" t="s">
        <v>257</v>
      </c>
    </row>
    <row r="3480" spans="1:7">
      <c r="A3480" s="216">
        <v>45170</v>
      </c>
      <c r="B3480" t="s">
        <v>47</v>
      </c>
      <c r="C3480">
        <v>25</v>
      </c>
      <c r="D3480" t="s">
        <v>452</v>
      </c>
      <c r="E3480" s="217">
        <v>45170</v>
      </c>
      <c r="F3480">
        <v>0</v>
      </c>
      <c r="G3480" t="s">
        <v>258</v>
      </c>
    </row>
    <row r="3481" spans="1:7">
      <c r="A3481" s="216">
        <v>45170</v>
      </c>
      <c r="B3481" t="s">
        <v>47</v>
      </c>
      <c r="C3481">
        <v>25</v>
      </c>
      <c r="D3481" t="s">
        <v>452</v>
      </c>
      <c r="E3481" s="217">
        <v>45170</v>
      </c>
      <c r="F3481">
        <v>0</v>
      </c>
      <c r="G3481" t="s">
        <v>259</v>
      </c>
    </row>
    <row r="3482" spans="1:7">
      <c r="A3482" s="216">
        <v>45170</v>
      </c>
      <c r="B3482" t="s">
        <v>47</v>
      </c>
      <c r="C3482">
        <v>25</v>
      </c>
      <c r="D3482" t="s">
        <v>452</v>
      </c>
      <c r="E3482" s="217">
        <v>45170</v>
      </c>
      <c r="F3482">
        <v>0</v>
      </c>
      <c r="G3482" t="s">
        <v>260</v>
      </c>
    </row>
    <row r="3483" spans="1:7">
      <c r="A3483" s="216">
        <v>45170</v>
      </c>
      <c r="B3483" t="s">
        <v>47</v>
      </c>
      <c r="C3483">
        <v>25</v>
      </c>
      <c r="D3483" t="s">
        <v>452</v>
      </c>
      <c r="E3483" s="217">
        <v>45170</v>
      </c>
      <c r="F3483">
        <v>0</v>
      </c>
      <c r="G3483" t="s">
        <v>261</v>
      </c>
    </row>
    <row r="3484" spans="1:7">
      <c r="A3484" s="216">
        <v>45170</v>
      </c>
      <c r="B3484" t="s">
        <v>47</v>
      </c>
      <c r="C3484">
        <v>25</v>
      </c>
      <c r="D3484" t="s">
        <v>452</v>
      </c>
      <c r="E3484" s="217">
        <v>45170</v>
      </c>
      <c r="F3484">
        <v>0</v>
      </c>
      <c r="G3484" t="s">
        <v>262</v>
      </c>
    </row>
    <row r="3485" spans="1:7">
      <c r="A3485" s="216">
        <v>45170</v>
      </c>
      <c r="B3485" t="s">
        <v>47</v>
      </c>
      <c r="C3485">
        <v>25</v>
      </c>
      <c r="D3485" t="s">
        <v>452</v>
      </c>
      <c r="E3485" s="217">
        <v>45170</v>
      </c>
      <c r="F3485">
        <v>0</v>
      </c>
      <c r="G3485" t="s">
        <v>434</v>
      </c>
    </row>
    <row r="3486" spans="1:7">
      <c r="A3486" s="216">
        <v>45170</v>
      </c>
      <c r="B3486" t="s">
        <v>47</v>
      </c>
      <c r="C3486">
        <v>26</v>
      </c>
      <c r="D3486" t="s">
        <v>438</v>
      </c>
      <c r="E3486" s="217">
        <v>45170</v>
      </c>
      <c r="F3486">
        <v>34748.639999999999</v>
      </c>
      <c r="G3486" t="s">
        <v>251</v>
      </c>
    </row>
    <row r="3487" spans="1:7">
      <c r="A3487" s="216">
        <v>45170</v>
      </c>
      <c r="B3487" t="s">
        <v>47</v>
      </c>
      <c r="C3487">
        <v>26</v>
      </c>
      <c r="D3487" t="s">
        <v>438</v>
      </c>
      <c r="E3487" s="217">
        <v>45170</v>
      </c>
      <c r="F3487">
        <v>35033.519999999997</v>
      </c>
      <c r="G3487" t="s">
        <v>252</v>
      </c>
    </row>
    <row r="3488" spans="1:7">
      <c r="A3488" s="216">
        <v>45170</v>
      </c>
      <c r="B3488" t="s">
        <v>47</v>
      </c>
      <c r="C3488">
        <v>26</v>
      </c>
      <c r="D3488" t="s">
        <v>438</v>
      </c>
      <c r="E3488" s="217">
        <v>45170</v>
      </c>
      <c r="F3488">
        <v>37670.69</v>
      </c>
      <c r="G3488" t="s">
        <v>253</v>
      </c>
    </row>
    <row r="3489" spans="1:7">
      <c r="A3489" s="216">
        <v>45170</v>
      </c>
      <c r="B3489" t="s">
        <v>47</v>
      </c>
      <c r="C3489">
        <v>26</v>
      </c>
      <c r="D3489" t="s">
        <v>438</v>
      </c>
      <c r="E3489" s="217">
        <v>45170</v>
      </c>
      <c r="F3489">
        <v>36719.06</v>
      </c>
      <c r="G3489" t="s">
        <v>254</v>
      </c>
    </row>
    <row r="3490" spans="1:7">
      <c r="A3490" s="216">
        <v>45170</v>
      </c>
      <c r="B3490" t="s">
        <v>47</v>
      </c>
      <c r="C3490">
        <v>26</v>
      </c>
      <c r="D3490" t="s">
        <v>438</v>
      </c>
      <c r="E3490" s="217">
        <v>45170</v>
      </c>
      <c r="F3490">
        <v>35797.54</v>
      </c>
      <c r="G3490" t="s">
        <v>255</v>
      </c>
    </row>
    <row r="3491" spans="1:7">
      <c r="A3491" s="216">
        <v>45170</v>
      </c>
      <c r="B3491" t="s">
        <v>47</v>
      </c>
      <c r="C3491">
        <v>26</v>
      </c>
      <c r="D3491" t="s">
        <v>438</v>
      </c>
      <c r="E3491" s="217">
        <v>45170</v>
      </c>
      <c r="F3491">
        <v>35606.93</v>
      </c>
      <c r="G3491" t="s">
        <v>256</v>
      </c>
    </row>
    <row r="3492" spans="1:7">
      <c r="A3492" s="216">
        <v>45170</v>
      </c>
      <c r="B3492" t="s">
        <v>47</v>
      </c>
      <c r="C3492">
        <v>26</v>
      </c>
      <c r="D3492" t="s">
        <v>438</v>
      </c>
      <c r="E3492" s="217">
        <v>45170</v>
      </c>
      <c r="F3492">
        <v>35326.36</v>
      </c>
      <c r="G3492" t="s">
        <v>257</v>
      </c>
    </row>
    <row r="3493" spans="1:7">
      <c r="A3493" s="216">
        <v>45170</v>
      </c>
      <c r="B3493" t="s">
        <v>47</v>
      </c>
      <c r="C3493">
        <v>26</v>
      </c>
      <c r="D3493" t="s">
        <v>438</v>
      </c>
      <c r="E3493" s="217">
        <v>45170</v>
      </c>
      <c r="F3493">
        <v>35303.620000000003</v>
      </c>
      <c r="G3493" t="s">
        <v>258</v>
      </c>
    </row>
    <row r="3494" spans="1:7">
      <c r="A3494" s="216">
        <v>45170</v>
      </c>
      <c r="B3494" t="s">
        <v>47</v>
      </c>
      <c r="C3494">
        <v>26</v>
      </c>
      <c r="D3494" t="s">
        <v>438</v>
      </c>
      <c r="E3494" s="217">
        <v>45170</v>
      </c>
      <c r="F3494">
        <v>35303.620000000003</v>
      </c>
      <c r="G3494" t="s">
        <v>259</v>
      </c>
    </row>
    <row r="3495" spans="1:7">
      <c r="A3495" s="216">
        <v>45170</v>
      </c>
      <c r="B3495" t="s">
        <v>47</v>
      </c>
      <c r="C3495">
        <v>26</v>
      </c>
      <c r="D3495" t="s">
        <v>438</v>
      </c>
      <c r="E3495" s="217">
        <v>45170</v>
      </c>
      <c r="F3495">
        <v>35303.61</v>
      </c>
      <c r="G3495" t="s">
        <v>260</v>
      </c>
    </row>
    <row r="3496" spans="1:7">
      <c r="A3496" s="216">
        <v>45170</v>
      </c>
      <c r="B3496" t="s">
        <v>47</v>
      </c>
      <c r="C3496">
        <v>26</v>
      </c>
      <c r="D3496" t="s">
        <v>438</v>
      </c>
      <c r="E3496" s="217">
        <v>45170</v>
      </c>
      <c r="F3496">
        <v>35294.5</v>
      </c>
      <c r="G3496" t="s">
        <v>261</v>
      </c>
    </row>
    <row r="3497" spans="1:7">
      <c r="A3497" s="216">
        <v>45170</v>
      </c>
      <c r="B3497" t="s">
        <v>47</v>
      </c>
      <c r="C3497">
        <v>26</v>
      </c>
      <c r="D3497" t="s">
        <v>438</v>
      </c>
      <c r="E3497" s="217">
        <v>45170</v>
      </c>
      <c r="F3497">
        <v>36458.54</v>
      </c>
      <c r="G3497" t="s">
        <v>262</v>
      </c>
    </row>
    <row r="3498" spans="1:7">
      <c r="A3498" s="216">
        <v>45170</v>
      </c>
      <c r="B3498" t="s">
        <v>47</v>
      </c>
      <c r="C3498">
        <v>26</v>
      </c>
      <c r="D3498" t="s">
        <v>438</v>
      </c>
      <c r="E3498" s="217">
        <v>45170</v>
      </c>
      <c r="F3498">
        <v>428566.63</v>
      </c>
      <c r="G3498" t="s">
        <v>434</v>
      </c>
    </row>
    <row r="3499" spans="1:7">
      <c r="A3499" s="216">
        <v>45170</v>
      </c>
      <c r="B3499" t="s">
        <v>47</v>
      </c>
      <c r="C3499">
        <v>27</v>
      </c>
      <c r="D3499" t="s">
        <v>446</v>
      </c>
      <c r="E3499" s="217">
        <v>45170</v>
      </c>
      <c r="F3499">
        <v>-2738.1999999999898</v>
      </c>
      <c r="G3499" t="s">
        <v>251</v>
      </c>
    </row>
    <row r="3500" spans="1:7">
      <c r="A3500" s="216">
        <v>45170</v>
      </c>
      <c r="B3500" t="s">
        <v>47</v>
      </c>
      <c r="C3500">
        <v>27</v>
      </c>
      <c r="D3500" t="s">
        <v>446</v>
      </c>
      <c r="E3500" s="217">
        <v>45170</v>
      </c>
      <c r="F3500">
        <v>-2796.75</v>
      </c>
      <c r="G3500" t="s">
        <v>252</v>
      </c>
    </row>
    <row r="3501" spans="1:7">
      <c r="A3501" s="216">
        <v>45170</v>
      </c>
      <c r="B3501" t="s">
        <v>47</v>
      </c>
      <c r="C3501">
        <v>27</v>
      </c>
      <c r="D3501" t="s">
        <v>446</v>
      </c>
      <c r="E3501" s="217">
        <v>45170</v>
      </c>
      <c r="F3501">
        <v>-2863.16</v>
      </c>
      <c r="G3501" t="s">
        <v>253</v>
      </c>
    </row>
    <row r="3502" spans="1:7">
      <c r="A3502" s="216">
        <v>45170</v>
      </c>
      <c r="B3502" t="s">
        <v>47</v>
      </c>
      <c r="C3502">
        <v>27</v>
      </c>
      <c r="D3502" t="s">
        <v>446</v>
      </c>
      <c r="E3502" s="217">
        <v>45170</v>
      </c>
      <c r="F3502">
        <v>-3033.70999999999</v>
      </c>
      <c r="G3502" t="s">
        <v>254</v>
      </c>
    </row>
    <row r="3503" spans="1:7">
      <c r="A3503" s="216">
        <v>45170</v>
      </c>
      <c r="B3503" t="s">
        <v>47</v>
      </c>
      <c r="C3503">
        <v>27</v>
      </c>
      <c r="D3503" t="s">
        <v>446</v>
      </c>
      <c r="E3503" s="217">
        <v>45170</v>
      </c>
      <c r="F3503">
        <v>-2844.76999999999</v>
      </c>
      <c r="G3503" t="s">
        <v>255</v>
      </c>
    </row>
    <row r="3504" spans="1:7">
      <c r="A3504" s="216">
        <v>45170</v>
      </c>
      <c r="B3504" t="s">
        <v>47</v>
      </c>
      <c r="C3504">
        <v>27</v>
      </c>
      <c r="D3504" t="s">
        <v>446</v>
      </c>
      <c r="E3504" s="217">
        <v>45170</v>
      </c>
      <c r="F3504">
        <v>-2962.9299999999898</v>
      </c>
      <c r="G3504" t="s">
        <v>256</v>
      </c>
    </row>
    <row r="3505" spans="1:7">
      <c r="A3505" s="216">
        <v>45170</v>
      </c>
      <c r="B3505" t="s">
        <v>47</v>
      </c>
      <c r="C3505">
        <v>27</v>
      </c>
      <c r="D3505" t="s">
        <v>446</v>
      </c>
      <c r="E3505" s="217">
        <v>45170</v>
      </c>
      <c r="F3505">
        <v>-2705.6199999999899</v>
      </c>
      <c r="G3505" t="s">
        <v>257</v>
      </c>
    </row>
    <row r="3506" spans="1:7">
      <c r="A3506" s="216">
        <v>45170</v>
      </c>
      <c r="B3506" t="s">
        <v>47</v>
      </c>
      <c r="C3506">
        <v>27</v>
      </c>
      <c r="D3506" t="s">
        <v>446</v>
      </c>
      <c r="E3506" s="217">
        <v>45170</v>
      </c>
      <c r="F3506">
        <v>-2705.6499999999901</v>
      </c>
      <c r="G3506" t="s">
        <v>258</v>
      </c>
    </row>
    <row r="3507" spans="1:7">
      <c r="A3507" s="216">
        <v>45170</v>
      </c>
      <c r="B3507" t="s">
        <v>47</v>
      </c>
      <c r="C3507">
        <v>27</v>
      </c>
      <c r="D3507" t="s">
        <v>446</v>
      </c>
      <c r="E3507" s="217">
        <v>45170</v>
      </c>
      <c r="F3507">
        <v>-2705.6499999999901</v>
      </c>
      <c r="G3507" t="s">
        <v>259</v>
      </c>
    </row>
    <row r="3508" spans="1:7">
      <c r="A3508" s="216">
        <v>45170</v>
      </c>
      <c r="B3508" t="s">
        <v>47</v>
      </c>
      <c r="C3508">
        <v>27</v>
      </c>
      <c r="D3508" t="s">
        <v>446</v>
      </c>
      <c r="E3508" s="217">
        <v>45170</v>
      </c>
      <c r="F3508">
        <v>-2705.6399999999899</v>
      </c>
      <c r="G3508" t="s">
        <v>260</v>
      </c>
    </row>
    <row r="3509" spans="1:7">
      <c r="A3509" s="216">
        <v>45170</v>
      </c>
      <c r="B3509" t="s">
        <v>47</v>
      </c>
      <c r="C3509">
        <v>27</v>
      </c>
      <c r="D3509" t="s">
        <v>446</v>
      </c>
      <c r="E3509" s="217">
        <v>45170</v>
      </c>
      <c r="F3509">
        <v>-2705.6499999999901</v>
      </c>
      <c r="G3509" t="s">
        <v>261</v>
      </c>
    </row>
    <row r="3510" spans="1:7">
      <c r="A3510" s="216">
        <v>45170</v>
      </c>
      <c r="B3510" t="s">
        <v>47</v>
      </c>
      <c r="C3510">
        <v>27</v>
      </c>
      <c r="D3510" t="s">
        <v>446</v>
      </c>
      <c r="E3510" s="217">
        <v>45170</v>
      </c>
      <c r="F3510">
        <v>-2705.6600000000099</v>
      </c>
      <c r="G3510" t="s">
        <v>262</v>
      </c>
    </row>
    <row r="3511" spans="1:7">
      <c r="A3511" s="216">
        <v>45170</v>
      </c>
      <c r="B3511" t="s">
        <v>47</v>
      </c>
      <c r="C3511">
        <v>27</v>
      </c>
      <c r="D3511" t="s">
        <v>446</v>
      </c>
      <c r="E3511" s="217">
        <v>45170</v>
      </c>
      <c r="F3511">
        <v>-33473.389999999898</v>
      </c>
      <c r="G3511" t="s">
        <v>434</v>
      </c>
    </row>
    <row r="3512" spans="1:7">
      <c r="A3512" s="216">
        <v>45170</v>
      </c>
      <c r="B3512" t="s">
        <v>3</v>
      </c>
      <c r="C3512">
        <v>1</v>
      </c>
      <c r="D3512" t="s">
        <v>453</v>
      </c>
      <c r="E3512" s="217">
        <v>45170</v>
      </c>
      <c r="F3512">
        <v>77088.445999999996</v>
      </c>
      <c r="G3512" t="s">
        <v>251</v>
      </c>
    </row>
    <row r="3513" spans="1:7">
      <c r="A3513" s="216">
        <v>45170</v>
      </c>
      <c r="B3513" t="s">
        <v>3</v>
      </c>
      <c r="C3513">
        <v>1</v>
      </c>
      <c r="D3513" t="s">
        <v>453</v>
      </c>
      <c r="E3513" s="217">
        <v>45170</v>
      </c>
      <c r="F3513">
        <v>82064.764999999999</v>
      </c>
      <c r="G3513" t="s">
        <v>252</v>
      </c>
    </row>
    <row r="3514" spans="1:7">
      <c r="A3514" s="216">
        <v>45170</v>
      </c>
      <c r="B3514" t="s">
        <v>3</v>
      </c>
      <c r="C3514">
        <v>1</v>
      </c>
      <c r="D3514" t="s">
        <v>453</v>
      </c>
      <c r="E3514" s="217">
        <v>45170</v>
      </c>
      <c r="F3514">
        <v>100287.122</v>
      </c>
      <c r="G3514" t="s">
        <v>253</v>
      </c>
    </row>
    <row r="3515" spans="1:7">
      <c r="A3515" s="216">
        <v>45170</v>
      </c>
      <c r="B3515" t="s">
        <v>3</v>
      </c>
      <c r="C3515">
        <v>1</v>
      </c>
      <c r="D3515" t="s">
        <v>453</v>
      </c>
      <c r="E3515" s="217">
        <v>45170</v>
      </c>
      <c r="F3515">
        <v>98342.58</v>
      </c>
      <c r="G3515" t="s">
        <v>254</v>
      </c>
    </row>
    <row r="3516" spans="1:7">
      <c r="A3516" s="216">
        <v>45170</v>
      </c>
      <c r="B3516" t="s">
        <v>3</v>
      </c>
      <c r="C3516">
        <v>1</v>
      </c>
      <c r="D3516" t="s">
        <v>453</v>
      </c>
      <c r="E3516" s="217">
        <v>45170</v>
      </c>
      <c r="F3516">
        <v>89992.332999999999</v>
      </c>
      <c r="G3516" t="s">
        <v>255</v>
      </c>
    </row>
    <row r="3517" spans="1:7">
      <c r="A3517" s="216">
        <v>45170</v>
      </c>
      <c r="B3517" t="s">
        <v>3</v>
      </c>
      <c r="C3517">
        <v>1</v>
      </c>
      <c r="D3517" t="s">
        <v>453</v>
      </c>
      <c r="E3517" s="217">
        <v>45170</v>
      </c>
      <c r="F3517">
        <v>88998.823000000004</v>
      </c>
      <c r="G3517" t="s">
        <v>256</v>
      </c>
    </row>
    <row r="3518" spans="1:7">
      <c r="A3518" s="216">
        <v>45170</v>
      </c>
      <c r="B3518" t="s">
        <v>3</v>
      </c>
      <c r="C3518">
        <v>1</v>
      </c>
      <c r="D3518" t="s">
        <v>453</v>
      </c>
      <c r="E3518" s="217">
        <v>45170</v>
      </c>
      <c r="F3518">
        <v>92397.115806666698</v>
      </c>
      <c r="G3518" t="s">
        <v>257</v>
      </c>
    </row>
    <row r="3519" spans="1:7">
      <c r="A3519" s="216">
        <v>45170</v>
      </c>
      <c r="B3519" t="s">
        <v>3</v>
      </c>
      <c r="C3519">
        <v>1</v>
      </c>
      <c r="D3519" t="s">
        <v>453</v>
      </c>
      <c r="E3519" s="217">
        <v>45170</v>
      </c>
      <c r="F3519">
        <v>95056.115806666698</v>
      </c>
      <c r="G3519" t="s">
        <v>258</v>
      </c>
    </row>
    <row r="3520" spans="1:7">
      <c r="A3520" s="216">
        <v>45170</v>
      </c>
      <c r="B3520" t="s">
        <v>3</v>
      </c>
      <c r="C3520">
        <v>1</v>
      </c>
      <c r="D3520" t="s">
        <v>453</v>
      </c>
      <c r="E3520" s="217">
        <v>45170</v>
      </c>
      <c r="F3520">
        <v>95314.115806666698</v>
      </c>
      <c r="G3520" t="s">
        <v>259</v>
      </c>
    </row>
    <row r="3521" spans="1:7">
      <c r="A3521" s="216">
        <v>45170</v>
      </c>
      <c r="B3521" t="s">
        <v>3</v>
      </c>
      <c r="C3521">
        <v>1</v>
      </c>
      <c r="D3521" t="s">
        <v>453</v>
      </c>
      <c r="E3521" s="217">
        <v>45170</v>
      </c>
      <c r="F3521">
        <v>96056.115806666698</v>
      </c>
      <c r="G3521" t="s">
        <v>260</v>
      </c>
    </row>
    <row r="3522" spans="1:7">
      <c r="A3522" s="216">
        <v>45170</v>
      </c>
      <c r="B3522" t="s">
        <v>3</v>
      </c>
      <c r="C3522">
        <v>1</v>
      </c>
      <c r="D3522" t="s">
        <v>453</v>
      </c>
      <c r="E3522" s="217">
        <v>45170</v>
      </c>
      <c r="F3522">
        <v>95278.115806666698</v>
      </c>
      <c r="G3522" t="s">
        <v>261</v>
      </c>
    </row>
    <row r="3523" spans="1:7">
      <c r="A3523" s="216">
        <v>45170</v>
      </c>
      <c r="B3523" t="s">
        <v>3</v>
      </c>
      <c r="C3523">
        <v>1</v>
      </c>
      <c r="D3523" t="s">
        <v>453</v>
      </c>
      <c r="E3523" s="217">
        <v>45170</v>
      </c>
      <c r="F3523">
        <v>143897.35196666699</v>
      </c>
      <c r="G3523" t="s">
        <v>262</v>
      </c>
    </row>
    <row r="3524" spans="1:7">
      <c r="A3524" s="216">
        <v>45170</v>
      </c>
      <c r="B3524" t="s">
        <v>3</v>
      </c>
      <c r="C3524">
        <v>1</v>
      </c>
      <c r="D3524" t="s">
        <v>453</v>
      </c>
      <c r="E3524" s="217">
        <v>45170</v>
      </c>
      <c r="F3524">
        <v>1154773</v>
      </c>
      <c r="G3524" t="s">
        <v>434</v>
      </c>
    </row>
    <row r="3525" spans="1:7">
      <c r="A3525" s="216">
        <v>45170</v>
      </c>
      <c r="B3525" t="s">
        <v>3</v>
      </c>
      <c r="C3525">
        <v>2</v>
      </c>
      <c r="D3525" t="s">
        <v>436</v>
      </c>
      <c r="E3525" s="217">
        <v>45170</v>
      </c>
      <c r="F3525">
        <v>0</v>
      </c>
      <c r="G3525" t="s">
        <v>251</v>
      </c>
    </row>
    <row r="3526" spans="1:7">
      <c r="A3526" s="216">
        <v>45170</v>
      </c>
      <c r="B3526" t="s">
        <v>3</v>
      </c>
      <c r="C3526">
        <v>2</v>
      </c>
      <c r="D3526" t="s">
        <v>436</v>
      </c>
      <c r="E3526" s="217">
        <v>45170</v>
      </c>
      <c r="F3526">
        <v>0</v>
      </c>
      <c r="G3526" t="s">
        <v>252</v>
      </c>
    </row>
    <row r="3527" spans="1:7">
      <c r="A3527" s="216">
        <v>45170</v>
      </c>
      <c r="B3527" t="s">
        <v>3</v>
      </c>
      <c r="C3527">
        <v>2</v>
      </c>
      <c r="D3527" t="s">
        <v>436</v>
      </c>
      <c r="E3527" s="217">
        <v>45170</v>
      </c>
      <c r="F3527">
        <v>0</v>
      </c>
      <c r="G3527" t="s">
        <v>253</v>
      </c>
    </row>
    <row r="3528" spans="1:7">
      <c r="A3528" s="216">
        <v>45170</v>
      </c>
      <c r="B3528" t="s">
        <v>3</v>
      </c>
      <c r="C3528">
        <v>2</v>
      </c>
      <c r="D3528" t="s">
        <v>436</v>
      </c>
      <c r="E3528" s="217">
        <v>45170</v>
      </c>
      <c r="F3528">
        <v>0</v>
      </c>
      <c r="G3528" t="s">
        <v>254</v>
      </c>
    </row>
    <row r="3529" spans="1:7">
      <c r="A3529" s="216">
        <v>45170</v>
      </c>
      <c r="B3529" t="s">
        <v>3</v>
      </c>
      <c r="C3529">
        <v>2</v>
      </c>
      <c r="D3529" t="s">
        <v>436</v>
      </c>
      <c r="E3529" s="217">
        <v>45170</v>
      </c>
      <c r="F3529">
        <v>0</v>
      </c>
      <c r="G3529" t="s">
        <v>255</v>
      </c>
    </row>
    <row r="3530" spans="1:7">
      <c r="A3530" s="216">
        <v>45170</v>
      </c>
      <c r="B3530" t="s">
        <v>3</v>
      </c>
      <c r="C3530">
        <v>2</v>
      </c>
      <c r="D3530" t="s">
        <v>436</v>
      </c>
      <c r="E3530" s="217">
        <v>45170</v>
      </c>
      <c r="F3530">
        <v>0</v>
      </c>
      <c r="G3530" t="s">
        <v>256</v>
      </c>
    </row>
    <row r="3531" spans="1:7">
      <c r="A3531" s="216">
        <v>45170</v>
      </c>
      <c r="B3531" t="s">
        <v>3</v>
      </c>
      <c r="C3531">
        <v>2</v>
      </c>
      <c r="D3531" t="s">
        <v>436</v>
      </c>
      <c r="E3531" s="217">
        <v>45170</v>
      </c>
      <c r="F3531">
        <v>0</v>
      </c>
      <c r="G3531" t="s">
        <v>257</v>
      </c>
    </row>
    <row r="3532" spans="1:7">
      <c r="A3532" s="216">
        <v>45170</v>
      </c>
      <c r="B3532" t="s">
        <v>3</v>
      </c>
      <c r="C3532">
        <v>2</v>
      </c>
      <c r="D3532" t="s">
        <v>436</v>
      </c>
      <c r="E3532" s="217">
        <v>45170</v>
      </c>
      <c r="F3532">
        <v>0</v>
      </c>
      <c r="G3532" t="s">
        <v>258</v>
      </c>
    </row>
    <row r="3533" spans="1:7">
      <c r="A3533" s="216">
        <v>45170</v>
      </c>
      <c r="B3533" t="s">
        <v>3</v>
      </c>
      <c r="C3533">
        <v>2</v>
      </c>
      <c r="D3533" t="s">
        <v>436</v>
      </c>
      <c r="E3533" s="217">
        <v>45170</v>
      </c>
      <c r="F3533">
        <v>0</v>
      </c>
      <c r="G3533" t="s">
        <v>259</v>
      </c>
    </row>
    <row r="3534" spans="1:7">
      <c r="A3534" s="216">
        <v>45170</v>
      </c>
      <c r="B3534" t="s">
        <v>3</v>
      </c>
      <c r="C3534">
        <v>2</v>
      </c>
      <c r="D3534" t="s">
        <v>436</v>
      </c>
      <c r="E3534" s="217">
        <v>45170</v>
      </c>
      <c r="F3534">
        <v>0</v>
      </c>
      <c r="G3534" t="s">
        <v>260</v>
      </c>
    </row>
    <row r="3535" spans="1:7">
      <c r="A3535" s="216">
        <v>45170</v>
      </c>
      <c r="B3535" t="s">
        <v>3</v>
      </c>
      <c r="C3535">
        <v>2</v>
      </c>
      <c r="D3535" t="s">
        <v>436</v>
      </c>
      <c r="E3535" s="217">
        <v>45170</v>
      </c>
      <c r="F3535">
        <v>0</v>
      </c>
      <c r="G3535" t="s">
        <v>261</v>
      </c>
    </row>
    <row r="3536" spans="1:7">
      <c r="A3536" s="216">
        <v>45170</v>
      </c>
      <c r="B3536" t="s">
        <v>3</v>
      </c>
      <c r="C3536">
        <v>2</v>
      </c>
      <c r="D3536" t="s">
        <v>436</v>
      </c>
      <c r="E3536" s="217">
        <v>45170</v>
      </c>
      <c r="F3536">
        <v>284</v>
      </c>
      <c r="G3536" t="s">
        <v>262</v>
      </c>
    </row>
    <row r="3537" spans="1:7">
      <c r="A3537" s="216">
        <v>45170</v>
      </c>
      <c r="B3537" t="s">
        <v>3</v>
      </c>
      <c r="C3537">
        <v>2</v>
      </c>
      <c r="D3537" t="s">
        <v>436</v>
      </c>
      <c r="E3537" s="217">
        <v>45170</v>
      </c>
      <c r="F3537">
        <v>284</v>
      </c>
      <c r="G3537" t="s">
        <v>434</v>
      </c>
    </row>
    <row r="3538" spans="1:7">
      <c r="A3538" s="216">
        <v>45170</v>
      </c>
      <c r="B3538" t="s">
        <v>3</v>
      </c>
      <c r="C3538">
        <v>3</v>
      </c>
      <c r="D3538" t="s">
        <v>459</v>
      </c>
      <c r="E3538" s="217">
        <v>45170</v>
      </c>
      <c r="F3538">
        <v>8549.2340000000004</v>
      </c>
      <c r="G3538" t="s">
        <v>251</v>
      </c>
    </row>
    <row r="3539" spans="1:7">
      <c r="A3539" s="216">
        <v>45170</v>
      </c>
      <c r="B3539" t="s">
        <v>3</v>
      </c>
      <c r="C3539">
        <v>3</v>
      </c>
      <c r="D3539" t="s">
        <v>459</v>
      </c>
      <c r="E3539" s="217">
        <v>45170</v>
      </c>
      <c r="F3539">
        <v>8928.1039999999994</v>
      </c>
      <c r="G3539" t="s">
        <v>252</v>
      </c>
    </row>
    <row r="3540" spans="1:7">
      <c r="A3540" s="216">
        <v>45170</v>
      </c>
      <c r="B3540" t="s">
        <v>3</v>
      </c>
      <c r="C3540">
        <v>3</v>
      </c>
      <c r="D3540" t="s">
        <v>459</v>
      </c>
      <c r="E3540" s="217">
        <v>45170</v>
      </c>
      <c r="F3540">
        <v>9295.42</v>
      </c>
      <c r="G3540" t="s">
        <v>253</v>
      </c>
    </row>
    <row r="3541" spans="1:7">
      <c r="A3541" s="216">
        <v>45170</v>
      </c>
      <c r="B3541" t="s">
        <v>3</v>
      </c>
      <c r="C3541">
        <v>3</v>
      </c>
      <c r="D3541" t="s">
        <v>459</v>
      </c>
      <c r="E3541" s="217">
        <v>45170</v>
      </c>
      <c r="F3541">
        <v>9331.7189999999991</v>
      </c>
      <c r="G3541" t="s">
        <v>254</v>
      </c>
    </row>
    <row r="3542" spans="1:7">
      <c r="A3542" s="216">
        <v>45170</v>
      </c>
      <c r="B3542" t="s">
        <v>3</v>
      </c>
      <c r="C3542">
        <v>3</v>
      </c>
      <c r="D3542" t="s">
        <v>459</v>
      </c>
      <c r="E3542" s="217">
        <v>45170</v>
      </c>
      <c r="F3542">
        <v>9272.5130000000008</v>
      </c>
      <c r="G3542" t="s">
        <v>255</v>
      </c>
    </row>
    <row r="3543" spans="1:7">
      <c r="A3543" s="216">
        <v>45170</v>
      </c>
      <c r="B3543" t="s">
        <v>3</v>
      </c>
      <c r="C3543">
        <v>3</v>
      </c>
      <c r="D3543" t="s">
        <v>459</v>
      </c>
      <c r="E3543" s="217">
        <v>45170</v>
      </c>
      <c r="F3543">
        <v>8759.9320000000007</v>
      </c>
      <c r="G3543" t="s">
        <v>256</v>
      </c>
    </row>
    <row r="3544" spans="1:7">
      <c r="A3544" s="216">
        <v>45170</v>
      </c>
      <c r="B3544" t="s">
        <v>3</v>
      </c>
      <c r="C3544">
        <v>3</v>
      </c>
      <c r="D3544" t="s">
        <v>459</v>
      </c>
      <c r="E3544" s="217">
        <v>45170</v>
      </c>
      <c r="F3544">
        <v>8975.4259999999995</v>
      </c>
      <c r="G3544" t="s">
        <v>257</v>
      </c>
    </row>
    <row r="3545" spans="1:7">
      <c r="A3545" s="216">
        <v>45170</v>
      </c>
      <c r="B3545" t="s">
        <v>3</v>
      </c>
      <c r="C3545">
        <v>3</v>
      </c>
      <c r="D3545" t="s">
        <v>459</v>
      </c>
      <c r="E3545" s="217">
        <v>45170</v>
      </c>
      <c r="F3545">
        <v>8945.6530000000002</v>
      </c>
      <c r="G3545" t="s">
        <v>258</v>
      </c>
    </row>
    <row r="3546" spans="1:7">
      <c r="A3546" s="216">
        <v>45170</v>
      </c>
      <c r="B3546" t="s">
        <v>3</v>
      </c>
      <c r="C3546">
        <v>3</v>
      </c>
      <c r="D3546" t="s">
        <v>459</v>
      </c>
      <c r="E3546" s="217">
        <v>45170</v>
      </c>
      <c r="F3546">
        <v>8928.9770000000008</v>
      </c>
      <c r="G3546" t="s">
        <v>259</v>
      </c>
    </row>
    <row r="3547" spans="1:7">
      <c r="A3547" s="216">
        <v>45170</v>
      </c>
      <c r="B3547" t="s">
        <v>3</v>
      </c>
      <c r="C3547">
        <v>3</v>
      </c>
      <c r="D3547" t="s">
        <v>459</v>
      </c>
      <c r="E3547" s="217">
        <v>45170</v>
      </c>
      <c r="F3547">
        <v>8928.9770000000008</v>
      </c>
      <c r="G3547" t="s">
        <v>260</v>
      </c>
    </row>
    <row r="3548" spans="1:7">
      <c r="A3548" s="216">
        <v>45170</v>
      </c>
      <c r="B3548" t="s">
        <v>3</v>
      </c>
      <c r="C3548">
        <v>3</v>
      </c>
      <c r="D3548" t="s">
        <v>459</v>
      </c>
      <c r="E3548" s="217">
        <v>45170</v>
      </c>
      <c r="F3548">
        <v>8938.9770000000008</v>
      </c>
      <c r="G3548" t="s">
        <v>261</v>
      </c>
    </row>
    <row r="3549" spans="1:7">
      <c r="A3549" s="216">
        <v>45170</v>
      </c>
      <c r="B3549" t="s">
        <v>3</v>
      </c>
      <c r="C3549">
        <v>3</v>
      </c>
      <c r="D3549" t="s">
        <v>459</v>
      </c>
      <c r="E3549" s="217">
        <v>45170</v>
      </c>
      <c r="F3549">
        <v>9013.9140000000007</v>
      </c>
      <c r="G3549" t="s">
        <v>262</v>
      </c>
    </row>
    <row r="3550" spans="1:7">
      <c r="A3550" s="216">
        <v>45170</v>
      </c>
      <c r="B3550" t="s">
        <v>3</v>
      </c>
      <c r="C3550">
        <v>3</v>
      </c>
      <c r="D3550" t="s">
        <v>459</v>
      </c>
      <c r="E3550" s="217">
        <v>45170</v>
      </c>
      <c r="F3550">
        <v>107868.84600000001</v>
      </c>
      <c r="G3550" t="s">
        <v>434</v>
      </c>
    </row>
    <row r="3551" spans="1:7">
      <c r="A3551" s="216">
        <v>45170</v>
      </c>
      <c r="B3551" t="s">
        <v>3</v>
      </c>
      <c r="C3551">
        <v>4</v>
      </c>
      <c r="D3551" t="s">
        <v>460</v>
      </c>
      <c r="E3551" s="217">
        <v>45170</v>
      </c>
      <c r="F3551">
        <v>10852.953</v>
      </c>
      <c r="G3551" t="s">
        <v>251</v>
      </c>
    </row>
    <row r="3552" spans="1:7">
      <c r="A3552" s="216">
        <v>45170</v>
      </c>
      <c r="B3552" t="s">
        <v>3</v>
      </c>
      <c r="C3552">
        <v>4</v>
      </c>
      <c r="D3552" t="s">
        <v>460</v>
      </c>
      <c r="E3552" s="217">
        <v>45170</v>
      </c>
      <c r="F3552">
        <v>10912.662</v>
      </c>
      <c r="G3552" t="s">
        <v>252</v>
      </c>
    </row>
    <row r="3553" spans="1:7">
      <c r="A3553" s="216">
        <v>45170</v>
      </c>
      <c r="B3553" t="s">
        <v>3</v>
      </c>
      <c r="C3553">
        <v>4</v>
      </c>
      <c r="D3553" t="s">
        <v>460</v>
      </c>
      <c r="E3553" s="217">
        <v>45170</v>
      </c>
      <c r="F3553">
        <v>10813.691000000001</v>
      </c>
      <c r="G3553" t="s">
        <v>253</v>
      </c>
    </row>
    <row r="3554" spans="1:7">
      <c r="A3554" s="216">
        <v>45170</v>
      </c>
      <c r="B3554" t="s">
        <v>3</v>
      </c>
      <c r="C3554">
        <v>4</v>
      </c>
      <c r="D3554" t="s">
        <v>460</v>
      </c>
      <c r="E3554" s="217">
        <v>45170</v>
      </c>
      <c r="F3554">
        <v>12855.73</v>
      </c>
      <c r="G3554" t="s">
        <v>254</v>
      </c>
    </row>
    <row r="3555" spans="1:7">
      <c r="A3555" s="216">
        <v>45170</v>
      </c>
      <c r="B3555" t="s">
        <v>3</v>
      </c>
      <c r="C3555">
        <v>4</v>
      </c>
      <c r="D3555" t="s">
        <v>460</v>
      </c>
      <c r="E3555" s="217">
        <v>45170</v>
      </c>
      <c r="F3555">
        <v>11094.652</v>
      </c>
      <c r="G3555" t="s">
        <v>255</v>
      </c>
    </row>
    <row r="3556" spans="1:7">
      <c r="A3556" s="216">
        <v>45170</v>
      </c>
      <c r="B3556" t="s">
        <v>3</v>
      </c>
      <c r="C3556">
        <v>4</v>
      </c>
      <c r="D3556" t="s">
        <v>460</v>
      </c>
      <c r="E3556" s="217">
        <v>45170</v>
      </c>
      <c r="F3556">
        <v>11326.329</v>
      </c>
      <c r="G3556" t="s">
        <v>256</v>
      </c>
    </row>
    <row r="3557" spans="1:7">
      <c r="A3557" s="216">
        <v>45170</v>
      </c>
      <c r="B3557" t="s">
        <v>3</v>
      </c>
      <c r="C3557">
        <v>4</v>
      </c>
      <c r="D3557" t="s">
        <v>460</v>
      </c>
      <c r="E3557" s="217">
        <v>45170</v>
      </c>
      <c r="F3557">
        <v>11731.041999999999</v>
      </c>
      <c r="G3557" t="s">
        <v>257</v>
      </c>
    </row>
    <row r="3558" spans="1:7">
      <c r="A3558" s="216">
        <v>45170</v>
      </c>
      <c r="B3558" t="s">
        <v>3</v>
      </c>
      <c r="C3558">
        <v>4</v>
      </c>
      <c r="D3558" t="s">
        <v>460</v>
      </c>
      <c r="E3558" s="217">
        <v>45170</v>
      </c>
      <c r="F3558">
        <v>11305.821</v>
      </c>
      <c r="G3558" t="s">
        <v>258</v>
      </c>
    </row>
    <row r="3559" spans="1:7">
      <c r="A3559" s="216">
        <v>45170</v>
      </c>
      <c r="B3559" t="s">
        <v>3</v>
      </c>
      <c r="C3559">
        <v>4</v>
      </c>
      <c r="D3559" t="s">
        <v>460</v>
      </c>
      <c r="E3559" s="217">
        <v>45170</v>
      </c>
      <c r="F3559">
        <v>11305.821</v>
      </c>
      <c r="G3559" t="s">
        <v>259</v>
      </c>
    </row>
    <row r="3560" spans="1:7">
      <c r="A3560" s="216">
        <v>45170</v>
      </c>
      <c r="B3560" t="s">
        <v>3</v>
      </c>
      <c r="C3560">
        <v>4</v>
      </c>
      <c r="D3560" t="s">
        <v>460</v>
      </c>
      <c r="E3560" s="217">
        <v>45170</v>
      </c>
      <c r="F3560">
        <v>11305.821</v>
      </c>
      <c r="G3560" t="s">
        <v>260</v>
      </c>
    </row>
    <row r="3561" spans="1:7">
      <c r="A3561" s="216">
        <v>45170</v>
      </c>
      <c r="B3561" t="s">
        <v>3</v>
      </c>
      <c r="C3561">
        <v>4</v>
      </c>
      <c r="D3561" t="s">
        <v>460</v>
      </c>
      <c r="E3561" s="217">
        <v>45170</v>
      </c>
      <c r="F3561">
        <v>11305.821</v>
      </c>
      <c r="G3561" t="s">
        <v>261</v>
      </c>
    </row>
    <row r="3562" spans="1:7">
      <c r="A3562" s="216">
        <v>45170</v>
      </c>
      <c r="B3562" t="s">
        <v>3</v>
      </c>
      <c r="C3562">
        <v>4</v>
      </c>
      <c r="D3562" t="s">
        <v>460</v>
      </c>
      <c r="E3562" s="217">
        <v>45170</v>
      </c>
      <c r="F3562">
        <v>11306.098</v>
      </c>
      <c r="G3562" t="s">
        <v>262</v>
      </c>
    </row>
    <row r="3563" spans="1:7">
      <c r="A3563" s="216">
        <v>45170</v>
      </c>
      <c r="B3563" t="s">
        <v>3</v>
      </c>
      <c r="C3563">
        <v>4</v>
      </c>
      <c r="D3563" t="s">
        <v>460</v>
      </c>
      <c r="E3563" s="217">
        <v>45170</v>
      </c>
      <c r="F3563">
        <v>136116.44099999999</v>
      </c>
      <c r="G3563" t="s">
        <v>434</v>
      </c>
    </row>
    <row r="3564" spans="1:7">
      <c r="A3564" s="216">
        <v>45170</v>
      </c>
      <c r="B3564" t="s">
        <v>3</v>
      </c>
      <c r="C3564">
        <v>5</v>
      </c>
      <c r="D3564" t="s">
        <v>458</v>
      </c>
      <c r="E3564" s="217">
        <v>45170</v>
      </c>
      <c r="F3564">
        <v>37.262</v>
      </c>
      <c r="G3564" t="s">
        <v>251</v>
      </c>
    </row>
    <row r="3565" spans="1:7">
      <c r="A3565" s="216">
        <v>45170</v>
      </c>
      <c r="B3565" t="s">
        <v>3</v>
      </c>
      <c r="C3565">
        <v>5</v>
      </c>
      <c r="D3565" t="s">
        <v>458</v>
      </c>
      <c r="E3565" s="217">
        <v>45170</v>
      </c>
      <c r="F3565">
        <v>66.459000000000003</v>
      </c>
      <c r="G3565" t="s">
        <v>252</v>
      </c>
    </row>
    <row r="3566" spans="1:7">
      <c r="A3566" s="216">
        <v>45170</v>
      </c>
      <c r="B3566" t="s">
        <v>3</v>
      </c>
      <c r="C3566">
        <v>5</v>
      </c>
      <c r="D3566" t="s">
        <v>458</v>
      </c>
      <c r="E3566" s="217">
        <v>45170</v>
      </c>
      <c r="F3566">
        <v>66.381</v>
      </c>
      <c r="G3566" t="s">
        <v>253</v>
      </c>
    </row>
    <row r="3567" spans="1:7">
      <c r="A3567" s="216">
        <v>45170</v>
      </c>
      <c r="B3567" t="s">
        <v>3</v>
      </c>
      <c r="C3567">
        <v>5</v>
      </c>
      <c r="D3567" t="s">
        <v>458</v>
      </c>
      <c r="E3567" s="217">
        <v>45170</v>
      </c>
      <c r="F3567">
        <v>63.152999999999999</v>
      </c>
      <c r="G3567" t="s">
        <v>254</v>
      </c>
    </row>
    <row r="3568" spans="1:7">
      <c r="A3568" s="216">
        <v>45170</v>
      </c>
      <c r="B3568" t="s">
        <v>3</v>
      </c>
      <c r="C3568">
        <v>5</v>
      </c>
      <c r="D3568" t="s">
        <v>458</v>
      </c>
      <c r="E3568" s="217">
        <v>45170</v>
      </c>
      <c r="F3568">
        <v>76.486000000000004</v>
      </c>
      <c r="G3568" t="s">
        <v>255</v>
      </c>
    </row>
    <row r="3569" spans="1:7">
      <c r="A3569" s="216">
        <v>45170</v>
      </c>
      <c r="B3569" t="s">
        <v>3</v>
      </c>
      <c r="C3569">
        <v>5</v>
      </c>
      <c r="D3569" t="s">
        <v>458</v>
      </c>
      <c r="E3569" s="217">
        <v>45170</v>
      </c>
      <c r="F3569">
        <v>68.122</v>
      </c>
      <c r="G3569" t="s">
        <v>256</v>
      </c>
    </row>
    <row r="3570" spans="1:7">
      <c r="A3570" s="216">
        <v>45170</v>
      </c>
      <c r="B3570" t="s">
        <v>3</v>
      </c>
      <c r="C3570">
        <v>5</v>
      </c>
      <c r="D3570" t="s">
        <v>458</v>
      </c>
      <c r="E3570" s="217">
        <v>45170</v>
      </c>
      <c r="F3570">
        <v>295.85700000000003</v>
      </c>
      <c r="G3570" t="s">
        <v>257</v>
      </c>
    </row>
    <row r="3571" spans="1:7">
      <c r="A3571" s="216">
        <v>45170</v>
      </c>
      <c r="B3571" t="s">
        <v>3</v>
      </c>
      <c r="C3571">
        <v>5</v>
      </c>
      <c r="D3571" t="s">
        <v>458</v>
      </c>
      <c r="E3571" s="217">
        <v>45170</v>
      </c>
      <c r="F3571">
        <v>70.915999999999997</v>
      </c>
      <c r="G3571" t="s">
        <v>258</v>
      </c>
    </row>
    <row r="3572" spans="1:7">
      <c r="A3572" s="216">
        <v>45170</v>
      </c>
      <c r="B3572" t="s">
        <v>3</v>
      </c>
      <c r="C3572">
        <v>5</v>
      </c>
      <c r="D3572" t="s">
        <v>458</v>
      </c>
      <c r="E3572" s="217">
        <v>45170</v>
      </c>
      <c r="F3572">
        <v>70.915999999999997</v>
      </c>
      <c r="G3572" t="s">
        <v>259</v>
      </c>
    </row>
    <row r="3573" spans="1:7">
      <c r="A3573" s="216">
        <v>45170</v>
      </c>
      <c r="B3573" t="s">
        <v>3</v>
      </c>
      <c r="C3573">
        <v>5</v>
      </c>
      <c r="D3573" t="s">
        <v>458</v>
      </c>
      <c r="E3573" s="217">
        <v>45170</v>
      </c>
      <c r="F3573">
        <v>70.915999999999997</v>
      </c>
      <c r="G3573" t="s">
        <v>260</v>
      </c>
    </row>
    <row r="3574" spans="1:7">
      <c r="A3574" s="216">
        <v>45170</v>
      </c>
      <c r="B3574" t="s">
        <v>3</v>
      </c>
      <c r="C3574">
        <v>5</v>
      </c>
      <c r="D3574" t="s">
        <v>458</v>
      </c>
      <c r="E3574" s="217">
        <v>45170</v>
      </c>
      <c r="F3574">
        <v>70.915999999999997</v>
      </c>
      <c r="G3574" t="s">
        <v>261</v>
      </c>
    </row>
    <row r="3575" spans="1:7">
      <c r="A3575" s="216">
        <v>45170</v>
      </c>
      <c r="B3575" t="s">
        <v>3</v>
      </c>
      <c r="C3575">
        <v>5</v>
      </c>
      <c r="D3575" t="s">
        <v>458</v>
      </c>
      <c r="E3575" s="217">
        <v>45170</v>
      </c>
      <c r="F3575">
        <v>70.938999999999993</v>
      </c>
      <c r="G3575" t="s">
        <v>262</v>
      </c>
    </row>
    <row r="3576" spans="1:7">
      <c r="A3576" s="216">
        <v>45170</v>
      </c>
      <c r="B3576" t="s">
        <v>3</v>
      </c>
      <c r="C3576">
        <v>5</v>
      </c>
      <c r="D3576" t="s">
        <v>458</v>
      </c>
      <c r="E3576" s="217">
        <v>45170</v>
      </c>
      <c r="F3576">
        <v>1028.3230000000001</v>
      </c>
      <c r="G3576" t="s">
        <v>434</v>
      </c>
    </row>
    <row r="3577" spans="1:7">
      <c r="A3577" s="216">
        <v>45170</v>
      </c>
      <c r="B3577" t="s">
        <v>3</v>
      </c>
      <c r="C3577">
        <v>6</v>
      </c>
      <c r="D3577" t="s">
        <v>448</v>
      </c>
      <c r="E3577" s="217">
        <v>45170</v>
      </c>
      <c r="F3577">
        <v>3215.85</v>
      </c>
      <c r="G3577" t="s">
        <v>251</v>
      </c>
    </row>
    <row r="3578" spans="1:7">
      <c r="A3578" s="216">
        <v>45170</v>
      </c>
      <c r="B3578" t="s">
        <v>3</v>
      </c>
      <c r="C3578">
        <v>6</v>
      </c>
      <c r="D3578" t="s">
        <v>448</v>
      </c>
      <c r="E3578" s="217">
        <v>45170</v>
      </c>
      <c r="F3578">
        <v>3647.3679999999999</v>
      </c>
      <c r="G3578" t="s">
        <v>252</v>
      </c>
    </row>
    <row r="3579" spans="1:7">
      <c r="A3579" s="216">
        <v>45170</v>
      </c>
      <c r="B3579" t="s">
        <v>3</v>
      </c>
      <c r="C3579">
        <v>6</v>
      </c>
      <c r="D3579" t="s">
        <v>448</v>
      </c>
      <c r="E3579" s="217">
        <v>45170</v>
      </c>
      <c r="F3579">
        <v>3689.9490000000001</v>
      </c>
      <c r="G3579" t="s">
        <v>253</v>
      </c>
    </row>
    <row r="3580" spans="1:7">
      <c r="A3580" s="216">
        <v>45170</v>
      </c>
      <c r="B3580" t="s">
        <v>3</v>
      </c>
      <c r="C3580">
        <v>6</v>
      </c>
      <c r="D3580" t="s">
        <v>448</v>
      </c>
      <c r="E3580" s="217">
        <v>45170</v>
      </c>
      <c r="F3580">
        <v>3635.221</v>
      </c>
      <c r="G3580" t="s">
        <v>254</v>
      </c>
    </row>
    <row r="3581" spans="1:7">
      <c r="A3581" s="216">
        <v>45170</v>
      </c>
      <c r="B3581" t="s">
        <v>3</v>
      </c>
      <c r="C3581">
        <v>6</v>
      </c>
      <c r="D3581" t="s">
        <v>448</v>
      </c>
      <c r="E3581" s="217">
        <v>45170</v>
      </c>
      <c r="F3581">
        <v>3385.0540000000001</v>
      </c>
      <c r="G3581" t="s">
        <v>255</v>
      </c>
    </row>
    <row r="3582" spans="1:7">
      <c r="A3582" s="216">
        <v>45170</v>
      </c>
      <c r="B3582" t="s">
        <v>3</v>
      </c>
      <c r="C3582">
        <v>6</v>
      </c>
      <c r="D3582" t="s">
        <v>448</v>
      </c>
      <c r="E3582" s="217">
        <v>45170</v>
      </c>
      <c r="F3582">
        <v>4005.4319999999998</v>
      </c>
      <c r="G3582" t="s">
        <v>256</v>
      </c>
    </row>
    <row r="3583" spans="1:7">
      <c r="A3583" s="216">
        <v>45170</v>
      </c>
      <c r="B3583" t="s">
        <v>3</v>
      </c>
      <c r="C3583">
        <v>6</v>
      </c>
      <c r="D3583" t="s">
        <v>448</v>
      </c>
      <c r="E3583" s="217">
        <v>45170</v>
      </c>
      <c r="F3583">
        <v>4307.1909999999998</v>
      </c>
      <c r="G3583" t="s">
        <v>257</v>
      </c>
    </row>
    <row r="3584" spans="1:7">
      <c r="A3584" s="216">
        <v>45170</v>
      </c>
      <c r="B3584" t="s">
        <v>3</v>
      </c>
      <c r="C3584">
        <v>6</v>
      </c>
      <c r="D3584" t="s">
        <v>448</v>
      </c>
      <c r="E3584" s="217">
        <v>45170</v>
      </c>
      <c r="F3584">
        <v>3256.15</v>
      </c>
      <c r="G3584" t="s">
        <v>258</v>
      </c>
    </row>
    <row r="3585" spans="1:7">
      <c r="A3585" s="216">
        <v>45170</v>
      </c>
      <c r="B3585" t="s">
        <v>3</v>
      </c>
      <c r="C3585">
        <v>6</v>
      </c>
      <c r="D3585" t="s">
        <v>448</v>
      </c>
      <c r="E3585" s="217">
        <v>45170</v>
      </c>
      <c r="F3585">
        <v>3248.9810000000002</v>
      </c>
      <c r="G3585" t="s">
        <v>259</v>
      </c>
    </row>
    <row r="3586" spans="1:7">
      <c r="A3586" s="216">
        <v>45170</v>
      </c>
      <c r="B3586" t="s">
        <v>3</v>
      </c>
      <c r="C3586">
        <v>6</v>
      </c>
      <c r="D3586" t="s">
        <v>448</v>
      </c>
      <c r="E3586" s="217">
        <v>45170</v>
      </c>
      <c r="F3586">
        <v>3257.8249999999998</v>
      </c>
      <c r="G3586" t="s">
        <v>260</v>
      </c>
    </row>
    <row r="3587" spans="1:7">
      <c r="A3587" s="216">
        <v>45170</v>
      </c>
      <c r="B3587" t="s">
        <v>3</v>
      </c>
      <c r="C3587">
        <v>6</v>
      </c>
      <c r="D3587" t="s">
        <v>448</v>
      </c>
      <c r="E3587" s="217">
        <v>45170</v>
      </c>
      <c r="F3587">
        <v>3257.8249999999998</v>
      </c>
      <c r="G3587" t="s">
        <v>261</v>
      </c>
    </row>
    <row r="3588" spans="1:7">
      <c r="A3588" s="216">
        <v>45170</v>
      </c>
      <c r="B3588" t="s">
        <v>3</v>
      </c>
      <c r="C3588">
        <v>6</v>
      </c>
      <c r="D3588" t="s">
        <v>448</v>
      </c>
      <c r="E3588" s="217">
        <v>45170</v>
      </c>
      <c r="F3588">
        <v>2979.4009999999998</v>
      </c>
      <c r="G3588" t="s">
        <v>262</v>
      </c>
    </row>
    <row r="3589" spans="1:7">
      <c r="A3589" s="216">
        <v>45170</v>
      </c>
      <c r="B3589" t="s">
        <v>3</v>
      </c>
      <c r="C3589">
        <v>6</v>
      </c>
      <c r="D3589" t="s">
        <v>448</v>
      </c>
      <c r="E3589" s="217">
        <v>45170</v>
      </c>
      <c r="F3589">
        <v>41886.247000000003</v>
      </c>
      <c r="G3589" t="s">
        <v>434</v>
      </c>
    </row>
    <row r="3590" spans="1:7">
      <c r="A3590" s="216">
        <v>45170</v>
      </c>
      <c r="B3590" t="s">
        <v>3</v>
      </c>
      <c r="C3590">
        <v>7</v>
      </c>
      <c r="D3590" t="s">
        <v>442</v>
      </c>
      <c r="E3590" s="217">
        <v>45170</v>
      </c>
      <c r="F3590">
        <v>99743.744999999995</v>
      </c>
      <c r="G3590" t="s">
        <v>251</v>
      </c>
    </row>
    <row r="3591" spans="1:7">
      <c r="A3591" s="216">
        <v>45170</v>
      </c>
      <c r="B3591" t="s">
        <v>3</v>
      </c>
      <c r="C3591">
        <v>7</v>
      </c>
      <c r="D3591" t="s">
        <v>442</v>
      </c>
      <c r="E3591" s="217">
        <v>45170</v>
      </c>
      <c r="F3591">
        <v>105619.35799999999</v>
      </c>
      <c r="G3591" t="s">
        <v>252</v>
      </c>
    </row>
    <row r="3592" spans="1:7">
      <c r="A3592" s="216">
        <v>45170</v>
      </c>
      <c r="B3592" t="s">
        <v>3</v>
      </c>
      <c r="C3592">
        <v>7</v>
      </c>
      <c r="D3592" t="s">
        <v>442</v>
      </c>
      <c r="E3592" s="217">
        <v>45170</v>
      </c>
      <c r="F3592">
        <v>124152.56299999999</v>
      </c>
      <c r="G3592" t="s">
        <v>253</v>
      </c>
    </row>
    <row r="3593" spans="1:7">
      <c r="A3593" s="216">
        <v>45170</v>
      </c>
      <c r="B3593" t="s">
        <v>3</v>
      </c>
      <c r="C3593">
        <v>7</v>
      </c>
      <c r="D3593" t="s">
        <v>442</v>
      </c>
      <c r="E3593" s="217">
        <v>45170</v>
      </c>
      <c r="F3593">
        <v>124228.40300000001</v>
      </c>
      <c r="G3593" t="s">
        <v>254</v>
      </c>
    </row>
    <row r="3594" spans="1:7">
      <c r="A3594" s="216">
        <v>45170</v>
      </c>
      <c r="B3594" t="s">
        <v>3</v>
      </c>
      <c r="C3594">
        <v>7</v>
      </c>
      <c r="D3594" t="s">
        <v>442</v>
      </c>
      <c r="E3594" s="217">
        <v>45170</v>
      </c>
      <c r="F3594">
        <v>113821.038</v>
      </c>
      <c r="G3594" t="s">
        <v>255</v>
      </c>
    </row>
    <row r="3595" spans="1:7">
      <c r="A3595" s="216">
        <v>45170</v>
      </c>
      <c r="B3595" t="s">
        <v>3</v>
      </c>
      <c r="C3595">
        <v>7</v>
      </c>
      <c r="D3595" t="s">
        <v>442</v>
      </c>
      <c r="E3595" s="217">
        <v>45170</v>
      </c>
      <c r="F3595">
        <v>113158.63800000001</v>
      </c>
      <c r="G3595" t="s">
        <v>256</v>
      </c>
    </row>
    <row r="3596" spans="1:7">
      <c r="A3596" s="216">
        <v>45170</v>
      </c>
      <c r="B3596" t="s">
        <v>3</v>
      </c>
      <c r="C3596">
        <v>7</v>
      </c>
      <c r="D3596" t="s">
        <v>442</v>
      </c>
      <c r="E3596" s="217">
        <v>45170</v>
      </c>
      <c r="F3596">
        <v>117706.63180666701</v>
      </c>
      <c r="G3596" t="s">
        <v>257</v>
      </c>
    </row>
    <row r="3597" spans="1:7">
      <c r="A3597" s="216">
        <v>45170</v>
      </c>
      <c r="B3597" t="s">
        <v>3</v>
      </c>
      <c r="C3597">
        <v>7</v>
      </c>
      <c r="D3597" t="s">
        <v>442</v>
      </c>
      <c r="E3597" s="217">
        <v>45170</v>
      </c>
      <c r="F3597">
        <v>118634.655806667</v>
      </c>
      <c r="G3597" t="s">
        <v>258</v>
      </c>
    </row>
    <row r="3598" spans="1:7">
      <c r="A3598" s="216">
        <v>45170</v>
      </c>
      <c r="B3598" t="s">
        <v>3</v>
      </c>
      <c r="C3598">
        <v>7</v>
      </c>
      <c r="D3598" t="s">
        <v>442</v>
      </c>
      <c r="E3598" s="217">
        <v>45170</v>
      </c>
      <c r="F3598">
        <v>118868.810806667</v>
      </c>
      <c r="G3598" t="s">
        <v>259</v>
      </c>
    </row>
    <row r="3599" spans="1:7">
      <c r="A3599" s="216">
        <v>45170</v>
      </c>
      <c r="B3599" t="s">
        <v>3</v>
      </c>
      <c r="C3599">
        <v>7</v>
      </c>
      <c r="D3599" t="s">
        <v>442</v>
      </c>
      <c r="E3599" s="217">
        <v>45170</v>
      </c>
      <c r="F3599">
        <v>119619.65480666699</v>
      </c>
      <c r="G3599" t="s">
        <v>260</v>
      </c>
    </row>
    <row r="3600" spans="1:7">
      <c r="A3600" s="216">
        <v>45170</v>
      </c>
      <c r="B3600" t="s">
        <v>3</v>
      </c>
      <c r="C3600">
        <v>7</v>
      </c>
      <c r="D3600" t="s">
        <v>442</v>
      </c>
      <c r="E3600" s="217">
        <v>45170</v>
      </c>
      <c r="F3600">
        <v>118851.65480666699</v>
      </c>
      <c r="G3600" t="s">
        <v>261</v>
      </c>
    </row>
    <row r="3601" spans="1:7">
      <c r="A3601" s="216">
        <v>45170</v>
      </c>
      <c r="B3601" t="s">
        <v>3</v>
      </c>
      <c r="C3601">
        <v>7</v>
      </c>
      <c r="D3601" t="s">
        <v>442</v>
      </c>
      <c r="E3601" s="217">
        <v>45170</v>
      </c>
      <c r="F3601">
        <v>167551.703966667</v>
      </c>
      <c r="G3601" t="s">
        <v>262</v>
      </c>
    </row>
    <row r="3602" spans="1:7">
      <c r="A3602" s="216">
        <v>45170</v>
      </c>
      <c r="B3602" t="s">
        <v>3</v>
      </c>
      <c r="C3602">
        <v>7</v>
      </c>
      <c r="D3602" t="s">
        <v>442</v>
      </c>
      <c r="E3602" s="217">
        <v>45170</v>
      </c>
      <c r="F3602">
        <v>1441956.8570000001</v>
      </c>
      <c r="G3602" t="s">
        <v>434</v>
      </c>
    </row>
    <row r="3603" spans="1:7">
      <c r="A3603" s="216">
        <v>45170</v>
      </c>
      <c r="B3603" t="s">
        <v>3</v>
      </c>
      <c r="C3603">
        <v>9</v>
      </c>
      <c r="D3603" t="s">
        <v>450</v>
      </c>
      <c r="E3603" s="217">
        <v>45170</v>
      </c>
      <c r="F3603">
        <v>6758.3729999999996</v>
      </c>
      <c r="G3603" t="s">
        <v>251</v>
      </c>
    </row>
    <row r="3604" spans="1:7">
      <c r="A3604" s="216">
        <v>45170</v>
      </c>
      <c r="B3604" t="s">
        <v>3</v>
      </c>
      <c r="C3604">
        <v>9</v>
      </c>
      <c r="D3604" t="s">
        <v>450</v>
      </c>
      <c r="E3604" s="217">
        <v>45170</v>
      </c>
      <c r="F3604">
        <v>7596.64</v>
      </c>
      <c r="G3604" t="s">
        <v>252</v>
      </c>
    </row>
    <row r="3605" spans="1:7">
      <c r="A3605" s="216">
        <v>45170</v>
      </c>
      <c r="B3605" t="s">
        <v>3</v>
      </c>
      <c r="C3605">
        <v>9</v>
      </c>
      <c r="D3605" t="s">
        <v>450</v>
      </c>
      <c r="E3605" s="217">
        <v>45170</v>
      </c>
      <c r="F3605">
        <v>7234.2659999999996</v>
      </c>
      <c r="G3605" t="s">
        <v>253</v>
      </c>
    </row>
    <row r="3606" spans="1:7">
      <c r="A3606" s="216">
        <v>45170</v>
      </c>
      <c r="B3606" t="s">
        <v>3</v>
      </c>
      <c r="C3606">
        <v>9</v>
      </c>
      <c r="D3606" t="s">
        <v>450</v>
      </c>
      <c r="E3606" s="217">
        <v>45170</v>
      </c>
      <c r="F3606">
        <v>7691.0339999999997</v>
      </c>
      <c r="G3606" t="s">
        <v>254</v>
      </c>
    </row>
    <row r="3607" spans="1:7">
      <c r="A3607" s="216">
        <v>45170</v>
      </c>
      <c r="B3607" t="s">
        <v>3</v>
      </c>
      <c r="C3607">
        <v>9</v>
      </c>
      <c r="D3607" t="s">
        <v>450</v>
      </c>
      <c r="E3607" s="217">
        <v>45170</v>
      </c>
      <c r="F3607">
        <v>7961.1970000000001</v>
      </c>
      <c r="G3607" t="s">
        <v>255</v>
      </c>
    </row>
    <row r="3608" spans="1:7">
      <c r="A3608" s="216">
        <v>45170</v>
      </c>
      <c r="B3608" t="s">
        <v>3</v>
      </c>
      <c r="C3608">
        <v>9</v>
      </c>
      <c r="D3608" t="s">
        <v>450</v>
      </c>
      <c r="E3608" s="217">
        <v>45170</v>
      </c>
      <c r="F3608">
        <v>7039.3019999999997</v>
      </c>
      <c r="G3608" t="s">
        <v>256</v>
      </c>
    </row>
    <row r="3609" spans="1:7">
      <c r="A3609" s="216">
        <v>45170</v>
      </c>
      <c r="B3609" t="s">
        <v>3</v>
      </c>
      <c r="C3609">
        <v>9</v>
      </c>
      <c r="D3609" t="s">
        <v>450</v>
      </c>
      <c r="E3609" s="217">
        <v>45170</v>
      </c>
      <c r="F3609">
        <v>6854.9650000000001</v>
      </c>
      <c r="G3609" t="s">
        <v>257</v>
      </c>
    </row>
    <row r="3610" spans="1:7">
      <c r="A3610" s="216">
        <v>45170</v>
      </c>
      <c r="B3610" t="s">
        <v>3</v>
      </c>
      <c r="C3610">
        <v>9</v>
      </c>
      <c r="D3610" t="s">
        <v>450</v>
      </c>
      <c r="E3610" s="217">
        <v>45170</v>
      </c>
      <c r="F3610">
        <v>6854.9650000000001</v>
      </c>
      <c r="G3610" t="s">
        <v>258</v>
      </c>
    </row>
    <row r="3611" spans="1:7">
      <c r="A3611" s="216">
        <v>45170</v>
      </c>
      <c r="B3611" t="s">
        <v>3</v>
      </c>
      <c r="C3611">
        <v>9</v>
      </c>
      <c r="D3611" t="s">
        <v>450</v>
      </c>
      <c r="E3611" s="217">
        <v>45170</v>
      </c>
      <c r="F3611">
        <v>6854.9650000000001</v>
      </c>
      <c r="G3611" t="s">
        <v>259</v>
      </c>
    </row>
    <row r="3612" spans="1:7">
      <c r="A3612" s="216">
        <v>45170</v>
      </c>
      <c r="B3612" t="s">
        <v>3</v>
      </c>
      <c r="C3612">
        <v>9</v>
      </c>
      <c r="D3612" t="s">
        <v>450</v>
      </c>
      <c r="E3612" s="217">
        <v>45170</v>
      </c>
      <c r="F3612">
        <v>6854.9650000000001</v>
      </c>
      <c r="G3612" t="s">
        <v>260</v>
      </c>
    </row>
    <row r="3613" spans="1:7">
      <c r="A3613" s="216">
        <v>45170</v>
      </c>
      <c r="B3613" t="s">
        <v>3</v>
      </c>
      <c r="C3613">
        <v>9</v>
      </c>
      <c r="D3613" t="s">
        <v>450</v>
      </c>
      <c r="E3613" s="217">
        <v>45170</v>
      </c>
      <c r="F3613">
        <v>6854.9650000000001</v>
      </c>
      <c r="G3613" t="s">
        <v>261</v>
      </c>
    </row>
    <row r="3614" spans="1:7">
      <c r="A3614" s="216">
        <v>45170</v>
      </c>
      <c r="B3614" t="s">
        <v>3</v>
      </c>
      <c r="C3614">
        <v>9</v>
      </c>
      <c r="D3614" t="s">
        <v>450</v>
      </c>
      <c r="E3614" s="217">
        <v>45170</v>
      </c>
      <c r="F3614">
        <v>6905.31</v>
      </c>
      <c r="G3614" t="s">
        <v>262</v>
      </c>
    </row>
    <row r="3615" spans="1:7">
      <c r="A3615" s="216">
        <v>45170</v>
      </c>
      <c r="B3615" t="s">
        <v>3</v>
      </c>
      <c r="C3615">
        <v>9</v>
      </c>
      <c r="D3615" t="s">
        <v>450</v>
      </c>
      <c r="E3615" s="217">
        <v>45170</v>
      </c>
      <c r="F3615">
        <v>85460.947</v>
      </c>
      <c r="G3615" t="s">
        <v>434</v>
      </c>
    </row>
    <row r="3616" spans="1:7">
      <c r="A3616" s="216">
        <v>45170</v>
      </c>
      <c r="B3616" t="s">
        <v>3</v>
      </c>
      <c r="C3616">
        <v>10</v>
      </c>
      <c r="D3616" t="s">
        <v>433</v>
      </c>
      <c r="E3616" s="217">
        <v>45170</v>
      </c>
      <c r="F3616">
        <v>54145.180999999997</v>
      </c>
      <c r="G3616" t="s">
        <v>251</v>
      </c>
    </row>
    <row r="3617" spans="1:7">
      <c r="A3617" s="216">
        <v>45170</v>
      </c>
      <c r="B3617" t="s">
        <v>3</v>
      </c>
      <c r="C3617">
        <v>10</v>
      </c>
      <c r="D3617" t="s">
        <v>433</v>
      </c>
      <c r="E3617" s="217">
        <v>45170</v>
      </c>
      <c r="F3617">
        <v>58136.858</v>
      </c>
      <c r="G3617" t="s">
        <v>252</v>
      </c>
    </row>
    <row r="3618" spans="1:7">
      <c r="A3618" s="216">
        <v>45170</v>
      </c>
      <c r="B3618" t="s">
        <v>3</v>
      </c>
      <c r="C3618">
        <v>10</v>
      </c>
      <c r="D3618" t="s">
        <v>433</v>
      </c>
      <c r="E3618" s="217">
        <v>45170</v>
      </c>
      <c r="F3618">
        <v>70330.335999999996</v>
      </c>
      <c r="G3618" t="s">
        <v>253</v>
      </c>
    </row>
    <row r="3619" spans="1:7">
      <c r="A3619" s="216">
        <v>45170</v>
      </c>
      <c r="B3619" t="s">
        <v>3</v>
      </c>
      <c r="C3619">
        <v>10</v>
      </c>
      <c r="D3619" t="s">
        <v>433</v>
      </c>
      <c r="E3619" s="217">
        <v>45170</v>
      </c>
      <c r="F3619">
        <v>71803.997000000003</v>
      </c>
      <c r="G3619" t="s">
        <v>254</v>
      </c>
    </row>
    <row r="3620" spans="1:7">
      <c r="A3620" s="216">
        <v>45170</v>
      </c>
      <c r="B3620" t="s">
        <v>3</v>
      </c>
      <c r="C3620">
        <v>10</v>
      </c>
      <c r="D3620" t="s">
        <v>433</v>
      </c>
      <c r="E3620" s="217">
        <v>45170</v>
      </c>
      <c r="F3620">
        <v>59340.930999999997</v>
      </c>
      <c r="G3620" t="s">
        <v>255</v>
      </c>
    </row>
    <row r="3621" spans="1:7">
      <c r="A3621" s="216">
        <v>45170</v>
      </c>
      <c r="B3621" t="s">
        <v>3</v>
      </c>
      <c r="C3621">
        <v>10</v>
      </c>
      <c r="D3621" t="s">
        <v>433</v>
      </c>
      <c r="E3621" s="217">
        <v>45170</v>
      </c>
      <c r="F3621">
        <v>59220.523999999998</v>
      </c>
      <c r="G3621" t="s">
        <v>256</v>
      </c>
    </row>
    <row r="3622" spans="1:7">
      <c r="A3622" s="216">
        <v>45170</v>
      </c>
      <c r="B3622" t="s">
        <v>3</v>
      </c>
      <c r="C3622">
        <v>10</v>
      </c>
      <c r="D3622" t="s">
        <v>433</v>
      </c>
      <c r="E3622" s="217">
        <v>45170</v>
      </c>
      <c r="F3622">
        <v>59074.830880833302</v>
      </c>
      <c r="G3622" t="s">
        <v>257</v>
      </c>
    </row>
    <row r="3623" spans="1:7">
      <c r="A3623" s="216">
        <v>45170</v>
      </c>
      <c r="B3623" t="s">
        <v>3</v>
      </c>
      <c r="C3623">
        <v>10</v>
      </c>
      <c r="D3623" t="s">
        <v>433</v>
      </c>
      <c r="E3623" s="217">
        <v>45170</v>
      </c>
      <c r="F3623">
        <v>59055.399880833298</v>
      </c>
      <c r="G3623" t="s">
        <v>258</v>
      </c>
    </row>
    <row r="3624" spans="1:7">
      <c r="A3624" s="216">
        <v>45170</v>
      </c>
      <c r="B3624" t="s">
        <v>3</v>
      </c>
      <c r="C3624">
        <v>10</v>
      </c>
      <c r="D3624" t="s">
        <v>433</v>
      </c>
      <c r="E3624" s="217">
        <v>45170</v>
      </c>
      <c r="F3624">
        <v>59045.179880833297</v>
      </c>
      <c r="G3624" t="s">
        <v>259</v>
      </c>
    </row>
    <row r="3625" spans="1:7">
      <c r="A3625" s="216">
        <v>45170</v>
      </c>
      <c r="B3625" t="s">
        <v>3</v>
      </c>
      <c r="C3625">
        <v>10</v>
      </c>
      <c r="D3625" t="s">
        <v>433</v>
      </c>
      <c r="E3625" s="217">
        <v>45170</v>
      </c>
      <c r="F3625">
        <v>59188.913880833301</v>
      </c>
      <c r="G3625" t="s">
        <v>260</v>
      </c>
    </row>
    <row r="3626" spans="1:7">
      <c r="A3626" s="216">
        <v>45170</v>
      </c>
      <c r="B3626" t="s">
        <v>3</v>
      </c>
      <c r="C3626">
        <v>10</v>
      </c>
      <c r="D3626" t="s">
        <v>433</v>
      </c>
      <c r="E3626" s="217">
        <v>45170</v>
      </c>
      <c r="F3626">
        <v>59091.361880833298</v>
      </c>
      <c r="G3626" t="s">
        <v>261</v>
      </c>
    </row>
    <row r="3627" spans="1:7">
      <c r="A3627" s="216">
        <v>45170</v>
      </c>
      <c r="B3627" t="s">
        <v>3</v>
      </c>
      <c r="C3627">
        <v>10</v>
      </c>
      <c r="D3627" t="s">
        <v>433</v>
      </c>
      <c r="E3627" s="217">
        <v>45170</v>
      </c>
      <c r="F3627">
        <v>59186.4458808333</v>
      </c>
      <c r="G3627" t="s">
        <v>262</v>
      </c>
    </row>
    <row r="3628" spans="1:7">
      <c r="A3628" s="216">
        <v>45170</v>
      </c>
      <c r="B3628" t="s">
        <v>3</v>
      </c>
      <c r="C3628">
        <v>10</v>
      </c>
      <c r="D3628" t="s">
        <v>433</v>
      </c>
      <c r="E3628" s="217">
        <v>45170</v>
      </c>
      <c r="F3628">
        <v>727619.95928499999</v>
      </c>
      <c r="G3628" t="s">
        <v>434</v>
      </c>
    </row>
    <row r="3629" spans="1:7">
      <c r="A3629" s="216">
        <v>45170</v>
      </c>
      <c r="B3629" t="s">
        <v>3</v>
      </c>
      <c r="C3629">
        <v>11</v>
      </c>
      <c r="D3629" t="s">
        <v>445</v>
      </c>
      <c r="E3629" s="217">
        <v>45170</v>
      </c>
      <c r="F3629">
        <v>11225.135</v>
      </c>
      <c r="G3629" t="s">
        <v>251</v>
      </c>
    </row>
    <row r="3630" spans="1:7">
      <c r="A3630" s="216">
        <v>45170</v>
      </c>
      <c r="B3630" t="s">
        <v>3</v>
      </c>
      <c r="C3630">
        <v>11</v>
      </c>
      <c r="D3630" t="s">
        <v>445</v>
      </c>
      <c r="E3630" s="217">
        <v>45170</v>
      </c>
      <c r="F3630">
        <v>10959.656000000001</v>
      </c>
      <c r="G3630" t="s">
        <v>252</v>
      </c>
    </row>
    <row r="3631" spans="1:7">
      <c r="A3631" s="216">
        <v>45170</v>
      </c>
      <c r="B3631" t="s">
        <v>3</v>
      </c>
      <c r="C3631">
        <v>11</v>
      </c>
      <c r="D3631" t="s">
        <v>445</v>
      </c>
      <c r="E3631" s="217">
        <v>45170</v>
      </c>
      <c r="F3631">
        <v>12586.065000000001</v>
      </c>
      <c r="G3631" t="s">
        <v>253</v>
      </c>
    </row>
    <row r="3632" spans="1:7">
      <c r="A3632" s="216">
        <v>45170</v>
      </c>
      <c r="B3632" t="s">
        <v>3</v>
      </c>
      <c r="C3632">
        <v>11</v>
      </c>
      <c r="D3632" t="s">
        <v>445</v>
      </c>
      <c r="E3632" s="217">
        <v>45170</v>
      </c>
      <c r="F3632">
        <v>12081.285</v>
      </c>
      <c r="G3632" t="s">
        <v>254</v>
      </c>
    </row>
    <row r="3633" spans="1:7">
      <c r="A3633" s="216">
        <v>45170</v>
      </c>
      <c r="B3633" t="s">
        <v>3</v>
      </c>
      <c r="C3633">
        <v>11</v>
      </c>
      <c r="D3633" t="s">
        <v>445</v>
      </c>
      <c r="E3633" s="217">
        <v>45170</v>
      </c>
      <c r="F3633">
        <v>11774.906000000001</v>
      </c>
      <c r="G3633" t="s">
        <v>255</v>
      </c>
    </row>
    <row r="3634" spans="1:7">
      <c r="A3634" s="216">
        <v>45170</v>
      </c>
      <c r="B3634" t="s">
        <v>3</v>
      </c>
      <c r="C3634">
        <v>11</v>
      </c>
      <c r="D3634" t="s">
        <v>445</v>
      </c>
      <c r="E3634" s="217">
        <v>45170</v>
      </c>
      <c r="F3634">
        <v>13086.627</v>
      </c>
      <c r="G3634" t="s">
        <v>256</v>
      </c>
    </row>
    <row r="3635" spans="1:7">
      <c r="A3635" s="216">
        <v>45170</v>
      </c>
      <c r="B3635" t="s">
        <v>3</v>
      </c>
      <c r="C3635">
        <v>11</v>
      </c>
      <c r="D3635" t="s">
        <v>445</v>
      </c>
      <c r="E3635" s="217">
        <v>45170</v>
      </c>
      <c r="F3635">
        <v>13523.0757369805</v>
      </c>
      <c r="G3635" t="s">
        <v>257</v>
      </c>
    </row>
    <row r="3636" spans="1:7">
      <c r="A3636" s="216">
        <v>45170</v>
      </c>
      <c r="B3636" t="s">
        <v>3</v>
      </c>
      <c r="C3636">
        <v>11</v>
      </c>
      <c r="D3636" t="s">
        <v>445</v>
      </c>
      <c r="E3636" s="217">
        <v>45170</v>
      </c>
      <c r="F3636">
        <v>11475.0157369805</v>
      </c>
      <c r="G3636" t="s">
        <v>258</v>
      </c>
    </row>
    <row r="3637" spans="1:7">
      <c r="A3637" s="216">
        <v>45170</v>
      </c>
      <c r="B3637" t="s">
        <v>3</v>
      </c>
      <c r="C3637">
        <v>11</v>
      </c>
      <c r="D3637" t="s">
        <v>445</v>
      </c>
      <c r="E3637" s="217">
        <v>45170</v>
      </c>
      <c r="F3637">
        <v>11402.9887369805</v>
      </c>
      <c r="G3637" t="s">
        <v>259</v>
      </c>
    </row>
    <row r="3638" spans="1:7">
      <c r="A3638" s="216">
        <v>45170</v>
      </c>
      <c r="B3638" t="s">
        <v>3</v>
      </c>
      <c r="C3638">
        <v>11</v>
      </c>
      <c r="D3638" t="s">
        <v>445</v>
      </c>
      <c r="E3638" s="217">
        <v>45170</v>
      </c>
      <c r="F3638">
        <v>11403.4320703139</v>
      </c>
      <c r="G3638" t="s">
        <v>260</v>
      </c>
    </row>
    <row r="3639" spans="1:7">
      <c r="A3639" s="216">
        <v>45170</v>
      </c>
      <c r="B3639" t="s">
        <v>3</v>
      </c>
      <c r="C3639">
        <v>11</v>
      </c>
      <c r="D3639" t="s">
        <v>445</v>
      </c>
      <c r="E3639" s="217">
        <v>45170</v>
      </c>
      <c r="F3639">
        <v>11042.4830703138</v>
      </c>
      <c r="G3639" t="s">
        <v>261</v>
      </c>
    </row>
    <row r="3640" spans="1:7">
      <c r="A3640" s="216">
        <v>45170</v>
      </c>
      <c r="B3640" t="s">
        <v>3</v>
      </c>
      <c r="C3640">
        <v>11</v>
      </c>
      <c r="D3640" t="s">
        <v>445</v>
      </c>
      <c r="E3640" s="217">
        <v>45170</v>
      </c>
      <c r="F3640">
        <v>43994.187730313897</v>
      </c>
      <c r="G3640" t="s">
        <v>262</v>
      </c>
    </row>
    <row r="3641" spans="1:7">
      <c r="A3641" s="216">
        <v>45170</v>
      </c>
      <c r="B3641" t="s">
        <v>3</v>
      </c>
      <c r="C3641">
        <v>11</v>
      </c>
      <c r="D3641" t="s">
        <v>445</v>
      </c>
      <c r="E3641" s="217">
        <v>45170</v>
      </c>
      <c r="F3641">
        <v>174554.857081883</v>
      </c>
      <c r="G3641" t="s">
        <v>434</v>
      </c>
    </row>
    <row r="3642" spans="1:7">
      <c r="A3642" s="216">
        <v>45170</v>
      </c>
      <c r="B3642" t="s">
        <v>3</v>
      </c>
      <c r="C3642">
        <v>12</v>
      </c>
      <c r="D3642" t="s">
        <v>454</v>
      </c>
      <c r="E3642" s="217">
        <v>45170</v>
      </c>
      <c r="F3642">
        <v>5428.5649999999996</v>
      </c>
      <c r="G3642" t="s">
        <v>251</v>
      </c>
    </row>
    <row r="3643" spans="1:7">
      <c r="A3643" s="216">
        <v>45170</v>
      </c>
      <c r="B3643" t="s">
        <v>3</v>
      </c>
      <c r="C3643">
        <v>12</v>
      </c>
      <c r="D3643" t="s">
        <v>454</v>
      </c>
      <c r="E3643" s="217">
        <v>45170</v>
      </c>
      <c r="F3643">
        <v>6817.8760000000002</v>
      </c>
      <c r="G3643" t="s">
        <v>252</v>
      </c>
    </row>
    <row r="3644" spans="1:7">
      <c r="A3644" s="216">
        <v>45170</v>
      </c>
      <c r="B3644" t="s">
        <v>3</v>
      </c>
      <c r="C3644">
        <v>12</v>
      </c>
      <c r="D3644" t="s">
        <v>454</v>
      </c>
      <c r="E3644" s="217">
        <v>45170</v>
      </c>
      <c r="F3644">
        <v>6594.8680000000004</v>
      </c>
      <c r="G3644" t="s">
        <v>253</v>
      </c>
    </row>
    <row r="3645" spans="1:7">
      <c r="A3645" s="216">
        <v>45170</v>
      </c>
      <c r="B3645" t="s">
        <v>3</v>
      </c>
      <c r="C3645">
        <v>12</v>
      </c>
      <c r="D3645" t="s">
        <v>454</v>
      </c>
      <c r="E3645" s="217">
        <v>45170</v>
      </c>
      <c r="F3645">
        <v>6639.8580000000002</v>
      </c>
      <c r="G3645" t="s">
        <v>254</v>
      </c>
    </row>
    <row r="3646" spans="1:7">
      <c r="A3646" s="216">
        <v>45170</v>
      </c>
      <c r="B3646" t="s">
        <v>3</v>
      </c>
      <c r="C3646">
        <v>12</v>
      </c>
      <c r="D3646" t="s">
        <v>454</v>
      </c>
      <c r="E3646" s="217">
        <v>45170</v>
      </c>
      <c r="F3646">
        <v>6582.1090000000004</v>
      </c>
      <c r="G3646" t="s">
        <v>255</v>
      </c>
    </row>
    <row r="3647" spans="1:7">
      <c r="A3647" s="216">
        <v>45170</v>
      </c>
      <c r="B3647" t="s">
        <v>3</v>
      </c>
      <c r="C3647">
        <v>12</v>
      </c>
      <c r="D3647" t="s">
        <v>454</v>
      </c>
      <c r="E3647" s="217">
        <v>45170</v>
      </c>
      <c r="F3647">
        <v>6362.308</v>
      </c>
      <c r="G3647" t="s">
        <v>256</v>
      </c>
    </row>
    <row r="3648" spans="1:7">
      <c r="A3648" s="216">
        <v>45170</v>
      </c>
      <c r="B3648" t="s">
        <v>3</v>
      </c>
      <c r="C3648">
        <v>12</v>
      </c>
      <c r="D3648" t="s">
        <v>454</v>
      </c>
      <c r="E3648" s="217">
        <v>45170</v>
      </c>
      <c r="F3648">
        <v>7133.1902499999997</v>
      </c>
      <c r="G3648" t="s">
        <v>257</v>
      </c>
    </row>
    <row r="3649" spans="1:7">
      <c r="A3649" s="216">
        <v>45170</v>
      </c>
      <c r="B3649" t="s">
        <v>3</v>
      </c>
      <c r="C3649">
        <v>12</v>
      </c>
      <c r="D3649" t="s">
        <v>454</v>
      </c>
      <c r="E3649" s="217">
        <v>45170</v>
      </c>
      <c r="F3649">
        <v>7131.9502499999999</v>
      </c>
      <c r="G3649" t="s">
        <v>258</v>
      </c>
    </row>
    <row r="3650" spans="1:7">
      <c r="A3650" s="216">
        <v>45170</v>
      </c>
      <c r="B3650" t="s">
        <v>3</v>
      </c>
      <c r="C3650">
        <v>12</v>
      </c>
      <c r="D3650" t="s">
        <v>454</v>
      </c>
      <c r="E3650" s="217">
        <v>45170</v>
      </c>
      <c r="F3650">
        <v>7131.9512500000001</v>
      </c>
      <c r="G3650" t="s">
        <v>259</v>
      </c>
    </row>
    <row r="3651" spans="1:7">
      <c r="A3651" s="216">
        <v>45170</v>
      </c>
      <c r="B3651" t="s">
        <v>3</v>
      </c>
      <c r="C3651">
        <v>12</v>
      </c>
      <c r="D3651" t="s">
        <v>454</v>
      </c>
      <c r="E3651" s="217">
        <v>45170</v>
      </c>
      <c r="F3651">
        <v>7131.5782499999996</v>
      </c>
      <c r="G3651" t="s">
        <v>260</v>
      </c>
    </row>
    <row r="3652" spans="1:7">
      <c r="A3652" s="216">
        <v>45170</v>
      </c>
      <c r="B3652" t="s">
        <v>3</v>
      </c>
      <c r="C3652">
        <v>12</v>
      </c>
      <c r="D3652" t="s">
        <v>454</v>
      </c>
      <c r="E3652" s="217">
        <v>45170</v>
      </c>
      <c r="F3652">
        <v>7131.5782499999996</v>
      </c>
      <c r="G3652" t="s">
        <v>261</v>
      </c>
    </row>
    <row r="3653" spans="1:7">
      <c r="A3653" s="216">
        <v>45170</v>
      </c>
      <c r="B3653" t="s">
        <v>3</v>
      </c>
      <c r="C3653">
        <v>12</v>
      </c>
      <c r="D3653" t="s">
        <v>454</v>
      </c>
      <c r="E3653" s="217">
        <v>45170</v>
      </c>
      <c r="F3653">
        <v>7116.6582500000004</v>
      </c>
      <c r="G3653" t="s">
        <v>262</v>
      </c>
    </row>
    <row r="3654" spans="1:7">
      <c r="A3654" s="216">
        <v>45170</v>
      </c>
      <c r="B3654" t="s">
        <v>3</v>
      </c>
      <c r="C3654">
        <v>12</v>
      </c>
      <c r="D3654" t="s">
        <v>454</v>
      </c>
      <c r="E3654" s="217">
        <v>45170</v>
      </c>
      <c r="F3654">
        <v>81202.4905</v>
      </c>
      <c r="G3654" t="s">
        <v>434</v>
      </c>
    </row>
    <row r="3655" spans="1:7">
      <c r="A3655" s="216">
        <v>45170</v>
      </c>
      <c r="B3655" t="s">
        <v>3</v>
      </c>
      <c r="C3655">
        <v>8</v>
      </c>
      <c r="D3655" t="s">
        <v>451</v>
      </c>
      <c r="E3655" s="217">
        <v>45170</v>
      </c>
      <c r="F3655">
        <v>9864.3369999999995</v>
      </c>
      <c r="G3655" t="s">
        <v>251</v>
      </c>
    </row>
    <row r="3656" spans="1:7">
      <c r="A3656" s="216">
        <v>45170</v>
      </c>
      <c r="B3656" t="s">
        <v>3</v>
      </c>
      <c r="C3656">
        <v>8</v>
      </c>
      <c r="D3656" t="s">
        <v>451</v>
      </c>
      <c r="E3656" s="217">
        <v>45170</v>
      </c>
      <c r="F3656">
        <v>10014.778</v>
      </c>
      <c r="G3656" t="s">
        <v>252</v>
      </c>
    </row>
    <row r="3657" spans="1:7">
      <c r="A3657" s="216">
        <v>45170</v>
      </c>
      <c r="B3657" t="s">
        <v>3</v>
      </c>
      <c r="C3657">
        <v>8</v>
      </c>
      <c r="D3657" t="s">
        <v>451</v>
      </c>
      <c r="E3657" s="217">
        <v>45170</v>
      </c>
      <c r="F3657">
        <v>10108.807000000001</v>
      </c>
      <c r="G3657" t="s">
        <v>253</v>
      </c>
    </row>
    <row r="3658" spans="1:7">
      <c r="A3658" s="216">
        <v>45170</v>
      </c>
      <c r="B3658" t="s">
        <v>3</v>
      </c>
      <c r="C3658">
        <v>8</v>
      </c>
      <c r="D3658" t="s">
        <v>451</v>
      </c>
      <c r="E3658" s="217">
        <v>45170</v>
      </c>
      <c r="F3658">
        <v>9742.0460000000003</v>
      </c>
      <c r="G3658" t="s">
        <v>254</v>
      </c>
    </row>
    <row r="3659" spans="1:7">
      <c r="A3659" s="216">
        <v>45170</v>
      </c>
      <c r="B3659" t="s">
        <v>3</v>
      </c>
      <c r="C3659">
        <v>8</v>
      </c>
      <c r="D3659" t="s">
        <v>451</v>
      </c>
      <c r="E3659" s="217">
        <v>45170</v>
      </c>
      <c r="F3659">
        <v>9531.2430000000004</v>
      </c>
      <c r="G3659" t="s">
        <v>255</v>
      </c>
    </row>
    <row r="3660" spans="1:7">
      <c r="A3660" s="216">
        <v>45170</v>
      </c>
      <c r="B3660" t="s">
        <v>3</v>
      </c>
      <c r="C3660">
        <v>8</v>
      </c>
      <c r="D3660" t="s">
        <v>451</v>
      </c>
      <c r="E3660" s="217">
        <v>45170</v>
      </c>
      <c r="F3660">
        <v>9827.1749999999993</v>
      </c>
      <c r="G3660" t="s">
        <v>256</v>
      </c>
    </row>
    <row r="3661" spans="1:7">
      <c r="A3661" s="216">
        <v>45170</v>
      </c>
      <c r="B3661" t="s">
        <v>3</v>
      </c>
      <c r="C3661">
        <v>8</v>
      </c>
      <c r="D3661" t="s">
        <v>451</v>
      </c>
      <c r="E3661" s="217">
        <v>45170</v>
      </c>
      <c r="F3661">
        <v>9578.0319999999992</v>
      </c>
      <c r="G3661" t="s">
        <v>257</v>
      </c>
    </row>
    <row r="3662" spans="1:7">
      <c r="A3662" s="216">
        <v>45170</v>
      </c>
      <c r="B3662" t="s">
        <v>3</v>
      </c>
      <c r="C3662">
        <v>8</v>
      </c>
      <c r="D3662" t="s">
        <v>451</v>
      </c>
      <c r="E3662" s="217">
        <v>45170</v>
      </c>
      <c r="F3662">
        <v>9567.2340000000004</v>
      </c>
      <c r="G3662" t="s">
        <v>258</v>
      </c>
    </row>
    <row r="3663" spans="1:7">
      <c r="A3663" s="216">
        <v>45170</v>
      </c>
      <c r="B3663" t="s">
        <v>3</v>
      </c>
      <c r="C3663">
        <v>8</v>
      </c>
      <c r="D3663" t="s">
        <v>451</v>
      </c>
      <c r="E3663" s="217">
        <v>45170</v>
      </c>
      <c r="F3663">
        <v>9567.2340000000004</v>
      </c>
      <c r="G3663" t="s">
        <v>259</v>
      </c>
    </row>
    <row r="3664" spans="1:7">
      <c r="A3664" s="216">
        <v>45170</v>
      </c>
      <c r="B3664" t="s">
        <v>3</v>
      </c>
      <c r="C3664">
        <v>8</v>
      </c>
      <c r="D3664" t="s">
        <v>451</v>
      </c>
      <c r="E3664" s="217">
        <v>45170</v>
      </c>
      <c r="F3664">
        <v>9567.3029999999999</v>
      </c>
      <c r="G3664" t="s">
        <v>260</v>
      </c>
    </row>
    <row r="3665" spans="1:7">
      <c r="A3665" s="216">
        <v>45170</v>
      </c>
      <c r="B3665" t="s">
        <v>3</v>
      </c>
      <c r="C3665">
        <v>8</v>
      </c>
      <c r="D3665" t="s">
        <v>451</v>
      </c>
      <c r="E3665" s="217">
        <v>45170</v>
      </c>
      <c r="F3665">
        <v>9567.3169999999991</v>
      </c>
      <c r="G3665" t="s">
        <v>261</v>
      </c>
    </row>
    <row r="3666" spans="1:7">
      <c r="A3666" s="216">
        <v>45170</v>
      </c>
      <c r="B3666" t="s">
        <v>3</v>
      </c>
      <c r="C3666">
        <v>8</v>
      </c>
      <c r="D3666" t="s">
        <v>451</v>
      </c>
      <c r="E3666" s="217">
        <v>45170</v>
      </c>
      <c r="F3666">
        <v>12391.075000000001</v>
      </c>
      <c r="G3666" t="s">
        <v>262</v>
      </c>
    </row>
    <row r="3667" spans="1:7">
      <c r="A3667" s="216">
        <v>45170</v>
      </c>
      <c r="B3667" t="s">
        <v>3</v>
      </c>
      <c r="C3667">
        <v>8</v>
      </c>
      <c r="D3667" t="s">
        <v>451</v>
      </c>
      <c r="E3667" s="217">
        <v>45170</v>
      </c>
      <c r="F3667">
        <v>119326.58100000001</v>
      </c>
      <c r="G3667" t="s">
        <v>434</v>
      </c>
    </row>
    <row r="3668" spans="1:7">
      <c r="A3668" s="216">
        <v>45170</v>
      </c>
      <c r="B3668" t="s">
        <v>3</v>
      </c>
      <c r="C3668">
        <v>13</v>
      </c>
      <c r="D3668" t="s">
        <v>441</v>
      </c>
      <c r="E3668" s="217">
        <v>45170</v>
      </c>
      <c r="F3668">
        <v>14640.498</v>
      </c>
      <c r="G3668" t="s">
        <v>251</v>
      </c>
    </row>
    <row r="3669" spans="1:7">
      <c r="A3669" s="216">
        <v>45170</v>
      </c>
      <c r="B3669" t="s">
        <v>3</v>
      </c>
      <c r="C3669">
        <v>13</v>
      </c>
      <c r="D3669" t="s">
        <v>441</v>
      </c>
      <c r="E3669" s="217">
        <v>45170</v>
      </c>
      <c r="F3669">
        <v>14682.698</v>
      </c>
      <c r="G3669" t="s">
        <v>252</v>
      </c>
    </row>
    <row r="3670" spans="1:7">
      <c r="A3670" s="216">
        <v>45170</v>
      </c>
      <c r="B3670" t="s">
        <v>3</v>
      </c>
      <c r="C3670">
        <v>13</v>
      </c>
      <c r="D3670" t="s">
        <v>441</v>
      </c>
      <c r="E3670" s="217">
        <v>45170</v>
      </c>
      <c r="F3670">
        <v>14597.315000000001</v>
      </c>
      <c r="G3670" t="s">
        <v>253</v>
      </c>
    </row>
    <row r="3671" spans="1:7">
      <c r="A3671" s="216">
        <v>45170</v>
      </c>
      <c r="B3671" t="s">
        <v>3</v>
      </c>
      <c r="C3671">
        <v>13</v>
      </c>
      <c r="D3671" t="s">
        <v>441</v>
      </c>
      <c r="E3671" s="217">
        <v>45170</v>
      </c>
      <c r="F3671">
        <v>14931.314</v>
      </c>
      <c r="G3671" t="s">
        <v>254</v>
      </c>
    </row>
    <row r="3672" spans="1:7">
      <c r="A3672" s="216">
        <v>45170</v>
      </c>
      <c r="B3672" t="s">
        <v>3</v>
      </c>
      <c r="C3672">
        <v>13</v>
      </c>
      <c r="D3672" t="s">
        <v>441</v>
      </c>
      <c r="E3672" s="217">
        <v>45170</v>
      </c>
      <c r="F3672">
        <v>14767.523999999999</v>
      </c>
      <c r="G3672" t="s">
        <v>255</v>
      </c>
    </row>
    <row r="3673" spans="1:7">
      <c r="A3673" s="216">
        <v>45170</v>
      </c>
      <c r="B3673" t="s">
        <v>3</v>
      </c>
      <c r="C3673">
        <v>13</v>
      </c>
      <c r="D3673" t="s">
        <v>441</v>
      </c>
      <c r="E3673" s="217">
        <v>45170</v>
      </c>
      <c r="F3673">
        <v>16130.081</v>
      </c>
      <c r="G3673" t="s">
        <v>256</v>
      </c>
    </row>
    <row r="3674" spans="1:7">
      <c r="A3674" s="216">
        <v>45170</v>
      </c>
      <c r="B3674" t="s">
        <v>3</v>
      </c>
      <c r="C3674">
        <v>13</v>
      </c>
      <c r="D3674" t="s">
        <v>441</v>
      </c>
      <c r="E3674" s="217">
        <v>45170</v>
      </c>
      <c r="F3674">
        <v>14894.960999999999</v>
      </c>
      <c r="G3674" t="s">
        <v>257</v>
      </c>
    </row>
    <row r="3675" spans="1:7">
      <c r="A3675" s="216">
        <v>45170</v>
      </c>
      <c r="B3675" t="s">
        <v>3</v>
      </c>
      <c r="C3675">
        <v>13</v>
      </c>
      <c r="D3675" t="s">
        <v>441</v>
      </c>
      <c r="E3675" s="217">
        <v>45170</v>
      </c>
      <c r="F3675">
        <v>14861.37</v>
      </c>
      <c r="G3675" t="s">
        <v>258</v>
      </c>
    </row>
    <row r="3676" spans="1:7">
      <c r="A3676" s="216">
        <v>45170</v>
      </c>
      <c r="B3676" t="s">
        <v>3</v>
      </c>
      <c r="C3676">
        <v>13</v>
      </c>
      <c r="D3676" t="s">
        <v>441</v>
      </c>
      <c r="E3676" s="217">
        <v>45170</v>
      </c>
      <c r="F3676">
        <v>14852.57</v>
      </c>
      <c r="G3676" t="s">
        <v>259</v>
      </c>
    </row>
    <row r="3677" spans="1:7">
      <c r="A3677" s="216">
        <v>45170</v>
      </c>
      <c r="B3677" t="s">
        <v>3</v>
      </c>
      <c r="C3677">
        <v>13</v>
      </c>
      <c r="D3677" t="s">
        <v>441</v>
      </c>
      <c r="E3677" s="217">
        <v>45170</v>
      </c>
      <c r="F3677">
        <v>14852.57</v>
      </c>
      <c r="G3677" t="s">
        <v>260</v>
      </c>
    </row>
    <row r="3678" spans="1:7">
      <c r="A3678" s="216">
        <v>45170</v>
      </c>
      <c r="B3678" t="s">
        <v>3</v>
      </c>
      <c r="C3678">
        <v>13</v>
      </c>
      <c r="D3678" t="s">
        <v>441</v>
      </c>
      <c r="E3678" s="217">
        <v>45170</v>
      </c>
      <c r="F3678">
        <v>14852.57</v>
      </c>
      <c r="G3678" t="s">
        <v>261</v>
      </c>
    </row>
    <row r="3679" spans="1:7">
      <c r="A3679" s="216">
        <v>45170</v>
      </c>
      <c r="B3679" t="s">
        <v>3</v>
      </c>
      <c r="C3679">
        <v>13</v>
      </c>
      <c r="D3679" t="s">
        <v>441</v>
      </c>
      <c r="E3679" s="217">
        <v>45170</v>
      </c>
      <c r="F3679">
        <v>15354.645</v>
      </c>
      <c r="G3679" t="s">
        <v>262</v>
      </c>
    </row>
    <row r="3680" spans="1:7">
      <c r="A3680" s="216">
        <v>45170</v>
      </c>
      <c r="B3680" t="s">
        <v>3</v>
      </c>
      <c r="C3680">
        <v>13</v>
      </c>
      <c r="D3680" t="s">
        <v>441</v>
      </c>
      <c r="E3680" s="217">
        <v>45170</v>
      </c>
      <c r="F3680">
        <v>179418.11600000001</v>
      </c>
      <c r="G3680" t="s">
        <v>434</v>
      </c>
    </row>
    <row r="3681" spans="1:7">
      <c r="A3681" s="216">
        <v>45170</v>
      </c>
      <c r="B3681" t="s">
        <v>3</v>
      </c>
      <c r="C3681">
        <v>14</v>
      </c>
      <c r="D3681" t="s">
        <v>447</v>
      </c>
      <c r="E3681" s="217">
        <v>45170</v>
      </c>
      <c r="F3681">
        <v>0</v>
      </c>
      <c r="G3681" t="s">
        <v>251</v>
      </c>
    </row>
    <row r="3682" spans="1:7">
      <c r="A3682" s="216">
        <v>45170</v>
      </c>
      <c r="B3682" t="s">
        <v>3</v>
      </c>
      <c r="C3682">
        <v>14</v>
      </c>
      <c r="D3682" t="s">
        <v>447</v>
      </c>
      <c r="E3682" s="217">
        <v>45170</v>
      </c>
      <c r="F3682">
        <v>0</v>
      </c>
      <c r="G3682" t="s">
        <v>252</v>
      </c>
    </row>
    <row r="3683" spans="1:7">
      <c r="A3683" s="216">
        <v>45170</v>
      </c>
      <c r="B3683" t="s">
        <v>3</v>
      </c>
      <c r="C3683">
        <v>14</v>
      </c>
      <c r="D3683" t="s">
        <v>447</v>
      </c>
      <c r="E3683" s="217">
        <v>45170</v>
      </c>
      <c r="F3683">
        <v>0</v>
      </c>
      <c r="G3683" t="s">
        <v>253</v>
      </c>
    </row>
    <row r="3684" spans="1:7">
      <c r="A3684" s="216">
        <v>45170</v>
      </c>
      <c r="B3684" t="s">
        <v>3</v>
      </c>
      <c r="C3684">
        <v>14</v>
      </c>
      <c r="D3684" t="s">
        <v>447</v>
      </c>
      <c r="E3684" s="217">
        <v>45170</v>
      </c>
      <c r="F3684">
        <v>0</v>
      </c>
      <c r="G3684" t="s">
        <v>254</v>
      </c>
    </row>
    <row r="3685" spans="1:7">
      <c r="A3685" s="216">
        <v>45170</v>
      </c>
      <c r="B3685" t="s">
        <v>3</v>
      </c>
      <c r="C3685">
        <v>14</v>
      </c>
      <c r="D3685" t="s">
        <v>447</v>
      </c>
      <c r="E3685" s="217">
        <v>45170</v>
      </c>
      <c r="F3685">
        <v>0</v>
      </c>
      <c r="G3685" t="s">
        <v>255</v>
      </c>
    </row>
    <row r="3686" spans="1:7">
      <c r="A3686" s="216">
        <v>45170</v>
      </c>
      <c r="B3686" t="s">
        <v>3</v>
      </c>
      <c r="C3686">
        <v>14</v>
      </c>
      <c r="D3686" t="s">
        <v>447</v>
      </c>
      <c r="E3686" s="217">
        <v>45170</v>
      </c>
      <c r="F3686">
        <v>0</v>
      </c>
      <c r="G3686" t="s">
        <v>256</v>
      </c>
    </row>
    <row r="3687" spans="1:7">
      <c r="A3687" s="216">
        <v>45170</v>
      </c>
      <c r="B3687" t="s">
        <v>3</v>
      </c>
      <c r="C3687">
        <v>14</v>
      </c>
      <c r="D3687" t="s">
        <v>447</v>
      </c>
      <c r="E3687" s="217">
        <v>45170</v>
      </c>
      <c r="F3687">
        <v>0</v>
      </c>
      <c r="G3687" t="s">
        <v>257</v>
      </c>
    </row>
    <row r="3688" spans="1:7">
      <c r="A3688" s="216">
        <v>45170</v>
      </c>
      <c r="B3688" t="s">
        <v>3</v>
      </c>
      <c r="C3688">
        <v>14</v>
      </c>
      <c r="D3688" t="s">
        <v>447</v>
      </c>
      <c r="E3688" s="217">
        <v>45170</v>
      </c>
      <c r="F3688">
        <v>0</v>
      </c>
      <c r="G3688" t="s">
        <v>258</v>
      </c>
    </row>
    <row r="3689" spans="1:7">
      <c r="A3689" s="216">
        <v>45170</v>
      </c>
      <c r="B3689" t="s">
        <v>3</v>
      </c>
      <c r="C3689">
        <v>14</v>
      </c>
      <c r="D3689" t="s">
        <v>447</v>
      </c>
      <c r="E3689" s="217">
        <v>45170</v>
      </c>
      <c r="F3689">
        <v>0</v>
      </c>
      <c r="G3689" t="s">
        <v>259</v>
      </c>
    </row>
    <row r="3690" spans="1:7">
      <c r="A3690" s="216">
        <v>45170</v>
      </c>
      <c r="B3690" t="s">
        <v>3</v>
      </c>
      <c r="C3690">
        <v>14</v>
      </c>
      <c r="D3690" t="s">
        <v>447</v>
      </c>
      <c r="E3690" s="217">
        <v>45170</v>
      </c>
      <c r="F3690">
        <v>0</v>
      </c>
      <c r="G3690" t="s">
        <v>260</v>
      </c>
    </row>
    <row r="3691" spans="1:7">
      <c r="A3691" s="216">
        <v>45170</v>
      </c>
      <c r="B3691" t="s">
        <v>3</v>
      </c>
      <c r="C3691">
        <v>14</v>
      </c>
      <c r="D3691" t="s">
        <v>447</v>
      </c>
      <c r="E3691" s="217">
        <v>45170</v>
      </c>
      <c r="F3691">
        <v>0</v>
      </c>
      <c r="G3691" t="s">
        <v>261</v>
      </c>
    </row>
    <row r="3692" spans="1:7">
      <c r="A3692" s="216">
        <v>45170</v>
      </c>
      <c r="B3692" t="s">
        <v>3</v>
      </c>
      <c r="C3692">
        <v>14</v>
      </c>
      <c r="D3692" t="s">
        <v>447</v>
      </c>
      <c r="E3692" s="217">
        <v>45170</v>
      </c>
      <c r="F3692">
        <v>0</v>
      </c>
      <c r="G3692" t="s">
        <v>262</v>
      </c>
    </row>
    <row r="3693" spans="1:7">
      <c r="A3693" s="216">
        <v>45170</v>
      </c>
      <c r="B3693" t="s">
        <v>3</v>
      </c>
      <c r="C3693">
        <v>14</v>
      </c>
      <c r="D3693" t="s">
        <v>447</v>
      </c>
      <c r="E3693" s="217">
        <v>45170</v>
      </c>
      <c r="F3693">
        <v>0</v>
      </c>
      <c r="G3693" t="s">
        <v>434</v>
      </c>
    </row>
    <row r="3694" spans="1:7">
      <c r="A3694" s="216">
        <v>45170</v>
      </c>
      <c r="B3694" t="s">
        <v>3</v>
      </c>
      <c r="C3694">
        <v>15</v>
      </c>
      <c r="D3694" t="s">
        <v>437</v>
      </c>
      <c r="E3694" s="217">
        <v>45170</v>
      </c>
      <c r="F3694">
        <v>6388.8959999999997</v>
      </c>
      <c r="G3694" t="s">
        <v>251</v>
      </c>
    </row>
    <row r="3695" spans="1:7">
      <c r="A3695" s="216">
        <v>45170</v>
      </c>
      <c r="B3695" t="s">
        <v>3</v>
      </c>
      <c r="C3695">
        <v>15</v>
      </c>
      <c r="D3695" t="s">
        <v>437</v>
      </c>
      <c r="E3695" s="217">
        <v>45170</v>
      </c>
      <c r="F3695">
        <v>6045.8360000000002</v>
      </c>
      <c r="G3695" t="s">
        <v>252</v>
      </c>
    </row>
    <row r="3696" spans="1:7">
      <c r="A3696" s="216">
        <v>45170</v>
      </c>
      <c r="B3696" t="s">
        <v>3</v>
      </c>
      <c r="C3696">
        <v>15</v>
      </c>
      <c r="D3696" t="s">
        <v>437</v>
      </c>
      <c r="E3696" s="217">
        <v>45170</v>
      </c>
      <c r="F3696">
        <v>7274.4009999999998</v>
      </c>
      <c r="G3696" t="s">
        <v>253</v>
      </c>
    </row>
    <row r="3697" spans="1:7">
      <c r="A3697" s="216">
        <v>45170</v>
      </c>
      <c r="B3697" t="s">
        <v>3</v>
      </c>
      <c r="C3697">
        <v>15</v>
      </c>
      <c r="D3697" t="s">
        <v>437</v>
      </c>
      <c r="E3697" s="217">
        <v>45170</v>
      </c>
      <c r="F3697">
        <v>6822.74</v>
      </c>
      <c r="G3697" t="s">
        <v>254</v>
      </c>
    </row>
    <row r="3698" spans="1:7">
      <c r="A3698" s="216">
        <v>45170</v>
      </c>
      <c r="B3698" t="s">
        <v>3</v>
      </c>
      <c r="C3698">
        <v>15</v>
      </c>
      <c r="D3698" t="s">
        <v>437</v>
      </c>
      <c r="E3698" s="217">
        <v>45170</v>
      </c>
      <c r="F3698">
        <v>7471.2510000000002</v>
      </c>
      <c r="G3698" t="s">
        <v>255</v>
      </c>
    </row>
    <row r="3699" spans="1:7">
      <c r="A3699" s="216">
        <v>45170</v>
      </c>
      <c r="B3699" t="s">
        <v>3</v>
      </c>
      <c r="C3699">
        <v>15</v>
      </c>
      <c r="D3699" t="s">
        <v>437</v>
      </c>
      <c r="E3699" s="217">
        <v>45170</v>
      </c>
      <c r="F3699">
        <v>6010.3379999999997</v>
      </c>
      <c r="G3699" t="s">
        <v>256</v>
      </c>
    </row>
    <row r="3700" spans="1:7">
      <c r="A3700" s="216">
        <v>45170</v>
      </c>
      <c r="B3700" t="s">
        <v>3</v>
      </c>
      <c r="C3700">
        <v>15</v>
      </c>
      <c r="D3700" t="s">
        <v>437</v>
      </c>
      <c r="E3700" s="217">
        <v>45170</v>
      </c>
      <c r="F3700">
        <v>7671.1728333333303</v>
      </c>
      <c r="G3700" t="s">
        <v>257</v>
      </c>
    </row>
    <row r="3701" spans="1:7">
      <c r="A3701" s="216">
        <v>45170</v>
      </c>
      <c r="B3701" t="s">
        <v>3</v>
      </c>
      <c r="C3701">
        <v>15</v>
      </c>
      <c r="D3701" t="s">
        <v>437</v>
      </c>
      <c r="E3701" s="217">
        <v>45170</v>
      </c>
      <c r="F3701">
        <v>7568.3238333333302</v>
      </c>
      <c r="G3701" t="s">
        <v>258</v>
      </c>
    </row>
    <row r="3702" spans="1:7">
      <c r="A3702" s="216">
        <v>45170</v>
      </c>
      <c r="B3702" t="s">
        <v>3</v>
      </c>
      <c r="C3702">
        <v>15</v>
      </c>
      <c r="D3702" t="s">
        <v>437</v>
      </c>
      <c r="E3702" s="217">
        <v>45170</v>
      </c>
      <c r="F3702">
        <v>7671.9578333333302</v>
      </c>
      <c r="G3702" t="s">
        <v>259</v>
      </c>
    </row>
    <row r="3703" spans="1:7">
      <c r="A3703" s="216">
        <v>45170</v>
      </c>
      <c r="B3703" t="s">
        <v>3</v>
      </c>
      <c r="C3703">
        <v>15</v>
      </c>
      <c r="D3703" t="s">
        <v>437</v>
      </c>
      <c r="E3703" s="217">
        <v>45170</v>
      </c>
      <c r="F3703">
        <v>7671.9578333333302</v>
      </c>
      <c r="G3703" t="s">
        <v>260</v>
      </c>
    </row>
    <row r="3704" spans="1:7">
      <c r="A3704" s="216">
        <v>45170</v>
      </c>
      <c r="B3704" t="s">
        <v>3</v>
      </c>
      <c r="C3704">
        <v>15</v>
      </c>
      <c r="D3704" t="s">
        <v>437</v>
      </c>
      <c r="E3704" s="217">
        <v>45170</v>
      </c>
      <c r="F3704">
        <v>7361.0558333333302</v>
      </c>
      <c r="G3704" t="s">
        <v>261</v>
      </c>
    </row>
    <row r="3705" spans="1:7">
      <c r="A3705" s="216">
        <v>45170</v>
      </c>
      <c r="B3705" t="s">
        <v>3</v>
      </c>
      <c r="C3705">
        <v>15</v>
      </c>
      <c r="D3705" t="s">
        <v>437</v>
      </c>
      <c r="E3705" s="217">
        <v>45170</v>
      </c>
      <c r="F3705">
        <v>7688.4508333333297</v>
      </c>
      <c r="G3705" t="s">
        <v>262</v>
      </c>
    </row>
    <row r="3706" spans="1:7">
      <c r="A3706" s="216">
        <v>45170</v>
      </c>
      <c r="B3706" t="s">
        <v>3</v>
      </c>
      <c r="C3706">
        <v>15</v>
      </c>
      <c r="D3706" t="s">
        <v>437</v>
      </c>
      <c r="E3706" s="217">
        <v>45170</v>
      </c>
      <c r="F3706">
        <v>85646.380999999994</v>
      </c>
      <c r="G3706" t="s">
        <v>434</v>
      </c>
    </row>
    <row r="3707" spans="1:7">
      <c r="A3707" s="216">
        <v>45170</v>
      </c>
      <c r="B3707" t="s">
        <v>3</v>
      </c>
      <c r="C3707">
        <v>16</v>
      </c>
      <c r="D3707" t="s">
        <v>449</v>
      </c>
      <c r="E3707" s="217">
        <v>45170</v>
      </c>
      <c r="F3707">
        <v>1224.0550000000001</v>
      </c>
      <c r="G3707" t="s">
        <v>251</v>
      </c>
    </row>
    <row r="3708" spans="1:7">
      <c r="A3708" s="216">
        <v>45170</v>
      </c>
      <c r="B3708" t="s">
        <v>3</v>
      </c>
      <c r="C3708">
        <v>16</v>
      </c>
      <c r="D3708" t="s">
        <v>449</v>
      </c>
      <c r="E3708" s="217">
        <v>45170</v>
      </c>
      <c r="F3708">
        <v>1327.0239999999999</v>
      </c>
      <c r="G3708" t="s">
        <v>252</v>
      </c>
    </row>
    <row r="3709" spans="1:7">
      <c r="A3709" s="216">
        <v>45170</v>
      </c>
      <c r="B3709" t="s">
        <v>3</v>
      </c>
      <c r="C3709">
        <v>16</v>
      </c>
      <c r="D3709" t="s">
        <v>449</v>
      </c>
      <c r="E3709" s="217">
        <v>45170</v>
      </c>
      <c r="F3709">
        <v>1622.3309999999999</v>
      </c>
      <c r="G3709" t="s">
        <v>253</v>
      </c>
    </row>
    <row r="3710" spans="1:7">
      <c r="A3710" s="216">
        <v>45170</v>
      </c>
      <c r="B3710" t="s">
        <v>3</v>
      </c>
      <c r="C3710">
        <v>16</v>
      </c>
      <c r="D3710" t="s">
        <v>449</v>
      </c>
      <c r="E3710" s="217">
        <v>45170</v>
      </c>
      <c r="F3710">
        <v>1562.5440000000001</v>
      </c>
      <c r="G3710" t="s">
        <v>254</v>
      </c>
    </row>
    <row r="3711" spans="1:7">
      <c r="A3711" s="216">
        <v>45170</v>
      </c>
      <c r="B3711" t="s">
        <v>3</v>
      </c>
      <c r="C3711">
        <v>16</v>
      </c>
      <c r="D3711" t="s">
        <v>449</v>
      </c>
      <c r="E3711" s="217">
        <v>45170</v>
      </c>
      <c r="F3711">
        <v>1250.827</v>
      </c>
      <c r="G3711" t="s">
        <v>255</v>
      </c>
    </row>
    <row r="3712" spans="1:7">
      <c r="A3712" s="216">
        <v>45170</v>
      </c>
      <c r="B3712" t="s">
        <v>3</v>
      </c>
      <c r="C3712">
        <v>16</v>
      </c>
      <c r="D3712" t="s">
        <v>449</v>
      </c>
      <c r="E3712" s="217">
        <v>45170</v>
      </c>
      <c r="F3712">
        <v>1888.038</v>
      </c>
      <c r="G3712" t="s">
        <v>256</v>
      </c>
    </row>
    <row r="3713" spans="1:7">
      <c r="A3713" s="216">
        <v>45170</v>
      </c>
      <c r="B3713" t="s">
        <v>3</v>
      </c>
      <c r="C3713">
        <v>16</v>
      </c>
      <c r="D3713" t="s">
        <v>449</v>
      </c>
      <c r="E3713" s="217">
        <v>45170</v>
      </c>
      <c r="F3713">
        <v>997.21017500000005</v>
      </c>
      <c r="G3713" t="s">
        <v>257</v>
      </c>
    </row>
    <row r="3714" spans="1:7">
      <c r="A3714" s="216">
        <v>45170</v>
      </c>
      <c r="B3714" t="s">
        <v>3</v>
      </c>
      <c r="C3714">
        <v>16</v>
      </c>
      <c r="D3714" t="s">
        <v>449</v>
      </c>
      <c r="E3714" s="217">
        <v>45170</v>
      </c>
      <c r="F3714">
        <v>1252.226175</v>
      </c>
      <c r="G3714" t="s">
        <v>258</v>
      </c>
    </row>
    <row r="3715" spans="1:7">
      <c r="A3715" s="216">
        <v>45170</v>
      </c>
      <c r="B3715" t="s">
        <v>3</v>
      </c>
      <c r="C3715">
        <v>16</v>
      </c>
      <c r="D3715" t="s">
        <v>449</v>
      </c>
      <c r="E3715" s="217">
        <v>45170</v>
      </c>
      <c r="F3715">
        <v>1252.226175</v>
      </c>
      <c r="G3715" t="s">
        <v>259</v>
      </c>
    </row>
    <row r="3716" spans="1:7">
      <c r="A3716" s="216">
        <v>45170</v>
      </c>
      <c r="B3716" t="s">
        <v>3</v>
      </c>
      <c r="C3716">
        <v>16</v>
      </c>
      <c r="D3716" t="s">
        <v>449</v>
      </c>
      <c r="E3716" s="217">
        <v>45170</v>
      </c>
      <c r="F3716">
        <v>1254.073175</v>
      </c>
      <c r="G3716" t="s">
        <v>260</v>
      </c>
    </row>
    <row r="3717" spans="1:7">
      <c r="A3717" s="216">
        <v>45170</v>
      </c>
      <c r="B3717" t="s">
        <v>3</v>
      </c>
      <c r="C3717">
        <v>16</v>
      </c>
      <c r="D3717" t="s">
        <v>449</v>
      </c>
      <c r="E3717" s="217">
        <v>45170</v>
      </c>
      <c r="F3717">
        <v>1254.4521749999999</v>
      </c>
      <c r="G3717" t="s">
        <v>261</v>
      </c>
    </row>
    <row r="3718" spans="1:7">
      <c r="A3718" s="216">
        <v>45170</v>
      </c>
      <c r="B3718" t="s">
        <v>3</v>
      </c>
      <c r="C3718">
        <v>16</v>
      </c>
      <c r="D3718" t="s">
        <v>449</v>
      </c>
      <c r="E3718" s="217">
        <v>45170</v>
      </c>
      <c r="F3718">
        <v>1289.6216750000001</v>
      </c>
      <c r="G3718" t="s">
        <v>262</v>
      </c>
    </row>
    <row r="3719" spans="1:7">
      <c r="A3719" s="216">
        <v>45170</v>
      </c>
      <c r="B3719" t="s">
        <v>3</v>
      </c>
      <c r="C3719">
        <v>16</v>
      </c>
      <c r="D3719" t="s">
        <v>449</v>
      </c>
      <c r="E3719" s="217">
        <v>45170</v>
      </c>
      <c r="F3719">
        <v>16174.628549999999</v>
      </c>
      <c r="G3719" t="s">
        <v>434</v>
      </c>
    </row>
    <row r="3720" spans="1:7">
      <c r="A3720" s="216">
        <v>45170</v>
      </c>
      <c r="B3720" t="s">
        <v>3</v>
      </c>
      <c r="C3720">
        <v>17</v>
      </c>
      <c r="D3720" t="s">
        <v>443</v>
      </c>
      <c r="E3720" s="217">
        <v>45170</v>
      </c>
      <c r="F3720">
        <v>447.99799999999999</v>
      </c>
      <c r="G3720" t="s">
        <v>251</v>
      </c>
    </row>
    <row r="3721" spans="1:7">
      <c r="A3721" s="216">
        <v>45170</v>
      </c>
      <c r="B3721" t="s">
        <v>3</v>
      </c>
      <c r="C3721">
        <v>17</v>
      </c>
      <c r="D3721" t="s">
        <v>443</v>
      </c>
      <c r="E3721" s="217">
        <v>45170</v>
      </c>
      <c r="F3721">
        <v>588.55499999999995</v>
      </c>
      <c r="G3721" t="s">
        <v>252</v>
      </c>
    </row>
    <row r="3722" spans="1:7">
      <c r="A3722" s="216">
        <v>45170</v>
      </c>
      <c r="B3722" t="s">
        <v>3</v>
      </c>
      <c r="C3722">
        <v>17</v>
      </c>
      <c r="D3722" t="s">
        <v>443</v>
      </c>
      <c r="E3722" s="217">
        <v>45170</v>
      </c>
      <c r="F3722">
        <v>469.33</v>
      </c>
      <c r="G3722" t="s">
        <v>253</v>
      </c>
    </row>
    <row r="3723" spans="1:7">
      <c r="A3723" s="216">
        <v>45170</v>
      </c>
      <c r="B3723" t="s">
        <v>3</v>
      </c>
      <c r="C3723">
        <v>17</v>
      </c>
      <c r="D3723" t="s">
        <v>443</v>
      </c>
      <c r="E3723" s="217">
        <v>45170</v>
      </c>
      <c r="F3723">
        <v>689.62199999999996</v>
      </c>
      <c r="G3723" t="s">
        <v>254</v>
      </c>
    </row>
    <row r="3724" spans="1:7">
      <c r="A3724" s="216">
        <v>45170</v>
      </c>
      <c r="B3724" t="s">
        <v>3</v>
      </c>
      <c r="C3724">
        <v>17</v>
      </c>
      <c r="D3724" t="s">
        <v>443</v>
      </c>
      <c r="E3724" s="217">
        <v>45170</v>
      </c>
      <c r="F3724">
        <v>1494.473</v>
      </c>
      <c r="G3724" t="s">
        <v>255</v>
      </c>
    </row>
    <row r="3725" spans="1:7">
      <c r="A3725" s="216">
        <v>45170</v>
      </c>
      <c r="B3725" t="s">
        <v>3</v>
      </c>
      <c r="C3725">
        <v>17</v>
      </c>
      <c r="D3725" t="s">
        <v>443</v>
      </c>
      <c r="E3725" s="217">
        <v>45170</v>
      </c>
      <c r="F3725">
        <v>310.50099999999998</v>
      </c>
      <c r="G3725" t="s">
        <v>256</v>
      </c>
    </row>
    <row r="3726" spans="1:7">
      <c r="A3726" s="216">
        <v>45170</v>
      </c>
      <c r="B3726" t="s">
        <v>3</v>
      </c>
      <c r="C3726">
        <v>17</v>
      </c>
      <c r="D3726" t="s">
        <v>443</v>
      </c>
      <c r="E3726" s="217">
        <v>45170</v>
      </c>
      <c r="F3726">
        <v>1565.1087500000001</v>
      </c>
      <c r="G3726" t="s">
        <v>257</v>
      </c>
    </row>
    <row r="3727" spans="1:7">
      <c r="A3727" s="216">
        <v>45170</v>
      </c>
      <c r="B3727" t="s">
        <v>3</v>
      </c>
      <c r="C3727">
        <v>17</v>
      </c>
      <c r="D3727" t="s">
        <v>443</v>
      </c>
      <c r="E3727" s="217">
        <v>45170</v>
      </c>
      <c r="F3727">
        <v>1565.1087500000001</v>
      </c>
      <c r="G3727" t="s">
        <v>258</v>
      </c>
    </row>
    <row r="3728" spans="1:7">
      <c r="A3728" s="216">
        <v>45170</v>
      </c>
      <c r="B3728" t="s">
        <v>3</v>
      </c>
      <c r="C3728">
        <v>17</v>
      </c>
      <c r="D3728" t="s">
        <v>443</v>
      </c>
      <c r="E3728" s="217">
        <v>45170</v>
      </c>
      <c r="F3728">
        <v>1565.1087500000001</v>
      </c>
      <c r="G3728" t="s">
        <v>259</v>
      </c>
    </row>
    <row r="3729" spans="1:7">
      <c r="A3729" s="216">
        <v>45170</v>
      </c>
      <c r="B3729" t="s">
        <v>3</v>
      </c>
      <c r="C3729">
        <v>17</v>
      </c>
      <c r="D3729" t="s">
        <v>443</v>
      </c>
      <c r="E3729" s="217">
        <v>45170</v>
      </c>
      <c r="F3729">
        <v>1565.1087500000001</v>
      </c>
      <c r="G3729" t="s">
        <v>260</v>
      </c>
    </row>
    <row r="3730" spans="1:7">
      <c r="A3730" s="216">
        <v>45170</v>
      </c>
      <c r="B3730" t="s">
        <v>3</v>
      </c>
      <c r="C3730">
        <v>17</v>
      </c>
      <c r="D3730" t="s">
        <v>443</v>
      </c>
      <c r="E3730" s="217">
        <v>45170</v>
      </c>
      <c r="F3730">
        <v>1565.1087500000001</v>
      </c>
      <c r="G3730" t="s">
        <v>261</v>
      </c>
    </row>
    <row r="3731" spans="1:7">
      <c r="A3731" s="216">
        <v>45170</v>
      </c>
      <c r="B3731" t="s">
        <v>3</v>
      </c>
      <c r="C3731">
        <v>17</v>
      </c>
      <c r="D3731" t="s">
        <v>443</v>
      </c>
      <c r="E3731" s="217">
        <v>45170</v>
      </c>
      <c r="F3731">
        <v>10154.89575</v>
      </c>
      <c r="G3731" t="s">
        <v>262</v>
      </c>
    </row>
    <row r="3732" spans="1:7">
      <c r="A3732" s="216">
        <v>45170</v>
      </c>
      <c r="B3732" t="s">
        <v>3</v>
      </c>
      <c r="C3732">
        <v>17</v>
      </c>
      <c r="D3732" t="s">
        <v>443</v>
      </c>
      <c r="E3732" s="217">
        <v>45170</v>
      </c>
      <c r="F3732">
        <v>21980.9185</v>
      </c>
      <c r="G3732" t="s">
        <v>434</v>
      </c>
    </row>
    <row r="3733" spans="1:7">
      <c r="A3733" s="216">
        <v>45170</v>
      </c>
      <c r="B3733" t="s">
        <v>3</v>
      </c>
      <c r="C3733">
        <v>18</v>
      </c>
      <c r="D3733" t="s">
        <v>444</v>
      </c>
      <c r="E3733" s="217">
        <v>45170</v>
      </c>
      <c r="F3733">
        <v>-1400.4369999999999</v>
      </c>
      <c r="G3733" t="s">
        <v>251</v>
      </c>
    </row>
    <row r="3734" spans="1:7">
      <c r="A3734" s="216">
        <v>45170</v>
      </c>
      <c r="B3734" t="s">
        <v>3</v>
      </c>
      <c r="C3734">
        <v>18</v>
      </c>
      <c r="D3734" t="s">
        <v>444</v>
      </c>
      <c r="E3734" s="217">
        <v>45170</v>
      </c>
      <c r="F3734">
        <v>1242.6389999999999</v>
      </c>
      <c r="G3734" t="s">
        <v>252</v>
      </c>
    </row>
    <row r="3735" spans="1:7">
      <c r="A3735" s="216">
        <v>45170</v>
      </c>
      <c r="B3735" t="s">
        <v>3</v>
      </c>
      <c r="C3735">
        <v>18</v>
      </c>
      <c r="D3735" t="s">
        <v>444</v>
      </c>
      <c r="E3735" s="217">
        <v>45170</v>
      </c>
      <c r="F3735">
        <v>415.94200000000001</v>
      </c>
      <c r="G3735" t="s">
        <v>253</v>
      </c>
    </row>
    <row r="3736" spans="1:7">
      <c r="A3736" s="216">
        <v>45170</v>
      </c>
      <c r="B3736" t="s">
        <v>3</v>
      </c>
      <c r="C3736">
        <v>18</v>
      </c>
      <c r="D3736" t="s">
        <v>444</v>
      </c>
      <c r="E3736" s="217">
        <v>45170</v>
      </c>
      <c r="F3736">
        <v>-29.311</v>
      </c>
      <c r="G3736" t="s">
        <v>254</v>
      </c>
    </row>
    <row r="3737" spans="1:7">
      <c r="A3737" s="216">
        <v>45170</v>
      </c>
      <c r="B3737" t="s">
        <v>3</v>
      </c>
      <c r="C3737">
        <v>18</v>
      </c>
      <c r="D3737" t="s">
        <v>444</v>
      </c>
      <c r="E3737" s="217">
        <v>45170</v>
      </c>
      <c r="F3737">
        <v>468.98100000000102</v>
      </c>
      <c r="G3737" t="s">
        <v>255</v>
      </c>
    </row>
    <row r="3738" spans="1:7">
      <c r="A3738" s="216">
        <v>45170</v>
      </c>
      <c r="B3738" t="s">
        <v>3</v>
      </c>
      <c r="C3738">
        <v>18</v>
      </c>
      <c r="D3738" t="s">
        <v>444</v>
      </c>
      <c r="E3738" s="217">
        <v>45170</v>
      </c>
      <c r="F3738">
        <v>-867.94500000000096</v>
      </c>
      <c r="G3738" t="s">
        <v>256</v>
      </c>
    </row>
    <row r="3739" spans="1:7">
      <c r="A3739" s="216">
        <v>45170</v>
      </c>
      <c r="B3739" t="s">
        <v>3</v>
      </c>
      <c r="C3739">
        <v>18</v>
      </c>
      <c r="D3739" t="s">
        <v>444</v>
      </c>
      <c r="E3739" s="217">
        <v>45170</v>
      </c>
      <c r="F3739">
        <v>378.91500000000002</v>
      </c>
      <c r="G3739" t="s">
        <v>257</v>
      </c>
    </row>
    <row r="3740" spans="1:7">
      <c r="A3740" s="216">
        <v>45170</v>
      </c>
      <c r="B3740" t="s">
        <v>3</v>
      </c>
      <c r="C3740">
        <v>18</v>
      </c>
      <c r="D3740" t="s">
        <v>444</v>
      </c>
      <c r="E3740" s="217">
        <v>45170</v>
      </c>
      <c r="F3740">
        <v>378.91500000000002</v>
      </c>
      <c r="G3740" t="s">
        <v>258</v>
      </c>
    </row>
    <row r="3741" spans="1:7">
      <c r="A3741" s="216">
        <v>45170</v>
      </c>
      <c r="B3741" t="s">
        <v>3</v>
      </c>
      <c r="C3741">
        <v>18</v>
      </c>
      <c r="D3741" t="s">
        <v>444</v>
      </c>
      <c r="E3741" s="217">
        <v>45170</v>
      </c>
      <c r="F3741">
        <v>378.91500000000002</v>
      </c>
      <c r="G3741" t="s">
        <v>259</v>
      </c>
    </row>
    <row r="3742" spans="1:7">
      <c r="A3742" s="216">
        <v>45170</v>
      </c>
      <c r="B3742" t="s">
        <v>3</v>
      </c>
      <c r="C3742">
        <v>18</v>
      </c>
      <c r="D3742" t="s">
        <v>444</v>
      </c>
      <c r="E3742" s="217">
        <v>45170</v>
      </c>
      <c r="F3742">
        <v>378.91500000000002</v>
      </c>
      <c r="G3742" t="s">
        <v>260</v>
      </c>
    </row>
    <row r="3743" spans="1:7">
      <c r="A3743" s="216">
        <v>45170</v>
      </c>
      <c r="B3743" t="s">
        <v>3</v>
      </c>
      <c r="C3743">
        <v>18</v>
      </c>
      <c r="D3743" t="s">
        <v>444</v>
      </c>
      <c r="E3743" s="217">
        <v>45170</v>
      </c>
      <c r="F3743">
        <v>378.91500000000002</v>
      </c>
      <c r="G3743" t="s">
        <v>261</v>
      </c>
    </row>
    <row r="3744" spans="1:7">
      <c r="A3744" s="216">
        <v>45170</v>
      </c>
      <c r="B3744" t="s">
        <v>3</v>
      </c>
      <c r="C3744">
        <v>18</v>
      </c>
      <c r="D3744" t="s">
        <v>444</v>
      </c>
      <c r="E3744" s="217">
        <v>45170</v>
      </c>
      <c r="F3744">
        <v>378.93299999999999</v>
      </c>
      <c r="G3744" t="s">
        <v>262</v>
      </c>
    </row>
    <row r="3745" spans="1:7">
      <c r="A3745" s="216">
        <v>45170</v>
      </c>
      <c r="B3745" t="s">
        <v>3</v>
      </c>
      <c r="C3745">
        <v>18</v>
      </c>
      <c r="D3745" t="s">
        <v>444</v>
      </c>
      <c r="E3745" s="217">
        <v>45170</v>
      </c>
      <c r="F3745">
        <v>2103.377</v>
      </c>
      <c r="G3745" t="s">
        <v>434</v>
      </c>
    </row>
    <row r="3746" spans="1:7">
      <c r="A3746" s="216">
        <v>45170</v>
      </c>
      <c r="B3746" t="s">
        <v>3</v>
      </c>
      <c r="C3746">
        <v>19</v>
      </c>
      <c r="D3746" t="s">
        <v>440</v>
      </c>
      <c r="E3746" s="217">
        <v>45170</v>
      </c>
      <c r="F3746">
        <v>0</v>
      </c>
      <c r="G3746" t="s">
        <v>251</v>
      </c>
    </row>
    <row r="3747" spans="1:7">
      <c r="A3747" s="216">
        <v>45170</v>
      </c>
      <c r="B3747" t="s">
        <v>3</v>
      </c>
      <c r="C3747">
        <v>19</v>
      </c>
      <c r="D3747" t="s">
        <v>440</v>
      </c>
      <c r="E3747" s="217">
        <v>45170</v>
      </c>
      <c r="F3747">
        <v>0</v>
      </c>
      <c r="G3747" t="s">
        <v>252</v>
      </c>
    </row>
    <row r="3748" spans="1:7">
      <c r="A3748" s="216">
        <v>45170</v>
      </c>
      <c r="B3748" t="s">
        <v>3</v>
      </c>
      <c r="C3748">
        <v>19</v>
      </c>
      <c r="D3748" t="s">
        <v>440</v>
      </c>
      <c r="E3748" s="217">
        <v>45170</v>
      </c>
      <c r="F3748">
        <v>0</v>
      </c>
      <c r="G3748" t="s">
        <v>253</v>
      </c>
    </row>
    <row r="3749" spans="1:7">
      <c r="A3749" s="216">
        <v>45170</v>
      </c>
      <c r="B3749" t="s">
        <v>3</v>
      </c>
      <c r="C3749">
        <v>19</v>
      </c>
      <c r="D3749" t="s">
        <v>440</v>
      </c>
      <c r="E3749" s="217">
        <v>45170</v>
      </c>
      <c r="F3749">
        <v>0</v>
      </c>
      <c r="G3749" t="s">
        <v>254</v>
      </c>
    </row>
    <row r="3750" spans="1:7">
      <c r="A3750" s="216">
        <v>45170</v>
      </c>
      <c r="B3750" t="s">
        <v>3</v>
      </c>
      <c r="C3750">
        <v>19</v>
      </c>
      <c r="D3750" t="s">
        <v>440</v>
      </c>
      <c r="E3750" s="217">
        <v>45170</v>
      </c>
      <c r="F3750">
        <v>0</v>
      </c>
      <c r="G3750" t="s">
        <v>255</v>
      </c>
    </row>
    <row r="3751" spans="1:7">
      <c r="A3751" s="216">
        <v>45170</v>
      </c>
      <c r="B3751" t="s">
        <v>3</v>
      </c>
      <c r="C3751">
        <v>19</v>
      </c>
      <c r="D3751" t="s">
        <v>440</v>
      </c>
      <c r="E3751" s="217">
        <v>45170</v>
      </c>
      <c r="F3751">
        <v>0</v>
      </c>
      <c r="G3751" t="s">
        <v>256</v>
      </c>
    </row>
    <row r="3752" spans="1:7">
      <c r="A3752" s="216">
        <v>45170</v>
      </c>
      <c r="B3752" t="s">
        <v>3</v>
      </c>
      <c r="C3752">
        <v>19</v>
      </c>
      <c r="D3752" t="s">
        <v>440</v>
      </c>
      <c r="E3752" s="217">
        <v>45170</v>
      </c>
      <c r="F3752">
        <v>0</v>
      </c>
      <c r="G3752" t="s">
        <v>257</v>
      </c>
    </row>
    <row r="3753" spans="1:7">
      <c r="A3753" s="216">
        <v>45170</v>
      </c>
      <c r="B3753" t="s">
        <v>3</v>
      </c>
      <c r="C3753">
        <v>19</v>
      </c>
      <c r="D3753" t="s">
        <v>440</v>
      </c>
      <c r="E3753" s="217">
        <v>45170</v>
      </c>
      <c r="F3753">
        <v>0</v>
      </c>
      <c r="G3753" t="s">
        <v>258</v>
      </c>
    </row>
    <row r="3754" spans="1:7">
      <c r="A3754" s="216">
        <v>45170</v>
      </c>
      <c r="B3754" t="s">
        <v>3</v>
      </c>
      <c r="C3754">
        <v>19</v>
      </c>
      <c r="D3754" t="s">
        <v>440</v>
      </c>
      <c r="E3754" s="217">
        <v>45170</v>
      </c>
      <c r="F3754">
        <v>0</v>
      </c>
      <c r="G3754" t="s">
        <v>259</v>
      </c>
    </row>
    <row r="3755" spans="1:7">
      <c r="A3755" s="216">
        <v>45170</v>
      </c>
      <c r="B3755" t="s">
        <v>3</v>
      </c>
      <c r="C3755">
        <v>19</v>
      </c>
      <c r="D3755" t="s">
        <v>440</v>
      </c>
      <c r="E3755" s="217">
        <v>45170</v>
      </c>
      <c r="F3755">
        <v>0</v>
      </c>
      <c r="G3755" t="s">
        <v>260</v>
      </c>
    </row>
    <row r="3756" spans="1:7">
      <c r="A3756" s="216">
        <v>45170</v>
      </c>
      <c r="B3756" t="s">
        <v>3</v>
      </c>
      <c r="C3756">
        <v>19</v>
      </c>
      <c r="D3756" t="s">
        <v>440</v>
      </c>
      <c r="E3756" s="217">
        <v>45170</v>
      </c>
      <c r="F3756">
        <v>0</v>
      </c>
      <c r="G3756" t="s">
        <v>261</v>
      </c>
    </row>
    <row r="3757" spans="1:7">
      <c r="A3757" s="216">
        <v>45170</v>
      </c>
      <c r="B3757" t="s">
        <v>3</v>
      </c>
      <c r="C3757">
        <v>19</v>
      </c>
      <c r="D3757" t="s">
        <v>440</v>
      </c>
      <c r="E3757" s="217">
        <v>45170</v>
      </c>
      <c r="F3757">
        <v>0</v>
      </c>
      <c r="G3757" t="s">
        <v>262</v>
      </c>
    </row>
    <row r="3758" spans="1:7">
      <c r="A3758" s="216">
        <v>45170</v>
      </c>
      <c r="B3758" t="s">
        <v>3</v>
      </c>
      <c r="C3758">
        <v>19</v>
      </c>
      <c r="D3758" t="s">
        <v>440</v>
      </c>
      <c r="E3758" s="217">
        <v>45170</v>
      </c>
      <c r="F3758">
        <v>0</v>
      </c>
      <c r="G3758" t="s">
        <v>434</v>
      </c>
    </row>
    <row r="3759" spans="1:7">
      <c r="A3759" s="216">
        <v>45170</v>
      </c>
      <c r="B3759" t="s">
        <v>3</v>
      </c>
      <c r="C3759">
        <v>20</v>
      </c>
      <c r="D3759" t="s">
        <v>456</v>
      </c>
      <c r="E3759" s="217">
        <v>45170</v>
      </c>
      <c r="F3759">
        <v>0</v>
      </c>
      <c r="G3759" t="s">
        <v>251</v>
      </c>
    </row>
    <row r="3760" spans="1:7">
      <c r="A3760" s="216">
        <v>45170</v>
      </c>
      <c r="B3760" t="s">
        <v>3</v>
      </c>
      <c r="C3760">
        <v>20</v>
      </c>
      <c r="D3760" t="s">
        <v>456</v>
      </c>
      <c r="E3760" s="217">
        <v>45170</v>
      </c>
      <c r="F3760">
        <v>0</v>
      </c>
      <c r="G3760" t="s">
        <v>252</v>
      </c>
    </row>
    <row r="3761" spans="1:7">
      <c r="A3761" s="216">
        <v>45170</v>
      </c>
      <c r="B3761" t="s">
        <v>3</v>
      </c>
      <c r="C3761">
        <v>20</v>
      </c>
      <c r="D3761" t="s">
        <v>456</v>
      </c>
      <c r="E3761" s="217">
        <v>45170</v>
      </c>
      <c r="F3761">
        <v>0</v>
      </c>
      <c r="G3761" t="s">
        <v>253</v>
      </c>
    </row>
    <row r="3762" spans="1:7">
      <c r="A3762" s="216">
        <v>45170</v>
      </c>
      <c r="B3762" t="s">
        <v>3</v>
      </c>
      <c r="C3762">
        <v>20</v>
      </c>
      <c r="D3762" t="s">
        <v>456</v>
      </c>
      <c r="E3762" s="217">
        <v>45170</v>
      </c>
      <c r="F3762">
        <v>0</v>
      </c>
      <c r="G3762" t="s">
        <v>254</v>
      </c>
    </row>
    <row r="3763" spans="1:7">
      <c r="A3763" s="216">
        <v>45170</v>
      </c>
      <c r="B3763" t="s">
        <v>3</v>
      </c>
      <c r="C3763">
        <v>20</v>
      </c>
      <c r="D3763" t="s">
        <v>456</v>
      </c>
      <c r="E3763" s="217">
        <v>45170</v>
      </c>
      <c r="F3763">
        <v>0</v>
      </c>
      <c r="G3763" t="s">
        <v>255</v>
      </c>
    </row>
    <row r="3764" spans="1:7">
      <c r="A3764" s="216">
        <v>45170</v>
      </c>
      <c r="B3764" t="s">
        <v>3</v>
      </c>
      <c r="C3764">
        <v>20</v>
      </c>
      <c r="D3764" t="s">
        <v>456</v>
      </c>
      <c r="E3764" s="217">
        <v>45170</v>
      </c>
      <c r="F3764">
        <v>0</v>
      </c>
      <c r="G3764" t="s">
        <v>256</v>
      </c>
    </row>
    <row r="3765" spans="1:7">
      <c r="A3765" s="216">
        <v>45170</v>
      </c>
      <c r="B3765" t="s">
        <v>3</v>
      </c>
      <c r="C3765">
        <v>20</v>
      </c>
      <c r="D3765" t="s">
        <v>456</v>
      </c>
      <c r="E3765" s="217">
        <v>45170</v>
      </c>
      <c r="F3765">
        <v>0</v>
      </c>
      <c r="G3765" t="s">
        <v>257</v>
      </c>
    </row>
    <row r="3766" spans="1:7">
      <c r="A3766" s="216">
        <v>45170</v>
      </c>
      <c r="B3766" t="s">
        <v>3</v>
      </c>
      <c r="C3766">
        <v>20</v>
      </c>
      <c r="D3766" t="s">
        <v>456</v>
      </c>
      <c r="E3766" s="217">
        <v>45170</v>
      </c>
      <c r="F3766">
        <v>0</v>
      </c>
      <c r="G3766" t="s">
        <v>258</v>
      </c>
    </row>
    <row r="3767" spans="1:7">
      <c r="A3767" s="216">
        <v>45170</v>
      </c>
      <c r="B3767" t="s">
        <v>3</v>
      </c>
      <c r="C3767">
        <v>20</v>
      </c>
      <c r="D3767" t="s">
        <v>456</v>
      </c>
      <c r="E3767" s="217">
        <v>45170</v>
      </c>
      <c r="F3767">
        <v>0</v>
      </c>
      <c r="G3767" t="s">
        <v>259</v>
      </c>
    </row>
    <row r="3768" spans="1:7">
      <c r="A3768" s="216">
        <v>45170</v>
      </c>
      <c r="B3768" t="s">
        <v>3</v>
      </c>
      <c r="C3768">
        <v>20</v>
      </c>
      <c r="D3768" t="s">
        <v>456</v>
      </c>
      <c r="E3768" s="217">
        <v>45170</v>
      </c>
      <c r="F3768">
        <v>0</v>
      </c>
      <c r="G3768" t="s">
        <v>260</v>
      </c>
    </row>
    <row r="3769" spans="1:7">
      <c r="A3769" s="216">
        <v>45170</v>
      </c>
      <c r="B3769" t="s">
        <v>3</v>
      </c>
      <c r="C3769">
        <v>20</v>
      </c>
      <c r="D3769" t="s">
        <v>456</v>
      </c>
      <c r="E3769" s="217">
        <v>45170</v>
      </c>
      <c r="F3769">
        <v>0</v>
      </c>
      <c r="G3769" t="s">
        <v>261</v>
      </c>
    </row>
    <row r="3770" spans="1:7">
      <c r="A3770" s="216">
        <v>45170</v>
      </c>
      <c r="B3770" t="s">
        <v>3</v>
      </c>
      <c r="C3770">
        <v>20</v>
      </c>
      <c r="D3770" t="s">
        <v>456</v>
      </c>
      <c r="E3770" s="217">
        <v>45170</v>
      </c>
      <c r="F3770">
        <v>0</v>
      </c>
      <c r="G3770" t="s">
        <v>262</v>
      </c>
    </row>
    <row r="3771" spans="1:7">
      <c r="A3771" s="216">
        <v>45170</v>
      </c>
      <c r="B3771" t="s">
        <v>3</v>
      </c>
      <c r="C3771">
        <v>20</v>
      </c>
      <c r="D3771" t="s">
        <v>456</v>
      </c>
      <c r="E3771" s="217">
        <v>45170</v>
      </c>
      <c r="F3771">
        <v>0</v>
      </c>
      <c r="G3771" t="s">
        <v>434</v>
      </c>
    </row>
    <row r="3772" spans="1:7">
      <c r="A3772" s="216">
        <v>45170</v>
      </c>
      <c r="B3772" t="s">
        <v>3</v>
      </c>
      <c r="C3772">
        <v>21</v>
      </c>
      <c r="D3772" t="s">
        <v>455</v>
      </c>
      <c r="E3772" s="217">
        <v>45170</v>
      </c>
      <c r="F3772">
        <v>0</v>
      </c>
      <c r="G3772" t="s">
        <v>251</v>
      </c>
    </row>
    <row r="3773" spans="1:7">
      <c r="A3773" s="216">
        <v>45170</v>
      </c>
      <c r="B3773" t="s">
        <v>3</v>
      </c>
      <c r="C3773">
        <v>21</v>
      </c>
      <c r="D3773" t="s">
        <v>455</v>
      </c>
      <c r="E3773" s="217">
        <v>45170</v>
      </c>
      <c r="F3773">
        <v>0</v>
      </c>
      <c r="G3773" t="s">
        <v>252</v>
      </c>
    </row>
    <row r="3774" spans="1:7">
      <c r="A3774" s="216">
        <v>45170</v>
      </c>
      <c r="B3774" t="s">
        <v>3</v>
      </c>
      <c r="C3774">
        <v>21</v>
      </c>
      <c r="D3774" t="s">
        <v>455</v>
      </c>
      <c r="E3774" s="217">
        <v>45170</v>
      </c>
      <c r="F3774">
        <v>0</v>
      </c>
      <c r="G3774" t="s">
        <v>253</v>
      </c>
    </row>
    <row r="3775" spans="1:7">
      <c r="A3775" s="216">
        <v>45170</v>
      </c>
      <c r="B3775" t="s">
        <v>3</v>
      </c>
      <c r="C3775">
        <v>21</v>
      </c>
      <c r="D3775" t="s">
        <v>455</v>
      </c>
      <c r="E3775" s="217">
        <v>45170</v>
      </c>
      <c r="F3775">
        <v>0</v>
      </c>
      <c r="G3775" t="s">
        <v>254</v>
      </c>
    </row>
    <row r="3776" spans="1:7">
      <c r="A3776" s="216">
        <v>45170</v>
      </c>
      <c r="B3776" t="s">
        <v>3</v>
      </c>
      <c r="C3776">
        <v>21</v>
      </c>
      <c r="D3776" t="s">
        <v>455</v>
      </c>
      <c r="E3776" s="217">
        <v>45170</v>
      </c>
      <c r="F3776">
        <v>0</v>
      </c>
      <c r="G3776" t="s">
        <v>255</v>
      </c>
    </row>
    <row r="3777" spans="1:7">
      <c r="A3777" s="216">
        <v>45170</v>
      </c>
      <c r="B3777" t="s">
        <v>3</v>
      </c>
      <c r="C3777">
        <v>21</v>
      </c>
      <c r="D3777" t="s">
        <v>455</v>
      </c>
      <c r="E3777" s="217">
        <v>45170</v>
      </c>
      <c r="F3777">
        <v>0</v>
      </c>
      <c r="G3777" t="s">
        <v>256</v>
      </c>
    </row>
    <row r="3778" spans="1:7">
      <c r="A3778" s="216">
        <v>45170</v>
      </c>
      <c r="B3778" t="s">
        <v>3</v>
      </c>
      <c r="C3778">
        <v>21</v>
      </c>
      <c r="D3778" t="s">
        <v>455</v>
      </c>
      <c r="E3778" s="217">
        <v>45170</v>
      </c>
      <c r="F3778">
        <v>0</v>
      </c>
      <c r="G3778" t="s">
        <v>257</v>
      </c>
    </row>
    <row r="3779" spans="1:7">
      <c r="A3779" s="216">
        <v>45170</v>
      </c>
      <c r="B3779" t="s">
        <v>3</v>
      </c>
      <c r="C3779">
        <v>21</v>
      </c>
      <c r="D3779" t="s">
        <v>455</v>
      </c>
      <c r="E3779" s="217">
        <v>45170</v>
      </c>
      <c r="F3779">
        <v>0</v>
      </c>
      <c r="G3779" t="s">
        <v>258</v>
      </c>
    </row>
    <row r="3780" spans="1:7">
      <c r="A3780" s="216">
        <v>45170</v>
      </c>
      <c r="B3780" t="s">
        <v>3</v>
      </c>
      <c r="C3780">
        <v>21</v>
      </c>
      <c r="D3780" t="s">
        <v>455</v>
      </c>
      <c r="E3780" s="217">
        <v>45170</v>
      </c>
      <c r="F3780">
        <v>0</v>
      </c>
      <c r="G3780" t="s">
        <v>259</v>
      </c>
    </row>
    <row r="3781" spans="1:7">
      <c r="A3781" s="216">
        <v>45170</v>
      </c>
      <c r="B3781" t="s">
        <v>3</v>
      </c>
      <c r="C3781">
        <v>21</v>
      </c>
      <c r="D3781" t="s">
        <v>455</v>
      </c>
      <c r="E3781" s="217">
        <v>45170</v>
      </c>
      <c r="F3781">
        <v>0</v>
      </c>
      <c r="G3781" t="s">
        <v>260</v>
      </c>
    </row>
    <row r="3782" spans="1:7">
      <c r="A3782" s="216">
        <v>45170</v>
      </c>
      <c r="B3782" t="s">
        <v>3</v>
      </c>
      <c r="C3782">
        <v>21</v>
      </c>
      <c r="D3782" t="s">
        <v>455</v>
      </c>
      <c r="E3782" s="217">
        <v>45170</v>
      </c>
      <c r="F3782">
        <v>0</v>
      </c>
      <c r="G3782" t="s">
        <v>261</v>
      </c>
    </row>
    <row r="3783" spans="1:7">
      <c r="A3783" s="216">
        <v>45170</v>
      </c>
      <c r="B3783" t="s">
        <v>3</v>
      </c>
      <c r="C3783">
        <v>21</v>
      </c>
      <c r="D3783" t="s">
        <v>455</v>
      </c>
      <c r="E3783" s="217">
        <v>45170</v>
      </c>
      <c r="F3783">
        <v>0</v>
      </c>
      <c r="G3783" t="s">
        <v>262</v>
      </c>
    </row>
    <row r="3784" spans="1:7">
      <c r="A3784" s="216">
        <v>45170</v>
      </c>
      <c r="B3784" t="s">
        <v>3</v>
      </c>
      <c r="C3784">
        <v>21</v>
      </c>
      <c r="D3784" t="s">
        <v>455</v>
      </c>
      <c r="E3784" s="217">
        <v>45170</v>
      </c>
      <c r="F3784">
        <v>0</v>
      </c>
      <c r="G3784" t="s">
        <v>434</v>
      </c>
    </row>
    <row r="3785" spans="1:7">
      <c r="A3785" s="216">
        <v>45170</v>
      </c>
      <c r="B3785" t="s">
        <v>3</v>
      </c>
      <c r="C3785">
        <v>22</v>
      </c>
      <c r="D3785" t="s">
        <v>439</v>
      </c>
      <c r="E3785" s="217">
        <v>45170</v>
      </c>
      <c r="F3785">
        <v>1859.8320000000001</v>
      </c>
      <c r="G3785" t="s">
        <v>251</v>
      </c>
    </row>
    <row r="3786" spans="1:7">
      <c r="A3786" s="216">
        <v>45170</v>
      </c>
      <c r="B3786" t="s">
        <v>3</v>
      </c>
      <c r="C3786">
        <v>22</v>
      </c>
      <c r="D3786" t="s">
        <v>439</v>
      </c>
      <c r="E3786" s="217">
        <v>45170</v>
      </c>
      <c r="F3786">
        <v>1860.0440000000001</v>
      </c>
      <c r="G3786" t="s">
        <v>252</v>
      </c>
    </row>
    <row r="3787" spans="1:7">
      <c r="A3787" s="216">
        <v>45170</v>
      </c>
      <c r="B3787" t="s">
        <v>3</v>
      </c>
      <c r="C3787">
        <v>22</v>
      </c>
      <c r="D3787" t="s">
        <v>439</v>
      </c>
      <c r="E3787" s="217">
        <v>45170</v>
      </c>
      <c r="F3787">
        <v>4308.2129999999997</v>
      </c>
      <c r="G3787" t="s">
        <v>253</v>
      </c>
    </row>
    <row r="3788" spans="1:7">
      <c r="A3788" s="216">
        <v>45170</v>
      </c>
      <c r="B3788" t="s">
        <v>3</v>
      </c>
      <c r="C3788">
        <v>22</v>
      </c>
      <c r="D3788" t="s">
        <v>439</v>
      </c>
      <c r="E3788" s="217">
        <v>45170</v>
      </c>
      <c r="F3788">
        <v>2689.53</v>
      </c>
      <c r="G3788" t="s">
        <v>254</v>
      </c>
    </row>
    <row r="3789" spans="1:7">
      <c r="A3789" s="216">
        <v>45170</v>
      </c>
      <c r="B3789" t="s">
        <v>3</v>
      </c>
      <c r="C3789">
        <v>22</v>
      </c>
      <c r="D3789" t="s">
        <v>439</v>
      </c>
      <c r="E3789" s="217">
        <v>45170</v>
      </c>
      <c r="F3789">
        <v>3143.5450000000001</v>
      </c>
      <c r="G3789" t="s">
        <v>255</v>
      </c>
    </row>
    <row r="3790" spans="1:7">
      <c r="A3790" s="216">
        <v>45170</v>
      </c>
      <c r="B3790" t="s">
        <v>3</v>
      </c>
      <c r="C3790">
        <v>22</v>
      </c>
      <c r="D3790" t="s">
        <v>439</v>
      </c>
      <c r="E3790" s="217">
        <v>45170</v>
      </c>
      <c r="F3790">
        <v>2766.221</v>
      </c>
      <c r="G3790" t="s">
        <v>256</v>
      </c>
    </row>
    <row r="3791" spans="1:7">
      <c r="A3791" s="216">
        <v>45170</v>
      </c>
      <c r="B3791" t="s">
        <v>3</v>
      </c>
      <c r="C3791">
        <v>22</v>
      </c>
      <c r="D3791" t="s">
        <v>439</v>
      </c>
      <c r="E3791" s="217">
        <v>45170</v>
      </c>
      <c r="F3791">
        <v>2771.9929999999999</v>
      </c>
      <c r="G3791" t="s">
        <v>257</v>
      </c>
    </row>
    <row r="3792" spans="1:7">
      <c r="A3792" s="216">
        <v>45170</v>
      </c>
      <c r="B3792" t="s">
        <v>3</v>
      </c>
      <c r="C3792">
        <v>22</v>
      </c>
      <c r="D3792" t="s">
        <v>439</v>
      </c>
      <c r="E3792" s="217">
        <v>45170</v>
      </c>
      <c r="F3792">
        <v>2772.2330000000002</v>
      </c>
      <c r="G3792" t="s">
        <v>258</v>
      </c>
    </row>
    <row r="3793" spans="1:7">
      <c r="A3793" s="216">
        <v>45170</v>
      </c>
      <c r="B3793" t="s">
        <v>3</v>
      </c>
      <c r="C3793">
        <v>22</v>
      </c>
      <c r="D3793" t="s">
        <v>439</v>
      </c>
      <c r="E3793" s="217">
        <v>45170</v>
      </c>
      <c r="F3793">
        <v>2772.232</v>
      </c>
      <c r="G3793" t="s">
        <v>259</v>
      </c>
    </row>
    <row r="3794" spans="1:7">
      <c r="A3794" s="216">
        <v>45170</v>
      </c>
      <c r="B3794" t="s">
        <v>3</v>
      </c>
      <c r="C3794">
        <v>22</v>
      </c>
      <c r="D3794" t="s">
        <v>439</v>
      </c>
      <c r="E3794" s="217">
        <v>45170</v>
      </c>
      <c r="F3794">
        <v>2772.2330000000002</v>
      </c>
      <c r="G3794" t="s">
        <v>260</v>
      </c>
    </row>
    <row r="3795" spans="1:7">
      <c r="A3795" s="216">
        <v>45170</v>
      </c>
      <c r="B3795" t="s">
        <v>3</v>
      </c>
      <c r="C3795">
        <v>22</v>
      </c>
      <c r="D3795" t="s">
        <v>439</v>
      </c>
      <c r="E3795" s="217">
        <v>45170</v>
      </c>
      <c r="F3795">
        <v>2772.2330000000002</v>
      </c>
      <c r="G3795" t="s">
        <v>261</v>
      </c>
    </row>
    <row r="3796" spans="1:7">
      <c r="A3796" s="216">
        <v>45170</v>
      </c>
      <c r="B3796" t="s">
        <v>3</v>
      </c>
      <c r="C3796">
        <v>22</v>
      </c>
      <c r="D3796" t="s">
        <v>439</v>
      </c>
      <c r="E3796" s="217">
        <v>45170</v>
      </c>
      <c r="F3796">
        <v>3885.2330000000002</v>
      </c>
      <c r="G3796" t="s">
        <v>262</v>
      </c>
    </row>
    <row r="3797" spans="1:7">
      <c r="A3797" s="216">
        <v>45170</v>
      </c>
      <c r="B3797" t="s">
        <v>3</v>
      </c>
      <c r="C3797">
        <v>22</v>
      </c>
      <c r="D3797" t="s">
        <v>439</v>
      </c>
      <c r="E3797" s="217">
        <v>45170</v>
      </c>
      <c r="F3797">
        <v>34373.542000000001</v>
      </c>
      <c r="G3797" t="s">
        <v>434</v>
      </c>
    </row>
    <row r="3798" spans="1:7">
      <c r="A3798" s="216">
        <v>45170</v>
      </c>
      <c r="B3798" t="s">
        <v>3</v>
      </c>
      <c r="C3798">
        <v>23</v>
      </c>
      <c r="D3798" t="s">
        <v>435</v>
      </c>
      <c r="E3798" s="217">
        <v>45170</v>
      </c>
      <c r="F3798">
        <v>22.161000000000001</v>
      </c>
      <c r="G3798" t="s">
        <v>251</v>
      </c>
    </row>
    <row r="3799" spans="1:7">
      <c r="A3799" s="216">
        <v>45170</v>
      </c>
      <c r="B3799" t="s">
        <v>3</v>
      </c>
      <c r="C3799">
        <v>23</v>
      </c>
      <c r="D3799" t="s">
        <v>435</v>
      </c>
      <c r="E3799" s="217">
        <v>45170</v>
      </c>
      <c r="F3799">
        <v>21</v>
      </c>
      <c r="G3799" t="s">
        <v>252</v>
      </c>
    </row>
    <row r="3800" spans="1:7">
      <c r="A3800" s="216">
        <v>45170</v>
      </c>
      <c r="B3800" t="s">
        <v>3</v>
      </c>
      <c r="C3800">
        <v>23</v>
      </c>
      <c r="D3800" t="s">
        <v>435</v>
      </c>
      <c r="E3800" s="217">
        <v>45170</v>
      </c>
      <c r="F3800">
        <v>35.658999999999999</v>
      </c>
      <c r="G3800" t="s">
        <v>253</v>
      </c>
    </row>
    <row r="3801" spans="1:7">
      <c r="A3801" s="216">
        <v>45170</v>
      </c>
      <c r="B3801" t="s">
        <v>3</v>
      </c>
      <c r="C3801">
        <v>23</v>
      </c>
      <c r="D3801" t="s">
        <v>435</v>
      </c>
      <c r="E3801" s="217">
        <v>45170</v>
      </c>
      <c r="F3801">
        <v>7.5010000000000003</v>
      </c>
      <c r="G3801" t="s">
        <v>254</v>
      </c>
    </row>
    <row r="3802" spans="1:7">
      <c r="A3802" s="216">
        <v>45170</v>
      </c>
      <c r="B3802" t="s">
        <v>3</v>
      </c>
      <c r="C3802">
        <v>23</v>
      </c>
      <c r="D3802" t="s">
        <v>435</v>
      </c>
      <c r="E3802" s="217">
        <v>45170</v>
      </c>
      <c r="F3802">
        <v>224.28399999999999</v>
      </c>
      <c r="G3802" t="s">
        <v>255</v>
      </c>
    </row>
    <row r="3803" spans="1:7">
      <c r="A3803" s="216">
        <v>45170</v>
      </c>
      <c r="B3803" t="s">
        <v>3</v>
      </c>
      <c r="C3803">
        <v>23</v>
      </c>
      <c r="D3803" t="s">
        <v>435</v>
      </c>
      <c r="E3803" s="217">
        <v>45170</v>
      </c>
      <c r="F3803">
        <v>62.121000000000002</v>
      </c>
      <c r="G3803" t="s">
        <v>256</v>
      </c>
    </row>
    <row r="3804" spans="1:7">
      <c r="A3804" s="216">
        <v>45170</v>
      </c>
      <c r="B3804" t="s">
        <v>3</v>
      </c>
      <c r="C3804">
        <v>23</v>
      </c>
      <c r="D3804" t="s">
        <v>435</v>
      </c>
      <c r="E3804" s="217">
        <v>45170</v>
      </c>
      <c r="F3804">
        <v>61.863999999999997</v>
      </c>
      <c r="G3804" t="s">
        <v>257</v>
      </c>
    </row>
    <row r="3805" spans="1:7">
      <c r="A3805" s="216">
        <v>45170</v>
      </c>
      <c r="B3805" t="s">
        <v>3</v>
      </c>
      <c r="C3805">
        <v>23</v>
      </c>
      <c r="D3805" t="s">
        <v>435</v>
      </c>
      <c r="E3805" s="217">
        <v>45170</v>
      </c>
      <c r="F3805">
        <v>62.121000000000002</v>
      </c>
      <c r="G3805" t="s">
        <v>258</v>
      </c>
    </row>
    <row r="3806" spans="1:7">
      <c r="A3806" s="216">
        <v>45170</v>
      </c>
      <c r="B3806" t="s">
        <v>3</v>
      </c>
      <c r="C3806">
        <v>23</v>
      </c>
      <c r="D3806" t="s">
        <v>435</v>
      </c>
      <c r="E3806" s="217">
        <v>45170</v>
      </c>
      <c r="F3806">
        <v>62.121000000000002</v>
      </c>
      <c r="G3806" t="s">
        <v>259</v>
      </c>
    </row>
    <row r="3807" spans="1:7">
      <c r="A3807" s="216">
        <v>45170</v>
      </c>
      <c r="B3807" t="s">
        <v>3</v>
      </c>
      <c r="C3807">
        <v>23</v>
      </c>
      <c r="D3807" t="s">
        <v>435</v>
      </c>
      <c r="E3807" s="217">
        <v>45170</v>
      </c>
      <c r="F3807">
        <v>62.121000000000002</v>
      </c>
      <c r="G3807" t="s">
        <v>260</v>
      </c>
    </row>
    <row r="3808" spans="1:7">
      <c r="A3808" s="216">
        <v>45170</v>
      </c>
      <c r="B3808" t="s">
        <v>3</v>
      </c>
      <c r="C3808">
        <v>23</v>
      </c>
      <c r="D3808" t="s">
        <v>435</v>
      </c>
      <c r="E3808" s="217">
        <v>45170</v>
      </c>
      <c r="F3808">
        <v>62.121000000000002</v>
      </c>
      <c r="G3808" t="s">
        <v>261</v>
      </c>
    </row>
    <row r="3809" spans="1:7">
      <c r="A3809" s="216">
        <v>45170</v>
      </c>
      <c r="B3809" t="s">
        <v>3</v>
      </c>
      <c r="C3809">
        <v>23</v>
      </c>
      <c r="D3809" t="s">
        <v>435</v>
      </c>
      <c r="E3809" s="217">
        <v>45170</v>
      </c>
      <c r="F3809">
        <v>7.1210000000000004</v>
      </c>
      <c r="G3809" t="s">
        <v>262</v>
      </c>
    </row>
    <row r="3810" spans="1:7">
      <c r="A3810" s="216">
        <v>45170</v>
      </c>
      <c r="B3810" t="s">
        <v>3</v>
      </c>
      <c r="C3810">
        <v>23</v>
      </c>
      <c r="D3810" t="s">
        <v>435</v>
      </c>
      <c r="E3810" s="217">
        <v>45170</v>
      </c>
      <c r="F3810">
        <v>690.19500000000005</v>
      </c>
      <c r="G3810" t="s">
        <v>434</v>
      </c>
    </row>
    <row r="3811" spans="1:7">
      <c r="A3811" s="216">
        <v>45170</v>
      </c>
      <c r="B3811" t="s">
        <v>3</v>
      </c>
      <c r="C3811">
        <v>24</v>
      </c>
      <c r="D3811" t="s">
        <v>457</v>
      </c>
      <c r="E3811" s="217">
        <v>45170</v>
      </c>
      <c r="F3811">
        <v>0</v>
      </c>
      <c r="G3811" t="s">
        <v>251</v>
      </c>
    </row>
    <row r="3812" spans="1:7">
      <c r="A3812" s="216">
        <v>45170</v>
      </c>
      <c r="B3812" t="s">
        <v>3</v>
      </c>
      <c r="C3812">
        <v>24</v>
      </c>
      <c r="D3812" t="s">
        <v>457</v>
      </c>
      <c r="E3812" s="217">
        <v>45170</v>
      </c>
      <c r="F3812">
        <v>0</v>
      </c>
      <c r="G3812" t="s">
        <v>252</v>
      </c>
    </row>
    <row r="3813" spans="1:7">
      <c r="A3813" s="216">
        <v>45170</v>
      </c>
      <c r="B3813" t="s">
        <v>3</v>
      </c>
      <c r="C3813">
        <v>24</v>
      </c>
      <c r="D3813" t="s">
        <v>457</v>
      </c>
      <c r="E3813" s="217">
        <v>45170</v>
      </c>
      <c r="F3813">
        <v>0</v>
      </c>
      <c r="G3813" t="s">
        <v>253</v>
      </c>
    </row>
    <row r="3814" spans="1:7">
      <c r="A3814" s="216">
        <v>45170</v>
      </c>
      <c r="B3814" t="s">
        <v>3</v>
      </c>
      <c r="C3814">
        <v>24</v>
      </c>
      <c r="D3814" t="s">
        <v>457</v>
      </c>
      <c r="E3814" s="217">
        <v>45170</v>
      </c>
      <c r="F3814">
        <v>0</v>
      </c>
      <c r="G3814" t="s">
        <v>254</v>
      </c>
    </row>
    <row r="3815" spans="1:7">
      <c r="A3815" s="216">
        <v>45170</v>
      </c>
      <c r="B3815" t="s">
        <v>3</v>
      </c>
      <c r="C3815">
        <v>24</v>
      </c>
      <c r="D3815" t="s">
        <v>457</v>
      </c>
      <c r="E3815" s="217">
        <v>45170</v>
      </c>
      <c r="F3815">
        <v>0</v>
      </c>
      <c r="G3815" t="s">
        <v>255</v>
      </c>
    </row>
    <row r="3816" spans="1:7">
      <c r="A3816" s="216">
        <v>45170</v>
      </c>
      <c r="B3816" t="s">
        <v>3</v>
      </c>
      <c r="C3816">
        <v>24</v>
      </c>
      <c r="D3816" t="s">
        <v>457</v>
      </c>
      <c r="E3816" s="217">
        <v>45170</v>
      </c>
      <c r="F3816">
        <v>0</v>
      </c>
      <c r="G3816" t="s">
        <v>256</v>
      </c>
    </row>
    <row r="3817" spans="1:7">
      <c r="A3817" s="216">
        <v>45170</v>
      </c>
      <c r="B3817" t="s">
        <v>3</v>
      </c>
      <c r="C3817">
        <v>24</v>
      </c>
      <c r="D3817" t="s">
        <v>457</v>
      </c>
      <c r="E3817" s="217">
        <v>45170</v>
      </c>
      <c r="F3817">
        <v>0</v>
      </c>
      <c r="G3817" t="s">
        <v>257</v>
      </c>
    </row>
    <row r="3818" spans="1:7">
      <c r="A3818" s="216">
        <v>45170</v>
      </c>
      <c r="B3818" t="s">
        <v>3</v>
      </c>
      <c r="C3818">
        <v>24</v>
      </c>
      <c r="D3818" t="s">
        <v>457</v>
      </c>
      <c r="E3818" s="217">
        <v>45170</v>
      </c>
      <c r="F3818">
        <v>0</v>
      </c>
      <c r="G3818" t="s">
        <v>258</v>
      </c>
    </row>
    <row r="3819" spans="1:7">
      <c r="A3819" s="216">
        <v>45170</v>
      </c>
      <c r="B3819" t="s">
        <v>3</v>
      </c>
      <c r="C3819">
        <v>24</v>
      </c>
      <c r="D3819" t="s">
        <v>457</v>
      </c>
      <c r="E3819" s="217">
        <v>45170</v>
      </c>
      <c r="F3819">
        <v>0</v>
      </c>
      <c r="G3819" t="s">
        <v>259</v>
      </c>
    </row>
    <row r="3820" spans="1:7">
      <c r="A3820" s="216">
        <v>45170</v>
      </c>
      <c r="B3820" t="s">
        <v>3</v>
      </c>
      <c r="C3820">
        <v>24</v>
      </c>
      <c r="D3820" t="s">
        <v>457</v>
      </c>
      <c r="E3820" s="217">
        <v>45170</v>
      </c>
      <c r="F3820">
        <v>0</v>
      </c>
      <c r="G3820" t="s">
        <v>260</v>
      </c>
    </row>
    <row r="3821" spans="1:7">
      <c r="A3821" s="216">
        <v>45170</v>
      </c>
      <c r="B3821" t="s">
        <v>3</v>
      </c>
      <c r="C3821">
        <v>24</v>
      </c>
      <c r="D3821" t="s">
        <v>457</v>
      </c>
      <c r="E3821" s="217">
        <v>45170</v>
      </c>
      <c r="F3821">
        <v>0</v>
      </c>
      <c r="G3821" t="s">
        <v>261</v>
      </c>
    </row>
    <row r="3822" spans="1:7">
      <c r="A3822" s="216">
        <v>45170</v>
      </c>
      <c r="B3822" t="s">
        <v>3</v>
      </c>
      <c r="C3822">
        <v>24</v>
      </c>
      <c r="D3822" t="s">
        <v>457</v>
      </c>
      <c r="E3822" s="217">
        <v>45170</v>
      </c>
      <c r="F3822">
        <v>0</v>
      </c>
      <c r="G3822" t="s">
        <v>262</v>
      </c>
    </row>
    <row r="3823" spans="1:7">
      <c r="A3823" s="216">
        <v>45170</v>
      </c>
      <c r="B3823" t="s">
        <v>3</v>
      </c>
      <c r="C3823">
        <v>24</v>
      </c>
      <c r="D3823" t="s">
        <v>457</v>
      </c>
      <c r="E3823" s="217">
        <v>45170</v>
      </c>
      <c r="F3823">
        <v>0</v>
      </c>
      <c r="G3823" t="s">
        <v>434</v>
      </c>
    </row>
    <row r="3824" spans="1:7">
      <c r="A3824" s="216">
        <v>45170</v>
      </c>
      <c r="B3824" t="s">
        <v>3</v>
      </c>
      <c r="C3824">
        <v>25</v>
      </c>
      <c r="D3824" t="s">
        <v>452</v>
      </c>
      <c r="E3824" s="217">
        <v>45170</v>
      </c>
      <c r="F3824">
        <v>0</v>
      </c>
      <c r="G3824" t="s">
        <v>251</v>
      </c>
    </row>
    <row r="3825" spans="1:7">
      <c r="A3825" s="216">
        <v>45170</v>
      </c>
      <c r="B3825" t="s">
        <v>3</v>
      </c>
      <c r="C3825">
        <v>25</v>
      </c>
      <c r="D3825" t="s">
        <v>452</v>
      </c>
      <c r="E3825" s="217">
        <v>45170</v>
      </c>
      <c r="F3825">
        <v>0</v>
      </c>
      <c r="G3825" t="s">
        <v>252</v>
      </c>
    </row>
    <row r="3826" spans="1:7">
      <c r="A3826" s="216">
        <v>45170</v>
      </c>
      <c r="B3826" t="s">
        <v>3</v>
      </c>
      <c r="C3826">
        <v>25</v>
      </c>
      <c r="D3826" t="s">
        <v>452</v>
      </c>
      <c r="E3826" s="217">
        <v>45170</v>
      </c>
      <c r="F3826">
        <v>0</v>
      </c>
      <c r="G3826" t="s">
        <v>253</v>
      </c>
    </row>
    <row r="3827" spans="1:7">
      <c r="A3827" s="216">
        <v>45170</v>
      </c>
      <c r="B3827" t="s">
        <v>3</v>
      </c>
      <c r="C3827">
        <v>25</v>
      </c>
      <c r="D3827" t="s">
        <v>452</v>
      </c>
      <c r="E3827" s="217">
        <v>45170</v>
      </c>
      <c r="F3827">
        <v>0</v>
      </c>
      <c r="G3827" t="s">
        <v>254</v>
      </c>
    </row>
    <row r="3828" spans="1:7">
      <c r="A3828" s="216">
        <v>45170</v>
      </c>
      <c r="B3828" t="s">
        <v>3</v>
      </c>
      <c r="C3828">
        <v>25</v>
      </c>
      <c r="D3828" t="s">
        <v>452</v>
      </c>
      <c r="E3828" s="217">
        <v>45170</v>
      </c>
      <c r="F3828">
        <v>0</v>
      </c>
      <c r="G3828" t="s">
        <v>255</v>
      </c>
    </row>
    <row r="3829" spans="1:7">
      <c r="A3829" s="216">
        <v>45170</v>
      </c>
      <c r="B3829" t="s">
        <v>3</v>
      </c>
      <c r="C3829">
        <v>25</v>
      </c>
      <c r="D3829" t="s">
        <v>452</v>
      </c>
      <c r="E3829" s="217">
        <v>45170</v>
      </c>
      <c r="F3829">
        <v>0</v>
      </c>
      <c r="G3829" t="s">
        <v>256</v>
      </c>
    </row>
    <row r="3830" spans="1:7">
      <c r="A3830" s="216">
        <v>45170</v>
      </c>
      <c r="B3830" t="s">
        <v>3</v>
      </c>
      <c r="C3830">
        <v>25</v>
      </c>
      <c r="D3830" t="s">
        <v>452</v>
      </c>
      <c r="E3830" s="217">
        <v>45170</v>
      </c>
      <c r="F3830">
        <v>0</v>
      </c>
      <c r="G3830" t="s">
        <v>257</v>
      </c>
    </row>
    <row r="3831" spans="1:7">
      <c r="A3831" s="216">
        <v>45170</v>
      </c>
      <c r="B3831" t="s">
        <v>3</v>
      </c>
      <c r="C3831">
        <v>25</v>
      </c>
      <c r="D3831" t="s">
        <v>452</v>
      </c>
      <c r="E3831" s="217">
        <v>45170</v>
      </c>
      <c r="F3831">
        <v>0</v>
      </c>
      <c r="G3831" t="s">
        <v>258</v>
      </c>
    </row>
    <row r="3832" spans="1:7">
      <c r="A3832" s="216">
        <v>45170</v>
      </c>
      <c r="B3832" t="s">
        <v>3</v>
      </c>
      <c r="C3832">
        <v>25</v>
      </c>
      <c r="D3832" t="s">
        <v>452</v>
      </c>
      <c r="E3832" s="217">
        <v>45170</v>
      </c>
      <c r="F3832">
        <v>0</v>
      </c>
      <c r="G3832" t="s">
        <v>259</v>
      </c>
    </row>
    <row r="3833" spans="1:7">
      <c r="A3833" s="216">
        <v>45170</v>
      </c>
      <c r="B3833" t="s">
        <v>3</v>
      </c>
      <c r="C3833">
        <v>25</v>
      </c>
      <c r="D3833" t="s">
        <v>452</v>
      </c>
      <c r="E3833" s="217">
        <v>45170</v>
      </c>
      <c r="F3833">
        <v>0</v>
      </c>
      <c r="G3833" t="s">
        <v>260</v>
      </c>
    </row>
    <row r="3834" spans="1:7">
      <c r="A3834" s="216">
        <v>45170</v>
      </c>
      <c r="B3834" t="s">
        <v>3</v>
      </c>
      <c r="C3834">
        <v>25</v>
      </c>
      <c r="D3834" t="s">
        <v>452</v>
      </c>
      <c r="E3834" s="217">
        <v>45170</v>
      </c>
      <c r="F3834">
        <v>0</v>
      </c>
      <c r="G3834" t="s">
        <v>261</v>
      </c>
    </row>
    <row r="3835" spans="1:7">
      <c r="A3835" s="216">
        <v>45170</v>
      </c>
      <c r="B3835" t="s">
        <v>3</v>
      </c>
      <c r="C3835">
        <v>25</v>
      </c>
      <c r="D3835" t="s">
        <v>452</v>
      </c>
      <c r="E3835" s="217">
        <v>45170</v>
      </c>
      <c r="F3835">
        <v>0</v>
      </c>
      <c r="G3835" t="s">
        <v>262</v>
      </c>
    </row>
    <row r="3836" spans="1:7">
      <c r="A3836" s="216">
        <v>45170</v>
      </c>
      <c r="B3836" t="s">
        <v>3</v>
      </c>
      <c r="C3836">
        <v>25</v>
      </c>
      <c r="D3836" t="s">
        <v>452</v>
      </c>
      <c r="E3836" s="217">
        <v>45170</v>
      </c>
      <c r="F3836">
        <v>0</v>
      </c>
      <c r="G3836" t="s">
        <v>434</v>
      </c>
    </row>
    <row r="3837" spans="1:7">
      <c r="A3837" s="216">
        <v>45170</v>
      </c>
      <c r="B3837" t="s">
        <v>3</v>
      </c>
      <c r="C3837">
        <v>26</v>
      </c>
      <c r="D3837" t="s">
        <v>438</v>
      </c>
      <c r="E3837" s="217">
        <v>45170</v>
      </c>
      <c r="F3837">
        <v>110604.594</v>
      </c>
      <c r="G3837" t="s">
        <v>251</v>
      </c>
    </row>
    <row r="3838" spans="1:7">
      <c r="A3838" s="216">
        <v>45170</v>
      </c>
      <c r="B3838" t="s">
        <v>3</v>
      </c>
      <c r="C3838">
        <v>26</v>
      </c>
      <c r="D3838" t="s">
        <v>438</v>
      </c>
      <c r="E3838" s="217">
        <v>45170</v>
      </c>
      <c r="F3838">
        <v>119293.60400000001</v>
      </c>
      <c r="G3838" t="s">
        <v>252</v>
      </c>
    </row>
    <row r="3839" spans="1:7">
      <c r="A3839" s="216">
        <v>45170</v>
      </c>
      <c r="B3839" t="s">
        <v>3</v>
      </c>
      <c r="C3839">
        <v>26</v>
      </c>
      <c r="D3839" t="s">
        <v>438</v>
      </c>
      <c r="E3839" s="217">
        <v>45170</v>
      </c>
      <c r="F3839">
        <v>135577.533</v>
      </c>
      <c r="G3839" t="s">
        <v>253</v>
      </c>
    </row>
    <row r="3840" spans="1:7">
      <c r="A3840" s="216">
        <v>45170</v>
      </c>
      <c r="B3840" t="s">
        <v>3</v>
      </c>
      <c r="C3840">
        <v>26</v>
      </c>
      <c r="D3840" t="s">
        <v>438</v>
      </c>
      <c r="E3840" s="217">
        <v>45170</v>
      </c>
      <c r="F3840">
        <v>134632.16</v>
      </c>
      <c r="G3840" t="s">
        <v>254</v>
      </c>
    </row>
    <row r="3841" spans="1:7">
      <c r="A3841" s="216">
        <v>45170</v>
      </c>
      <c r="B3841" t="s">
        <v>3</v>
      </c>
      <c r="C3841">
        <v>26</v>
      </c>
      <c r="D3841" t="s">
        <v>438</v>
      </c>
      <c r="E3841" s="217">
        <v>45170</v>
      </c>
      <c r="F3841">
        <v>124011.27099999999</v>
      </c>
      <c r="G3841" t="s">
        <v>255</v>
      </c>
    </row>
    <row r="3842" spans="1:7">
      <c r="A3842" s="216">
        <v>45170</v>
      </c>
      <c r="B3842" t="s">
        <v>3</v>
      </c>
      <c r="C3842">
        <v>26</v>
      </c>
      <c r="D3842" t="s">
        <v>438</v>
      </c>
      <c r="E3842" s="217">
        <v>45170</v>
      </c>
      <c r="F3842">
        <v>121835.291</v>
      </c>
      <c r="G3842" t="s">
        <v>256</v>
      </c>
    </row>
    <row r="3843" spans="1:7">
      <c r="A3843" s="216">
        <v>45170</v>
      </c>
      <c r="B3843" t="s">
        <v>3</v>
      </c>
      <c r="C3843">
        <v>26</v>
      </c>
      <c r="D3843" t="s">
        <v>438</v>
      </c>
      <c r="E3843" s="217">
        <v>45170</v>
      </c>
      <c r="F3843">
        <v>124505.318626147</v>
      </c>
      <c r="G3843" t="s">
        <v>257</v>
      </c>
    </row>
    <row r="3844" spans="1:7">
      <c r="A3844" s="216">
        <v>45170</v>
      </c>
      <c r="B3844" t="s">
        <v>3</v>
      </c>
      <c r="C3844">
        <v>26</v>
      </c>
      <c r="D3844" t="s">
        <v>438</v>
      </c>
      <c r="E3844" s="217">
        <v>45170</v>
      </c>
      <c r="F3844">
        <v>122544.86262614701</v>
      </c>
      <c r="G3844" t="s">
        <v>258</v>
      </c>
    </row>
    <row r="3845" spans="1:7">
      <c r="A3845" s="216">
        <v>45170</v>
      </c>
      <c r="B3845" t="s">
        <v>3</v>
      </c>
      <c r="C3845">
        <v>26</v>
      </c>
      <c r="D3845" t="s">
        <v>438</v>
      </c>
      <c r="E3845" s="217">
        <v>45170</v>
      </c>
      <c r="F3845">
        <v>122557.449626147</v>
      </c>
      <c r="G3845" t="s">
        <v>259</v>
      </c>
    </row>
    <row r="3846" spans="1:7">
      <c r="A3846" s="216">
        <v>45170</v>
      </c>
      <c r="B3846" t="s">
        <v>3</v>
      </c>
      <c r="C3846">
        <v>26</v>
      </c>
      <c r="D3846" t="s">
        <v>438</v>
      </c>
      <c r="E3846" s="217">
        <v>45170</v>
      </c>
      <c r="F3846">
        <v>122703.17095948099</v>
      </c>
      <c r="G3846" t="s">
        <v>260</v>
      </c>
    </row>
    <row r="3847" spans="1:7">
      <c r="A3847" s="216">
        <v>45170</v>
      </c>
      <c r="B3847" t="s">
        <v>3</v>
      </c>
      <c r="C3847">
        <v>26</v>
      </c>
      <c r="D3847" t="s">
        <v>438</v>
      </c>
      <c r="E3847" s="217">
        <v>45170</v>
      </c>
      <c r="F3847">
        <v>121934.16095948</v>
      </c>
      <c r="G3847" t="s">
        <v>261</v>
      </c>
    </row>
    <row r="3848" spans="1:7">
      <c r="A3848" s="216">
        <v>45170</v>
      </c>
      <c r="B3848" t="s">
        <v>3</v>
      </c>
      <c r="C3848">
        <v>26</v>
      </c>
      <c r="D3848" t="s">
        <v>438</v>
      </c>
      <c r="E3848" s="217">
        <v>45170</v>
      </c>
      <c r="F3848">
        <v>168352.57711948099</v>
      </c>
      <c r="G3848" t="s">
        <v>262</v>
      </c>
    </row>
    <row r="3849" spans="1:7">
      <c r="A3849" s="216">
        <v>45170</v>
      </c>
      <c r="B3849" t="s">
        <v>3</v>
      </c>
      <c r="C3849">
        <v>26</v>
      </c>
      <c r="D3849" t="s">
        <v>438</v>
      </c>
      <c r="E3849" s="217">
        <v>45170</v>
      </c>
      <c r="F3849">
        <v>1528551.9929168799</v>
      </c>
      <c r="G3849" t="s">
        <v>434</v>
      </c>
    </row>
    <row r="3850" spans="1:7">
      <c r="A3850" s="216">
        <v>45170</v>
      </c>
      <c r="B3850" t="s">
        <v>3</v>
      </c>
      <c r="C3850">
        <v>27</v>
      </c>
      <c r="D3850" t="s">
        <v>446</v>
      </c>
      <c r="E3850" s="217">
        <v>45170</v>
      </c>
      <c r="F3850">
        <v>-10860.849</v>
      </c>
      <c r="G3850" t="s">
        <v>251</v>
      </c>
    </row>
    <row r="3851" spans="1:7">
      <c r="A3851" s="216">
        <v>45170</v>
      </c>
      <c r="B3851" t="s">
        <v>3</v>
      </c>
      <c r="C3851">
        <v>27</v>
      </c>
      <c r="D3851" t="s">
        <v>446</v>
      </c>
      <c r="E3851" s="217">
        <v>45170</v>
      </c>
      <c r="F3851">
        <v>-13674.245999999999</v>
      </c>
      <c r="G3851" t="s">
        <v>252</v>
      </c>
    </row>
    <row r="3852" spans="1:7">
      <c r="A3852" s="216">
        <v>45170</v>
      </c>
      <c r="B3852" t="s">
        <v>3</v>
      </c>
      <c r="C3852">
        <v>27</v>
      </c>
      <c r="D3852" t="s">
        <v>446</v>
      </c>
      <c r="E3852" s="217">
        <v>45170</v>
      </c>
      <c r="F3852">
        <v>-11424.97</v>
      </c>
      <c r="G3852" t="s">
        <v>253</v>
      </c>
    </row>
    <row r="3853" spans="1:7">
      <c r="A3853" s="216">
        <v>45170</v>
      </c>
      <c r="B3853" t="s">
        <v>3</v>
      </c>
      <c r="C3853">
        <v>27</v>
      </c>
      <c r="D3853" t="s">
        <v>446</v>
      </c>
      <c r="E3853" s="217">
        <v>45170</v>
      </c>
      <c r="F3853">
        <v>-10403.757</v>
      </c>
      <c r="G3853" t="s">
        <v>254</v>
      </c>
    </row>
    <row r="3854" spans="1:7">
      <c r="A3854" s="216">
        <v>45170</v>
      </c>
      <c r="B3854" t="s">
        <v>3</v>
      </c>
      <c r="C3854">
        <v>27</v>
      </c>
      <c r="D3854" t="s">
        <v>446</v>
      </c>
      <c r="E3854" s="217">
        <v>45170</v>
      </c>
      <c r="F3854">
        <v>-10190.233</v>
      </c>
      <c r="G3854" t="s">
        <v>255</v>
      </c>
    </row>
    <row r="3855" spans="1:7">
      <c r="A3855" s="216">
        <v>45170</v>
      </c>
      <c r="B3855" t="s">
        <v>3</v>
      </c>
      <c r="C3855">
        <v>27</v>
      </c>
      <c r="D3855" t="s">
        <v>446</v>
      </c>
      <c r="E3855" s="217">
        <v>45170</v>
      </c>
      <c r="F3855">
        <v>-8676.6529999999202</v>
      </c>
      <c r="G3855" t="s">
        <v>256</v>
      </c>
    </row>
    <row r="3856" spans="1:7">
      <c r="A3856" s="216">
        <v>45170</v>
      </c>
      <c r="B3856" t="s">
        <v>3</v>
      </c>
      <c r="C3856">
        <v>27</v>
      </c>
      <c r="D3856" t="s">
        <v>446</v>
      </c>
      <c r="E3856" s="217">
        <v>45170</v>
      </c>
      <c r="F3856">
        <v>-6798.6868194805102</v>
      </c>
      <c r="G3856" t="s">
        <v>257</v>
      </c>
    </row>
    <row r="3857" spans="1:7">
      <c r="A3857" s="216">
        <v>45170</v>
      </c>
      <c r="B3857" t="s">
        <v>3</v>
      </c>
      <c r="C3857">
        <v>27</v>
      </c>
      <c r="D3857" t="s">
        <v>446</v>
      </c>
      <c r="E3857" s="217">
        <v>45170</v>
      </c>
      <c r="F3857">
        <v>-3910.2068194805302</v>
      </c>
      <c r="G3857" t="s">
        <v>258</v>
      </c>
    </row>
    <row r="3858" spans="1:7">
      <c r="A3858" s="216">
        <v>45170</v>
      </c>
      <c r="B3858" t="s">
        <v>3</v>
      </c>
      <c r="C3858">
        <v>27</v>
      </c>
      <c r="D3858" t="s">
        <v>446</v>
      </c>
      <c r="E3858" s="217">
        <v>45170</v>
      </c>
      <c r="F3858">
        <v>-3688.6388194805199</v>
      </c>
      <c r="G3858" t="s">
        <v>259</v>
      </c>
    </row>
    <row r="3859" spans="1:7">
      <c r="A3859" s="216">
        <v>45170</v>
      </c>
      <c r="B3859" t="s">
        <v>3</v>
      </c>
      <c r="C3859">
        <v>27</v>
      </c>
      <c r="D3859" t="s">
        <v>446</v>
      </c>
      <c r="E3859" s="217">
        <v>45170</v>
      </c>
      <c r="F3859">
        <v>-3083.5161528138601</v>
      </c>
      <c r="G3859" t="s">
        <v>260</v>
      </c>
    </row>
    <row r="3860" spans="1:7">
      <c r="A3860" s="216">
        <v>45170</v>
      </c>
      <c r="B3860" t="s">
        <v>3</v>
      </c>
      <c r="C3860">
        <v>27</v>
      </c>
      <c r="D3860" t="s">
        <v>446</v>
      </c>
      <c r="E3860" s="217">
        <v>45170</v>
      </c>
      <c r="F3860">
        <v>-3082.5061528138499</v>
      </c>
      <c r="G3860" t="s">
        <v>261</v>
      </c>
    </row>
    <row r="3861" spans="1:7">
      <c r="A3861" s="216">
        <v>45170</v>
      </c>
      <c r="B3861" t="s">
        <v>3</v>
      </c>
      <c r="C3861">
        <v>27</v>
      </c>
      <c r="D3861" t="s">
        <v>446</v>
      </c>
      <c r="E3861" s="217">
        <v>45170</v>
      </c>
      <c r="F3861">
        <v>-800.87315281387396</v>
      </c>
      <c r="G3861" t="s">
        <v>262</v>
      </c>
    </row>
    <row r="3862" spans="1:7">
      <c r="A3862" s="216">
        <v>45170</v>
      </c>
      <c r="B3862" t="s">
        <v>3</v>
      </c>
      <c r="C3862">
        <v>27</v>
      </c>
      <c r="D3862" t="s">
        <v>446</v>
      </c>
      <c r="E3862" s="217">
        <v>45170</v>
      </c>
      <c r="F3862">
        <v>-86595.135916882893</v>
      </c>
      <c r="G3862" t="s">
        <v>434</v>
      </c>
    </row>
    <row r="3863" spans="1:7">
      <c r="A3863" s="216">
        <v>45170</v>
      </c>
      <c r="B3863" t="s">
        <v>49</v>
      </c>
      <c r="C3863">
        <v>1</v>
      </c>
      <c r="D3863" t="s">
        <v>453</v>
      </c>
      <c r="E3863" s="217">
        <v>45170</v>
      </c>
      <c r="F3863">
        <v>0</v>
      </c>
      <c r="G3863" t="s">
        <v>251</v>
      </c>
    </row>
    <row r="3864" spans="1:7">
      <c r="A3864" s="216">
        <v>45170</v>
      </c>
      <c r="B3864" t="s">
        <v>49</v>
      </c>
      <c r="C3864">
        <v>1</v>
      </c>
      <c r="D3864" t="s">
        <v>453</v>
      </c>
      <c r="E3864" s="217">
        <v>45170</v>
      </c>
      <c r="F3864">
        <v>0</v>
      </c>
      <c r="G3864" t="s">
        <v>252</v>
      </c>
    </row>
    <row r="3865" spans="1:7">
      <c r="A3865" s="216">
        <v>45170</v>
      </c>
      <c r="B3865" t="s">
        <v>49</v>
      </c>
      <c r="C3865">
        <v>1</v>
      </c>
      <c r="D3865" t="s">
        <v>453</v>
      </c>
      <c r="E3865" s="217">
        <v>45170</v>
      </c>
      <c r="F3865">
        <v>0</v>
      </c>
      <c r="G3865" t="s">
        <v>253</v>
      </c>
    </row>
    <row r="3866" spans="1:7">
      <c r="A3866" s="216">
        <v>45170</v>
      </c>
      <c r="B3866" t="s">
        <v>49</v>
      </c>
      <c r="C3866">
        <v>1</v>
      </c>
      <c r="D3866" t="s">
        <v>453</v>
      </c>
      <c r="E3866" s="217">
        <v>45170</v>
      </c>
      <c r="F3866">
        <v>0</v>
      </c>
      <c r="G3866" t="s">
        <v>254</v>
      </c>
    </row>
    <row r="3867" spans="1:7">
      <c r="A3867" s="216">
        <v>45170</v>
      </c>
      <c r="B3867" t="s">
        <v>49</v>
      </c>
      <c r="C3867">
        <v>1</v>
      </c>
      <c r="D3867" t="s">
        <v>453</v>
      </c>
      <c r="E3867" s="217">
        <v>45170</v>
      </c>
      <c r="F3867">
        <v>0</v>
      </c>
      <c r="G3867" t="s">
        <v>255</v>
      </c>
    </row>
    <row r="3868" spans="1:7">
      <c r="A3868" s="216">
        <v>45170</v>
      </c>
      <c r="B3868" t="s">
        <v>49</v>
      </c>
      <c r="C3868">
        <v>1</v>
      </c>
      <c r="D3868" t="s">
        <v>453</v>
      </c>
      <c r="E3868" s="217">
        <v>45170</v>
      </c>
      <c r="F3868">
        <v>0</v>
      </c>
      <c r="G3868" t="s">
        <v>256</v>
      </c>
    </row>
    <row r="3869" spans="1:7">
      <c r="A3869" s="216">
        <v>45170</v>
      </c>
      <c r="B3869" t="s">
        <v>49</v>
      </c>
      <c r="C3869">
        <v>1</v>
      </c>
      <c r="D3869" t="s">
        <v>453</v>
      </c>
      <c r="E3869" s="217">
        <v>45170</v>
      </c>
      <c r="F3869">
        <v>0</v>
      </c>
      <c r="G3869" t="s">
        <v>257</v>
      </c>
    </row>
    <row r="3870" spans="1:7">
      <c r="A3870" s="216">
        <v>45170</v>
      </c>
      <c r="B3870" t="s">
        <v>49</v>
      </c>
      <c r="C3870">
        <v>1</v>
      </c>
      <c r="D3870" t="s">
        <v>453</v>
      </c>
      <c r="E3870" s="217">
        <v>45170</v>
      </c>
      <c r="F3870">
        <v>0</v>
      </c>
      <c r="G3870" t="s">
        <v>258</v>
      </c>
    </row>
    <row r="3871" spans="1:7">
      <c r="A3871" s="216">
        <v>45170</v>
      </c>
      <c r="B3871" t="s">
        <v>49</v>
      </c>
      <c r="C3871">
        <v>1</v>
      </c>
      <c r="D3871" t="s">
        <v>453</v>
      </c>
      <c r="E3871" s="217">
        <v>45170</v>
      </c>
      <c r="F3871">
        <v>0</v>
      </c>
      <c r="G3871" t="s">
        <v>259</v>
      </c>
    </row>
    <row r="3872" spans="1:7">
      <c r="A3872" s="216">
        <v>45170</v>
      </c>
      <c r="B3872" t="s">
        <v>49</v>
      </c>
      <c r="C3872">
        <v>1</v>
      </c>
      <c r="D3872" t="s">
        <v>453</v>
      </c>
      <c r="E3872" s="217">
        <v>45170</v>
      </c>
      <c r="F3872">
        <v>0</v>
      </c>
      <c r="G3872" t="s">
        <v>260</v>
      </c>
    </row>
    <row r="3873" spans="1:7">
      <c r="A3873" s="216">
        <v>45170</v>
      </c>
      <c r="B3873" t="s">
        <v>49</v>
      </c>
      <c r="C3873">
        <v>1</v>
      </c>
      <c r="D3873" t="s">
        <v>453</v>
      </c>
      <c r="E3873" s="217">
        <v>45170</v>
      </c>
      <c r="F3873">
        <v>0</v>
      </c>
      <c r="G3873" t="s">
        <v>261</v>
      </c>
    </row>
    <row r="3874" spans="1:7">
      <c r="A3874" s="216">
        <v>45170</v>
      </c>
      <c r="B3874" t="s">
        <v>49</v>
      </c>
      <c r="C3874">
        <v>1</v>
      </c>
      <c r="D3874" t="s">
        <v>453</v>
      </c>
      <c r="E3874" s="217">
        <v>45170</v>
      </c>
      <c r="F3874">
        <v>0</v>
      </c>
      <c r="G3874" t="s">
        <v>262</v>
      </c>
    </row>
    <row r="3875" spans="1:7">
      <c r="A3875" s="216">
        <v>45170</v>
      </c>
      <c r="B3875" t="s">
        <v>49</v>
      </c>
      <c r="C3875">
        <v>1</v>
      </c>
      <c r="D3875" t="s">
        <v>453</v>
      </c>
      <c r="E3875" s="217">
        <v>45170</v>
      </c>
      <c r="F3875">
        <v>0</v>
      </c>
      <c r="G3875" t="s">
        <v>434</v>
      </c>
    </row>
    <row r="3876" spans="1:7">
      <c r="A3876" s="216">
        <v>45170</v>
      </c>
      <c r="B3876" t="s">
        <v>49</v>
      </c>
      <c r="C3876">
        <v>2</v>
      </c>
      <c r="D3876" t="s">
        <v>436</v>
      </c>
      <c r="E3876" s="217">
        <v>45170</v>
      </c>
      <c r="F3876">
        <v>0</v>
      </c>
      <c r="G3876" t="s">
        <v>251</v>
      </c>
    </row>
    <row r="3877" spans="1:7">
      <c r="A3877" s="216">
        <v>45170</v>
      </c>
      <c r="B3877" t="s">
        <v>49</v>
      </c>
      <c r="C3877">
        <v>2</v>
      </c>
      <c r="D3877" t="s">
        <v>436</v>
      </c>
      <c r="E3877" s="217">
        <v>45170</v>
      </c>
      <c r="F3877">
        <v>0</v>
      </c>
      <c r="G3877" t="s">
        <v>252</v>
      </c>
    </row>
    <row r="3878" spans="1:7">
      <c r="A3878" s="216">
        <v>45170</v>
      </c>
      <c r="B3878" t="s">
        <v>49</v>
      </c>
      <c r="C3878">
        <v>2</v>
      </c>
      <c r="D3878" t="s">
        <v>436</v>
      </c>
      <c r="E3878" s="217">
        <v>45170</v>
      </c>
      <c r="F3878">
        <v>0</v>
      </c>
      <c r="G3878" t="s">
        <v>253</v>
      </c>
    </row>
    <row r="3879" spans="1:7">
      <c r="A3879" s="216">
        <v>45170</v>
      </c>
      <c r="B3879" t="s">
        <v>49</v>
      </c>
      <c r="C3879">
        <v>2</v>
      </c>
      <c r="D3879" t="s">
        <v>436</v>
      </c>
      <c r="E3879" s="217">
        <v>45170</v>
      </c>
      <c r="F3879">
        <v>0</v>
      </c>
      <c r="G3879" t="s">
        <v>254</v>
      </c>
    </row>
    <row r="3880" spans="1:7">
      <c r="A3880" s="216">
        <v>45170</v>
      </c>
      <c r="B3880" t="s">
        <v>49</v>
      </c>
      <c r="C3880">
        <v>2</v>
      </c>
      <c r="D3880" t="s">
        <v>436</v>
      </c>
      <c r="E3880" s="217">
        <v>45170</v>
      </c>
      <c r="F3880">
        <v>0</v>
      </c>
      <c r="G3880" t="s">
        <v>255</v>
      </c>
    </row>
    <row r="3881" spans="1:7">
      <c r="A3881" s="216">
        <v>45170</v>
      </c>
      <c r="B3881" t="s">
        <v>49</v>
      </c>
      <c r="C3881">
        <v>2</v>
      </c>
      <c r="D3881" t="s">
        <v>436</v>
      </c>
      <c r="E3881" s="217">
        <v>45170</v>
      </c>
      <c r="F3881">
        <v>0</v>
      </c>
      <c r="G3881" t="s">
        <v>256</v>
      </c>
    </row>
    <row r="3882" spans="1:7">
      <c r="A3882" s="216">
        <v>45170</v>
      </c>
      <c r="B3882" t="s">
        <v>49</v>
      </c>
      <c r="C3882">
        <v>2</v>
      </c>
      <c r="D3882" t="s">
        <v>436</v>
      </c>
      <c r="E3882" s="217">
        <v>45170</v>
      </c>
      <c r="F3882">
        <v>0</v>
      </c>
      <c r="G3882" t="s">
        <v>257</v>
      </c>
    </row>
    <row r="3883" spans="1:7">
      <c r="A3883" s="216">
        <v>45170</v>
      </c>
      <c r="B3883" t="s">
        <v>49</v>
      </c>
      <c r="C3883">
        <v>2</v>
      </c>
      <c r="D3883" t="s">
        <v>436</v>
      </c>
      <c r="E3883" s="217">
        <v>45170</v>
      </c>
      <c r="F3883">
        <v>0</v>
      </c>
      <c r="G3883" t="s">
        <v>258</v>
      </c>
    </row>
    <row r="3884" spans="1:7">
      <c r="A3884" s="216">
        <v>45170</v>
      </c>
      <c r="B3884" t="s">
        <v>49</v>
      </c>
      <c r="C3884">
        <v>2</v>
      </c>
      <c r="D3884" t="s">
        <v>436</v>
      </c>
      <c r="E3884" s="217">
        <v>45170</v>
      </c>
      <c r="F3884">
        <v>0</v>
      </c>
      <c r="G3884" t="s">
        <v>259</v>
      </c>
    </row>
    <row r="3885" spans="1:7">
      <c r="A3885" s="216">
        <v>45170</v>
      </c>
      <c r="B3885" t="s">
        <v>49</v>
      </c>
      <c r="C3885">
        <v>2</v>
      </c>
      <c r="D3885" t="s">
        <v>436</v>
      </c>
      <c r="E3885" s="217">
        <v>45170</v>
      </c>
      <c r="F3885">
        <v>0</v>
      </c>
      <c r="G3885" t="s">
        <v>260</v>
      </c>
    </row>
    <row r="3886" spans="1:7">
      <c r="A3886" s="216">
        <v>45170</v>
      </c>
      <c r="B3886" t="s">
        <v>49</v>
      </c>
      <c r="C3886">
        <v>2</v>
      </c>
      <c r="D3886" t="s">
        <v>436</v>
      </c>
      <c r="E3886" s="217">
        <v>45170</v>
      </c>
      <c r="F3886">
        <v>0</v>
      </c>
      <c r="G3886" t="s">
        <v>261</v>
      </c>
    </row>
    <row r="3887" spans="1:7">
      <c r="A3887" s="216">
        <v>45170</v>
      </c>
      <c r="B3887" t="s">
        <v>49</v>
      </c>
      <c r="C3887">
        <v>2</v>
      </c>
      <c r="D3887" t="s">
        <v>436</v>
      </c>
      <c r="E3887" s="217">
        <v>45170</v>
      </c>
      <c r="F3887">
        <v>0</v>
      </c>
      <c r="G3887" t="s">
        <v>262</v>
      </c>
    </row>
    <row r="3888" spans="1:7">
      <c r="A3888" s="216">
        <v>45170</v>
      </c>
      <c r="B3888" t="s">
        <v>49</v>
      </c>
      <c r="C3888">
        <v>2</v>
      </c>
      <c r="D3888" t="s">
        <v>436</v>
      </c>
      <c r="E3888" s="217">
        <v>45170</v>
      </c>
      <c r="F3888">
        <v>0</v>
      </c>
      <c r="G3888" t="s">
        <v>434</v>
      </c>
    </row>
    <row r="3889" spans="1:7">
      <c r="A3889" s="216">
        <v>45170</v>
      </c>
      <c r="B3889" t="s">
        <v>49</v>
      </c>
      <c r="C3889">
        <v>3</v>
      </c>
      <c r="D3889" t="s">
        <v>459</v>
      </c>
      <c r="E3889" s="217">
        <v>45170</v>
      </c>
      <c r="F3889">
        <v>8538.9089999999997</v>
      </c>
      <c r="G3889" t="s">
        <v>251</v>
      </c>
    </row>
    <row r="3890" spans="1:7">
      <c r="A3890" s="216">
        <v>45170</v>
      </c>
      <c r="B3890" t="s">
        <v>49</v>
      </c>
      <c r="C3890">
        <v>3</v>
      </c>
      <c r="D3890" t="s">
        <v>459</v>
      </c>
      <c r="E3890" s="217">
        <v>45170</v>
      </c>
      <c r="F3890">
        <v>8390.8590000000004</v>
      </c>
      <c r="G3890" t="s">
        <v>252</v>
      </c>
    </row>
    <row r="3891" spans="1:7">
      <c r="A3891" s="216">
        <v>45170</v>
      </c>
      <c r="B3891" t="s">
        <v>49</v>
      </c>
      <c r="C3891">
        <v>3</v>
      </c>
      <c r="D3891" t="s">
        <v>459</v>
      </c>
      <c r="E3891" s="217">
        <v>45170</v>
      </c>
      <c r="F3891">
        <v>9189.8739999999998</v>
      </c>
      <c r="G3891" t="s">
        <v>253</v>
      </c>
    </row>
    <row r="3892" spans="1:7">
      <c r="A3892" s="216">
        <v>45170</v>
      </c>
      <c r="B3892" t="s">
        <v>49</v>
      </c>
      <c r="C3892">
        <v>3</v>
      </c>
      <c r="D3892" t="s">
        <v>459</v>
      </c>
      <c r="E3892" s="217">
        <v>45170</v>
      </c>
      <c r="F3892">
        <v>8682.1839999999993</v>
      </c>
      <c r="G3892" t="s">
        <v>254</v>
      </c>
    </row>
    <row r="3893" spans="1:7">
      <c r="A3893" s="216">
        <v>45170</v>
      </c>
      <c r="B3893" t="s">
        <v>49</v>
      </c>
      <c r="C3893">
        <v>3</v>
      </c>
      <c r="D3893" t="s">
        <v>459</v>
      </c>
      <c r="E3893" s="217">
        <v>45170</v>
      </c>
      <c r="F3893">
        <v>9183.2170000000006</v>
      </c>
      <c r="G3893" t="s">
        <v>255</v>
      </c>
    </row>
    <row r="3894" spans="1:7">
      <c r="A3894" s="216">
        <v>45170</v>
      </c>
      <c r="B3894" t="s">
        <v>49</v>
      </c>
      <c r="C3894">
        <v>3</v>
      </c>
      <c r="D3894" t="s">
        <v>459</v>
      </c>
      <c r="E3894" s="217">
        <v>45170</v>
      </c>
      <c r="F3894">
        <v>9686.9633699999995</v>
      </c>
      <c r="G3894" t="s">
        <v>256</v>
      </c>
    </row>
    <row r="3895" spans="1:7">
      <c r="A3895" s="216">
        <v>45170</v>
      </c>
      <c r="B3895" t="s">
        <v>49</v>
      </c>
      <c r="C3895">
        <v>3</v>
      </c>
      <c r="D3895" t="s">
        <v>459</v>
      </c>
      <c r="E3895" s="217">
        <v>45170</v>
      </c>
      <c r="F3895">
        <v>9199.1170000000002</v>
      </c>
      <c r="G3895" t="s">
        <v>257</v>
      </c>
    </row>
    <row r="3896" spans="1:7">
      <c r="A3896" s="216">
        <v>45170</v>
      </c>
      <c r="B3896" t="s">
        <v>49</v>
      </c>
      <c r="C3896">
        <v>3</v>
      </c>
      <c r="D3896" t="s">
        <v>459</v>
      </c>
      <c r="E3896" s="217">
        <v>45170</v>
      </c>
      <c r="F3896">
        <v>9165.6659999999993</v>
      </c>
      <c r="G3896" t="s">
        <v>258</v>
      </c>
    </row>
    <row r="3897" spans="1:7">
      <c r="A3897" s="216">
        <v>45170</v>
      </c>
      <c r="B3897" t="s">
        <v>49</v>
      </c>
      <c r="C3897">
        <v>3</v>
      </c>
      <c r="D3897" t="s">
        <v>459</v>
      </c>
      <c r="E3897" s="217">
        <v>45170</v>
      </c>
      <c r="F3897">
        <v>9285.6659999999993</v>
      </c>
      <c r="G3897" t="s">
        <v>259</v>
      </c>
    </row>
    <row r="3898" spans="1:7">
      <c r="A3898" s="216">
        <v>45170</v>
      </c>
      <c r="B3898" t="s">
        <v>49</v>
      </c>
      <c r="C3898">
        <v>3</v>
      </c>
      <c r="D3898" t="s">
        <v>459</v>
      </c>
      <c r="E3898" s="217">
        <v>45170</v>
      </c>
      <c r="F3898">
        <v>9285.6659999999993</v>
      </c>
      <c r="G3898" t="s">
        <v>260</v>
      </c>
    </row>
    <row r="3899" spans="1:7">
      <c r="A3899" s="216">
        <v>45170</v>
      </c>
      <c r="B3899" t="s">
        <v>49</v>
      </c>
      <c r="C3899">
        <v>3</v>
      </c>
      <c r="D3899" t="s">
        <v>459</v>
      </c>
      <c r="E3899" s="217">
        <v>45170</v>
      </c>
      <c r="F3899">
        <v>9285.6659999999993</v>
      </c>
      <c r="G3899" t="s">
        <v>261</v>
      </c>
    </row>
    <row r="3900" spans="1:7">
      <c r="A3900" s="216">
        <v>45170</v>
      </c>
      <c r="B3900" t="s">
        <v>49</v>
      </c>
      <c r="C3900">
        <v>3</v>
      </c>
      <c r="D3900" t="s">
        <v>459</v>
      </c>
      <c r="E3900" s="217">
        <v>45170</v>
      </c>
      <c r="F3900">
        <v>9284.634</v>
      </c>
      <c r="G3900" t="s">
        <v>262</v>
      </c>
    </row>
    <row r="3901" spans="1:7">
      <c r="A3901" s="216">
        <v>45170</v>
      </c>
      <c r="B3901" t="s">
        <v>49</v>
      </c>
      <c r="C3901">
        <v>3</v>
      </c>
      <c r="D3901" t="s">
        <v>459</v>
      </c>
      <c r="E3901" s="217">
        <v>45170</v>
      </c>
      <c r="F3901">
        <v>109178.42137</v>
      </c>
      <c r="G3901" t="s">
        <v>434</v>
      </c>
    </row>
    <row r="3902" spans="1:7">
      <c r="A3902" s="216">
        <v>45170</v>
      </c>
      <c r="B3902" t="s">
        <v>49</v>
      </c>
      <c r="C3902">
        <v>4</v>
      </c>
      <c r="D3902" t="s">
        <v>460</v>
      </c>
      <c r="E3902" s="217">
        <v>45170</v>
      </c>
      <c r="F3902">
        <v>4723.3029999999999</v>
      </c>
      <c r="G3902" t="s">
        <v>251</v>
      </c>
    </row>
    <row r="3903" spans="1:7">
      <c r="A3903" s="216">
        <v>45170</v>
      </c>
      <c r="B3903" t="s">
        <v>49</v>
      </c>
      <c r="C3903">
        <v>4</v>
      </c>
      <c r="D3903" t="s">
        <v>460</v>
      </c>
      <c r="E3903" s="217">
        <v>45170</v>
      </c>
      <c r="F3903">
        <v>4746.3159999999998</v>
      </c>
      <c r="G3903" t="s">
        <v>252</v>
      </c>
    </row>
    <row r="3904" spans="1:7">
      <c r="A3904" s="216">
        <v>45170</v>
      </c>
      <c r="B3904" t="s">
        <v>49</v>
      </c>
      <c r="C3904">
        <v>4</v>
      </c>
      <c r="D3904" t="s">
        <v>460</v>
      </c>
      <c r="E3904" s="217">
        <v>45170</v>
      </c>
      <c r="F3904">
        <v>4731.3739999999998</v>
      </c>
      <c r="G3904" t="s">
        <v>253</v>
      </c>
    </row>
    <row r="3905" spans="1:7">
      <c r="A3905" s="216">
        <v>45170</v>
      </c>
      <c r="B3905" t="s">
        <v>49</v>
      </c>
      <c r="C3905">
        <v>4</v>
      </c>
      <c r="D3905" t="s">
        <v>460</v>
      </c>
      <c r="E3905" s="217">
        <v>45170</v>
      </c>
      <c r="F3905">
        <v>4880.4229999999998</v>
      </c>
      <c r="G3905" t="s">
        <v>254</v>
      </c>
    </row>
    <row r="3906" spans="1:7">
      <c r="A3906" s="216">
        <v>45170</v>
      </c>
      <c r="B3906" t="s">
        <v>49</v>
      </c>
      <c r="C3906">
        <v>4</v>
      </c>
      <c r="D3906" t="s">
        <v>460</v>
      </c>
      <c r="E3906" s="217">
        <v>45170</v>
      </c>
      <c r="F3906">
        <v>4986.1400000000003</v>
      </c>
      <c r="G3906" t="s">
        <v>255</v>
      </c>
    </row>
    <row r="3907" spans="1:7">
      <c r="A3907" s="216">
        <v>45170</v>
      </c>
      <c r="B3907" t="s">
        <v>49</v>
      </c>
      <c r="C3907">
        <v>4</v>
      </c>
      <c r="D3907" t="s">
        <v>460</v>
      </c>
      <c r="E3907" s="217">
        <v>45170</v>
      </c>
      <c r="F3907">
        <v>4899.8789999999999</v>
      </c>
      <c r="G3907" t="s">
        <v>256</v>
      </c>
    </row>
    <row r="3908" spans="1:7">
      <c r="A3908" s="216">
        <v>45170</v>
      </c>
      <c r="B3908" t="s">
        <v>49</v>
      </c>
      <c r="C3908">
        <v>4</v>
      </c>
      <c r="D3908" t="s">
        <v>460</v>
      </c>
      <c r="E3908" s="217">
        <v>45170</v>
      </c>
      <c r="F3908">
        <v>5202.62</v>
      </c>
      <c r="G3908" t="s">
        <v>257</v>
      </c>
    </row>
    <row r="3909" spans="1:7">
      <c r="A3909" s="216">
        <v>45170</v>
      </c>
      <c r="B3909" t="s">
        <v>49</v>
      </c>
      <c r="C3909">
        <v>4</v>
      </c>
      <c r="D3909" t="s">
        <v>460</v>
      </c>
      <c r="E3909" s="217">
        <v>45170</v>
      </c>
      <c r="F3909">
        <v>5196.7139999999999</v>
      </c>
      <c r="G3909" t="s">
        <v>258</v>
      </c>
    </row>
    <row r="3910" spans="1:7">
      <c r="A3910" s="216">
        <v>45170</v>
      </c>
      <c r="B3910" t="s">
        <v>49</v>
      </c>
      <c r="C3910">
        <v>4</v>
      </c>
      <c r="D3910" t="s">
        <v>460</v>
      </c>
      <c r="E3910" s="217">
        <v>45170</v>
      </c>
      <c r="F3910">
        <v>5196.7139999999999</v>
      </c>
      <c r="G3910" t="s">
        <v>259</v>
      </c>
    </row>
    <row r="3911" spans="1:7">
      <c r="A3911" s="216">
        <v>45170</v>
      </c>
      <c r="B3911" t="s">
        <v>49</v>
      </c>
      <c r="C3911">
        <v>4</v>
      </c>
      <c r="D3911" t="s">
        <v>460</v>
      </c>
      <c r="E3911" s="217">
        <v>45170</v>
      </c>
      <c r="F3911">
        <v>5196.7129999999997</v>
      </c>
      <c r="G3911" t="s">
        <v>260</v>
      </c>
    </row>
    <row r="3912" spans="1:7">
      <c r="A3912" s="216">
        <v>45170</v>
      </c>
      <c r="B3912" t="s">
        <v>49</v>
      </c>
      <c r="C3912">
        <v>4</v>
      </c>
      <c r="D3912" t="s">
        <v>460</v>
      </c>
      <c r="E3912" s="217">
        <v>45170</v>
      </c>
      <c r="F3912">
        <v>5196.7129999999997</v>
      </c>
      <c r="G3912" t="s">
        <v>261</v>
      </c>
    </row>
    <row r="3913" spans="1:7">
      <c r="A3913" s="216">
        <v>45170</v>
      </c>
      <c r="B3913" t="s">
        <v>49</v>
      </c>
      <c r="C3913">
        <v>4</v>
      </c>
      <c r="D3913" t="s">
        <v>460</v>
      </c>
      <c r="E3913" s="217">
        <v>45170</v>
      </c>
      <c r="F3913">
        <v>5106.7089999999998</v>
      </c>
      <c r="G3913" t="s">
        <v>262</v>
      </c>
    </row>
    <row r="3914" spans="1:7">
      <c r="A3914" s="216">
        <v>45170</v>
      </c>
      <c r="B3914" t="s">
        <v>49</v>
      </c>
      <c r="C3914">
        <v>4</v>
      </c>
      <c r="D3914" t="s">
        <v>460</v>
      </c>
      <c r="E3914" s="217">
        <v>45170</v>
      </c>
      <c r="F3914">
        <v>60063.618000000002</v>
      </c>
      <c r="G3914" t="s">
        <v>434</v>
      </c>
    </row>
    <row r="3915" spans="1:7">
      <c r="A3915" s="216">
        <v>45170</v>
      </c>
      <c r="B3915" t="s">
        <v>49</v>
      </c>
      <c r="C3915">
        <v>5</v>
      </c>
      <c r="D3915" t="s">
        <v>458</v>
      </c>
      <c r="E3915" s="217">
        <v>45170</v>
      </c>
      <c r="F3915">
        <v>495.32299999999998</v>
      </c>
      <c r="G3915" t="s">
        <v>251</v>
      </c>
    </row>
    <row r="3916" spans="1:7">
      <c r="A3916" s="216">
        <v>45170</v>
      </c>
      <c r="B3916" t="s">
        <v>49</v>
      </c>
      <c r="C3916">
        <v>5</v>
      </c>
      <c r="D3916" t="s">
        <v>458</v>
      </c>
      <c r="E3916" s="217">
        <v>45170</v>
      </c>
      <c r="F3916">
        <v>449.80203</v>
      </c>
      <c r="G3916" t="s">
        <v>252</v>
      </c>
    </row>
    <row r="3917" spans="1:7">
      <c r="A3917" s="216">
        <v>45170</v>
      </c>
      <c r="B3917" t="s">
        <v>49</v>
      </c>
      <c r="C3917">
        <v>5</v>
      </c>
      <c r="D3917" t="s">
        <v>458</v>
      </c>
      <c r="E3917" s="217">
        <v>45170</v>
      </c>
      <c r="F3917">
        <v>2039.6844799999999</v>
      </c>
      <c r="G3917" t="s">
        <v>253</v>
      </c>
    </row>
    <row r="3918" spans="1:7">
      <c r="A3918" s="216">
        <v>45170</v>
      </c>
      <c r="B3918" t="s">
        <v>49</v>
      </c>
      <c r="C3918">
        <v>5</v>
      </c>
      <c r="D3918" t="s">
        <v>458</v>
      </c>
      <c r="E3918" s="217">
        <v>45170</v>
      </c>
      <c r="F3918">
        <v>2207.808</v>
      </c>
      <c r="G3918" t="s">
        <v>254</v>
      </c>
    </row>
    <row r="3919" spans="1:7">
      <c r="A3919" s="216">
        <v>45170</v>
      </c>
      <c r="B3919" t="s">
        <v>49</v>
      </c>
      <c r="C3919">
        <v>5</v>
      </c>
      <c r="D3919" t="s">
        <v>458</v>
      </c>
      <c r="E3919" s="217">
        <v>45170</v>
      </c>
      <c r="F3919">
        <v>815.39400000000001</v>
      </c>
      <c r="G3919" t="s">
        <v>255</v>
      </c>
    </row>
    <row r="3920" spans="1:7">
      <c r="A3920" s="216">
        <v>45170</v>
      </c>
      <c r="B3920" t="s">
        <v>49</v>
      </c>
      <c r="C3920">
        <v>5</v>
      </c>
      <c r="D3920" t="s">
        <v>458</v>
      </c>
      <c r="E3920" s="217">
        <v>45170</v>
      </c>
      <c r="F3920">
        <v>972.73558000000003</v>
      </c>
      <c r="G3920" t="s">
        <v>256</v>
      </c>
    </row>
    <row r="3921" spans="1:7">
      <c r="A3921" s="216">
        <v>45170</v>
      </c>
      <c r="B3921" t="s">
        <v>49</v>
      </c>
      <c r="C3921">
        <v>5</v>
      </c>
      <c r="D3921" t="s">
        <v>458</v>
      </c>
      <c r="E3921" s="217">
        <v>45170</v>
      </c>
      <c r="F3921">
        <v>1140.98624666667</v>
      </c>
      <c r="G3921" t="s">
        <v>257</v>
      </c>
    </row>
    <row r="3922" spans="1:7">
      <c r="A3922" s="216">
        <v>45170</v>
      </c>
      <c r="B3922" t="s">
        <v>49</v>
      </c>
      <c r="C3922">
        <v>5</v>
      </c>
      <c r="D3922" t="s">
        <v>458</v>
      </c>
      <c r="E3922" s="217">
        <v>45170</v>
      </c>
      <c r="F3922">
        <v>1141.2713366666701</v>
      </c>
      <c r="G3922" t="s">
        <v>258</v>
      </c>
    </row>
    <row r="3923" spans="1:7">
      <c r="A3923" s="216">
        <v>45170</v>
      </c>
      <c r="B3923" t="s">
        <v>49</v>
      </c>
      <c r="C3923">
        <v>5</v>
      </c>
      <c r="D3923" t="s">
        <v>458</v>
      </c>
      <c r="E3923" s="217">
        <v>45170</v>
      </c>
      <c r="F3923">
        <v>1142.2713366666701</v>
      </c>
      <c r="G3923" t="s">
        <v>259</v>
      </c>
    </row>
    <row r="3924" spans="1:7">
      <c r="A3924" s="216">
        <v>45170</v>
      </c>
      <c r="B3924" t="s">
        <v>49</v>
      </c>
      <c r="C3924">
        <v>5</v>
      </c>
      <c r="D3924" t="s">
        <v>458</v>
      </c>
      <c r="E3924" s="217">
        <v>45170</v>
      </c>
      <c r="F3924">
        <v>1152.2713366666701</v>
      </c>
      <c r="G3924" t="s">
        <v>260</v>
      </c>
    </row>
    <row r="3925" spans="1:7">
      <c r="A3925" s="216">
        <v>45170</v>
      </c>
      <c r="B3925" t="s">
        <v>49</v>
      </c>
      <c r="C3925">
        <v>5</v>
      </c>
      <c r="D3925" t="s">
        <v>458</v>
      </c>
      <c r="E3925" s="217">
        <v>45170</v>
      </c>
      <c r="F3925">
        <v>1162.2713366666701</v>
      </c>
      <c r="G3925" t="s">
        <v>261</v>
      </c>
    </row>
    <row r="3926" spans="1:7">
      <c r="A3926" s="216">
        <v>45170</v>
      </c>
      <c r="B3926" t="s">
        <v>49</v>
      </c>
      <c r="C3926">
        <v>5</v>
      </c>
      <c r="D3926" t="s">
        <v>458</v>
      </c>
      <c r="E3926" s="217">
        <v>45170</v>
      </c>
      <c r="F3926">
        <v>12007.1653366667</v>
      </c>
      <c r="G3926" t="s">
        <v>262</v>
      </c>
    </row>
    <row r="3927" spans="1:7">
      <c r="A3927" s="216">
        <v>45170</v>
      </c>
      <c r="B3927" t="s">
        <v>49</v>
      </c>
      <c r="C3927">
        <v>5</v>
      </c>
      <c r="D3927" t="s">
        <v>458</v>
      </c>
      <c r="E3927" s="217">
        <v>45170</v>
      </c>
      <c r="F3927">
        <v>24726.98402</v>
      </c>
      <c r="G3927" t="s">
        <v>434</v>
      </c>
    </row>
    <row r="3928" spans="1:7">
      <c r="A3928" s="216">
        <v>45170</v>
      </c>
      <c r="B3928" t="s">
        <v>49</v>
      </c>
      <c r="C3928">
        <v>6</v>
      </c>
      <c r="D3928" t="s">
        <v>448</v>
      </c>
      <c r="E3928" s="217">
        <v>45170</v>
      </c>
      <c r="F3928">
        <v>1040.511</v>
      </c>
      <c r="G3928" t="s">
        <v>251</v>
      </c>
    </row>
    <row r="3929" spans="1:7">
      <c r="A3929" s="216">
        <v>45170</v>
      </c>
      <c r="B3929" t="s">
        <v>49</v>
      </c>
      <c r="C3929">
        <v>6</v>
      </c>
      <c r="D3929" t="s">
        <v>448</v>
      </c>
      <c r="E3929" s="217">
        <v>45170</v>
      </c>
      <c r="F3929">
        <v>1388.27297</v>
      </c>
      <c r="G3929" t="s">
        <v>252</v>
      </c>
    </row>
    <row r="3930" spans="1:7">
      <c r="A3930" s="216">
        <v>45170</v>
      </c>
      <c r="B3930" t="s">
        <v>49</v>
      </c>
      <c r="C3930">
        <v>6</v>
      </c>
      <c r="D3930" t="s">
        <v>448</v>
      </c>
      <c r="E3930" s="217">
        <v>45170</v>
      </c>
      <c r="F3930">
        <v>905.70600000000002</v>
      </c>
      <c r="G3930" t="s">
        <v>253</v>
      </c>
    </row>
    <row r="3931" spans="1:7">
      <c r="A3931" s="216">
        <v>45170</v>
      </c>
      <c r="B3931" t="s">
        <v>49</v>
      </c>
      <c r="C3931">
        <v>6</v>
      </c>
      <c r="D3931" t="s">
        <v>448</v>
      </c>
      <c r="E3931" s="217">
        <v>45170</v>
      </c>
      <c r="F3931">
        <v>1079.73603</v>
      </c>
      <c r="G3931" t="s">
        <v>254</v>
      </c>
    </row>
    <row r="3932" spans="1:7">
      <c r="A3932" s="216">
        <v>45170</v>
      </c>
      <c r="B3932" t="s">
        <v>49</v>
      </c>
      <c r="C3932">
        <v>6</v>
      </c>
      <c r="D3932" t="s">
        <v>448</v>
      </c>
      <c r="E3932" s="217">
        <v>45170</v>
      </c>
      <c r="F3932">
        <v>1207.482</v>
      </c>
      <c r="G3932" t="s">
        <v>255</v>
      </c>
    </row>
    <row r="3933" spans="1:7">
      <c r="A3933" s="216">
        <v>45170</v>
      </c>
      <c r="B3933" t="s">
        <v>49</v>
      </c>
      <c r="C3933">
        <v>6</v>
      </c>
      <c r="D3933" t="s">
        <v>448</v>
      </c>
      <c r="E3933" s="217">
        <v>45170</v>
      </c>
      <c r="F3933">
        <v>1529.4659999999999</v>
      </c>
      <c r="G3933" t="s">
        <v>256</v>
      </c>
    </row>
    <row r="3934" spans="1:7">
      <c r="A3934" s="216">
        <v>45170</v>
      </c>
      <c r="B3934" t="s">
        <v>49</v>
      </c>
      <c r="C3934">
        <v>6</v>
      </c>
      <c r="D3934" t="s">
        <v>448</v>
      </c>
      <c r="E3934" s="217">
        <v>45170</v>
      </c>
      <c r="F3934">
        <v>1264.0706666666699</v>
      </c>
      <c r="G3934" t="s">
        <v>257</v>
      </c>
    </row>
    <row r="3935" spans="1:7">
      <c r="A3935" s="216">
        <v>45170</v>
      </c>
      <c r="B3935" t="s">
        <v>49</v>
      </c>
      <c r="C3935">
        <v>6</v>
      </c>
      <c r="D3935" t="s">
        <v>448</v>
      </c>
      <c r="E3935" s="217">
        <v>45170</v>
      </c>
      <c r="F3935">
        <v>1289.0706666666699</v>
      </c>
      <c r="G3935" t="s">
        <v>258</v>
      </c>
    </row>
    <row r="3936" spans="1:7">
      <c r="A3936" s="216">
        <v>45170</v>
      </c>
      <c r="B3936" t="s">
        <v>49</v>
      </c>
      <c r="C3936">
        <v>6</v>
      </c>
      <c r="D3936" t="s">
        <v>448</v>
      </c>
      <c r="E3936" s="217">
        <v>45170</v>
      </c>
      <c r="F3936">
        <v>1265.0706666666699</v>
      </c>
      <c r="G3936" t="s">
        <v>259</v>
      </c>
    </row>
    <row r="3937" spans="1:7">
      <c r="A3937" s="216">
        <v>45170</v>
      </c>
      <c r="B3937" t="s">
        <v>49</v>
      </c>
      <c r="C3937">
        <v>6</v>
      </c>
      <c r="D3937" t="s">
        <v>448</v>
      </c>
      <c r="E3937" s="217">
        <v>45170</v>
      </c>
      <c r="F3937">
        <v>1280.0706666666699</v>
      </c>
      <c r="G3937" t="s">
        <v>260</v>
      </c>
    </row>
    <row r="3938" spans="1:7">
      <c r="A3938" s="216">
        <v>45170</v>
      </c>
      <c r="B3938" t="s">
        <v>49</v>
      </c>
      <c r="C3938">
        <v>6</v>
      </c>
      <c r="D3938" t="s">
        <v>448</v>
      </c>
      <c r="E3938" s="217">
        <v>45170</v>
      </c>
      <c r="F3938">
        <v>1285.0746666666701</v>
      </c>
      <c r="G3938" t="s">
        <v>261</v>
      </c>
    </row>
    <row r="3939" spans="1:7">
      <c r="A3939" s="216">
        <v>45170</v>
      </c>
      <c r="B3939" t="s">
        <v>49</v>
      </c>
      <c r="C3939">
        <v>6</v>
      </c>
      <c r="D3939" t="s">
        <v>448</v>
      </c>
      <c r="E3939" s="217">
        <v>45170</v>
      </c>
      <c r="F3939">
        <v>1292.9846666666699</v>
      </c>
      <c r="G3939" t="s">
        <v>262</v>
      </c>
    </row>
    <row r="3940" spans="1:7">
      <c r="A3940" s="216">
        <v>45170</v>
      </c>
      <c r="B3940" t="s">
        <v>49</v>
      </c>
      <c r="C3940">
        <v>6</v>
      </c>
      <c r="D3940" t="s">
        <v>448</v>
      </c>
      <c r="E3940" s="217">
        <v>45170</v>
      </c>
      <c r="F3940">
        <v>14827.516</v>
      </c>
      <c r="G3940" t="s">
        <v>434</v>
      </c>
    </row>
    <row r="3941" spans="1:7">
      <c r="A3941" s="216">
        <v>45170</v>
      </c>
      <c r="B3941" t="s">
        <v>49</v>
      </c>
      <c r="C3941">
        <v>7</v>
      </c>
      <c r="D3941" t="s">
        <v>442</v>
      </c>
      <c r="E3941" s="217">
        <v>45170</v>
      </c>
      <c r="F3941">
        <v>14798.046</v>
      </c>
      <c r="G3941" t="s">
        <v>251</v>
      </c>
    </row>
    <row r="3942" spans="1:7">
      <c r="A3942" s="216">
        <v>45170</v>
      </c>
      <c r="B3942" t="s">
        <v>49</v>
      </c>
      <c r="C3942">
        <v>7</v>
      </c>
      <c r="D3942" t="s">
        <v>442</v>
      </c>
      <c r="E3942" s="217">
        <v>45170</v>
      </c>
      <c r="F3942">
        <v>14975.25</v>
      </c>
      <c r="G3942" t="s">
        <v>252</v>
      </c>
    </row>
    <row r="3943" spans="1:7">
      <c r="A3943" s="216">
        <v>45170</v>
      </c>
      <c r="B3943" t="s">
        <v>49</v>
      </c>
      <c r="C3943">
        <v>7</v>
      </c>
      <c r="D3943" t="s">
        <v>442</v>
      </c>
      <c r="E3943" s="217">
        <v>45170</v>
      </c>
      <c r="F3943">
        <v>16866.638480000001</v>
      </c>
      <c r="G3943" t="s">
        <v>253</v>
      </c>
    </row>
    <row r="3944" spans="1:7">
      <c r="A3944" s="216">
        <v>45170</v>
      </c>
      <c r="B3944" t="s">
        <v>49</v>
      </c>
      <c r="C3944">
        <v>7</v>
      </c>
      <c r="D3944" t="s">
        <v>442</v>
      </c>
      <c r="E3944" s="217">
        <v>45170</v>
      </c>
      <c r="F3944">
        <v>16850.151030000001</v>
      </c>
      <c r="G3944" t="s">
        <v>254</v>
      </c>
    </row>
    <row r="3945" spans="1:7">
      <c r="A3945" s="216">
        <v>45170</v>
      </c>
      <c r="B3945" t="s">
        <v>49</v>
      </c>
      <c r="C3945">
        <v>7</v>
      </c>
      <c r="D3945" t="s">
        <v>442</v>
      </c>
      <c r="E3945" s="217">
        <v>45170</v>
      </c>
      <c r="F3945">
        <v>16192.233</v>
      </c>
      <c r="G3945" t="s">
        <v>255</v>
      </c>
    </row>
    <row r="3946" spans="1:7">
      <c r="A3946" s="216">
        <v>45170</v>
      </c>
      <c r="B3946" t="s">
        <v>49</v>
      </c>
      <c r="C3946">
        <v>7</v>
      </c>
      <c r="D3946" t="s">
        <v>442</v>
      </c>
      <c r="E3946" s="217">
        <v>45170</v>
      </c>
      <c r="F3946">
        <v>17089.043949999999</v>
      </c>
      <c r="G3946" t="s">
        <v>256</v>
      </c>
    </row>
    <row r="3947" spans="1:7">
      <c r="A3947" s="216">
        <v>45170</v>
      </c>
      <c r="B3947" t="s">
        <v>49</v>
      </c>
      <c r="C3947">
        <v>7</v>
      </c>
      <c r="D3947" t="s">
        <v>442</v>
      </c>
      <c r="E3947" s="217">
        <v>45170</v>
      </c>
      <c r="F3947">
        <v>16806.793913333298</v>
      </c>
      <c r="G3947" t="s">
        <v>257</v>
      </c>
    </row>
    <row r="3948" spans="1:7">
      <c r="A3948" s="216">
        <v>45170</v>
      </c>
      <c r="B3948" t="s">
        <v>49</v>
      </c>
      <c r="C3948">
        <v>7</v>
      </c>
      <c r="D3948" t="s">
        <v>442</v>
      </c>
      <c r="E3948" s="217">
        <v>45170</v>
      </c>
      <c r="F3948">
        <v>16792.7220033333</v>
      </c>
      <c r="G3948" t="s">
        <v>258</v>
      </c>
    </row>
    <row r="3949" spans="1:7">
      <c r="A3949" s="216">
        <v>45170</v>
      </c>
      <c r="B3949" t="s">
        <v>49</v>
      </c>
      <c r="C3949">
        <v>7</v>
      </c>
      <c r="D3949" t="s">
        <v>442</v>
      </c>
      <c r="E3949" s="217">
        <v>45170</v>
      </c>
      <c r="F3949">
        <v>16889.7220033333</v>
      </c>
      <c r="G3949" t="s">
        <v>259</v>
      </c>
    </row>
    <row r="3950" spans="1:7">
      <c r="A3950" s="216">
        <v>45170</v>
      </c>
      <c r="B3950" t="s">
        <v>49</v>
      </c>
      <c r="C3950">
        <v>7</v>
      </c>
      <c r="D3950" t="s">
        <v>442</v>
      </c>
      <c r="E3950" s="217">
        <v>45170</v>
      </c>
      <c r="F3950">
        <v>16914.721003333299</v>
      </c>
      <c r="G3950" t="s">
        <v>260</v>
      </c>
    </row>
    <row r="3951" spans="1:7">
      <c r="A3951" s="216">
        <v>45170</v>
      </c>
      <c r="B3951" t="s">
        <v>49</v>
      </c>
      <c r="C3951">
        <v>7</v>
      </c>
      <c r="D3951" t="s">
        <v>442</v>
      </c>
      <c r="E3951" s="217">
        <v>45170</v>
      </c>
      <c r="F3951">
        <v>16929.7250033333</v>
      </c>
      <c r="G3951" t="s">
        <v>261</v>
      </c>
    </row>
    <row r="3952" spans="1:7">
      <c r="A3952" s="216">
        <v>45170</v>
      </c>
      <c r="B3952" t="s">
        <v>49</v>
      </c>
      <c r="C3952">
        <v>7</v>
      </c>
      <c r="D3952" t="s">
        <v>442</v>
      </c>
      <c r="E3952" s="217">
        <v>45170</v>
      </c>
      <c r="F3952">
        <v>27691.4930033333</v>
      </c>
      <c r="G3952" t="s">
        <v>262</v>
      </c>
    </row>
    <row r="3953" spans="1:7">
      <c r="A3953" s="216">
        <v>45170</v>
      </c>
      <c r="B3953" t="s">
        <v>49</v>
      </c>
      <c r="C3953">
        <v>7</v>
      </c>
      <c r="D3953" t="s">
        <v>442</v>
      </c>
      <c r="E3953" s="217">
        <v>45170</v>
      </c>
      <c r="F3953">
        <v>208796.53938999999</v>
      </c>
      <c r="G3953" t="s">
        <v>434</v>
      </c>
    </row>
    <row r="3954" spans="1:7">
      <c r="A3954" s="216">
        <v>45170</v>
      </c>
      <c r="B3954" t="s">
        <v>49</v>
      </c>
      <c r="C3954">
        <v>8</v>
      </c>
      <c r="D3954" t="s">
        <v>451</v>
      </c>
      <c r="E3954" s="217">
        <v>45170</v>
      </c>
      <c r="F3954">
        <v>0</v>
      </c>
      <c r="G3954" t="s">
        <v>251</v>
      </c>
    </row>
    <row r="3955" spans="1:7">
      <c r="A3955" s="216">
        <v>45170</v>
      </c>
      <c r="B3955" t="s">
        <v>49</v>
      </c>
      <c r="C3955">
        <v>8</v>
      </c>
      <c r="D3955" t="s">
        <v>451</v>
      </c>
      <c r="E3955" s="217">
        <v>45170</v>
      </c>
      <c r="F3955">
        <v>0</v>
      </c>
      <c r="G3955" t="s">
        <v>252</v>
      </c>
    </row>
    <row r="3956" spans="1:7">
      <c r="A3956" s="216">
        <v>45170</v>
      </c>
      <c r="B3956" t="s">
        <v>49</v>
      </c>
      <c r="C3956">
        <v>8</v>
      </c>
      <c r="D3956" t="s">
        <v>451</v>
      </c>
      <c r="E3956" s="217">
        <v>45170</v>
      </c>
      <c r="F3956">
        <v>0</v>
      </c>
      <c r="G3956" t="s">
        <v>253</v>
      </c>
    </row>
    <row r="3957" spans="1:7">
      <c r="A3957" s="216">
        <v>45170</v>
      </c>
      <c r="B3957" t="s">
        <v>49</v>
      </c>
      <c r="C3957">
        <v>8</v>
      </c>
      <c r="D3957" t="s">
        <v>451</v>
      </c>
      <c r="E3957" s="217">
        <v>45170</v>
      </c>
      <c r="F3957">
        <v>0</v>
      </c>
      <c r="G3957" t="s">
        <v>254</v>
      </c>
    </row>
    <row r="3958" spans="1:7">
      <c r="A3958" s="216">
        <v>45170</v>
      </c>
      <c r="B3958" t="s">
        <v>49</v>
      </c>
      <c r="C3958">
        <v>8</v>
      </c>
      <c r="D3958" t="s">
        <v>451</v>
      </c>
      <c r="E3958" s="217">
        <v>45170</v>
      </c>
      <c r="F3958">
        <v>0</v>
      </c>
      <c r="G3958" t="s">
        <v>255</v>
      </c>
    </row>
    <row r="3959" spans="1:7">
      <c r="A3959" s="216">
        <v>45170</v>
      </c>
      <c r="B3959" t="s">
        <v>49</v>
      </c>
      <c r="C3959">
        <v>8</v>
      </c>
      <c r="D3959" t="s">
        <v>451</v>
      </c>
      <c r="E3959" s="217">
        <v>45170</v>
      </c>
      <c r="F3959">
        <v>0</v>
      </c>
      <c r="G3959" t="s">
        <v>256</v>
      </c>
    </row>
    <row r="3960" spans="1:7">
      <c r="A3960" s="216">
        <v>45170</v>
      </c>
      <c r="B3960" t="s">
        <v>49</v>
      </c>
      <c r="C3960">
        <v>8</v>
      </c>
      <c r="D3960" t="s">
        <v>451</v>
      </c>
      <c r="E3960" s="217">
        <v>45170</v>
      </c>
      <c r="F3960">
        <v>0</v>
      </c>
      <c r="G3960" t="s">
        <v>257</v>
      </c>
    </row>
    <row r="3961" spans="1:7">
      <c r="A3961" s="216">
        <v>45170</v>
      </c>
      <c r="B3961" t="s">
        <v>49</v>
      </c>
      <c r="C3961">
        <v>8</v>
      </c>
      <c r="D3961" t="s">
        <v>451</v>
      </c>
      <c r="E3961" s="217">
        <v>45170</v>
      </c>
      <c r="F3961">
        <v>0</v>
      </c>
      <c r="G3961" t="s">
        <v>258</v>
      </c>
    </row>
    <row r="3962" spans="1:7">
      <c r="A3962" s="216">
        <v>45170</v>
      </c>
      <c r="B3962" t="s">
        <v>49</v>
      </c>
      <c r="C3962">
        <v>8</v>
      </c>
      <c r="D3962" t="s">
        <v>451</v>
      </c>
      <c r="E3962" s="217">
        <v>45170</v>
      </c>
      <c r="F3962">
        <v>0</v>
      </c>
      <c r="G3962" t="s">
        <v>259</v>
      </c>
    </row>
    <row r="3963" spans="1:7">
      <c r="A3963" s="216">
        <v>45170</v>
      </c>
      <c r="B3963" t="s">
        <v>49</v>
      </c>
      <c r="C3963">
        <v>8</v>
      </c>
      <c r="D3963" t="s">
        <v>451</v>
      </c>
      <c r="E3963" s="217">
        <v>45170</v>
      </c>
      <c r="F3963">
        <v>0</v>
      </c>
      <c r="G3963" t="s">
        <v>260</v>
      </c>
    </row>
    <row r="3964" spans="1:7">
      <c r="A3964" s="216">
        <v>45170</v>
      </c>
      <c r="B3964" t="s">
        <v>49</v>
      </c>
      <c r="C3964">
        <v>8</v>
      </c>
      <c r="D3964" t="s">
        <v>451</v>
      </c>
      <c r="E3964" s="217">
        <v>45170</v>
      </c>
      <c r="F3964">
        <v>0</v>
      </c>
      <c r="G3964" t="s">
        <v>261</v>
      </c>
    </row>
    <row r="3965" spans="1:7">
      <c r="A3965" s="216">
        <v>45170</v>
      </c>
      <c r="B3965" t="s">
        <v>49</v>
      </c>
      <c r="C3965">
        <v>8</v>
      </c>
      <c r="D3965" t="s">
        <v>451</v>
      </c>
      <c r="E3965" s="217">
        <v>45170</v>
      </c>
      <c r="F3965">
        <v>0</v>
      </c>
      <c r="G3965" t="s">
        <v>262</v>
      </c>
    </row>
    <row r="3966" spans="1:7">
      <c r="A3966" s="216">
        <v>45170</v>
      </c>
      <c r="B3966" t="s">
        <v>49</v>
      </c>
      <c r="C3966">
        <v>8</v>
      </c>
      <c r="D3966" t="s">
        <v>451</v>
      </c>
      <c r="E3966" s="217">
        <v>45170</v>
      </c>
      <c r="F3966">
        <v>0</v>
      </c>
      <c r="G3966" t="s">
        <v>434</v>
      </c>
    </row>
    <row r="3967" spans="1:7">
      <c r="A3967" s="216">
        <v>45170</v>
      </c>
      <c r="B3967" t="s">
        <v>49</v>
      </c>
      <c r="C3967">
        <v>9</v>
      </c>
      <c r="D3967" t="s">
        <v>450</v>
      </c>
      <c r="E3967" s="217">
        <v>45170</v>
      </c>
      <c r="F3967">
        <v>0</v>
      </c>
      <c r="G3967" t="s">
        <v>251</v>
      </c>
    </row>
    <row r="3968" spans="1:7">
      <c r="A3968" s="216">
        <v>45170</v>
      </c>
      <c r="B3968" t="s">
        <v>49</v>
      </c>
      <c r="C3968">
        <v>9</v>
      </c>
      <c r="D3968" t="s">
        <v>450</v>
      </c>
      <c r="E3968" s="217">
        <v>45170</v>
      </c>
      <c r="F3968">
        <v>0</v>
      </c>
      <c r="G3968" t="s">
        <v>252</v>
      </c>
    </row>
    <row r="3969" spans="1:7">
      <c r="A3969" s="216">
        <v>45170</v>
      </c>
      <c r="B3969" t="s">
        <v>49</v>
      </c>
      <c r="C3969">
        <v>9</v>
      </c>
      <c r="D3969" t="s">
        <v>450</v>
      </c>
      <c r="E3969" s="217">
        <v>45170</v>
      </c>
      <c r="F3969">
        <v>0</v>
      </c>
      <c r="G3969" t="s">
        <v>253</v>
      </c>
    </row>
    <row r="3970" spans="1:7">
      <c r="A3970" s="216">
        <v>45170</v>
      </c>
      <c r="B3970" t="s">
        <v>49</v>
      </c>
      <c r="C3970">
        <v>9</v>
      </c>
      <c r="D3970" t="s">
        <v>450</v>
      </c>
      <c r="E3970" s="217">
        <v>45170</v>
      </c>
      <c r="F3970">
        <v>0</v>
      </c>
      <c r="G3970" t="s">
        <v>254</v>
      </c>
    </row>
    <row r="3971" spans="1:7">
      <c r="A3971" s="216">
        <v>45170</v>
      </c>
      <c r="B3971" t="s">
        <v>49</v>
      </c>
      <c r="C3971">
        <v>9</v>
      </c>
      <c r="D3971" t="s">
        <v>450</v>
      </c>
      <c r="E3971" s="217">
        <v>45170</v>
      </c>
      <c r="F3971">
        <v>0</v>
      </c>
      <c r="G3971" t="s">
        <v>255</v>
      </c>
    </row>
    <row r="3972" spans="1:7">
      <c r="A3972" s="216">
        <v>45170</v>
      </c>
      <c r="B3972" t="s">
        <v>49</v>
      </c>
      <c r="C3972">
        <v>9</v>
      </c>
      <c r="D3972" t="s">
        <v>450</v>
      </c>
      <c r="E3972" s="217">
        <v>45170</v>
      </c>
      <c r="F3972">
        <v>0</v>
      </c>
      <c r="G3972" t="s">
        <v>256</v>
      </c>
    </row>
    <row r="3973" spans="1:7">
      <c r="A3973" s="216">
        <v>45170</v>
      </c>
      <c r="B3973" t="s">
        <v>49</v>
      </c>
      <c r="C3973">
        <v>9</v>
      </c>
      <c r="D3973" t="s">
        <v>450</v>
      </c>
      <c r="E3973" s="217">
        <v>45170</v>
      </c>
      <c r="F3973">
        <v>0</v>
      </c>
      <c r="G3973" t="s">
        <v>257</v>
      </c>
    </row>
    <row r="3974" spans="1:7">
      <c r="A3974" s="216">
        <v>45170</v>
      </c>
      <c r="B3974" t="s">
        <v>49</v>
      </c>
      <c r="C3974">
        <v>9</v>
      </c>
      <c r="D3974" t="s">
        <v>450</v>
      </c>
      <c r="E3974" s="217">
        <v>45170</v>
      </c>
      <c r="F3974">
        <v>0</v>
      </c>
      <c r="G3974" t="s">
        <v>258</v>
      </c>
    </row>
    <row r="3975" spans="1:7">
      <c r="A3975" s="216">
        <v>45170</v>
      </c>
      <c r="B3975" t="s">
        <v>49</v>
      </c>
      <c r="C3975">
        <v>9</v>
      </c>
      <c r="D3975" t="s">
        <v>450</v>
      </c>
      <c r="E3975" s="217">
        <v>45170</v>
      </c>
      <c r="F3975">
        <v>0</v>
      </c>
      <c r="G3975" t="s">
        <v>259</v>
      </c>
    </row>
    <row r="3976" spans="1:7">
      <c r="A3976" s="216">
        <v>45170</v>
      </c>
      <c r="B3976" t="s">
        <v>49</v>
      </c>
      <c r="C3976">
        <v>9</v>
      </c>
      <c r="D3976" t="s">
        <v>450</v>
      </c>
      <c r="E3976" s="217">
        <v>45170</v>
      </c>
      <c r="F3976">
        <v>0</v>
      </c>
      <c r="G3976" t="s">
        <v>260</v>
      </c>
    </row>
    <row r="3977" spans="1:7">
      <c r="A3977" s="216">
        <v>45170</v>
      </c>
      <c r="B3977" t="s">
        <v>49</v>
      </c>
      <c r="C3977">
        <v>9</v>
      </c>
      <c r="D3977" t="s">
        <v>450</v>
      </c>
      <c r="E3977" s="217">
        <v>45170</v>
      </c>
      <c r="F3977">
        <v>0</v>
      </c>
      <c r="G3977" t="s">
        <v>261</v>
      </c>
    </row>
    <row r="3978" spans="1:7">
      <c r="A3978" s="216">
        <v>45170</v>
      </c>
      <c r="B3978" t="s">
        <v>49</v>
      </c>
      <c r="C3978">
        <v>9</v>
      </c>
      <c r="D3978" t="s">
        <v>450</v>
      </c>
      <c r="E3978" s="217">
        <v>45170</v>
      </c>
      <c r="F3978">
        <v>0</v>
      </c>
      <c r="G3978" t="s">
        <v>262</v>
      </c>
    </row>
    <row r="3979" spans="1:7">
      <c r="A3979" s="216">
        <v>45170</v>
      </c>
      <c r="B3979" t="s">
        <v>49</v>
      </c>
      <c r="C3979">
        <v>9</v>
      </c>
      <c r="D3979" t="s">
        <v>450</v>
      </c>
      <c r="E3979" s="217">
        <v>45170</v>
      </c>
      <c r="F3979">
        <v>0</v>
      </c>
      <c r="G3979" t="s">
        <v>434</v>
      </c>
    </row>
    <row r="3980" spans="1:7">
      <c r="A3980" s="216">
        <v>45170</v>
      </c>
      <c r="B3980" t="s">
        <v>49</v>
      </c>
      <c r="C3980">
        <v>10</v>
      </c>
      <c r="D3980" t="s">
        <v>433</v>
      </c>
      <c r="E3980" s="217">
        <v>45170</v>
      </c>
      <c r="F3980">
        <v>6327.8829999999998</v>
      </c>
      <c r="G3980" t="s">
        <v>251</v>
      </c>
    </row>
    <row r="3981" spans="1:7">
      <c r="A3981" s="216">
        <v>45170</v>
      </c>
      <c r="B3981" t="s">
        <v>49</v>
      </c>
      <c r="C3981">
        <v>10</v>
      </c>
      <c r="D3981" t="s">
        <v>433</v>
      </c>
      <c r="E3981" s="217">
        <v>45170</v>
      </c>
      <c r="F3981">
        <v>6674.884</v>
      </c>
      <c r="G3981" t="s">
        <v>252</v>
      </c>
    </row>
    <row r="3982" spans="1:7">
      <c r="A3982" s="216">
        <v>45170</v>
      </c>
      <c r="B3982" t="s">
        <v>49</v>
      </c>
      <c r="C3982">
        <v>10</v>
      </c>
      <c r="D3982" t="s">
        <v>433</v>
      </c>
      <c r="E3982" s="217">
        <v>45170</v>
      </c>
      <c r="F3982">
        <v>7978.4359999999997</v>
      </c>
      <c r="G3982" t="s">
        <v>253</v>
      </c>
    </row>
    <row r="3983" spans="1:7">
      <c r="A3983" s="216">
        <v>45170</v>
      </c>
      <c r="B3983" t="s">
        <v>49</v>
      </c>
      <c r="C3983">
        <v>10</v>
      </c>
      <c r="D3983" t="s">
        <v>433</v>
      </c>
      <c r="E3983" s="217">
        <v>45170</v>
      </c>
      <c r="F3983">
        <v>7716.91806</v>
      </c>
      <c r="G3983" t="s">
        <v>254</v>
      </c>
    </row>
    <row r="3984" spans="1:7">
      <c r="A3984" s="216">
        <v>45170</v>
      </c>
      <c r="B3984" t="s">
        <v>49</v>
      </c>
      <c r="C3984">
        <v>10</v>
      </c>
      <c r="D3984" t="s">
        <v>433</v>
      </c>
      <c r="E3984" s="217">
        <v>45170</v>
      </c>
      <c r="F3984">
        <v>6802.3389999999999</v>
      </c>
      <c r="G3984" t="s">
        <v>255</v>
      </c>
    </row>
    <row r="3985" spans="1:7">
      <c r="A3985" s="216">
        <v>45170</v>
      </c>
      <c r="B3985" t="s">
        <v>49</v>
      </c>
      <c r="C3985">
        <v>10</v>
      </c>
      <c r="D3985" t="s">
        <v>433</v>
      </c>
      <c r="E3985" s="217">
        <v>45170</v>
      </c>
      <c r="F3985">
        <v>7092.7049999999999</v>
      </c>
      <c r="G3985" t="s">
        <v>256</v>
      </c>
    </row>
    <row r="3986" spans="1:7">
      <c r="A3986" s="216">
        <v>45170</v>
      </c>
      <c r="B3986" t="s">
        <v>49</v>
      </c>
      <c r="C3986">
        <v>10</v>
      </c>
      <c r="D3986" t="s">
        <v>433</v>
      </c>
      <c r="E3986" s="217">
        <v>45170</v>
      </c>
      <c r="F3986">
        <v>6943.1594299999997</v>
      </c>
      <c r="G3986" t="s">
        <v>257</v>
      </c>
    </row>
    <row r="3987" spans="1:7">
      <c r="A3987" s="216">
        <v>45170</v>
      </c>
      <c r="B3987" t="s">
        <v>49</v>
      </c>
      <c r="C3987">
        <v>10</v>
      </c>
      <c r="D3987" t="s">
        <v>433</v>
      </c>
      <c r="E3987" s="217">
        <v>45170</v>
      </c>
      <c r="F3987">
        <v>6973.1854300000005</v>
      </c>
      <c r="G3987" t="s">
        <v>258</v>
      </c>
    </row>
    <row r="3988" spans="1:7">
      <c r="A3988" s="216">
        <v>45170</v>
      </c>
      <c r="B3988" t="s">
        <v>49</v>
      </c>
      <c r="C3988">
        <v>10</v>
      </c>
      <c r="D3988" t="s">
        <v>433</v>
      </c>
      <c r="E3988" s="217">
        <v>45170</v>
      </c>
      <c r="F3988">
        <v>6998.1844300000002</v>
      </c>
      <c r="G3988" t="s">
        <v>259</v>
      </c>
    </row>
    <row r="3989" spans="1:7">
      <c r="A3989" s="216">
        <v>45170</v>
      </c>
      <c r="B3989" t="s">
        <v>49</v>
      </c>
      <c r="C3989">
        <v>10</v>
      </c>
      <c r="D3989" t="s">
        <v>433</v>
      </c>
      <c r="E3989" s="217">
        <v>45170</v>
      </c>
      <c r="F3989">
        <v>7028.1844300000002</v>
      </c>
      <c r="G3989" t="s">
        <v>260</v>
      </c>
    </row>
    <row r="3990" spans="1:7">
      <c r="A3990" s="216">
        <v>45170</v>
      </c>
      <c r="B3990" t="s">
        <v>49</v>
      </c>
      <c r="C3990">
        <v>10</v>
      </c>
      <c r="D3990" t="s">
        <v>433</v>
      </c>
      <c r="E3990" s="217">
        <v>45170</v>
      </c>
      <c r="F3990">
        <v>7033.1844300000002</v>
      </c>
      <c r="G3990" t="s">
        <v>261</v>
      </c>
    </row>
    <row r="3991" spans="1:7">
      <c r="A3991" s="216">
        <v>45170</v>
      </c>
      <c r="B3991" t="s">
        <v>49</v>
      </c>
      <c r="C3991">
        <v>10</v>
      </c>
      <c r="D3991" t="s">
        <v>433</v>
      </c>
      <c r="E3991" s="217">
        <v>45170</v>
      </c>
      <c r="F3991">
        <v>7033.1844300000002</v>
      </c>
      <c r="G3991" t="s">
        <v>262</v>
      </c>
    </row>
    <row r="3992" spans="1:7">
      <c r="A3992" s="216">
        <v>45170</v>
      </c>
      <c r="B3992" t="s">
        <v>49</v>
      </c>
      <c r="C3992">
        <v>10</v>
      </c>
      <c r="D3992" t="s">
        <v>433</v>
      </c>
      <c r="E3992" s="217">
        <v>45170</v>
      </c>
      <c r="F3992">
        <v>84602.247640000001</v>
      </c>
      <c r="G3992" t="s">
        <v>434</v>
      </c>
    </row>
    <row r="3993" spans="1:7">
      <c r="A3993" s="216">
        <v>45170</v>
      </c>
      <c r="B3993" t="s">
        <v>49</v>
      </c>
      <c r="C3993">
        <v>11</v>
      </c>
      <c r="D3993" t="s">
        <v>445</v>
      </c>
      <c r="E3993" s="217">
        <v>45170</v>
      </c>
      <c r="F3993">
        <v>3255.6666666666702</v>
      </c>
      <c r="G3993" t="s">
        <v>251</v>
      </c>
    </row>
    <row r="3994" spans="1:7">
      <c r="A3994" s="216">
        <v>45170</v>
      </c>
      <c r="B3994" t="s">
        <v>49</v>
      </c>
      <c r="C3994">
        <v>11</v>
      </c>
      <c r="D3994" t="s">
        <v>445</v>
      </c>
      <c r="E3994" s="217">
        <v>45170</v>
      </c>
      <c r="F3994">
        <v>3670.1666666666702</v>
      </c>
      <c r="G3994" t="s">
        <v>252</v>
      </c>
    </row>
    <row r="3995" spans="1:7">
      <c r="A3995" s="216">
        <v>45170</v>
      </c>
      <c r="B3995" t="s">
        <v>49</v>
      </c>
      <c r="C3995">
        <v>11</v>
      </c>
      <c r="D3995" t="s">
        <v>445</v>
      </c>
      <c r="E3995" s="217">
        <v>45170</v>
      </c>
      <c r="F3995">
        <v>3400.6666666666702</v>
      </c>
      <c r="G3995" t="s">
        <v>253</v>
      </c>
    </row>
    <row r="3996" spans="1:7">
      <c r="A3996" s="216">
        <v>45170</v>
      </c>
      <c r="B3996" t="s">
        <v>49</v>
      </c>
      <c r="C3996">
        <v>11</v>
      </c>
      <c r="D3996" t="s">
        <v>445</v>
      </c>
      <c r="E3996" s="217">
        <v>45170</v>
      </c>
      <c r="F3996">
        <v>4130.74444444444</v>
      </c>
      <c r="G3996" t="s">
        <v>254</v>
      </c>
    </row>
    <row r="3997" spans="1:7">
      <c r="A3997" s="216">
        <v>45170</v>
      </c>
      <c r="B3997" t="s">
        <v>49</v>
      </c>
      <c r="C3997">
        <v>11</v>
      </c>
      <c r="D3997" t="s">
        <v>445</v>
      </c>
      <c r="E3997" s="217">
        <v>45170</v>
      </c>
      <c r="F3997">
        <v>3678.2194444444399</v>
      </c>
      <c r="G3997" t="s">
        <v>255</v>
      </c>
    </row>
    <row r="3998" spans="1:7">
      <c r="A3998" s="216">
        <v>45170</v>
      </c>
      <c r="B3998" t="s">
        <v>49</v>
      </c>
      <c r="C3998">
        <v>11</v>
      </c>
      <c r="D3998" t="s">
        <v>445</v>
      </c>
      <c r="E3998" s="217">
        <v>45170</v>
      </c>
      <c r="F3998">
        <v>4331.8944444444396</v>
      </c>
      <c r="G3998" t="s">
        <v>256</v>
      </c>
    </row>
    <row r="3999" spans="1:7">
      <c r="A3999" s="216">
        <v>45170</v>
      </c>
      <c r="B3999" t="s">
        <v>49</v>
      </c>
      <c r="C3999">
        <v>11</v>
      </c>
      <c r="D3999" t="s">
        <v>445</v>
      </c>
      <c r="E3999" s="217">
        <v>45170</v>
      </c>
      <c r="F3999">
        <v>4276.8622611111095</v>
      </c>
      <c r="G3999" t="s">
        <v>257</v>
      </c>
    </row>
    <row r="4000" spans="1:7">
      <c r="A4000" s="216">
        <v>45170</v>
      </c>
      <c r="B4000" t="s">
        <v>49</v>
      </c>
      <c r="C4000">
        <v>11</v>
      </c>
      <c r="D4000" t="s">
        <v>445</v>
      </c>
      <c r="E4000" s="217">
        <v>45170</v>
      </c>
      <c r="F4000">
        <v>4225.76435111111</v>
      </c>
      <c r="G4000" t="s">
        <v>258</v>
      </c>
    </row>
    <row r="4001" spans="1:7">
      <c r="A4001" s="216">
        <v>45170</v>
      </c>
      <c r="B4001" t="s">
        <v>49</v>
      </c>
      <c r="C4001">
        <v>11</v>
      </c>
      <c r="D4001" t="s">
        <v>445</v>
      </c>
      <c r="E4001" s="217">
        <v>45170</v>
      </c>
      <c r="F4001">
        <v>4297.7653511111102</v>
      </c>
      <c r="G4001" t="s">
        <v>259</v>
      </c>
    </row>
    <row r="4002" spans="1:7">
      <c r="A4002" s="216">
        <v>45170</v>
      </c>
      <c r="B4002" t="s">
        <v>49</v>
      </c>
      <c r="C4002">
        <v>11</v>
      </c>
      <c r="D4002" t="s">
        <v>445</v>
      </c>
      <c r="E4002" s="217">
        <v>45170</v>
      </c>
      <c r="F4002">
        <v>4292.76435111111</v>
      </c>
      <c r="G4002" t="s">
        <v>260</v>
      </c>
    </row>
    <row r="4003" spans="1:7">
      <c r="A4003" s="216">
        <v>45170</v>
      </c>
      <c r="B4003" t="s">
        <v>49</v>
      </c>
      <c r="C4003">
        <v>11</v>
      </c>
      <c r="D4003" t="s">
        <v>445</v>
      </c>
      <c r="E4003" s="217">
        <v>45170</v>
      </c>
      <c r="F4003">
        <v>4302.76835111111</v>
      </c>
      <c r="G4003" t="s">
        <v>261</v>
      </c>
    </row>
    <row r="4004" spans="1:7">
      <c r="A4004" s="216">
        <v>45170</v>
      </c>
      <c r="B4004" t="s">
        <v>49</v>
      </c>
      <c r="C4004">
        <v>11</v>
      </c>
      <c r="D4004" t="s">
        <v>445</v>
      </c>
      <c r="E4004" s="217">
        <v>45170</v>
      </c>
      <c r="F4004">
        <v>4085.53635111111</v>
      </c>
      <c r="G4004" t="s">
        <v>262</v>
      </c>
    </row>
    <row r="4005" spans="1:7">
      <c r="A4005" s="216">
        <v>45170</v>
      </c>
      <c r="B4005" t="s">
        <v>49</v>
      </c>
      <c r="C4005">
        <v>11</v>
      </c>
      <c r="D4005" t="s">
        <v>445</v>
      </c>
      <c r="E4005" s="217">
        <v>45170</v>
      </c>
      <c r="F4005">
        <v>47948.819349999998</v>
      </c>
      <c r="G4005" t="s">
        <v>434</v>
      </c>
    </row>
    <row r="4006" spans="1:7">
      <c r="A4006" s="216">
        <v>45170</v>
      </c>
      <c r="B4006" t="s">
        <v>49</v>
      </c>
      <c r="C4006">
        <v>12</v>
      </c>
      <c r="D4006" t="s">
        <v>454</v>
      </c>
      <c r="E4006" s="217">
        <v>45170</v>
      </c>
      <c r="F4006">
        <v>4659</v>
      </c>
      <c r="G4006" t="s">
        <v>251</v>
      </c>
    </row>
    <row r="4007" spans="1:7">
      <c r="A4007" s="216">
        <v>45170</v>
      </c>
      <c r="B4007" t="s">
        <v>49</v>
      </c>
      <c r="C4007">
        <v>12</v>
      </c>
      <c r="D4007" t="s">
        <v>454</v>
      </c>
      <c r="E4007" s="217">
        <v>45170</v>
      </c>
      <c r="F4007">
        <v>4073</v>
      </c>
      <c r="G4007" t="s">
        <v>252</v>
      </c>
    </row>
    <row r="4008" spans="1:7">
      <c r="A4008" s="216">
        <v>45170</v>
      </c>
      <c r="B4008" t="s">
        <v>49</v>
      </c>
      <c r="C4008">
        <v>12</v>
      </c>
      <c r="D4008" t="s">
        <v>454</v>
      </c>
      <c r="E4008" s="217">
        <v>45170</v>
      </c>
      <c r="F4008">
        <v>4935</v>
      </c>
      <c r="G4008" t="s">
        <v>253</v>
      </c>
    </row>
    <row r="4009" spans="1:7">
      <c r="A4009" s="216">
        <v>45170</v>
      </c>
      <c r="B4009" t="s">
        <v>49</v>
      </c>
      <c r="C4009">
        <v>12</v>
      </c>
      <c r="D4009" t="s">
        <v>454</v>
      </c>
      <c r="E4009" s="217">
        <v>45170</v>
      </c>
      <c r="F4009">
        <v>4590</v>
      </c>
      <c r="G4009" t="s">
        <v>254</v>
      </c>
    </row>
    <row r="4010" spans="1:7">
      <c r="A4010" s="216">
        <v>45170</v>
      </c>
      <c r="B4010" t="s">
        <v>49</v>
      </c>
      <c r="C4010">
        <v>12</v>
      </c>
      <c r="D4010" t="s">
        <v>454</v>
      </c>
      <c r="E4010" s="217">
        <v>45170</v>
      </c>
      <c r="F4010">
        <v>4998</v>
      </c>
      <c r="G4010" t="s">
        <v>255</v>
      </c>
    </row>
    <row r="4011" spans="1:7">
      <c r="A4011" s="216">
        <v>45170</v>
      </c>
      <c r="B4011" t="s">
        <v>49</v>
      </c>
      <c r="C4011">
        <v>12</v>
      </c>
      <c r="D4011" t="s">
        <v>454</v>
      </c>
      <c r="E4011" s="217">
        <v>45170</v>
      </c>
      <c r="F4011">
        <v>4953</v>
      </c>
      <c r="G4011" t="s">
        <v>256</v>
      </c>
    </row>
    <row r="4012" spans="1:7">
      <c r="A4012" s="216">
        <v>45170</v>
      </c>
      <c r="B4012" t="s">
        <v>49</v>
      </c>
      <c r="C4012">
        <v>12</v>
      </c>
      <c r="D4012" t="s">
        <v>454</v>
      </c>
      <c r="E4012" s="217">
        <v>45170</v>
      </c>
      <c r="F4012">
        <v>4885</v>
      </c>
      <c r="G4012" t="s">
        <v>257</v>
      </c>
    </row>
    <row r="4013" spans="1:7">
      <c r="A4013" s="216">
        <v>45170</v>
      </c>
      <c r="B4013" t="s">
        <v>49</v>
      </c>
      <c r="C4013">
        <v>12</v>
      </c>
      <c r="D4013" t="s">
        <v>454</v>
      </c>
      <c r="E4013" s="217">
        <v>45170</v>
      </c>
      <c r="F4013">
        <v>4885</v>
      </c>
      <c r="G4013" t="s">
        <v>258</v>
      </c>
    </row>
    <row r="4014" spans="1:7">
      <c r="A4014" s="216">
        <v>45170</v>
      </c>
      <c r="B4014" t="s">
        <v>49</v>
      </c>
      <c r="C4014">
        <v>12</v>
      </c>
      <c r="D4014" t="s">
        <v>454</v>
      </c>
      <c r="E4014" s="217">
        <v>45170</v>
      </c>
      <c r="F4014">
        <v>4885</v>
      </c>
      <c r="G4014" t="s">
        <v>259</v>
      </c>
    </row>
    <row r="4015" spans="1:7">
      <c r="A4015" s="216">
        <v>45170</v>
      </c>
      <c r="B4015" t="s">
        <v>49</v>
      </c>
      <c r="C4015">
        <v>12</v>
      </c>
      <c r="D4015" t="s">
        <v>454</v>
      </c>
      <c r="E4015" s="217">
        <v>45170</v>
      </c>
      <c r="F4015">
        <v>4885</v>
      </c>
      <c r="G4015" t="s">
        <v>260</v>
      </c>
    </row>
    <row r="4016" spans="1:7">
      <c r="A4016" s="216">
        <v>45170</v>
      </c>
      <c r="B4016" t="s">
        <v>49</v>
      </c>
      <c r="C4016">
        <v>12</v>
      </c>
      <c r="D4016" t="s">
        <v>454</v>
      </c>
      <c r="E4016" s="217">
        <v>45170</v>
      </c>
      <c r="F4016">
        <v>4885</v>
      </c>
      <c r="G4016" t="s">
        <v>261</v>
      </c>
    </row>
    <row r="4017" spans="1:7">
      <c r="A4017" s="216">
        <v>45170</v>
      </c>
      <c r="B4017" t="s">
        <v>49</v>
      </c>
      <c r="C4017">
        <v>12</v>
      </c>
      <c r="D4017" t="s">
        <v>454</v>
      </c>
      <c r="E4017" s="217">
        <v>45170</v>
      </c>
      <c r="F4017">
        <v>4885</v>
      </c>
      <c r="G4017" t="s">
        <v>262</v>
      </c>
    </row>
    <row r="4018" spans="1:7">
      <c r="A4018" s="216">
        <v>45170</v>
      </c>
      <c r="B4018" t="s">
        <v>49</v>
      </c>
      <c r="C4018">
        <v>12</v>
      </c>
      <c r="D4018" t="s">
        <v>454</v>
      </c>
      <c r="E4018" s="217">
        <v>45170</v>
      </c>
      <c r="F4018">
        <v>57518</v>
      </c>
      <c r="G4018" t="s">
        <v>434</v>
      </c>
    </row>
    <row r="4019" spans="1:7">
      <c r="A4019" s="216">
        <v>45170</v>
      </c>
      <c r="B4019" t="s">
        <v>49</v>
      </c>
      <c r="C4019">
        <v>13</v>
      </c>
      <c r="D4019" t="s">
        <v>441</v>
      </c>
      <c r="E4019" s="217">
        <v>45170</v>
      </c>
      <c r="F4019">
        <v>0</v>
      </c>
      <c r="G4019" t="s">
        <v>251</v>
      </c>
    </row>
    <row r="4020" spans="1:7">
      <c r="A4020" s="216">
        <v>45170</v>
      </c>
      <c r="B4020" t="s">
        <v>49</v>
      </c>
      <c r="C4020">
        <v>13</v>
      </c>
      <c r="D4020" t="s">
        <v>441</v>
      </c>
      <c r="E4020" s="217">
        <v>45170</v>
      </c>
      <c r="F4020">
        <v>0</v>
      </c>
      <c r="G4020" t="s">
        <v>252</v>
      </c>
    </row>
    <row r="4021" spans="1:7">
      <c r="A4021" s="216">
        <v>45170</v>
      </c>
      <c r="B4021" t="s">
        <v>49</v>
      </c>
      <c r="C4021">
        <v>13</v>
      </c>
      <c r="D4021" t="s">
        <v>441</v>
      </c>
      <c r="E4021" s="217">
        <v>45170</v>
      </c>
      <c r="F4021">
        <v>0</v>
      </c>
      <c r="G4021" t="s">
        <v>253</v>
      </c>
    </row>
    <row r="4022" spans="1:7">
      <c r="A4022" s="216">
        <v>45170</v>
      </c>
      <c r="B4022" t="s">
        <v>49</v>
      </c>
      <c r="C4022">
        <v>13</v>
      </c>
      <c r="D4022" t="s">
        <v>441</v>
      </c>
      <c r="E4022" s="217">
        <v>45170</v>
      </c>
      <c r="F4022">
        <v>0</v>
      </c>
      <c r="G4022" t="s">
        <v>254</v>
      </c>
    </row>
    <row r="4023" spans="1:7">
      <c r="A4023" s="216">
        <v>45170</v>
      </c>
      <c r="B4023" t="s">
        <v>49</v>
      </c>
      <c r="C4023">
        <v>13</v>
      </c>
      <c r="D4023" t="s">
        <v>441</v>
      </c>
      <c r="E4023" s="217">
        <v>45170</v>
      </c>
      <c r="F4023">
        <v>0</v>
      </c>
      <c r="G4023" t="s">
        <v>255</v>
      </c>
    </row>
    <row r="4024" spans="1:7">
      <c r="A4024" s="216">
        <v>45170</v>
      </c>
      <c r="B4024" t="s">
        <v>49</v>
      </c>
      <c r="C4024">
        <v>13</v>
      </c>
      <c r="D4024" t="s">
        <v>441</v>
      </c>
      <c r="E4024" s="217">
        <v>45170</v>
      </c>
      <c r="F4024">
        <v>0</v>
      </c>
      <c r="G4024" t="s">
        <v>256</v>
      </c>
    </row>
    <row r="4025" spans="1:7">
      <c r="A4025" s="216">
        <v>45170</v>
      </c>
      <c r="B4025" t="s">
        <v>49</v>
      </c>
      <c r="C4025">
        <v>13</v>
      </c>
      <c r="D4025" t="s">
        <v>441</v>
      </c>
      <c r="E4025" s="217">
        <v>45170</v>
      </c>
      <c r="F4025">
        <v>0</v>
      </c>
      <c r="G4025" t="s">
        <v>257</v>
      </c>
    </row>
    <row r="4026" spans="1:7">
      <c r="A4026" s="216">
        <v>45170</v>
      </c>
      <c r="B4026" t="s">
        <v>49</v>
      </c>
      <c r="C4026">
        <v>13</v>
      </c>
      <c r="D4026" t="s">
        <v>441</v>
      </c>
      <c r="E4026" s="217">
        <v>45170</v>
      </c>
      <c r="F4026">
        <v>0</v>
      </c>
      <c r="G4026" t="s">
        <v>258</v>
      </c>
    </row>
    <row r="4027" spans="1:7">
      <c r="A4027" s="216">
        <v>45170</v>
      </c>
      <c r="B4027" t="s">
        <v>49</v>
      </c>
      <c r="C4027">
        <v>13</v>
      </c>
      <c r="D4027" t="s">
        <v>441</v>
      </c>
      <c r="E4027" s="217">
        <v>45170</v>
      </c>
      <c r="F4027">
        <v>0</v>
      </c>
      <c r="G4027" t="s">
        <v>259</v>
      </c>
    </row>
    <row r="4028" spans="1:7">
      <c r="A4028" s="216">
        <v>45170</v>
      </c>
      <c r="B4028" t="s">
        <v>49</v>
      </c>
      <c r="C4028">
        <v>13</v>
      </c>
      <c r="D4028" t="s">
        <v>441</v>
      </c>
      <c r="E4028" s="217">
        <v>45170</v>
      </c>
      <c r="F4028">
        <v>0</v>
      </c>
      <c r="G4028" t="s">
        <v>260</v>
      </c>
    </row>
    <row r="4029" spans="1:7">
      <c r="A4029" s="216">
        <v>45170</v>
      </c>
      <c r="B4029" t="s">
        <v>49</v>
      </c>
      <c r="C4029">
        <v>13</v>
      </c>
      <c r="D4029" t="s">
        <v>441</v>
      </c>
      <c r="E4029" s="217">
        <v>45170</v>
      </c>
      <c r="F4029">
        <v>0</v>
      </c>
      <c r="G4029" t="s">
        <v>261</v>
      </c>
    </row>
    <row r="4030" spans="1:7">
      <c r="A4030" s="216">
        <v>45170</v>
      </c>
      <c r="B4030" t="s">
        <v>49</v>
      </c>
      <c r="C4030">
        <v>13</v>
      </c>
      <c r="D4030" t="s">
        <v>441</v>
      </c>
      <c r="E4030" s="217">
        <v>45170</v>
      </c>
      <c r="F4030">
        <v>0</v>
      </c>
      <c r="G4030" t="s">
        <v>262</v>
      </c>
    </row>
    <row r="4031" spans="1:7">
      <c r="A4031" s="216">
        <v>45170</v>
      </c>
      <c r="B4031" t="s">
        <v>49</v>
      </c>
      <c r="C4031">
        <v>13</v>
      </c>
      <c r="D4031" t="s">
        <v>441</v>
      </c>
      <c r="E4031" s="217">
        <v>45170</v>
      </c>
      <c r="F4031">
        <v>0</v>
      </c>
      <c r="G4031" t="s">
        <v>434</v>
      </c>
    </row>
    <row r="4032" spans="1:7">
      <c r="A4032" s="216">
        <v>45170</v>
      </c>
      <c r="B4032" t="s">
        <v>49</v>
      </c>
      <c r="C4032">
        <v>14</v>
      </c>
      <c r="D4032" t="s">
        <v>447</v>
      </c>
      <c r="E4032" s="217">
        <v>45170</v>
      </c>
      <c r="F4032">
        <v>0</v>
      </c>
      <c r="G4032" t="s">
        <v>251</v>
      </c>
    </row>
    <row r="4033" spans="1:7">
      <c r="A4033" s="216">
        <v>45170</v>
      </c>
      <c r="B4033" t="s">
        <v>49</v>
      </c>
      <c r="C4033">
        <v>14</v>
      </c>
      <c r="D4033" t="s">
        <v>447</v>
      </c>
      <c r="E4033" s="217">
        <v>45170</v>
      </c>
      <c r="F4033">
        <v>0</v>
      </c>
      <c r="G4033" t="s">
        <v>252</v>
      </c>
    </row>
    <row r="4034" spans="1:7">
      <c r="A4034" s="216">
        <v>45170</v>
      </c>
      <c r="B4034" t="s">
        <v>49</v>
      </c>
      <c r="C4034">
        <v>14</v>
      </c>
      <c r="D4034" t="s">
        <v>447</v>
      </c>
      <c r="E4034" s="217">
        <v>45170</v>
      </c>
      <c r="F4034">
        <v>0</v>
      </c>
      <c r="G4034" t="s">
        <v>253</v>
      </c>
    </row>
    <row r="4035" spans="1:7">
      <c r="A4035" s="216">
        <v>45170</v>
      </c>
      <c r="B4035" t="s">
        <v>49</v>
      </c>
      <c r="C4035">
        <v>14</v>
      </c>
      <c r="D4035" t="s">
        <v>447</v>
      </c>
      <c r="E4035" s="217">
        <v>45170</v>
      </c>
      <c r="F4035">
        <v>0</v>
      </c>
      <c r="G4035" t="s">
        <v>254</v>
      </c>
    </row>
    <row r="4036" spans="1:7">
      <c r="A4036" s="216">
        <v>45170</v>
      </c>
      <c r="B4036" t="s">
        <v>49</v>
      </c>
      <c r="C4036">
        <v>14</v>
      </c>
      <c r="D4036" t="s">
        <v>447</v>
      </c>
      <c r="E4036" s="217">
        <v>45170</v>
      </c>
      <c r="F4036">
        <v>0</v>
      </c>
      <c r="G4036" t="s">
        <v>255</v>
      </c>
    </row>
    <row r="4037" spans="1:7">
      <c r="A4037" s="216">
        <v>45170</v>
      </c>
      <c r="B4037" t="s">
        <v>49</v>
      </c>
      <c r="C4037">
        <v>14</v>
      </c>
      <c r="D4037" t="s">
        <v>447</v>
      </c>
      <c r="E4037" s="217">
        <v>45170</v>
      </c>
      <c r="F4037">
        <v>0</v>
      </c>
      <c r="G4037" t="s">
        <v>256</v>
      </c>
    </row>
    <row r="4038" spans="1:7">
      <c r="A4038" s="216">
        <v>45170</v>
      </c>
      <c r="B4038" t="s">
        <v>49</v>
      </c>
      <c r="C4038">
        <v>14</v>
      </c>
      <c r="D4038" t="s">
        <v>447</v>
      </c>
      <c r="E4038" s="217">
        <v>45170</v>
      </c>
      <c r="F4038">
        <v>0</v>
      </c>
      <c r="G4038" t="s">
        <v>257</v>
      </c>
    </row>
    <row r="4039" spans="1:7">
      <c r="A4039" s="216">
        <v>45170</v>
      </c>
      <c r="B4039" t="s">
        <v>49</v>
      </c>
      <c r="C4039">
        <v>14</v>
      </c>
      <c r="D4039" t="s">
        <v>447</v>
      </c>
      <c r="E4039" s="217">
        <v>45170</v>
      </c>
      <c r="F4039">
        <v>0</v>
      </c>
      <c r="G4039" t="s">
        <v>258</v>
      </c>
    </row>
    <row r="4040" spans="1:7">
      <c r="A4040" s="216">
        <v>45170</v>
      </c>
      <c r="B4040" t="s">
        <v>49</v>
      </c>
      <c r="C4040">
        <v>14</v>
      </c>
      <c r="D4040" t="s">
        <v>447</v>
      </c>
      <c r="E4040" s="217">
        <v>45170</v>
      </c>
      <c r="F4040">
        <v>0</v>
      </c>
      <c r="G4040" t="s">
        <v>259</v>
      </c>
    </row>
    <row r="4041" spans="1:7">
      <c r="A4041" s="216">
        <v>45170</v>
      </c>
      <c r="B4041" t="s">
        <v>49</v>
      </c>
      <c r="C4041">
        <v>14</v>
      </c>
      <c r="D4041" t="s">
        <v>447</v>
      </c>
      <c r="E4041" s="217">
        <v>45170</v>
      </c>
      <c r="F4041">
        <v>0</v>
      </c>
      <c r="G4041" t="s">
        <v>260</v>
      </c>
    </row>
    <row r="4042" spans="1:7">
      <c r="A4042" s="216">
        <v>45170</v>
      </c>
      <c r="B4042" t="s">
        <v>49</v>
      </c>
      <c r="C4042">
        <v>14</v>
      </c>
      <c r="D4042" t="s">
        <v>447</v>
      </c>
      <c r="E4042" s="217">
        <v>45170</v>
      </c>
      <c r="F4042">
        <v>0</v>
      </c>
      <c r="G4042" t="s">
        <v>261</v>
      </c>
    </row>
    <row r="4043" spans="1:7">
      <c r="A4043" s="216">
        <v>45170</v>
      </c>
      <c r="B4043" t="s">
        <v>49</v>
      </c>
      <c r="C4043">
        <v>14</v>
      </c>
      <c r="D4043" t="s">
        <v>447</v>
      </c>
      <c r="E4043" s="217">
        <v>45170</v>
      </c>
      <c r="F4043">
        <v>0</v>
      </c>
      <c r="G4043" t="s">
        <v>262</v>
      </c>
    </row>
    <row r="4044" spans="1:7">
      <c r="A4044" s="216">
        <v>45170</v>
      </c>
      <c r="B4044" t="s">
        <v>49</v>
      </c>
      <c r="C4044">
        <v>14</v>
      </c>
      <c r="D4044" t="s">
        <v>447</v>
      </c>
      <c r="E4044" s="217">
        <v>45170</v>
      </c>
      <c r="F4044">
        <v>0</v>
      </c>
      <c r="G4044" t="s">
        <v>434</v>
      </c>
    </row>
    <row r="4045" spans="1:7">
      <c r="A4045" s="216">
        <v>45170</v>
      </c>
      <c r="B4045" t="s">
        <v>49</v>
      </c>
      <c r="C4045">
        <v>15</v>
      </c>
      <c r="D4045" t="s">
        <v>437</v>
      </c>
      <c r="E4045" s="217">
        <v>45170</v>
      </c>
      <c r="F4045">
        <v>0</v>
      </c>
      <c r="G4045" t="s">
        <v>251</v>
      </c>
    </row>
    <row r="4046" spans="1:7">
      <c r="A4046" s="216">
        <v>45170</v>
      </c>
      <c r="B4046" t="s">
        <v>49</v>
      </c>
      <c r="C4046">
        <v>15</v>
      </c>
      <c r="D4046" t="s">
        <v>437</v>
      </c>
      <c r="E4046" s="217">
        <v>45170</v>
      </c>
      <c r="F4046">
        <v>0</v>
      </c>
      <c r="G4046" t="s">
        <v>252</v>
      </c>
    </row>
    <row r="4047" spans="1:7">
      <c r="A4047" s="216">
        <v>45170</v>
      </c>
      <c r="B4047" t="s">
        <v>49</v>
      </c>
      <c r="C4047">
        <v>15</v>
      </c>
      <c r="D4047" t="s">
        <v>437</v>
      </c>
      <c r="E4047" s="217">
        <v>45170</v>
      </c>
      <c r="F4047">
        <v>0</v>
      </c>
      <c r="G4047" t="s">
        <v>253</v>
      </c>
    </row>
    <row r="4048" spans="1:7">
      <c r="A4048" s="216">
        <v>45170</v>
      </c>
      <c r="B4048" t="s">
        <v>49</v>
      </c>
      <c r="C4048">
        <v>15</v>
      </c>
      <c r="D4048" t="s">
        <v>437</v>
      </c>
      <c r="E4048" s="217">
        <v>45170</v>
      </c>
      <c r="F4048">
        <v>0</v>
      </c>
      <c r="G4048" t="s">
        <v>254</v>
      </c>
    </row>
    <row r="4049" spans="1:7">
      <c r="A4049" s="216">
        <v>45170</v>
      </c>
      <c r="B4049" t="s">
        <v>49</v>
      </c>
      <c r="C4049">
        <v>15</v>
      </c>
      <c r="D4049" t="s">
        <v>437</v>
      </c>
      <c r="E4049" s="217">
        <v>45170</v>
      </c>
      <c r="F4049">
        <v>0</v>
      </c>
      <c r="G4049" t="s">
        <v>255</v>
      </c>
    </row>
    <row r="4050" spans="1:7">
      <c r="A4050" s="216">
        <v>45170</v>
      </c>
      <c r="B4050" t="s">
        <v>49</v>
      </c>
      <c r="C4050">
        <v>15</v>
      </c>
      <c r="D4050" t="s">
        <v>437</v>
      </c>
      <c r="E4050" s="217">
        <v>45170</v>
      </c>
      <c r="F4050">
        <v>0</v>
      </c>
      <c r="G4050" t="s">
        <v>256</v>
      </c>
    </row>
    <row r="4051" spans="1:7">
      <c r="A4051" s="216">
        <v>45170</v>
      </c>
      <c r="B4051" t="s">
        <v>49</v>
      </c>
      <c r="C4051">
        <v>15</v>
      </c>
      <c r="D4051" t="s">
        <v>437</v>
      </c>
      <c r="E4051" s="217">
        <v>45170</v>
      </c>
      <c r="F4051">
        <v>0</v>
      </c>
      <c r="G4051" t="s">
        <v>257</v>
      </c>
    </row>
    <row r="4052" spans="1:7">
      <c r="A4052" s="216">
        <v>45170</v>
      </c>
      <c r="B4052" t="s">
        <v>49</v>
      </c>
      <c r="C4052">
        <v>15</v>
      </c>
      <c r="D4052" t="s">
        <v>437</v>
      </c>
      <c r="E4052" s="217">
        <v>45170</v>
      </c>
      <c r="F4052">
        <v>0</v>
      </c>
      <c r="G4052" t="s">
        <v>258</v>
      </c>
    </row>
    <row r="4053" spans="1:7">
      <c r="A4053" s="216">
        <v>45170</v>
      </c>
      <c r="B4053" t="s">
        <v>49</v>
      </c>
      <c r="C4053">
        <v>15</v>
      </c>
      <c r="D4053" t="s">
        <v>437</v>
      </c>
      <c r="E4053" s="217">
        <v>45170</v>
      </c>
      <c r="F4053">
        <v>0</v>
      </c>
      <c r="G4053" t="s">
        <v>259</v>
      </c>
    </row>
    <row r="4054" spans="1:7">
      <c r="A4054" s="216">
        <v>45170</v>
      </c>
      <c r="B4054" t="s">
        <v>49</v>
      </c>
      <c r="C4054">
        <v>15</v>
      </c>
      <c r="D4054" t="s">
        <v>437</v>
      </c>
      <c r="E4054" s="217">
        <v>45170</v>
      </c>
      <c r="F4054">
        <v>0</v>
      </c>
      <c r="G4054" t="s">
        <v>260</v>
      </c>
    </row>
    <row r="4055" spans="1:7">
      <c r="A4055" s="216">
        <v>45170</v>
      </c>
      <c r="B4055" t="s">
        <v>49</v>
      </c>
      <c r="C4055">
        <v>15</v>
      </c>
      <c r="D4055" t="s">
        <v>437</v>
      </c>
      <c r="E4055" s="217">
        <v>45170</v>
      </c>
      <c r="F4055">
        <v>0</v>
      </c>
      <c r="G4055" t="s">
        <v>261</v>
      </c>
    </row>
    <row r="4056" spans="1:7">
      <c r="A4056" s="216">
        <v>45170</v>
      </c>
      <c r="B4056" t="s">
        <v>49</v>
      </c>
      <c r="C4056">
        <v>15</v>
      </c>
      <c r="D4056" t="s">
        <v>437</v>
      </c>
      <c r="E4056" s="217">
        <v>45170</v>
      </c>
      <c r="F4056">
        <v>0</v>
      </c>
      <c r="G4056" t="s">
        <v>262</v>
      </c>
    </row>
    <row r="4057" spans="1:7">
      <c r="A4057" s="216">
        <v>45170</v>
      </c>
      <c r="B4057" t="s">
        <v>49</v>
      </c>
      <c r="C4057">
        <v>15</v>
      </c>
      <c r="D4057" t="s">
        <v>437</v>
      </c>
      <c r="E4057" s="217">
        <v>45170</v>
      </c>
      <c r="F4057">
        <v>0</v>
      </c>
      <c r="G4057" t="s">
        <v>434</v>
      </c>
    </row>
    <row r="4058" spans="1:7">
      <c r="A4058" s="216">
        <v>45170</v>
      </c>
      <c r="B4058" t="s">
        <v>49</v>
      </c>
      <c r="C4058">
        <v>16</v>
      </c>
      <c r="D4058" t="s">
        <v>449</v>
      </c>
      <c r="E4058" s="217">
        <v>45170</v>
      </c>
      <c r="F4058">
        <v>0</v>
      </c>
      <c r="G4058" t="s">
        <v>251</v>
      </c>
    </row>
    <row r="4059" spans="1:7">
      <c r="A4059" s="216">
        <v>45170</v>
      </c>
      <c r="B4059" t="s">
        <v>49</v>
      </c>
      <c r="C4059">
        <v>16</v>
      </c>
      <c r="D4059" t="s">
        <v>449</v>
      </c>
      <c r="E4059" s="217">
        <v>45170</v>
      </c>
      <c r="F4059">
        <v>0</v>
      </c>
      <c r="G4059" t="s">
        <v>252</v>
      </c>
    </row>
    <row r="4060" spans="1:7">
      <c r="A4060" s="216">
        <v>45170</v>
      </c>
      <c r="B4060" t="s">
        <v>49</v>
      </c>
      <c r="C4060">
        <v>16</v>
      </c>
      <c r="D4060" t="s">
        <v>449</v>
      </c>
      <c r="E4060" s="217">
        <v>45170</v>
      </c>
      <c r="F4060">
        <v>0</v>
      </c>
      <c r="G4060" t="s">
        <v>253</v>
      </c>
    </row>
    <row r="4061" spans="1:7">
      <c r="A4061" s="216">
        <v>45170</v>
      </c>
      <c r="B4061" t="s">
        <v>49</v>
      </c>
      <c r="C4061">
        <v>16</v>
      </c>
      <c r="D4061" t="s">
        <v>449</v>
      </c>
      <c r="E4061" s="217">
        <v>45170</v>
      </c>
      <c r="F4061">
        <v>0</v>
      </c>
      <c r="G4061" t="s">
        <v>254</v>
      </c>
    </row>
    <row r="4062" spans="1:7">
      <c r="A4062" s="216">
        <v>45170</v>
      </c>
      <c r="B4062" t="s">
        <v>49</v>
      </c>
      <c r="C4062">
        <v>16</v>
      </c>
      <c r="D4062" t="s">
        <v>449</v>
      </c>
      <c r="E4062" s="217">
        <v>45170</v>
      </c>
      <c r="F4062">
        <v>0</v>
      </c>
      <c r="G4062" t="s">
        <v>255</v>
      </c>
    </row>
    <row r="4063" spans="1:7">
      <c r="A4063" s="216">
        <v>45170</v>
      </c>
      <c r="B4063" t="s">
        <v>49</v>
      </c>
      <c r="C4063">
        <v>16</v>
      </c>
      <c r="D4063" t="s">
        <v>449</v>
      </c>
      <c r="E4063" s="217">
        <v>45170</v>
      </c>
      <c r="F4063">
        <v>0</v>
      </c>
      <c r="G4063" t="s">
        <v>256</v>
      </c>
    </row>
    <row r="4064" spans="1:7">
      <c r="A4064" s="216">
        <v>45170</v>
      </c>
      <c r="B4064" t="s">
        <v>49</v>
      </c>
      <c r="C4064">
        <v>16</v>
      </c>
      <c r="D4064" t="s">
        <v>449</v>
      </c>
      <c r="E4064" s="217">
        <v>45170</v>
      </c>
      <c r="F4064">
        <v>0</v>
      </c>
      <c r="G4064" t="s">
        <v>257</v>
      </c>
    </row>
    <row r="4065" spans="1:7">
      <c r="A4065" s="216">
        <v>45170</v>
      </c>
      <c r="B4065" t="s">
        <v>49</v>
      </c>
      <c r="C4065">
        <v>16</v>
      </c>
      <c r="D4065" t="s">
        <v>449</v>
      </c>
      <c r="E4065" s="217">
        <v>45170</v>
      </c>
      <c r="F4065">
        <v>0</v>
      </c>
      <c r="G4065" t="s">
        <v>258</v>
      </c>
    </row>
    <row r="4066" spans="1:7">
      <c r="A4066" s="216">
        <v>45170</v>
      </c>
      <c r="B4066" t="s">
        <v>49</v>
      </c>
      <c r="C4066">
        <v>16</v>
      </c>
      <c r="D4066" t="s">
        <v>449</v>
      </c>
      <c r="E4066" s="217">
        <v>45170</v>
      </c>
      <c r="F4066">
        <v>0</v>
      </c>
      <c r="G4066" t="s">
        <v>259</v>
      </c>
    </row>
    <row r="4067" spans="1:7">
      <c r="A4067" s="216">
        <v>45170</v>
      </c>
      <c r="B4067" t="s">
        <v>49</v>
      </c>
      <c r="C4067">
        <v>16</v>
      </c>
      <c r="D4067" t="s">
        <v>449</v>
      </c>
      <c r="E4067" s="217">
        <v>45170</v>
      </c>
      <c r="F4067">
        <v>0</v>
      </c>
      <c r="G4067" t="s">
        <v>260</v>
      </c>
    </row>
    <row r="4068" spans="1:7">
      <c r="A4068" s="216">
        <v>45170</v>
      </c>
      <c r="B4068" t="s">
        <v>49</v>
      </c>
      <c r="C4068">
        <v>16</v>
      </c>
      <c r="D4068" t="s">
        <v>449</v>
      </c>
      <c r="E4068" s="217">
        <v>45170</v>
      </c>
      <c r="F4068">
        <v>0</v>
      </c>
      <c r="G4068" t="s">
        <v>261</v>
      </c>
    </row>
    <row r="4069" spans="1:7">
      <c r="A4069" s="216">
        <v>45170</v>
      </c>
      <c r="B4069" t="s">
        <v>49</v>
      </c>
      <c r="C4069">
        <v>16</v>
      </c>
      <c r="D4069" t="s">
        <v>449</v>
      </c>
      <c r="E4069" s="217">
        <v>45170</v>
      </c>
      <c r="F4069">
        <v>0</v>
      </c>
      <c r="G4069" t="s">
        <v>262</v>
      </c>
    </row>
    <row r="4070" spans="1:7">
      <c r="A4070" s="216">
        <v>45170</v>
      </c>
      <c r="B4070" t="s">
        <v>49</v>
      </c>
      <c r="C4070">
        <v>16</v>
      </c>
      <c r="D4070" t="s">
        <v>449</v>
      </c>
      <c r="E4070" s="217">
        <v>45170</v>
      </c>
      <c r="F4070">
        <v>0</v>
      </c>
      <c r="G4070" t="s">
        <v>434</v>
      </c>
    </row>
    <row r="4071" spans="1:7">
      <c r="A4071" s="216">
        <v>45170</v>
      </c>
      <c r="B4071" t="s">
        <v>49</v>
      </c>
      <c r="C4071">
        <v>17</v>
      </c>
      <c r="D4071" t="s">
        <v>443</v>
      </c>
      <c r="E4071" s="217">
        <v>45170</v>
      </c>
      <c r="F4071">
        <v>0</v>
      </c>
      <c r="G4071" t="s">
        <v>251</v>
      </c>
    </row>
    <row r="4072" spans="1:7">
      <c r="A4072" s="216">
        <v>45170</v>
      </c>
      <c r="B4072" t="s">
        <v>49</v>
      </c>
      <c r="C4072">
        <v>17</v>
      </c>
      <c r="D4072" t="s">
        <v>443</v>
      </c>
      <c r="E4072" s="217">
        <v>45170</v>
      </c>
      <c r="F4072">
        <v>0</v>
      </c>
      <c r="G4072" t="s">
        <v>252</v>
      </c>
    </row>
    <row r="4073" spans="1:7">
      <c r="A4073" s="216">
        <v>45170</v>
      </c>
      <c r="B4073" t="s">
        <v>49</v>
      </c>
      <c r="C4073">
        <v>17</v>
      </c>
      <c r="D4073" t="s">
        <v>443</v>
      </c>
      <c r="E4073" s="217">
        <v>45170</v>
      </c>
      <c r="F4073">
        <v>0</v>
      </c>
      <c r="G4073" t="s">
        <v>253</v>
      </c>
    </row>
    <row r="4074" spans="1:7">
      <c r="A4074" s="216">
        <v>45170</v>
      </c>
      <c r="B4074" t="s">
        <v>49</v>
      </c>
      <c r="C4074">
        <v>17</v>
      </c>
      <c r="D4074" t="s">
        <v>443</v>
      </c>
      <c r="E4074" s="217">
        <v>45170</v>
      </c>
      <c r="F4074">
        <v>0</v>
      </c>
      <c r="G4074" t="s">
        <v>254</v>
      </c>
    </row>
    <row r="4075" spans="1:7">
      <c r="A4075" s="216">
        <v>45170</v>
      </c>
      <c r="B4075" t="s">
        <v>49</v>
      </c>
      <c r="C4075">
        <v>17</v>
      </c>
      <c r="D4075" t="s">
        <v>443</v>
      </c>
      <c r="E4075" s="217">
        <v>45170</v>
      </c>
      <c r="F4075">
        <v>0</v>
      </c>
      <c r="G4075" t="s">
        <v>255</v>
      </c>
    </row>
    <row r="4076" spans="1:7">
      <c r="A4076" s="216">
        <v>45170</v>
      </c>
      <c r="B4076" t="s">
        <v>49</v>
      </c>
      <c r="C4076">
        <v>17</v>
      </c>
      <c r="D4076" t="s">
        <v>443</v>
      </c>
      <c r="E4076" s="217">
        <v>45170</v>
      </c>
      <c r="F4076">
        <v>0</v>
      </c>
      <c r="G4076" t="s">
        <v>256</v>
      </c>
    </row>
    <row r="4077" spans="1:7">
      <c r="A4077" s="216">
        <v>45170</v>
      </c>
      <c r="B4077" t="s">
        <v>49</v>
      </c>
      <c r="C4077">
        <v>17</v>
      </c>
      <c r="D4077" t="s">
        <v>443</v>
      </c>
      <c r="E4077" s="217">
        <v>45170</v>
      </c>
      <c r="F4077">
        <v>0</v>
      </c>
      <c r="G4077" t="s">
        <v>257</v>
      </c>
    </row>
    <row r="4078" spans="1:7">
      <c r="A4078" s="216">
        <v>45170</v>
      </c>
      <c r="B4078" t="s">
        <v>49</v>
      </c>
      <c r="C4078">
        <v>17</v>
      </c>
      <c r="D4078" t="s">
        <v>443</v>
      </c>
      <c r="E4078" s="217">
        <v>45170</v>
      </c>
      <c r="F4078">
        <v>0</v>
      </c>
      <c r="G4078" t="s">
        <v>258</v>
      </c>
    </row>
    <row r="4079" spans="1:7">
      <c r="A4079" s="216">
        <v>45170</v>
      </c>
      <c r="B4079" t="s">
        <v>49</v>
      </c>
      <c r="C4079">
        <v>17</v>
      </c>
      <c r="D4079" t="s">
        <v>443</v>
      </c>
      <c r="E4079" s="217">
        <v>45170</v>
      </c>
      <c r="F4079">
        <v>0</v>
      </c>
      <c r="G4079" t="s">
        <v>259</v>
      </c>
    </row>
    <row r="4080" spans="1:7">
      <c r="A4080" s="216">
        <v>45170</v>
      </c>
      <c r="B4080" t="s">
        <v>49</v>
      </c>
      <c r="C4080">
        <v>17</v>
      </c>
      <c r="D4080" t="s">
        <v>443</v>
      </c>
      <c r="E4080" s="217">
        <v>45170</v>
      </c>
      <c r="F4080">
        <v>0</v>
      </c>
      <c r="G4080" t="s">
        <v>260</v>
      </c>
    </row>
    <row r="4081" spans="1:7">
      <c r="A4081" s="216">
        <v>45170</v>
      </c>
      <c r="B4081" t="s">
        <v>49</v>
      </c>
      <c r="C4081">
        <v>17</v>
      </c>
      <c r="D4081" t="s">
        <v>443</v>
      </c>
      <c r="E4081" s="217">
        <v>45170</v>
      </c>
      <c r="F4081">
        <v>0</v>
      </c>
      <c r="G4081" t="s">
        <v>261</v>
      </c>
    </row>
    <row r="4082" spans="1:7">
      <c r="A4082" s="216">
        <v>45170</v>
      </c>
      <c r="B4082" t="s">
        <v>49</v>
      </c>
      <c r="C4082">
        <v>17</v>
      </c>
      <c r="D4082" t="s">
        <v>443</v>
      </c>
      <c r="E4082" s="217">
        <v>45170</v>
      </c>
      <c r="F4082">
        <v>0</v>
      </c>
      <c r="G4082" t="s">
        <v>262</v>
      </c>
    </row>
    <row r="4083" spans="1:7">
      <c r="A4083" s="216">
        <v>45170</v>
      </c>
      <c r="B4083" t="s">
        <v>49</v>
      </c>
      <c r="C4083">
        <v>17</v>
      </c>
      <c r="D4083" t="s">
        <v>443</v>
      </c>
      <c r="E4083" s="217">
        <v>45170</v>
      </c>
      <c r="F4083">
        <v>0</v>
      </c>
      <c r="G4083" t="s">
        <v>434</v>
      </c>
    </row>
    <row r="4084" spans="1:7">
      <c r="A4084" s="216">
        <v>45170</v>
      </c>
      <c r="B4084" t="s">
        <v>49</v>
      </c>
      <c r="C4084">
        <v>18</v>
      </c>
      <c r="D4084" t="s">
        <v>444</v>
      </c>
      <c r="E4084" s="217">
        <v>45170</v>
      </c>
      <c r="F4084">
        <v>0</v>
      </c>
      <c r="G4084" t="s">
        <v>251</v>
      </c>
    </row>
    <row r="4085" spans="1:7">
      <c r="A4085" s="216">
        <v>45170</v>
      </c>
      <c r="B4085" t="s">
        <v>49</v>
      </c>
      <c r="C4085">
        <v>18</v>
      </c>
      <c r="D4085" t="s">
        <v>444</v>
      </c>
      <c r="E4085" s="217">
        <v>45170</v>
      </c>
      <c r="F4085">
        <v>0</v>
      </c>
      <c r="G4085" t="s">
        <v>252</v>
      </c>
    </row>
    <row r="4086" spans="1:7">
      <c r="A4086" s="216">
        <v>45170</v>
      </c>
      <c r="B4086" t="s">
        <v>49</v>
      </c>
      <c r="C4086">
        <v>18</v>
      </c>
      <c r="D4086" t="s">
        <v>444</v>
      </c>
      <c r="E4086" s="217">
        <v>45170</v>
      </c>
      <c r="F4086">
        <v>0</v>
      </c>
      <c r="G4086" t="s">
        <v>253</v>
      </c>
    </row>
    <row r="4087" spans="1:7">
      <c r="A4087" s="216">
        <v>45170</v>
      </c>
      <c r="B4087" t="s">
        <v>49</v>
      </c>
      <c r="C4087">
        <v>18</v>
      </c>
      <c r="D4087" t="s">
        <v>444</v>
      </c>
      <c r="E4087" s="217">
        <v>45170</v>
      </c>
      <c r="F4087">
        <v>0</v>
      </c>
      <c r="G4087" t="s">
        <v>254</v>
      </c>
    </row>
    <row r="4088" spans="1:7">
      <c r="A4088" s="216">
        <v>45170</v>
      </c>
      <c r="B4088" t="s">
        <v>49</v>
      </c>
      <c r="C4088">
        <v>18</v>
      </c>
      <c r="D4088" t="s">
        <v>444</v>
      </c>
      <c r="E4088" s="217">
        <v>45170</v>
      </c>
      <c r="F4088">
        <v>0</v>
      </c>
      <c r="G4088" t="s">
        <v>255</v>
      </c>
    </row>
    <row r="4089" spans="1:7">
      <c r="A4089" s="216">
        <v>45170</v>
      </c>
      <c r="B4089" t="s">
        <v>49</v>
      </c>
      <c r="C4089">
        <v>18</v>
      </c>
      <c r="D4089" t="s">
        <v>444</v>
      </c>
      <c r="E4089" s="217">
        <v>45170</v>
      </c>
      <c r="F4089">
        <v>0</v>
      </c>
      <c r="G4089" t="s">
        <v>256</v>
      </c>
    </row>
    <row r="4090" spans="1:7">
      <c r="A4090" s="216">
        <v>45170</v>
      </c>
      <c r="B4090" t="s">
        <v>49</v>
      </c>
      <c r="C4090">
        <v>18</v>
      </c>
      <c r="D4090" t="s">
        <v>444</v>
      </c>
      <c r="E4090" s="217">
        <v>45170</v>
      </c>
      <c r="F4090">
        <v>0</v>
      </c>
      <c r="G4090" t="s">
        <v>257</v>
      </c>
    </row>
    <row r="4091" spans="1:7">
      <c r="A4091" s="216">
        <v>45170</v>
      </c>
      <c r="B4091" t="s">
        <v>49</v>
      </c>
      <c r="C4091">
        <v>18</v>
      </c>
      <c r="D4091" t="s">
        <v>444</v>
      </c>
      <c r="E4091" s="217">
        <v>45170</v>
      </c>
      <c r="F4091">
        <v>0</v>
      </c>
      <c r="G4091" t="s">
        <v>258</v>
      </c>
    </row>
    <row r="4092" spans="1:7">
      <c r="A4092" s="216">
        <v>45170</v>
      </c>
      <c r="B4092" t="s">
        <v>49</v>
      </c>
      <c r="C4092">
        <v>18</v>
      </c>
      <c r="D4092" t="s">
        <v>444</v>
      </c>
      <c r="E4092" s="217">
        <v>45170</v>
      </c>
      <c r="F4092">
        <v>0</v>
      </c>
      <c r="G4092" t="s">
        <v>259</v>
      </c>
    </row>
    <row r="4093" spans="1:7">
      <c r="A4093" s="216">
        <v>45170</v>
      </c>
      <c r="B4093" t="s">
        <v>49</v>
      </c>
      <c r="C4093">
        <v>18</v>
      </c>
      <c r="D4093" t="s">
        <v>444</v>
      </c>
      <c r="E4093" s="217">
        <v>45170</v>
      </c>
      <c r="F4093">
        <v>0</v>
      </c>
      <c r="G4093" t="s">
        <v>260</v>
      </c>
    </row>
    <row r="4094" spans="1:7">
      <c r="A4094" s="216">
        <v>45170</v>
      </c>
      <c r="B4094" t="s">
        <v>49</v>
      </c>
      <c r="C4094">
        <v>18</v>
      </c>
      <c r="D4094" t="s">
        <v>444</v>
      </c>
      <c r="E4094" s="217">
        <v>45170</v>
      </c>
      <c r="F4094">
        <v>0</v>
      </c>
      <c r="G4094" t="s">
        <v>261</v>
      </c>
    </row>
    <row r="4095" spans="1:7">
      <c r="A4095" s="216">
        <v>45170</v>
      </c>
      <c r="B4095" t="s">
        <v>49</v>
      </c>
      <c r="C4095">
        <v>18</v>
      </c>
      <c r="D4095" t="s">
        <v>444</v>
      </c>
      <c r="E4095" s="217">
        <v>45170</v>
      </c>
      <c r="F4095">
        <v>0</v>
      </c>
      <c r="G4095" t="s">
        <v>262</v>
      </c>
    </row>
    <row r="4096" spans="1:7">
      <c r="A4096" s="216">
        <v>45170</v>
      </c>
      <c r="B4096" t="s">
        <v>49</v>
      </c>
      <c r="C4096">
        <v>18</v>
      </c>
      <c r="D4096" t="s">
        <v>444</v>
      </c>
      <c r="E4096" s="217">
        <v>45170</v>
      </c>
      <c r="F4096">
        <v>0</v>
      </c>
      <c r="G4096" t="s">
        <v>434</v>
      </c>
    </row>
    <row r="4097" spans="1:7">
      <c r="A4097" s="216">
        <v>45170</v>
      </c>
      <c r="B4097" t="s">
        <v>49</v>
      </c>
      <c r="C4097">
        <v>19</v>
      </c>
      <c r="D4097" t="s">
        <v>440</v>
      </c>
      <c r="E4097" s="217">
        <v>45170</v>
      </c>
      <c r="F4097">
        <v>0</v>
      </c>
      <c r="G4097" t="s">
        <v>251</v>
      </c>
    </row>
    <row r="4098" spans="1:7">
      <c r="A4098" s="216">
        <v>45170</v>
      </c>
      <c r="B4098" t="s">
        <v>49</v>
      </c>
      <c r="C4098">
        <v>19</v>
      </c>
      <c r="D4098" t="s">
        <v>440</v>
      </c>
      <c r="E4098" s="217">
        <v>45170</v>
      </c>
      <c r="F4098">
        <v>0</v>
      </c>
      <c r="G4098" t="s">
        <v>252</v>
      </c>
    </row>
    <row r="4099" spans="1:7">
      <c r="A4099" s="216">
        <v>45170</v>
      </c>
      <c r="B4099" t="s">
        <v>49</v>
      </c>
      <c r="C4099">
        <v>19</v>
      </c>
      <c r="D4099" t="s">
        <v>440</v>
      </c>
      <c r="E4099" s="217">
        <v>45170</v>
      </c>
      <c r="F4099">
        <v>0</v>
      </c>
      <c r="G4099" t="s">
        <v>253</v>
      </c>
    </row>
    <row r="4100" spans="1:7">
      <c r="A4100" s="216">
        <v>45170</v>
      </c>
      <c r="B4100" t="s">
        <v>49</v>
      </c>
      <c r="C4100">
        <v>19</v>
      </c>
      <c r="D4100" t="s">
        <v>440</v>
      </c>
      <c r="E4100" s="217">
        <v>45170</v>
      </c>
      <c r="F4100">
        <v>0</v>
      </c>
      <c r="G4100" t="s">
        <v>254</v>
      </c>
    </row>
    <row r="4101" spans="1:7">
      <c r="A4101" s="216">
        <v>45170</v>
      </c>
      <c r="B4101" t="s">
        <v>49</v>
      </c>
      <c r="C4101">
        <v>19</v>
      </c>
      <c r="D4101" t="s">
        <v>440</v>
      </c>
      <c r="E4101" s="217">
        <v>45170</v>
      </c>
      <c r="F4101">
        <v>0</v>
      </c>
      <c r="G4101" t="s">
        <v>255</v>
      </c>
    </row>
    <row r="4102" spans="1:7">
      <c r="A4102" s="216">
        <v>45170</v>
      </c>
      <c r="B4102" t="s">
        <v>49</v>
      </c>
      <c r="C4102">
        <v>19</v>
      </c>
      <c r="D4102" t="s">
        <v>440</v>
      </c>
      <c r="E4102" s="217">
        <v>45170</v>
      </c>
      <c r="F4102">
        <v>0</v>
      </c>
      <c r="G4102" t="s">
        <v>256</v>
      </c>
    </row>
    <row r="4103" spans="1:7">
      <c r="A4103" s="216">
        <v>45170</v>
      </c>
      <c r="B4103" t="s">
        <v>49</v>
      </c>
      <c r="C4103">
        <v>19</v>
      </c>
      <c r="D4103" t="s">
        <v>440</v>
      </c>
      <c r="E4103" s="217">
        <v>45170</v>
      </c>
      <c r="F4103">
        <v>0</v>
      </c>
      <c r="G4103" t="s">
        <v>257</v>
      </c>
    </row>
    <row r="4104" spans="1:7">
      <c r="A4104" s="216">
        <v>45170</v>
      </c>
      <c r="B4104" t="s">
        <v>49</v>
      </c>
      <c r="C4104">
        <v>19</v>
      </c>
      <c r="D4104" t="s">
        <v>440</v>
      </c>
      <c r="E4104" s="217">
        <v>45170</v>
      </c>
      <c r="F4104">
        <v>0</v>
      </c>
      <c r="G4104" t="s">
        <v>258</v>
      </c>
    </row>
    <row r="4105" spans="1:7">
      <c r="A4105" s="216">
        <v>45170</v>
      </c>
      <c r="B4105" t="s">
        <v>49</v>
      </c>
      <c r="C4105">
        <v>19</v>
      </c>
      <c r="D4105" t="s">
        <v>440</v>
      </c>
      <c r="E4105" s="217">
        <v>45170</v>
      </c>
      <c r="F4105">
        <v>0</v>
      </c>
      <c r="G4105" t="s">
        <v>259</v>
      </c>
    </row>
    <row r="4106" spans="1:7">
      <c r="A4106" s="216">
        <v>45170</v>
      </c>
      <c r="B4106" t="s">
        <v>49</v>
      </c>
      <c r="C4106">
        <v>19</v>
      </c>
      <c r="D4106" t="s">
        <v>440</v>
      </c>
      <c r="E4106" s="217">
        <v>45170</v>
      </c>
      <c r="F4106">
        <v>0</v>
      </c>
      <c r="G4106" t="s">
        <v>260</v>
      </c>
    </row>
    <row r="4107" spans="1:7">
      <c r="A4107" s="216">
        <v>45170</v>
      </c>
      <c r="B4107" t="s">
        <v>49</v>
      </c>
      <c r="C4107">
        <v>19</v>
      </c>
      <c r="D4107" t="s">
        <v>440</v>
      </c>
      <c r="E4107" s="217">
        <v>45170</v>
      </c>
      <c r="F4107">
        <v>0</v>
      </c>
      <c r="G4107" t="s">
        <v>261</v>
      </c>
    </row>
    <row r="4108" spans="1:7">
      <c r="A4108" s="216">
        <v>45170</v>
      </c>
      <c r="B4108" t="s">
        <v>49</v>
      </c>
      <c r="C4108">
        <v>19</v>
      </c>
      <c r="D4108" t="s">
        <v>440</v>
      </c>
      <c r="E4108" s="217">
        <v>45170</v>
      </c>
      <c r="F4108">
        <v>0</v>
      </c>
      <c r="G4108" t="s">
        <v>262</v>
      </c>
    </row>
    <row r="4109" spans="1:7">
      <c r="A4109" s="216">
        <v>45170</v>
      </c>
      <c r="B4109" t="s">
        <v>49</v>
      </c>
      <c r="C4109">
        <v>19</v>
      </c>
      <c r="D4109" t="s">
        <v>440</v>
      </c>
      <c r="E4109" s="217">
        <v>45170</v>
      </c>
      <c r="F4109">
        <v>0</v>
      </c>
      <c r="G4109" t="s">
        <v>434</v>
      </c>
    </row>
    <row r="4110" spans="1:7">
      <c r="A4110" s="216">
        <v>45170</v>
      </c>
      <c r="B4110" t="s">
        <v>49</v>
      </c>
      <c r="C4110">
        <v>20</v>
      </c>
      <c r="D4110" t="s">
        <v>456</v>
      </c>
      <c r="E4110" s="217">
        <v>45170</v>
      </c>
      <c r="F4110">
        <v>0</v>
      </c>
      <c r="G4110" t="s">
        <v>251</v>
      </c>
    </row>
    <row r="4111" spans="1:7">
      <c r="A4111" s="216">
        <v>45170</v>
      </c>
      <c r="B4111" t="s">
        <v>49</v>
      </c>
      <c r="C4111">
        <v>20</v>
      </c>
      <c r="D4111" t="s">
        <v>456</v>
      </c>
      <c r="E4111" s="217">
        <v>45170</v>
      </c>
      <c r="F4111">
        <v>0</v>
      </c>
      <c r="G4111" t="s">
        <v>252</v>
      </c>
    </row>
    <row r="4112" spans="1:7">
      <c r="A4112" s="216">
        <v>45170</v>
      </c>
      <c r="B4112" t="s">
        <v>49</v>
      </c>
      <c r="C4112">
        <v>20</v>
      </c>
      <c r="D4112" t="s">
        <v>456</v>
      </c>
      <c r="E4112" s="217">
        <v>45170</v>
      </c>
      <c r="F4112">
        <v>0</v>
      </c>
      <c r="G4112" t="s">
        <v>253</v>
      </c>
    </row>
    <row r="4113" spans="1:7">
      <c r="A4113" s="216">
        <v>45170</v>
      </c>
      <c r="B4113" t="s">
        <v>49</v>
      </c>
      <c r="C4113">
        <v>20</v>
      </c>
      <c r="D4113" t="s">
        <v>456</v>
      </c>
      <c r="E4113" s="217">
        <v>45170</v>
      </c>
      <c r="F4113">
        <v>0</v>
      </c>
      <c r="G4113" t="s">
        <v>254</v>
      </c>
    </row>
    <row r="4114" spans="1:7">
      <c r="A4114" s="216">
        <v>45170</v>
      </c>
      <c r="B4114" t="s">
        <v>49</v>
      </c>
      <c r="C4114">
        <v>20</v>
      </c>
      <c r="D4114" t="s">
        <v>456</v>
      </c>
      <c r="E4114" s="217">
        <v>45170</v>
      </c>
      <c r="F4114">
        <v>0</v>
      </c>
      <c r="G4114" t="s">
        <v>255</v>
      </c>
    </row>
    <row r="4115" spans="1:7">
      <c r="A4115" s="216">
        <v>45170</v>
      </c>
      <c r="B4115" t="s">
        <v>49</v>
      </c>
      <c r="C4115">
        <v>20</v>
      </c>
      <c r="D4115" t="s">
        <v>456</v>
      </c>
      <c r="E4115" s="217">
        <v>45170</v>
      </c>
      <c r="F4115">
        <v>0</v>
      </c>
      <c r="G4115" t="s">
        <v>256</v>
      </c>
    </row>
    <row r="4116" spans="1:7">
      <c r="A4116" s="216">
        <v>45170</v>
      </c>
      <c r="B4116" t="s">
        <v>49</v>
      </c>
      <c r="C4116">
        <v>20</v>
      </c>
      <c r="D4116" t="s">
        <v>456</v>
      </c>
      <c r="E4116" s="217">
        <v>45170</v>
      </c>
      <c r="F4116">
        <v>0</v>
      </c>
      <c r="G4116" t="s">
        <v>257</v>
      </c>
    </row>
    <row r="4117" spans="1:7">
      <c r="A4117" s="216">
        <v>45170</v>
      </c>
      <c r="B4117" t="s">
        <v>49</v>
      </c>
      <c r="C4117">
        <v>20</v>
      </c>
      <c r="D4117" t="s">
        <v>456</v>
      </c>
      <c r="E4117" s="217">
        <v>45170</v>
      </c>
      <c r="F4117">
        <v>0</v>
      </c>
      <c r="G4117" t="s">
        <v>258</v>
      </c>
    </row>
    <row r="4118" spans="1:7">
      <c r="A4118" s="216">
        <v>45170</v>
      </c>
      <c r="B4118" t="s">
        <v>49</v>
      </c>
      <c r="C4118">
        <v>20</v>
      </c>
      <c r="D4118" t="s">
        <v>456</v>
      </c>
      <c r="E4118" s="217">
        <v>45170</v>
      </c>
      <c r="F4118">
        <v>0</v>
      </c>
      <c r="G4118" t="s">
        <v>259</v>
      </c>
    </row>
    <row r="4119" spans="1:7">
      <c r="A4119" s="216">
        <v>45170</v>
      </c>
      <c r="B4119" t="s">
        <v>49</v>
      </c>
      <c r="C4119">
        <v>20</v>
      </c>
      <c r="D4119" t="s">
        <v>456</v>
      </c>
      <c r="E4119" s="217">
        <v>45170</v>
      </c>
      <c r="F4119">
        <v>0</v>
      </c>
      <c r="G4119" t="s">
        <v>260</v>
      </c>
    </row>
    <row r="4120" spans="1:7">
      <c r="A4120" s="216">
        <v>45170</v>
      </c>
      <c r="B4120" t="s">
        <v>49</v>
      </c>
      <c r="C4120">
        <v>20</v>
      </c>
      <c r="D4120" t="s">
        <v>456</v>
      </c>
      <c r="E4120" s="217">
        <v>45170</v>
      </c>
      <c r="F4120">
        <v>0</v>
      </c>
      <c r="G4120" t="s">
        <v>261</v>
      </c>
    </row>
    <row r="4121" spans="1:7">
      <c r="A4121" s="216">
        <v>45170</v>
      </c>
      <c r="B4121" t="s">
        <v>49</v>
      </c>
      <c r="C4121">
        <v>20</v>
      </c>
      <c r="D4121" t="s">
        <v>456</v>
      </c>
      <c r="E4121" s="217">
        <v>45170</v>
      </c>
      <c r="F4121">
        <v>0</v>
      </c>
      <c r="G4121" t="s">
        <v>262</v>
      </c>
    </row>
    <row r="4122" spans="1:7">
      <c r="A4122" s="216">
        <v>45170</v>
      </c>
      <c r="B4122" t="s">
        <v>49</v>
      </c>
      <c r="C4122">
        <v>20</v>
      </c>
      <c r="D4122" t="s">
        <v>456</v>
      </c>
      <c r="E4122" s="217">
        <v>45170</v>
      </c>
      <c r="F4122">
        <v>0</v>
      </c>
      <c r="G4122" t="s">
        <v>434</v>
      </c>
    </row>
    <row r="4123" spans="1:7">
      <c r="A4123" s="216">
        <v>45170</v>
      </c>
      <c r="B4123" t="s">
        <v>49</v>
      </c>
      <c r="C4123">
        <v>21</v>
      </c>
      <c r="D4123" t="s">
        <v>455</v>
      </c>
      <c r="E4123" s="217">
        <v>45170</v>
      </c>
      <c r="F4123">
        <v>0</v>
      </c>
      <c r="G4123" t="s">
        <v>251</v>
      </c>
    </row>
    <row r="4124" spans="1:7">
      <c r="A4124" s="216">
        <v>45170</v>
      </c>
      <c r="B4124" t="s">
        <v>49</v>
      </c>
      <c r="C4124">
        <v>21</v>
      </c>
      <c r="D4124" t="s">
        <v>455</v>
      </c>
      <c r="E4124" s="217">
        <v>45170</v>
      </c>
      <c r="F4124">
        <v>0</v>
      </c>
      <c r="G4124" t="s">
        <v>252</v>
      </c>
    </row>
    <row r="4125" spans="1:7">
      <c r="A4125" s="216">
        <v>45170</v>
      </c>
      <c r="B4125" t="s">
        <v>49</v>
      </c>
      <c r="C4125">
        <v>21</v>
      </c>
      <c r="D4125" t="s">
        <v>455</v>
      </c>
      <c r="E4125" s="217">
        <v>45170</v>
      </c>
      <c r="F4125">
        <v>0</v>
      </c>
      <c r="G4125" t="s">
        <v>253</v>
      </c>
    </row>
    <row r="4126" spans="1:7">
      <c r="A4126" s="216">
        <v>45170</v>
      </c>
      <c r="B4126" t="s">
        <v>49</v>
      </c>
      <c r="C4126">
        <v>21</v>
      </c>
      <c r="D4126" t="s">
        <v>455</v>
      </c>
      <c r="E4126" s="217">
        <v>45170</v>
      </c>
      <c r="F4126">
        <v>0</v>
      </c>
      <c r="G4126" t="s">
        <v>254</v>
      </c>
    </row>
    <row r="4127" spans="1:7">
      <c r="A4127" s="216">
        <v>45170</v>
      </c>
      <c r="B4127" t="s">
        <v>49</v>
      </c>
      <c r="C4127">
        <v>21</v>
      </c>
      <c r="D4127" t="s">
        <v>455</v>
      </c>
      <c r="E4127" s="217">
        <v>45170</v>
      </c>
      <c r="F4127">
        <v>0</v>
      </c>
      <c r="G4127" t="s">
        <v>255</v>
      </c>
    </row>
    <row r="4128" spans="1:7">
      <c r="A4128" s="216">
        <v>45170</v>
      </c>
      <c r="B4128" t="s">
        <v>49</v>
      </c>
      <c r="C4128">
        <v>21</v>
      </c>
      <c r="D4128" t="s">
        <v>455</v>
      </c>
      <c r="E4128" s="217">
        <v>45170</v>
      </c>
      <c r="F4128">
        <v>0</v>
      </c>
      <c r="G4128" t="s">
        <v>256</v>
      </c>
    </row>
    <row r="4129" spans="1:7">
      <c r="A4129" s="216">
        <v>45170</v>
      </c>
      <c r="B4129" t="s">
        <v>49</v>
      </c>
      <c r="C4129">
        <v>21</v>
      </c>
      <c r="D4129" t="s">
        <v>455</v>
      </c>
      <c r="E4129" s="217">
        <v>45170</v>
      </c>
      <c r="F4129">
        <v>0</v>
      </c>
      <c r="G4129" t="s">
        <v>257</v>
      </c>
    </row>
    <row r="4130" spans="1:7">
      <c r="A4130" s="216">
        <v>45170</v>
      </c>
      <c r="B4130" t="s">
        <v>49</v>
      </c>
      <c r="C4130">
        <v>21</v>
      </c>
      <c r="D4130" t="s">
        <v>455</v>
      </c>
      <c r="E4130" s="217">
        <v>45170</v>
      </c>
      <c r="F4130">
        <v>0</v>
      </c>
      <c r="G4130" t="s">
        <v>258</v>
      </c>
    </row>
    <row r="4131" spans="1:7">
      <c r="A4131" s="216">
        <v>45170</v>
      </c>
      <c r="B4131" t="s">
        <v>49</v>
      </c>
      <c r="C4131">
        <v>21</v>
      </c>
      <c r="D4131" t="s">
        <v>455</v>
      </c>
      <c r="E4131" s="217">
        <v>45170</v>
      </c>
      <c r="F4131">
        <v>0</v>
      </c>
      <c r="G4131" t="s">
        <v>259</v>
      </c>
    </row>
    <row r="4132" spans="1:7">
      <c r="A4132" s="216">
        <v>45170</v>
      </c>
      <c r="B4132" t="s">
        <v>49</v>
      </c>
      <c r="C4132">
        <v>21</v>
      </c>
      <c r="D4132" t="s">
        <v>455</v>
      </c>
      <c r="E4132" s="217">
        <v>45170</v>
      </c>
      <c r="F4132">
        <v>0</v>
      </c>
      <c r="G4132" t="s">
        <v>260</v>
      </c>
    </row>
    <row r="4133" spans="1:7">
      <c r="A4133" s="216">
        <v>45170</v>
      </c>
      <c r="B4133" t="s">
        <v>49</v>
      </c>
      <c r="C4133">
        <v>21</v>
      </c>
      <c r="D4133" t="s">
        <v>455</v>
      </c>
      <c r="E4133" s="217">
        <v>45170</v>
      </c>
      <c r="F4133">
        <v>0</v>
      </c>
      <c r="G4133" t="s">
        <v>261</v>
      </c>
    </row>
    <row r="4134" spans="1:7">
      <c r="A4134" s="216">
        <v>45170</v>
      </c>
      <c r="B4134" t="s">
        <v>49</v>
      </c>
      <c r="C4134">
        <v>21</v>
      </c>
      <c r="D4134" t="s">
        <v>455</v>
      </c>
      <c r="E4134" s="217">
        <v>45170</v>
      </c>
      <c r="F4134">
        <v>0</v>
      </c>
      <c r="G4134" t="s">
        <v>262</v>
      </c>
    </row>
    <row r="4135" spans="1:7">
      <c r="A4135" s="216">
        <v>45170</v>
      </c>
      <c r="B4135" t="s">
        <v>49</v>
      </c>
      <c r="C4135">
        <v>21</v>
      </c>
      <c r="D4135" t="s">
        <v>455</v>
      </c>
      <c r="E4135" s="217">
        <v>45170</v>
      </c>
      <c r="F4135">
        <v>0</v>
      </c>
      <c r="G4135" t="s">
        <v>434</v>
      </c>
    </row>
    <row r="4136" spans="1:7">
      <c r="A4136" s="216">
        <v>45170</v>
      </c>
      <c r="B4136" t="s">
        <v>49</v>
      </c>
      <c r="C4136">
        <v>22</v>
      </c>
      <c r="D4136" t="s">
        <v>439</v>
      </c>
      <c r="E4136" s="217">
        <v>45170</v>
      </c>
      <c r="F4136">
        <v>536.58333333333303</v>
      </c>
      <c r="G4136" t="s">
        <v>251</v>
      </c>
    </row>
    <row r="4137" spans="1:7">
      <c r="A4137" s="216">
        <v>45170</v>
      </c>
      <c r="B4137" t="s">
        <v>49</v>
      </c>
      <c r="C4137">
        <v>22</v>
      </c>
      <c r="D4137" t="s">
        <v>439</v>
      </c>
      <c r="E4137" s="217">
        <v>45170</v>
      </c>
      <c r="F4137">
        <v>536.58333333333303</v>
      </c>
      <c r="G4137" t="s">
        <v>252</v>
      </c>
    </row>
    <row r="4138" spans="1:7">
      <c r="A4138" s="216">
        <v>45170</v>
      </c>
      <c r="B4138" t="s">
        <v>49</v>
      </c>
      <c r="C4138">
        <v>22</v>
      </c>
      <c r="D4138" t="s">
        <v>439</v>
      </c>
      <c r="E4138" s="217">
        <v>45170</v>
      </c>
      <c r="F4138">
        <v>536.58333333333303</v>
      </c>
      <c r="G4138" t="s">
        <v>253</v>
      </c>
    </row>
    <row r="4139" spans="1:7">
      <c r="A4139" s="216">
        <v>45170</v>
      </c>
      <c r="B4139" t="s">
        <v>49</v>
      </c>
      <c r="C4139">
        <v>22</v>
      </c>
      <c r="D4139" t="s">
        <v>439</v>
      </c>
      <c r="E4139" s="217">
        <v>45170</v>
      </c>
      <c r="F4139">
        <v>391.95555555555597</v>
      </c>
      <c r="G4139" t="s">
        <v>254</v>
      </c>
    </row>
    <row r="4140" spans="1:7">
      <c r="A4140" s="216">
        <v>45170</v>
      </c>
      <c r="B4140" t="s">
        <v>49</v>
      </c>
      <c r="C4140">
        <v>22</v>
      </c>
      <c r="D4140" t="s">
        <v>439</v>
      </c>
      <c r="E4140" s="217">
        <v>45170</v>
      </c>
      <c r="F4140">
        <v>694.48055555555595</v>
      </c>
      <c r="G4140" t="s">
        <v>255</v>
      </c>
    </row>
    <row r="4141" spans="1:7">
      <c r="A4141" s="216">
        <v>45170</v>
      </c>
      <c r="B4141" t="s">
        <v>49</v>
      </c>
      <c r="C4141">
        <v>22</v>
      </c>
      <c r="D4141" t="s">
        <v>439</v>
      </c>
      <c r="E4141" s="217">
        <v>45170</v>
      </c>
      <c r="F4141">
        <v>692.50555555555604</v>
      </c>
      <c r="G4141" t="s">
        <v>256</v>
      </c>
    </row>
    <row r="4142" spans="1:7">
      <c r="A4142" s="216">
        <v>45170</v>
      </c>
      <c r="B4142" t="s">
        <v>49</v>
      </c>
      <c r="C4142">
        <v>22</v>
      </c>
      <c r="D4142" t="s">
        <v>439</v>
      </c>
      <c r="E4142" s="217">
        <v>45170</v>
      </c>
      <c r="F4142">
        <v>691.17222222222199</v>
      </c>
      <c r="G4142" t="s">
        <v>257</v>
      </c>
    </row>
    <row r="4143" spans="1:7">
      <c r="A4143" s="216">
        <v>45170</v>
      </c>
      <c r="B4143" t="s">
        <v>49</v>
      </c>
      <c r="C4143">
        <v>22</v>
      </c>
      <c r="D4143" t="s">
        <v>439</v>
      </c>
      <c r="E4143" s="217">
        <v>45170</v>
      </c>
      <c r="F4143">
        <v>691.17222222222199</v>
      </c>
      <c r="G4143" t="s">
        <v>258</v>
      </c>
    </row>
    <row r="4144" spans="1:7">
      <c r="A4144" s="216">
        <v>45170</v>
      </c>
      <c r="B4144" t="s">
        <v>49</v>
      </c>
      <c r="C4144">
        <v>22</v>
      </c>
      <c r="D4144" t="s">
        <v>439</v>
      </c>
      <c r="E4144" s="217">
        <v>45170</v>
      </c>
      <c r="F4144">
        <v>691.17222222222199</v>
      </c>
      <c r="G4144" t="s">
        <v>259</v>
      </c>
    </row>
    <row r="4145" spans="1:7">
      <c r="A4145" s="216">
        <v>45170</v>
      </c>
      <c r="B4145" t="s">
        <v>49</v>
      </c>
      <c r="C4145">
        <v>22</v>
      </c>
      <c r="D4145" t="s">
        <v>439</v>
      </c>
      <c r="E4145" s="217">
        <v>45170</v>
      </c>
      <c r="F4145">
        <v>691.17222222222199</v>
      </c>
      <c r="G4145" t="s">
        <v>260</v>
      </c>
    </row>
    <row r="4146" spans="1:7">
      <c r="A4146" s="216">
        <v>45170</v>
      </c>
      <c r="B4146" t="s">
        <v>49</v>
      </c>
      <c r="C4146">
        <v>22</v>
      </c>
      <c r="D4146" t="s">
        <v>439</v>
      </c>
      <c r="E4146" s="217">
        <v>45170</v>
      </c>
      <c r="F4146">
        <v>691.17222222222199</v>
      </c>
      <c r="G4146" t="s">
        <v>261</v>
      </c>
    </row>
    <row r="4147" spans="1:7">
      <c r="A4147" s="216">
        <v>45170</v>
      </c>
      <c r="B4147" t="s">
        <v>49</v>
      </c>
      <c r="C4147">
        <v>22</v>
      </c>
      <c r="D4147" t="s">
        <v>439</v>
      </c>
      <c r="E4147" s="217">
        <v>45170</v>
      </c>
      <c r="F4147">
        <v>11170.1722222222</v>
      </c>
      <c r="G4147" t="s">
        <v>262</v>
      </c>
    </row>
    <row r="4148" spans="1:7">
      <c r="A4148" s="216">
        <v>45170</v>
      </c>
      <c r="B4148" t="s">
        <v>49</v>
      </c>
      <c r="C4148">
        <v>22</v>
      </c>
      <c r="D4148" t="s">
        <v>439</v>
      </c>
      <c r="E4148" s="217">
        <v>45170</v>
      </c>
      <c r="F4148">
        <v>18014.724999999999</v>
      </c>
      <c r="G4148" t="s">
        <v>434</v>
      </c>
    </row>
    <row r="4149" spans="1:7">
      <c r="A4149" s="216">
        <v>45170</v>
      </c>
      <c r="B4149" t="s">
        <v>49</v>
      </c>
      <c r="C4149">
        <v>23</v>
      </c>
      <c r="D4149" t="s">
        <v>435</v>
      </c>
      <c r="E4149" s="217">
        <v>45170</v>
      </c>
      <c r="F4149">
        <v>17.75</v>
      </c>
      <c r="G4149" t="s">
        <v>251</v>
      </c>
    </row>
    <row r="4150" spans="1:7">
      <c r="A4150" s="216">
        <v>45170</v>
      </c>
      <c r="B4150" t="s">
        <v>49</v>
      </c>
      <c r="C4150">
        <v>23</v>
      </c>
      <c r="D4150" t="s">
        <v>435</v>
      </c>
      <c r="E4150" s="217">
        <v>45170</v>
      </c>
      <c r="F4150">
        <v>17.75</v>
      </c>
      <c r="G4150" t="s">
        <v>252</v>
      </c>
    </row>
    <row r="4151" spans="1:7">
      <c r="A4151" s="216">
        <v>45170</v>
      </c>
      <c r="B4151" t="s">
        <v>49</v>
      </c>
      <c r="C4151">
        <v>23</v>
      </c>
      <c r="D4151" t="s">
        <v>435</v>
      </c>
      <c r="E4151" s="217">
        <v>45170</v>
      </c>
      <c r="F4151">
        <v>17.75</v>
      </c>
      <c r="G4151" t="s">
        <v>253</v>
      </c>
    </row>
    <row r="4152" spans="1:7">
      <c r="A4152" s="216">
        <v>45170</v>
      </c>
      <c r="B4152" t="s">
        <v>49</v>
      </c>
      <c r="C4152">
        <v>23</v>
      </c>
      <c r="D4152" t="s">
        <v>435</v>
      </c>
      <c r="E4152" s="217">
        <v>45170</v>
      </c>
      <c r="F4152">
        <v>18.3</v>
      </c>
      <c r="G4152" t="s">
        <v>254</v>
      </c>
    </row>
    <row r="4153" spans="1:7">
      <c r="A4153" s="216">
        <v>45170</v>
      </c>
      <c r="B4153" t="s">
        <v>49</v>
      </c>
      <c r="C4153">
        <v>23</v>
      </c>
      <c r="D4153" t="s">
        <v>435</v>
      </c>
      <c r="E4153" s="217">
        <v>45170</v>
      </c>
      <c r="F4153">
        <v>18.3</v>
      </c>
      <c r="G4153" t="s">
        <v>255</v>
      </c>
    </row>
    <row r="4154" spans="1:7">
      <c r="A4154" s="216">
        <v>45170</v>
      </c>
      <c r="B4154" t="s">
        <v>49</v>
      </c>
      <c r="C4154">
        <v>23</v>
      </c>
      <c r="D4154" t="s">
        <v>435</v>
      </c>
      <c r="E4154" s="217">
        <v>45170</v>
      </c>
      <c r="F4154">
        <v>17.600000000000001</v>
      </c>
      <c r="G4154" t="s">
        <v>256</v>
      </c>
    </row>
    <row r="4155" spans="1:7">
      <c r="A4155" s="216">
        <v>45170</v>
      </c>
      <c r="B4155" t="s">
        <v>49</v>
      </c>
      <c r="C4155">
        <v>23</v>
      </c>
      <c r="D4155" t="s">
        <v>435</v>
      </c>
      <c r="E4155" s="217">
        <v>45170</v>
      </c>
      <c r="F4155">
        <v>17.600000000000001</v>
      </c>
      <c r="G4155" t="s">
        <v>257</v>
      </c>
    </row>
    <row r="4156" spans="1:7">
      <c r="A4156" s="216">
        <v>45170</v>
      </c>
      <c r="B4156" t="s">
        <v>49</v>
      </c>
      <c r="C4156">
        <v>23</v>
      </c>
      <c r="D4156" t="s">
        <v>435</v>
      </c>
      <c r="E4156" s="217">
        <v>45170</v>
      </c>
      <c r="F4156">
        <v>17.600000000000001</v>
      </c>
      <c r="G4156" t="s">
        <v>258</v>
      </c>
    </row>
    <row r="4157" spans="1:7">
      <c r="A4157" s="216">
        <v>45170</v>
      </c>
      <c r="B4157" t="s">
        <v>49</v>
      </c>
      <c r="C4157">
        <v>23</v>
      </c>
      <c r="D4157" t="s">
        <v>435</v>
      </c>
      <c r="E4157" s="217">
        <v>45170</v>
      </c>
      <c r="F4157">
        <v>17.600000000000001</v>
      </c>
      <c r="G4157" t="s">
        <v>259</v>
      </c>
    </row>
    <row r="4158" spans="1:7">
      <c r="A4158" s="216">
        <v>45170</v>
      </c>
      <c r="B4158" t="s">
        <v>49</v>
      </c>
      <c r="C4158">
        <v>23</v>
      </c>
      <c r="D4158" t="s">
        <v>435</v>
      </c>
      <c r="E4158" s="217">
        <v>45170</v>
      </c>
      <c r="F4158">
        <v>17.600000000000001</v>
      </c>
      <c r="G4158" t="s">
        <v>260</v>
      </c>
    </row>
    <row r="4159" spans="1:7">
      <c r="A4159" s="216">
        <v>45170</v>
      </c>
      <c r="B4159" t="s">
        <v>49</v>
      </c>
      <c r="C4159">
        <v>23</v>
      </c>
      <c r="D4159" t="s">
        <v>435</v>
      </c>
      <c r="E4159" s="217">
        <v>45170</v>
      </c>
      <c r="F4159">
        <v>17.600000000000001</v>
      </c>
      <c r="G4159" t="s">
        <v>261</v>
      </c>
    </row>
    <row r="4160" spans="1:7">
      <c r="A4160" s="216">
        <v>45170</v>
      </c>
      <c r="B4160" t="s">
        <v>49</v>
      </c>
      <c r="C4160">
        <v>23</v>
      </c>
      <c r="D4160" t="s">
        <v>435</v>
      </c>
      <c r="E4160" s="217">
        <v>45170</v>
      </c>
      <c r="F4160">
        <v>17.600000000000001</v>
      </c>
      <c r="G4160" t="s">
        <v>262</v>
      </c>
    </row>
    <row r="4161" spans="1:7">
      <c r="A4161" s="216">
        <v>45170</v>
      </c>
      <c r="B4161" t="s">
        <v>49</v>
      </c>
      <c r="C4161">
        <v>23</v>
      </c>
      <c r="D4161" t="s">
        <v>435</v>
      </c>
      <c r="E4161" s="217">
        <v>45170</v>
      </c>
      <c r="F4161">
        <v>213.05</v>
      </c>
      <c r="G4161" t="s">
        <v>434</v>
      </c>
    </row>
    <row r="4162" spans="1:7">
      <c r="A4162" s="216">
        <v>45170</v>
      </c>
      <c r="B4162" t="s">
        <v>49</v>
      </c>
      <c r="C4162">
        <v>24</v>
      </c>
      <c r="D4162" t="s">
        <v>457</v>
      </c>
      <c r="E4162" s="217">
        <v>45170</v>
      </c>
      <c r="F4162">
        <v>0</v>
      </c>
      <c r="G4162" t="s">
        <v>251</v>
      </c>
    </row>
    <row r="4163" spans="1:7">
      <c r="A4163" s="216">
        <v>45170</v>
      </c>
      <c r="B4163" t="s">
        <v>49</v>
      </c>
      <c r="C4163">
        <v>24</v>
      </c>
      <c r="D4163" t="s">
        <v>457</v>
      </c>
      <c r="E4163" s="217">
        <v>45170</v>
      </c>
      <c r="F4163">
        <v>0</v>
      </c>
      <c r="G4163" t="s">
        <v>252</v>
      </c>
    </row>
    <row r="4164" spans="1:7">
      <c r="A4164" s="216">
        <v>45170</v>
      </c>
      <c r="B4164" t="s">
        <v>49</v>
      </c>
      <c r="C4164">
        <v>24</v>
      </c>
      <c r="D4164" t="s">
        <v>457</v>
      </c>
      <c r="E4164" s="217">
        <v>45170</v>
      </c>
      <c r="F4164">
        <v>0</v>
      </c>
      <c r="G4164" t="s">
        <v>253</v>
      </c>
    </row>
    <row r="4165" spans="1:7">
      <c r="A4165" s="216">
        <v>45170</v>
      </c>
      <c r="B4165" t="s">
        <v>49</v>
      </c>
      <c r="C4165">
        <v>24</v>
      </c>
      <c r="D4165" t="s">
        <v>457</v>
      </c>
      <c r="E4165" s="217">
        <v>45170</v>
      </c>
      <c r="F4165">
        <v>0</v>
      </c>
      <c r="G4165" t="s">
        <v>254</v>
      </c>
    </row>
    <row r="4166" spans="1:7">
      <c r="A4166" s="216">
        <v>45170</v>
      </c>
      <c r="B4166" t="s">
        <v>49</v>
      </c>
      <c r="C4166">
        <v>24</v>
      </c>
      <c r="D4166" t="s">
        <v>457</v>
      </c>
      <c r="E4166" s="217">
        <v>45170</v>
      </c>
      <c r="F4166">
        <v>0</v>
      </c>
      <c r="G4166" t="s">
        <v>255</v>
      </c>
    </row>
    <row r="4167" spans="1:7">
      <c r="A4167" s="216">
        <v>45170</v>
      </c>
      <c r="B4167" t="s">
        <v>49</v>
      </c>
      <c r="C4167">
        <v>24</v>
      </c>
      <c r="D4167" t="s">
        <v>457</v>
      </c>
      <c r="E4167" s="217">
        <v>45170</v>
      </c>
      <c r="F4167">
        <v>0</v>
      </c>
      <c r="G4167" t="s">
        <v>256</v>
      </c>
    </row>
    <row r="4168" spans="1:7">
      <c r="A4168" s="216">
        <v>45170</v>
      </c>
      <c r="B4168" t="s">
        <v>49</v>
      </c>
      <c r="C4168">
        <v>24</v>
      </c>
      <c r="D4168" t="s">
        <v>457</v>
      </c>
      <c r="E4168" s="217">
        <v>45170</v>
      </c>
      <c r="F4168">
        <v>0</v>
      </c>
      <c r="G4168" t="s">
        <v>257</v>
      </c>
    </row>
    <row r="4169" spans="1:7">
      <c r="A4169" s="216">
        <v>45170</v>
      </c>
      <c r="B4169" t="s">
        <v>49</v>
      </c>
      <c r="C4169">
        <v>24</v>
      </c>
      <c r="D4169" t="s">
        <v>457</v>
      </c>
      <c r="E4169" s="217">
        <v>45170</v>
      </c>
      <c r="F4169">
        <v>0</v>
      </c>
      <c r="G4169" t="s">
        <v>258</v>
      </c>
    </row>
    <row r="4170" spans="1:7">
      <c r="A4170" s="216">
        <v>45170</v>
      </c>
      <c r="B4170" t="s">
        <v>49</v>
      </c>
      <c r="C4170">
        <v>24</v>
      </c>
      <c r="D4170" t="s">
        <v>457</v>
      </c>
      <c r="E4170" s="217">
        <v>45170</v>
      </c>
      <c r="F4170">
        <v>0</v>
      </c>
      <c r="G4170" t="s">
        <v>259</v>
      </c>
    </row>
    <row r="4171" spans="1:7">
      <c r="A4171" s="216">
        <v>45170</v>
      </c>
      <c r="B4171" t="s">
        <v>49</v>
      </c>
      <c r="C4171">
        <v>24</v>
      </c>
      <c r="D4171" t="s">
        <v>457</v>
      </c>
      <c r="E4171" s="217">
        <v>45170</v>
      </c>
      <c r="F4171">
        <v>0</v>
      </c>
      <c r="G4171" t="s">
        <v>260</v>
      </c>
    </row>
    <row r="4172" spans="1:7">
      <c r="A4172" s="216">
        <v>45170</v>
      </c>
      <c r="B4172" t="s">
        <v>49</v>
      </c>
      <c r="C4172">
        <v>24</v>
      </c>
      <c r="D4172" t="s">
        <v>457</v>
      </c>
      <c r="E4172" s="217">
        <v>45170</v>
      </c>
      <c r="F4172">
        <v>0</v>
      </c>
      <c r="G4172" t="s">
        <v>261</v>
      </c>
    </row>
    <row r="4173" spans="1:7">
      <c r="A4173" s="216">
        <v>45170</v>
      </c>
      <c r="B4173" t="s">
        <v>49</v>
      </c>
      <c r="C4173">
        <v>24</v>
      </c>
      <c r="D4173" t="s">
        <v>457</v>
      </c>
      <c r="E4173" s="217">
        <v>45170</v>
      </c>
      <c r="F4173">
        <v>500</v>
      </c>
      <c r="G4173" t="s">
        <v>262</v>
      </c>
    </row>
    <row r="4174" spans="1:7">
      <c r="A4174" s="216">
        <v>45170</v>
      </c>
      <c r="B4174" t="s">
        <v>49</v>
      </c>
      <c r="C4174">
        <v>24</v>
      </c>
      <c r="D4174" t="s">
        <v>457</v>
      </c>
      <c r="E4174" s="217">
        <v>45170</v>
      </c>
      <c r="F4174">
        <v>500</v>
      </c>
      <c r="G4174" t="s">
        <v>434</v>
      </c>
    </row>
    <row r="4175" spans="1:7">
      <c r="A4175" s="216">
        <v>45170</v>
      </c>
      <c r="B4175" t="s">
        <v>49</v>
      </c>
      <c r="C4175">
        <v>25</v>
      </c>
      <c r="D4175" t="s">
        <v>452</v>
      </c>
      <c r="E4175" s="217">
        <v>45170</v>
      </c>
      <c r="F4175">
        <v>0</v>
      </c>
      <c r="G4175" t="s">
        <v>251</v>
      </c>
    </row>
    <row r="4176" spans="1:7">
      <c r="A4176" s="216">
        <v>45170</v>
      </c>
      <c r="B4176" t="s">
        <v>49</v>
      </c>
      <c r="C4176">
        <v>25</v>
      </c>
      <c r="D4176" t="s">
        <v>452</v>
      </c>
      <c r="E4176" s="217">
        <v>45170</v>
      </c>
      <c r="F4176">
        <v>0</v>
      </c>
      <c r="G4176" t="s">
        <v>252</v>
      </c>
    </row>
    <row r="4177" spans="1:7">
      <c r="A4177" s="216">
        <v>45170</v>
      </c>
      <c r="B4177" t="s">
        <v>49</v>
      </c>
      <c r="C4177">
        <v>25</v>
      </c>
      <c r="D4177" t="s">
        <v>452</v>
      </c>
      <c r="E4177" s="217">
        <v>45170</v>
      </c>
      <c r="F4177">
        <v>0</v>
      </c>
      <c r="G4177" t="s">
        <v>253</v>
      </c>
    </row>
    <row r="4178" spans="1:7">
      <c r="A4178" s="216">
        <v>45170</v>
      </c>
      <c r="B4178" t="s">
        <v>49</v>
      </c>
      <c r="C4178">
        <v>25</v>
      </c>
      <c r="D4178" t="s">
        <v>452</v>
      </c>
      <c r="E4178" s="217">
        <v>45170</v>
      </c>
      <c r="F4178">
        <v>0</v>
      </c>
      <c r="G4178" t="s">
        <v>254</v>
      </c>
    </row>
    <row r="4179" spans="1:7">
      <c r="A4179" s="216">
        <v>45170</v>
      </c>
      <c r="B4179" t="s">
        <v>49</v>
      </c>
      <c r="C4179">
        <v>25</v>
      </c>
      <c r="D4179" t="s">
        <v>452</v>
      </c>
      <c r="E4179" s="217">
        <v>45170</v>
      </c>
      <c r="F4179">
        <v>0</v>
      </c>
      <c r="G4179" t="s">
        <v>255</v>
      </c>
    </row>
    <row r="4180" spans="1:7">
      <c r="A4180" s="216">
        <v>45170</v>
      </c>
      <c r="B4180" t="s">
        <v>49</v>
      </c>
      <c r="C4180">
        <v>25</v>
      </c>
      <c r="D4180" t="s">
        <v>452</v>
      </c>
      <c r="E4180" s="217">
        <v>45170</v>
      </c>
      <c r="F4180">
        <v>0</v>
      </c>
      <c r="G4180" t="s">
        <v>256</v>
      </c>
    </row>
    <row r="4181" spans="1:7">
      <c r="A4181" s="216">
        <v>45170</v>
      </c>
      <c r="B4181" t="s">
        <v>49</v>
      </c>
      <c r="C4181">
        <v>25</v>
      </c>
      <c r="D4181" t="s">
        <v>452</v>
      </c>
      <c r="E4181" s="217">
        <v>45170</v>
      </c>
      <c r="F4181">
        <v>0</v>
      </c>
      <c r="G4181" t="s">
        <v>257</v>
      </c>
    </row>
    <row r="4182" spans="1:7">
      <c r="A4182" s="216">
        <v>45170</v>
      </c>
      <c r="B4182" t="s">
        <v>49</v>
      </c>
      <c r="C4182">
        <v>25</v>
      </c>
      <c r="D4182" t="s">
        <v>452</v>
      </c>
      <c r="E4182" s="217">
        <v>45170</v>
      </c>
      <c r="F4182">
        <v>0</v>
      </c>
      <c r="G4182" t="s">
        <v>258</v>
      </c>
    </row>
    <row r="4183" spans="1:7">
      <c r="A4183" s="216">
        <v>45170</v>
      </c>
      <c r="B4183" t="s">
        <v>49</v>
      </c>
      <c r="C4183">
        <v>25</v>
      </c>
      <c r="D4183" t="s">
        <v>452</v>
      </c>
      <c r="E4183" s="217">
        <v>45170</v>
      </c>
      <c r="F4183">
        <v>0</v>
      </c>
      <c r="G4183" t="s">
        <v>259</v>
      </c>
    </row>
    <row r="4184" spans="1:7">
      <c r="A4184" s="216">
        <v>45170</v>
      </c>
      <c r="B4184" t="s">
        <v>49</v>
      </c>
      <c r="C4184">
        <v>25</v>
      </c>
      <c r="D4184" t="s">
        <v>452</v>
      </c>
      <c r="E4184" s="217">
        <v>45170</v>
      </c>
      <c r="F4184">
        <v>0</v>
      </c>
      <c r="G4184" t="s">
        <v>260</v>
      </c>
    </row>
    <row r="4185" spans="1:7">
      <c r="A4185" s="216">
        <v>45170</v>
      </c>
      <c r="B4185" t="s">
        <v>49</v>
      </c>
      <c r="C4185">
        <v>25</v>
      </c>
      <c r="D4185" t="s">
        <v>452</v>
      </c>
      <c r="E4185" s="217">
        <v>45170</v>
      </c>
      <c r="F4185">
        <v>0</v>
      </c>
      <c r="G4185" t="s">
        <v>261</v>
      </c>
    </row>
    <row r="4186" spans="1:7">
      <c r="A4186" s="216">
        <v>45170</v>
      </c>
      <c r="B4186" t="s">
        <v>49</v>
      </c>
      <c r="C4186">
        <v>25</v>
      </c>
      <c r="D4186" t="s">
        <v>452</v>
      </c>
      <c r="E4186" s="217">
        <v>45170</v>
      </c>
      <c r="F4186">
        <v>0</v>
      </c>
      <c r="G4186" t="s">
        <v>262</v>
      </c>
    </row>
    <row r="4187" spans="1:7">
      <c r="A4187" s="216">
        <v>45170</v>
      </c>
      <c r="B4187" t="s">
        <v>49</v>
      </c>
      <c r="C4187">
        <v>25</v>
      </c>
      <c r="D4187" t="s">
        <v>452</v>
      </c>
      <c r="E4187" s="217">
        <v>45170</v>
      </c>
      <c r="F4187">
        <v>0</v>
      </c>
      <c r="G4187" t="s">
        <v>434</v>
      </c>
    </row>
    <row r="4188" spans="1:7">
      <c r="A4188" s="216">
        <v>45170</v>
      </c>
      <c r="B4188" t="s">
        <v>49</v>
      </c>
      <c r="C4188">
        <v>26</v>
      </c>
      <c r="D4188" t="s">
        <v>438</v>
      </c>
      <c r="E4188" s="217">
        <v>45170</v>
      </c>
      <c r="F4188">
        <v>14796.883</v>
      </c>
      <c r="G4188" t="s">
        <v>251</v>
      </c>
    </row>
    <row r="4189" spans="1:7">
      <c r="A4189" s="216">
        <v>45170</v>
      </c>
      <c r="B4189" t="s">
        <v>49</v>
      </c>
      <c r="C4189">
        <v>26</v>
      </c>
      <c r="D4189" t="s">
        <v>438</v>
      </c>
      <c r="E4189" s="217">
        <v>45170</v>
      </c>
      <c r="F4189">
        <v>14972.384</v>
      </c>
      <c r="G4189" t="s">
        <v>252</v>
      </c>
    </row>
    <row r="4190" spans="1:7">
      <c r="A4190" s="216">
        <v>45170</v>
      </c>
      <c r="B4190" t="s">
        <v>49</v>
      </c>
      <c r="C4190">
        <v>26</v>
      </c>
      <c r="D4190" t="s">
        <v>438</v>
      </c>
      <c r="E4190" s="217">
        <v>45170</v>
      </c>
      <c r="F4190">
        <v>16868.436000000002</v>
      </c>
      <c r="G4190" t="s">
        <v>253</v>
      </c>
    </row>
    <row r="4191" spans="1:7">
      <c r="A4191" s="216">
        <v>45170</v>
      </c>
      <c r="B4191" t="s">
        <v>49</v>
      </c>
      <c r="C4191">
        <v>26</v>
      </c>
      <c r="D4191" t="s">
        <v>438</v>
      </c>
      <c r="E4191" s="217">
        <v>45170</v>
      </c>
      <c r="F4191">
        <v>16847.91806</v>
      </c>
      <c r="G4191" t="s">
        <v>254</v>
      </c>
    </row>
    <row r="4192" spans="1:7">
      <c r="A4192" s="216">
        <v>45170</v>
      </c>
      <c r="B4192" t="s">
        <v>49</v>
      </c>
      <c r="C4192">
        <v>26</v>
      </c>
      <c r="D4192" t="s">
        <v>438</v>
      </c>
      <c r="E4192" s="217">
        <v>45170</v>
      </c>
      <c r="F4192">
        <v>16191.339</v>
      </c>
      <c r="G4192" t="s">
        <v>255</v>
      </c>
    </row>
    <row r="4193" spans="1:7">
      <c r="A4193" s="216">
        <v>45170</v>
      </c>
      <c r="B4193" t="s">
        <v>49</v>
      </c>
      <c r="C4193">
        <v>26</v>
      </c>
      <c r="D4193" t="s">
        <v>438</v>
      </c>
      <c r="E4193" s="217">
        <v>45170</v>
      </c>
      <c r="F4193">
        <v>17087.705000000002</v>
      </c>
      <c r="G4193" t="s">
        <v>256</v>
      </c>
    </row>
    <row r="4194" spans="1:7">
      <c r="A4194" s="216">
        <v>45170</v>
      </c>
      <c r="B4194" t="s">
        <v>49</v>
      </c>
      <c r="C4194">
        <v>26</v>
      </c>
      <c r="D4194" t="s">
        <v>438</v>
      </c>
      <c r="E4194" s="217">
        <v>45170</v>
      </c>
      <c r="F4194">
        <v>16813.793913333298</v>
      </c>
      <c r="G4194" t="s">
        <v>257</v>
      </c>
    </row>
    <row r="4195" spans="1:7">
      <c r="A4195" s="216">
        <v>45170</v>
      </c>
      <c r="B4195" t="s">
        <v>49</v>
      </c>
      <c r="C4195">
        <v>26</v>
      </c>
      <c r="D4195" t="s">
        <v>438</v>
      </c>
      <c r="E4195" s="217">
        <v>45170</v>
      </c>
      <c r="F4195">
        <v>16792.7220033333</v>
      </c>
      <c r="G4195" t="s">
        <v>258</v>
      </c>
    </row>
    <row r="4196" spans="1:7">
      <c r="A4196" s="216">
        <v>45170</v>
      </c>
      <c r="B4196" t="s">
        <v>49</v>
      </c>
      <c r="C4196">
        <v>26</v>
      </c>
      <c r="D4196" t="s">
        <v>438</v>
      </c>
      <c r="E4196" s="217">
        <v>45170</v>
      </c>
      <c r="F4196">
        <v>16889.7220033333</v>
      </c>
      <c r="G4196" t="s">
        <v>259</v>
      </c>
    </row>
    <row r="4197" spans="1:7">
      <c r="A4197" s="216">
        <v>45170</v>
      </c>
      <c r="B4197" t="s">
        <v>49</v>
      </c>
      <c r="C4197">
        <v>26</v>
      </c>
      <c r="D4197" t="s">
        <v>438</v>
      </c>
      <c r="E4197" s="217">
        <v>45170</v>
      </c>
      <c r="F4197">
        <v>16914.721003333299</v>
      </c>
      <c r="G4197" t="s">
        <v>260</v>
      </c>
    </row>
    <row r="4198" spans="1:7">
      <c r="A4198" s="216">
        <v>45170</v>
      </c>
      <c r="B4198" t="s">
        <v>49</v>
      </c>
      <c r="C4198">
        <v>26</v>
      </c>
      <c r="D4198" t="s">
        <v>438</v>
      </c>
      <c r="E4198" s="217">
        <v>45170</v>
      </c>
      <c r="F4198">
        <v>16929.7250033333</v>
      </c>
      <c r="G4198" t="s">
        <v>261</v>
      </c>
    </row>
    <row r="4199" spans="1:7">
      <c r="A4199" s="216">
        <v>45170</v>
      </c>
      <c r="B4199" t="s">
        <v>49</v>
      </c>
      <c r="C4199">
        <v>26</v>
      </c>
      <c r="D4199" t="s">
        <v>438</v>
      </c>
      <c r="E4199" s="217">
        <v>45170</v>
      </c>
      <c r="F4199">
        <v>27691.4930033333</v>
      </c>
      <c r="G4199" t="s">
        <v>262</v>
      </c>
    </row>
    <row r="4200" spans="1:7">
      <c r="A4200" s="216">
        <v>45170</v>
      </c>
      <c r="B4200" t="s">
        <v>49</v>
      </c>
      <c r="C4200">
        <v>26</v>
      </c>
      <c r="D4200" t="s">
        <v>438</v>
      </c>
      <c r="E4200" s="217">
        <v>45170</v>
      </c>
      <c r="F4200">
        <v>208796.84198999999</v>
      </c>
      <c r="G4200" t="s">
        <v>434</v>
      </c>
    </row>
    <row r="4201" spans="1:7">
      <c r="A4201" s="216">
        <v>45170</v>
      </c>
      <c r="B4201" t="s">
        <v>49</v>
      </c>
      <c r="C4201">
        <v>27</v>
      </c>
      <c r="D4201" t="s">
        <v>446</v>
      </c>
      <c r="E4201" s="217">
        <v>45170</v>
      </c>
      <c r="F4201">
        <v>1.1630000000041001</v>
      </c>
      <c r="G4201" t="s">
        <v>251</v>
      </c>
    </row>
    <row r="4202" spans="1:7">
      <c r="A4202" s="216">
        <v>45170</v>
      </c>
      <c r="B4202" t="s">
        <v>49</v>
      </c>
      <c r="C4202">
        <v>27</v>
      </c>
      <c r="D4202" t="s">
        <v>446</v>
      </c>
      <c r="E4202" s="217">
        <v>45170</v>
      </c>
      <c r="F4202">
        <v>2.8659999999999899</v>
      </c>
      <c r="G4202" t="s">
        <v>252</v>
      </c>
    </row>
    <row r="4203" spans="1:7">
      <c r="A4203" s="216">
        <v>45170</v>
      </c>
      <c r="B4203" t="s">
        <v>49</v>
      </c>
      <c r="C4203">
        <v>27</v>
      </c>
      <c r="D4203" t="s">
        <v>446</v>
      </c>
      <c r="E4203" s="217">
        <v>45170</v>
      </c>
      <c r="F4203">
        <v>-1.7975200000000799</v>
      </c>
      <c r="G4203" t="s">
        <v>253</v>
      </c>
    </row>
    <row r="4204" spans="1:7">
      <c r="A4204" s="216">
        <v>45170</v>
      </c>
      <c r="B4204" t="s">
        <v>49</v>
      </c>
      <c r="C4204">
        <v>27</v>
      </c>
      <c r="D4204" t="s">
        <v>446</v>
      </c>
      <c r="E4204" s="217">
        <v>45170</v>
      </c>
      <c r="F4204">
        <v>2.2329700000009298</v>
      </c>
      <c r="G4204" t="s">
        <v>254</v>
      </c>
    </row>
    <row r="4205" spans="1:7">
      <c r="A4205" s="216">
        <v>45170</v>
      </c>
      <c r="B4205" t="s">
        <v>49</v>
      </c>
      <c r="C4205">
        <v>27</v>
      </c>
      <c r="D4205" t="s">
        <v>446</v>
      </c>
      <c r="E4205" s="217">
        <v>45170</v>
      </c>
      <c r="F4205">
        <v>0.89400000000023305</v>
      </c>
      <c r="G4205" t="s">
        <v>255</v>
      </c>
    </row>
    <row r="4206" spans="1:7">
      <c r="A4206" s="216">
        <v>45170</v>
      </c>
      <c r="B4206" t="s">
        <v>49</v>
      </c>
      <c r="C4206">
        <v>27</v>
      </c>
      <c r="D4206" t="s">
        <v>446</v>
      </c>
      <c r="E4206" s="217">
        <v>45170</v>
      </c>
      <c r="F4206">
        <v>1.3389500000012</v>
      </c>
      <c r="G4206" t="s">
        <v>256</v>
      </c>
    </row>
    <row r="4207" spans="1:7">
      <c r="A4207" s="216">
        <v>45170</v>
      </c>
      <c r="B4207" t="s">
        <v>49</v>
      </c>
      <c r="C4207">
        <v>27</v>
      </c>
      <c r="D4207" t="s">
        <v>446</v>
      </c>
      <c r="E4207" s="217">
        <v>45170</v>
      </c>
      <c r="F4207">
        <v>-6.9999999999963602</v>
      </c>
      <c r="G4207" t="s">
        <v>257</v>
      </c>
    </row>
    <row r="4208" spans="1:7">
      <c r="A4208" s="216">
        <v>45170</v>
      </c>
      <c r="B4208" t="s">
        <v>49</v>
      </c>
      <c r="C4208">
        <v>27</v>
      </c>
      <c r="D4208" t="s">
        <v>446</v>
      </c>
      <c r="E4208" s="217">
        <v>45170</v>
      </c>
      <c r="F4208">
        <v>0</v>
      </c>
      <c r="G4208" t="s">
        <v>258</v>
      </c>
    </row>
    <row r="4209" spans="1:7">
      <c r="A4209" s="216">
        <v>45170</v>
      </c>
      <c r="B4209" t="s">
        <v>49</v>
      </c>
      <c r="C4209">
        <v>27</v>
      </c>
      <c r="D4209" t="s">
        <v>446</v>
      </c>
      <c r="E4209" s="217">
        <v>45170</v>
      </c>
      <c r="F4209">
        <v>0</v>
      </c>
      <c r="G4209" t="s">
        <v>259</v>
      </c>
    </row>
    <row r="4210" spans="1:7">
      <c r="A4210" s="216">
        <v>45170</v>
      </c>
      <c r="B4210" t="s">
        <v>49</v>
      </c>
      <c r="C4210">
        <v>27</v>
      </c>
      <c r="D4210" t="s">
        <v>446</v>
      </c>
      <c r="E4210" s="217">
        <v>45170</v>
      </c>
      <c r="F4210">
        <v>0</v>
      </c>
      <c r="G4210" t="s">
        <v>260</v>
      </c>
    </row>
    <row r="4211" spans="1:7">
      <c r="A4211" s="216">
        <v>45170</v>
      </c>
      <c r="B4211" t="s">
        <v>49</v>
      </c>
      <c r="C4211">
        <v>27</v>
      </c>
      <c r="D4211" t="s">
        <v>446</v>
      </c>
      <c r="E4211" s="217">
        <v>45170</v>
      </c>
      <c r="F4211">
        <v>0</v>
      </c>
      <c r="G4211" t="s">
        <v>261</v>
      </c>
    </row>
    <row r="4212" spans="1:7">
      <c r="A4212" s="216">
        <v>45170</v>
      </c>
      <c r="B4212" t="s">
        <v>49</v>
      </c>
      <c r="C4212">
        <v>27</v>
      </c>
      <c r="D4212" t="s">
        <v>446</v>
      </c>
      <c r="E4212" s="217">
        <v>45170</v>
      </c>
      <c r="F4212" s="218">
        <v>3.6379788070917101E-12</v>
      </c>
      <c r="G4212" t="s">
        <v>262</v>
      </c>
    </row>
    <row r="4213" spans="1:7">
      <c r="A4213" s="216">
        <v>45170</v>
      </c>
      <c r="B4213" t="s">
        <v>49</v>
      </c>
      <c r="C4213">
        <v>27</v>
      </c>
      <c r="D4213" t="s">
        <v>446</v>
      </c>
      <c r="E4213" s="217">
        <v>45170</v>
      </c>
      <c r="F4213">
        <v>-0.30259999996633302</v>
      </c>
      <c r="G4213" t="s">
        <v>434</v>
      </c>
    </row>
    <row r="4214" spans="1:7">
      <c r="A4214" s="216">
        <v>45170</v>
      </c>
      <c r="B4214" t="s">
        <v>50</v>
      </c>
      <c r="C4214">
        <v>1</v>
      </c>
      <c r="D4214" t="s">
        <v>453</v>
      </c>
      <c r="E4214" s="217">
        <v>45170</v>
      </c>
      <c r="F4214">
        <v>0</v>
      </c>
      <c r="G4214" t="s">
        <v>251</v>
      </c>
    </row>
    <row r="4215" spans="1:7">
      <c r="A4215" s="216">
        <v>45170</v>
      </c>
      <c r="B4215" t="s">
        <v>50</v>
      </c>
      <c r="C4215">
        <v>1</v>
      </c>
      <c r="D4215" t="s">
        <v>453</v>
      </c>
      <c r="E4215" s="217">
        <v>45170</v>
      </c>
      <c r="F4215">
        <v>0</v>
      </c>
      <c r="G4215" t="s">
        <v>252</v>
      </c>
    </row>
    <row r="4216" spans="1:7">
      <c r="A4216" s="216">
        <v>45170</v>
      </c>
      <c r="B4216" t="s">
        <v>50</v>
      </c>
      <c r="C4216">
        <v>1</v>
      </c>
      <c r="D4216" t="s">
        <v>453</v>
      </c>
      <c r="E4216" s="217">
        <v>45170</v>
      </c>
      <c r="F4216">
        <v>0</v>
      </c>
      <c r="G4216" t="s">
        <v>253</v>
      </c>
    </row>
    <row r="4217" spans="1:7">
      <c r="A4217" s="216">
        <v>45170</v>
      </c>
      <c r="B4217" t="s">
        <v>50</v>
      </c>
      <c r="C4217">
        <v>1</v>
      </c>
      <c r="D4217" t="s">
        <v>453</v>
      </c>
      <c r="E4217" s="217">
        <v>45170</v>
      </c>
      <c r="F4217">
        <v>0</v>
      </c>
      <c r="G4217" t="s">
        <v>254</v>
      </c>
    </row>
    <row r="4218" spans="1:7">
      <c r="A4218" s="216">
        <v>45170</v>
      </c>
      <c r="B4218" t="s">
        <v>50</v>
      </c>
      <c r="C4218">
        <v>1</v>
      </c>
      <c r="D4218" t="s">
        <v>453</v>
      </c>
      <c r="E4218" s="217">
        <v>45170</v>
      </c>
      <c r="F4218">
        <v>0</v>
      </c>
      <c r="G4218" t="s">
        <v>255</v>
      </c>
    </row>
    <row r="4219" spans="1:7">
      <c r="A4219" s="216">
        <v>45170</v>
      </c>
      <c r="B4219" t="s">
        <v>50</v>
      </c>
      <c r="C4219">
        <v>1</v>
      </c>
      <c r="D4219" t="s">
        <v>453</v>
      </c>
      <c r="E4219" s="217">
        <v>45170</v>
      </c>
      <c r="F4219">
        <v>0</v>
      </c>
      <c r="G4219" t="s">
        <v>256</v>
      </c>
    </row>
    <row r="4220" spans="1:7">
      <c r="A4220" s="216">
        <v>45170</v>
      </c>
      <c r="B4220" t="s">
        <v>50</v>
      </c>
      <c r="C4220">
        <v>1</v>
      </c>
      <c r="D4220" t="s">
        <v>453</v>
      </c>
      <c r="E4220" s="217">
        <v>45170</v>
      </c>
      <c r="F4220">
        <v>0</v>
      </c>
      <c r="G4220" t="s">
        <v>257</v>
      </c>
    </row>
    <row r="4221" spans="1:7">
      <c r="A4221" s="216">
        <v>45170</v>
      </c>
      <c r="B4221" t="s">
        <v>50</v>
      </c>
      <c r="C4221">
        <v>1</v>
      </c>
      <c r="D4221" t="s">
        <v>453</v>
      </c>
      <c r="E4221" s="217">
        <v>45170</v>
      </c>
      <c r="F4221">
        <v>0</v>
      </c>
      <c r="G4221" t="s">
        <v>258</v>
      </c>
    </row>
    <row r="4222" spans="1:7">
      <c r="A4222" s="216">
        <v>45170</v>
      </c>
      <c r="B4222" t="s">
        <v>50</v>
      </c>
      <c r="C4222">
        <v>1</v>
      </c>
      <c r="D4222" t="s">
        <v>453</v>
      </c>
      <c r="E4222" s="217">
        <v>45170</v>
      </c>
      <c r="F4222">
        <v>0</v>
      </c>
      <c r="G4222" t="s">
        <v>259</v>
      </c>
    </row>
    <row r="4223" spans="1:7">
      <c r="A4223" s="216">
        <v>45170</v>
      </c>
      <c r="B4223" t="s">
        <v>50</v>
      </c>
      <c r="C4223">
        <v>1</v>
      </c>
      <c r="D4223" t="s">
        <v>453</v>
      </c>
      <c r="E4223" s="217">
        <v>45170</v>
      </c>
      <c r="F4223">
        <v>0</v>
      </c>
      <c r="G4223" t="s">
        <v>260</v>
      </c>
    </row>
    <row r="4224" spans="1:7">
      <c r="A4224" s="216">
        <v>45170</v>
      </c>
      <c r="B4224" t="s">
        <v>50</v>
      </c>
      <c r="C4224">
        <v>1</v>
      </c>
      <c r="D4224" t="s">
        <v>453</v>
      </c>
      <c r="E4224" s="217">
        <v>45170</v>
      </c>
      <c r="F4224">
        <v>0</v>
      </c>
      <c r="G4224" t="s">
        <v>261</v>
      </c>
    </row>
    <row r="4225" spans="1:7">
      <c r="A4225" s="216">
        <v>45170</v>
      </c>
      <c r="B4225" t="s">
        <v>50</v>
      </c>
      <c r="C4225">
        <v>1</v>
      </c>
      <c r="D4225" t="s">
        <v>453</v>
      </c>
      <c r="E4225" s="217">
        <v>45170</v>
      </c>
      <c r="F4225">
        <v>0</v>
      </c>
      <c r="G4225" t="s">
        <v>262</v>
      </c>
    </row>
    <row r="4226" spans="1:7">
      <c r="A4226" s="216">
        <v>45170</v>
      </c>
      <c r="B4226" t="s">
        <v>50</v>
      </c>
      <c r="C4226">
        <v>1</v>
      </c>
      <c r="D4226" t="s">
        <v>453</v>
      </c>
      <c r="E4226" s="217">
        <v>45170</v>
      </c>
      <c r="F4226">
        <v>0</v>
      </c>
      <c r="G4226" t="s">
        <v>434</v>
      </c>
    </row>
    <row r="4227" spans="1:7">
      <c r="A4227" s="216">
        <v>45170</v>
      </c>
      <c r="B4227" t="s">
        <v>50</v>
      </c>
      <c r="C4227">
        <v>2</v>
      </c>
      <c r="D4227" t="s">
        <v>436</v>
      </c>
      <c r="E4227" s="217">
        <v>45170</v>
      </c>
      <c r="F4227">
        <v>0</v>
      </c>
      <c r="G4227" t="s">
        <v>251</v>
      </c>
    </row>
    <row r="4228" spans="1:7">
      <c r="A4228" s="216">
        <v>45170</v>
      </c>
      <c r="B4228" t="s">
        <v>50</v>
      </c>
      <c r="C4228">
        <v>2</v>
      </c>
      <c r="D4228" t="s">
        <v>436</v>
      </c>
      <c r="E4228" s="217">
        <v>45170</v>
      </c>
      <c r="F4228">
        <v>0</v>
      </c>
      <c r="G4228" t="s">
        <v>252</v>
      </c>
    </row>
    <row r="4229" spans="1:7">
      <c r="A4229" s="216">
        <v>45170</v>
      </c>
      <c r="B4229" t="s">
        <v>50</v>
      </c>
      <c r="C4229">
        <v>2</v>
      </c>
      <c r="D4229" t="s">
        <v>436</v>
      </c>
      <c r="E4229" s="217">
        <v>45170</v>
      </c>
      <c r="F4229">
        <v>0</v>
      </c>
      <c r="G4229" t="s">
        <v>253</v>
      </c>
    </row>
    <row r="4230" spans="1:7">
      <c r="A4230" s="216">
        <v>45170</v>
      </c>
      <c r="B4230" t="s">
        <v>50</v>
      </c>
      <c r="C4230">
        <v>2</v>
      </c>
      <c r="D4230" t="s">
        <v>436</v>
      </c>
      <c r="E4230" s="217">
        <v>45170</v>
      </c>
      <c r="F4230">
        <v>0</v>
      </c>
      <c r="G4230" t="s">
        <v>254</v>
      </c>
    </row>
    <row r="4231" spans="1:7">
      <c r="A4231" s="216">
        <v>45170</v>
      </c>
      <c r="B4231" t="s">
        <v>50</v>
      </c>
      <c r="C4231">
        <v>2</v>
      </c>
      <c r="D4231" t="s">
        <v>436</v>
      </c>
      <c r="E4231" s="217">
        <v>45170</v>
      </c>
      <c r="F4231">
        <v>0</v>
      </c>
      <c r="G4231" t="s">
        <v>255</v>
      </c>
    </row>
    <row r="4232" spans="1:7">
      <c r="A4232" s="216">
        <v>45170</v>
      </c>
      <c r="B4232" t="s">
        <v>50</v>
      </c>
      <c r="C4232">
        <v>2</v>
      </c>
      <c r="D4232" t="s">
        <v>436</v>
      </c>
      <c r="E4232" s="217">
        <v>45170</v>
      </c>
      <c r="F4232">
        <v>0</v>
      </c>
      <c r="G4232" t="s">
        <v>256</v>
      </c>
    </row>
    <row r="4233" spans="1:7">
      <c r="A4233" s="216">
        <v>45170</v>
      </c>
      <c r="B4233" t="s">
        <v>50</v>
      </c>
      <c r="C4233">
        <v>2</v>
      </c>
      <c r="D4233" t="s">
        <v>436</v>
      </c>
      <c r="E4233" s="217">
        <v>45170</v>
      </c>
      <c r="F4233">
        <v>0</v>
      </c>
      <c r="G4233" t="s">
        <v>257</v>
      </c>
    </row>
    <row r="4234" spans="1:7">
      <c r="A4234" s="216">
        <v>45170</v>
      </c>
      <c r="B4234" t="s">
        <v>50</v>
      </c>
      <c r="C4234">
        <v>2</v>
      </c>
      <c r="D4234" t="s">
        <v>436</v>
      </c>
      <c r="E4234" s="217">
        <v>45170</v>
      </c>
      <c r="F4234">
        <v>0</v>
      </c>
      <c r="G4234" t="s">
        <v>258</v>
      </c>
    </row>
    <row r="4235" spans="1:7">
      <c r="A4235" s="216">
        <v>45170</v>
      </c>
      <c r="B4235" t="s">
        <v>50</v>
      </c>
      <c r="C4235">
        <v>2</v>
      </c>
      <c r="D4235" t="s">
        <v>436</v>
      </c>
      <c r="E4235" s="217">
        <v>45170</v>
      </c>
      <c r="F4235">
        <v>0</v>
      </c>
      <c r="G4235" t="s">
        <v>259</v>
      </c>
    </row>
    <row r="4236" spans="1:7">
      <c r="A4236" s="216">
        <v>45170</v>
      </c>
      <c r="B4236" t="s">
        <v>50</v>
      </c>
      <c r="C4236">
        <v>2</v>
      </c>
      <c r="D4236" t="s">
        <v>436</v>
      </c>
      <c r="E4236" s="217">
        <v>45170</v>
      </c>
      <c r="F4236">
        <v>0</v>
      </c>
      <c r="G4236" t="s">
        <v>260</v>
      </c>
    </row>
    <row r="4237" spans="1:7">
      <c r="A4237" s="216">
        <v>45170</v>
      </c>
      <c r="B4237" t="s">
        <v>50</v>
      </c>
      <c r="C4237">
        <v>2</v>
      </c>
      <c r="D4237" t="s">
        <v>436</v>
      </c>
      <c r="E4237" s="217">
        <v>45170</v>
      </c>
      <c r="F4237">
        <v>0</v>
      </c>
      <c r="G4237" t="s">
        <v>261</v>
      </c>
    </row>
    <row r="4238" spans="1:7">
      <c r="A4238" s="216">
        <v>45170</v>
      </c>
      <c r="B4238" t="s">
        <v>50</v>
      </c>
      <c r="C4238">
        <v>2</v>
      </c>
      <c r="D4238" t="s">
        <v>436</v>
      </c>
      <c r="E4238" s="217">
        <v>45170</v>
      </c>
      <c r="F4238">
        <v>0</v>
      </c>
      <c r="G4238" t="s">
        <v>262</v>
      </c>
    </row>
    <row r="4239" spans="1:7">
      <c r="A4239" s="216">
        <v>45170</v>
      </c>
      <c r="B4239" t="s">
        <v>50</v>
      </c>
      <c r="C4239">
        <v>2</v>
      </c>
      <c r="D4239" t="s">
        <v>436</v>
      </c>
      <c r="E4239" s="217">
        <v>45170</v>
      </c>
      <c r="F4239">
        <v>0</v>
      </c>
      <c r="G4239" t="s">
        <v>434</v>
      </c>
    </row>
    <row r="4240" spans="1:7">
      <c r="A4240" s="216">
        <v>45170</v>
      </c>
      <c r="B4240" t="s">
        <v>50</v>
      </c>
      <c r="C4240">
        <v>3</v>
      </c>
      <c r="D4240" t="s">
        <v>459</v>
      </c>
      <c r="E4240" s="217">
        <v>45170</v>
      </c>
      <c r="F4240">
        <v>1330</v>
      </c>
      <c r="G4240" t="s">
        <v>251</v>
      </c>
    </row>
    <row r="4241" spans="1:7">
      <c r="A4241" s="216">
        <v>45170</v>
      </c>
      <c r="B4241" t="s">
        <v>50</v>
      </c>
      <c r="C4241">
        <v>3</v>
      </c>
      <c r="D4241" t="s">
        <v>459</v>
      </c>
      <c r="E4241" s="217">
        <v>45170</v>
      </c>
      <c r="F4241">
        <v>1393</v>
      </c>
      <c r="G4241" t="s">
        <v>252</v>
      </c>
    </row>
    <row r="4242" spans="1:7">
      <c r="A4242" s="216">
        <v>45170</v>
      </c>
      <c r="B4242" t="s">
        <v>50</v>
      </c>
      <c r="C4242">
        <v>3</v>
      </c>
      <c r="D4242" t="s">
        <v>459</v>
      </c>
      <c r="E4242" s="217">
        <v>45170</v>
      </c>
      <c r="F4242">
        <v>1501</v>
      </c>
      <c r="G4242" t="s">
        <v>253</v>
      </c>
    </row>
    <row r="4243" spans="1:7">
      <c r="A4243" s="216">
        <v>45170</v>
      </c>
      <c r="B4243" t="s">
        <v>50</v>
      </c>
      <c r="C4243">
        <v>3</v>
      </c>
      <c r="D4243" t="s">
        <v>459</v>
      </c>
      <c r="E4243" s="217">
        <v>45170</v>
      </c>
      <c r="F4243">
        <v>1376</v>
      </c>
      <c r="G4243" t="s">
        <v>254</v>
      </c>
    </row>
    <row r="4244" spans="1:7">
      <c r="A4244" s="216">
        <v>45170</v>
      </c>
      <c r="B4244" t="s">
        <v>50</v>
      </c>
      <c r="C4244">
        <v>3</v>
      </c>
      <c r="D4244" t="s">
        <v>459</v>
      </c>
      <c r="E4244" s="217">
        <v>45170</v>
      </c>
      <c r="F4244">
        <v>1371</v>
      </c>
      <c r="G4244" t="s">
        <v>255</v>
      </c>
    </row>
    <row r="4245" spans="1:7">
      <c r="A4245" s="216">
        <v>45170</v>
      </c>
      <c r="B4245" t="s">
        <v>50</v>
      </c>
      <c r="C4245">
        <v>3</v>
      </c>
      <c r="D4245" t="s">
        <v>459</v>
      </c>
      <c r="E4245" s="217">
        <v>45170</v>
      </c>
      <c r="F4245">
        <v>1493</v>
      </c>
      <c r="G4245" t="s">
        <v>256</v>
      </c>
    </row>
    <row r="4246" spans="1:7">
      <c r="A4246" s="216">
        <v>45170</v>
      </c>
      <c r="B4246" t="s">
        <v>50</v>
      </c>
      <c r="C4246">
        <v>3</v>
      </c>
      <c r="D4246" t="s">
        <v>459</v>
      </c>
      <c r="E4246" s="217">
        <v>45170</v>
      </c>
      <c r="F4246">
        <v>1166</v>
      </c>
      <c r="G4246" t="s">
        <v>257</v>
      </c>
    </row>
    <row r="4247" spans="1:7">
      <c r="A4247" s="216">
        <v>45170</v>
      </c>
      <c r="B4247" t="s">
        <v>50</v>
      </c>
      <c r="C4247">
        <v>3</v>
      </c>
      <c r="D4247" t="s">
        <v>459</v>
      </c>
      <c r="E4247" s="217">
        <v>45170</v>
      </c>
      <c r="F4247">
        <v>1166</v>
      </c>
      <c r="G4247" t="s">
        <v>258</v>
      </c>
    </row>
    <row r="4248" spans="1:7">
      <c r="A4248" s="216">
        <v>45170</v>
      </c>
      <c r="B4248" t="s">
        <v>50</v>
      </c>
      <c r="C4248">
        <v>3</v>
      </c>
      <c r="D4248" t="s">
        <v>459</v>
      </c>
      <c r="E4248" s="217">
        <v>45170</v>
      </c>
      <c r="F4248">
        <v>1166</v>
      </c>
      <c r="G4248" t="s">
        <v>259</v>
      </c>
    </row>
    <row r="4249" spans="1:7">
      <c r="A4249" s="216">
        <v>45170</v>
      </c>
      <c r="B4249" t="s">
        <v>50</v>
      </c>
      <c r="C4249">
        <v>3</v>
      </c>
      <c r="D4249" t="s">
        <v>459</v>
      </c>
      <c r="E4249" s="217">
        <v>45170</v>
      </c>
      <c r="F4249">
        <v>1166</v>
      </c>
      <c r="G4249" t="s">
        <v>260</v>
      </c>
    </row>
    <row r="4250" spans="1:7">
      <c r="A4250" s="216">
        <v>45170</v>
      </c>
      <c r="B4250" t="s">
        <v>50</v>
      </c>
      <c r="C4250">
        <v>3</v>
      </c>
      <c r="D4250" t="s">
        <v>459</v>
      </c>
      <c r="E4250" s="217">
        <v>45170</v>
      </c>
      <c r="F4250">
        <v>1166</v>
      </c>
      <c r="G4250" t="s">
        <v>261</v>
      </c>
    </row>
    <row r="4251" spans="1:7">
      <c r="A4251" s="216">
        <v>45170</v>
      </c>
      <c r="B4251" t="s">
        <v>50</v>
      </c>
      <c r="C4251">
        <v>3</v>
      </c>
      <c r="D4251" t="s">
        <v>459</v>
      </c>
      <c r="E4251" s="217">
        <v>45170</v>
      </c>
      <c r="F4251">
        <v>1166</v>
      </c>
      <c r="G4251" t="s">
        <v>262</v>
      </c>
    </row>
    <row r="4252" spans="1:7">
      <c r="A4252" s="216">
        <v>45170</v>
      </c>
      <c r="B4252" t="s">
        <v>50</v>
      </c>
      <c r="C4252">
        <v>3</v>
      </c>
      <c r="D4252" t="s">
        <v>459</v>
      </c>
      <c r="E4252" s="217">
        <v>45170</v>
      </c>
      <c r="F4252">
        <v>15460</v>
      </c>
      <c r="G4252" t="s">
        <v>434</v>
      </c>
    </row>
    <row r="4253" spans="1:7">
      <c r="A4253" s="216">
        <v>45170</v>
      </c>
      <c r="B4253" t="s">
        <v>50</v>
      </c>
      <c r="C4253">
        <v>4</v>
      </c>
      <c r="D4253" t="s">
        <v>460</v>
      </c>
      <c r="E4253" s="217">
        <v>45170</v>
      </c>
      <c r="F4253">
        <v>18861</v>
      </c>
      <c r="G4253" t="s">
        <v>251</v>
      </c>
    </row>
    <row r="4254" spans="1:7">
      <c r="A4254" s="216">
        <v>45170</v>
      </c>
      <c r="B4254" t="s">
        <v>50</v>
      </c>
      <c r="C4254">
        <v>4</v>
      </c>
      <c r="D4254" t="s">
        <v>460</v>
      </c>
      <c r="E4254" s="217">
        <v>45170</v>
      </c>
      <c r="F4254">
        <v>20618</v>
      </c>
      <c r="G4254" t="s">
        <v>252</v>
      </c>
    </row>
    <row r="4255" spans="1:7">
      <c r="A4255" s="216">
        <v>45170</v>
      </c>
      <c r="B4255" t="s">
        <v>50</v>
      </c>
      <c r="C4255">
        <v>4</v>
      </c>
      <c r="D4255" t="s">
        <v>460</v>
      </c>
      <c r="E4255" s="217">
        <v>45170</v>
      </c>
      <c r="F4255">
        <v>20419</v>
      </c>
      <c r="G4255" t="s">
        <v>253</v>
      </c>
    </row>
    <row r="4256" spans="1:7">
      <c r="A4256" s="216">
        <v>45170</v>
      </c>
      <c r="B4256" t="s">
        <v>50</v>
      </c>
      <c r="C4256">
        <v>4</v>
      </c>
      <c r="D4256" t="s">
        <v>460</v>
      </c>
      <c r="E4256" s="217">
        <v>45170</v>
      </c>
      <c r="F4256">
        <v>19423</v>
      </c>
      <c r="G4256" t="s">
        <v>254</v>
      </c>
    </row>
    <row r="4257" spans="1:7">
      <c r="A4257" s="216">
        <v>45170</v>
      </c>
      <c r="B4257" t="s">
        <v>50</v>
      </c>
      <c r="C4257">
        <v>4</v>
      </c>
      <c r="D4257" t="s">
        <v>460</v>
      </c>
      <c r="E4257" s="217">
        <v>45170</v>
      </c>
      <c r="F4257">
        <v>20293</v>
      </c>
      <c r="G4257" t="s">
        <v>255</v>
      </c>
    </row>
    <row r="4258" spans="1:7">
      <c r="A4258" s="216">
        <v>45170</v>
      </c>
      <c r="B4258" t="s">
        <v>50</v>
      </c>
      <c r="C4258">
        <v>4</v>
      </c>
      <c r="D4258" t="s">
        <v>460</v>
      </c>
      <c r="E4258" s="217">
        <v>45170</v>
      </c>
      <c r="F4258">
        <v>19701</v>
      </c>
      <c r="G4258" t="s">
        <v>256</v>
      </c>
    </row>
    <row r="4259" spans="1:7">
      <c r="A4259" s="216">
        <v>45170</v>
      </c>
      <c r="B4259" t="s">
        <v>50</v>
      </c>
      <c r="C4259">
        <v>4</v>
      </c>
      <c r="D4259" t="s">
        <v>460</v>
      </c>
      <c r="E4259" s="217">
        <v>45170</v>
      </c>
      <c r="F4259">
        <v>21204</v>
      </c>
      <c r="G4259" t="s">
        <v>257</v>
      </c>
    </row>
    <row r="4260" spans="1:7">
      <c r="A4260" s="216">
        <v>45170</v>
      </c>
      <c r="B4260" t="s">
        <v>50</v>
      </c>
      <c r="C4260">
        <v>4</v>
      </c>
      <c r="D4260" t="s">
        <v>460</v>
      </c>
      <c r="E4260" s="217">
        <v>45170</v>
      </c>
      <c r="F4260">
        <v>21204</v>
      </c>
      <c r="G4260" t="s">
        <v>258</v>
      </c>
    </row>
    <row r="4261" spans="1:7">
      <c r="A4261" s="216">
        <v>45170</v>
      </c>
      <c r="B4261" t="s">
        <v>50</v>
      </c>
      <c r="C4261">
        <v>4</v>
      </c>
      <c r="D4261" t="s">
        <v>460</v>
      </c>
      <c r="E4261" s="217">
        <v>45170</v>
      </c>
      <c r="F4261">
        <v>21204</v>
      </c>
      <c r="G4261" t="s">
        <v>259</v>
      </c>
    </row>
    <row r="4262" spans="1:7">
      <c r="A4262" s="216">
        <v>45170</v>
      </c>
      <c r="B4262" t="s">
        <v>50</v>
      </c>
      <c r="C4262">
        <v>4</v>
      </c>
      <c r="D4262" t="s">
        <v>460</v>
      </c>
      <c r="E4262" s="217">
        <v>45170</v>
      </c>
      <c r="F4262">
        <v>21205</v>
      </c>
      <c r="G4262" t="s">
        <v>260</v>
      </c>
    </row>
    <row r="4263" spans="1:7">
      <c r="A4263" s="216">
        <v>45170</v>
      </c>
      <c r="B4263" t="s">
        <v>50</v>
      </c>
      <c r="C4263">
        <v>4</v>
      </c>
      <c r="D4263" t="s">
        <v>460</v>
      </c>
      <c r="E4263" s="217">
        <v>45170</v>
      </c>
      <c r="F4263">
        <v>21205</v>
      </c>
      <c r="G4263" t="s">
        <v>261</v>
      </c>
    </row>
    <row r="4264" spans="1:7">
      <c r="A4264" s="216">
        <v>45170</v>
      </c>
      <c r="B4264" t="s">
        <v>50</v>
      </c>
      <c r="C4264">
        <v>4</v>
      </c>
      <c r="D4264" t="s">
        <v>460</v>
      </c>
      <c r="E4264" s="217">
        <v>45170</v>
      </c>
      <c r="F4264">
        <v>21205</v>
      </c>
      <c r="G4264" t="s">
        <v>262</v>
      </c>
    </row>
    <row r="4265" spans="1:7">
      <c r="A4265" s="216">
        <v>45170</v>
      </c>
      <c r="B4265" t="s">
        <v>50</v>
      </c>
      <c r="C4265">
        <v>4</v>
      </c>
      <c r="D4265" t="s">
        <v>460</v>
      </c>
      <c r="E4265" s="217">
        <v>45170</v>
      </c>
      <c r="F4265">
        <v>246542</v>
      </c>
      <c r="G4265" t="s">
        <v>434</v>
      </c>
    </row>
    <row r="4266" spans="1:7">
      <c r="A4266" s="216">
        <v>45170</v>
      </c>
      <c r="B4266" t="s">
        <v>50</v>
      </c>
      <c r="C4266">
        <v>5</v>
      </c>
      <c r="D4266" t="s">
        <v>458</v>
      </c>
      <c r="E4266" s="217">
        <v>45170</v>
      </c>
      <c r="F4266">
        <v>867</v>
      </c>
      <c r="G4266" t="s">
        <v>251</v>
      </c>
    </row>
    <row r="4267" spans="1:7">
      <c r="A4267" s="216">
        <v>45170</v>
      </c>
      <c r="B4267" t="s">
        <v>50</v>
      </c>
      <c r="C4267">
        <v>5</v>
      </c>
      <c r="D4267" t="s">
        <v>458</v>
      </c>
      <c r="E4267" s="217">
        <v>45170</v>
      </c>
      <c r="F4267">
        <v>1162</v>
      </c>
      <c r="G4267" t="s">
        <v>252</v>
      </c>
    </row>
    <row r="4268" spans="1:7">
      <c r="A4268" s="216">
        <v>45170</v>
      </c>
      <c r="B4268" t="s">
        <v>50</v>
      </c>
      <c r="C4268">
        <v>5</v>
      </c>
      <c r="D4268" t="s">
        <v>458</v>
      </c>
      <c r="E4268" s="217">
        <v>45170</v>
      </c>
      <c r="F4268">
        <v>6186</v>
      </c>
      <c r="G4268" t="s">
        <v>253</v>
      </c>
    </row>
    <row r="4269" spans="1:7">
      <c r="A4269" s="216">
        <v>45170</v>
      </c>
      <c r="B4269" t="s">
        <v>50</v>
      </c>
      <c r="C4269">
        <v>5</v>
      </c>
      <c r="D4269" t="s">
        <v>458</v>
      </c>
      <c r="E4269" s="217">
        <v>45170</v>
      </c>
      <c r="F4269">
        <v>4814</v>
      </c>
      <c r="G4269" t="s">
        <v>254</v>
      </c>
    </row>
    <row r="4270" spans="1:7">
      <c r="A4270" s="216">
        <v>45170</v>
      </c>
      <c r="B4270" t="s">
        <v>50</v>
      </c>
      <c r="C4270">
        <v>5</v>
      </c>
      <c r="D4270" t="s">
        <v>458</v>
      </c>
      <c r="E4270" s="217">
        <v>45170</v>
      </c>
      <c r="F4270">
        <v>1835</v>
      </c>
      <c r="G4270" t="s">
        <v>255</v>
      </c>
    </row>
    <row r="4271" spans="1:7">
      <c r="A4271" s="216">
        <v>45170</v>
      </c>
      <c r="B4271" t="s">
        <v>50</v>
      </c>
      <c r="C4271">
        <v>5</v>
      </c>
      <c r="D4271" t="s">
        <v>458</v>
      </c>
      <c r="E4271" s="217">
        <v>45170</v>
      </c>
      <c r="F4271">
        <v>1831</v>
      </c>
      <c r="G4271" t="s">
        <v>256</v>
      </c>
    </row>
    <row r="4272" spans="1:7">
      <c r="A4272" s="216">
        <v>45170</v>
      </c>
      <c r="B4272" t="s">
        <v>50</v>
      </c>
      <c r="C4272">
        <v>5</v>
      </c>
      <c r="D4272" t="s">
        <v>458</v>
      </c>
      <c r="E4272" s="217">
        <v>45170</v>
      </c>
      <c r="F4272">
        <v>2112</v>
      </c>
      <c r="G4272" t="s">
        <v>257</v>
      </c>
    </row>
    <row r="4273" spans="1:7">
      <c r="A4273" s="216">
        <v>45170</v>
      </c>
      <c r="B4273" t="s">
        <v>50</v>
      </c>
      <c r="C4273">
        <v>5</v>
      </c>
      <c r="D4273" t="s">
        <v>458</v>
      </c>
      <c r="E4273" s="217">
        <v>45170</v>
      </c>
      <c r="F4273">
        <v>2111</v>
      </c>
      <c r="G4273" t="s">
        <v>258</v>
      </c>
    </row>
    <row r="4274" spans="1:7">
      <c r="A4274" s="216">
        <v>45170</v>
      </c>
      <c r="B4274" t="s">
        <v>50</v>
      </c>
      <c r="C4274">
        <v>5</v>
      </c>
      <c r="D4274" t="s">
        <v>458</v>
      </c>
      <c r="E4274" s="217">
        <v>45170</v>
      </c>
      <c r="F4274">
        <v>2111</v>
      </c>
      <c r="G4274" t="s">
        <v>259</v>
      </c>
    </row>
    <row r="4275" spans="1:7">
      <c r="A4275" s="216">
        <v>45170</v>
      </c>
      <c r="B4275" t="s">
        <v>50</v>
      </c>
      <c r="C4275">
        <v>5</v>
      </c>
      <c r="D4275" t="s">
        <v>458</v>
      </c>
      <c r="E4275" s="217">
        <v>45170</v>
      </c>
      <c r="F4275">
        <v>2111</v>
      </c>
      <c r="G4275" t="s">
        <v>260</v>
      </c>
    </row>
    <row r="4276" spans="1:7">
      <c r="A4276" s="216">
        <v>45170</v>
      </c>
      <c r="B4276" t="s">
        <v>50</v>
      </c>
      <c r="C4276">
        <v>5</v>
      </c>
      <c r="D4276" t="s">
        <v>458</v>
      </c>
      <c r="E4276" s="217">
        <v>45170</v>
      </c>
      <c r="F4276">
        <v>2111</v>
      </c>
      <c r="G4276" t="s">
        <v>261</v>
      </c>
    </row>
    <row r="4277" spans="1:7">
      <c r="A4277" s="216">
        <v>45170</v>
      </c>
      <c r="B4277" t="s">
        <v>50</v>
      </c>
      <c r="C4277">
        <v>5</v>
      </c>
      <c r="D4277" t="s">
        <v>458</v>
      </c>
      <c r="E4277" s="217">
        <v>45170</v>
      </c>
      <c r="F4277">
        <v>2111</v>
      </c>
      <c r="G4277" t="s">
        <v>262</v>
      </c>
    </row>
    <row r="4278" spans="1:7">
      <c r="A4278" s="216">
        <v>45170</v>
      </c>
      <c r="B4278" t="s">
        <v>50</v>
      </c>
      <c r="C4278">
        <v>5</v>
      </c>
      <c r="D4278" t="s">
        <v>458</v>
      </c>
      <c r="E4278" s="217">
        <v>45170</v>
      </c>
      <c r="F4278">
        <v>29362</v>
      </c>
      <c r="G4278" t="s">
        <v>434</v>
      </c>
    </row>
    <row r="4279" spans="1:7">
      <c r="A4279" s="216">
        <v>45170</v>
      </c>
      <c r="B4279" t="s">
        <v>50</v>
      </c>
      <c r="C4279">
        <v>6</v>
      </c>
      <c r="D4279" t="s">
        <v>448</v>
      </c>
      <c r="E4279" s="217">
        <v>45170</v>
      </c>
      <c r="F4279">
        <v>1002</v>
      </c>
      <c r="G4279" t="s">
        <v>251</v>
      </c>
    </row>
    <row r="4280" spans="1:7">
      <c r="A4280" s="216">
        <v>45170</v>
      </c>
      <c r="B4280" t="s">
        <v>50</v>
      </c>
      <c r="C4280">
        <v>6</v>
      </c>
      <c r="D4280" t="s">
        <v>448</v>
      </c>
      <c r="E4280" s="217">
        <v>45170</v>
      </c>
      <c r="F4280">
        <v>221</v>
      </c>
      <c r="G4280" t="s">
        <v>252</v>
      </c>
    </row>
    <row r="4281" spans="1:7">
      <c r="A4281" s="216">
        <v>45170</v>
      </c>
      <c r="B4281" t="s">
        <v>50</v>
      </c>
      <c r="C4281">
        <v>6</v>
      </c>
      <c r="D4281" t="s">
        <v>448</v>
      </c>
      <c r="E4281" s="217">
        <v>45170</v>
      </c>
      <c r="F4281">
        <v>-456</v>
      </c>
      <c r="G4281" t="s">
        <v>253</v>
      </c>
    </row>
    <row r="4282" spans="1:7">
      <c r="A4282" s="216">
        <v>45170</v>
      </c>
      <c r="B4282" t="s">
        <v>50</v>
      </c>
      <c r="C4282">
        <v>6</v>
      </c>
      <c r="D4282" t="s">
        <v>448</v>
      </c>
      <c r="E4282" s="217">
        <v>45170</v>
      </c>
      <c r="F4282">
        <v>344</v>
      </c>
      <c r="G4282" t="s">
        <v>254</v>
      </c>
    </row>
    <row r="4283" spans="1:7">
      <c r="A4283" s="216">
        <v>45170</v>
      </c>
      <c r="B4283" t="s">
        <v>50</v>
      </c>
      <c r="C4283">
        <v>6</v>
      </c>
      <c r="D4283" t="s">
        <v>448</v>
      </c>
      <c r="E4283" s="217">
        <v>45170</v>
      </c>
      <c r="F4283">
        <v>359</v>
      </c>
      <c r="G4283" t="s">
        <v>255</v>
      </c>
    </row>
    <row r="4284" spans="1:7">
      <c r="A4284" s="216">
        <v>45170</v>
      </c>
      <c r="B4284" t="s">
        <v>50</v>
      </c>
      <c r="C4284">
        <v>6</v>
      </c>
      <c r="D4284" t="s">
        <v>448</v>
      </c>
      <c r="E4284" s="217">
        <v>45170</v>
      </c>
      <c r="F4284">
        <v>310</v>
      </c>
      <c r="G4284" t="s">
        <v>256</v>
      </c>
    </row>
    <row r="4285" spans="1:7">
      <c r="A4285" s="216">
        <v>45170</v>
      </c>
      <c r="B4285" t="s">
        <v>50</v>
      </c>
      <c r="C4285">
        <v>6</v>
      </c>
      <c r="D4285" t="s">
        <v>448</v>
      </c>
      <c r="E4285" s="217">
        <v>45170</v>
      </c>
      <c r="F4285">
        <v>261</v>
      </c>
      <c r="G4285" t="s">
        <v>257</v>
      </c>
    </row>
    <row r="4286" spans="1:7">
      <c r="A4286" s="216">
        <v>45170</v>
      </c>
      <c r="B4286" t="s">
        <v>50</v>
      </c>
      <c r="C4286">
        <v>6</v>
      </c>
      <c r="D4286" t="s">
        <v>448</v>
      </c>
      <c r="E4286" s="217">
        <v>45170</v>
      </c>
      <c r="F4286">
        <v>261</v>
      </c>
      <c r="G4286" t="s">
        <v>258</v>
      </c>
    </row>
    <row r="4287" spans="1:7">
      <c r="A4287" s="216">
        <v>45170</v>
      </c>
      <c r="B4287" t="s">
        <v>50</v>
      </c>
      <c r="C4287">
        <v>6</v>
      </c>
      <c r="D4287" t="s">
        <v>448</v>
      </c>
      <c r="E4287" s="217">
        <v>45170</v>
      </c>
      <c r="F4287">
        <v>260</v>
      </c>
      <c r="G4287" t="s">
        <v>259</v>
      </c>
    </row>
    <row r="4288" spans="1:7">
      <c r="A4288" s="216">
        <v>45170</v>
      </c>
      <c r="B4288" t="s">
        <v>50</v>
      </c>
      <c r="C4288">
        <v>6</v>
      </c>
      <c r="D4288" t="s">
        <v>448</v>
      </c>
      <c r="E4288" s="217">
        <v>45170</v>
      </c>
      <c r="F4288">
        <v>260</v>
      </c>
      <c r="G4288" t="s">
        <v>260</v>
      </c>
    </row>
    <row r="4289" spans="1:7">
      <c r="A4289" s="216">
        <v>45170</v>
      </c>
      <c r="B4289" t="s">
        <v>50</v>
      </c>
      <c r="C4289">
        <v>6</v>
      </c>
      <c r="D4289" t="s">
        <v>448</v>
      </c>
      <c r="E4289" s="217">
        <v>45170</v>
      </c>
      <c r="F4289">
        <v>260</v>
      </c>
      <c r="G4289" t="s">
        <v>261</v>
      </c>
    </row>
    <row r="4290" spans="1:7">
      <c r="A4290" s="216">
        <v>45170</v>
      </c>
      <c r="B4290" t="s">
        <v>50</v>
      </c>
      <c r="C4290">
        <v>6</v>
      </c>
      <c r="D4290" t="s">
        <v>448</v>
      </c>
      <c r="E4290" s="217">
        <v>45170</v>
      </c>
      <c r="F4290">
        <v>260</v>
      </c>
      <c r="G4290" t="s">
        <v>262</v>
      </c>
    </row>
    <row r="4291" spans="1:7">
      <c r="A4291" s="216">
        <v>45170</v>
      </c>
      <c r="B4291" t="s">
        <v>50</v>
      </c>
      <c r="C4291">
        <v>6</v>
      </c>
      <c r="D4291" t="s">
        <v>448</v>
      </c>
      <c r="E4291" s="217">
        <v>45170</v>
      </c>
      <c r="F4291">
        <v>3342</v>
      </c>
      <c r="G4291" t="s">
        <v>434</v>
      </c>
    </row>
    <row r="4292" spans="1:7">
      <c r="A4292" s="216">
        <v>45170</v>
      </c>
      <c r="B4292" t="s">
        <v>50</v>
      </c>
      <c r="C4292">
        <v>7</v>
      </c>
      <c r="D4292" t="s">
        <v>442</v>
      </c>
      <c r="E4292" s="217">
        <v>45170</v>
      </c>
      <c r="F4292">
        <v>22060</v>
      </c>
      <c r="G4292" t="s">
        <v>251</v>
      </c>
    </row>
    <row r="4293" spans="1:7">
      <c r="A4293" s="216">
        <v>45170</v>
      </c>
      <c r="B4293" t="s">
        <v>50</v>
      </c>
      <c r="C4293">
        <v>7</v>
      </c>
      <c r="D4293" t="s">
        <v>442</v>
      </c>
      <c r="E4293" s="217">
        <v>45170</v>
      </c>
      <c r="F4293">
        <v>23394</v>
      </c>
      <c r="G4293" t="s">
        <v>252</v>
      </c>
    </row>
    <row r="4294" spans="1:7">
      <c r="A4294" s="216">
        <v>45170</v>
      </c>
      <c r="B4294" t="s">
        <v>50</v>
      </c>
      <c r="C4294">
        <v>7</v>
      </c>
      <c r="D4294" t="s">
        <v>442</v>
      </c>
      <c r="E4294" s="217">
        <v>45170</v>
      </c>
      <c r="F4294">
        <v>27650</v>
      </c>
      <c r="G4294" t="s">
        <v>253</v>
      </c>
    </row>
    <row r="4295" spans="1:7">
      <c r="A4295" s="216">
        <v>45170</v>
      </c>
      <c r="B4295" t="s">
        <v>50</v>
      </c>
      <c r="C4295">
        <v>7</v>
      </c>
      <c r="D4295" t="s">
        <v>442</v>
      </c>
      <c r="E4295" s="217">
        <v>45170</v>
      </c>
      <c r="F4295">
        <v>25957</v>
      </c>
      <c r="G4295" t="s">
        <v>254</v>
      </c>
    </row>
    <row r="4296" spans="1:7">
      <c r="A4296" s="216">
        <v>45170</v>
      </c>
      <c r="B4296" t="s">
        <v>50</v>
      </c>
      <c r="C4296">
        <v>7</v>
      </c>
      <c r="D4296" t="s">
        <v>442</v>
      </c>
      <c r="E4296" s="217">
        <v>45170</v>
      </c>
      <c r="F4296">
        <v>23858</v>
      </c>
      <c r="G4296" t="s">
        <v>255</v>
      </c>
    </row>
    <row r="4297" spans="1:7">
      <c r="A4297" s="216">
        <v>45170</v>
      </c>
      <c r="B4297" t="s">
        <v>50</v>
      </c>
      <c r="C4297">
        <v>7</v>
      </c>
      <c r="D4297" t="s">
        <v>442</v>
      </c>
      <c r="E4297" s="217">
        <v>45170</v>
      </c>
      <c r="F4297">
        <v>23335</v>
      </c>
      <c r="G4297" t="s">
        <v>256</v>
      </c>
    </row>
    <row r="4298" spans="1:7">
      <c r="A4298" s="216">
        <v>45170</v>
      </c>
      <c r="B4298" t="s">
        <v>50</v>
      </c>
      <c r="C4298">
        <v>7</v>
      </c>
      <c r="D4298" t="s">
        <v>442</v>
      </c>
      <c r="E4298" s="217">
        <v>45170</v>
      </c>
      <c r="F4298">
        <v>24743</v>
      </c>
      <c r="G4298" t="s">
        <v>257</v>
      </c>
    </row>
    <row r="4299" spans="1:7">
      <c r="A4299" s="216">
        <v>45170</v>
      </c>
      <c r="B4299" t="s">
        <v>50</v>
      </c>
      <c r="C4299">
        <v>7</v>
      </c>
      <c r="D4299" t="s">
        <v>442</v>
      </c>
      <c r="E4299" s="217">
        <v>45170</v>
      </c>
      <c r="F4299">
        <v>24742</v>
      </c>
      <c r="G4299" t="s">
        <v>258</v>
      </c>
    </row>
    <row r="4300" spans="1:7">
      <c r="A4300" s="216">
        <v>45170</v>
      </c>
      <c r="B4300" t="s">
        <v>50</v>
      </c>
      <c r="C4300">
        <v>7</v>
      </c>
      <c r="D4300" t="s">
        <v>442</v>
      </c>
      <c r="E4300" s="217">
        <v>45170</v>
      </c>
      <c r="F4300">
        <v>24741</v>
      </c>
      <c r="G4300" t="s">
        <v>259</v>
      </c>
    </row>
    <row r="4301" spans="1:7">
      <c r="A4301" s="216">
        <v>45170</v>
      </c>
      <c r="B4301" t="s">
        <v>50</v>
      </c>
      <c r="C4301">
        <v>7</v>
      </c>
      <c r="D4301" t="s">
        <v>442</v>
      </c>
      <c r="E4301" s="217">
        <v>45170</v>
      </c>
      <c r="F4301">
        <v>24742</v>
      </c>
      <c r="G4301" t="s">
        <v>260</v>
      </c>
    </row>
    <row r="4302" spans="1:7">
      <c r="A4302" s="216">
        <v>45170</v>
      </c>
      <c r="B4302" t="s">
        <v>50</v>
      </c>
      <c r="C4302">
        <v>7</v>
      </c>
      <c r="D4302" t="s">
        <v>442</v>
      </c>
      <c r="E4302" s="217">
        <v>45170</v>
      </c>
      <c r="F4302">
        <v>24742</v>
      </c>
      <c r="G4302" t="s">
        <v>261</v>
      </c>
    </row>
    <row r="4303" spans="1:7">
      <c r="A4303" s="216">
        <v>45170</v>
      </c>
      <c r="B4303" t="s">
        <v>50</v>
      </c>
      <c r="C4303">
        <v>7</v>
      </c>
      <c r="D4303" t="s">
        <v>442</v>
      </c>
      <c r="E4303" s="217">
        <v>45170</v>
      </c>
      <c r="F4303">
        <v>24742</v>
      </c>
      <c r="G4303" t="s">
        <v>262</v>
      </c>
    </row>
    <row r="4304" spans="1:7">
      <c r="A4304" s="216">
        <v>45170</v>
      </c>
      <c r="B4304" t="s">
        <v>50</v>
      </c>
      <c r="C4304">
        <v>7</v>
      </c>
      <c r="D4304" t="s">
        <v>442</v>
      </c>
      <c r="E4304" s="217">
        <v>45170</v>
      </c>
      <c r="F4304">
        <v>294706</v>
      </c>
      <c r="G4304" t="s">
        <v>434</v>
      </c>
    </row>
    <row r="4305" spans="1:7">
      <c r="A4305" s="216">
        <v>45170</v>
      </c>
      <c r="B4305" t="s">
        <v>50</v>
      </c>
      <c r="C4305">
        <v>8</v>
      </c>
      <c r="D4305" t="s">
        <v>451</v>
      </c>
      <c r="E4305" s="217">
        <v>45170</v>
      </c>
      <c r="F4305">
        <v>0</v>
      </c>
      <c r="G4305" t="s">
        <v>251</v>
      </c>
    </row>
    <row r="4306" spans="1:7">
      <c r="A4306" s="216">
        <v>45170</v>
      </c>
      <c r="B4306" t="s">
        <v>50</v>
      </c>
      <c r="C4306">
        <v>8</v>
      </c>
      <c r="D4306" t="s">
        <v>451</v>
      </c>
      <c r="E4306" s="217">
        <v>45170</v>
      </c>
      <c r="F4306">
        <v>0</v>
      </c>
      <c r="G4306" t="s">
        <v>252</v>
      </c>
    </row>
    <row r="4307" spans="1:7">
      <c r="A4307" s="216">
        <v>45170</v>
      </c>
      <c r="B4307" t="s">
        <v>50</v>
      </c>
      <c r="C4307">
        <v>8</v>
      </c>
      <c r="D4307" t="s">
        <v>451</v>
      </c>
      <c r="E4307" s="217">
        <v>45170</v>
      </c>
      <c r="F4307">
        <v>0</v>
      </c>
      <c r="G4307" t="s">
        <v>253</v>
      </c>
    </row>
    <row r="4308" spans="1:7">
      <c r="A4308" s="216">
        <v>45170</v>
      </c>
      <c r="B4308" t="s">
        <v>50</v>
      </c>
      <c r="C4308">
        <v>8</v>
      </c>
      <c r="D4308" t="s">
        <v>451</v>
      </c>
      <c r="E4308" s="217">
        <v>45170</v>
      </c>
      <c r="F4308">
        <v>0</v>
      </c>
      <c r="G4308" t="s">
        <v>254</v>
      </c>
    </row>
    <row r="4309" spans="1:7">
      <c r="A4309" s="216">
        <v>45170</v>
      </c>
      <c r="B4309" t="s">
        <v>50</v>
      </c>
      <c r="C4309">
        <v>8</v>
      </c>
      <c r="D4309" t="s">
        <v>451</v>
      </c>
      <c r="E4309" s="217">
        <v>45170</v>
      </c>
      <c r="F4309">
        <v>0</v>
      </c>
      <c r="G4309" t="s">
        <v>255</v>
      </c>
    </row>
    <row r="4310" spans="1:7">
      <c r="A4310" s="216">
        <v>45170</v>
      </c>
      <c r="B4310" t="s">
        <v>50</v>
      </c>
      <c r="C4310">
        <v>8</v>
      </c>
      <c r="D4310" t="s">
        <v>451</v>
      </c>
      <c r="E4310" s="217">
        <v>45170</v>
      </c>
      <c r="F4310">
        <v>0</v>
      </c>
      <c r="G4310" t="s">
        <v>256</v>
      </c>
    </row>
    <row r="4311" spans="1:7">
      <c r="A4311" s="216">
        <v>45170</v>
      </c>
      <c r="B4311" t="s">
        <v>50</v>
      </c>
      <c r="C4311">
        <v>8</v>
      </c>
      <c r="D4311" t="s">
        <v>451</v>
      </c>
      <c r="E4311" s="217">
        <v>45170</v>
      </c>
      <c r="F4311">
        <v>0</v>
      </c>
      <c r="G4311" t="s">
        <v>257</v>
      </c>
    </row>
    <row r="4312" spans="1:7">
      <c r="A4312" s="216">
        <v>45170</v>
      </c>
      <c r="B4312" t="s">
        <v>50</v>
      </c>
      <c r="C4312">
        <v>8</v>
      </c>
      <c r="D4312" t="s">
        <v>451</v>
      </c>
      <c r="E4312" s="217">
        <v>45170</v>
      </c>
      <c r="F4312">
        <v>0</v>
      </c>
      <c r="G4312" t="s">
        <v>258</v>
      </c>
    </row>
    <row r="4313" spans="1:7">
      <c r="A4313" s="216">
        <v>45170</v>
      </c>
      <c r="B4313" t="s">
        <v>50</v>
      </c>
      <c r="C4313">
        <v>8</v>
      </c>
      <c r="D4313" t="s">
        <v>451</v>
      </c>
      <c r="E4313" s="217">
        <v>45170</v>
      </c>
      <c r="F4313">
        <v>0</v>
      </c>
      <c r="G4313" t="s">
        <v>259</v>
      </c>
    </row>
    <row r="4314" spans="1:7">
      <c r="A4314" s="216">
        <v>45170</v>
      </c>
      <c r="B4314" t="s">
        <v>50</v>
      </c>
      <c r="C4314">
        <v>8</v>
      </c>
      <c r="D4314" t="s">
        <v>451</v>
      </c>
      <c r="E4314" s="217">
        <v>45170</v>
      </c>
      <c r="F4314">
        <v>0</v>
      </c>
      <c r="G4314" t="s">
        <v>260</v>
      </c>
    </row>
    <row r="4315" spans="1:7">
      <c r="A4315" s="216">
        <v>45170</v>
      </c>
      <c r="B4315" t="s">
        <v>50</v>
      </c>
      <c r="C4315">
        <v>8</v>
      </c>
      <c r="D4315" t="s">
        <v>451</v>
      </c>
      <c r="E4315" s="217">
        <v>45170</v>
      </c>
      <c r="F4315">
        <v>0</v>
      </c>
      <c r="G4315" t="s">
        <v>261</v>
      </c>
    </row>
    <row r="4316" spans="1:7">
      <c r="A4316" s="216">
        <v>45170</v>
      </c>
      <c r="B4316" t="s">
        <v>50</v>
      </c>
      <c r="C4316">
        <v>8</v>
      </c>
      <c r="D4316" t="s">
        <v>451</v>
      </c>
      <c r="E4316" s="217">
        <v>45170</v>
      </c>
      <c r="F4316">
        <v>0</v>
      </c>
      <c r="G4316" t="s">
        <v>262</v>
      </c>
    </row>
    <row r="4317" spans="1:7">
      <c r="A4317" s="216">
        <v>45170</v>
      </c>
      <c r="B4317" t="s">
        <v>50</v>
      </c>
      <c r="C4317">
        <v>8</v>
      </c>
      <c r="D4317" t="s">
        <v>451</v>
      </c>
      <c r="E4317" s="217">
        <v>45170</v>
      </c>
      <c r="F4317">
        <v>0</v>
      </c>
      <c r="G4317" t="s">
        <v>434</v>
      </c>
    </row>
    <row r="4318" spans="1:7">
      <c r="A4318" s="216">
        <v>45170</v>
      </c>
      <c r="B4318" t="s">
        <v>50</v>
      </c>
      <c r="C4318">
        <v>9</v>
      </c>
      <c r="D4318" t="s">
        <v>450</v>
      </c>
      <c r="E4318" s="217">
        <v>45170</v>
      </c>
      <c r="F4318">
        <v>0</v>
      </c>
      <c r="G4318" t="s">
        <v>251</v>
      </c>
    </row>
    <row r="4319" spans="1:7">
      <c r="A4319" s="216">
        <v>45170</v>
      </c>
      <c r="B4319" t="s">
        <v>50</v>
      </c>
      <c r="C4319">
        <v>9</v>
      </c>
      <c r="D4319" t="s">
        <v>450</v>
      </c>
      <c r="E4319" s="217">
        <v>45170</v>
      </c>
      <c r="F4319">
        <v>0</v>
      </c>
      <c r="G4319" t="s">
        <v>252</v>
      </c>
    </row>
    <row r="4320" spans="1:7">
      <c r="A4320" s="216">
        <v>45170</v>
      </c>
      <c r="B4320" t="s">
        <v>50</v>
      </c>
      <c r="C4320">
        <v>9</v>
      </c>
      <c r="D4320" t="s">
        <v>450</v>
      </c>
      <c r="E4320" s="217">
        <v>45170</v>
      </c>
      <c r="F4320">
        <v>0</v>
      </c>
      <c r="G4320" t="s">
        <v>253</v>
      </c>
    </row>
    <row r="4321" spans="1:7">
      <c r="A4321" s="216">
        <v>45170</v>
      </c>
      <c r="B4321" t="s">
        <v>50</v>
      </c>
      <c r="C4321">
        <v>9</v>
      </c>
      <c r="D4321" t="s">
        <v>450</v>
      </c>
      <c r="E4321" s="217">
        <v>45170</v>
      </c>
      <c r="F4321">
        <v>0</v>
      </c>
      <c r="G4321" t="s">
        <v>254</v>
      </c>
    </row>
    <row r="4322" spans="1:7">
      <c r="A4322" s="216">
        <v>45170</v>
      </c>
      <c r="B4322" t="s">
        <v>50</v>
      </c>
      <c r="C4322">
        <v>9</v>
      </c>
      <c r="D4322" t="s">
        <v>450</v>
      </c>
      <c r="E4322" s="217">
        <v>45170</v>
      </c>
      <c r="F4322">
        <v>0</v>
      </c>
      <c r="G4322" t="s">
        <v>255</v>
      </c>
    </row>
    <row r="4323" spans="1:7">
      <c r="A4323" s="216">
        <v>45170</v>
      </c>
      <c r="B4323" t="s">
        <v>50</v>
      </c>
      <c r="C4323">
        <v>9</v>
      </c>
      <c r="D4323" t="s">
        <v>450</v>
      </c>
      <c r="E4323" s="217">
        <v>45170</v>
      </c>
      <c r="F4323">
        <v>0</v>
      </c>
      <c r="G4323" t="s">
        <v>256</v>
      </c>
    </row>
    <row r="4324" spans="1:7">
      <c r="A4324" s="216">
        <v>45170</v>
      </c>
      <c r="B4324" t="s">
        <v>50</v>
      </c>
      <c r="C4324">
        <v>9</v>
      </c>
      <c r="D4324" t="s">
        <v>450</v>
      </c>
      <c r="E4324" s="217">
        <v>45170</v>
      </c>
      <c r="F4324">
        <v>0</v>
      </c>
      <c r="G4324" t="s">
        <v>257</v>
      </c>
    </row>
    <row r="4325" spans="1:7">
      <c r="A4325" s="216">
        <v>45170</v>
      </c>
      <c r="B4325" t="s">
        <v>50</v>
      </c>
      <c r="C4325">
        <v>9</v>
      </c>
      <c r="D4325" t="s">
        <v>450</v>
      </c>
      <c r="E4325" s="217">
        <v>45170</v>
      </c>
      <c r="F4325">
        <v>0</v>
      </c>
      <c r="G4325" t="s">
        <v>258</v>
      </c>
    </row>
    <row r="4326" spans="1:7">
      <c r="A4326" s="216">
        <v>45170</v>
      </c>
      <c r="B4326" t="s">
        <v>50</v>
      </c>
      <c r="C4326">
        <v>9</v>
      </c>
      <c r="D4326" t="s">
        <v>450</v>
      </c>
      <c r="E4326" s="217">
        <v>45170</v>
      </c>
      <c r="F4326">
        <v>0</v>
      </c>
      <c r="G4326" t="s">
        <v>259</v>
      </c>
    </row>
    <row r="4327" spans="1:7">
      <c r="A4327" s="216">
        <v>45170</v>
      </c>
      <c r="B4327" t="s">
        <v>50</v>
      </c>
      <c r="C4327">
        <v>9</v>
      </c>
      <c r="D4327" t="s">
        <v>450</v>
      </c>
      <c r="E4327" s="217">
        <v>45170</v>
      </c>
      <c r="F4327">
        <v>0</v>
      </c>
      <c r="G4327" t="s">
        <v>260</v>
      </c>
    </row>
    <row r="4328" spans="1:7">
      <c r="A4328" s="216">
        <v>45170</v>
      </c>
      <c r="B4328" t="s">
        <v>50</v>
      </c>
      <c r="C4328">
        <v>9</v>
      </c>
      <c r="D4328" t="s">
        <v>450</v>
      </c>
      <c r="E4328" s="217">
        <v>45170</v>
      </c>
      <c r="F4328">
        <v>0</v>
      </c>
      <c r="G4328" t="s">
        <v>261</v>
      </c>
    </row>
    <row r="4329" spans="1:7">
      <c r="A4329" s="216">
        <v>45170</v>
      </c>
      <c r="B4329" t="s">
        <v>50</v>
      </c>
      <c r="C4329">
        <v>9</v>
      </c>
      <c r="D4329" t="s">
        <v>450</v>
      </c>
      <c r="E4329" s="217">
        <v>45170</v>
      </c>
      <c r="F4329">
        <v>0</v>
      </c>
      <c r="G4329" t="s">
        <v>262</v>
      </c>
    </row>
    <row r="4330" spans="1:7">
      <c r="A4330" s="216">
        <v>45170</v>
      </c>
      <c r="B4330" t="s">
        <v>50</v>
      </c>
      <c r="C4330">
        <v>9</v>
      </c>
      <c r="D4330" t="s">
        <v>450</v>
      </c>
      <c r="E4330" s="217">
        <v>45170</v>
      </c>
      <c r="F4330">
        <v>0</v>
      </c>
      <c r="G4330" t="s">
        <v>434</v>
      </c>
    </row>
    <row r="4331" spans="1:7">
      <c r="A4331" s="216">
        <v>45170</v>
      </c>
      <c r="B4331" t="s">
        <v>50</v>
      </c>
      <c r="C4331">
        <v>10</v>
      </c>
      <c r="D4331" t="s">
        <v>433</v>
      </c>
      <c r="E4331" s="217">
        <v>45170</v>
      </c>
      <c r="F4331">
        <v>15786</v>
      </c>
      <c r="G4331" t="s">
        <v>251</v>
      </c>
    </row>
    <row r="4332" spans="1:7">
      <c r="A4332" s="216">
        <v>45170</v>
      </c>
      <c r="B4332" t="s">
        <v>50</v>
      </c>
      <c r="C4332">
        <v>10</v>
      </c>
      <c r="D4332" t="s">
        <v>433</v>
      </c>
      <c r="E4332" s="217">
        <v>45170</v>
      </c>
      <c r="F4332">
        <v>16898</v>
      </c>
      <c r="G4332" t="s">
        <v>252</v>
      </c>
    </row>
    <row r="4333" spans="1:7">
      <c r="A4333" s="216">
        <v>45170</v>
      </c>
      <c r="B4333" t="s">
        <v>50</v>
      </c>
      <c r="C4333">
        <v>10</v>
      </c>
      <c r="D4333" t="s">
        <v>433</v>
      </c>
      <c r="E4333" s="217">
        <v>45170</v>
      </c>
      <c r="F4333">
        <v>20907</v>
      </c>
      <c r="G4333" t="s">
        <v>253</v>
      </c>
    </row>
    <row r="4334" spans="1:7">
      <c r="A4334" s="216">
        <v>45170</v>
      </c>
      <c r="B4334" t="s">
        <v>50</v>
      </c>
      <c r="C4334">
        <v>10</v>
      </c>
      <c r="D4334" t="s">
        <v>433</v>
      </c>
      <c r="E4334" s="217">
        <v>45170</v>
      </c>
      <c r="F4334">
        <v>18945</v>
      </c>
      <c r="G4334" t="s">
        <v>254</v>
      </c>
    </row>
    <row r="4335" spans="1:7">
      <c r="A4335" s="216">
        <v>45170</v>
      </c>
      <c r="B4335" t="s">
        <v>50</v>
      </c>
      <c r="C4335">
        <v>10</v>
      </c>
      <c r="D4335" t="s">
        <v>433</v>
      </c>
      <c r="E4335" s="217">
        <v>45170</v>
      </c>
      <c r="F4335">
        <v>16789</v>
      </c>
      <c r="G4335" t="s">
        <v>255</v>
      </c>
    </row>
    <row r="4336" spans="1:7">
      <c r="A4336" s="216">
        <v>45170</v>
      </c>
      <c r="B4336" t="s">
        <v>50</v>
      </c>
      <c r="C4336">
        <v>10</v>
      </c>
      <c r="D4336" t="s">
        <v>433</v>
      </c>
      <c r="E4336" s="217">
        <v>45170</v>
      </c>
      <c r="F4336">
        <v>16807</v>
      </c>
      <c r="G4336" t="s">
        <v>256</v>
      </c>
    </row>
    <row r="4337" spans="1:7">
      <c r="A4337" s="216">
        <v>45170</v>
      </c>
      <c r="B4337" t="s">
        <v>50</v>
      </c>
      <c r="C4337">
        <v>10</v>
      </c>
      <c r="D4337" t="s">
        <v>433</v>
      </c>
      <c r="E4337" s="217">
        <v>45170</v>
      </c>
      <c r="F4337">
        <v>17716</v>
      </c>
      <c r="G4337" t="s">
        <v>257</v>
      </c>
    </row>
    <row r="4338" spans="1:7">
      <c r="A4338" s="216">
        <v>45170</v>
      </c>
      <c r="B4338" t="s">
        <v>50</v>
      </c>
      <c r="C4338">
        <v>10</v>
      </c>
      <c r="D4338" t="s">
        <v>433</v>
      </c>
      <c r="E4338" s="217">
        <v>45170</v>
      </c>
      <c r="F4338">
        <v>17716</v>
      </c>
      <c r="G4338" t="s">
        <v>258</v>
      </c>
    </row>
    <row r="4339" spans="1:7">
      <c r="A4339" s="216">
        <v>45170</v>
      </c>
      <c r="B4339" t="s">
        <v>50</v>
      </c>
      <c r="C4339">
        <v>10</v>
      </c>
      <c r="D4339" t="s">
        <v>433</v>
      </c>
      <c r="E4339" s="217">
        <v>45170</v>
      </c>
      <c r="F4339">
        <v>17716</v>
      </c>
      <c r="G4339" t="s">
        <v>259</v>
      </c>
    </row>
    <row r="4340" spans="1:7">
      <c r="A4340" s="216">
        <v>45170</v>
      </c>
      <c r="B4340" t="s">
        <v>50</v>
      </c>
      <c r="C4340">
        <v>10</v>
      </c>
      <c r="D4340" t="s">
        <v>433</v>
      </c>
      <c r="E4340" s="217">
        <v>45170</v>
      </c>
      <c r="F4340">
        <v>17717</v>
      </c>
      <c r="G4340" t="s">
        <v>260</v>
      </c>
    </row>
    <row r="4341" spans="1:7">
      <c r="A4341" s="216">
        <v>45170</v>
      </c>
      <c r="B4341" t="s">
        <v>50</v>
      </c>
      <c r="C4341">
        <v>10</v>
      </c>
      <c r="D4341" t="s">
        <v>433</v>
      </c>
      <c r="E4341" s="217">
        <v>45170</v>
      </c>
      <c r="F4341">
        <v>17717</v>
      </c>
      <c r="G4341" t="s">
        <v>261</v>
      </c>
    </row>
    <row r="4342" spans="1:7">
      <c r="A4342" s="216">
        <v>45170</v>
      </c>
      <c r="B4342" t="s">
        <v>50</v>
      </c>
      <c r="C4342">
        <v>10</v>
      </c>
      <c r="D4342" t="s">
        <v>433</v>
      </c>
      <c r="E4342" s="217">
        <v>45170</v>
      </c>
      <c r="F4342">
        <v>17717</v>
      </c>
      <c r="G4342" t="s">
        <v>262</v>
      </c>
    </row>
    <row r="4343" spans="1:7">
      <c r="A4343" s="216">
        <v>45170</v>
      </c>
      <c r="B4343" t="s">
        <v>50</v>
      </c>
      <c r="C4343">
        <v>10</v>
      </c>
      <c r="D4343" t="s">
        <v>433</v>
      </c>
      <c r="E4343" s="217">
        <v>45170</v>
      </c>
      <c r="F4343">
        <v>212431</v>
      </c>
      <c r="G4343" t="s">
        <v>434</v>
      </c>
    </row>
    <row r="4344" spans="1:7">
      <c r="A4344" s="216">
        <v>45170</v>
      </c>
      <c r="B4344" t="s">
        <v>50</v>
      </c>
      <c r="C4344">
        <v>11</v>
      </c>
      <c r="D4344" t="s">
        <v>445</v>
      </c>
      <c r="E4344" s="217">
        <v>45170</v>
      </c>
      <c r="F4344">
        <v>3670</v>
      </c>
      <c r="G4344" t="s">
        <v>251</v>
      </c>
    </row>
    <row r="4345" spans="1:7">
      <c r="A4345" s="216">
        <v>45170</v>
      </c>
      <c r="B4345" t="s">
        <v>50</v>
      </c>
      <c r="C4345">
        <v>11</v>
      </c>
      <c r="D4345" t="s">
        <v>445</v>
      </c>
      <c r="E4345" s="217">
        <v>45170</v>
      </c>
      <c r="F4345">
        <v>3794</v>
      </c>
      <c r="G4345" t="s">
        <v>252</v>
      </c>
    </row>
    <row r="4346" spans="1:7">
      <c r="A4346" s="216">
        <v>45170</v>
      </c>
      <c r="B4346" t="s">
        <v>50</v>
      </c>
      <c r="C4346">
        <v>11</v>
      </c>
      <c r="D4346" t="s">
        <v>445</v>
      </c>
      <c r="E4346" s="217">
        <v>45170</v>
      </c>
      <c r="F4346">
        <v>3820</v>
      </c>
      <c r="G4346" t="s">
        <v>253</v>
      </c>
    </row>
    <row r="4347" spans="1:7">
      <c r="A4347" s="216">
        <v>45170</v>
      </c>
      <c r="B4347" t="s">
        <v>50</v>
      </c>
      <c r="C4347">
        <v>11</v>
      </c>
      <c r="D4347" t="s">
        <v>445</v>
      </c>
      <c r="E4347" s="217">
        <v>45170</v>
      </c>
      <c r="F4347">
        <v>4215</v>
      </c>
      <c r="G4347" t="s">
        <v>254</v>
      </c>
    </row>
    <row r="4348" spans="1:7">
      <c r="A4348" s="216">
        <v>45170</v>
      </c>
      <c r="B4348" t="s">
        <v>50</v>
      </c>
      <c r="C4348">
        <v>11</v>
      </c>
      <c r="D4348" t="s">
        <v>445</v>
      </c>
      <c r="E4348" s="217">
        <v>45170</v>
      </c>
      <c r="F4348">
        <v>4102</v>
      </c>
      <c r="G4348" t="s">
        <v>255</v>
      </c>
    </row>
    <row r="4349" spans="1:7">
      <c r="A4349" s="216">
        <v>45170</v>
      </c>
      <c r="B4349" t="s">
        <v>50</v>
      </c>
      <c r="C4349">
        <v>11</v>
      </c>
      <c r="D4349" t="s">
        <v>445</v>
      </c>
      <c r="E4349" s="217">
        <v>45170</v>
      </c>
      <c r="F4349">
        <v>3578</v>
      </c>
      <c r="G4349" t="s">
        <v>256</v>
      </c>
    </row>
    <row r="4350" spans="1:7">
      <c r="A4350" s="216">
        <v>45170</v>
      </c>
      <c r="B4350" t="s">
        <v>50</v>
      </c>
      <c r="C4350">
        <v>11</v>
      </c>
      <c r="D4350" t="s">
        <v>445</v>
      </c>
      <c r="E4350" s="217">
        <v>45170</v>
      </c>
      <c r="F4350">
        <v>4374</v>
      </c>
      <c r="G4350" t="s">
        <v>257</v>
      </c>
    </row>
    <row r="4351" spans="1:7">
      <c r="A4351" s="216">
        <v>45170</v>
      </c>
      <c r="B4351" t="s">
        <v>50</v>
      </c>
      <c r="C4351">
        <v>11</v>
      </c>
      <c r="D4351" t="s">
        <v>445</v>
      </c>
      <c r="E4351" s="217">
        <v>45170</v>
      </c>
      <c r="F4351">
        <v>4375</v>
      </c>
      <c r="G4351" t="s">
        <v>258</v>
      </c>
    </row>
    <row r="4352" spans="1:7">
      <c r="A4352" s="216">
        <v>45170</v>
      </c>
      <c r="B4352" t="s">
        <v>50</v>
      </c>
      <c r="C4352">
        <v>11</v>
      </c>
      <c r="D4352" t="s">
        <v>445</v>
      </c>
      <c r="E4352" s="217">
        <v>45170</v>
      </c>
      <c r="F4352">
        <v>4373</v>
      </c>
      <c r="G4352" t="s">
        <v>259</v>
      </c>
    </row>
    <row r="4353" spans="1:7">
      <c r="A4353" s="216">
        <v>45170</v>
      </c>
      <c r="B4353" t="s">
        <v>50</v>
      </c>
      <c r="C4353">
        <v>11</v>
      </c>
      <c r="D4353" t="s">
        <v>445</v>
      </c>
      <c r="E4353" s="217">
        <v>45170</v>
      </c>
      <c r="F4353">
        <v>4398</v>
      </c>
      <c r="G4353" t="s">
        <v>260</v>
      </c>
    </row>
    <row r="4354" spans="1:7">
      <c r="A4354" s="216">
        <v>45170</v>
      </c>
      <c r="B4354" t="s">
        <v>50</v>
      </c>
      <c r="C4354">
        <v>11</v>
      </c>
      <c r="D4354" t="s">
        <v>445</v>
      </c>
      <c r="E4354" s="217">
        <v>45170</v>
      </c>
      <c r="F4354">
        <v>4400</v>
      </c>
      <c r="G4354" t="s">
        <v>261</v>
      </c>
    </row>
    <row r="4355" spans="1:7">
      <c r="A4355" s="216">
        <v>45170</v>
      </c>
      <c r="B4355" t="s">
        <v>50</v>
      </c>
      <c r="C4355">
        <v>11</v>
      </c>
      <c r="D4355" t="s">
        <v>445</v>
      </c>
      <c r="E4355" s="217">
        <v>45170</v>
      </c>
      <c r="F4355">
        <v>4399</v>
      </c>
      <c r="G4355" t="s">
        <v>262</v>
      </c>
    </row>
    <row r="4356" spans="1:7">
      <c r="A4356" s="216">
        <v>45170</v>
      </c>
      <c r="B4356" t="s">
        <v>50</v>
      </c>
      <c r="C4356">
        <v>11</v>
      </c>
      <c r="D4356" t="s">
        <v>445</v>
      </c>
      <c r="E4356" s="217">
        <v>45170</v>
      </c>
      <c r="F4356">
        <v>49498</v>
      </c>
      <c r="G4356" t="s">
        <v>434</v>
      </c>
    </row>
    <row r="4357" spans="1:7">
      <c r="A4357" s="216">
        <v>45170</v>
      </c>
      <c r="B4357" t="s">
        <v>50</v>
      </c>
      <c r="C4357">
        <v>12</v>
      </c>
      <c r="D4357" t="s">
        <v>454</v>
      </c>
      <c r="E4357" s="217">
        <v>45170</v>
      </c>
      <c r="F4357">
        <v>38</v>
      </c>
      <c r="G4357" t="s">
        <v>251</v>
      </c>
    </row>
    <row r="4358" spans="1:7">
      <c r="A4358" s="216">
        <v>45170</v>
      </c>
      <c r="B4358" t="s">
        <v>50</v>
      </c>
      <c r="C4358">
        <v>12</v>
      </c>
      <c r="D4358" t="s">
        <v>454</v>
      </c>
      <c r="E4358" s="217">
        <v>45170</v>
      </c>
      <c r="F4358">
        <v>36</v>
      </c>
      <c r="G4358" t="s">
        <v>252</v>
      </c>
    </row>
    <row r="4359" spans="1:7">
      <c r="A4359" s="216">
        <v>45170</v>
      </c>
      <c r="B4359" t="s">
        <v>50</v>
      </c>
      <c r="C4359">
        <v>12</v>
      </c>
      <c r="D4359" t="s">
        <v>454</v>
      </c>
      <c r="E4359" s="217">
        <v>45170</v>
      </c>
      <c r="F4359">
        <v>54</v>
      </c>
      <c r="G4359" t="s">
        <v>253</v>
      </c>
    </row>
    <row r="4360" spans="1:7">
      <c r="A4360" s="216">
        <v>45170</v>
      </c>
      <c r="B4360" t="s">
        <v>50</v>
      </c>
      <c r="C4360">
        <v>12</v>
      </c>
      <c r="D4360" t="s">
        <v>454</v>
      </c>
      <c r="E4360" s="217">
        <v>45170</v>
      </c>
      <c r="F4360">
        <v>39</v>
      </c>
      <c r="G4360" t="s">
        <v>254</v>
      </c>
    </row>
    <row r="4361" spans="1:7">
      <c r="A4361" s="216">
        <v>45170</v>
      </c>
      <c r="B4361" t="s">
        <v>50</v>
      </c>
      <c r="C4361">
        <v>12</v>
      </c>
      <c r="D4361" t="s">
        <v>454</v>
      </c>
      <c r="E4361" s="217">
        <v>45170</v>
      </c>
      <c r="F4361">
        <v>32</v>
      </c>
      <c r="G4361" t="s">
        <v>255</v>
      </c>
    </row>
    <row r="4362" spans="1:7">
      <c r="A4362" s="216">
        <v>45170</v>
      </c>
      <c r="B4362" t="s">
        <v>50</v>
      </c>
      <c r="C4362">
        <v>12</v>
      </c>
      <c r="D4362" t="s">
        <v>454</v>
      </c>
      <c r="E4362" s="217">
        <v>45170</v>
      </c>
      <c r="F4362">
        <v>39</v>
      </c>
      <c r="G4362" t="s">
        <v>256</v>
      </c>
    </row>
    <row r="4363" spans="1:7">
      <c r="A4363" s="216">
        <v>45170</v>
      </c>
      <c r="B4363" t="s">
        <v>50</v>
      </c>
      <c r="C4363">
        <v>12</v>
      </c>
      <c r="D4363" t="s">
        <v>454</v>
      </c>
      <c r="E4363" s="217">
        <v>45170</v>
      </c>
      <c r="F4363">
        <v>46</v>
      </c>
      <c r="G4363" t="s">
        <v>257</v>
      </c>
    </row>
    <row r="4364" spans="1:7">
      <c r="A4364" s="216">
        <v>45170</v>
      </c>
      <c r="B4364" t="s">
        <v>50</v>
      </c>
      <c r="C4364">
        <v>12</v>
      </c>
      <c r="D4364" t="s">
        <v>454</v>
      </c>
      <c r="E4364" s="217">
        <v>45170</v>
      </c>
      <c r="F4364">
        <v>46</v>
      </c>
      <c r="G4364" t="s">
        <v>258</v>
      </c>
    </row>
    <row r="4365" spans="1:7">
      <c r="A4365" s="216">
        <v>45170</v>
      </c>
      <c r="B4365" t="s">
        <v>50</v>
      </c>
      <c r="C4365">
        <v>12</v>
      </c>
      <c r="D4365" t="s">
        <v>454</v>
      </c>
      <c r="E4365" s="217">
        <v>45170</v>
      </c>
      <c r="F4365">
        <v>46</v>
      </c>
      <c r="G4365" t="s">
        <v>259</v>
      </c>
    </row>
    <row r="4366" spans="1:7">
      <c r="A4366" s="216">
        <v>45170</v>
      </c>
      <c r="B4366" t="s">
        <v>50</v>
      </c>
      <c r="C4366">
        <v>12</v>
      </c>
      <c r="D4366" t="s">
        <v>454</v>
      </c>
      <c r="E4366" s="217">
        <v>45170</v>
      </c>
      <c r="F4366">
        <v>46</v>
      </c>
      <c r="G4366" t="s">
        <v>260</v>
      </c>
    </row>
    <row r="4367" spans="1:7">
      <c r="A4367" s="216">
        <v>45170</v>
      </c>
      <c r="B4367" t="s">
        <v>50</v>
      </c>
      <c r="C4367">
        <v>12</v>
      </c>
      <c r="D4367" t="s">
        <v>454</v>
      </c>
      <c r="E4367" s="217">
        <v>45170</v>
      </c>
      <c r="F4367">
        <v>45</v>
      </c>
      <c r="G4367" t="s">
        <v>261</v>
      </c>
    </row>
    <row r="4368" spans="1:7">
      <c r="A4368" s="216">
        <v>45170</v>
      </c>
      <c r="B4368" t="s">
        <v>50</v>
      </c>
      <c r="C4368">
        <v>12</v>
      </c>
      <c r="D4368" t="s">
        <v>454</v>
      </c>
      <c r="E4368" s="217">
        <v>45170</v>
      </c>
      <c r="F4368">
        <v>45</v>
      </c>
      <c r="G4368" t="s">
        <v>262</v>
      </c>
    </row>
    <row r="4369" spans="1:7">
      <c r="A4369" s="216">
        <v>45170</v>
      </c>
      <c r="B4369" t="s">
        <v>50</v>
      </c>
      <c r="C4369">
        <v>12</v>
      </c>
      <c r="D4369" t="s">
        <v>454</v>
      </c>
      <c r="E4369" s="217">
        <v>45170</v>
      </c>
      <c r="F4369">
        <v>512</v>
      </c>
      <c r="G4369" t="s">
        <v>434</v>
      </c>
    </row>
    <row r="4370" spans="1:7">
      <c r="A4370" s="216">
        <v>45170</v>
      </c>
      <c r="B4370" t="s">
        <v>50</v>
      </c>
      <c r="C4370">
        <v>13</v>
      </c>
      <c r="D4370" t="s">
        <v>441</v>
      </c>
      <c r="E4370" s="217">
        <v>45170</v>
      </c>
      <c r="F4370">
        <v>0</v>
      </c>
      <c r="G4370" t="s">
        <v>251</v>
      </c>
    </row>
    <row r="4371" spans="1:7">
      <c r="A4371" s="216">
        <v>45170</v>
      </c>
      <c r="B4371" t="s">
        <v>50</v>
      </c>
      <c r="C4371">
        <v>13</v>
      </c>
      <c r="D4371" t="s">
        <v>441</v>
      </c>
      <c r="E4371" s="217">
        <v>45170</v>
      </c>
      <c r="F4371">
        <v>0</v>
      </c>
      <c r="G4371" t="s">
        <v>252</v>
      </c>
    </row>
    <row r="4372" spans="1:7">
      <c r="A4372" s="216">
        <v>45170</v>
      </c>
      <c r="B4372" t="s">
        <v>50</v>
      </c>
      <c r="C4372">
        <v>13</v>
      </c>
      <c r="D4372" t="s">
        <v>441</v>
      </c>
      <c r="E4372" s="217">
        <v>45170</v>
      </c>
      <c r="F4372">
        <v>0</v>
      </c>
      <c r="G4372" t="s">
        <v>253</v>
      </c>
    </row>
    <row r="4373" spans="1:7">
      <c r="A4373" s="216">
        <v>45170</v>
      </c>
      <c r="B4373" t="s">
        <v>50</v>
      </c>
      <c r="C4373">
        <v>13</v>
      </c>
      <c r="D4373" t="s">
        <v>441</v>
      </c>
      <c r="E4373" s="217">
        <v>45170</v>
      </c>
      <c r="F4373">
        <v>0</v>
      </c>
      <c r="G4373" t="s">
        <v>254</v>
      </c>
    </row>
    <row r="4374" spans="1:7">
      <c r="A4374" s="216">
        <v>45170</v>
      </c>
      <c r="B4374" t="s">
        <v>50</v>
      </c>
      <c r="C4374">
        <v>13</v>
      </c>
      <c r="D4374" t="s">
        <v>441</v>
      </c>
      <c r="E4374" s="217">
        <v>45170</v>
      </c>
      <c r="F4374">
        <v>0</v>
      </c>
      <c r="G4374" t="s">
        <v>255</v>
      </c>
    </row>
    <row r="4375" spans="1:7">
      <c r="A4375" s="216">
        <v>45170</v>
      </c>
      <c r="B4375" t="s">
        <v>50</v>
      </c>
      <c r="C4375">
        <v>13</v>
      </c>
      <c r="D4375" t="s">
        <v>441</v>
      </c>
      <c r="E4375" s="217">
        <v>45170</v>
      </c>
      <c r="F4375">
        <v>0</v>
      </c>
      <c r="G4375" t="s">
        <v>256</v>
      </c>
    </row>
    <row r="4376" spans="1:7">
      <c r="A4376" s="216">
        <v>45170</v>
      </c>
      <c r="B4376" t="s">
        <v>50</v>
      </c>
      <c r="C4376">
        <v>13</v>
      </c>
      <c r="D4376" t="s">
        <v>441</v>
      </c>
      <c r="E4376" s="217">
        <v>45170</v>
      </c>
      <c r="F4376">
        <v>0</v>
      </c>
      <c r="G4376" t="s">
        <v>257</v>
      </c>
    </row>
    <row r="4377" spans="1:7">
      <c r="A4377" s="216">
        <v>45170</v>
      </c>
      <c r="B4377" t="s">
        <v>50</v>
      </c>
      <c r="C4377">
        <v>13</v>
      </c>
      <c r="D4377" t="s">
        <v>441</v>
      </c>
      <c r="E4377" s="217">
        <v>45170</v>
      </c>
      <c r="F4377">
        <v>0</v>
      </c>
      <c r="G4377" t="s">
        <v>258</v>
      </c>
    </row>
    <row r="4378" spans="1:7">
      <c r="A4378" s="216">
        <v>45170</v>
      </c>
      <c r="B4378" t="s">
        <v>50</v>
      </c>
      <c r="C4378">
        <v>13</v>
      </c>
      <c r="D4378" t="s">
        <v>441</v>
      </c>
      <c r="E4378" s="217">
        <v>45170</v>
      </c>
      <c r="F4378">
        <v>0</v>
      </c>
      <c r="G4378" t="s">
        <v>259</v>
      </c>
    </row>
    <row r="4379" spans="1:7">
      <c r="A4379" s="216">
        <v>45170</v>
      </c>
      <c r="B4379" t="s">
        <v>50</v>
      </c>
      <c r="C4379">
        <v>13</v>
      </c>
      <c r="D4379" t="s">
        <v>441</v>
      </c>
      <c r="E4379" s="217">
        <v>45170</v>
      </c>
      <c r="F4379">
        <v>0</v>
      </c>
      <c r="G4379" t="s">
        <v>260</v>
      </c>
    </row>
    <row r="4380" spans="1:7">
      <c r="A4380" s="216">
        <v>45170</v>
      </c>
      <c r="B4380" t="s">
        <v>50</v>
      </c>
      <c r="C4380">
        <v>13</v>
      </c>
      <c r="D4380" t="s">
        <v>441</v>
      </c>
      <c r="E4380" s="217">
        <v>45170</v>
      </c>
      <c r="F4380">
        <v>0</v>
      </c>
      <c r="G4380" t="s">
        <v>261</v>
      </c>
    </row>
    <row r="4381" spans="1:7">
      <c r="A4381" s="216">
        <v>45170</v>
      </c>
      <c r="B4381" t="s">
        <v>50</v>
      </c>
      <c r="C4381">
        <v>13</v>
      </c>
      <c r="D4381" t="s">
        <v>441</v>
      </c>
      <c r="E4381" s="217">
        <v>45170</v>
      </c>
      <c r="F4381">
        <v>0</v>
      </c>
      <c r="G4381" t="s">
        <v>262</v>
      </c>
    </row>
    <row r="4382" spans="1:7">
      <c r="A4382" s="216">
        <v>45170</v>
      </c>
      <c r="B4382" t="s">
        <v>50</v>
      </c>
      <c r="C4382">
        <v>13</v>
      </c>
      <c r="D4382" t="s">
        <v>441</v>
      </c>
      <c r="E4382" s="217">
        <v>45170</v>
      </c>
      <c r="F4382">
        <v>0</v>
      </c>
      <c r="G4382" t="s">
        <v>434</v>
      </c>
    </row>
    <row r="4383" spans="1:7">
      <c r="A4383" s="216">
        <v>45170</v>
      </c>
      <c r="B4383" t="s">
        <v>50</v>
      </c>
      <c r="C4383">
        <v>14</v>
      </c>
      <c r="D4383" t="s">
        <v>447</v>
      </c>
      <c r="E4383" s="217">
        <v>45170</v>
      </c>
      <c r="F4383">
        <v>0</v>
      </c>
      <c r="G4383" t="s">
        <v>251</v>
      </c>
    </row>
    <row r="4384" spans="1:7">
      <c r="A4384" s="216">
        <v>45170</v>
      </c>
      <c r="B4384" t="s">
        <v>50</v>
      </c>
      <c r="C4384">
        <v>14</v>
      </c>
      <c r="D4384" t="s">
        <v>447</v>
      </c>
      <c r="E4384" s="217">
        <v>45170</v>
      </c>
      <c r="F4384">
        <v>0</v>
      </c>
      <c r="G4384" t="s">
        <v>252</v>
      </c>
    </row>
    <row r="4385" spans="1:7">
      <c r="A4385" s="216">
        <v>45170</v>
      </c>
      <c r="B4385" t="s">
        <v>50</v>
      </c>
      <c r="C4385">
        <v>14</v>
      </c>
      <c r="D4385" t="s">
        <v>447</v>
      </c>
      <c r="E4385" s="217">
        <v>45170</v>
      </c>
      <c r="F4385">
        <v>0</v>
      </c>
      <c r="G4385" t="s">
        <v>253</v>
      </c>
    </row>
    <row r="4386" spans="1:7">
      <c r="A4386" s="216">
        <v>45170</v>
      </c>
      <c r="B4386" t="s">
        <v>50</v>
      </c>
      <c r="C4386">
        <v>14</v>
      </c>
      <c r="D4386" t="s">
        <v>447</v>
      </c>
      <c r="E4386" s="217">
        <v>45170</v>
      </c>
      <c r="F4386">
        <v>0</v>
      </c>
      <c r="G4386" t="s">
        <v>254</v>
      </c>
    </row>
    <row r="4387" spans="1:7">
      <c r="A4387" s="216">
        <v>45170</v>
      </c>
      <c r="B4387" t="s">
        <v>50</v>
      </c>
      <c r="C4387">
        <v>14</v>
      </c>
      <c r="D4387" t="s">
        <v>447</v>
      </c>
      <c r="E4387" s="217">
        <v>45170</v>
      </c>
      <c r="F4387">
        <v>0</v>
      </c>
      <c r="G4387" t="s">
        <v>255</v>
      </c>
    </row>
    <row r="4388" spans="1:7">
      <c r="A4388" s="216">
        <v>45170</v>
      </c>
      <c r="B4388" t="s">
        <v>50</v>
      </c>
      <c r="C4388">
        <v>14</v>
      </c>
      <c r="D4388" t="s">
        <v>447</v>
      </c>
      <c r="E4388" s="217">
        <v>45170</v>
      </c>
      <c r="F4388">
        <v>0</v>
      </c>
      <c r="G4388" t="s">
        <v>256</v>
      </c>
    </row>
    <row r="4389" spans="1:7">
      <c r="A4389" s="216">
        <v>45170</v>
      </c>
      <c r="B4389" t="s">
        <v>50</v>
      </c>
      <c r="C4389">
        <v>14</v>
      </c>
      <c r="D4389" t="s">
        <v>447</v>
      </c>
      <c r="E4389" s="217">
        <v>45170</v>
      </c>
      <c r="F4389">
        <v>0</v>
      </c>
      <c r="G4389" t="s">
        <v>257</v>
      </c>
    </row>
    <row r="4390" spans="1:7">
      <c r="A4390" s="216">
        <v>45170</v>
      </c>
      <c r="B4390" t="s">
        <v>50</v>
      </c>
      <c r="C4390">
        <v>14</v>
      </c>
      <c r="D4390" t="s">
        <v>447</v>
      </c>
      <c r="E4390" s="217">
        <v>45170</v>
      </c>
      <c r="F4390">
        <v>0</v>
      </c>
      <c r="G4390" t="s">
        <v>258</v>
      </c>
    </row>
    <row r="4391" spans="1:7">
      <c r="A4391" s="216">
        <v>45170</v>
      </c>
      <c r="B4391" t="s">
        <v>50</v>
      </c>
      <c r="C4391">
        <v>14</v>
      </c>
      <c r="D4391" t="s">
        <v>447</v>
      </c>
      <c r="E4391" s="217">
        <v>45170</v>
      </c>
      <c r="F4391">
        <v>0</v>
      </c>
      <c r="G4391" t="s">
        <v>259</v>
      </c>
    </row>
    <row r="4392" spans="1:7">
      <c r="A4392" s="216">
        <v>45170</v>
      </c>
      <c r="B4392" t="s">
        <v>50</v>
      </c>
      <c r="C4392">
        <v>14</v>
      </c>
      <c r="D4392" t="s">
        <v>447</v>
      </c>
      <c r="E4392" s="217">
        <v>45170</v>
      </c>
      <c r="F4392">
        <v>0</v>
      </c>
      <c r="G4392" t="s">
        <v>260</v>
      </c>
    </row>
    <row r="4393" spans="1:7">
      <c r="A4393" s="216">
        <v>45170</v>
      </c>
      <c r="B4393" t="s">
        <v>50</v>
      </c>
      <c r="C4393">
        <v>14</v>
      </c>
      <c r="D4393" t="s">
        <v>447</v>
      </c>
      <c r="E4393" s="217">
        <v>45170</v>
      </c>
      <c r="F4393">
        <v>0</v>
      </c>
      <c r="G4393" t="s">
        <v>261</v>
      </c>
    </row>
    <row r="4394" spans="1:7">
      <c r="A4394" s="216">
        <v>45170</v>
      </c>
      <c r="B4394" t="s">
        <v>50</v>
      </c>
      <c r="C4394">
        <v>14</v>
      </c>
      <c r="D4394" t="s">
        <v>447</v>
      </c>
      <c r="E4394" s="217">
        <v>45170</v>
      </c>
      <c r="F4394">
        <v>0</v>
      </c>
      <c r="G4394" t="s">
        <v>262</v>
      </c>
    </row>
    <row r="4395" spans="1:7">
      <c r="A4395" s="216">
        <v>45170</v>
      </c>
      <c r="B4395" t="s">
        <v>50</v>
      </c>
      <c r="C4395">
        <v>14</v>
      </c>
      <c r="D4395" t="s">
        <v>447</v>
      </c>
      <c r="E4395" s="217">
        <v>45170</v>
      </c>
      <c r="F4395">
        <v>0</v>
      </c>
      <c r="G4395" t="s">
        <v>434</v>
      </c>
    </row>
    <row r="4396" spans="1:7">
      <c r="A4396" s="216">
        <v>45170</v>
      </c>
      <c r="B4396" t="s">
        <v>50</v>
      </c>
      <c r="C4396">
        <v>15</v>
      </c>
      <c r="D4396" t="s">
        <v>437</v>
      </c>
      <c r="E4396" s="217">
        <v>45170</v>
      </c>
      <c r="F4396">
        <v>0</v>
      </c>
      <c r="G4396" t="s">
        <v>251</v>
      </c>
    </row>
    <row r="4397" spans="1:7">
      <c r="A4397" s="216">
        <v>45170</v>
      </c>
      <c r="B4397" t="s">
        <v>50</v>
      </c>
      <c r="C4397">
        <v>15</v>
      </c>
      <c r="D4397" t="s">
        <v>437</v>
      </c>
      <c r="E4397" s="217">
        <v>45170</v>
      </c>
      <c r="F4397">
        <v>0</v>
      </c>
      <c r="G4397" t="s">
        <v>252</v>
      </c>
    </row>
    <row r="4398" spans="1:7">
      <c r="A4398" s="216">
        <v>45170</v>
      </c>
      <c r="B4398" t="s">
        <v>50</v>
      </c>
      <c r="C4398">
        <v>15</v>
      </c>
      <c r="D4398" t="s">
        <v>437</v>
      </c>
      <c r="E4398" s="217">
        <v>45170</v>
      </c>
      <c r="F4398">
        <v>0</v>
      </c>
      <c r="G4398" t="s">
        <v>253</v>
      </c>
    </row>
    <row r="4399" spans="1:7">
      <c r="A4399" s="216">
        <v>45170</v>
      </c>
      <c r="B4399" t="s">
        <v>50</v>
      </c>
      <c r="C4399">
        <v>15</v>
      </c>
      <c r="D4399" t="s">
        <v>437</v>
      </c>
      <c r="E4399" s="217">
        <v>45170</v>
      </c>
      <c r="F4399">
        <v>0</v>
      </c>
      <c r="G4399" t="s">
        <v>254</v>
      </c>
    </row>
    <row r="4400" spans="1:7">
      <c r="A4400" s="216">
        <v>45170</v>
      </c>
      <c r="B4400" t="s">
        <v>50</v>
      </c>
      <c r="C4400">
        <v>15</v>
      </c>
      <c r="D4400" t="s">
        <v>437</v>
      </c>
      <c r="E4400" s="217">
        <v>45170</v>
      </c>
      <c r="F4400">
        <v>0</v>
      </c>
      <c r="G4400" t="s">
        <v>255</v>
      </c>
    </row>
    <row r="4401" spans="1:7">
      <c r="A4401" s="216">
        <v>45170</v>
      </c>
      <c r="B4401" t="s">
        <v>50</v>
      </c>
      <c r="C4401">
        <v>15</v>
      </c>
      <c r="D4401" t="s">
        <v>437</v>
      </c>
      <c r="E4401" s="217">
        <v>45170</v>
      </c>
      <c r="F4401">
        <v>0</v>
      </c>
      <c r="G4401" t="s">
        <v>256</v>
      </c>
    </row>
    <row r="4402" spans="1:7">
      <c r="A4402" s="216">
        <v>45170</v>
      </c>
      <c r="B4402" t="s">
        <v>50</v>
      </c>
      <c r="C4402">
        <v>15</v>
      </c>
      <c r="D4402" t="s">
        <v>437</v>
      </c>
      <c r="E4402" s="217">
        <v>45170</v>
      </c>
      <c r="F4402">
        <v>0</v>
      </c>
      <c r="G4402" t="s">
        <v>257</v>
      </c>
    </row>
    <row r="4403" spans="1:7">
      <c r="A4403" s="216">
        <v>45170</v>
      </c>
      <c r="B4403" t="s">
        <v>50</v>
      </c>
      <c r="C4403">
        <v>15</v>
      </c>
      <c r="D4403" t="s">
        <v>437</v>
      </c>
      <c r="E4403" s="217">
        <v>45170</v>
      </c>
      <c r="F4403">
        <v>0</v>
      </c>
      <c r="G4403" t="s">
        <v>258</v>
      </c>
    </row>
    <row r="4404" spans="1:7">
      <c r="A4404" s="216">
        <v>45170</v>
      </c>
      <c r="B4404" t="s">
        <v>50</v>
      </c>
      <c r="C4404">
        <v>15</v>
      </c>
      <c r="D4404" t="s">
        <v>437</v>
      </c>
      <c r="E4404" s="217">
        <v>45170</v>
      </c>
      <c r="F4404">
        <v>0</v>
      </c>
      <c r="G4404" t="s">
        <v>259</v>
      </c>
    </row>
    <row r="4405" spans="1:7">
      <c r="A4405" s="216">
        <v>45170</v>
      </c>
      <c r="B4405" t="s">
        <v>50</v>
      </c>
      <c r="C4405">
        <v>15</v>
      </c>
      <c r="D4405" t="s">
        <v>437</v>
      </c>
      <c r="E4405" s="217">
        <v>45170</v>
      </c>
      <c r="F4405">
        <v>0</v>
      </c>
      <c r="G4405" t="s">
        <v>260</v>
      </c>
    </row>
    <row r="4406" spans="1:7">
      <c r="A4406" s="216">
        <v>45170</v>
      </c>
      <c r="B4406" t="s">
        <v>50</v>
      </c>
      <c r="C4406">
        <v>15</v>
      </c>
      <c r="D4406" t="s">
        <v>437</v>
      </c>
      <c r="E4406" s="217">
        <v>45170</v>
      </c>
      <c r="F4406">
        <v>0</v>
      </c>
      <c r="G4406" t="s">
        <v>261</v>
      </c>
    </row>
    <row r="4407" spans="1:7">
      <c r="A4407" s="216">
        <v>45170</v>
      </c>
      <c r="B4407" t="s">
        <v>50</v>
      </c>
      <c r="C4407">
        <v>15</v>
      </c>
      <c r="D4407" t="s">
        <v>437</v>
      </c>
      <c r="E4407" s="217">
        <v>45170</v>
      </c>
      <c r="F4407">
        <v>0</v>
      </c>
      <c r="G4407" t="s">
        <v>262</v>
      </c>
    </row>
    <row r="4408" spans="1:7">
      <c r="A4408" s="216">
        <v>45170</v>
      </c>
      <c r="B4408" t="s">
        <v>50</v>
      </c>
      <c r="C4408">
        <v>15</v>
      </c>
      <c r="D4408" t="s">
        <v>437</v>
      </c>
      <c r="E4408" s="217">
        <v>45170</v>
      </c>
      <c r="F4408">
        <v>0</v>
      </c>
      <c r="G4408" t="s">
        <v>434</v>
      </c>
    </row>
    <row r="4409" spans="1:7">
      <c r="A4409" s="216">
        <v>45170</v>
      </c>
      <c r="B4409" t="s">
        <v>50</v>
      </c>
      <c r="C4409">
        <v>16</v>
      </c>
      <c r="D4409" t="s">
        <v>449</v>
      </c>
      <c r="E4409" s="217">
        <v>45170</v>
      </c>
      <c r="F4409">
        <v>831</v>
      </c>
      <c r="G4409" t="s">
        <v>251</v>
      </c>
    </row>
    <row r="4410" spans="1:7">
      <c r="A4410" s="216">
        <v>45170</v>
      </c>
      <c r="B4410" t="s">
        <v>50</v>
      </c>
      <c r="C4410">
        <v>16</v>
      </c>
      <c r="D4410" t="s">
        <v>449</v>
      </c>
      <c r="E4410" s="217">
        <v>45170</v>
      </c>
      <c r="F4410">
        <v>885</v>
      </c>
      <c r="G4410" t="s">
        <v>252</v>
      </c>
    </row>
    <row r="4411" spans="1:7">
      <c r="A4411" s="216">
        <v>45170</v>
      </c>
      <c r="B4411" t="s">
        <v>50</v>
      </c>
      <c r="C4411">
        <v>16</v>
      </c>
      <c r="D4411" t="s">
        <v>449</v>
      </c>
      <c r="E4411" s="217">
        <v>45170</v>
      </c>
      <c r="F4411">
        <v>847</v>
      </c>
      <c r="G4411" t="s">
        <v>253</v>
      </c>
    </row>
    <row r="4412" spans="1:7">
      <c r="A4412" s="216">
        <v>45170</v>
      </c>
      <c r="B4412" t="s">
        <v>50</v>
      </c>
      <c r="C4412">
        <v>16</v>
      </c>
      <c r="D4412" t="s">
        <v>449</v>
      </c>
      <c r="E4412" s="217">
        <v>45170</v>
      </c>
      <c r="F4412">
        <v>860</v>
      </c>
      <c r="G4412" t="s">
        <v>254</v>
      </c>
    </row>
    <row r="4413" spans="1:7">
      <c r="A4413" s="216">
        <v>45170</v>
      </c>
      <c r="B4413" t="s">
        <v>50</v>
      </c>
      <c r="C4413">
        <v>16</v>
      </c>
      <c r="D4413" t="s">
        <v>449</v>
      </c>
      <c r="E4413" s="217">
        <v>45170</v>
      </c>
      <c r="F4413">
        <v>954</v>
      </c>
      <c r="G4413" t="s">
        <v>255</v>
      </c>
    </row>
    <row r="4414" spans="1:7">
      <c r="A4414" s="216">
        <v>45170</v>
      </c>
      <c r="B4414" t="s">
        <v>50</v>
      </c>
      <c r="C4414">
        <v>16</v>
      </c>
      <c r="D4414" t="s">
        <v>449</v>
      </c>
      <c r="E4414" s="217">
        <v>45170</v>
      </c>
      <c r="F4414">
        <v>966</v>
      </c>
      <c r="G4414" t="s">
        <v>256</v>
      </c>
    </row>
    <row r="4415" spans="1:7">
      <c r="A4415" s="216">
        <v>45170</v>
      </c>
      <c r="B4415" t="s">
        <v>50</v>
      </c>
      <c r="C4415">
        <v>16</v>
      </c>
      <c r="D4415" t="s">
        <v>449</v>
      </c>
      <c r="E4415" s="217">
        <v>45170</v>
      </c>
      <c r="F4415">
        <v>636</v>
      </c>
      <c r="G4415" t="s">
        <v>257</v>
      </c>
    </row>
    <row r="4416" spans="1:7">
      <c r="A4416" s="216">
        <v>45170</v>
      </c>
      <c r="B4416" t="s">
        <v>50</v>
      </c>
      <c r="C4416">
        <v>16</v>
      </c>
      <c r="D4416" t="s">
        <v>449</v>
      </c>
      <c r="E4416" s="217">
        <v>45170</v>
      </c>
      <c r="F4416">
        <v>636</v>
      </c>
      <c r="G4416" t="s">
        <v>258</v>
      </c>
    </row>
    <row r="4417" spans="1:7">
      <c r="A4417" s="216">
        <v>45170</v>
      </c>
      <c r="B4417" t="s">
        <v>50</v>
      </c>
      <c r="C4417">
        <v>16</v>
      </c>
      <c r="D4417" t="s">
        <v>449</v>
      </c>
      <c r="E4417" s="217">
        <v>45170</v>
      </c>
      <c r="F4417">
        <v>636</v>
      </c>
      <c r="G4417" t="s">
        <v>259</v>
      </c>
    </row>
    <row r="4418" spans="1:7">
      <c r="A4418" s="216">
        <v>45170</v>
      </c>
      <c r="B4418" t="s">
        <v>50</v>
      </c>
      <c r="C4418">
        <v>16</v>
      </c>
      <c r="D4418" t="s">
        <v>449</v>
      </c>
      <c r="E4418" s="217">
        <v>45170</v>
      </c>
      <c r="F4418">
        <v>636</v>
      </c>
      <c r="G4418" t="s">
        <v>260</v>
      </c>
    </row>
    <row r="4419" spans="1:7">
      <c r="A4419" s="216">
        <v>45170</v>
      </c>
      <c r="B4419" t="s">
        <v>50</v>
      </c>
      <c r="C4419">
        <v>16</v>
      </c>
      <c r="D4419" t="s">
        <v>449</v>
      </c>
      <c r="E4419" s="217">
        <v>45170</v>
      </c>
      <c r="F4419">
        <v>635</v>
      </c>
      <c r="G4419" t="s">
        <v>261</v>
      </c>
    </row>
    <row r="4420" spans="1:7">
      <c r="A4420" s="216">
        <v>45170</v>
      </c>
      <c r="B4420" t="s">
        <v>50</v>
      </c>
      <c r="C4420">
        <v>16</v>
      </c>
      <c r="D4420" t="s">
        <v>449</v>
      </c>
      <c r="E4420" s="217">
        <v>45170</v>
      </c>
      <c r="F4420">
        <v>635</v>
      </c>
      <c r="G4420" t="s">
        <v>262</v>
      </c>
    </row>
    <row r="4421" spans="1:7">
      <c r="A4421" s="216">
        <v>45170</v>
      </c>
      <c r="B4421" t="s">
        <v>50</v>
      </c>
      <c r="C4421">
        <v>16</v>
      </c>
      <c r="D4421" t="s">
        <v>449</v>
      </c>
      <c r="E4421" s="217">
        <v>45170</v>
      </c>
      <c r="F4421">
        <v>9157</v>
      </c>
      <c r="G4421" t="s">
        <v>434</v>
      </c>
    </row>
    <row r="4422" spans="1:7">
      <c r="A4422" s="216">
        <v>45170</v>
      </c>
      <c r="B4422" t="s">
        <v>50</v>
      </c>
      <c r="C4422">
        <v>17</v>
      </c>
      <c r="D4422" t="s">
        <v>443</v>
      </c>
      <c r="E4422" s="217">
        <v>45170</v>
      </c>
      <c r="F4422">
        <v>0</v>
      </c>
      <c r="G4422" t="s">
        <v>251</v>
      </c>
    </row>
    <row r="4423" spans="1:7">
      <c r="A4423" s="216">
        <v>45170</v>
      </c>
      <c r="B4423" t="s">
        <v>50</v>
      </c>
      <c r="C4423">
        <v>17</v>
      </c>
      <c r="D4423" t="s">
        <v>443</v>
      </c>
      <c r="E4423" s="217">
        <v>45170</v>
      </c>
      <c r="F4423">
        <v>0</v>
      </c>
      <c r="G4423" t="s">
        <v>252</v>
      </c>
    </row>
    <row r="4424" spans="1:7">
      <c r="A4424" s="216">
        <v>45170</v>
      </c>
      <c r="B4424" t="s">
        <v>50</v>
      </c>
      <c r="C4424">
        <v>17</v>
      </c>
      <c r="D4424" t="s">
        <v>443</v>
      </c>
      <c r="E4424" s="217">
        <v>45170</v>
      </c>
      <c r="F4424">
        <v>0</v>
      </c>
      <c r="G4424" t="s">
        <v>253</v>
      </c>
    </row>
    <row r="4425" spans="1:7">
      <c r="A4425" s="216">
        <v>45170</v>
      </c>
      <c r="B4425" t="s">
        <v>50</v>
      </c>
      <c r="C4425">
        <v>17</v>
      </c>
      <c r="D4425" t="s">
        <v>443</v>
      </c>
      <c r="E4425" s="217">
        <v>45170</v>
      </c>
      <c r="F4425">
        <v>0</v>
      </c>
      <c r="G4425" t="s">
        <v>254</v>
      </c>
    </row>
    <row r="4426" spans="1:7">
      <c r="A4426" s="216">
        <v>45170</v>
      </c>
      <c r="B4426" t="s">
        <v>50</v>
      </c>
      <c r="C4426">
        <v>17</v>
      </c>
      <c r="D4426" t="s">
        <v>443</v>
      </c>
      <c r="E4426" s="217">
        <v>45170</v>
      </c>
      <c r="F4426">
        <v>0</v>
      </c>
      <c r="G4426" t="s">
        <v>255</v>
      </c>
    </row>
    <row r="4427" spans="1:7">
      <c r="A4427" s="216">
        <v>45170</v>
      </c>
      <c r="B4427" t="s">
        <v>50</v>
      </c>
      <c r="C4427">
        <v>17</v>
      </c>
      <c r="D4427" t="s">
        <v>443</v>
      </c>
      <c r="E4427" s="217">
        <v>45170</v>
      </c>
      <c r="F4427">
        <v>0</v>
      </c>
      <c r="G4427" t="s">
        <v>256</v>
      </c>
    </row>
    <row r="4428" spans="1:7">
      <c r="A4428" s="216">
        <v>45170</v>
      </c>
      <c r="B4428" t="s">
        <v>50</v>
      </c>
      <c r="C4428">
        <v>17</v>
      </c>
      <c r="D4428" t="s">
        <v>443</v>
      </c>
      <c r="E4428" s="217">
        <v>45170</v>
      </c>
      <c r="F4428">
        <v>0</v>
      </c>
      <c r="G4428" t="s">
        <v>257</v>
      </c>
    </row>
    <row r="4429" spans="1:7">
      <c r="A4429" s="216">
        <v>45170</v>
      </c>
      <c r="B4429" t="s">
        <v>50</v>
      </c>
      <c r="C4429">
        <v>17</v>
      </c>
      <c r="D4429" t="s">
        <v>443</v>
      </c>
      <c r="E4429" s="217">
        <v>45170</v>
      </c>
      <c r="F4429">
        <v>0</v>
      </c>
      <c r="G4429" t="s">
        <v>258</v>
      </c>
    </row>
    <row r="4430" spans="1:7">
      <c r="A4430" s="216">
        <v>45170</v>
      </c>
      <c r="B4430" t="s">
        <v>50</v>
      </c>
      <c r="C4430">
        <v>17</v>
      </c>
      <c r="D4430" t="s">
        <v>443</v>
      </c>
      <c r="E4430" s="217">
        <v>45170</v>
      </c>
      <c r="F4430">
        <v>0</v>
      </c>
      <c r="G4430" t="s">
        <v>259</v>
      </c>
    </row>
    <row r="4431" spans="1:7">
      <c r="A4431" s="216">
        <v>45170</v>
      </c>
      <c r="B4431" t="s">
        <v>50</v>
      </c>
      <c r="C4431">
        <v>17</v>
      </c>
      <c r="D4431" t="s">
        <v>443</v>
      </c>
      <c r="E4431" s="217">
        <v>45170</v>
      </c>
      <c r="F4431">
        <v>0</v>
      </c>
      <c r="G4431" t="s">
        <v>260</v>
      </c>
    </row>
    <row r="4432" spans="1:7">
      <c r="A4432" s="216">
        <v>45170</v>
      </c>
      <c r="B4432" t="s">
        <v>50</v>
      </c>
      <c r="C4432">
        <v>17</v>
      </c>
      <c r="D4432" t="s">
        <v>443</v>
      </c>
      <c r="E4432" s="217">
        <v>45170</v>
      </c>
      <c r="F4432">
        <v>0</v>
      </c>
      <c r="G4432" t="s">
        <v>261</v>
      </c>
    </row>
    <row r="4433" spans="1:7">
      <c r="A4433" s="216">
        <v>45170</v>
      </c>
      <c r="B4433" t="s">
        <v>50</v>
      </c>
      <c r="C4433">
        <v>17</v>
      </c>
      <c r="D4433" t="s">
        <v>443</v>
      </c>
      <c r="E4433" s="217">
        <v>45170</v>
      </c>
      <c r="F4433">
        <v>0</v>
      </c>
      <c r="G4433" t="s">
        <v>262</v>
      </c>
    </row>
    <row r="4434" spans="1:7">
      <c r="A4434" s="216">
        <v>45170</v>
      </c>
      <c r="B4434" t="s">
        <v>50</v>
      </c>
      <c r="C4434">
        <v>17</v>
      </c>
      <c r="D4434" t="s">
        <v>443</v>
      </c>
      <c r="E4434" s="217">
        <v>45170</v>
      </c>
      <c r="F4434">
        <v>0</v>
      </c>
      <c r="G4434" t="s">
        <v>434</v>
      </c>
    </row>
    <row r="4435" spans="1:7">
      <c r="A4435" s="216">
        <v>45170</v>
      </c>
      <c r="B4435" t="s">
        <v>50</v>
      </c>
      <c r="C4435">
        <v>18</v>
      </c>
      <c r="D4435" t="s">
        <v>444</v>
      </c>
      <c r="E4435" s="217">
        <v>45170</v>
      </c>
      <c r="F4435">
        <v>77</v>
      </c>
      <c r="G4435" t="s">
        <v>251</v>
      </c>
    </row>
    <row r="4436" spans="1:7">
      <c r="A4436" s="216">
        <v>45170</v>
      </c>
      <c r="B4436" t="s">
        <v>50</v>
      </c>
      <c r="C4436">
        <v>18</v>
      </c>
      <c r="D4436" t="s">
        <v>444</v>
      </c>
      <c r="E4436" s="217">
        <v>45170</v>
      </c>
      <c r="F4436">
        <v>97</v>
      </c>
      <c r="G4436" t="s">
        <v>252</v>
      </c>
    </row>
    <row r="4437" spans="1:7">
      <c r="A4437" s="216">
        <v>45170</v>
      </c>
      <c r="B4437" t="s">
        <v>50</v>
      </c>
      <c r="C4437">
        <v>18</v>
      </c>
      <c r="D4437" t="s">
        <v>444</v>
      </c>
      <c r="E4437" s="217">
        <v>45170</v>
      </c>
      <c r="F4437">
        <v>83</v>
      </c>
      <c r="G4437" t="s">
        <v>253</v>
      </c>
    </row>
    <row r="4438" spans="1:7">
      <c r="A4438" s="216">
        <v>45170</v>
      </c>
      <c r="B4438" t="s">
        <v>50</v>
      </c>
      <c r="C4438">
        <v>18</v>
      </c>
      <c r="D4438" t="s">
        <v>444</v>
      </c>
      <c r="E4438" s="217">
        <v>45170</v>
      </c>
      <c r="F4438">
        <v>53</v>
      </c>
      <c r="G4438" t="s">
        <v>254</v>
      </c>
    </row>
    <row r="4439" spans="1:7">
      <c r="A4439" s="216">
        <v>45170</v>
      </c>
      <c r="B4439" t="s">
        <v>50</v>
      </c>
      <c r="C4439">
        <v>18</v>
      </c>
      <c r="D4439" t="s">
        <v>444</v>
      </c>
      <c r="E4439" s="217">
        <v>45170</v>
      </c>
      <c r="F4439">
        <v>78</v>
      </c>
      <c r="G4439" t="s">
        <v>255</v>
      </c>
    </row>
    <row r="4440" spans="1:7">
      <c r="A4440" s="216">
        <v>45170</v>
      </c>
      <c r="B4440" t="s">
        <v>50</v>
      </c>
      <c r="C4440">
        <v>18</v>
      </c>
      <c r="D4440" t="s">
        <v>444</v>
      </c>
      <c r="E4440" s="217">
        <v>45170</v>
      </c>
      <c r="F4440">
        <v>71</v>
      </c>
      <c r="G4440" t="s">
        <v>256</v>
      </c>
    </row>
    <row r="4441" spans="1:7">
      <c r="A4441" s="216">
        <v>45170</v>
      </c>
      <c r="B4441" t="s">
        <v>50</v>
      </c>
      <c r="C4441">
        <v>18</v>
      </c>
      <c r="D4441" t="s">
        <v>444</v>
      </c>
      <c r="E4441" s="217">
        <v>45170</v>
      </c>
      <c r="F4441">
        <v>79</v>
      </c>
      <c r="G4441" t="s">
        <v>257</v>
      </c>
    </row>
    <row r="4442" spans="1:7">
      <c r="A4442" s="216">
        <v>45170</v>
      </c>
      <c r="B4442" t="s">
        <v>50</v>
      </c>
      <c r="C4442">
        <v>18</v>
      </c>
      <c r="D4442" t="s">
        <v>444</v>
      </c>
      <c r="E4442" s="217">
        <v>45170</v>
      </c>
      <c r="F4442">
        <v>78</v>
      </c>
      <c r="G4442" t="s">
        <v>258</v>
      </c>
    </row>
    <row r="4443" spans="1:7">
      <c r="A4443" s="216">
        <v>45170</v>
      </c>
      <c r="B4443" t="s">
        <v>50</v>
      </c>
      <c r="C4443">
        <v>18</v>
      </c>
      <c r="D4443" t="s">
        <v>444</v>
      </c>
      <c r="E4443" s="217">
        <v>45170</v>
      </c>
      <c r="F4443">
        <v>78</v>
      </c>
      <c r="G4443" t="s">
        <v>259</v>
      </c>
    </row>
    <row r="4444" spans="1:7">
      <c r="A4444" s="216">
        <v>45170</v>
      </c>
      <c r="B4444" t="s">
        <v>50</v>
      </c>
      <c r="C4444">
        <v>18</v>
      </c>
      <c r="D4444" t="s">
        <v>444</v>
      </c>
      <c r="E4444" s="217">
        <v>45170</v>
      </c>
      <c r="F4444">
        <v>78</v>
      </c>
      <c r="G4444" t="s">
        <v>260</v>
      </c>
    </row>
    <row r="4445" spans="1:7">
      <c r="A4445" s="216">
        <v>45170</v>
      </c>
      <c r="B4445" t="s">
        <v>50</v>
      </c>
      <c r="C4445">
        <v>18</v>
      </c>
      <c r="D4445" t="s">
        <v>444</v>
      </c>
      <c r="E4445" s="217">
        <v>45170</v>
      </c>
      <c r="F4445">
        <v>78</v>
      </c>
      <c r="G4445" t="s">
        <v>261</v>
      </c>
    </row>
    <row r="4446" spans="1:7">
      <c r="A4446" s="216">
        <v>45170</v>
      </c>
      <c r="B4446" t="s">
        <v>50</v>
      </c>
      <c r="C4446">
        <v>18</v>
      </c>
      <c r="D4446" t="s">
        <v>444</v>
      </c>
      <c r="E4446" s="217">
        <v>45170</v>
      </c>
      <c r="F4446">
        <v>78</v>
      </c>
      <c r="G4446" t="s">
        <v>262</v>
      </c>
    </row>
    <row r="4447" spans="1:7">
      <c r="A4447" s="216">
        <v>45170</v>
      </c>
      <c r="B4447" t="s">
        <v>50</v>
      </c>
      <c r="C4447">
        <v>18</v>
      </c>
      <c r="D4447" t="s">
        <v>444</v>
      </c>
      <c r="E4447" s="217">
        <v>45170</v>
      </c>
      <c r="F4447">
        <v>928</v>
      </c>
      <c r="G4447" t="s">
        <v>434</v>
      </c>
    </row>
    <row r="4448" spans="1:7">
      <c r="A4448" s="216">
        <v>45170</v>
      </c>
      <c r="B4448" t="s">
        <v>50</v>
      </c>
      <c r="C4448">
        <v>19</v>
      </c>
      <c r="D4448" t="s">
        <v>440</v>
      </c>
      <c r="E4448" s="217">
        <v>45170</v>
      </c>
      <c r="F4448">
        <v>0</v>
      </c>
      <c r="G4448" t="s">
        <v>251</v>
      </c>
    </row>
    <row r="4449" spans="1:7">
      <c r="A4449" s="216">
        <v>45170</v>
      </c>
      <c r="B4449" t="s">
        <v>50</v>
      </c>
      <c r="C4449">
        <v>19</v>
      </c>
      <c r="D4449" t="s">
        <v>440</v>
      </c>
      <c r="E4449" s="217">
        <v>45170</v>
      </c>
      <c r="F4449">
        <v>0</v>
      </c>
      <c r="G4449" t="s">
        <v>252</v>
      </c>
    </row>
    <row r="4450" spans="1:7">
      <c r="A4450" s="216">
        <v>45170</v>
      </c>
      <c r="B4450" t="s">
        <v>50</v>
      </c>
      <c r="C4450">
        <v>19</v>
      </c>
      <c r="D4450" t="s">
        <v>440</v>
      </c>
      <c r="E4450" s="217">
        <v>45170</v>
      </c>
      <c r="F4450">
        <v>0</v>
      </c>
      <c r="G4450" t="s">
        <v>253</v>
      </c>
    </row>
    <row r="4451" spans="1:7">
      <c r="A4451" s="216">
        <v>45170</v>
      </c>
      <c r="B4451" t="s">
        <v>50</v>
      </c>
      <c r="C4451">
        <v>19</v>
      </c>
      <c r="D4451" t="s">
        <v>440</v>
      </c>
      <c r="E4451" s="217">
        <v>45170</v>
      </c>
      <c r="F4451">
        <v>0</v>
      </c>
      <c r="G4451" t="s">
        <v>254</v>
      </c>
    </row>
    <row r="4452" spans="1:7">
      <c r="A4452" s="216">
        <v>45170</v>
      </c>
      <c r="B4452" t="s">
        <v>50</v>
      </c>
      <c r="C4452">
        <v>19</v>
      </c>
      <c r="D4452" t="s">
        <v>440</v>
      </c>
      <c r="E4452" s="217">
        <v>45170</v>
      </c>
      <c r="F4452">
        <v>0</v>
      </c>
      <c r="G4452" t="s">
        <v>255</v>
      </c>
    </row>
    <row r="4453" spans="1:7">
      <c r="A4453" s="216">
        <v>45170</v>
      </c>
      <c r="B4453" t="s">
        <v>50</v>
      </c>
      <c r="C4453">
        <v>19</v>
      </c>
      <c r="D4453" t="s">
        <v>440</v>
      </c>
      <c r="E4453" s="217">
        <v>45170</v>
      </c>
      <c r="F4453">
        <v>0</v>
      </c>
      <c r="G4453" t="s">
        <v>256</v>
      </c>
    </row>
    <row r="4454" spans="1:7">
      <c r="A4454" s="216">
        <v>45170</v>
      </c>
      <c r="B4454" t="s">
        <v>50</v>
      </c>
      <c r="C4454">
        <v>19</v>
      </c>
      <c r="D4454" t="s">
        <v>440</v>
      </c>
      <c r="E4454" s="217">
        <v>45170</v>
      </c>
      <c r="F4454">
        <v>0</v>
      </c>
      <c r="G4454" t="s">
        <v>257</v>
      </c>
    </row>
    <row r="4455" spans="1:7">
      <c r="A4455" s="216">
        <v>45170</v>
      </c>
      <c r="B4455" t="s">
        <v>50</v>
      </c>
      <c r="C4455">
        <v>19</v>
      </c>
      <c r="D4455" t="s">
        <v>440</v>
      </c>
      <c r="E4455" s="217">
        <v>45170</v>
      </c>
      <c r="F4455">
        <v>0</v>
      </c>
      <c r="G4455" t="s">
        <v>258</v>
      </c>
    </row>
    <row r="4456" spans="1:7">
      <c r="A4456" s="216">
        <v>45170</v>
      </c>
      <c r="B4456" t="s">
        <v>50</v>
      </c>
      <c r="C4456">
        <v>19</v>
      </c>
      <c r="D4456" t="s">
        <v>440</v>
      </c>
      <c r="E4456" s="217">
        <v>45170</v>
      </c>
      <c r="F4456">
        <v>0</v>
      </c>
      <c r="G4456" t="s">
        <v>259</v>
      </c>
    </row>
    <row r="4457" spans="1:7">
      <c r="A4457" s="216">
        <v>45170</v>
      </c>
      <c r="B4457" t="s">
        <v>50</v>
      </c>
      <c r="C4457">
        <v>19</v>
      </c>
      <c r="D4457" t="s">
        <v>440</v>
      </c>
      <c r="E4457" s="217">
        <v>45170</v>
      </c>
      <c r="F4457">
        <v>0</v>
      </c>
      <c r="G4457" t="s">
        <v>260</v>
      </c>
    </row>
    <row r="4458" spans="1:7">
      <c r="A4458" s="216">
        <v>45170</v>
      </c>
      <c r="B4458" t="s">
        <v>50</v>
      </c>
      <c r="C4458">
        <v>19</v>
      </c>
      <c r="D4458" t="s">
        <v>440</v>
      </c>
      <c r="E4458" s="217">
        <v>45170</v>
      </c>
      <c r="F4458">
        <v>0</v>
      </c>
      <c r="G4458" t="s">
        <v>261</v>
      </c>
    </row>
    <row r="4459" spans="1:7">
      <c r="A4459" s="216">
        <v>45170</v>
      </c>
      <c r="B4459" t="s">
        <v>50</v>
      </c>
      <c r="C4459">
        <v>19</v>
      </c>
      <c r="D4459" t="s">
        <v>440</v>
      </c>
      <c r="E4459" s="217">
        <v>45170</v>
      </c>
      <c r="F4459">
        <v>0</v>
      </c>
      <c r="G4459" t="s">
        <v>262</v>
      </c>
    </row>
    <row r="4460" spans="1:7">
      <c r="A4460" s="216">
        <v>45170</v>
      </c>
      <c r="B4460" t="s">
        <v>50</v>
      </c>
      <c r="C4460">
        <v>19</v>
      </c>
      <c r="D4460" t="s">
        <v>440</v>
      </c>
      <c r="E4460" s="217">
        <v>45170</v>
      </c>
      <c r="F4460">
        <v>0</v>
      </c>
      <c r="G4460" t="s">
        <v>434</v>
      </c>
    </row>
    <row r="4461" spans="1:7">
      <c r="A4461" s="216">
        <v>45170</v>
      </c>
      <c r="B4461" t="s">
        <v>50</v>
      </c>
      <c r="C4461">
        <v>20</v>
      </c>
      <c r="D4461" t="s">
        <v>456</v>
      </c>
      <c r="E4461" s="217">
        <v>45170</v>
      </c>
      <c r="F4461">
        <v>-84</v>
      </c>
      <c r="G4461" t="s">
        <v>251</v>
      </c>
    </row>
    <row r="4462" spans="1:7">
      <c r="A4462" s="216">
        <v>45170</v>
      </c>
      <c r="B4462" t="s">
        <v>50</v>
      </c>
      <c r="C4462">
        <v>20</v>
      </c>
      <c r="D4462" t="s">
        <v>456</v>
      </c>
      <c r="E4462" s="217">
        <v>45170</v>
      </c>
      <c r="F4462">
        <v>-98</v>
      </c>
      <c r="G4462" t="s">
        <v>252</v>
      </c>
    </row>
    <row r="4463" spans="1:7">
      <c r="A4463" s="216">
        <v>45170</v>
      </c>
      <c r="B4463" t="s">
        <v>50</v>
      </c>
      <c r="C4463">
        <v>20</v>
      </c>
      <c r="D4463" t="s">
        <v>456</v>
      </c>
      <c r="E4463" s="217">
        <v>45170</v>
      </c>
      <c r="F4463">
        <v>-90</v>
      </c>
      <c r="G4463" t="s">
        <v>253</v>
      </c>
    </row>
    <row r="4464" spans="1:7">
      <c r="A4464" s="216">
        <v>45170</v>
      </c>
      <c r="B4464" t="s">
        <v>50</v>
      </c>
      <c r="C4464">
        <v>20</v>
      </c>
      <c r="D4464" t="s">
        <v>456</v>
      </c>
      <c r="E4464" s="217">
        <v>45170</v>
      </c>
      <c r="F4464">
        <v>-73</v>
      </c>
      <c r="G4464" t="s">
        <v>254</v>
      </c>
    </row>
    <row r="4465" spans="1:7">
      <c r="A4465" s="216">
        <v>45170</v>
      </c>
      <c r="B4465" t="s">
        <v>50</v>
      </c>
      <c r="C4465">
        <v>20</v>
      </c>
      <c r="D4465" t="s">
        <v>456</v>
      </c>
      <c r="E4465" s="217">
        <v>45170</v>
      </c>
      <c r="F4465">
        <v>-58</v>
      </c>
      <c r="G4465" t="s">
        <v>255</v>
      </c>
    </row>
    <row r="4466" spans="1:7">
      <c r="A4466" s="216">
        <v>45170</v>
      </c>
      <c r="B4466" t="s">
        <v>50</v>
      </c>
      <c r="C4466">
        <v>20</v>
      </c>
      <c r="D4466" t="s">
        <v>456</v>
      </c>
      <c r="E4466" s="217">
        <v>45170</v>
      </c>
      <c r="F4466">
        <v>-67</v>
      </c>
      <c r="G4466" t="s">
        <v>256</v>
      </c>
    </row>
    <row r="4467" spans="1:7">
      <c r="A4467" s="216">
        <v>45170</v>
      </c>
      <c r="B4467" t="s">
        <v>50</v>
      </c>
      <c r="C4467">
        <v>20</v>
      </c>
      <c r="D4467" t="s">
        <v>456</v>
      </c>
      <c r="E4467" s="217">
        <v>45170</v>
      </c>
      <c r="F4467">
        <v>-5</v>
      </c>
      <c r="G4467" t="s">
        <v>257</v>
      </c>
    </row>
    <row r="4468" spans="1:7">
      <c r="A4468" s="216">
        <v>45170</v>
      </c>
      <c r="B4468" t="s">
        <v>50</v>
      </c>
      <c r="C4468">
        <v>20</v>
      </c>
      <c r="D4468" t="s">
        <v>456</v>
      </c>
      <c r="E4468" s="217">
        <v>45170</v>
      </c>
      <c r="F4468">
        <v>-5</v>
      </c>
      <c r="G4468" t="s">
        <v>258</v>
      </c>
    </row>
    <row r="4469" spans="1:7">
      <c r="A4469" s="216">
        <v>45170</v>
      </c>
      <c r="B4469" t="s">
        <v>50</v>
      </c>
      <c r="C4469">
        <v>20</v>
      </c>
      <c r="D4469" t="s">
        <v>456</v>
      </c>
      <c r="E4469" s="217">
        <v>45170</v>
      </c>
      <c r="F4469">
        <v>-5</v>
      </c>
      <c r="G4469" t="s">
        <v>259</v>
      </c>
    </row>
    <row r="4470" spans="1:7">
      <c r="A4470" s="216">
        <v>45170</v>
      </c>
      <c r="B4470" t="s">
        <v>50</v>
      </c>
      <c r="C4470">
        <v>20</v>
      </c>
      <c r="D4470" t="s">
        <v>456</v>
      </c>
      <c r="E4470" s="217">
        <v>45170</v>
      </c>
      <c r="F4470">
        <v>-5</v>
      </c>
      <c r="G4470" t="s">
        <v>260</v>
      </c>
    </row>
    <row r="4471" spans="1:7">
      <c r="A4471" s="216">
        <v>45170</v>
      </c>
      <c r="B4471" t="s">
        <v>50</v>
      </c>
      <c r="C4471">
        <v>20</v>
      </c>
      <c r="D4471" t="s">
        <v>456</v>
      </c>
      <c r="E4471" s="217">
        <v>45170</v>
      </c>
      <c r="F4471">
        <v>-5</v>
      </c>
      <c r="G4471" t="s">
        <v>261</v>
      </c>
    </row>
    <row r="4472" spans="1:7">
      <c r="A4472" s="216">
        <v>45170</v>
      </c>
      <c r="B4472" t="s">
        <v>50</v>
      </c>
      <c r="C4472">
        <v>20</v>
      </c>
      <c r="D4472" t="s">
        <v>456</v>
      </c>
      <c r="E4472" s="217">
        <v>45170</v>
      </c>
      <c r="F4472">
        <v>-5</v>
      </c>
      <c r="G4472" t="s">
        <v>262</v>
      </c>
    </row>
    <row r="4473" spans="1:7">
      <c r="A4473" s="216">
        <v>45170</v>
      </c>
      <c r="B4473" t="s">
        <v>50</v>
      </c>
      <c r="C4473">
        <v>20</v>
      </c>
      <c r="D4473" t="s">
        <v>456</v>
      </c>
      <c r="E4473" s="217">
        <v>45170</v>
      </c>
      <c r="F4473">
        <v>-500</v>
      </c>
      <c r="G4473" t="s">
        <v>434</v>
      </c>
    </row>
    <row r="4474" spans="1:7">
      <c r="A4474" s="216">
        <v>45170</v>
      </c>
      <c r="B4474" t="s">
        <v>50</v>
      </c>
      <c r="C4474">
        <v>21</v>
      </c>
      <c r="D4474" t="s">
        <v>455</v>
      </c>
      <c r="E4474" s="217">
        <v>45170</v>
      </c>
      <c r="F4474">
        <v>10</v>
      </c>
      <c r="G4474" t="s">
        <v>251</v>
      </c>
    </row>
    <row r="4475" spans="1:7">
      <c r="A4475" s="216">
        <v>45170</v>
      </c>
      <c r="B4475" t="s">
        <v>50</v>
      </c>
      <c r="C4475">
        <v>21</v>
      </c>
      <c r="D4475" t="s">
        <v>455</v>
      </c>
      <c r="E4475" s="217">
        <v>45170</v>
      </c>
      <c r="F4475">
        <v>10</v>
      </c>
      <c r="G4475" t="s">
        <v>252</v>
      </c>
    </row>
    <row r="4476" spans="1:7">
      <c r="A4476" s="216">
        <v>45170</v>
      </c>
      <c r="B4476" t="s">
        <v>50</v>
      </c>
      <c r="C4476">
        <v>21</v>
      </c>
      <c r="D4476" t="s">
        <v>455</v>
      </c>
      <c r="E4476" s="217">
        <v>45170</v>
      </c>
      <c r="F4476">
        <v>10</v>
      </c>
      <c r="G4476" t="s">
        <v>253</v>
      </c>
    </row>
    <row r="4477" spans="1:7">
      <c r="A4477" s="216">
        <v>45170</v>
      </c>
      <c r="B4477" t="s">
        <v>50</v>
      </c>
      <c r="C4477">
        <v>21</v>
      </c>
      <c r="D4477" t="s">
        <v>455</v>
      </c>
      <c r="E4477" s="217">
        <v>45170</v>
      </c>
      <c r="F4477">
        <v>10</v>
      </c>
      <c r="G4477" t="s">
        <v>254</v>
      </c>
    </row>
    <row r="4478" spans="1:7">
      <c r="A4478" s="216">
        <v>45170</v>
      </c>
      <c r="B4478" t="s">
        <v>50</v>
      </c>
      <c r="C4478">
        <v>21</v>
      </c>
      <c r="D4478" t="s">
        <v>455</v>
      </c>
      <c r="E4478" s="217">
        <v>45170</v>
      </c>
      <c r="F4478">
        <v>10</v>
      </c>
      <c r="G4478" t="s">
        <v>255</v>
      </c>
    </row>
    <row r="4479" spans="1:7">
      <c r="A4479" s="216">
        <v>45170</v>
      </c>
      <c r="B4479" t="s">
        <v>50</v>
      </c>
      <c r="C4479">
        <v>21</v>
      </c>
      <c r="D4479" t="s">
        <v>455</v>
      </c>
      <c r="E4479" s="217">
        <v>45170</v>
      </c>
      <c r="F4479">
        <v>10</v>
      </c>
      <c r="G4479" t="s">
        <v>256</v>
      </c>
    </row>
    <row r="4480" spans="1:7">
      <c r="A4480" s="216">
        <v>45170</v>
      </c>
      <c r="B4480" t="s">
        <v>50</v>
      </c>
      <c r="C4480">
        <v>21</v>
      </c>
      <c r="D4480" t="s">
        <v>455</v>
      </c>
      <c r="E4480" s="217">
        <v>45170</v>
      </c>
      <c r="F4480">
        <v>10</v>
      </c>
      <c r="G4480" t="s">
        <v>257</v>
      </c>
    </row>
    <row r="4481" spans="1:7">
      <c r="A4481" s="216">
        <v>45170</v>
      </c>
      <c r="B4481" t="s">
        <v>50</v>
      </c>
      <c r="C4481">
        <v>21</v>
      </c>
      <c r="D4481" t="s">
        <v>455</v>
      </c>
      <c r="E4481" s="217">
        <v>45170</v>
      </c>
      <c r="F4481">
        <v>10</v>
      </c>
      <c r="G4481" t="s">
        <v>258</v>
      </c>
    </row>
    <row r="4482" spans="1:7">
      <c r="A4482" s="216">
        <v>45170</v>
      </c>
      <c r="B4482" t="s">
        <v>50</v>
      </c>
      <c r="C4482">
        <v>21</v>
      </c>
      <c r="D4482" t="s">
        <v>455</v>
      </c>
      <c r="E4482" s="217">
        <v>45170</v>
      </c>
      <c r="F4482">
        <v>10</v>
      </c>
      <c r="G4482" t="s">
        <v>259</v>
      </c>
    </row>
    <row r="4483" spans="1:7">
      <c r="A4483" s="216">
        <v>45170</v>
      </c>
      <c r="B4483" t="s">
        <v>50</v>
      </c>
      <c r="C4483">
        <v>21</v>
      </c>
      <c r="D4483" t="s">
        <v>455</v>
      </c>
      <c r="E4483" s="217">
        <v>45170</v>
      </c>
      <c r="F4483">
        <v>10</v>
      </c>
      <c r="G4483" t="s">
        <v>260</v>
      </c>
    </row>
    <row r="4484" spans="1:7">
      <c r="A4484" s="216">
        <v>45170</v>
      </c>
      <c r="B4484" t="s">
        <v>50</v>
      </c>
      <c r="C4484">
        <v>21</v>
      </c>
      <c r="D4484" t="s">
        <v>455</v>
      </c>
      <c r="E4484" s="217">
        <v>45170</v>
      </c>
      <c r="F4484">
        <v>10</v>
      </c>
      <c r="G4484" t="s">
        <v>261</v>
      </c>
    </row>
    <row r="4485" spans="1:7">
      <c r="A4485" s="216">
        <v>45170</v>
      </c>
      <c r="B4485" t="s">
        <v>50</v>
      </c>
      <c r="C4485">
        <v>21</v>
      </c>
      <c r="D4485" t="s">
        <v>455</v>
      </c>
      <c r="E4485" s="217">
        <v>45170</v>
      </c>
      <c r="F4485">
        <v>11</v>
      </c>
      <c r="G4485" t="s">
        <v>262</v>
      </c>
    </row>
    <row r="4486" spans="1:7">
      <c r="A4486" s="216">
        <v>45170</v>
      </c>
      <c r="B4486" t="s">
        <v>50</v>
      </c>
      <c r="C4486">
        <v>21</v>
      </c>
      <c r="D4486" t="s">
        <v>455</v>
      </c>
      <c r="E4486" s="217">
        <v>45170</v>
      </c>
      <c r="F4486">
        <v>121</v>
      </c>
      <c r="G4486" t="s">
        <v>434</v>
      </c>
    </row>
    <row r="4487" spans="1:7">
      <c r="A4487" s="216">
        <v>45170</v>
      </c>
      <c r="B4487" t="s">
        <v>50</v>
      </c>
      <c r="C4487">
        <v>22</v>
      </c>
      <c r="D4487" t="s">
        <v>439</v>
      </c>
      <c r="E4487" s="217">
        <v>45170</v>
      </c>
      <c r="F4487">
        <v>1668</v>
      </c>
      <c r="G4487" t="s">
        <v>251</v>
      </c>
    </row>
    <row r="4488" spans="1:7">
      <c r="A4488" s="216">
        <v>45170</v>
      </c>
      <c r="B4488" t="s">
        <v>50</v>
      </c>
      <c r="C4488">
        <v>22</v>
      </c>
      <c r="D4488" t="s">
        <v>439</v>
      </c>
      <c r="E4488" s="217">
        <v>45170</v>
      </c>
      <c r="F4488">
        <v>1668</v>
      </c>
      <c r="G4488" t="s">
        <v>252</v>
      </c>
    </row>
    <row r="4489" spans="1:7">
      <c r="A4489" s="216">
        <v>45170</v>
      </c>
      <c r="B4489" t="s">
        <v>50</v>
      </c>
      <c r="C4489">
        <v>22</v>
      </c>
      <c r="D4489" t="s">
        <v>439</v>
      </c>
      <c r="E4489" s="217">
        <v>45170</v>
      </c>
      <c r="F4489">
        <v>1977</v>
      </c>
      <c r="G4489" t="s">
        <v>253</v>
      </c>
    </row>
    <row r="4490" spans="1:7">
      <c r="A4490" s="216">
        <v>45170</v>
      </c>
      <c r="B4490" t="s">
        <v>50</v>
      </c>
      <c r="C4490">
        <v>22</v>
      </c>
      <c r="D4490" t="s">
        <v>439</v>
      </c>
      <c r="E4490" s="217">
        <v>45170</v>
      </c>
      <c r="F4490">
        <v>1771</v>
      </c>
      <c r="G4490" t="s">
        <v>254</v>
      </c>
    </row>
    <row r="4491" spans="1:7">
      <c r="A4491" s="216">
        <v>45170</v>
      </c>
      <c r="B4491" t="s">
        <v>50</v>
      </c>
      <c r="C4491">
        <v>22</v>
      </c>
      <c r="D4491" t="s">
        <v>439</v>
      </c>
      <c r="E4491" s="217">
        <v>45170</v>
      </c>
      <c r="F4491">
        <v>1771</v>
      </c>
      <c r="G4491" t="s">
        <v>255</v>
      </c>
    </row>
    <row r="4492" spans="1:7">
      <c r="A4492" s="216">
        <v>45170</v>
      </c>
      <c r="B4492" t="s">
        <v>50</v>
      </c>
      <c r="C4492">
        <v>22</v>
      </c>
      <c r="D4492" t="s">
        <v>439</v>
      </c>
      <c r="E4492" s="217">
        <v>45170</v>
      </c>
      <c r="F4492">
        <v>1771</v>
      </c>
      <c r="G4492" t="s">
        <v>256</v>
      </c>
    </row>
    <row r="4493" spans="1:7">
      <c r="A4493" s="216">
        <v>45170</v>
      </c>
      <c r="B4493" t="s">
        <v>50</v>
      </c>
      <c r="C4493">
        <v>22</v>
      </c>
      <c r="D4493" t="s">
        <v>439</v>
      </c>
      <c r="E4493" s="217">
        <v>45170</v>
      </c>
      <c r="F4493">
        <v>1771</v>
      </c>
      <c r="G4493" t="s">
        <v>257</v>
      </c>
    </row>
    <row r="4494" spans="1:7">
      <c r="A4494" s="216">
        <v>45170</v>
      </c>
      <c r="B4494" t="s">
        <v>50</v>
      </c>
      <c r="C4494">
        <v>22</v>
      </c>
      <c r="D4494" t="s">
        <v>439</v>
      </c>
      <c r="E4494" s="217">
        <v>45170</v>
      </c>
      <c r="F4494">
        <v>1771</v>
      </c>
      <c r="G4494" t="s">
        <v>258</v>
      </c>
    </row>
    <row r="4495" spans="1:7">
      <c r="A4495" s="216">
        <v>45170</v>
      </c>
      <c r="B4495" t="s">
        <v>50</v>
      </c>
      <c r="C4495">
        <v>22</v>
      </c>
      <c r="D4495" t="s">
        <v>439</v>
      </c>
      <c r="E4495" s="217">
        <v>45170</v>
      </c>
      <c r="F4495">
        <v>1772</v>
      </c>
      <c r="G4495" t="s">
        <v>259</v>
      </c>
    </row>
    <row r="4496" spans="1:7">
      <c r="A4496" s="216">
        <v>45170</v>
      </c>
      <c r="B4496" t="s">
        <v>50</v>
      </c>
      <c r="C4496">
        <v>22</v>
      </c>
      <c r="D4496" t="s">
        <v>439</v>
      </c>
      <c r="E4496" s="217">
        <v>45170</v>
      </c>
      <c r="F4496">
        <v>1772</v>
      </c>
      <c r="G4496" t="s">
        <v>260</v>
      </c>
    </row>
    <row r="4497" spans="1:7">
      <c r="A4497" s="216">
        <v>45170</v>
      </c>
      <c r="B4497" t="s">
        <v>50</v>
      </c>
      <c r="C4497">
        <v>22</v>
      </c>
      <c r="D4497" t="s">
        <v>439</v>
      </c>
      <c r="E4497" s="217">
        <v>45170</v>
      </c>
      <c r="F4497">
        <v>1772</v>
      </c>
      <c r="G4497" t="s">
        <v>261</v>
      </c>
    </row>
    <row r="4498" spans="1:7">
      <c r="A4498" s="216">
        <v>45170</v>
      </c>
      <c r="B4498" t="s">
        <v>50</v>
      </c>
      <c r="C4498">
        <v>22</v>
      </c>
      <c r="D4498" t="s">
        <v>439</v>
      </c>
      <c r="E4498" s="217">
        <v>45170</v>
      </c>
      <c r="F4498">
        <v>1772</v>
      </c>
      <c r="G4498" t="s">
        <v>262</v>
      </c>
    </row>
    <row r="4499" spans="1:7">
      <c r="A4499" s="216">
        <v>45170</v>
      </c>
      <c r="B4499" t="s">
        <v>50</v>
      </c>
      <c r="C4499">
        <v>22</v>
      </c>
      <c r="D4499" t="s">
        <v>439</v>
      </c>
      <c r="E4499" s="217">
        <v>45170</v>
      </c>
      <c r="F4499">
        <v>21256</v>
      </c>
      <c r="G4499" t="s">
        <v>434</v>
      </c>
    </row>
    <row r="4500" spans="1:7">
      <c r="A4500" s="216">
        <v>45170</v>
      </c>
      <c r="B4500" t="s">
        <v>50</v>
      </c>
      <c r="C4500">
        <v>23</v>
      </c>
      <c r="D4500" t="s">
        <v>435</v>
      </c>
      <c r="E4500" s="217">
        <v>45170</v>
      </c>
      <c r="F4500">
        <v>146</v>
      </c>
      <c r="G4500" t="s">
        <v>251</v>
      </c>
    </row>
    <row r="4501" spans="1:7">
      <c r="A4501" s="216">
        <v>45170</v>
      </c>
      <c r="B4501" t="s">
        <v>50</v>
      </c>
      <c r="C4501">
        <v>23</v>
      </c>
      <c r="D4501" t="s">
        <v>435</v>
      </c>
      <c r="E4501" s="217">
        <v>45170</v>
      </c>
      <c r="F4501">
        <v>146</v>
      </c>
      <c r="G4501" t="s">
        <v>252</v>
      </c>
    </row>
    <row r="4502" spans="1:7">
      <c r="A4502" s="216">
        <v>45170</v>
      </c>
      <c r="B4502" t="s">
        <v>50</v>
      </c>
      <c r="C4502">
        <v>23</v>
      </c>
      <c r="D4502" t="s">
        <v>435</v>
      </c>
      <c r="E4502" s="217">
        <v>45170</v>
      </c>
      <c r="F4502">
        <v>146</v>
      </c>
      <c r="G4502" t="s">
        <v>253</v>
      </c>
    </row>
    <row r="4503" spans="1:7">
      <c r="A4503" s="216">
        <v>45170</v>
      </c>
      <c r="B4503" t="s">
        <v>50</v>
      </c>
      <c r="C4503">
        <v>23</v>
      </c>
      <c r="D4503" t="s">
        <v>435</v>
      </c>
      <c r="E4503" s="217">
        <v>45170</v>
      </c>
      <c r="F4503">
        <v>146</v>
      </c>
      <c r="G4503" t="s">
        <v>254</v>
      </c>
    </row>
    <row r="4504" spans="1:7">
      <c r="A4504" s="216">
        <v>45170</v>
      </c>
      <c r="B4504" t="s">
        <v>50</v>
      </c>
      <c r="C4504">
        <v>23</v>
      </c>
      <c r="D4504" t="s">
        <v>435</v>
      </c>
      <c r="E4504" s="217">
        <v>45170</v>
      </c>
      <c r="F4504">
        <v>146</v>
      </c>
      <c r="G4504" t="s">
        <v>255</v>
      </c>
    </row>
    <row r="4505" spans="1:7">
      <c r="A4505" s="216">
        <v>45170</v>
      </c>
      <c r="B4505" t="s">
        <v>50</v>
      </c>
      <c r="C4505">
        <v>23</v>
      </c>
      <c r="D4505" t="s">
        <v>435</v>
      </c>
      <c r="E4505" s="217">
        <v>45170</v>
      </c>
      <c r="F4505">
        <v>146</v>
      </c>
      <c r="G4505" t="s">
        <v>256</v>
      </c>
    </row>
    <row r="4506" spans="1:7">
      <c r="A4506" s="216">
        <v>45170</v>
      </c>
      <c r="B4506" t="s">
        <v>50</v>
      </c>
      <c r="C4506">
        <v>23</v>
      </c>
      <c r="D4506" t="s">
        <v>435</v>
      </c>
      <c r="E4506" s="217">
        <v>45170</v>
      </c>
      <c r="F4506">
        <v>145</v>
      </c>
      <c r="G4506" t="s">
        <v>257</v>
      </c>
    </row>
    <row r="4507" spans="1:7">
      <c r="A4507" s="216">
        <v>45170</v>
      </c>
      <c r="B4507" t="s">
        <v>50</v>
      </c>
      <c r="C4507">
        <v>23</v>
      </c>
      <c r="D4507" t="s">
        <v>435</v>
      </c>
      <c r="E4507" s="217">
        <v>45170</v>
      </c>
      <c r="F4507">
        <v>145</v>
      </c>
      <c r="G4507" t="s">
        <v>258</v>
      </c>
    </row>
    <row r="4508" spans="1:7">
      <c r="A4508" s="216">
        <v>45170</v>
      </c>
      <c r="B4508" t="s">
        <v>50</v>
      </c>
      <c r="C4508">
        <v>23</v>
      </c>
      <c r="D4508" t="s">
        <v>435</v>
      </c>
      <c r="E4508" s="217">
        <v>45170</v>
      </c>
      <c r="F4508">
        <v>145</v>
      </c>
      <c r="G4508" t="s">
        <v>259</v>
      </c>
    </row>
    <row r="4509" spans="1:7">
      <c r="A4509" s="216">
        <v>45170</v>
      </c>
      <c r="B4509" t="s">
        <v>50</v>
      </c>
      <c r="C4509">
        <v>23</v>
      </c>
      <c r="D4509" t="s">
        <v>435</v>
      </c>
      <c r="E4509" s="217">
        <v>45170</v>
      </c>
      <c r="F4509">
        <v>145</v>
      </c>
      <c r="G4509" t="s">
        <v>260</v>
      </c>
    </row>
    <row r="4510" spans="1:7">
      <c r="A4510" s="216">
        <v>45170</v>
      </c>
      <c r="B4510" t="s">
        <v>50</v>
      </c>
      <c r="C4510">
        <v>23</v>
      </c>
      <c r="D4510" t="s">
        <v>435</v>
      </c>
      <c r="E4510" s="217">
        <v>45170</v>
      </c>
      <c r="F4510">
        <v>146</v>
      </c>
      <c r="G4510" t="s">
        <v>261</v>
      </c>
    </row>
    <row r="4511" spans="1:7">
      <c r="A4511" s="216">
        <v>45170</v>
      </c>
      <c r="B4511" t="s">
        <v>50</v>
      </c>
      <c r="C4511">
        <v>23</v>
      </c>
      <c r="D4511" t="s">
        <v>435</v>
      </c>
      <c r="E4511" s="217">
        <v>45170</v>
      </c>
      <c r="F4511">
        <v>146</v>
      </c>
      <c r="G4511" t="s">
        <v>262</v>
      </c>
    </row>
    <row r="4512" spans="1:7">
      <c r="A4512" s="216">
        <v>45170</v>
      </c>
      <c r="B4512" t="s">
        <v>50</v>
      </c>
      <c r="C4512">
        <v>23</v>
      </c>
      <c r="D4512" t="s">
        <v>435</v>
      </c>
      <c r="E4512" s="217">
        <v>45170</v>
      </c>
      <c r="F4512">
        <v>1748</v>
      </c>
      <c r="G4512" t="s">
        <v>434</v>
      </c>
    </row>
    <row r="4513" spans="1:7">
      <c r="A4513" s="216">
        <v>45170</v>
      </c>
      <c r="B4513" t="s">
        <v>50</v>
      </c>
      <c r="C4513">
        <v>24</v>
      </c>
      <c r="D4513" t="s">
        <v>457</v>
      </c>
      <c r="E4513" s="217">
        <v>45170</v>
      </c>
      <c r="F4513">
        <v>0</v>
      </c>
      <c r="G4513" t="s">
        <v>251</v>
      </c>
    </row>
    <row r="4514" spans="1:7">
      <c r="A4514" s="216">
        <v>45170</v>
      </c>
      <c r="B4514" t="s">
        <v>50</v>
      </c>
      <c r="C4514">
        <v>24</v>
      </c>
      <c r="D4514" t="s">
        <v>457</v>
      </c>
      <c r="E4514" s="217">
        <v>45170</v>
      </c>
      <c r="F4514">
        <v>0</v>
      </c>
      <c r="G4514" t="s">
        <v>252</v>
      </c>
    </row>
    <row r="4515" spans="1:7">
      <c r="A4515" s="216">
        <v>45170</v>
      </c>
      <c r="B4515" t="s">
        <v>50</v>
      </c>
      <c r="C4515">
        <v>24</v>
      </c>
      <c r="D4515" t="s">
        <v>457</v>
      </c>
      <c r="E4515" s="217">
        <v>45170</v>
      </c>
      <c r="F4515">
        <v>0</v>
      </c>
      <c r="G4515" t="s">
        <v>253</v>
      </c>
    </row>
    <row r="4516" spans="1:7">
      <c r="A4516" s="216">
        <v>45170</v>
      </c>
      <c r="B4516" t="s">
        <v>50</v>
      </c>
      <c r="C4516">
        <v>24</v>
      </c>
      <c r="D4516" t="s">
        <v>457</v>
      </c>
      <c r="E4516" s="217">
        <v>45170</v>
      </c>
      <c r="F4516">
        <v>0</v>
      </c>
      <c r="G4516" t="s">
        <v>254</v>
      </c>
    </row>
    <row r="4517" spans="1:7">
      <c r="A4517" s="216">
        <v>45170</v>
      </c>
      <c r="B4517" t="s">
        <v>50</v>
      </c>
      <c r="C4517">
        <v>24</v>
      </c>
      <c r="D4517" t="s">
        <v>457</v>
      </c>
      <c r="E4517" s="217">
        <v>45170</v>
      </c>
      <c r="F4517">
        <v>0</v>
      </c>
      <c r="G4517" t="s">
        <v>255</v>
      </c>
    </row>
    <row r="4518" spans="1:7">
      <c r="A4518" s="216">
        <v>45170</v>
      </c>
      <c r="B4518" t="s">
        <v>50</v>
      </c>
      <c r="C4518">
        <v>24</v>
      </c>
      <c r="D4518" t="s">
        <v>457</v>
      </c>
      <c r="E4518" s="217">
        <v>45170</v>
      </c>
      <c r="F4518">
        <v>0</v>
      </c>
      <c r="G4518" t="s">
        <v>256</v>
      </c>
    </row>
    <row r="4519" spans="1:7">
      <c r="A4519" s="216">
        <v>45170</v>
      </c>
      <c r="B4519" t="s">
        <v>50</v>
      </c>
      <c r="C4519">
        <v>24</v>
      </c>
      <c r="D4519" t="s">
        <v>457</v>
      </c>
      <c r="E4519" s="217">
        <v>45170</v>
      </c>
      <c r="F4519">
        <v>0</v>
      </c>
      <c r="G4519" t="s">
        <v>257</v>
      </c>
    </row>
    <row r="4520" spans="1:7">
      <c r="A4520" s="216">
        <v>45170</v>
      </c>
      <c r="B4520" t="s">
        <v>50</v>
      </c>
      <c r="C4520">
        <v>24</v>
      </c>
      <c r="D4520" t="s">
        <v>457</v>
      </c>
      <c r="E4520" s="217">
        <v>45170</v>
      </c>
      <c r="F4520">
        <v>0</v>
      </c>
      <c r="G4520" t="s">
        <v>258</v>
      </c>
    </row>
    <row r="4521" spans="1:7">
      <c r="A4521" s="216">
        <v>45170</v>
      </c>
      <c r="B4521" t="s">
        <v>50</v>
      </c>
      <c r="C4521">
        <v>24</v>
      </c>
      <c r="D4521" t="s">
        <v>457</v>
      </c>
      <c r="E4521" s="217">
        <v>45170</v>
      </c>
      <c r="F4521">
        <v>0</v>
      </c>
      <c r="G4521" t="s">
        <v>259</v>
      </c>
    </row>
    <row r="4522" spans="1:7">
      <c r="A4522" s="216">
        <v>45170</v>
      </c>
      <c r="B4522" t="s">
        <v>50</v>
      </c>
      <c r="C4522">
        <v>24</v>
      </c>
      <c r="D4522" t="s">
        <v>457</v>
      </c>
      <c r="E4522" s="217">
        <v>45170</v>
      </c>
      <c r="F4522">
        <v>0</v>
      </c>
      <c r="G4522" t="s">
        <v>260</v>
      </c>
    </row>
    <row r="4523" spans="1:7">
      <c r="A4523" s="216">
        <v>45170</v>
      </c>
      <c r="B4523" t="s">
        <v>50</v>
      </c>
      <c r="C4523">
        <v>24</v>
      </c>
      <c r="D4523" t="s">
        <v>457</v>
      </c>
      <c r="E4523" s="217">
        <v>45170</v>
      </c>
      <c r="F4523">
        <v>0</v>
      </c>
      <c r="G4523" t="s">
        <v>261</v>
      </c>
    </row>
    <row r="4524" spans="1:7">
      <c r="A4524" s="216">
        <v>45170</v>
      </c>
      <c r="B4524" t="s">
        <v>50</v>
      </c>
      <c r="C4524">
        <v>24</v>
      </c>
      <c r="D4524" t="s">
        <v>457</v>
      </c>
      <c r="E4524" s="217">
        <v>45170</v>
      </c>
      <c r="F4524">
        <v>0</v>
      </c>
      <c r="G4524" t="s">
        <v>262</v>
      </c>
    </row>
    <row r="4525" spans="1:7">
      <c r="A4525" s="216">
        <v>45170</v>
      </c>
      <c r="B4525" t="s">
        <v>50</v>
      </c>
      <c r="C4525">
        <v>24</v>
      </c>
      <c r="D4525" t="s">
        <v>457</v>
      </c>
      <c r="E4525" s="217">
        <v>45170</v>
      </c>
      <c r="F4525">
        <v>0</v>
      </c>
      <c r="G4525" t="s">
        <v>434</v>
      </c>
    </row>
    <row r="4526" spans="1:7">
      <c r="A4526" s="216">
        <v>45170</v>
      </c>
      <c r="B4526" t="s">
        <v>50</v>
      </c>
      <c r="C4526">
        <v>25</v>
      </c>
      <c r="D4526" t="s">
        <v>452</v>
      </c>
      <c r="E4526" s="217">
        <v>45170</v>
      </c>
      <c r="F4526">
        <v>-74</v>
      </c>
      <c r="G4526" t="s">
        <v>251</v>
      </c>
    </row>
    <row r="4527" spans="1:7">
      <c r="A4527" s="216">
        <v>45170</v>
      </c>
      <c r="B4527" t="s">
        <v>50</v>
      </c>
      <c r="C4527">
        <v>25</v>
      </c>
      <c r="D4527" t="s">
        <v>452</v>
      </c>
      <c r="E4527" s="217">
        <v>45170</v>
      </c>
      <c r="F4527">
        <v>-28</v>
      </c>
      <c r="G4527" t="s">
        <v>252</v>
      </c>
    </row>
    <row r="4528" spans="1:7">
      <c r="A4528" s="216">
        <v>45170</v>
      </c>
      <c r="B4528" t="s">
        <v>50</v>
      </c>
      <c r="C4528">
        <v>25</v>
      </c>
      <c r="D4528" t="s">
        <v>452</v>
      </c>
      <c r="E4528" s="217">
        <v>45170</v>
      </c>
      <c r="F4528">
        <v>-93</v>
      </c>
      <c r="G4528" t="s">
        <v>253</v>
      </c>
    </row>
    <row r="4529" spans="1:7">
      <c r="A4529" s="216">
        <v>45170</v>
      </c>
      <c r="B4529" t="s">
        <v>50</v>
      </c>
      <c r="C4529">
        <v>25</v>
      </c>
      <c r="D4529" t="s">
        <v>452</v>
      </c>
      <c r="E4529" s="217">
        <v>45170</v>
      </c>
      <c r="F4529">
        <v>-27</v>
      </c>
      <c r="G4529" t="s">
        <v>254</v>
      </c>
    </row>
    <row r="4530" spans="1:7">
      <c r="A4530" s="216">
        <v>45170</v>
      </c>
      <c r="B4530" t="s">
        <v>50</v>
      </c>
      <c r="C4530">
        <v>25</v>
      </c>
      <c r="D4530" t="s">
        <v>452</v>
      </c>
      <c r="E4530" s="217">
        <v>45170</v>
      </c>
      <c r="F4530">
        <v>-8</v>
      </c>
      <c r="G4530" t="s">
        <v>255</v>
      </c>
    </row>
    <row r="4531" spans="1:7">
      <c r="A4531" s="216">
        <v>45170</v>
      </c>
      <c r="B4531" t="s">
        <v>50</v>
      </c>
      <c r="C4531">
        <v>25</v>
      </c>
      <c r="D4531" t="s">
        <v>452</v>
      </c>
      <c r="E4531" s="217">
        <v>45170</v>
      </c>
      <c r="F4531">
        <v>-36</v>
      </c>
      <c r="G4531" t="s">
        <v>256</v>
      </c>
    </row>
    <row r="4532" spans="1:7">
      <c r="A4532" s="216">
        <v>45170</v>
      </c>
      <c r="B4532" t="s">
        <v>50</v>
      </c>
      <c r="C4532">
        <v>25</v>
      </c>
      <c r="D4532" t="s">
        <v>452</v>
      </c>
      <c r="E4532" s="217">
        <v>45170</v>
      </c>
      <c r="F4532">
        <v>-29</v>
      </c>
      <c r="G4532" t="s">
        <v>257</v>
      </c>
    </row>
    <row r="4533" spans="1:7">
      <c r="A4533" s="216">
        <v>45170</v>
      </c>
      <c r="B4533" t="s">
        <v>50</v>
      </c>
      <c r="C4533">
        <v>25</v>
      </c>
      <c r="D4533" t="s">
        <v>452</v>
      </c>
      <c r="E4533" s="217">
        <v>45170</v>
      </c>
      <c r="F4533">
        <v>-30</v>
      </c>
      <c r="G4533" t="s">
        <v>258</v>
      </c>
    </row>
    <row r="4534" spans="1:7">
      <c r="A4534" s="216">
        <v>45170</v>
      </c>
      <c r="B4534" t="s">
        <v>50</v>
      </c>
      <c r="C4534">
        <v>25</v>
      </c>
      <c r="D4534" t="s">
        <v>452</v>
      </c>
      <c r="E4534" s="217">
        <v>45170</v>
      </c>
      <c r="F4534">
        <v>-30</v>
      </c>
      <c r="G4534" t="s">
        <v>259</v>
      </c>
    </row>
    <row r="4535" spans="1:7">
      <c r="A4535" s="216">
        <v>45170</v>
      </c>
      <c r="B4535" t="s">
        <v>50</v>
      </c>
      <c r="C4535">
        <v>25</v>
      </c>
      <c r="D4535" t="s">
        <v>452</v>
      </c>
      <c r="E4535" s="217">
        <v>45170</v>
      </c>
      <c r="F4535">
        <v>-30</v>
      </c>
      <c r="G4535" t="s">
        <v>260</v>
      </c>
    </row>
    <row r="4536" spans="1:7">
      <c r="A4536" s="216">
        <v>45170</v>
      </c>
      <c r="B4536" t="s">
        <v>50</v>
      </c>
      <c r="C4536">
        <v>25</v>
      </c>
      <c r="D4536" t="s">
        <v>452</v>
      </c>
      <c r="E4536" s="217">
        <v>45170</v>
      </c>
      <c r="F4536">
        <v>-30</v>
      </c>
      <c r="G4536" t="s">
        <v>261</v>
      </c>
    </row>
    <row r="4537" spans="1:7">
      <c r="A4537" s="216">
        <v>45170</v>
      </c>
      <c r="B4537" t="s">
        <v>50</v>
      </c>
      <c r="C4537">
        <v>25</v>
      </c>
      <c r="D4537" t="s">
        <v>452</v>
      </c>
      <c r="E4537" s="217">
        <v>45170</v>
      </c>
      <c r="F4537">
        <v>-30</v>
      </c>
      <c r="G4537" t="s">
        <v>262</v>
      </c>
    </row>
    <row r="4538" spans="1:7">
      <c r="A4538" s="216">
        <v>45170</v>
      </c>
      <c r="B4538" t="s">
        <v>50</v>
      </c>
      <c r="C4538">
        <v>25</v>
      </c>
      <c r="D4538" t="s">
        <v>452</v>
      </c>
      <c r="E4538" s="217">
        <v>45170</v>
      </c>
      <c r="F4538">
        <v>-445</v>
      </c>
      <c r="G4538" t="s">
        <v>434</v>
      </c>
    </row>
    <row r="4539" spans="1:7">
      <c r="A4539" s="216">
        <v>45170</v>
      </c>
      <c r="B4539" t="s">
        <v>50</v>
      </c>
      <c r="C4539">
        <v>26</v>
      </c>
      <c r="D4539" t="s">
        <v>438</v>
      </c>
      <c r="E4539" s="217">
        <v>45170</v>
      </c>
      <c r="F4539">
        <v>22068</v>
      </c>
      <c r="G4539" t="s">
        <v>251</v>
      </c>
    </row>
    <row r="4540" spans="1:7">
      <c r="A4540" s="216">
        <v>45170</v>
      </c>
      <c r="B4540" t="s">
        <v>50</v>
      </c>
      <c r="C4540">
        <v>26</v>
      </c>
      <c r="D4540" t="s">
        <v>438</v>
      </c>
      <c r="E4540" s="217">
        <v>45170</v>
      </c>
      <c r="F4540">
        <v>23408</v>
      </c>
      <c r="G4540" t="s">
        <v>252</v>
      </c>
    </row>
    <row r="4541" spans="1:7">
      <c r="A4541" s="216">
        <v>45170</v>
      </c>
      <c r="B4541" t="s">
        <v>50</v>
      </c>
      <c r="C4541">
        <v>26</v>
      </c>
      <c r="D4541" t="s">
        <v>438</v>
      </c>
      <c r="E4541" s="217">
        <v>45170</v>
      </c>
      <c r="F4541">
        <v>27661</v>
      </c>
      <c r="G4541" t="s">
        <v>253</v>
      </c>
    </row>
    <row r="4542" spans="1:7">
      <c r="A4542" s="216">
        <v>45170</v>
      </c>
      <c r="B4542" t="s">
        <v>50</v>
      </c>
      <c r="C4542">
        <v>26</v>
      </c>
      <c r="D4542" t="s">
        <v>438</v>
      </c>
      <c r="E4542" s="217">
        <v>45170</v>
      </c>
      <c r="F4542">
        <v>25939</v>
      </c>
      <c r="G4542" t="s">
        <v>254</v>
      </c>
    </row>
    <row r="4543" spans="1:7">
      <c r="A4543" s="216">
        <v>45170</v>
      </c>
      <c r="B4543" t="s">
        <v>50</v>
      </c>
      <c r="C4543">
        <v>26</v>
      </c>
      <c r="D4543" t="s">
        <v>438</v>
      </c>
      <c r="E4543" s="217">
        <v>45170</v>
      </c>
      <c r="F4543">
        <v>23816</v>
      </c>
      <c r="G4543" t="s">
        <v>255</v>
      </c>
    </row>
    <row r="4544" spans="1:7">
      <c r="A4544" s="216">
        <v>45170</v>
      </c>
      <c r="B4544" t="s">
        <v>50</v>
      </c>
      <c r="C4544">
        <v>26</v>
      </c>
      <c r="D4544" t="s">
        <v>438</v>
      </c>
      <c r="E4544" s="217">
        <v>45170</v>
      </c>
      <c r="F4544">
        <v>23285</v>
      </c>
      <c r="G4544" t="s">
        <v>256</v>
      </c>
    </row>
    <row r="4545" spans="1:7">
      <c r="A4545" s="216">
        <v>45170</v>
      </c>
      <c r="B4545" t="s">
        <v>50</v>
      </c>
      <c r="C4545">
        <v>26</v>
      </c>
      <c r="D4545" t="s">
        <v>438</v>
      </c>
      <c r="E4545" s="217">
        <v>45170</v>
      </c>
      <c r="F4545">
        <v>24743</v>
      </c>
      <c r="G4545" t="s">
        <v>257</v>
      </c>
    </row>
    <row r="4546" spans="1:7">
      <c r="A4546" s="216">
        <v>45170</v>
      </c>
      <c r="B4546" t="s">
        <v>50</v>
      </c>
      <c r="C4546">
        <v>26</v>
      </c>
      <c r="D4546" t="s">
        <v>438</v>
      </c>
      <c r="E4546" s="217">
        <v>45170</v>
      </c>
      <c r="F4546">
        <v>24742</v>
      </c>
      <c r="G4546" t="s">
        <v>258</v>
      </c>
    </row>
    <row r="4547" spans="1:7">
      <c r="A4547" s="216">
        <v>45170</v>
      </c>
      <c r="B4547" t="s">
        <v>50</v>
      </c>
      <c r="C4547">
        <v>26</v>
      </c>
      <c r="D4547" t="s">
        <v>438</v>
      </c>
      <c r="E4547" s="217">
        <v>45170</v>
      </c>
      <c r="F4547">
        <v>24741</v>
      </c>
      <c r="G4547" t="s">
        <v>259</v>
      </c>
    </row>
    <row r="4548" spans="1:7">
      <c r="A4548" s="216">
        <v>45170</v>
      </c>
      <c r="B4548" t="s">
        <v>50</v>
      </c>
      <c r="C4548">
        <v>26</v>
      </c>
      <c r="D4548" t="s">
        <v>438</v>
      </c>
      <c r="E4548" s="217">
        <v>45170</v>
      </c>
      <c r="F4548">
        <v>24767</v>
      </c>
      <c r="G4548" t="s">
        <v>260</v>
      </c>
    </row>
    <row r="4549" spans="1:7">
      <c r="A4549" s="216">
        <v>45170</v>
      </c>
      <c r="B4549" t="s">
        <v>50</v>
      </c>
      <c r="C4549">
        <v>26</v>
      </c>
      <c r="D4549" t="s">
        <v>438</v>
      </c>
      <c r="E4549" s="217">
        <v>45170</v>
      </c>
      <c r="F4549">
        <v>24768</v>
      </c>
      <c r="G4549" t="s">
        <v>261</v>
      </c>
    </row>
    <row r="4550" spans="1:7">
      <c r="A4550" s="216">
        <v>45170</v>
      </c>
      <c r="B4550" t="s">
        <v>50</v>
      </c>
      <c r="C4550">
        <v>26</v>
      </c>
      <c r="D4550" t="s">
        <v>438</v>
      </c>
      <c r="E4550" s="217">
        <v>45170</v>
      </c>
      <c r="F4550">
        <v>24768</v>
      </c>
      <c r="G4550" t="s">
        <v>262</v>
      </c>
    </row>
    <row r="4551" spans="1:7">
      <c r="A4551" s="216">
        <v>45170</v>
      </c>
      <c r="B4551" t="s">
        <v>50</v>
      </c>
      <c r="C4551">
        <v>26</v>
      </c>
      <c r="D4551" t="s">
        <v>438</v>
      </c>
      <c r="E4551" s="217">
        <v>45170</v>
      </c>
      <c r="F4551">
        <v>294706</v>
      </c>
      <c r="G4551" t="s">
        <v>434</v>
      </c>
    </row>
    <row r="4552" spans="1:7">
      <c r="A4552" s="216">
        <v>45170</v>
      </c>
      <c r="B4552" t="s">
        <v>50</v>
      </c>
      <c r="C4552">
        <v>27</v>
      </c>
      <c r="D4552" t="s">
        <v>446</v>
      </c>
      <c r="E4552" s="217">
        <v>45170</v>
      </c>
      <c r="F4552">
        <v>-8</v>
      </c>
      <c r="G4552" t="s">
        <v>251</v>
      </c>
    </row>
    <row r="4553" spans="1:7">
      <c r="A4553" s="216">
        <v>45170</v>
      </c>
      <c r="B4553" t="s">
        <v>50</v>
      </c>
      <c r="C4553">
        <v>27</v>
      </c>
      <c r="D4553" t="s">
        <v>446</v>
      </c>
      <c r="E4553" s="217">
        <v>45170</v>
      </c>
      <c r="F4553">
        <v>-14</v>
      </c>
      <c r="G4553" t="s">
        <v>252</v>
      </c>
    </row>
    <row r="4554" spans="1:7">
      <c r="A4554" s="216">
        <v>45170</v>
      </c>
      <c r="B4554" t="s">
        <v>50</v>
      </c>
      <c r="C4554">
        <v>27</v>
      </c>
      <c r="D4554" t="s">
        <v>446</v>
      </c>
      <c r="E4554" s="217">
        <v>45170</v>
      </c>
      <c r="F4554">
        <v>-11</v>
      </c>
      <c r="G4554" t="s">
        <v>253</v>
      </c>
    </row>
    <row r="4555" spans="1:7">
      <c r="A4555" s="216">
        <v>45170</v>
      </c>
      <c r="B4555" t="s">
        <v>50</v>
      </c>
      <c r="C4555">
        <v>27</v>
      </c>
      <c r="D4555" t="s">
        <v>446</v>
      </c>
      <c r="E4555" s="217">
        <v>45170</v>
      </c>
      <c r="F4555">
        <v>18</v>
      </c>
      <c r="G4555" t="s">
        <v>254</v>
      </c>
    </row>
    <row r="4556" spans="1:7">
      <c r="A4556" s="216">
        <v>45170</v>
      </c>
      <c r="B4556" t="s">
        <v>50</v>
      </c>
      <c r="C4556">
        <v>27</v>
      </c>
      <c r="D4556" t="s">
        <v>446</v>
      </c>
      <c r="E4556" s="217">
        <v>45170</v>
      </c>
      <c r="F4556">
        <v>42</v>
      </c>
      <c r="G4556" t="s">
        <v>255</v>
      </c>
    </row>
    <row r="4557" spans="1:7">
      <c r="A4557" s="216">
        <v>45170</v>
      </c>
      <c r="B4557" t="s">
        <v>50</v>
      </c>
      <c r="C4557">
        <v>27</v>
      </c>
      <c r="D4557" t="s">
        <v>446</v>
      </c>
      <c r="E4557" s="217">
        <v>45170</v>
      </c>
      <c r="F4557">
        <v>50</v>
      </c>
      <c r="G4557" t="s">
        <v>256</v>
      </c>
    </row>
    <row r="4558" spans="1:7">
      <c r="A4558" s="216">
        <v>45170</v>
      </c>
      <c r="B4558" t="s">
        <v>50</v>
      </c>
      <c r="C4558">
        <v>27</v>
      </c>
      <c r="D4558" t="s">
        <v>446</v>
      </c>
      <c r="E4558" s="217">
        <v>45170</v>
      </c>
      <c r="F4558">
        <v>0</v>
      </c>
      <c r="G4558" t="s">
        <v>257</v>
      </c>
    </row>
    <row r="4559" spans="1:7">
      <c r="A4559" s="216">
        <v>45170</v>
      </c>
      <c r="B4559" t="s">
        <v>50</v>
      </c>
      <c r="C4559">
        <v>27</v>
      </c>
      <c r="D4559" t="s">
        <v>446</v>
      </c>
      <c r="E4559" s="217">
        <v>45170</v>
      </c>
      <c r="F4559">
        <v>0</v>
      </c>
      <c r="G4559" t="s">
        <v>258</v>
      </c>
    </row>
    <row r="4560" spans="1:7">
      <c r="A4560" s="216">
        <v>45170</v>
      </c>
      <c r="B4560" t="s">
        <v>50</v>
      </c>
      <c r="C4560">
        <v>27</v>
      </c>
      <c r="D4560" t="s">
        <v>446</v>
      </c>
      <c r="E4560" s="217">
        <v>45170</v>
      </c>
      <c r="F4560">
        <v>0</v>
      </c>
      <c r="G4560" t="s">
        <v>259</v>
      </c>
    </row>
    <row r="4561" spans="1:7">
      <c r="A4561" s="216">
        <v>45170</v>
      </c>
      <c r="B4561" t="s">
        <v>50</v>
      </c>
      <c r="C4561">
        <v>27</v>
      </c>
      <c r="D4561" t="s">
        <v>446</v>
      </c>
      <c r="E4561" s="217">
        <v>45170</v>
      </c>
      <c r="F4561">
        <v>-25</v>
      </c>
      <c r="G4561" t="s">
        <v>260</v>
      </c>
    </row>
    <row r="4562" spans="1:7">
      <c r="A4562" s="216">
        <v>45170</v>
      </c>
      <c r="B4562" t="s">
        <v>50</v>
      </c>
      <c r="C4562">
        <v>27</v>
      </c>
      <c r="D4562" t="s">
        <v>446</v>
      </c>
      <c r="E4562" s="217">
        <v>45170</v>
      </c>
      <c r="F4562">
        <v>-26</v>
      </c>
      <c r="G4562" t="s">
        <v>261</v>
      </c>
    </row>
    <row r="4563" spans="1:7">
      <c r="A4563" s="216">
        <v>45170</v>
      </c>
      <c r="B4563" t="s">
        <v>50</v>
      </c>
      <c r="C4563">
        <v>27</v>
      </c>
      <c r="D4563" t="s">
        <v>446</v>
      </c>
      <c r="E4563" s="217">
        <v>45170</v>
      </c>
      <c r="F4563">
        <v>-26</v>
      </c>
      <c r="G4563" t="s">
        <v>262</v>
      </c>
    </row>
    <row r="4564" spans="1:7">
      <c r="A4564" s="216">
        <v>45170</v>
      </c>
      <c r="B4564" t="s">
        <v>50</v>
      </c>
      <c r="C4564">
        <v>27</v>
      </c>
      <c r="D4564" t="s">
        <v>446</v>
      </c>
      <c r="E4564" s="217">
        <v>45170</v>
      </c>
      <c r="F4564">
        <v>0</v>
      </c>
      <c r="G4564" t="s">
        <v>434</v>
      </c>
    </row>
    <row r="4565" spans="1:7">
      <c r="A4565" s="216">
        <v>45170</v>
      </c>
      <c r="B4565" t="s">
        <v>461</v>
      </c>
      <c r="C4565">
        <v>1</v>
      </c>
      <c r="D4565" t="s">
        <v>453</v>
      </c>
      <c r="E4565" s="217">
        <v>45170</v>
      </c>
      <c r="F4565">
        <v>0</v>
      </c>
      <c r="G4565" t="s">
        <v>251</v>
      </c>
    </row>
    <row r="4566" spans="1:7">
      <c r="A4566" s="216">
        <v>45170</v>
      </c>
      <c r="B4566" t="s">
        <v>461</v>
      </c>
      <c r="C4566">
        <v>1</v>
      </c>
      <c r="D4566" t="s">
        <v>453</v>
      </c>
      <c r="E4566" s="217">
        <v>45170</v>
      </c>
      <c r="F4566">
        <v>0</v>
      </c>
      <c r="G4566" t="s">
        <v>252</v>
      </c>
    </row>
    <row r="4567" spans="1:7">
      <c r="A4567" s="216">
        <v>45170</v>
      </c>
      <c r="B4567" t="s">
        <v>461</v>
      </c>
      <c r="C4567">
        <v>1</v>
      </c>
      <c r="D4567" t="s">
        <v>453</v>
      </c>
      <c r="E4567" s="217">
        <v>45170</v>
      </c>
      <c r="F4567">
        <v>0</v>
      </c>
      <c r="G4567" t="s">
        <v>253</v>
      </c>
    </row>
    <row r="4568" spans="1:7">
      <c r="A4568" s="216">
        <v>45170</v>
      </c>
      <c r="B4568" t="s">
        <v>461</v>
      </c>
      <c r="C4568">
        <v>1</v>
      </c>
      <c r="D4568" t="s">
        <v>453</v>
      </c>
      <c r="E4568" s="217">
        <v>45170</v>
      </c>
      <c r="F4568">
        <v>0</v>
      </c>
      <c r="G4568" t="s">
        <v>254</v>
      </c>
    </row>
    <row r="4569" spans="1:7">
      <c r="A4569" s="216">
        <v>45170</v>
      </c>
      <c r="B4569" t="s">
        <v>461</v>
      </c>
      <c r="C4569">
        <v>1</v>
      </c>
      <c r="D4569" t="s">
        <v>453</v>
      </c>
      <c r="E4569" s="217">
        <v>45170</v>
      </c>
      <c r="F4569">
        <v>0</v>
      </c>
      <c r="G4569" t="s">
        <v>255</v>
      </c>
    </row>
    <row r="4570" spans="1:7">
      <c r="A4570" s="216">
        <v>45170</v>
      </c>
      <c r="B4570" t="s">
        <v>461</v>
      </c>
      <c r="C4570">
        <v>1</v>
      </c>
      <c r="D4570" t="s">
        <v>453</v>
      </c>
      <c r="E4570" s="217">
        <v>45170</v>
      </c>
      <c r="F4570">
        <v>0</v>
      </c>
      <c r="G4570" t="s">
        <v>256</v>
      </c>
    </row>
    <row r="4571" spans="1:7">
      <c r="A4571" s="216">
        <v>45170</v>
      </c>
      <c r="B4571" t="s">
        <v>461</v>
      </c>
      <c r="C4571">
        <v>1</v>
      </c>
      <c r="D4571" t="s">
        <v>453</v>
      </c>
      <c r="E4571" s="217">
        <v>45170</v>
      </c>
      <c r="F4571">
        <v>0</v>
      </c>
      <c r="G4571" t="s">
        <v>257</v>
      </c>
    </row>
    <row r="4572" spans="1:7">
      <c r="A4572" s="216">
        <v>45170</v>
      </c>
      <c r="B4572" t="s">
        <v>461</v>
      </c>
      <c r="C4572">
        <v>1</v>
      </c>
      <c r="D4572" t="s">
        <v>453</v>
      </c>
      <c r="E4572" s="217">
        <v>45170</v>
      </c>
      <c r="F4572">
        <v>0</v>
      </c>
      <c r="G4572" t="s">
        <v>258</v>
      </c>
    </row>
    <row r="4573" spans="1:7">
      <c r="A4573" s="216">
        <v>45170</v>
      </c>
      <c r="B4573" t="s">
        <v>461</v>
      </c>
      <c r="C4573">
        <v>1</v>
      </c>
      <c r="D4573" t="s">
        <v>453</v>
      </c>
      <c r="E4573" s="217">
        <v>45170</v>
      </c>
      <c r="F4573">
        <v>0</v>
      </c>
      <c r="G4573" t="s">
        <v>259</v>
      </c>
    </row>
    <row r="4574" spans="1:7">
      <c r="A4574" s="216">
        <v>45170</v>
      </c>
      <c r="B4574" t="s">
        <v>461</v>
      </c>
      <c r="C4574">
        <v>1</v>
      </c>
      <c r="D4574" t="s">
        <v>453</v>
      </c>
      <c r="E4574" s="217">
        <v>45170</v>
      </c>
      <c r="F4574">
        <v>0</v>
      </c>
      <c r="G4574" t="s">
        <v>260</v>
      </c>
    </row>
    <row r="4575" spans="1:7">
      <c r="A4575" s="216">
        <v>45170</v>
      </c>
      <c r="B4575" t="s">
        <v>461</v>
      </c>
      <c r="C4575">
        <v>1</v>
      </c>
      <c r="D4575" t="s">
        <v>453</v>
      </c>
      <c r="E4575" s="217">
        <v>45170</v>
      </c>
      <c r="F4575">
        <v>0</v>
      </c>
      <c r="G4575" t="s">
        <v>261</v>
      </c>
    </row>
    <row r="4576" spans="1:7">
      <c r="A4576" s="216">
        <v>45170</v>
      </c>
      <c r="B4576" t="s">
        <v>461</v>
      </c>
      <c r="C4576">
        <v>1</v>
      </c>
      <c r="D4576" t="s">
        <v>453</v>
      </c>
      <c r="E4576" s="217">
        <v>45170</v>
      </c>
      <c r="F4576">
        <v>0</v>
      </c>
      <c r="G4576" t="s">
        <v>262</v>
      </c>
    </row>
    <row r="4577" spans="1:7">
      <c r="A4577" s="216">
        <v>45170</v>
      </c>
      <c r="B4577" t="s">
        <v>461</v>
      </c>
      <c r="C4577">
        <v>1</v>
      </c>
      <c r="D4577" t="s">
        <v>453</v>
      </c>
      <c r="E4577" s="217">
        <v>45170</v>
      </c>
      <c r="F4577">
        <v>0</v>
      </c>
      <c r="G4577" t="s">
        <v>434</v>
      </c>
    </row>
    <row r="4578" spans="1:7">
      <c r="A4578" s="216">
        <v>45170</v>
      </c>
      <c r="B4578" t="s">
        <v>461</v>
      </c>
      <c r="C4578">
        <v>2</v>
      </c>
      <c r="D4578" t="s">
        <v>436</v>
      </c>
      <c r="E4578" s="217">
        <v>45170</v>
      </c>
      <c r="F4578">
        <v>0</v>
      </c>
      <c r="G4578" t="s">
        <v>251</v>
      </c>
    </row>
    <row r="4579" spans="1:7">
      <c r="A4579" s="216">
        <v>45170</v>
      </c>
      <c r="B4579" t="s">
        <v>461</v>
      </c>
      <c r="C4579">
        <v>2</v>
      </c>
      <c r="D4579" t="s">
        <v>436</v>
      </c>
      <c r="E4579" s="217">
        <v>45170</v>
      </c>
      <c r="F4579">
        <v>0</v>
      </c>
      <c r="G4579" t="s">
        <v>252</v>
      </c>
    </row>
    <row r="4580" spans="1:7">
      <c r="A4580" s="216">
        <v>45170</v>
      </c>
      <c r="B4580" t="s">
        <v>461</v>
      </c>
      <c r="C4580">
        <v>2</v>
      </c>
      <c r="D4580" t="s">
        <v>436</v>
      </c>
      <c r="E4580" s="217">
        <v>45170</v>
      </c>
      <c r="F4580">
        <v>0</v>
      </c>
      <c r="G4580" t="s">
        <v>253</v>
      </c>
    </row>
    <row r="4581" spans="1:7">
      <c r="A4581" s="216">
        <v>45170</v>
      </c>
      <c r="B4581" t="s">
        <v>461</v>
      </c>
      <c r="C4581">
        <v>2</v>
      </c>
      <c r="D4581" t="s">
        <v>436</v>
      </c>
      <c r="E4581" s="217">
        <v>45170</v>
      </c>
      <c r="F4581">
        <v>0</v>
      </c>
      <c r="G4581" t="s">
        <v>254</v>
      </c>
    </row>
    <row r="4582" spans="1:7">
      <c r="A4582" s="216">
        <v>45170</v>
      </c>
      <c r="B4582" t="s">
        <v>461</v>
      </c>
      <c r="C4582">
        <v>2</v>
      </c>
      <c r="D4582" t="s">
        <v>436</v>
      </c>
      <c r="E4582" s="217">
        <v>45170</v>
      </c>
      <c r="F4582">
        <v>0</v>
      </c>
      <c r="G4582" t="s">
        <v>255</v>
      </c>
    </row>
    <row r="4583" spans="1:7">
      <c r="A4583" s="216">
        <v>45170</v>
      </c>
      <c r="B4583" t="s">
        <v>461</v>
      </c>
      <c r="C4583">
        <v>2</v>
      </c>
      <c r="D4583" t="s">
        <v>436</v>
      </c>
      <c r="E4583" s="217">
        <v>45170</v>
      </c>
      <c r="F4583">
        <v>0</v>
      </c>
      <c r="G4583" t="s">
        <v>256</v>
      </c>
    </row>
    <row r="4584" spans="1:7">
      <c r="A4584" s="216">
        <v>45170</v>
      </c>
      <c r="B4584" t="s">
        <v>461</v>
      </c>
      <c r="C4584">
        <v>2</v>
      </c>
      <c r="D4584" t="s">
        <v>436</v>
      </c>
      <c r="E4584" s="217">
        <v>45170</v>
      </c>
      <c r="F4584">
        <v>0</v>
      </c>
      <c r="G4584" t="s">
        <v>257</v>
      </c>
    </row>
    <row r="4585" spans="1:7">
      <c r="A4585" s="216">
        <v>45170</v>
      </c>
      <c r="B4585" t="s">
        <v>461</v>
      </c>
      <c r="C4585">
        <v>2</v>
      </c>
      <c r="D4585" t="s">
        <v>436</v>
      </c>
      <c r="E4585" s="217">
        <v>45170</v>
      </c>
      <c r="F4585">
        <v>0</v>
      </c>
      <c r="G4585" t="s">
        <v>258</v>
      </c>
    </row>
    <row r="4586" spans="1:7">
      <c r="A4586" s="216">
        <v>45170</v>
      </c>
      <c r="B4586" t="s">
        <v>461</v>
      </c>
      <c r="C4586">
        <v>2</v>
      </c>
      <c r="D4586" t="s">
        <v>436</v>
      </c>
      <c r="E4586" s="217">
        <v>45170</v>
      </c>
      <c r="F4586">
        <v>0</v>
      </c>
      <c r="G4586" t="s">
        <v>259</v>
      </c>
    </row>
    <row r="4587" spans="1:7">
      <c r="A4587" s="216">
        <v>45170</v>
      </c>
      <c r="B4587" t="s">
        <v>461</v>
      </c>
      <c r="C4587">
        <v>2</v>
      </c>
      <c r="D4587" t="s">
        <v>436</v>
      </c>
      <c r="E4587" s="217">
        <v>45170</v>
      </c>
      <c r="F4587">
        <v>0</v>
      </c>
      <c r="G4587" t="s">
        <v>260</v>
      </c>
    </row>
    <row r="4588" spans="1:7">
      <c r="A4588" s="216">
        <v>45170</v>
      </c>
      <c r="B4588" t="s">
        <v>461</v>
      </c>
      <c r="C4588">
        <v>2</v>
      </c>
      <c r="D4588" t="s">
        <v>436</v>
      </c>
      <c r="E4588" s="217">
        <v>45170</v>
      </c>
      <c r="F4588">
        <v>0</v>
      </c>
      <c r="G4588" t="s">
        <v>261</v>
      </c>
    </row>
    <row r="4589" spans="1:7">
      <c r="A4589" s="216">
        <v>45170</v>
      </c>
      <c r="B4589" t="s">
        <v>461</v>
      </c>
      <c r="C4589">
        <v>2</v>
      </c>
      <c r="D4589" t="s">
        <v>436</v>
      </c>
      <c r="E4589" s="217">
        <v>45170</v>
      </c>
      <c r="F4589">
        <v>0</v>
      </c>
      <c r="G4589" t="s">
        <v>262</v>
      </c>
    </row>
    <row r="4590" spans="1:7">
      <c r="A4590" s="216">
        <v>45170</v>
      </c>
      <c r="B4590" t="s">
        <v>461</v>
      </c>
      <c r="C4590">
        <v>2</v>
      </c>
      <c r="D4590" t="s">
        <v>436</v>
      </c>
      <c r="E4590" s="217">
        <v>45170</v>
      </c>
      <c r="F4590">
        <v>0</v>
      </c>
      <c r="G4590" t="s">
        <v>434</v>
      </c>
    </row>
    <row r="4591" spans="1:7">
      <c r="A4591" s="216">
        <v>45170</v>
      </c>
      <c r="B4591" t="s">
        <v>461</v>
      </c>
      <c r="C4591">
        <v>3</v>
      </c>
      <c r="D4591" t="s">
        <v>459</v>
      </c>
      <c r="E4591" s="217">
        <v>45170</v>
      </c>
      <c r="F4591">
        <v>87192</v>
      </c>
      <c r="G4591" t="s">
        <v>251</v>
      </c>
    </row>
    <row r="4592" spans="1:7">
      <c r="A4592" s="216">
        <v>45170</v>
      </c>
      <c r="B4592" t="s">
        <v>461</v>
      </c>
      <c r="C4592">
        <v>3</v>
      </c>
      <c r="D4592" t="s">
        <v>459</v>
      </c>
      <c r="E4592" s="217">
        <v>45170</v>
      </c>
      <c r="F4592">
        <v>87483</v>
      </c>
      <c r="G4592" t="s">
        <v>252</v>
      </c>
    </row>
    <row r="4593" spans="1:7">
      <c r="A4593" s="216">
        <v>45170</v>
      </c>
      <c r="B4593" t="s">
        <v>461</v>
      </c>
      <c r="C4593">
        <v>3</v>
      </c>
      <c r="D4593" t="s">
        <v>459</v>
      </c>
      <c r="E4593" s="217">
        <v>45170</v>
      </c>
      <c r="F4593">
        <v>87590</v>
      </c>
      <c r="G4593" t="s">
        <v>253</v>
      </c>
    </row>
    <row r="4594" spans="1:7">
      <c r="A4594" s="216">
        <v>45170</v>
      </c>
      <c r="B4594" t="s">
        <v>461</v>
      </c>
      <c r="C4594">
        <v>3</v>
      </c>
      <c r="D4594" t="s">
        <v>459</v>
      </c>
      <c r="E4594" s="217">
        <v>45170</v>
      </c>
      <c r="F4594">
        <v>84998</v>
      </c>
      <c r="G4594" t="s">
        <v>254</v>
      </c>
    </row>
    <row r="4595" spans="1:7">
      <c r="A4595" s="216">
        <v>45170</v>
      </c>
      <c r="B4595" t="s">
        <v>461</v>
      </c>
      <c r="C4595">
        <v>3</v>
      </c>
      <c r="D4595" t="s">
        <v>459</v>
      </c>
      <c r="E4595" s="217">
        <v>45170</v>
      </c>
      <c r="F4595">
        <v>87032</v>
      </c>
      <c r="G4595" t="s">
        <v>255</v>
      </c>
    </row>
    <row r="4596" spans="1:7">
      <c r="A4596" s="216">
        <v>45170</v>
      </c>
      <c r="B4596" t="s">
        <v>461</v>
      </c>
      <c r="C4596">
        <v>3</v>
      </c>
      <c r="D4596" t="s">
        <v>459</v>
      </c>
      <c r="E4596" s="217">
        <v>45170</v>
      </c>
      <c r="F4596">
        <v>84219.5</v>
      </c>
      <c r="G4596" t="s">
        <v>256</v>
      </c>
    </row>
    <row r="4597" spans="1:7">
      <c r="A4597" s="216">
        <v>45170</v>
      </c>
      <c r="B4597" t="s">
        <v>461</v>
      </c>
      <c r="C4597">
        <v>3</v>
      </c>
      <c r="D4597" t="s">
        <v>459</v>
      </c>
      <c r="E4597" s="217">
        <v>45170</v>
      </c>
      <c r="F4597">
        <v>86632</v>
      </c>
      <c r="G4597" t="s">
        <v>257</v>
      </c>
    </row>
    <row r="4598" spans="1:7">
      <c r="A4598" s="216">
        <v>45170</v>
      </c>
      <c r="B4598" t="s">
        <v>461</v>
      </c>
      <c r="C4598">
        <v>3</v>
      </c>
      <c r="D4598" t="s">
        <v>459</v>
      </c>
      <c r="E4598" s="217">
        <v>45170</v>
      </c>
      <c r="F4598">
        <v>86632</v>
      </c>
      <c r="G4598" t="s">
        <v>258</v>
      </c>
    </row>
    <row r="4599" spans="1:7">
      <c r="A4599" s="216">
        <v>45170</v>
      </c>
      <c r="B4599" t="s">
        <v>461</v>
      </c>
      <c r="C4599">
        <v>3</v>
      </c>
      <c r="D4599" t="s">
        <v>459</v>
      </c>
      <c r="E4599" s="217">
        <v>45170</v>
      </c>
      <c r="F4599">
        <v>86632</v>
      </c>
      <c r="G4599" t="s">
        <v>259</v>
      </c>
    </row>
    <row r="4600" spans="1:7">
      <c r="A4600" s="216">
        <v>45170</v>
      </c>
      <c r="B4600" t="s">
        <v>461</v>
      </c>
      <c r="C4600">
        <v>3</v>
      </c>
      <c r="D4600" t="s">
        <v>459</v>
      </c>
      <c r="E4600" s="217">
        <v>45170</v>
      </c>
      <c r="F4600">
        <v>86632</v>
      </c>
      <c r="G4600" t="s">
        <v>260</v>
      </c>
    </row>
    <row r="4601" spans="1:7">
      <c r="A4601" s="216">
        <v>45170</v>
      </c>
      <c r="B4601" t="s">
        <v>461</v>
      </c>
      <c r="C4601">
        <v>3</v>
      </c>
      <c r="D4601" t="s">
        <v>459</v>
      </c>
      <c r="E4601" s="217">
        <v>45170</v>
      </c>
      <c r="F4601">
        <v>86632</v>
      </c>
      <c r="G4601" t="s">
        <v>261</v>
      </c>
    </row>
    <row r="4602" spans="1:7">
      <c r="A4602" s="216">
        <v>45170</v>
      </c>
      <c r="B4602" t="s">
        <v>461</v>
      </c>
      <c r="C4602">
        <v>3</v>
      </c>
      <c r="D4602" t="s">
        <v>459</v>
      </c>
      <c r="E4602" s="217">
        <v>45170</v>
      </c>
      <c r="F4602">
        <v>86620.5</v>
      </c>
      <c r="G4602" t="s">
        <v>262</v>
      </c>
    </row>
    <row r="4603" spans="1:7">
      <c r="A4603" s="216">
        <v>45170</v>
      </c>
      <c r="B4603" t="s">
        <v>461</v>
      </c>
      <c r="C4603">
        <v>3</v>
      </c>
      <c r="D4603" t="s">
        <v>459</v>
      </c>
      <c r="E4603" s="217">
        <v>45170</v>
      </c>
      <c r="F4603">
        <v>1038295</v>
      </c>
      <c r="G4603" t="s">
        <v>434</v>
      </c>
    </row>
    <row r="4604" spans="1:7">
      <c r="A4604" s="216">
        <v>45170</v>
      </c>
      <c r="B4604" t="s">
        <v>461</v>
      </c>
      <c r="C4604">
        <v>4</v>
      </c>
      <c r="D4604" t="s">
        <v>460</v>
      </c>
      <c r="E4604" s="217">
        <v>45170</v>
      </c>
      <c r="F4604">
        <v>0</v>
      </c>
      <c r="G4604" t="s">
        <v>251</v>
      </c>
    </row>
    <row r="4605" spans="1:7">
      <c r="A4605" s="216">
        <v>45170</v>
      </c>
      <c r="B4605" t="s">
        <v>461</v>
      </c>
      <c r="C4605">
        <v>4</v>
      </c>
      <c r="D4605" t="s">
        <v>460</v>
      </c>
      <c r="E4605" s="217">
        <v>45170</v>
      </c>
      <c r="F4605">
        <v>0</v>
      </c>
      <c r="G4605" t="s">
        <v>252</v>
      </c>
    </row>
    <row r="4606" spans="1:7">
      <c r="A4606" s="216">
        <v>45170</v>
      </c>
      <c r="B4606" t="s">
        <v>461</v>
      </c>
      <c r="C4606">
        <v>4</v>
      </c>
      <c r="D4606" t="s">
        <v>460</v>
      </c>
      <c r="E4606" s="217">
        <v>45170</v>
      </c>
      <c r="F4606">
        <v>0</v>
      </c>
      <c r="G4606" t="s">
        <v>253</v>
      </c>
    </row>
    <row r="4607" spans="1:7">
      <c r="A4607" s="216">
        <v>45170</v>
      </c>
      <c r="B4607" t="s">
        <v>461</v>
      </c>
      <c r="C4607">
        <v>4</v>
      </c>
      <c r="D4607" t="s">
        <v>460</v>
      </c>
      <c r="E4607" s="217">
        <v>45170</v>
      </c>
      <c r="F4607">
        <v>0</v>
      </c>
      <c r="G4607" t="s">
        <v>254</v>
      </c>
    </row>
    <row r="4608" spans="1:7">
      <c r="A4608" s="216">
        <v>45170</v>
      </c>
      <c r="B4608" t="s">
        <v>461</v>
      </c>
      <c r="C4608">
        <v>4</v>
      </c>
      <c r="D4608" t="s">
        <v>460</v>
      </c>
      <c r="E4608" s="217">
        <v>45170</v>
      </c>
      <c r="F4608">
        <v>0</v>
      </c>
      <c r="G4608" t="s">
        <v>255</v>
      </c>
    </row>
    <row r="4609" spans="1:7">
      <c r="A4609" s="216">
        <v>45170</v>
      </c>
      <c r="B4609" t="s">
        <v>461</v>
      </c>
      <c r="C4609">
        <v>4</v>
      </c>
      <c r="D4609" t="s">
        <v>460</v>
      </c>
      <c r="E4609" s="217">
        <v>45170</v>
      </c>
      <c r="F4609">
        <v>0</v>
      </c>
      <c r="G4609" t="s">
        <v>256</v>
      </c>
    </row>
    <row r="4610" spans="1:7">
      <c r="A4610" s="216">
        <v>45170</v>
      </c>
      <c r="B4610" t="s">
        <v>461</v>
      </c>
      <c r="C4610">
        <v>4</v>
      </c>
      <c r="D4610" t="s">
        <v>460</v>
      </c>
      <c r="E4610" s="217">
        <v>45170</v>
      </c>
      <c r="F4610">
        <v>0</v>
      </c>
      <c r="G4610" t="s">
        <v>257</v>
      </c>
    </row>
    <row r="4611" spans="1:7">
      <c r="A4611" s="216">
        <v>45170</v>
      </c>
      <c r="B4611" t="s">
        <v>461</v>
      </c>
      <c r="C4611">
        <v>4</v>
      </c>
      <c r="D4611" t="s">
        <v>460</v>
      </c>
      <c r="E4611" s="217">
        <v>45170</v>
      </c>
      <c r="F4611">
        <v>0</v>
      </c>
      <c r="G4611" t="s">
        <v>258</v>
      </c>
    </row>
    <row r="4612" spans="1:7">
      <c r="A4612" s="216">
        <v>45170</v>
      </c>
      <c r="B4612" t="s">
        <v>461</v>
      </c>
      <c r="C4612">
        <v>4</v>
      </c>
      <c r="D4612" t="s">
        <v>460</v>
      </c>
      <c r="E4612" s="217">
        <v>45170</v>
      </c>
      <c r="F4612">
        <v>0</v>
      </c>
      <c r="G4612" t="s">
        <v>259</v>
      </c>
    </row>
    <row r="4613" spans="1:7">
      <c r="A4613" s="216">
        <v>45170</v>
      </c>
      <c r="B4613" t="s">
        <v>461</v>
      </c>
      <c r="C4613">
        <v>4</v>
      </c>
      <c r="D4613" t="s">
        <v>460</v>
      </c>
      <c r="E4613" s="217">
        <v>45170</v>
      </c>
      <c r="F4613">
        <v>0</v>
      </c>
      <c r="G4613" t="s">
        <v>260</v>
      </c>
    </row>
    <row r="4614" spans="1:7">
      <c r="A4614" s="216">
        <v>45170</v>
      </c>
      <c r="B4614" t="s">
        <v>461</v>
      </c>
      <c r="C4614">
        <v>4</v>
      </c>
      <c r="D4614" t="s">
        <v>460</v>
      </c>
      <c r="E4614" s="217">
        <v>45170</v>
      </c>
      <c r="F4614">
        <v>0</v>
      </c>
      <c r="G4614" t="s">
        <v>261</v>
      </c>
    </row>
    <row r="4615" spans="1:7">
      <c r="A4615" s="216">
        <v>45170</v>
      </c>
      <c r="B4615" t="s">
        <v>461</v>
      </c>
      <c r="C4615">
        <v>4</v>
      </c>
      <c r="D4615" t="s">
        <v>460</v>
      </c>
      <c r="E4615" s="217">
        <v>45170</v>
      </c>
      <c r="F4615">
        <v>0</v>
      </c>
      <c r="G4615" t="s">
        <v>262</v>
      </c>
    </row>
    <row r="4616" spans="1:7">
      <c r="A4616" s="216">
        <v>45170</v>
      </c>
      <c r="B4616" t="s">
        <v>461</v>
      </c>
      <c r="C4616">
        <v>4</v>
      </c>
      <c r="D4616" t="s">
        <v>460</v>
      </c>
      <c r="E4616" s="217">
        <v>45170</v>
      </c>
      <c r="F4616">
        <v>0</v>
      </c>
      <c r="G4616" t="s">
        <v>434</v>
      </c>
    </row>
    <row r="4617" spans="1:7">
      <c r="A4617" s="216">
        <v>45170</v>
      </c>
      <c r="B4617" t="s">
        <v>461</v>
      </c>
      <c r="C4617">
        <v>5</v>
      </c>
      <c r="D4617" t="s">
        <v>458</v>
      </c>
      <c r="E4617" s="217">
        <v>45170</v>
      </c>
      <c r="F4617">
        <v>0</v>
      </c>
      <c r="G4617" t="s">
        <v>251</v>
      </c>
    </row>
    <row r="4618" spans="1:7">
      <c r="A4618" s="216">
        <v>45170</v>
      </c>
      <c r="B4618" t="s">
        <v>461</v>
      </c>
      <c r="C4618">
        <v>5</v>
      </c>
      <c r="D4618" t="s">
        <v>458</v>
      </c>
      <c r="E4618" s="217">
        <v>45170</v>
      </c>
      <c r="F4618">
        <v>0</v>
      </c>
      <c r="G4618" t="s">
        <v>252</v>
      </c>
    </row>
    <row r="4619" spans="1:7">
      <c r="A4619" s="216">
        <v>45170</v>
      </c>
      <c r="B4619" t="s">
        <v>461</v>
      </c>
      <c r="C4619">
        <v>5</v>
      </c>
      <c r="D4619" t="s">
        <v>458</v>
      </c>
      <c r="E4619" s="217">
        <v>45170</v>
      </c>
      <c r="F4619">
        <v>0</v>
      </c>
      <c r="G4619" t="s">
        <v>253</v>
      </c>
    </row>
    <row r="4620" spans="1:7">
      <c r="A4620" s="216">
        <v>45170</v>
      </c>
      <c r="B4620" t="s">
        <v>461</v>
      </c>
      <c r="C4620">
        <v>5</v>
      </c>
      <c r="D4620" t="s">
        <v>458</v>
      </c>
      <c r="E4620" s="217">
        <v>45170</v>
      </c>
      <c r="F4620">
        <v>0</v>
      </c>
      <c r="G4620" t="s">
        <v>254</v>
      </c>
    </row>
    <row r="4621" spans="1:7">
      <c r="A4621" s="216">
        <v>45170</v>
      </c>
      <c r="B4621" t="s">
        <v>461</v>
      </c>
      <c r="C4621">
        <v>5</v>
      </c>
      <c r="D4621" t="s">
        <v>458</v>
      </c>
      <c r="E4621" s="217">
        <v>45170</v>
      </c>
      <c r="F4621">
        <v>0</v>
      </c>
      <c r="G4621" t="s">
        <v>255</v>
      </c>
    </row>
    <row r="4622" spans="1:7">
      <c r="A4622" s="216">
        <v>45170</v>
      </c>
      <c r="B4622" t="s">
        <v>461</v>
      </c>
      <c r="C4622">
        <v>5</v>
      </c>
      <c r="D4622" t="s">
        <v>458</v>
      </c>
      <c r="E4622" s="217">
        <v>45170</v>
      </c>
      <c r="F4622">
        <v>0</v>
      </c>
      <c r="G4622" t="s">
        <v>256</v>
      </c>
    </row>
    <row r="4623" spans="1:7">
      <c r="A4623" s="216">
        <v>45170</v>
      </c>
      <c r="B4623" t="s">
        <v>461</v>
      </c>
      <c r="C4623">
        <v>5</v>
      </c>
      <c r="D4623" t="s">
        <v>458</v>
      </c>
      <c r="E4623" s="217">
        <v>45170</v>
      </c>
      <c r="F4623">
        <v>0</v>
      </c>
      <c r="G4623" t="s">
        <v>257</v>
      </c>
    </row>
    <row r="4624" spans="1:7">
      <c r="A4624" s="216">
        <v>45170</v>
      </c>
      <c r="B4624" t="s">
        <v>461</v>
      </c>
      <c r="C4624">
        <v>5</v>
      </c>
      <c r="D4624" t="s">
        <v>458</v>
      </c>
      <c r="E4624" s="217">
        <v>45170</v>
      </c>
      <c r="F4624">
        <v>0</v>
      </c>
      <c r="G4624" t="s">
        <v>258</v>
      </c>
    </row>
    <row r="4625" spans="1:7">
      <c r="A4625" s="216">
        <v>45170</v>
      </c>
      <c r="B4625" t="s">
        <v>461</v>
      </c>
      <c r="C4625">
        <v>5</v>
      </c>
      <c r="D4625" t="s">
        <v>458</v>
      </c>
      <c r="E4625" s="217">
        <v>45170</v>
      </c>
      <c r="F4625">
        <v>0</v>
      </c>
      <c r="G4625" t="s">
        <v>259</v>
      </c>
    </row>
    <row r="4626" spans="1:7">
      <c r="A4626" s="216">
        <v>45170</v>
      </c>
      <c r="B4626" t="s">
        <v>461</v>
      </c>
      <c r="C4626">
        <v>5</v>
      </c>
      <c r="D4626" t="s">
        <v>458</v>
      </c>
      <c r="E4626" s="217">
        <v>45170</v>
      </c>
      <c r="F4626">
        <v>0</v>
      </c>
      <c r="G4626" t="s">
        <v>260</v>
      </c>
    </row>
    <row r="4627" spans="1:7">
      <c r="A4627" s="216">
        <v>45170</v>
      </c>
      <c r="B4627" t="s">
        <v>461</v>
      </c>
      <c r="C4627">
        <v>5</v>
      </c>
      <c r="D4627" t="s">
        <v>458</v>
      </c>
      <c r="E4627" s="217">
        <v>45170</v>
      </c>
      <c r="F4627">
        <v>0</v>
      </c>
      <c r="G4627" t="s">
        <v>261</v>
      </c>
    </row>
    <row r="4628" spans="1:7">
      <c r="A4628" s="216">
        <v>45170</v>
      </c>
      <c r="B4628" t="s">
        <v>461</v>
      </c>
      <c r="C4628">
        <v>5</v>
      </c>
      <c r="D4628" t="s">
        <v>458</v>
      </c>
      <c r="E4628" s="217">
        <v>45170</v>
      </c>
      <c r="F4628">
        <v>0</v>
      </c>
      <c r="G4628" t="s">
        <v>262</v>
      </c>
    </row>
    <row r="4629" spans="1:7">
      <c r="A4629" s="216">
        <v>45170</v>
      </c>
      <c r="B4629" t="s">
        <v>461</v>
      </c>
      <c r="C4629">
        <v>5</v>
      </c>
      <c r="D4629" t="s">
        <v>458</v>
      </c>
      <c r="E4629" s="217">
        <v>45170</v>
      </c>
      <c r="F4629">
        <v>0</v>
      </c>
      <c r="G4629" t="s">
        <v>434</v>
      </c>
    </row>
    <row r="4630" spans="1:7">
      <c r="A4630" s="216">
        <v>45170</v>
      </c>
      <c r="B4630" t="s">
        <v>461</v>
      </c>
      <c r="C4630">
        <v>6</v>
      </c>
      <c r="D4630" t="s">
        <v>448</v>
      </c>
      <c r="E4630" s="217">
        <v>45170</v>
      </c>
      <c r="F4630">
        <v>0</v>
      </c>
      <c r="G4630" t="s">
        <v>251</v>
      </c>
    </row>
    <row r="4631" spans="1:7">
      <c r="A4631" s="216">
        <v>45170</v>
      </c>
      <c r="B4631" t="s">
        <v>461</v>
      </c>
      <c r="C4631">
        <v>6</v>
      </c>
      <c r="D4631" t="s">
        <v>448</v>
      </c>
      <c r="E4631" s="217">
        <v>45170</v>
      </c>
      <c r="F4631">
        <v>0</v>
      </c>
      <c r="G4631" t="s">
        <v>252</v>
      </c>
    </row>
    <row r="4632" spans="1:7">
      <c r="A4632" s="216">
        <v>45170</v>
      </c>
      <c r="B4632" t="s">
        <v>461</v>
      </c>
      <c r="C4632">
        <v>6</v>
      </c>
      <c r="D4632" t="s">
        <v>448</v>
      </c>
      <c r="E4632" s="217">
        <v>45170</v>
      </c>
      <c r="F4632">
        <v>0</v>
      </c>
      <c r="G4632" t="s">
        <v>253</v>
      </c>
    </row>
    <row r="4633" spans="1:7">
      <c r="A4633" s="216">
        <v>45170</v>
      </c>
      <c r="B4633" t="s">
        <v>461</v>
      </c>
      <c r="C4633">
        <v>6</v>
      </c>
      <c r="D4633" t="s">
        <v>448</v>
      </c>
      <c r="E4633" s="217">
        <v>45170</v>
      </c>
      <c r="F4633">
        <v>0</v>
      </c>
      <c r="G4633" t="s">
        <v>254</v>
      </c>
    </row>
    <row r="4634" spans="1:7">
      <c r="A4634" s="216">
        <v>45170</v>
      </c>
      <c r="B4634" t="s">
        <v>461</v>
      </c>
      <c r="C4634">
        <v>6</v>
      </c>
      <c r="D4634" t="s">
        <v>448</v>
      </c>
      <c r="E4634" s="217">
        <v>45170</v>
      </c>
      <c r="F4634">
        <v>0</v>
      </c>
      <c r="G4634" t="s">
        <v>255</v>
      </c>
    </row>
    <row r="4635" spans="1:7">
      <c r="A4635" s="216">
        <v>45170</v>
      </c>
      <c r="B4635" t="s">
        <v>461</v>
      </c>
      <c r="C4635">
        <v>6</v>
      </c>
      <c r="D4635" t="s">
        <v>448</v>
      </c>
      <c r="E4635" s="217">
        <v>45170</v>
      </c>
      <c r="F4635">
        <v>0</v>
      </c>
      <c r="G4635" t="s">
        <v>256</v>
      </c>
    </row>
    <row r="4636" spans="1:7">
      <c r="A4636" s="216">
        <v>45170</v>
      </c>
      <c r="B4636" t="s">
        <v>461</v>
      </c>
      <c r="C4636">
        <v>6</v>
      </c>
      <c r="D4636" t="s">
        <v>448</v>
      </c>
      <c r="E4636" s="217">
        <v>45170</v>
      </c>
      <c r="F4636">
        <v>0</v>
      </c>
      <c r="G4636" t="s">
        <v>257</v>
      </c>
    </row>
    <row r="4637" spans="1:7">
      <c r="A4637" s="216">
        <v>45170</v>
      </c>
      <c r="B4637" t="s">
        <v>461</v>
      </c>
      <c r="C4637">
        <v>6</v>
      </c>
      <c r="D4637" t="s">
        <v>448</v>
      </c>
      <c r="E4637" s="217">
        <v>45170</v>
      </c>
      <c r="F4637">
        <v>0</v>
      </c>
      <c r="G4637" t="s">
        <v>258</v>
      </c>
    </row>
    <row r="4638" spans="1:7">
      <c r="A4638" s="216">
        <v>45170</v>
      </c>
      <c r="B4638" t="s">
        <v>461</v>
      </c>
      <c r="C4638">
        <v>6</v>
      </c>
      <c r="D4638" t="s">
        <v>448</v>
      </c>
      <c r="E4638" s="217">
        <v>45170</v>
      </c>
      <c r="F4638">
        <v>0</v>
      </c>
      <c r="G4638" t="s">
        <v>259</v>
      </c>
    </row>
    <row r="4639" spans="1:7">
      <c r="A4639" s="216">
        <v>45170</v>
      </c>
      <c r="B4639" t="s">
        <v>461</v>
      </c>
      <c r="C4639">
        <v>6</v>
      </c>
      <c r="D4639" t="s">
        <v>448</v>
      </c>
      <c r="E4639" s="217">
        <v>45170</v>
      </c>
      <c r="F4639">
        <v>0</v>
      </c>
      <c r="G4639" t="s">
        <v>260</v>
      </c>
    </row>
    <row r="4640" spans="1:7">
      <c r="A4640" s="216">
        <v>45170</v>
      </c>
      <c r="B4640" t="s">
        <v>461</v>
      </c>
      <c r="C4640">
        <v>6</v>
      </c>
      <c r="D4640" t="s">
        <v>448</v>
      </c>
      <c r="E4640" s="217">
        <v>45170</v>
      </c>
      <c r="F4640">
        <v>0</v>
      </c>
      <c r="G4640" t="s">
        <v>261</v>
      </c>
    </row>
    <row r="4641" spans="1:7">
      <c r="A4641" s="216">
        <v>45170</v>
      </c>
      <c r="B4641" t="s">
        <v>461</v>
      </c>
      <c r="C4641">
        <v>6</v>
      </c>
      <c r="D4641" t="s">
        <v>448</v>
      </c>
      <c r="E4641" s="217">
        <v>45170</v>
      </c>
      <c r="F4641">
        <v>0</v>
      </c>
      <c r="G4641" t="s">
        <v>262</v>
      </c>
    </row>
    <row r="4642" spans="1:7">
      <c r="A4642" s="216">
        <v>45170</v>
      </c>
      <c r="B4642" t="s">
        <v>461</v>
      </c>
      <c r="C4642">
        <v>6</v>
      </c>
      <c r="D4642" t="s">
        <v>448</v>
      </c>
      <c r="E4642" s="217">
        <v>45170</v>
      </c>
      <c r="F4642">
        <v>0</v>
      </c>
      <c r="G4642" t="s">
        <v>434</v>
      </c>
    </row>
    <row r="4643" spans="1:7">
      <c r="A4643" s="216">
        <v>45170</v>
      </c>
      <c r="B4643" t="s">
        <v>461</v>
      </c>
      <c r="C4643">
        <v>7</v>
      </c>
      <c r="D4643" t="s">
        <v>442</v>
      </c>
      <c r="E4643" s="217">
        <v>45170</v>
      </c>
      <c r="F4643">
        <v>87192</v>
      </c>
      <c r="G4643" t="s">
        <v>251</v>
      </c>
    </row>
    <row r="4644" spans="1:7">
      <c r="A4644" s="216">
        <v>45170</v>
      </c>
      <c r="B4644" t="s">
        <v>461</v>
      </c>
      <c r="C4644">
        <v>7</v>
      </c>
      <c r="D4644" t="s">
        <v>442</v>
      </c>
      <c r="E4644" s="217">
        <v>45170</v>
      </c>
      <c r="F4644">
        <v>87483</v>
      </c>
      <c r="G4644" t="s">
        <v>252</v>
      </c>
    </row>
    <row r="4645" spans="1:7">
      <c r="A4645" s="216">
        <v>45170</v>
      </c>
      <c r="B4645" t="s">
        <v>461</v>
      </c>
      <c r="C4645">
        <v>7</v>
      </c>
      <c r="D4645" t="s">
        <v>442</v>
      </c>
      <c r="E4645" s="217">
        <v>45170</v>
      </c>
      <c r="F4645">
        <v>87590</v>
      </c>
      <c r="G4645" t="s">
        <v>253</v>
      </c>
    </row>
    <row r="4646" spans="1:7">
      <c r="A4646" s="216">
        <v>45170</v>
      </c>
      <c r="B4646" t="s">
        <v>461</v>
      </c>
      <c r="C4646">
        <v>7</v>
      </c>
      <c r="D4646" t="s">
        <v>442</v>
      </c>
      <c r="E4646" s="217">
        <v>45170</v>
      </c>
      <c r="F4646">
        <v>84998</v>
      </c>
      <c r="G4646" t="s">
        <v>254</v>
      </c>
    </row>
    <row r="4647" spans="1:7">
      <c r="A4647" s="216">
        <v>45170</v>
      </c>
      <c r="B4647" t="s">
        <v>461</v>
      </c>
      <c r="C4647">
        <v>7</v>
      </c>
      <c r="D4647" t="s">
        <v>442</v>
      </c>
      <c r="E4647" s="217">
        <v>45170</v>
      </c>
      <c r="F4647">
        <v>87032</v>
      </c>
      <c r="G4647" t="s">
        <v>255</v>
      </c>
    </row>
    <row r="4648" spans="1:7">
      <c r="A4648" s="216">
        <v>45170</v>
      </c>
      <c r="B4648" t="s">
        <v>461</v>
      </c>
      <c r="C4648">
        <v>7</v>
      </c>
      <c r="D4648" t="s">
        <v>442</v>
      </c>
      <c r="E4648" s="217">
        <v>45170</v>
      </c>
      <c r="F4648">
        <v>84219.5</v>
      </c>
      <c r="G4648" t="s">
        <v>256</v>
      </c>
    </row>
    <row r="4649" spans="1:7">
      <c r="A4649" s="216">
        <v>45170</v>
      </c>
      <c r="B4649" t="s">
        <v>461</v>
      </c>
      <c r="C4649">
        <v>7</v>
      </c>
      <c r="D4649" t="s">
        <v>442</v>
      </c>
      <c r="E4649" s="217">
        <v>45170</v>
      </c>
      <c r="F4649">
        <v>86632</v>
      </c>
      <c r="G4649" t="s">
        <v>257</v>
      </c>
    </row>
    <row r="4650" spans="1:7">
      <c r="A4650" s="216">
        <v>45170</v>
      </c>
      <c r="B4650" t="s">
        <v>461</v>
      </c>
      <c r="C4650">
        <v>7</v>
      </c>
      <c r="D4650" t="s">
        <v>442</v>
      </c>
      <c r="E4650" s="217">
        <v>45170</v>
      </c>
      <c r="F4650">
        <v>86632</v>
      </c>
      <c r="G4650" t="s">
        <v>258</v>
      </c>
    </row>
    <row r="4651" spans="1:7">
      <c r="A4651" s="216">
        <v>45170</v>
      </c>
      <c r="B4651" t="s">
        <v>461</v>
      </c>
      <c r="C4651">
        <v>7</v>
      </c>
      <c r="D4651" t="s">
        <v>442</v>
      </c>
      <c r="E4651" s="217">
        <v>45170</v>
      </c>
      <c r="F4651">
        <v>86632</v>
      </c>
      <c r="G4651" t="s">
        <v>259</v>
      </c>
    </row>
    <row r="4652" spans="1:7">
      <c r="A4652" s="216">
        <v>45170</v>
      </c>
      <c r="B4652" t="s">
        <v>461</v>
      </c>
      <c r="C4652">
        <v>7</v>
      </c>
      <c r="D4652" t="s">
        <v>442</v>
      </c>
      <c r="E4652" s="217">
        <v>45170</v>
      </c>
      <c r="F4652">
        <v>86632</v>
      </c>
      <c r="G4652" t="s">
        <v>260</v>
      </c>
    </row>
    <row r="4653" spans="1:7">
      <c r="A4653" s="216">
        <v>45170</v>
      </c>
      <c r="B4653" t="s">
        <v>461</v>
      </c>
      <c r="C4653">
        <v>7</v>
      </c>
      <c r="D4653" t="s">
        <v>442</v>
      </c>
      <c r="E4653" s="217">
        <v>45170</v>
      </c>
      <c r="F4653">
        <v>86632</v>
      </c>
      <c r="G4653" t="s">
        <v>261</v>
      </c>
    </row>
    <row r="4654" spans="1:7">
      <c r="A4654" s="216">
        <v>45170</v>
      </c>
      <c r="B4654" t="s">
        <v>461</v>
      </c>
      <c r="C4654">
        <v>7</v>
      </c>
      <c r="D4654" t="s">
        <v>442</v>
      </c>
      <c r="E4654" s="217">
        <v>45170</v>
      </c>
      <c r="F4654">
        <v>86620.5</v>
      </c>
      <c r="G4654" t="s">
        <v>262</v>
      </c>
    </row>
    <row r="4655" spans="1:7">
      <c r="A4655" s="216">
        <v>45170</v>
      </c>
      <c r="B4655" t="s">
        <v>461</v>
      </c>
      <c r="C4655">
        <v>7</v>
      </c>
      <c r="D4655" t="s">
        <v>442</v>
      </c>
      <c r="E4655" s="217">
        <v>45170</v>
      </c>
      <c r="F4655">
        <v>1038295</v>
      </c>
      <c r="G4655" t="s">
        <v>434</v>
      </c>
    </row>
    <row r="4656" spans="1:7">
      <c r="A4656" s="216">
        <v>45170</v>
      </c>
      <c r="B4656" t="s">
        <v>461</v>
      </c>
      <c r="C4656">
        <v>8</v>
      </c>
      <c r="D4656" t="s">
        <v>451</v>
      </c>
      <c r="E4656" s="217">
        <v>45170</v>
      </c>
      <c r="F4656">
        <v>0</v>
      </c>
      <c r="G4656" t="s">
        <v>251</v>
      </c>
    </row>
    <row r="4657" spans="1:7">
      <c r="A4657" s="216">
        <v>45170</v>
      </c>
      <c r="B4657" t="s">
        <v>461</v>
      </c>
      <c r="C4657">
        <v>8</v>
      </c>
      <c r="D4657" t="s">
        <v>451</v>
      </c>
      <c r="E4657" s="217">
        <v>45170</v>
      </c>
      <c r="F4657">
        <v>0</v>
      </c>
      <c r="G4657" t="s">
        <v>252</v>
      </c>
    </row>
    <row r="4658" spans="1:7">
      <c r="A4658" s="216">
        <v>45170</v>
      </c>
      <c r="B4658" t="s">
        <v>461</v>
      </c>
      <c r="C4658">
        <v>8</v>
      </c>
      <c r="D4658" t="s">
        <v>451</v>
      </c>
      <c r="E4658" s="217">
        <v>45170</v>
      </c>
      <c r="F4658">
        <v>0</v>
      </c>
      <c r="G4658" t="s">
        <v>253</v>
      </c>
    </row>
    <row r="4659" spans="1:7">
      <c r="A4659" s="216">
        <v>45170</v>
      </c>
      <c r="B4659" t="s">
        <v>461</v>
      </c>
      <c r="C4659">
        <v>8</v>
      </c>
      <c r="D4659" t="s">
        <v>451</v>
      </c>
      <c r="E4659" s="217">
        <v>45170</v>
      </c>
      <c r="F4659">
        <v>0</v>
      </c>
      <c r="G4659" t="s">
        <v>254</v>
      </c>
    </row>
    <row r="4660" spans="1:7">
      <c r="A4660" s="216">
        <v>45170</v>
      </c>
      <c r="B4660" t="s">
        <v>461</v>
      </c>
      <c r="C4660">
        <v>8</v>
      </c>
      <c r="D4660" t="s">
        <v>451</v>
      </c>
      <c r="E4660" s="217">
        <v>45170</v>
      </c>
      <c r="F4660">
        <v>0</v>
      </c>
      <c r="G4660" t="s">
        <v>255</v>
      </c>
    </row>
    <row r="4661" spans="1:7">
      <c r="A4661" s="216">
        <v>45170</v>
      </c>
      <c r="B4661" t="s">
        <v>461</v>
      </c>
      <c r="C4661">
        <v>8</v>
      </c>
      <c r="D4661" t="s">
        <v>451</v>
      </c>
      <c r="E4661" s="217">
        <v>45170</v>
      </c>
      <c r="F4661">
        <v>0</v>
      </c>
      <c r="G4661" t="s">
        <v>256</v>
      </c>
    </row>
    <row r="4662" spans="1:7">
      <c r="A4662" s="216">
        <v>45170</v>
      </c>
      <c r="B4662" t="s">
        <v>461</v>
      </c>
      <c r="C4662">
        <v>8</v>
      </c>
      <c r="D4662" t="s">
        <v>451</v>
      </c>
      <c r="E4662" s="217">
        <v>45170</v>
      </c>
      <c r="F4662">
        <v>0</v>
      </c>
      <c r="G4662" t="s">
        <v>257</v>
      </c>
    </row>
    <row r="4663" spans="1:7">
      <c r="A4663" s="216">
        <v>45170</v>
      </c>
      <c r="B4663" t="s">
        <v>461</v>
      </c>
      <c r="C4663">
        <v>8</v>
      </c>
      <c r="D4663" t="s">
        <v>451</v>
      </c>
      <c r="E4663" s="217">
        <v>45170</v>
      </c>
      <c r="F4663">
        <v>0</v>
      </c>
      <c r="G4663" t="s">
        <v>258</v>
      </c>
    </row>
    <row r="4664" spans="1:7">
      <c r="A4664" s="216">
        <v>45170</v>
      </c>
      <c r="B4664" t="s">
        <v>461</v>
      </c>
      <c r="C4664">
        <v>8</v>
      </c>
      <c r="D4664" t="s">
        <v>451</v>
      </c>
      <c r="E4664" s="217">
        <v>45170</v>
      </c>
      <c r="F4664">
        <v>0</v>
      </c>
      <c r="G4664" t="s">
        <v>259</v>
      </c>
    </row>
    <row r="4665" spans="1:7">
      <c r="A4665" s="216">
        <v>45170</v>
      </c>
      <c r="B4665" t="s">
        <v>461</v>
      </c>
      <c r="C4665">
        <v>8</v>
      </c>
      <c r="D4665" t="s">
        <v>451</v>
      </c>
      <c r="E4665" s="217">
        <v>45170</v>
      </c>
      <c r="F4665">
        <v>0</v>
      </c>
      <c r="G4665" t="s">
        <v>260</v>
      </c>
    </row>
    <row r="4666" spans="1:7">
      <c r="A4666" s="216">
        <v>45170</v>
      </c>
      <c r="B4666" t="s">
        <v>461</v>
      </c>
      <c r="C4666">
        <v>8</v>
      </c>
      <c r="D4666" t="s">
        <v>451</v>
      </c>
      <c r="E4666" s="217">
        <v>45170</v>
      </c>
      <c r="F4666">
        <v>0</v>
      </c>
      <c r="G4666" t="s">
        <v>261</v>
      </c>
    </row>
    <row r="4667" spans="1:7">
      <c r="A4667" s="216">
        <v>45170</v>
      </c>
      <c r="B4667" t="s">
        <v>461</v>
      </c>
      <c r="C4667">
        <v>8</v>
      </c>
      <c r="D4667" t="s">
        <v>451</v>
      </c>
      <c r="E4667" s="217">
        <v>45170</v>
      </c>
      <c r="F4667">
        <v>0</v>
      </c>
      <c r="G4667" t="s">
        <v>262</v>
      </c>
    </row>
    <row r="4668" spans="1:7">
      <c r="A4668" s="216">
        <v>45170</v>
      </c>
      <c r="B4668" t="s">
        <v>461</v>
      </c>
      <c r="C4668">
        <v>8</v>
      </c>
      <c r="D4668" t="s">
        <v>451</v>
      </c>
      <c r="E4668" s="217">
        <v>45170</v>
      </c>
      <c r="F4668">
        <v>0</v>
      </c>
      <c r="G4668" t="s">
        <v>434</v>
      </c>
    </row>
    <row r="4669" spans="1:7">
      <c r="A4669" s="216">
        <v>45170</v>
      </c>
      <c r="B4669" t="s">
        <v>461</v>
      </c>
      <c r="C4669">
        <v>9</v>
      </c>
      <c r="D4669" t="s">
        <v>450</v>
      </c>
      <c r="E4669" s="217">
        <v>45170</v>
      </c>
      <c r="F4669">
        <v>0</v>
      </c>
      <c r="G4669" t="s">
        <v>251</v>
      </c>
    </row>
    <row r="4670" spans="1:7">
      <c r="A4670" s="216">
        <v>45170</v>
      </c>
      <c r="B4670" t="s">
        <v>461</v>
      </c>
      <c r="C4670">
        <v>9</v>
      </c>
      <c r="D4670" t="s">
        <v>450</v>
      </c>
      <c r="E4670" s="217">
        <v>45170</v>
      </c>
      <c r="F4670">
        <v>0</v>
      </c>
      <c r="G4670" t="s">
        <v>252</v>
      </c>
    </row>
    <row r="4671" spans="1:7">
      <c r="A4671" s="216">
        <v>45170</v>
      </c>
      <c r="B4671" t="s">
        <v>461</v>
      </c>
      <c r="C4671">
        <v>9</v>
      </c>
      <c r="D4671" t="s">
        <v>450</v>
      </c>
      <c r="E4671" s="217">
        <v>45170</v>
      </c>
      <c r="F4671">
        <v>0</v>
      </c>
      <c r="G4671" t="s">
        <v>253</v>
      </c>
    </row>
    <row r="4672" spans="1:7">
      <c r="A4672" s="216">
        <v>45170</v>
      </c>
      <c r="B4672" t="s">
        <v>461</v>
      </c>
      <c r="C4672">
        <v>9</v>
      </c>
      <c r="D4672" t="s">
        <v>450</v>
      </c>
      <c r="E4672" s="217">
        <v>45170</v>
      </c>
      <c r="F4672">
        <v>0</v>
      </c>
      <c r="G4672" t="s">
        <v>254</v>
      </c>
    </row>
    <row r="4673" spans="1:7">
      <c r="A4673" s="216">
        <v>45170</v>
      </c>
      <c r="B4673" t="s">
        <v>461</v>
      </c>
      <c r="C4673">
        <v>9</v>
      </c>
      <c r="D4673" t="s">
        <v>450</v>
      </c>
      <c r="E4673" s="217">
        <v>45170</v>
      </c>
      <c r="F4673">
        <v>0</v>
      </c>
      <c r="G4673" t="s">
        <v>255</v>
      </c>
    </row>
    <row r="4674" spans="1:7">
      <c r="A4674" s="216">
        <v>45170</v>
      </c>
      <c r="B4674" t="s">
        <v>461</v>
      </c>
      <c r="C4674">
        <v>9</v>
      </c>
      <c r="D4674" t="s">
        <v>450</v>
      </c>
      <c r="E4674" s="217">
        <v>45170</v>
      </c>
      <c r="F4674">
        <v>0</v>
      </c>
      <c r="G4674" t="s">
        <v>256</v>
      </c>
    </row>
    <row r="4675" spans="1:7">
      <c r="A4675" s="216">
        <v>45170</v>
      </c>
      <c r="B4675" t="s">
        <v>461</v>
      </c>
      <c r="C4675">
        <v>9</v>
      </c>
      <c r="D4675" t="s">
        <v>450</v>
      </c>
      <c r="E4675" s="217">
        <v>45170</v>
      </c>
      <c r="F4675">
        <v>0</v>
      </c>
      <c r="G4675" t="s">
        <v>257</v>
      </c>
    </row>
    <row r="4676" spans="1:7">
      <c r="A4676" s="216">
        <v>45170</v>
      </c>
      <c r="B4676" t="s">
        <v>461</v>
      </c>
      <c r="C4676">
        <v>9</v>
      </c>
      <c r="D4676" t="s">
        <v>450</v>
      </c>
      <c r="E4676" s="217">
        <v>45170</v>
      </c>
      <c r="F4676">
        <v>0</v>
      </c>
      <c r="G4676" t="s">
        <v>258</v>
      </c>
    </row>
    <row r="4677" spans="1:7">
      <c r="A4677" s="216">
        <v>45170</v>
      </c>
      <c r="B4677" t="s">
        <v>461</v>
      </c>
      <c r="C4677">
        <v>9</v>
      </c>
      <c r="D4677" t="s">
        <v>450</v>
      </c>
      <c r="E4677" s="217">
        <v>45170</v>
      </c>
      <c r="F4677">
        <v>0</v>
      </c>
      <c r="G4677" t="s">
        <v>259</v>
      </c>
    </row>
    <row r="4678" spans="1:7">
      <c r="A4678" s="216">
        <v>45170</v>
      </c>
      <c r="B4678" t="s">
        <v>461</v>
      </c>
      <c r="C4678">
        <v>9</v>
      </c>
      <c r="D4678" t="s">
        <v>450</v>
      </c>
      <c r="E4678" s="217">
        <v>45170</v>
      </c>
      <c r="F4678">
        <v>0</v>
      </c>
      <c r="G4678" t="s">
        <v>260</v>
      </c>
    </row>
    <row r="4679" spans="1:7">
      <c r="A4679" s="216">
        <v>45170</v>
      </c>
      <c r="B4679" t="s">
        <v>461</v>
      </c>
      <c r="C4679">
        <v>9</v>
      </c>
      <c r="D4679" t="s">
        <v>450</v>
      </c>
      <c r="E4679" s="217">
        <v>45170</v>
      </c>
      <c r="F4679">
        <v>0</v>
      </c>
      <c r="G4679" t="s">
        <v>261</v>
      </c>
    </row>
    <row r="4680" spans="1:7">
      <c r="A4680" s="216">
        <v>45170</v>
      </c>
      <c r="B4680" t="s">
        <v>461</v>
      </c>
      <c r="C4680">
        <v>9</v>
      </c>
      <c r="D4680" t="s">
        <v>450</v>
      </c>
      <c r="E4680" s="217">
        <v>45170</v>
      </c>
      <c r="F4680">
        <v>0</v>
      </c>
      <c r="G4680" t="s">
        <v>262</v>
      </c>
    </row>
    <row r="4681" spans="1:7">
      <c r="A4681" s="216">
        <v>45170</v>
      </c>
      <c r="B4681" t="s">
        <v>461</v>
      </c>
      <c r="C4681">
        <v>9</v>
      </c>
      <c r="D4681" t="s">
        <v>450</v>
      </c>
      <c r="E4681" s="217">
        <v>45170</v>
      </c>
      <c r="F4681">
        <v>0</v>
      </c>
      <c r="G4681" t="s">
        <v>434</v>
      </c>
    </row>
    <row r="4682" spans="1:7">
      <c r="A4682" s="216">
        <v>45170</v>
      </c>
      <c r="B4682" t="s">
        <v>461</v>
      </c>
      <c r="C4682">
        <v>10</v>
      </c>
      <c r="D4682" t="s">
        <v>433</v>
      </c>
      <c r="E4682" s="217">
        <v>45170</v>
      </c>
      <c r="F4682">
        <v>598</v>
      </c>
      <c r="G4682" t="s">
        <v>251</v>
      </c>
    </row>
    <row r="4683" spans="1:7">
      <c r="A4683" s="216">
        <v>45170</v>
      </c>
      <c r="B4683" t="s">
        <v>461</v>
      </c>
      <c r="C4683">
        <v>10</v>
      </c>
      <c r="D4683" t="s">
        <v>433</v>
      </c>
      <c r="E4683" s="217">
        <v>45170</v>
      </c>
      <c r="F4683">
        <v>934</v>
      </c>
      <c r="G4683" t="s">
        <v>252</v>
      </c>
    </row>
    <row r="4684" spans="1:7">
      <c r="A4684" s="216">
        <v>45170</v>
      </c>
      <c r="B4684" t="s">
        <v>461</v>
      </c>
      <c r="C4684">
        <v>10</v>
      </c>
      <c r="D4684" t="s">
        <v>433</v>
      </c>
      <c r="E4684" s="217">
        <v>45170</v>
      </c>
      <c r="F4684">
        <v>402.65499999999997</v>
      </c>
      <c r="G4684" t="s">
        <v>253</v>
      </c>
    </row>
    <row r="4685" spans="1:7">
      <c r="A4685" s="216">
        <v>45170</v>
      </c>
      <c r="B4685" t="s">
        <v>461</v>
      </c>
      <c r="C4685">
        <v>10</v>
      </c>
      <c r="D4685" t="s">
        <v>433</v>
      </c>
      <c r="E4685" s="217">
        <v>45170</v>
      </c>
      <c r="F4685">
        <v>722.71699999999998</v>
      </c>
      <c r="G4685" t="s">
        <v>254</v>
      </c>
    </row>
    <row r="4686" spans="1:7">
      <c r="A4686" s="216">
        <v>45170</v>
      </c>
      <c r="B4686" t="s">
        <v>461</v>
      </c>
      <c r="C4686">
        <v>10</v>
      </c>
      <c r="D4686" t="s">
        <v>433</v>
      </c>
      <c r="E4686" s="217">
        <v>45170</v>
      </c>
      <c r="F4686">
        <v>615</v>
      </c>
      <c r="G4686" t="s">
        <v>255</v>
      </c>
    </row>
    <row r="4687" spans="1:7">
      <c r="A4687" s="216">
        <v>45170</v>
      </c>
      <c r="B4687" t="s">
        <v>461</v>
      </c>
      <c r="C4687">
        <v>10</v>
      </c>
      <c r="D4687" t="s">
        <v>433</v>
      </c>
      <c r="E4687" s="217">
        <v>45170</v>
      </c>
      <c r="F4687">
        <v>611.63499999999999</v>
      </c>
      <c r="G4687" t="s">
        <v>256</v>
      </c>
    </row>
    <row r="4688" spans="1:7">
      <c r="A4688" s="216">
        <v>45170</v>
      </c>
      <c r="B4688" t="s">
        <v>461</v>
      </c>
      <c r="C4688">
        <v>10</v>
      </c>
      <c r="D4688" t="s">
        <v>433</v>
      </c>
      <c r="E4688" s="217">
        <v>45170</v>
      </c>
      <c r="F4688">
        <v>653.84900000000005</v>
      </c>
      <c r="G4688" t="s">
        <v>257</v>
      </c>
    </row>
    <row r="4689" spans="1:7">
      <c r="A4689" s="216">
        <v>45170</v>
      </c>
      <c r="B4689" t="s">
        <v>461</v>
      </c>
      <c r="C4689">
        <v>10</v>
      </c>
      <c r="D4689" t="s">
        <v>433</v>
      </c>
      <c r="E4689" s="217">
        <v>45170</v>
      </c>
      <c r="F4689">
        <v>653.84900000000005</v>
      </c>
      <c r="G4689" t="s">
        <v>258</v>
      </c>
    </row>
    <row r="4690" spans="1:7">
      <c r="A4690" s="216">
        <v>45170</v>
      </c>
      <c r="B4690" t="s">
        <v>461</v>
      </c>
      <c r="C4690">
        <v>10</v>
      </c>
      <c r="D4690" t="s">
        <v>433</v>
      </c>
      <c r="E4690" s="217">
        <v>45170</v>
      </c>
      <c r="F4690">
        <v>653.84900000000005</v>
      </c>
      <c r="G4690" t="s">
        <v>259</v>
      </c>
    </row>
    <row r="4691" spans="1:7">
      <c r="A4691" s="216">
        <v>45170</v>
      </c>
      <c r="B4691" t="s">
        <v>461</v>
      </c>
      <c r="C4691">
        <v>10</v>
      </c>
      <c r="D4691" t="s">
        <v>433</v>
      </c>
      <c r="E4691" s="217">
        <v>45170</v>
      </c>
      <c r="F4691">
        <v>653.84900000000005</v>
      </c>
      <c r="G4691" t="s">
        <v>260</v>
      </c>
    </row>
    <row r="4692" spans="1:7">
      <c r="A4692" s="216">
        <v>45170</v>
      </c>
      <c r="B4692" t="s">
        <v>461</v>
      </c>
      <c r="C4692">
        <v>10</v>
      </c>
      <c r="D4692" t="s">
        <v>433</v>
      </c>
      <c r="E4692" s="217">
        <v>45170</v>
      </c>
      <c r="F4692">
        <v>653.84900000000005</v>
      </c>
      <c r="G4692" t="s">
        <v>261</v>
      </c>
    </row>
    <row r="4693" spans="1:7">
      <c r="A4693" s="216">
        <v>45170</v>
      </c>
      <c r="B4693" t="s">
        <v>461</v>
      </c>
      <c r="C4693">
        <v>10</v>
      </c>
      <c r="D4693" t="s">
        <v>433</v>
      </c>
      <c r="E4693" s="217">
        <v>45170</v>
      </c>
      <c r="F4693">
        <v>653.84900000000005</v>
      </c>
      <c r="G4693" t="s">
        <v>262</v>
      </c>
    </row>
    <row r="4694" spans="1:7">
      <c r="A4694" s="216">
        <v>45170</v>
      </c>
      <c r="B4694" t="s">
        <v>461</v>
      </c>
      <c r="C4694">
        <v>10</v>
      </c>
      <c r="D4694" t="s">
        <v>433</v>
      </c>
      <c r="E4694" s="217">
        <v>45170</v>
      </c>
      <c r="F4694">
        <v>7807.1009999999997</v>
      </c>
      <c r="G4694" t="s">
        <v>434</v>
      </c>
    </row>
    <row r="4695" spans="1:7">
      <c r="A4695" s="216">
        <v>45170</v>
      </c>
      <c r="B4695" t="s">
        <v>461</v>
      </c>
      <c r="C4695">
        <v>11</v>
      </c>
      <c r="D4695" t="s">
        <v>445</v>
      </c>
      <c r="E4695" s="217">
        <v>45170</v>
      </c>
      <c r="F4695">
        <v>125</v>
      </c>
      <c r="G4695" t="s">
        <v>251</v>
      </c>
    </row>
    <row r="4696" spans="1:7">
      <c r="A4696" s="216">
        <v>45170</v>
      </c>
      <c r="B4696" t="s">
        <v>461</v>
      </c>
      <c r="C4696">
        <v>11</v>
      </c>
      <c r="D4696" t="s">
        <v>445</v>
      </c>
      <c r="E4696" s="217">
        <v>45170</v>
      </c>
      <c r="F4696">
        <v>125</v>
      </c>
      <c r="G4696" t="s">
        <v>252</v>
      </c>
    </row>
    <row r="4697" spans="1:7">
      <c r="A4697" s="216">
        <v>45170</v>
      </c>
      <c r="B4697" t="s">
        <v>461</v>
      </c>
      <c r="C4697">
        <v>11</v>
      </c>
      <c r="D4697" t="s">
        <v>445</v>
      </c>
      <c r="E4697" s="217">
        <v>45170</v>
      </c>
      <c r="F4697">
        <v>150</v>
      </c>
      <c r="G4697" t="s">
        <v>253</v>
      </c>
    </row>
    <row r="4698" spans="1:7">
      <c r="A4698" s="216">
        <v>45170</v>
      </c>
      <c r="B4698" t="s">
        <v>461</v>
      </c>
      <c r="C4698">
        <v>11</v>
      </c>
      <c r="D4698" t="s">
        <v>445</v>
      </c>
      <c r="E4698" s="217">
        <v>45170</v>
      </c>
      <c r="F4698">
        <v>150</v>
      </c>
      <c r="G4698" t="s">
        <v>254</v>
      </c>
    </row>
    <row r="4699" spans="1:7">
      <c r="A4699" s="216">
        <v>45170</v>
      </c>
      <c r="B4699" t="s">
        <v>461</v>
      </c>
      <c r="C4699">
        <v>11</v>
      </c>
      <c r="D4699" t="s">
        <v>445</v>
      </c>
      <c r="E4699" s="217">
        <v>45170</v>
      </c>
      <c r="F4699">
        <v>150</v>
      </c>
      <c r="G4699" t="s">
        <v>255</v>
      </c>
    </row>
    <row r="4700" spans="1:7">
      <c r="A4700" s="216">
        <v>45170</v>
      </c>
      <c r="B4700" t="s">
        <v>461</v>
      </c>
      <c r="C4700">
        <v>11</v>
      </c>
      <c r="D4700" t="s">
        <v>445</v>
      </c>
      <c r="E4700" s="217">
        <v>45170</v>
      </c>
      <c r="F4700">
        <v>65</v>
      </c>
      <c r="G4700" t="s">
        <v>256</v>
      </c>
    </row>
    <row r="4701" spans="1:7">
      <c r="A4701" s="216">
        <v>45170</v>
      </c>
      <c r="B4701" t="s">
        <v>461</v>
      </c>
      <c r="C4701">
        <v>11</v>
      </c>
      <c r="D4701" t="s">
        <v>445</v>
      </c>
      <c r="E4701" s="217">
        <v>45170</v>
      </c>
      <c r="F4701">
        <v>65</v>
      </c>
      <c r="G4701" t="s">
        <v>257</v>
      </c>
    </row>
    <row r="4702" spans="1:7">
      <c r="A4702" s="216">
        <v>45170</v>
      </c>
      <c r="B4702" t="s">
        <v>461</v>
      </c>
      <c r="C4702">
        <v>11</v>
      </c>
      <c r="D4702" t="s">
        <v>445</v>
      </c>
      <c r="E4702" s="217">
        <v>45170</v>
      </c>
      <c r="F4702">
        <v>65</v>
      </c>
      <c r="G4702" t="s">
        <v>258</v>
      </c>
    </row>
    <row r="4703" spans="1:7">
      <c r="A4703" s="216">
        <v>45170</v>
      </c>
      <c r="B4703" t="s">
        <v>461</v>
      </c>
      <c r="C4703">
        <v>11</v>
      </c>
      <c r="D4703" t="s">
        <v>445</v>
      </c>
      <c r="E4703" s="217">
        <v>45170</v>
      </c>
      <c r="F4703">
        <v>65</v>
      </c>
      <c r="G4703" t="s">
        <v>259</v>
      </c>
    </row>
    <row r="4704" spans="1:7">
      <c r="A4704" s="216">
        <v>45170</v>
      </c>
      <c r="B4704" t="s">
        <v>461</v>
      </c>
      <c r="C4704">
        <v>11</v>
      </c>
      <c r="D4704" t="s">
        <v>445</v>
      </c>
      <c r="E4704" s="217">
        <v>45170</v>
      </c>
      <c r="F4704">
        <v>65</v>
      </c>
      <c r="G4704" t="s">
        <v>260</v>
      </c>
    </row>
    <row r="4705" spans="1:7">
      <c r="A4705" s="216">
        <v>45170</v>
      </c>
      <c r="B4705" t="s">
        <v>461</v>
      </c>
      <c r="C4705">
        <v>11</v>
      </c>
      <c r="D4705" t="s">
        <v>445</v>
      </c>
      <c r="E4705" s="217">
        <v>45170</v>
      </c>
      <c r="F4705">
        <v>65</v>
      </c>
      <c r="G4705" t="s">
        <v>261</v>
      </c>
    </row>
    <row r="4706" spans="1:7">
      <c r="A4706" s="216">
        <v>45170</v>
      </c>
      <c r="B4706" t="s">
        <v>461</v>
      </c>
      <c r="C4706">
        <v>11</v>
      </c>
      <c r="D4706" t="s">
        <v>445</v>
      </c>
      <c r="E4706" s="217">
        <v>45170</v>
      </c>
      <c r="F4706">
        <v>65</v>
      </c>
      <c r="G4706" t="s">
        <v>262</v>
      </c>
    </row>
    <row r="4707" spans="1:7">
      <c r="A4707" s="216">
        <v>45170</v>
      </c>
      <c r="B4707" t="s">
        <v>461</v>
      </c>
      <c r="C4707">
        <v>11</v>
      </c>
      <c r="D4707" t="s">
        <v>445</v>
      </c>
      <c r="E4707" s="217">
        <v>45170</v>
      </c>
      <c r="F4707">
        <v>1155</v>
      </c>
      <c r="G4707" t="s">
        <v>434</v>
      </c>
    </row>
    <row r="4708" spans="1:7">
      <c r="A4708" s="216">
        <v>45170</v>
      </c>
      <c r="B4708" t="s">
        <v>461</v>
      </c>
      <c r="C4708">
        <v>12</v>
      </c>
      <c r="D4708" t="s">
        <v>454</v>
      </c>
      <c r="E4708" s="217">
        <v>45170</v>
      </c>
      <c r="F4708">
        <v>0</v>
      </c>
      <c r="G4708" t="s">
        <v>251</v>
      </c>
    </row>
    <row r="4709" spans="1:7">
      <c r="A4709" s="216">
        <v>45170</v>
      </c>
      <c r="B4709" t="s">
        <v>461</v>
      </c>
      <c r="C4709">
        <v>12</v>
      </c>
      <c r="D4709" t="s">
        <v>454</v>
      </c>
      <c r="E4709" s="217">
        <v>45170</v>
      </c>
      <c r="F4709">
        <v>0</v>
      </c>
      <c r="G4709" t="s">
        <v>252</v>
      </c>
    </row>
    <row r="4710" spans="1:7">
      <c r="A4710" s="216">
        <v>45170</v>
      </c>
      <c r="B4710" t="s">
        <v>461</v>
      </c>
      <c r="C4710">
        <v>12</v>
      </c>
      <c r="D4710" t="s">
        <v>454</v>
      </c>
      <c r="E4710" s="217">
        <v>45170</v>
      </c>
      <c r="F4710">
        <v>0</v>
      </c>
      <c r="G4710" t="s">
        <v>253</v>
      </c>
    </row>
    <row r="4711" spans="1:7">
      <c r="A4711" s="216">
        <v>45170</v>
      </c>
      <c r="B4711" t="s">
        <v>461</v>
      </c>
      <c r="C4711">
        <v>12</v>
      </c>
      <c r="D4711" t="s">
        <v>454</v>
      </c>
      <c r="E4711" s="217">
        <v>45170</v>
      </c>
      <c r="F4711">
        <v>0</v>
      </c>
      <c r="G4711" t="s">
        <v>254</v>
      </c>
    </row>
    <row r="4712" spans="1:7">
      <c r="A4712" s="216">
        <v>45170</v>
      </c>
      <c r="B4712" t="s">
        <v>461</v>
      </c>
      <c r="C4712">
        <v>12</v>
      </c>
      <c r="D4712" t="s">
        <v>454</v>
      </c>
      <c r="E4712" s="217">
        <v>45170</v>
      </c>
      <c r="F4712">
        <v>0</v>
      </c>
      <c r="G4712" t="s">
        <v>255</v>
      </c>
    </row>
    <row r="4713" spans="1:7">
      <c r="A4713" s="216">
        <v>45170</v>
      </c>
      <c r="B4713" t="s">
        <v>461</v>
      </c>
      <c r="C4713">
        <v>12</v>
      </c>
      <c r="D4713" t="s">
        <v>454</v>
      </c>
      <c r="E4713" s="217">
        <v>45170</v>
      </c>
      <c r="F4713">
        <v>0</v>
      </c>
      <c r="G4713" t="s">
        <v>256</v>
      </c>
    </row>
    <row r="4714" spans="1:7">
      <c r="A4714" s="216">
        <v>45170</v>
      </c>
      <c r="B4714" t="s">
        <v>461</v>
      </c>
      <c r="C4714">
        <v>12</v>
      </c>
      <c r="D4714" t="s">
        <v>454</v>
      </c>
      <c r="E4714" s="217">
        <v>45170</v>
      </c>
      <c r="F4714">
        <v>0</v>
      </c>
      <c r="G4714" t="s">
        <v>257</v>
      </c>
    </row>
    <row r="4715" spans="1:7">
      <c r="A4715" s="216">
        <v>45170</v>
      </c>
      <c r="B4715" t="s">
        <v>461</v>
      </c>
      <c r="C4715">
        <v>12</v>
      </c>
      <c r="D4715" t="s">
        <v>454</v>
      </c>
      <c r="E4715" s="217">
        <v>45170</v>
      </c>
      <c r="F4715">
        <v>0</v>
      </c>
      <c r="G4715" t="s">
        <v>258</v>
      </c>
    </row>
    <row r="4716" spans="1:7">
      <c r="A4716" s="216">
        <v>45170</v>
      </c>
      <c r="B4716" t="s">
        <v>461</v>
      </c>
      <c r="C4716">
        <v>12</v>
      </c>
      <c r="D4716" t="s">
        <v>454</v>
      </c>
      <c r="E4716" s="217">
        <v>45170</v>
      </c>
      <c r="F4716">
        <v>0</v>
      </c>
      <c r="G4716" t="s">
        <v>259</v>
      </c>
    </row>
    <row r="4717" spans="1:7">
      <c r="A4717" s="216">
        <v>45170</v>
      </c>
      <c r="B4717" t="s">
        <v>461</v>
      </c>
      <c r="C4717">
        <v>12</v>
      </c>
      <c r="D4717" t="s">
        <v>454</v>
      </c>
      <c r="E4717" s="217">
        <v>45170</v>
      </c>
      <c r="F4717">
        <v>0</v>
      </c>
      <c r="G4717" t="s">
        <v>260</v>
      </c>
    </row>
    <row r="4718" spans="1:7">
      <c r="A4718" s="216">
        <v>45170</v>
      </c>
      <c r="B4718" t="s">
        <v>461</v>
      </c>
      <c r="C4718">
        <v>12</v>
      </c>
      <c r="D4718" t="s">
        <v>454</v>
      </c>
      <c r="E4718" s="217">
        <v>45170</v>
      </c>
      <c r="F4718">
        <v>0</v>
      </c>
      <c r="G4718" t="s">
        <v>261</v>
      </c>
    </row>
    <row r="4719" spans="1:7">
      <c r="A4719" s="216">
        <v>45170</v>
      </c>
      <c r="B4719" t="s">
        <v>461</v>
      </c>
      <c r="C4719">
        <v>12</v>
      </c>
      <c r="D4719" t="s">
        <v>454</v>
      </c>
      <c r="E4719" s="217">
        <v>45170</v>
      </c>
      <c r="F4719">
        <v>0</v>
      </c>
      <c r="G4719" t="s">
        <v>262</v>
      </c>
    </row>
    <row r="4720" spans="1:7">
      <c r="A4720" s="216">
        <v>45170</v>
      </c>
      <c r="B4720" t="s">
        <v>461</v>
      </c>
      <c r="C4720">
        <v>12</v>
      </c>
      <c r="D4720" t="s">
        <v>454</v>
      </c>
      <c r="E4720" s="217">
        <v>45170</v>
      </c>
      <c r="F4720">
        <v>0</v>
      </c>
      <c r="G4720" t="s">
        <v>434</v>
      </c>
    </row>
    <row r="4721" spans="1:7">
      <c r="A4721" s="216">
        <v>45170</v>
      </c>
      <c r="B4721" t="s">
        <v>461</v>
      </c>
      <c r="C4721">
        <v>13</v>
      </c>
      <c r="D4721" t="s">
        <v>441</v>
      </c>
      <c r="E4721" s="217">
        <v>45170</v>
      </c>
      <c r="F4721">
        <v>83169</v>
      </c>
      <c r="G4721" t="s">
        <v>251</v>
      </c>
    </row>
    <row r="4722" spans="1:7">
      <c r="A4722" s="216">
        <v>45170</v>
      </c>
      <c r="B4722" t="s">
        <v>461</v>
      </c>
      <c r="C4722">
        <v>13</v>
      </c>
      <c r="D4722" t="s">
        <v>441</v>
      </c>
      <c r="E4722" s="217">
        <v>45170</v>
      </c>
      <c r="F4722">
        <v>83124</v>
      </c>
      <c r="G4722" t="s">
        <v>252</v>
      </c>
    </row>
    <row r="4723" spans="1:7">
      <c r="A4723" s="216">
        <v>45170</v>
      </c>
      <c r="B4723" t="s">
        <v>461</v>
      </c>
      <c r="C4723">
        <v>13</v>
      </c>
      <c r="D4723" t="s">
        <v>441</v>
      </c>
      <c r="E4723" s="217">
        <v>45170</v>
      </c>
      <c r="F4723">
        <v>84053</v>
      </c>
      <c r="G4723" t="s">
        <v>253</v>
      </c>
    </row>
    <row r="4724" spans="1:7">
      <c r="A4724" s="216">
        <v>45170</v>
      </c>
      <c r="B4724" t="s">
        <v>461</v>
      </c>
      <c r="C4724">
        <v>13</v>
      </c>
      <c r="D4724" t="s">
        <v>441</v>
      </c>
      <c r="E4724" s="217">
        <v>45170</v>
      </c>
      <c r="F4724">
        <v>81225</v>
      </c>
      <c r="G4724" t="s">
        <v>254</v>
      </c>
    </row>
    <row r="4725" spans="1:7">
      <c r="A4725" s="216">
        <v>45170</v>
      </c>
      <c r="B4725" t="s">
        <v>461</v>
      </c>
      <c r="C4725">
        <v>13</v>
      </c>
      <c r="D4725" t="s">
        <v>441</v>
      </c>
      <c r="E4725" s="217">
        <v>45170</v>
      </c>
      <c r="F4725">
        <v>83267</v>
      </c>
      <c r="G4725" t="s">
        <v>255</v>
      </c>
    </row>
    <row r="4726" spans="1:7">
      <c r="A4726" s="216">
        <v>45170</v>
      </c>
      <c r="B4726" t="s">
        <v>461</v>
      </c>
      <c r="C4726">
        <v>13</v>
      </c>
      <c r="D4726" t="s">
        <v>441</v>
      </c>
      <c r="E4726" s="217">
        <v>45170</v>
      </c>
      <c r="F4726">
        <v>80956</v>
      </c>
      <c r="G4726" t="s">
        <v>256</v>
      </c>
    </row>
    <row r="4727" spans="1:7">
      <c r="A4727" s="216">
        <v>45170</v>
      </c>
      <c r="B4727" t="s">
        <v>461</v>
      </c>
      <c r="C4727">
        <v>13</v>
      </c>
      <c r="D4727" t="s">
        <v>441</v>
      </c>
      <c r="E4727" s="217">
        <v>45170</v>
      </c>
      <c r="F4727">
        <v>83326</v>
      </c>
      <c r="G4727" t="s">
        <v>257</v>
      </c>
    </row>
    <row r="4728" spans="1:7">
      <c r="A4728" s="216">
        <v>45170</v>
      </c>
      <c r="B4728" t="s">
        <v>461</v>
      </c>
      <c r="C4728">
        <v>13</v>
      </c>
      <c r="D4728" t="s">
        <v>441</v>
      </c>
      <c r="E4728" s="217">
        <v>45170</v>
      </c>
      <c r="F4728">
        <v>83326</v>
      </c>
      <c r="G4728" t="s">
        <v>258</v>
      </c>
    </row>
    <row r="4729" spans="1:7">
      <c r="A4729" s="216">
        <v>45170</v>
      </c>
      <c r="B4729" t="s">
        <v>461</v>
      </c>
      <c r="C4729">
        <v>13</v>
      </c>
      <c r="D4729" t="s">
        <v>441</v>
      </c>
      <c r="E4729" s="217">
        <v>45170</v>
      </c>
      <c r="F4729">
        <v>83326</v>
      </c>
      <c r="G4729" t="s">
        <v>259</v>
      </c>
    </row>
    <row r="4730" spans="1:7">
      <c r="A4730" s="216">
        <v>45170</v>
      </c>
      <c r="B4730" t="s">
        <v>461</v>
      </c>
      <c r="C4730">
        <v>13</v>
      </c>
      <c r="D4730" t="s">
        <v>441</v>
      </c>
      <c r="E4730" s="217">
        <v>45170</v>
      </c>
      <c r="F4730">
        <v>83326</v>
      </c>
      <c r="G4730" t="s">
        <v>260</v>
      </c>
    </row>
    <row r="4731" spans="1:7">
      <c r="A4731" s="216">
        <v>45170</v>
      </c>
      <c r="B4731" t="s">
        <v>461</v>
      </c>
      <c r="C4731">
        <v>13</v>
      </c>
      <c r="D4731" t="s">
        <v>441</v>
      </c>
      <c r="E4731" s="217">
        <v>45170</v>
      </c>
      <c r="F4731">
        <v>83326</v>
      </c>
      <c r="G4731" t="s">
        <v>261</v>
      </c>
    </row>
    <row r="4732" spans="1:7">
      <c r="A4732" s="216">
        <v>45170</v>
      </c>
      <c r="B4732" t="s">
        <v>461</v>
      </c>
      <c r="C4732">
        <v>13</v>
      </c>
      <c r="D4732" t="s">
        <v>441</v>
      </c>
      <c r="E4732" s="217">
        <v>45170</v>
      </c>
      <c r="F4732">
        <v>83315.5</v>
      </c>
      <c r="G4732" t="s">
        <v>262</v>
      </c>
    </row>
    <row r="4733" spans="1:7">
      <c r="A4733" s="216">
        <v>45170</v>
      </c>
      <c r="B4733" t="s">
        <v>461</v>
      </c>
      <c r="C4733">
        <v>13</v>
      </c>
      <c r="D4733" t="s">
        <v>441</v>
      </c>
      <c r="E4733" s="217">
        <v>45170</v>
      </c>
      <c r="F4733">
        <v>995739.5</v>
      </c>
      <c r="G4733" t="s">
        <v>434</v>
      </c>
    </row>
    <row r="4734" spans="1:7">
      <c r="A4734" s="216">
        <v>45170</v>
      </c>
      <c r="B4734" t="s">
        <v>461</v>
      </c>
      <c r="C4734">
        <v>14</v>
      </c>
      <c r="D4734" t="s">
        <v>447</v>
      </c>
      <c r="E4734" s="217">
        <v>45170</v>
      </c>
      <c r="F4734">
        <v>0</v>
      </c>
      <c r="G4734" t="s">
        <v>251</v>
      </c>
    </row>
    <row r="4735" spans="1:7">
      <c r="A4735" s="216">
        <v>45170</v>
      </c>
      <c r="B4735" t="s">
        <v>461</v>
      </c>
      <c r="C4735">
        <v>14</v>
      </c>
      <c r="D4735" t="s">
        <v>447</v>
      </c>
      <c r="E4735" s="217">
        <v>45170</v>
      </c>
      <c r="F4735">
        <v>0</v>
      </c>
      <c r="G4735" t="s">
        <v>252</v>
      </c>
    </row>
    <row r="4736" spans="1:7">
      <c r="A4736" s="216">
        <v>45170</v>
      </c>
      <c r="B4736" t="s">
        <v>461</v>
      </c>
      <c r="C4736">
        <v>14</v>
      </c>
      <c r="D4736" t="s">
        <v>447</v>
      </c>
      <c r="E4736" s="217">
        <v>45170</v>
      </c>
      <c r="F4736">
        <v>0</v>
      </c>
      <c r="G4736" t="s">
        <v>253</v>
      </c>
    </row>
    <row r="4737" spans="1:7">
      <c r="A4737" s="216">
        <v>45170</v>
      </c>
      <c r="B4737" t="s">
        <v>461</v>
      </c>
      <c r="C4737">
        <v>14</v>
      </c>
      <c r="D4737" t="s">
        <v>447</v>
      </c>
      <c r="E4737" s="217">
        <v>45170</v>
      </c>
      <c r="F4737">
        <v>0</v>
      </c>
      <c r="G4737" t="s">
        <v>254</v>
      </c>
    </row>
    <row r="4738" spans="1:7">
      <c r="A4738" s="216">
        <v>45170</v>
      </c>
      <c r="B4738" t="s">
        <v>461</v>
      </c>
      <c r="C4738">
        <v>14</v>
      </c>
      <c r="D4738" t="s">
        <v>447</v>
      </c>
      <c r="E4738" s="217">
        <v>45170</v>
      </c>
      <c r="F4738">
        <v>0</v>
      </c>
      <c r="G4738" t="s">
        <v>255</v>
      </c>
    </row>
    <row r="4739" spans="1:7">
      <c r="A4739" s="216">
        <v>45170</v>
      </c>
      <c r="B4739" t="s">
        <v>461</v>
      </c>
      <c r="C4739">
        <v>14</v>
      </c>
      <c r="D4739" t="s">
        <v>447</v>
      </c>
      <c r="E4739" s="217">
        <v>45170</v>
      </c>
      <c r="F4739">
        <v>0</v>
      </c>
      <c r="G4739" t="s">
        <v>256</v>
      </c>
    </row>
    <row r="4740" spans="1:7">
      <c r="A4740" s="216">
        <v>45170</v>
      </c>
      <c r="B4740" t="s">
        <v>461</v>
      </c>
      <c r="C4740">
        <v>14</v>
      </c>
      <c r="D4740" t="s">
        <v>447</v>
      </c>
      <c r="E4740" s="217">
        <v>45170</v>
      </c>
      <c r="F4740">
        <v>0</v>
      </c>
      <c r="G4740" t="s">
        <v>257</v>
      </c>
    </row>
    <row r="4741" spans="1:7">
      <c r="A4741" s="216">
        <v>45170</v>
      </c>
      <c r="B4741" t="s">
        <v>461</v>
      </c>
      <c r="C4741">
        <v>14</v>
      </c>
      <c r="D4741" t="s">
        <v>447</v>
      </c>
      <c r="E4741" s="217">
        <v>45170</v>
      </c>
      <c r="F4741">
        <v>0</v>
      </c>
      <c r="G4741" t="s">
        <v>258</v>
      </c>
    </row>
    <row r="4742" spans="1:7">
      <c r="A4742" s="216">
        <v>45170</v>
      </c>
      <c r="B4742" t="s">
        <v>461</v>
      </c>
      <c r="C4742">
        <v>14</v>
      </c>
      <c r="D4742" t="s">
        <v>447</v>
      </c>
      <c r="E4742" s="217">
        <v>45170</v>
      </c>
      <c r="F4742">
        <v>0</v>
      </c>
      <c r="G4742" t="s">
        <v>259</v>
      </c>
    </row>
    <row r="4743" spans="1:7">
      <c r="A4743" s="216">
        <v>45170</v>
      </c>
      <c r="B4743" t="s">
        <v>461</v>
      </c>
      <c r="C4743">
        <v>14</v>
      </c>
      <c r="D4743" t="s">
        <v>447</v>
      </c>
      <c r="E4743" s="217">
        <v>45170</v>
      </c>
      <c r="F4743">
        <v>0</v>
      </c>
      <c r="G4743" t="s">
        <v>260</v>
      </c>
    </row>
    <row r="4744" spans="1:7">
      <c r="A4744" s="216">
        <v>45170</v>
      </c>
      <c r="B4744" t="s">
        <v>461</v>
      </c>
      <c r="C4744">
        <v>14</v>
      </c>
      <c r="D4744" t="s">
        <v>447</v>
      </c>
      <c r="E4744" s="217">
        <v>45170</v>
      </c>
      <c r="F4744">
        <v>0</v>
      </c>
      <c r="G4744" t="s">
        <v>261</v>
      </c>
    </row>
    <row r="4745" spans="1:7">
      <c r="A4745" s="216">
        <v>45170</v>
      </c>
      <c r="B4745" t="s">
        <v>461</v>
      </c>
      <c r="C4745">
        <v>14</v>
      </c>
      <c r="D4745" t="s">
        <v>447</v>
      </c>
      <c r="E4745" s="217">
        <v>45170</v>
      </c>
      <c r="F4745">
        <v>0</v>
      </c>
      <c r="G4745" t="s">
        <v>262</v>
      </c>
    </row>
    <row r="4746" spans="1:7">
      <c r="A4746" s="216">
        <v>45170</v>
      </c>
      <c r="B4746" t="s">
        <v>461</v>
      </c>
      <c r="C4746">
        <v>14</v>
      </c>
      <c r="D4746" t="s">
        <v>447</v>
      </c>
      <c r="E4746" s="217">
        <v>45170</v>
      </c>
      <c r="F4746">
        <v>0</v>
      </c>
      <c r="G4746" t="s">
        <v>434</v>
      </c>
    </row>
    <row r="4747" spans="1:7">
      <c r="A4747" s="216">
        <v>45170</v>
      </c>
      <c r="B4747" t="s">
        <v>461</v>
      </c>
      <c r="C4747">
        <v>15</v>
      </c>
      <c r="D4747" t="s">
        <v>437</v>
      </c>
      <c r="E4747" s="217">
        <v>45170</v>
      </c>
      <c r="F4747">
        <v>0</v>
      </c>
      <c r="G4747" t="s">
        <v>251</v>
      </c>
    </row>
    <row r="4748" spans="1:7">
      <c r="A4748" s="216">
        <v>45170</v>
      </c>
      <c r="B4748" t="s">
        <v>461</v>
      </c>
      <c r="C4748">
        <v>15</v>
      </c>
      <c r="D4748" t="s">
        <v>437</v>
      </c>
      <c r="E4748" s="217">
        <v>45170</v>
      </c>
      <c r="F4748">
        <v>0</v>
      </c>
      <c r="G4748" t="s">
        <v>252</v>
      </c>
    </row>
    <row r="4749" spans="1:7">
      <c r="A4749" s="216">
        <v>45170</v>
      </c>
      <c r="B4749" t="s">
        <v>461</v>
      </c>
      <c r="C4749">
        <v>15</v>
      </c>
      <c r="D4749" t="s">
        <v>437</v>
      </c>
      <c r="E4749" s="217">
        <v>45170</v>
      </c>
      <c r="F4749">
        <v>0</v>
      </c>
      <c r="G4749" t="s">
        <v>253</v>
      </c>
    </row>
    <row r="4750" spans="1:7">
      <c r="A4750" s="216">
        <v>45170</v>
      </c>
      <c r="B4750" t="s">
        <v>461</v>
      </c>
      <c r="C4750">
        <v>15</v>
      </c>
      <c r="D4750" t="s">
        <v>437</v>
      </c>
      <c r="E4750" s="217">
        <v>45170</v>
      </c>
      <c r="F4750">
        <v>0</v>
      </c>
      <c r="G4750" t="s">
        <v>254</v>
      </c>
    </row>
    <row r="4751" spans="1:7">
      <c r="A4751" s="216">
        <v>45170</v>
      </c>
      <c r="B4751" t="s">
        <v>461</v>
      </c>
      <c r="C4751">
        <v>15</v>
      </c>
      <c r="D4751" t="s">
        <v>437</v>
      </c>
      <c r="E4751" s="217">
        <v>45170</v>
      </c>
      <c r="F4751">
        <v>0</v>
      </c>
      <c r="G4751" t="s">
        <v>255</v>
      </c>
    </row>
    <row r="4752" spans="1:7">
      <c r="A4752" s="216">
        <v>45170</v>
      </c>
      <c r="B4752" t="s">
        <v>461</v>
      </c>
      <c r="C4752">
        <v>15</v>
      </c>
      <c r="D4752" t="s">
        <v>437</v>
      </c>
      <c r="E4752" s="217">
        <v>45170</v>
      </c>
      <c r="F4752">
        <v>0</v>
      </c>
      <c r="G4752" t="s">
        <v>256</v>
      </c>
    </row>
    <row r="4753" spans="1:7">
      <c r="A4753" s="216">
        <v>45170</v>
      </c>
      <c r="B4753" t="s">
        <v>461</v>
      </c>
      <c r="C4753">
        <v>15</v>
      </c>
      <c r="D4753" t="s">
        <v>437</v>
      </c>
      <c r="E4753" s="217">
        <v>45170</v>
      </c>
      <c r="F4753">
        <v>0</v>
      </c>
      <c r="G4753" t="s">
        <v>257</v>
      </c>
    </row>
    <row r="4754" spans="1:7">
      <c r="A4754" s="216">
        <v>45170</v>
      </c>
      <c r="B4754" t="s">
        <v>461</v>
      </c>
      <c r="C4754">
        <v>15</v>
      </c>
      <c r="D4754" t="s">
        <v>437</v>
      </c>
      <c r="E4754" s="217">
        <v>45170</v>
      </c>
      <c r="F4754">
        <v>0</v>
      </c>
      <c r="G4754" t="s">
        <v>258</v>
      </c>
    </row>
    <row r="4755" spans="1:7">
      <c r="A4755" s="216">
        <v>45170</v>
      </c>
      <c r="B4755" t="s">
        <v>461</v>
      </c>
      <c r="C4755">
        <v>15</v>
      </c>
      <c r="D4755" t="s">
        <v>437</v>
      </c>
      <c r="E4755" s="217">
        <v>45170</v>
      </c>
      <c r="F4755">
        <v>0</v>
      </c>
      <c r="G4755" t="s">
        <v>259</v>
      </c>
    </row>
    <row r="4756" spans="1:7">
      <c r="A4756" s="216">
        <v>45170</v>
      </c>
      <c r="B4756" t="s">
        <v>461</v>
      </c>
      <c r="C4756">
        <v>15</v>
      </c>
      <c r="D4756" t="s">
        <v>437</v>
      </c>
      <c r="E4756" s="217">
        <v>45170</v>
      </c>
      <c r="F4756">
        <v>0</v>
      </c>
      <c r="G4756" t="s">
        <v>260</v>
      </c>
    </row>
    <row r="4757" spans="1:7">
      <c r="A4757" s="216">
        <v>45170</v>
      </c>
      <c r="B4757" t="s">
        <v>461</v>
      </c>
      <c r="C4757">
        <v>15</v>
      </c>
      <c r="D4757" t="s">
        <v>437</v>
      </c>
      <c r="E4757" s="217">
        <v>45170</v>
      </c>
      <c r="F4757">
        <v>0</v>
      </c>
      <c r="G4757" t="s">
        <v>261</v>
      </c>
    </row>
    <row r="4758" spans="1:7">
      <c r="A4758" s="216">
        <v>45170</v>
      </c>
      <c r="B4758" t="s">
        <v>461</v>
      </c>
      <c r="C4758">
        <v>15</v>
      </c>
      <c r="D4758" t="s">
        <v>437</v>
      </c>
      <c r="E4758" s="217">
        <v>45170</v>
      </c>
      <c r="F4758">
        <v>0</v>
      </c>
      <c r="G4758" t="s">
        <v>262</v>
      </c>
    </row>
    <row r="4759" spans="1:7">
      <c r="A4759" s="216">
        <v>45170</v>
      </c>
      <c r="B4759" t="s">
        <v>461</v>
      </c>
      <c r="C4759">
        <v>15</v>
      </c>
      <c r="D4759" t="s">
        <v>437</v>
      </c>
      <c r="E4759" s="217">
        <v>45170</v>
      </c>
      <c r="F4759">
        <v>0</v>
      </c>
      <c r="G4759" t="s">
        <v>434</v>
      </c>
    </row>
    <row r="4760" spans="1:7">
      <c r="A4760" s="216">
        <v>45170</v>
      </c>
      <c r="B4760" t="s">
        <v>461</v>
      </c>
      <c r="C4760">
        <v>16</v>
      </c>
      <c r="D4760" t="s">
        <v>449</v>
      </c>
      <c r="E4760" s="217">
        <v>45170</v>
      </c>
      <c r="F4760">
        <v>3300</v>
      </c>
      <c r="G4760" t="s">
        <v>251</v>
      </c>
    </row>
    <row r="4761" spans="1:7">
      <c r="A4761" s="216">
        <v>45170</v>
      </c>
      <c r="B4761" t="s">
        <v>461</v>
      </c>
      <c r="C4761">
        <v>16</v>
      </c>
      <c r="D4761" t="s">
        <v>449</v>
      </c>
      <c r="E4761" s="217">
        <v>45170</v>
      </c>
      <c r="F4761">
        <v>3300</v>
      </c>
      <c r="G4761" t="s">
        <v>252</v>
      </c>
    </row>
    <row r="4762" spans="1:7">
      <c r="A4762" s="216">
        <v>45170</v>
      </c>
      <c r="B4762" t="s">
        <v>461</v>
      </c>
      <c r="C4762">
        <v>16</v>
      </c>
      <c r="D4762" t="s">
        <v>449</v>
      </c>
      <c r="E4762" s="217">
        <v>45170</v>
      </c>
      <c r="F4762">
        <v>2984</v>
      </c>
      <c r="G4762" t="s">
        <v>253</v>
      </c>
    </row>
    <row r="4763" spans="1:7">
      <c r="A4763" s="216">
        <v>45170</v>
      </c>
      <c r="B4763" t="s">
        <v>461</v>
      </c>
      <c r="C4763">
        <v>16</v>
      </c>
      <c r="D4763" t="s">
        <v>449</v>
      </c>
      <c r="E4763" s="217">
        <v>45170</v>
      </c>
      <c r="F4763">
        <v>2900</v>
      </c>
      <c r="G4763" t="s">
        <v>254</v>
      </c>
    </row>
    <row r="4764" spans="1:7">
      <c r="A4764" s="216">
        <v>45170</v>
      </c>
      <c r="B4764" t="s">
        <v>461</v>
      </c>
      <c r="C4764">
        <v>16</v>
      </c>
      <c r="D4764" t="s">
        <v>449</v>
      </c>
      <c r="E4764" s="217">
        <v>45170</v>
      </c>
      <c r="F4764">
        <v>3000</v>
      </c>
      <c r="G4764" t="s">
        <v>255</v>
      </c>
    </row>
    <row r="4765" spans="1:7">
      <c r="A4765" s="216">
        <v>45170</v>
      </c>
      <c r="B4765" t="s">
        <v>461</v>
      </c>
      <c r="C4765">
        <v>16</v>
      </c>
      <c r="D4765" t="s">
        <v>449</v>
      </c>
      <c r="E4765" s="217">
        <v>45170</v>
      </c>
      <c r="F4765">
        <v>2587</v>
      </c>
      <c r="G4765" t="s">
        <v>256</v>
      </c>
    </row>
    <row r="4766" spans="1:7">
      <c r="A4766" s="216">
        <v>45170</v>
      </c>
      <c r="B4766" t="s">
        <v>461</v>
      </c>
      <c r="C4766">
        <v>16</v>
      </c>
      <c r="D4766" t="s">
        <v>449</v>
      </c>
      <c r="E4766" s="217">
        <v>45170</v>
      </c>
      <c r="F4766">
        <v>2587</v>
      </c>
      <c r="G4766" t="s">
        <v>257</v>
      </c>
    </row>
    <row r="4767" spans="1:7">
      <c r="A4767" s="216">
        <v>45170</v>
      </c>
      <c r="B4767" t="s">
        <v>461</v>
      </c>
      <c r="C4767">
        <v>16</v>
      </c>
      <c r="D4767" t="s">
        <v>449</v>
      </c>
      <c r="E4767" s="217">
        <v>45170</v>
      </c>
      <c r="F4767">
        <v>2587</v>
      </c>
      <c r="G4767" t="s">
        <v>258</v>
      </c>
    </row>
    <row r="4768" spans="1:7">
      <c r="A4768" s="216">
        <v>45170</v>
      </c>
      <c r="B4768" t="s">
        <v>461</v>
      </c>
      <c r="C4768">
        <v>16</v>
      </c>
      <c r="D4768" t="s">
        <v>449</v>
      </c>
      <c r="E4768" s="217">
        <v>45170</v>
      </c>
      <c r="F4768">
        <v>2587</v>
      </c>
      <c r="G4768" t="s">
        <v>259</v>
      </c>
    </row>
    <row r="4769" spans="1:7">
      <c r="A4769" s="216">
        <v>45170</v>
      </c>
      <c r="B4769" t="s">
        <v>461</v>
      </c>
      <c r="C4769">
        <v>16</v>
      </c>
      <c r="D4769" t="s">
        <v>449</v>
      </c>
      <c r="E4769" s="217">
        <v>45170</v>
      </c>
      <c r="F4769">
        <v>2587</v>
      </c>
      <c r="G4769" t="s">
        <v>260</v>
      </c>
    </row>
    <row r="4770" spans="1:7">
      <c r="A4770" s="216">
        <v>45170</v>
      </c>
      <c r="B4770" t="s">
        <v>461</v>
      </c>
      <c r="C4770">
        <v>16</v>
      </c>
      <c r="D4770" t="s">
        <v>449</v>
      </c>
      <c r="E4770" s="217">
        <v>45170</v>
      </c>
      <c r="F4770">
        <v>2587</v>
      </c>
      <c r="G4770" t="s">
        <v>261</v>
      </c>
    </row>
    <row r="4771" spans="1:7">
      <c r="A4771" s="216">
        <v>45170</v>
      </c>
      <c r="B4771" t="s">
        <v>461</v>
      </c>
      <c r="C4771">
        <v>16</v>
      </c>
      <c r="D4771" t="s">
        <v>449</v>
      </c>
      <c r="E4771" s="217">
        <v>45170</v>
      </c>
      <c r="F4771">
        <v>2587</v>
      </c>
      <c r="G4771" t="s">
        <v>262</v>
      </c>
    </row>
    <row r="4772" spans="1:7">
      <c r="A4772" s="216">
        <v>45170</v>
      </c>
      <c r="B4772" t="s">
        <v>461</v>
      </c>
      <c r="C4772">
        <v>16</v>
      </c>
      <c r="D4772" t="s">
        <v>449</v>
      </c>
      <c r="E4772" s="217">
        <v>45170</v>
      </c>
      <c r="F4772">
        <v>33593</v>
      </c>
      <c r="G4772" t="s">
        <v>434</v>
      </c>
    </row>
    <row r="4773" spans="1:7">
      <c r="A4773" s="216">
        <v>45170</v>
      </c>
      <c r="B4773" t="s">
        <v>461</v>
      </c>
      <c r="C4773">
        <v>17</v>
      </c>
      <c r="D4773" t="s">
        <v>443</v>
      </c>
      <c r="E4773" s="217">
        <v>45170</v>
      </c>
      <c r="F4773">
        <v>0</v>
      </c>
      <c r="G4773" t="s">
        <v>251</v>
      </c>
    </row>
    <row r="4774" spans="1:7">
      <c r="A4774" s="216">
        <v>45170</v>
      </c>
      <c r="B4774" t="s">
        <v>461</v>
      </c>
      <c r="C4774">
        <v>17</v>
      </c>
      <c r="D4774" t="s">
        <v>443</v>
      </c>
      <c r="E4774" s="217">
        <v>45170</v>
      </c>
      <c r="F4774">
        <v>0</v>
      </c>
      <c r="G4774" t="s">
        <v>252</v>
      </c>
    </row>
    <row r="4775" spans="1:7">
      <c r="A4775" s="216">
        <v>45170</v>
      </c>
      <c r="B4775" t="s">
        <v>461</v>
      </c>
      <c r="C4775">
        <v>17</v>
      </c>
      <c r="D4775" t="s">
        <v>443</v>
      </c>
      <c r="E4775" s="217">
        <v>45170</v>
      </c>
      <c r="F4775">
        <v>0</v>
      </c>
      <c r="G4775" t="s">
        <v>253</v>
      </c>
    </row>
    <row r="4776" spans="1:7">
      <c r="A4776" s="216">
        <v>45170</v>
      </c>
      <c r="B4776" t="s">
        <v>461</v>
      </c>
      <c r="C4776">
        <v>17</v>
      </c>
      <c r="D4776" t="s">
        <v>443</v>
      </c>
      <c r="E4776" s="217">
        <v>45170</v>
      </c>
      <c r="F4776">
        <v>0</v>
      </c>
      <c r="G4776" t="s">
        <v>254</v>
      </c>
    </row>
    <row r="4777" spans="1:7">
      <c r="A4777" s="216">
        <v>45170</v>
      </c>
      <c r="B4777" t="s">
        <v>461</v>
      </c>
      <c r="C4777">
        <v>17</v>
      </c>
      <c r="D4777" t="s">
        <v>443</v>
      </c>
      <c r="E4777" s="217">
        <v>45170</v>
      </c>
      <c r="F4777">
        <v>0</v>
      </c>
      <c r="G4777" t="s">
        <v>255</v>
      </c>
    </row>
    <row r="4778" spans="1:7">
      <c r="A4778" s="216">
        <v>45170</v>
      </c>
      <c r="B4778" t="s">
        <v>461</v>
      </c>
      <c r="C4778">
        <v>17</v>
      </c>
      <c r="D4778" t="s">
        <v>443</v>
      </c>
      <c r="E4778" s="217">
        <v>45170</v>
      </c>
      <c r="F4778">
        <v>0</v>
      </c>
      <c r="G4778" t="s">
        <v>256</v>
      </c>
    </row>
    <row r="4779" spans="1:7">
      <c r="A4779" s="216">
        <v>45170</v>
      </c>
      <c r="B4779" t="s">
        <v>461</v>
      </c>
      <c r="C4779">
        <v>17</v>
      </c>
      <c r="D4779" t="s">
        <v>443</v>
      </c>
      <c r="E4779" s="217">
        <v>45170</v>
      </c>
      <c r="F4779">
        <v>0</v>
      </c>
      <c r="G4779" t="s">
        <v>257</v>
      </c>
    </row>
    <row r="4780" spans="1:7">
      <c r="A4780" s="216">
        <v>45170</v>
      </c>
      <c r="B4780" t="s">
        <v>461</v>
      </c>
      <c r="C4780">
        <v>17</v>
      </c>
      <c r="D4780" t="s">
        <v>443</v>
      </c>
      <c r="E4780" s="217">
        <v>45170</v>
      </c>
      <c r="F4780">
        <v>0</v>
      </c>
      <c r="G4780" t="s">
        <v>258</v>
      </c>
    </row>
    <row r="4781" spans="1:7">
      <c r="A4781" s="216">
        <v>45170</v>
      </c>
      <c r="B4781" t="s">
        <v>461</v>
      </c>
      <c r="C4781">
        <v>17</v>
      </c>
      <c r="D4781" t="s">
        <v>443</v>
      </c>
      <c r="E4781" s="217">
        <v>45170</v>
      </c>
      <c r="F4781">
        <v>0</v>
      </c>
      <c r="G4781" t="s">
        <v>259</v>
      </c>
    </row>
    <row r="4782" spans="1:7">
      <c r="A4782" s="216">
        <v>45170</v>
      </c>
      <c r="B4782" t="s">
        <v>461</v>
      </c>
      <c r="C4782">
        <v>17</v>
      </c>
      <c r="D4782" t="s">
        <v>443</v>
      </c>
      <c r="E4782" s="217">
        <v>45170</v>
      </c>
      <c r="F4782">
        <v>0</v>
      </c>
      <c r="G4782" t="s">
        <v>260</v>
      </c>
    </row>
    <row r="4783" spans="1:7">
      <c r="A4783" s="216">
        <v>45170</v>
      </c>
      <c r="B4783" t="s">
        <v>461</v>
      </c>
      <c r="C4783">
        <v>17</v>
      </c>
      <c r="D4783" t="s">
        <v>443</v>
      </c>
      <c r="E4783" s="217">
        <v>45170</v>
      </c>
      <c r="F4783">
        <v>0</v>
      </c>
      <c r="G4783" t="s">
        <v>261</v>
      </c>
    </row>
    <row r="4784" spans="1:7">
      <c r="A4784" s="216">
        <v>45170</v>
      </c>
      <c r="B4784" t="s">
        <v>461</v>
      </c>
      <c r="C4784">
        <v>17</v>
      </c>
      <c r="D4784" t="s">
        <v>443</v>
      </c>
      <c r="E4784" s="217">
        <v>45170</v>
      </c>
      <c r="F4784">
        <v>0</v>
      </c>
      <c r="G4784" t="s">
        <v>262</v>
      </c>
    </row>
    <row r="4785" spans="1:7">
      <c r="A4785" s="216">
        <v>45170</v>
      </c>
      <c r="B4785" t="s">
        <v>461</v>
      </c>
      <c r="C4785">
        <v>17</v>
      </c>
      <c r="D4785" t="s">
        <v>443</v>
      </c>
      <c r="E4785" s="217">
        <v>45170</v>
      </c>
      <c r="F4785">
        <v>0</v>
      </c>
      <c r="G4785" t="s">
        <v>434</v>
      </c>
    </row>
    <row r="4786" spans="1:7">
      <c r="A4786" s="216">
        <v>45170</v>
      </c>
      <c r="B4786" t="s">
        <v>461</v>
      </c>
      <c r="C4786">
        <v>18</v>
      </c>
      <c r="D4786" t="s">
        <v>444</v>
      </c>
      <c r="E4786" s="217">
        <v>45170</v>
      </c>
      <c r="F4786">
        <v>0</v>
      </c>
      <c r="G4786" t="s">
        <v>251</v>
      </c>
    </row>
    <row r="4787" spans="1:7">
      <c r="A4787" s="216">
        <v>45170</v>
      </c>
      <c r="B4787" t="s">
        <v>461</v>
      </c>
      <c r="C4787">
        <v>18</v>
      </c>
      <c r="D4787" t="s">
        <v>444</v>
      </c>
      <c r="E4787" s="217">
        <v>45170</v>
      </c>
      <c r="F4787">
        <v>0</v>
      </c>
      <c r="G4787" t="s">
        <v>252</v>
      </c>
    </row>
    <row r="4788" spans="1:7">
      <c r="A4788" s="216">
        <v>45170</v>
      </c>
      <c r="B4788" t="s">
        <v>461</v>
      </c>
      <c r="C4788">
        <v>18</v>
      </c>
      <c r="D4788" t="s">
        <v>444</v>
      </c>
      <c r="E4788" s="217">
        <v>45170</v>
      </c>
      <c r="F4788">
        <v>0</v>
      </c>
      <c r="G4788" t="s">
        <v>253</v>
      </c>
    </row>
    <row r="4789" spans="1:7">
      <c r="A4789" s="216">
        <v>45170</v>
      </c>
      <c r="B4789" t="s">
        <v>461</v>
      </c>
      <c r="C4789">
        <v>18</v>
      </c>
      <c r="D4789" t="s">
        <v>444</v>
      </c>
      <c r="E4789" s="217">
        <v>45170</v>
      </c>
      <c r="F4789">
        <v>0</v>
      </c>
      <c r="G4789" t="s">
        <v>254</v>
      </c>
    </row>
    <row r="4790" spans="1:7">
      <c r="A4790" s="216">
        <v>45170</v>
      </c>
      <c r="B4790" t="s">
        <v>461</v>
      </c>
      <c r="C4790">
        <v>18</v>
      </c>
      <c r="D4790" t="s">
        <v>444</v>
      </c>
      <c r="E4790" s="217">
        <v>45170</v>
      </c>
      <c r="F4790">
        <v>0</v>
      </c>
      <c r="G4790" t="s">
        <v>255</v>
      </c>
    </row>
    <row r="4791" spans="1:7">
      <c r="A4791" s="216">
        <v>45170</v>
      </c>
      <c r="B4791" t="s">
        <v>461</v>
      </c>
      <c r="C4791">
        <v>18</v>
      </c>
      <c r="D4791" t="s">
        <v>444</v>
      </c>
      <c r="E4791" s="217">
        <v>45170</v>
      </c>
      <c r="F4791">
        <v>0</v>
      </c>
      <c r="G4791" t="s">
        <v>256</v>
      </c>
    </row>
    <row r="4792" spans="1:7">
      <c r="A4792" s="216">
        <v>45170</v>
      </c>
      <c r="B4792" t="s">
        <v>461</v>
      </c>
      <c r="C4792">
        <v>18</v>
      </c>
      <c r="D4792" t="s">
        <v>444</v>
      </c>
      <c r="E4792" s="217">
        <v>45170</v>
      </c>
      <c r="F4792">
        <v>0</v>
      </c>
      <c r="G4792" t="s">
        <v>257</v>
      </c>
    </row>
    <row r="4793" spans="1:7">
      <c r="A4793" s="216">
        <v>45170</v>
      </c>
      <c r="B4793" t="s">
        <v>461</v>
      </c>
      <c r="C4793">
        <v>18</v>
      </c>
      <c r="D4793" t="s">
        <v>444</v>
      </c>
      <c r="E4793" s="217">
        <v>45170</v>
      </c>
      <c r="F4793">
        <v>0</v>
      </c>
      <c r="G4793" t="s">
        <v>258</v>
      </c>
    </row>
    <row r="4794" spans="1:7">
      <c r="A4794" s="216">
        <v>45170</v>
      </c>
      <c r="B4794" t="s">
        <v>461</v>
      </c>
      <c r="C4794">
        <v>18</v>
      </c>
      <c r="D4794" t="s">
        <v>444</v>
      </c>
      <c r="E4794" s="217">
        <v>45170</v>
      </c>
      <c r="F4794">
        <v>0</v>
      </c>
      <c r="G4794" t="s">
        <v>259</v>
      </c>
    </row>
    <row r="4795" spans="1:7">
      <c r="A4795" s="216">
        <v>45170</v>
      </c>
      <c r="B4795" t="s">
        <v>461</v>
      </c>
      <c r="C4795">
        <v>18</v>
      </c>
      <c r="D4795" t="s">
        <v>444</v>
      </c>
      <c r="E4795" s="217">
        <v>45170</v>
      </c>
      <c r="F4795">
        <v>0</v>
      </c>
      <c r="G4795" t="s">
        <v>260</v>
      </c>
    </row>
    <row r="4796" spans="1:7">
      <c r="A4796" s="216">
        <v>45170</v>
      </c>
      <c r="B4796" t="s">
        <v>461</v>
      </c>
      <c r="C4796">
        <v>18</v>
      </c>
      <c r="D4796" t="s">
        <v>444</v>
      </c>
      <c r="E4796" s="217">
        <v>45170</v>
      </c>
      <c r="F4796">
        <v>0</v>
      </c>
      <c r="G4796" t="s">
        <v>261</v>
      </c>
    </row>
    <row r="4797" spans="1:7">
      <c r="A4797" s="216">
        <v>45170</v>
      </c>
      <c r="B4797" t="s">
        <v>461</v>
      </c>
      <c r="C4797">
        <v>18</v>
      </c>
      <c r="D4797" t="s">
        <v>444</v>
      </c>
      <c r="E4797" s="217">
        <v>45170</v>
      </c>
      <c r="F4797">
        <v>0</v>
      </c>
      <c r="G4797" t="s">
        <v>262</v>
      </c>
    </row>
    <row r="4798" spans="1:7">
      <c r="A4798" s="216">
        <v>45170</v>
      </c>
      <c r="B4798" t="s">
        <v>461</v>
      </c>
      <c r="C4798">
        <v>18</v>
      </c>
      <c r="D4798" t="s">
        <v>444</v>
      </c>
      <c r="E4798" s="217">
        <v>45170</v>
      </c>
      <c r="F4798">
        <v>0</v>
      </c>
      <c r="G4798" t="s">
        <v>434</v>
      </c>
    </row>
    <row r="4799" spans="1:7">
      <c r="A4799" s="216">
        <v>45170</v>
      </c>
      <c r="B4799" t="s">
        <v>461</v>
      </c>
      <c r="C4799">
        <v>19</v>
      </c>
      <c r="D4799" t="s">
        <v>440</v>
      </c>
      <c r="E4799" s="217">
        <v>45170</v>
      </c>
      <c r="F4799">
        <v>0</v>
      </c>
      <c r="G4799" t="s">
        <v>251</v>
      </c>
    </row>
    <row r="4800" spans="1:7">
      <c r="A4800" s="216">
        <v>45170</v>
      </c>
      <c r="B4800" t="s">
        <v>461</v>
      </c>
      <c r="C4800">
        <v>19</v>
      </c>
      <c r="D4800" t="s">
        <v>440</v>
      </c>
      <c r="E4800" s="217">
        <v>45170</v>
      </c>
      <c r="F4800">
        <v>0</v>
      </c>
      <c r="G4800" t="s">
        <v>252</v>
      </c>
    </row>
    <row r="4801" spans="1:7">
      <c r="A4801" s="216">
        <v>45170</v>
      </c>
      <c r="B4801" t="s">
        <v>461</v>
      </c>
      <c r="C4801">
        <v>19</v>
      </c>
      <c r="D4801" t="s">
        <v>440</v>
      </c>
      <c r="E4801" s="217">
        <v>45170</v>
      </c>
      <c r="F4801">
        <v>0</v>
      </c>
      <c r="G4801" t="s">
        <v>253</v>
      </c>
    </row>
    <row r="4802" spans="1:7">
      <c r="A4802" s="216">
        <v>45170</v>
      </c>
      <c r="B4802" t="s">
        <v>461</v>
      </c>
      <c r="C4802">
        <v>19</v>
      </c>
      <c r="D4802" t="s">
        <v>440</v>
      </c>
      <c r="E4802" s="217">
        <v>45170</v>
      </c>
      <c r="F4802">
        <v>0</v>
      </c>
      <c r="G4802" t="s">
        <v>254</v>
      </c>
    </row>
    <row r="4803" spans="1:7">
      <c r="A4803" s="216">
        <v>45170</v>
      </c>
      <c r="B4803" t="s">
        <v>461</v>
      </c>
      <c r="C4803">
        <v>19</v>
      </c>
      <c r="D4803" t="s">
        <v>440</v>
      </c>
      <c r="E4803" s="217">
        <v>45170</v>
      </c>
      <c r="F4803">
        <v>0</v>
      </c>
      <c r="G4803" t="s">
        <v>255</v>
      </c>
    </row>
    <row r="4804" spans="1:7">
      <c r="A4804" s="216">
        <v>45170</v>
      </c>
      <c r="B4804" t="s">
        <v>461</v>
      </c>
      <c r="C4804">
        <v>19</v>
      </c>
      <c r="D4804" t="s">
        <v>440</v>
      </c>
      <c r="E4804" s="217">
        <v>45170</v>
      </c>
      <c r="F4804">
        <v>0</v>
      </c>
      <c r="G4804" t="s">
        <v>256</v>
      </c>
    </row>
    <row r="4805" spans="1:7">
      <c r="A4805" s="216">
        <v>45170</v>
      </c>
      <c r="B4805" t="s">
        <v>461</v>
      </c>
      <c r="C4805">
        <v>19</v>
      </c>
      <c r="D4805" t="s">
        <v>440</v>
      </c>
      <c r="E4805" s="217">
        <v>45170</v>
      </c>
      <c r="F4805">
        <v>0</v>
      </c>
      <c r="G4805" t="s">
        <v>257</v>
      </c>
    </row>
    <row r="4806" spans="1:7">
      <c r="A4806" s="216">
        <v>45170</v>
      </c>
      <c r="B4806" t="s">
        <v>461</v>
      </c>
      <c r="C4806">
        <v>19</v>
      </c>
      <c r="D4806" t="s">
        <v>440</v>
      </c>
      <c r="E4806" s="217">
        <v>45170</v>
      </c>
      <c r="F4806">
        <v>0</v>
      </c>
      <c r="G4806" t="s">
        <v>258</v>
      </c>
    </row>
    <row r="4807" spans="1:7">
      <c r="A4807" s="216">
        <v>45170</v>
      </c>
      <c r="B4807" t="s">
        <v>461</v>
      </c>
      <c r="C4807">
        <v>19</v>
      </c>
      <c r="D4807" t="s">
        <v>440</v>
      </c>
      <c r="E4807" s="217">
        <v>45170</v>
      </c>
      <c r="F4807">
        <v>0</v>
      </c>
      <c r="G4807" t="s">
        <v>259</v>
      </c>
    </row>
    <row r="4808" spans="1:7">
      <c r="A4808" s="216">
        <v>45170</v>
      </c>
      <c r="B4808" t="s">
        <v>461</v>
      </c>
      <c r="C4808">
        <v>19</v>
      </c>
      <c r="D4808" t="s">
        <v>440</v>
      </c>
      <c r="E4808" s="217">
        <v>45170</v>
      </c>
      <c r="F4808">
        <v>0</v>
      </c>
      <c r="G4808" t="s">
        <v>260</v>
      </c>
    </row>
    <row r="4809" spans="1:7">
      <c r="A4809" s="216">
        <v>45170</v>
      </c>
      <c r="B4809" t="s">
        <v>461</v>
      </c>
      <c r="C4809">
        <v>19</v>
      </c>
      <c r="D4809" t="s">
        <v>440</v>
      </c>
      <c r="E4809" s="217">
        <v>45170</v>
      </c>
      <c r="F4809">
        <v>0</v>
      </c>
      <c r="G4809" t="s">
        <v>261</v>
      </c>
    </row>
    <row r="4810" spans="1:7">
      <c r="A4810" s="216">
        <v>45170</v>
      </c>
      <c r="B4810" t="s">
        <v>461</v>
      </c>
      <c r="C4810">
        <v>19</v>
      </c>
      <c r="D4810" t="s">
        <v>440</v>
      </c>
      <c r="E4810" s="217">
        <v>45170</v>
      </c>
      <c r="F4810">
        <v>0</v>
      </c>
      <c r="G4810" t="s">
        <v>262</v>
      </c>
    </row>
    <row r="4811" spans="1:7">
      <c r="A4811" s="216">
        <v>45170</v>
      </c>
      <c r="B4811" t="s">
        <v>461</v>
      </c>
      <c r="C4811">
        <v>19</v>
      </c>
      <c r="D4811" t="s">
        <v>440</v>
      </c>
      <c r="E4811" s="217">
        <v>45170</v>
      </c>
      <c r="F4811">
        <v>0</v>
      </c>
      <c r="G4811" t="s">
        <v>434</v>
      </c>
    </row>
    <row r="4812" spans="1:7">
      <c r="A4812" s="216">
        <v>45170</v>
      </c>
      <c r="B4812" t="s">
        <v>461</v>
      </c>
      <c r="C4812">
        <v>20</v>
      </c>
      <c r="D4812" t="s">
        <v>456</v>
      </c>
      <c r="E4812" s="217">
        <v>45170</v>
      </c>
      <c r="F4812">
        <v>0</v>
      </c>
      <c r="G4812" t="s">
        <v>251</v>
      </c>
    </row>
    <row r="4813" spans="1:7">
      <c r="A4813" s="216">
        <v>45170</v>
      </c>
      <c r="B4813" t="s">
        <v>461</v>
      </c>
      <c r="C4813">
        <v>20</v>
      </c>
      <c r="D4813" t="s">
        <v>456</v>
      </c>
      <c r="E4813" s="217">
        <v>45170</v>
      </c>
      <c r="F4813">
        <v>0</v>
      </c>
      <c r="G4813" t="s">
        <v>252</v>
      </c>
    </row>
    <row r="4814" spans="1:7">
      <c r="A4814" s="216">
        <v>45170</v>
      </c>
      <c r="B4814" t="s">
        <v>461</v>
      </c>
      <c r="C4814">
        <v>20</v>
      </c>
      <c r="D4814" t="s">
        <v>456</v>
      </c>
      <c r="E4814" s="217">
        <v>45170</v>
      </c>
      <c r="F4814">
        <v>0</v>
      </c>
      <c r="G4814" t="s">
        <v>253</v>
      </c>
    </row>
    <row r="4815" spans="1:7">
      <c r="A4815" s="216">
        <v>45170</v>
      </c>
      <c r="B4815" t="s">
        <v>461</v>
      </c>
      <c r="C4815">
        <v>20</v>
      </c>
      <c r="D4815" t="s">
        <v>456</v>
      </c>
      <c r="E4815" s="217">
        <v>45170</v>
      </c>
      <c r="F4815">
        <v>0</v>
      </c>
      <c r="G4815" t="s">
        <v>254</v>
      </c>
    </row>
    <row r="4816" spans="1:7">
      <c r="A4816" s="216">
        <v>45170</v>
      </c>
      <c r="B4816" t="s">
        <v>461</v>
      </c>
      <c r="C4816">
        <v>20</v>
      </c>
      <c r="D4816" t="s">
        <v>456</v>
      </c>
      <c r="E4816" s="217">
        <v>45170</v>
      </c>
      <c r="F4816">
        <v>0</v>
      </c>
      <c r="G4816" t="s">
        <v>255</v>
      </c>
    </row>
    <row r="4817" spans="1:7">
      <c r="A4817" s="216">
        <v>45170</v>
      </c>
      <c r="B4817" t="s">
        <v>461</v>
      </c>
      <c r="C4817">
        <v>20</v>
      </c>
      <c r="D4817" t="s">
        <v>456</v>
      </c>
      <c r="E4817" s="217">
        <v>45170</v>
      </c>
      <c r="F4817">
        <v>0</v>
      </c>
      <c r="G4817" t="s">
        <v>256</v>
      </c>
    </row>
    <row r="4818" spans="1:7">
      <c r="A4818" s="216">
        <v>45170</v>
      </c>
      <c r="B4818" t="s">
        <v>461</v>
      </c>
      <c r="C4818">
        <v>20</v>
      </c>
      <c r="D4818" t="s">
        <v>456</v>
      </c>
      <c r="E4818" s="217">
        <v>45170</v>
      </c>
      <c r="F4818">
        <v>0</v>
      </c>
      <c r="G4818" t="s">
        <v>257</v>
      </c>
    </row>
    <row r="4819" spans="1:7">
      <c r="A4819" s="216">
        <v>45170</v>
      </c>
      <c r="B4819" t="s">
        <v>461</v>
      </c>
      <c r="C4819">
        <v>20</v>
      </c>
      <c r="D4819" t="s">
        <v>456</v>
      </c>
      <c r="E4819" s="217">
        <v>45170</v>
      </c>
      <c r="F4819">
        <v>0</v>
      </c>
      <c r="G4819" t="s">
        <v>258</v>
      </c>
    </row>
    <row r="4820" spans="1:7">
      <c r="A4820" s="216">
        <v>45170</v>
      </c>
      <c r="B4820" t="s">
        <v>461</v>
      </c>
      <c r="C4820">
        <v>20</v>
      </c>
      <c r="D4820" t="s">
        <v>456</v>
      </c>
      <c r="E4820" s="217">
        <v>45170</v>
      </c>
      <c r="F4820">
        <v>0</v>
      </c>
      <c r="G4820" t="s">
        <v>259</v>
      </c>
    </row>
    <row r="4821" spans="1:7">
      <c r="A4821" s="216">
        <v>45170</v>
      </c>
      <c r="B4821" t="s">
        <v>461</v>
      </c>
      <c r="C4821">
        <v>20</v>
      </c>
      <c r="D4821" t="s">
        <v>456</v>
      </c>
      <c r="E4821" s="217">
        <v>45170</v>
      </c>
      <c r="F4821">
        <v>0</v>
      </c>
      <c r="G4821" t="s">
        <v>260</v>
      </c>
    </row>
    <row r="4822" spans="1:7">
      <c r="A4822" s="216">
        <v>45170</v>
      </c>
      <c r="B4822" t="s">
        <v>461</v>
      </c>
      <c r="C4822">
        <v>20</v>
      </c>
      <c r="D4822" t="s">
        <v>456</v>
      </c>
      <c r="E4822" s="217">
        <v>45170</v>
      </c>
      <c r="F4822">
        <v>0</v>
      </c>
      <c r="G4822" t="s">
        <v>261</v>
      </c>
    </row>
    <row r="4823" spans="1:7">
      <c r="A4823" s="216">
        <v>45170</v>
      </c>
      <c r="B4823" t="s">
        <v>461</v>
      </c>
      <c r="C4823">
        <v>20</v>
      </c>
      <c r="D4823" t="s">
        <v>456</v>
      </c>
      <c r="E4823" s="217">
        <v>45170</v>
      </c>
      <c r="F4823">
        <v>0</v>
      </c>
      <c r="G4823" t="s">
        <v>262</v>
      </c>
    </row>
    <row r="4824" spans="1:7">
      <c r="A4824" s="216">
        <v>45170</v>
      </c>
      <c r="B4824" t="s">
        <v>461</v>
      </c>
      <c r="C4824">
        <v>20</v>
      </c>
      <c r="D4824" t="s">
        <v>456</v>
      </c>
      <c r="E4824" s="217">
        <v>45170</v>
      </c>
      <c r="F4824">
        <v>0</v>
      </c>
      <c r="G4824" t="s">
        <v>434</v>
      </c>
    </row>
    <row r="4825" spans="1:7">
      <c r="A4825" s="216">
        <v>45170</v>
      </c>
      <c r="B4825" t="s">
        <v>461</v>
      </c>
      <c r="C4825">
        <v>21</v>
      </c>
      <c r="D4825" t="s">
        <v>455</v>
      </c>
      <c r="E4825" s="217">
        <v>45170</v>
      </c>
      <c r="F4825">
        <v>0</v>
      </c>
      <c r="G4825" t="s">
        <v>251</v>
      </c>
    </row>
    <row r="4826" spans="1:7">
      <c r="A4826" s="216">
        <v>45170</v>
      </c>
      <c r="B4826" t="s">
        <v>461</v>
      </c>
      <c r="C4826">
        <v>21</v>
      </c>
      <c r="D4826" t="s">
        <v>455</v>
      </c>
      <c r="E4826" s="217">
        <v>45170</v>
      </c>
      <c r="F4826">
        <v>0</v>
      </c>
      <c r="G4826" t="s">
        <v>252</v>
      </c>
    </row>
    <row r="4827" spans="1:7">
      <c r="A4827" s="216">
        <v>45170</v>
      </c>
      <c r="B4827" t="s">
        <v>461</v>
      </c>
      <c r="C4827">
        <v>21</v>
      </c>
      <c r="D4827" t="s">
        <v>455</v>
      </c>
      <c r="E4827" s="217">
        <v>45170</v>
      </c>
      <c r="F4827">
        <v>0</v>
      </c>
      <c r="G4827" t="s">
        <v>253</v>
      </c>
    </row>
    <row r="4828" spans="1:7">
      <c r="A4828" s="216">
        <v>45170</v>
      </c>
      <c r="B4828" t="s">
        <v>461</v>
      </c>
      <c r="C4828">
        <v>21</v>
      </c>
      <c r="D4828" t="s">
        <v>455</v>
      </c>
      <c r="E4828" s="217">
        <v>45170</v>
      </c>
      <c r="F4828">
        <v>0</v>
      </c>
      <c r="G4828" t="s">
        <v>254</v>
      </c>
    </row>
    <row r="4829" spans="1:7">
      <c r="A4829" s="216">
        <v>45170</v>
      </c>
      <c r="B4829" t="s">
        <v>461</v>
      </c>
      <c r="C4829">
        <v>21</v>
      </c>
      <c r="D4829" t="s">
        <v>455</v>
      </c>
      <c r="E4829" s="217">
        <v>45170</v>
      </c>
      <c r="F4829">
        <v>0</v>
      </c>
      <c r="G4829" t="s">
        <v>255</v>
      </c>
    </row>
    <row r="4830" spans="1:7">
      <c r="A4830" s="216">
        <v>45170</v>
      </c>
      <c r="B4830" t="s">
        <v>461</v>
      </c>
      <c r="C4830">
        <v>21</v>
      </c>
      <c r="D4830" t="s">
        <v>455</v>
      </c>
      <c r="E4830" s="217">
        <v>45170</v>
      </c>
      <c r="F4830">
        <v>0</v>
      </c>
      <c r="G4830" t="s">
        <v>256</v>
      </c>
    </row>
    <row r="4831" spans="1:7">
      <c r="A4831" s="216">
        <v>45170</v>
      </c>
      <c r="B4831" t="s">
        <v>461</v>
      </c>
      <c r="C4831">
        <v>21</v>
      </c>
      <c r="D4831" t="s">
        <v>455</v>
      </c>
      <c r="E4831" s="217">
        <v>45170</v>
      </c>
      <c r="F4831">
        <v>0</v>
      </c>
      <c r="G4831" t="s">
        <v>257</v>
      </c>
    </row>
    <row r="4832" spans="1:7">
      <c r="A4832" s="216">
        <v>45170</v>
      </c>
      <c r="B4832" t="s">
        <v>461</v>
      </c>
      <c r="C4832">
        <v>21</v>
      </c>
      <c r="D4832" t="s">
        <v>455</v>
      </c>
      <c r="E4832" s="217">
        <v>45170</v>
      </c>
      <c r="F4832">
        <v>0</v>
      </c>
      <c r="G4832" t="s">
        <v>258</v>
      </c>
    </row>
    <row r="4833" spans="1:7">
      <c r="A4833" s="216">
        <v>45170</v>
      </c>
      <c r="B4833" t="s">
        <v>461</v>
      </c>
      <c r="C4833">
        <v>21</v>
      </c>
      <c r="D4833" t="s">
        <v>455</v>
      </c>
      <c r="E4833" s="217">
        <v>45170</v>
      </c>
      <c r="F4833">
        <v>0</v>
      </c>
      <c r="G4833" t="s">
        <v>259</v>
      </c>
    </row>
    <row r="4834" spans="1:7">
      <c r="A4834" s="216">
        <v>45170</v>
      </c>
      <c r="B4834" t="s">
        <v>461</v>
      </c>
      <c r="C4834">
        <v>21</v>
      </c>
      <c r="D4834" t="s">
        <v>455</v>
      </c>
      <c r="E4834" s="217">
        <v>45170</v>
      </c>
      <c r="F4834">
        <v>0</v>
      </c>
      <c r="G4834" t="s">
        <v>260</v>
      </c>
    </row>
    <row r="4835" spans="1:7">
      <c r="A4835" s="216">
        <v>45170</v>
      </c>
      <c r="B4835" t="s">
        <v>461</v>
      </c>
      <c r="C4835">
        <v>21</v>
      </c>
      <c r="D4835" t="s">
        <v>455</v>
      </c>
      <c r="E4835" s="217">
        <v>45170</v>
      </c>
      <c r="F4835">
        <v>0</v>
      </c>
      <c r="G4835" t="s">
        <v>261</v>
      </c>
    </row>
    <row r="4836" spans="1:7">
      <c r="A4836" s="216">
        <v>45170</v>
      </c>
      <c r="B4836" t="s">
        <v>461</v>
      </c>
      <c r="C4836">
        <v>21</v>
      </c>
      <c r="D4836" t="s">
        <v>455</v>
      </c>
      <c r="E4836" s="217">
        <v>45170</v>
      </c>
      <c r="F4836">
        <v>0</v>
      </c>
      <c r="G4836" t="s">
        <v>262</v>
      </c>
    </row>
    <row r="4837" spans="1:7">
      <c r="A4837" s="216">
        <v>45170</v>
      </c>
      <c r="B4837" t="s">
        <v>461</v>
      </c>
      <c r="C4837">
        <v>21</v>
      </c>
      <c r="D4837" t="s">
        <v>455</v>
      </c>
      <c r="E4837" s="217">
        <v>45170</v>
      </c>
      <c r="F4837">
        <v>0</v>
      </c>
      <c r="G4837" t="s">
        <v>434</v>
      </c>
    </row>
    <row r="4838" spans="1:7">
      <c r="A4838" s="216">
        <v>45170</v>
      </c>
      <c r="B4838" t="s">
        <v>461</v>
      </c>
      <c r="C4838">
        <v>22</v>
      </c>
      <c r="D4838" t="s">
        <v>439</v>
      </c>
      <c r="E4838" s="217">
        <v>45170</v>
      </c>
      <c r="F4838">
        <v>0</v>
      </c>
      <c r="G4838" t="s">
        <v>251</v>
      </c>
    </row>
    <row r="4839" spans="1:7">
      <c r="A4839" s="216">
        <v>45170</v>
      </c>
      <c r="B4839" t="s">
        <v>461</v>
      </c>
      <c r="C4839">
        <v>22</v>
      </c>
      <c r="D4839" t="s">
        <v>439</v>
      </c>
      <c r="E4839" s="217">
        <v>45170</v>
      </c>
      <c r="F4839">
        <v>0</v>
      </c>
      <c r="G4839" t="s">
        <v>252</v>
      </c>
    </row>
    <row r="4840" spans="1:7">
      <c r="A4840" s="216">
        <v>45170</v>
      </c>
      <c r="B4840" t="s">
        <v>461</v>
      </c>
      <c r="C4840">
        <v>22</v>
      </c>
      <c r="D4840" t="s">
        <v>439</v>
      </c>
      <c r="E4840" s="217">
        <v>45170</v>
      </c>
      <c r="F4840">
        <v>0</v>
      </c>
      <c r="G4840" t="s">
        <v>253</v>
      </c>
    </row>
    <row r="4841" spans="1:7">
      <c r="A4841" s="216">
        <v>45170</v>
      </c>
      <c r="B4841" t="s">
        <v>461</v>
      </c>
      <c r="C4841">
        <v>22</v>
      </c>
      <c r="D4841" t="s">
        <v>439</v>
      </c>
      <c r="E4841" s="217">
        <v>45170</v>
      </c>
      <c r="F4841">
        <v>0</v>
      </c>
      <c r="G4841" t="s">
        <v>254</v>
      </c>
    </row>
    <row r="4842" spans="1:7">
      <c r="A4842" s="216">
        <v>45170</v>
      </c>
      <c r="B4842" t="s">
        <v>461</v>
      </c>
      <c r="C4842">
        <v>22</v>
      </c>
      <c r="D4842" t="s">
        <v>439</v>
      </c>
      <c r="E4842" s="217">
        <v>45170</v>
      </c>
      <c r="F4842">
        <v>0</v>
      </c>
      <c r="G4842" t="s">
        <v>255</v>
      </c>
    </row>
    <row r="4843" spans="1:7">
      <c r="A4843" s="216">
        <v>45170</v>
      </c>
      <c r="B4843" t="s">
        <v>461</v>
      </c>
      <c r="C4843">
        <v>22</v>
      </c>
      <c r="D4843" t="s">
        <v>439</v>
      </c>
      <c r="E4843" s="217">
        <v>45170</v>
      </c>
      <c r="F4843">
        <v>0</v>
      </c>
      <c r="G4843" t="s">
        <v>256</v>
      </c>
    </row>
    <row r="4844" spans="1:7">
      <c r="A4844" s="216">
        <v>45170</v>
      </c>
      <c r="B4844" t="s">
        <v>461</v>
      </c>
      <c r="C4844">
        <v>22</v>
      </c>
      <c r="D4844" t="s">
        <v>439</v>
      </c>
      <c r="E4844" s="217">
        <v>45170</v>
      </c>
      <c r="F4844">
        <v>0</v>
      </c>
      <c r="G4844" t="s">
        <v>257</v>
      </c>
    </row>
    <row r="4845" spans="1:7">
      <c r="A4845" s="216">
        <v>45170</v>
      </c>
      <c r="B4845" t="s">
        <v>461</v>
      </c>
      <c r="C4845">
        <v>22</v>
      </c>
      <c r="D4845" t="s">
        <v>439</v>
      </c>
      <c r="E4845" s="217">
        <v>45170</v>
      </c>
      <c r="F4845">
        <v>0</v>
      </c>
      <c r="G4845" t="s">
        <v>258</v>
      </c>
    </row>
    <row r="4846" spans="1:7">
      <c r="A4846" s="216">
        <v>45170</v>
      </c>
      <c r="B4846" t="s">
        <v>461</v>
      </c>
      <c r="C4846">
        <v>22</v>
      </c>
      <c r="D4846" t="s">
        <v>439</v>
      </c>
      <c r="E4846" s="217">
        <v>45170</v>
      </c>
      <c r="F4846">
        <v>0</v>
      </c>
      <c r="G4846" t="s">
        <v>259</v>
      </c>
    </row>
    <row r="4847" spans="1:7">
      <c r="A4847" s="216">
        <v>45170</v>
      </c>
      <c r="B4847" t="s">
        <v>461</v>
      </c>
      <c r="C4847">
        <v>22</v>
      </c>
      <c r="D4847" t="s">
        <v>439</v>
      </c>
      <c r="E4847" s="217">
        <v>45170</v>
      </c>
      <c r="F4847">
        <v>0</v>
      </c>
      <c r="G4847" t="s">
        <v>260</v>
      </c>
    </row>
    <row r="4848" spans="1:7">
      <c r="A4848" s="216">
        <v>45170</v>
      </c>
      <c r="B4848" t="s">
        <v>461</v>
      </c>
      <c r="C4848">
        <v>22</v>
      </c>
      <c r="D4848" t="s">
        <v>439</v>
      </c>
      <c r="E4848" s="217">
        <v>45170</v>
      </c>
      <c r="F4848">
        <v>0</v>
      </c>
      <c r="G4848" t="s">
        <v>261</v>
      </c>
    </row>
    <row r="4849" spans="1:7">
      <c r="A4849" s="216">
        <v>45170</v>
      </c>
      <c r="B4849" t="s">
        <v>461</v>
      </c>
      <c r="C4849">
        <v>22</v>
      </c>
      <c r="D4849" t="s">
        <v>439</v>
      </c>
      <c r="E4849" s="217">
        <v>45170</v>
      </c>
      <c r="F4849">
        <v>0</v>
      </c>
      <c r="G4849" t="s">
        <v>262</v>
      </c>
    </row>
    <row r="4850" spans="1:7">
      <c r="A4850" s="216">
        <v>45170</v>
      </c>
      <c r="B4850" t="s">
        <v>461</v>
      </c>
      <c r="C4850">
        <v>22</v>
      </c>
      <c r="D4850" t="s">
        <v>439</v>
      </c>
      <c r="E4850" s="217">
        <v>45170</v>
      </c>
      <c r="F4850">
        <v>0</v>
      </c>
      <c r="G4850" t="s">
        <v>434</v>
      </c>
    </row>
    <row r="4851" spans="1:7">
      <c r="A4851" s="216">
        <v>45170</v>
      </c>
      <c r="B4851" t="s">
        <v>461</v>
      </c>
      <c r="C4851">
        <v>23</v>
      </c>
      <c r="D4851" t="s">
        <v>435</v>
      </c>
      <c r="E4851" s="217">
        <v>45170</v>
      </c>
      <c r="F4851">
        <v>0</v>
      </c>
      <c r="G4851" t="s">
        <v>251</v>
      </c>
    </row>
    <row r="4852" spans="1:7">
      <c r="A4852" s="216">
        <v>45170</v>
      </c>
      <c r="B4852" t="s">
        <v>461</v>
      </c>
      <c r="C4852">
        <v>23</v>
      </c>
      <c r="D4852" t="s">
        <v>435</v>
      </c>
      <c r="E4852" s="217">
        <v>45170</v>
      </c>
      <c r="F4852">
        <v>0</v>
      </c>
      <c r="G4852" t="s">
        <v>252</v>
      </c>
    </row>
    <row r="4853" spans="1:7">
      <c r="A4853" s="216">
        <v>45170</v>
      </c>
      <c r="B4853" t="s">
        <v>461</v>
      </c>
      <c r="C4853">
        <v>23</v>
      </c>
      <c r="D4853" t="s">
        <v>435</v>
      </c>
      <c r="E4853" s="217">
        <v>45170</v>
      </c>
      <c r="F4853">
        <v>0</v>
      </c>
      <c r="G4853" t="s">
        <v>253</v>
      </c>
    </row>
    <row r="4854" spans="1:7">
      <c r="A4854" s="216">
        <v>45170</v>
      </c>
      <c r="B4854" t="s">
        <v>461</v>
      </c>
      <c r="C4854">
        <v>23</v>
      </c>
      <c r="D4854" t="s">
        <v>435</v>
      </c>
      <c r="E4854" s="217">
        <v>45170</v>
      </c>
      <c r="F4854">
        <v>0</v>
      </c>
      <c r="G4854" t="s">
        <v>254</v>
      </c>
    </row>
    <row r="4855" spans="1:7">
      <c r="A4855" s="216">
        <v>45170</v>
      </c>
      <c r="B4855" t="s">
        <v>461</v>
      </c>
      <c r="C4855">
        <v>23</v>
      </c>
      <c r="D4855" t="s">
        <v>435</v>
      </c>
      <c r="E4855" s="217">
        <v>45170</v>
      </c>
      <c r="F4855">
        <v>0</v>
      </c>
      <c r="G4855" t="s">
        <v>255</v>
      </c>
    </row>
    <row r="4856" spans="1:7">
      <c r="A4856" s="216">
        <v>45170</v>
      </c>
      <c r="B4856" t="s">
        <v>461</v>
      </c>
      <c r="C4856">
        <v>23</v>
      </c>
      <c r="D4856" t="s">
        <v>435</v>
      </c>
      <c r="E4856" s="217">
        <v>45170</v>
      </c>
      <c r="F4856">
        <v>0</v>
      </c>
      <c r="G4856" t="s">
        <v>256</v>
      </c>
    </row>
    <row r="4857" spans="1:7">
      <c r="A4857" s="216">
        <v>45170</v>
      </c>
      <c r="B4857" t="s">
        <v>461</v>
      </c>
      <c r="C4857">
        <v>23</v>
      </c>
      <c r="D4857" t="s">
        <v>435</v>
      </c>
      <c r="E4857" s="217">
        <v>45170</v>
      </c>
      <c r="F4857">
        <v>0</v>
      </c>
      <c r="G4857" t="s">
        <v>257</v>
      </c>
    </row>
    <row r="4858" spans="1:7">
      <c r="A4858" s="216">
        <v>45170</v>
      </c>
      <c r="B4858" t="s">
        <v>461</v>
      </c>
      <c r="C4858">
        <v>23</v>
      </c>
      <c r="D4858" t="s">
        <v>435</v>
      </c>
      <c r="E4858" s="217">
        <v>45170</v>
      </c>
      <c r="F4858">
        <v>0</v>
      </c>
      <c r="G4858" t="s">
        <v>258</v>
      </c>
    </row>
    <row r="4859" spans="1:7">
      <c r="A4859" s="216">
        <v>45170</v>
      </c>
      <c r="B4859" t="s">
        <v>461</v>
      </c>
      <c r="C4859">
        <v>23</v>
      </c>
      <c r="D4859" t="s">
        <v>435</v>
      </c>
      <c r="E4859" s="217">
        <v>45170</v>
      </c>
      <c r="F4859">
        <v>0</v>
      </c>
      <c r="G4859" t="s">
        <v>259</v>
      </c>
    </row>
    <row r="4860" spans="1:7">
      <c r="A4860" s="216">
        <v>45170</v>
      </c>
      <c r="B4860" t="s">
        <v>461</v>
      </c>
      <c r="C4860">
        <v>23</v>
      </c>
      <c r="D4860" t="s">
        <v>435</v>
      </c>
      <c r="E4860" s="217">
        <v>45170</v>
      </c>
      <c r="F4860">
        <v>0</v>
      </c>
      <c r="G4860" t="s">
        <v>260</v>
      </c>
    </row>
    <row r="4861" spans="1:7">
      <c r="A4861" s="216">
        <v>45170</v>
      </c>
      <c r="B4861" t="s">
        <v>461</v>
      </c>
      <c r="C4861">
        <v>23</v>
      </c>
      <c r="D4861" t="s">
        <v>435</v>
      </c>
      <c r="E4861" s="217">
        <v>45170</v>
      </c>
      <c r="F4861">
        <v>0</v>
      </c>
      <c r="G4861" t="s">
        <v>261</v>
      </c>
    </row>
    <row r="4862" spans="1:7">
      <c r="A4862" s="216">
        <v>45170</v>
      </c>
      <c r="B4862" t="s">
        <v>461</v>
      </c>
      <c r="C4862">
        <v>23</v>
      </c>
      <c r="D4862" t="s">
        <v>435</v>
      </c>
      <c r="E4862" s="217">
        <v>45170</v>
      </c>
      <c r="F4862">
        <v>0</v>
      </c>
      <c r="G4862" t="s">
        <v>262</v>
      </c>
    </row>
    <row r="4863" spans="1:7">
      <c r="A4863" s="216">
        <v>45170</v>
      </c>
      <c r="B4863" t="s">
        <v>461</v>
      </c>
      <c r="C4863">
        <v>23</v>
      </c>
      <c r="D4863" t="s">
        <v>435</v>
      </c>
      <c r="E4863" s="217">
        <v>45170</v>
      </c>
      <c r="F4863">
        <v>0</v>
      </c>
      <c r="G4863" t="s">
        <v>434</v>
      </c>
    </row>
    <row r="4864" spans="1:7">
      <c r="A4864" s="216">
        <v>45170</v>
      </c>
      <c r="B4864" t="s">
        <v>461</v>
      </c>
      <c r="C4864">
        <v>24</v>
      </c>
      <c r="D4864" t="s">
        <v>457</v>
      </c>
      <c r="E4864" s="217">
        <v>45170</v>
      </c>
      <c r="F4864">
        <v>0</v>
      </c>
      <c r="G4864" t="s">
        <v>251</v>
      </c>
    </row>
    <row r="4865" spans="1:7">
      <c r="A4865" s="216">
        <v>45170</v>
      </c>
      <c r="B4865" t="s">
        <v>461</v>
      </c>
      <c r="C4865">
        <v>24</v>
      </c>
      <c r="D4865" t="s">
        <v>457</v>
      </c>
      <c r="E4865" s="217">
        <v>45170</v>
      </c>
      <c r="F4865">
        <v>0</v>
      </c>
      <c r="G4865" t="s">
        <v>252</v>
      </c>
    </row>
    <row r="4866" spans="1:7">
      <c r="A4866" s="216">
        <v>45170</v>
      </c>
      <c r="B4866" t="s">
        <v>461</v>
      </c>
      <c r="C4866">
        <v>24</v>
      </c>
      <c r="D4866" t="s">
        <v>457</v>
      </c>
      <c r="E4866" s="217">
        <v>45170</v>
      </c>
      <c r="F4866">
        <v>0</v>
      </c>
      <c r="G4866" t="s">
        <v>253</v>
      </c>
    </row>
    <row r="4867" spans="1:7">
      <c r="A4867" s="216">
        <v>45170</v>
      </c>
      <c r="B4867" t="s">
        <v>461</v>
      </c>
      <c r="C4867">
        <v>24</v>
      </c>
      <c r="D4867" t="s">
        <v>457</v>
      </c>
      <c r="E4867" s="217">
        <v>45170</v>
      </c>
      <c r="F4867">
        <v>0</v>
      </c>
      <c r="G4867" t="s">
        <v>254</v>
      </c>
    </row>
    <row r="4868" spans="1:7">
      <c r="A4868" s="216">
        <v>45170</v>
      </c>
      <c r="B4868" t="s">
        <v>461</v>
      </c>
      <c r="C4868">
        <v>24</v>
      </c>
      <c r="D4868" t="s">
        <v>457</v>
      </c>
      <c r="E4868" s="217">
        <v>45170</v>
      </c>
      <c r="F4868">
        <v>0</v>
      </c>
      <c r="G4868" t="s">
        <v>255</v>
      </c>
    </row>
    <row r="4869" spans="1:7">
      <c r="A4869" s="216">
        <v>45170</v>
      </c>
      <c r="B4869" t="s">
        <v>461</v>
      </c>
      <c r="C4869">
        <v>24</v>
      </c>
      <c r="D4869" t="s">
        <v>457</v>
      </c>
      <c r="E4869" s="217">
        <v>45170</v>
      </c>
      <c r="F4869">
        <v>0</v>
      </c>
      <c r="G4869" t="s">
        <v>256</v>
      </c>
    </row>
    <row r="4870" spans="1:7">
      <c r="A4870" s="216">
        <v>45170</v>
      </c>
      <c r="B4870" t="s">
        <v>461</v>
      </c>
      <c r="C4870">
        <v>24</v>
      </c>
      <c r="D4870" t="s">
        <v>457</v>
      </c>
      <c r="E4870" s="217">
        <v>45170</v>
      </c>
      <c r="F4870">
        <v>0</v>
      </c>
      <c r="G4870" t="s">
        <v>257</v>
      </c>
    </row>
    <row r="4871" spans="1:7">
      <c r="A4871" s="216">
        <v>45170</v>
      </c>
      <c r="B4871" t="s">
        <v>461</v>
      </c>
      <c r="C4871">
        <v>24</v>
      </c>
      <c r="D4871" t="s">
        <v>457</v>
      </c>
      <c r="E4871" s="217">
        <v>45170</v>
      </c>
      <c r="F4871">
        <v>0</v>
      </c>
      <c r="G4871" t="s">
        <v>258</v>
      </c>
    </row>
    <row r="4872" spans="1:7">
      <c r="A4872" s="216">
        <v>45170</v>
      </c>
      <c r="B4872" t="s">
        <v>461</v>
      </c>
      <c r="C4872">
        <v>24</v>
      </c>
      <c r="D4872" t="s">
        <v>457</v>
      </c>
      <c r="E4872" s="217">
        <v>45170</v>
      </c>
      <c r="F4872">
        <v>0</v>
      </c>
      <c r="G4872" t="s">
        <v>259</v>
      </c>
    </row>
    <row r="4873" spans="1:7">
      <c r="A4873" s="216">
        <v>45170</v>
      </c>
      <c r="B4873" t="s">
        <v>461</v>
      </c>
      <c r="C4873">
        <v>24</v>
      </c>
      <c r="D4873" t="s">
        <v>457</v>
      </c>
      <c r="E4873" s="217">
        <v>45170</v>
      </c>
      <c r="F4873">
        <v>0</v>
      </c>
      <c r="G4873" t="s">
        <v>260</v>
      </c>
    </row>
    <row r="4874" spans="1:7">
      <c r="A4874" s="216">
        <v>45170</v>
      </c>
      <c r="B4874" t="s">
        <v>461</v>
      </c>
      <c r="C4874">
        <v>24</v>
      </c>
      <c r="D4874" t="s">
        <v>457</v>
      </c>
      <c r="E4874" s="217">
        <v>45170</v>
      </c>
      <c r="F4874">
        <v>0</v>
      </c>
      <c r="G4874" t="s">
        <v>261</v>
      </c>
    </row>
    <row r="4875" spans="1:7">
      <c r="A4875" s="216">
        <v>45170</v>
      </c>
      <c r="B4875" t="s">
        <v>461</v>
      </c>
      <c r="C4875">
        <v>24</v>
      </c>
      <c r="D4875" t="s">
        <v>457</v>
      </c>
      <c r="E4875" s="217">
        <v>45170</v>
      </c>
      <c r="F4875">
        <v>0</v>
      </c>
      <c r="G4875" t="s">
        <v>262</v>
      </c>
    </row>
    <row r="4876" spans="1:7">
      <c r="A4876" s="216">
        <v>45170</v>
      </c>
      <c r="B4876" t="s">
        <v>461</v>
      </c>
      <c r="C4876">
        <v>24</v>
      </c>
      <c r="D4876" t="s">
        <v>457</v>
      </c>
      <c r="E4876" s="217">
        <v>45170</v>
      </c>
      <c r="F4876">
        <v>0</v>
      </c>
      <c r="G4876" t="s">
        <v>434</v>
      </c>
    </row>
    <row r="4877" spans="1:7">
      <c r="A4877" s="216">
        <v>45170</v>
      </c>
      <c r="B4877" t="s">
        <v>461</v>
      </c>
      <c r="C4877">
        <v>25</v>
      </c>
      <c r="D4877" t="s">
        <v>452</v>
      </c>
      <c r="E4877" s="217">
        <v>45170</v>
      </c>
      <c r="F4877">
        <v>0</v>
      </c>
      <c r="G4877" t="s">
        <v>251</v>
      </c>
    </row>
    <row r="4878" spans="1:7">
      <c r="A4878" s="216">
        <v>45170</v>
      </c>
      <c r="B4878" t="s">
        <v>461</v>
      </c>
      <c r="C4878">
        <v>25</v>
      </c>
      <c r="D4878" t="s">
        <v>452</v>
      </c>
      <c r="E4878" s="217">
        <v>45170</v>
      </c>
      <c r="F4878">
        <v>0</v>
      </c>
      <c r="G4878" t="s">
        <v>252</v>
      </c>
    </row>
    <row r="4879" spans="1:7">
      <c r="A4879" s="216">
        <v>45170</v>
      </c>
      <c r="B4879" t="s">
        <v>461</v>
      </c>
      <c r="C4879">
        <v>25</v>
      </c>
      <c r="D4879" t="s">
        <v>452</v>
      </c>
      <c r="E4879" s="217">
        <v>45170</v>
      </c>
      <c r="F4879">
        <v>0</v>
      </c>
      <c r="G4879" t="s">
        <v>253</v>
      </c>
    </row>
    <row r="4880" spans="1:7">
      <c r="A4880" s="216">
        <v>45170</v>
      </c>
      <c r="B4880" t="s">
        <v>461</v>
      </c>
      <c r="C4880">
        <v>25</v>
      </c>
      <c r="D4880" t="s">
        <v>452</v>
      </c>
      <c r="E4880" s="217">
        <v>45170</v>
      </c>
      <c r="F4880">
        <v>0</v>
      </c>
      <c r="G4880" t="s">
        <v>254</v>
      </c>
    </row>
    <row r="4881" spans="1:7">
      <c r="A4881" s="216">
        <v>45170</v>
      </c>
      <c r="B4881" t="s">
        <v>461</v>
      </c>
      <c r="C4881">
        <v>25</v>
      </c>
      <c r="D4881" t="s">
        <v>452</v>
      </c>
      <c r="E4881" s="217">
        <v>45170</v>
      </c>
      <c r="F4881">
        <v>0</v>
      </c>
      <c r="G4881" t="s">
        <v>255</v>
      </c>
    </row>
    <row r="4882" spans="1:7">
      <c r="A4882" s="216">
        <v>45170</v>
      </c>
      <c r="B4882" t="s">
        <v>461</v>
      </c>
      <c r="C4882">
        <v>25</v>
      </c>
      <c r="D4882" t="s">
        <v>452</v>
      </c>
      <c r="E4882" s="217">
        <v>45170</v>
      </c>
      <c r="F4882">
        <v>0</v>
      </c>
      <c r="G4882" t="s">
        <v>256</v>
      </c>
    </row>
    <row r="4883" spans="1:7">
      <c r="A4883" s="216">
        <v>45170</v>
      </c>
      <c r="B4883" t="s">
        <v>461</v>
      </c>
      <c r="C4883">
        <v>25</v>
      </c>
      <c r="D4883" t="s">
        <v>452</v>
      </c>
      <c r="E4883" s="217">
        <v>45170</v>
      </c>
      <c r="F4883">
        <v>0</v>
      </c>
      <c r="G4883" t="s">
        <v>257</v>
      </c>
    </row>
    <row r="4884" spans="1:7">
      <c r="A4884" s="216">
        <v>45170</v>
      </c>
      <c r="B4884" t="s">
        <v>461</v>
      </c>
      <c r="C4884">
        <v>25</v>
      </c>
      <c r="D4884" t="s">
        <v>452</v>
      </c>
      <c r="E4884" s="217">
        <v>45170</v>
      </c>
      <c r="F4884">
        <v>0</v>
      </c>
      <c r="G4884" t="s">
        <v>258</v>
      </c>
    </row>
    <row r="4885" spans="1:7">
      <c r="A4885" s="216">
        <v>45170</v>
      </c>
      <c r="B4885" t="s">
        <v>461</v>
      </c>
      <c r="C4885">
        <v>25</v>
      </c>
      <c r="D4885" t="s">
        <v>452</v>
      </c>
      <c r="E4885" s="217">
        <v>45170</v>
      </c>
      <c r="F4885">
        <v>0</v>
      </c>
      <c r="G4885" t="s">
        <v>259</v>
      </c>
    </row>
    <row r="4886" spans="1:7">
      <c r="A4886" s="216">
        <v>45170</v>
      </c>
      <c r="B4886" t="s">
        <v>461</v>
      </c>
      <c r="C4886">
        <v>25</v>
      </c>
      <c r="D4886" t="s">
        <v>452</v>
      </c>
      <c r="E4886" s="217">
        <v>45170</v>
      </c>
      <c r="F4886">
        <v>0</v>
      </c>
      <c r="G4886" t="s">
        <v>260</v>
      </c>
    </row>
    <row r="4887" spans="1:7">
      <c r="A4887" s="216">
        <v>45170</v>
      </c>
      <c r="B4887" t="s">
        <v>461</v>
      </c>
      <c r="C4887">
        <v>25</v>
      </c>
      <c r="D4887" t="s">
        <v>452</v>
      </c>
      <c r="E4887" s="217">
        <v>45170</v>
      </c>
      <c r="F4887">
        <v>0</v>
      </c>
      <c r="G4887" t="s">
        <v>261</v>
      </c>
    </row>
    <row r="4888" spans="1:7">
      <c r="A4888" s="216">
        <v>45170</v>
      </c>
      <c r="B4888" t="s">
        <v>461</v>
      </c>
      <c r="C4888">
        <v>25</v>
      </c>
      <c r="D4888" t="s">
        <v>452</v>
      </c>
      <c r="E4888" s="217">
        <v>45170</v>
      </c>
      <c r="F4888">
        <v>0</v>
      </c>
      <c r="G4888" t="s">
        <v>262</v>
      </c>
    </row>
    <row r="4889" spans="1:7">
      <c r="A4889" s="216">
        <v>45170</v>
      </c>
      <c r="B4889" t="s">
        <v>461</v>
      </c>
      <c r="C4889">
        <v>25</v>
      </c>
      <c r="D4889" t="s">
        <v>452</v>
      </c>
      <c r="E4889" s="217">
        <v>45170</v>
      </c>
      <c r="F4889">
        <v>0</v>
      </c>
      <c r="G4889" t="s">
        <v>434</v>
      </c>
    </row>
    <row r="4890" spans="1:7">
      <c r="A4890" s="216">
        <v>45170</v>
      </c>
      <c r="B4890" t="s">
        <v>461</v>
      </c>
      <c r="C4890">
        <v>26</v>
      </c>
      <c r="D4890" t="s">
        <v>438</v>
      </c>
      <c r="E4890" s="217">
        <v>45170</v>
      </c>
      <c r="F4890">
        <v>87192</v>
      </c>
      <c r="G4890" t="s">
        <v>251</v>
      </c>
    </row>
    <row r="4891" spans="1:7">
      <c r="A4891" s="216">
        <v>45170</v>
      </c>
      <c r="B4891" t="s">
        <v>461</v>
      </c>
      <c r="C4891">
        <v>26</v>
      </c>
      <c r="D4891" t="s">
        <v>438</v>
      </c>
      <c r="E4891" s="217">
        <v>45170</v>
      </c>
      <c r="F4891">
        <v>87483</v>
      </c>
      <c r="G4891" t="s">
        <v>252</v>
      </c>
    </row>
    <row r="4892" spans="1:7">
      <c r="A4892" s="216">
        <v>45170</v>
      </c>
      <c r="B4892" t="s">
        <v>461</v>
      </c>
      <c r="C4892">
        <v>26</v>
      </c>
      <c r="D4892" t="s">
        <v>438</v>
      </c>
      <c r="E4892" s="217">
        <v>45170</v>
      </c>
      <c r="F4892">
        <v>87589.654999999999</v>
      </c>
      <c r="G4892" t="s">
        <v>253</v>
      </c>
    </row>
    <row r="4893" spans="1:7">
      <c r="A4893" s="216">
        <v>45170</v>
      </c>
      <c r="B4893" t="s">
        <v>461</v>
      </c>
      <c r="C4893">
        <v>26</v>
      </c>
      <c r="D4893" t="s">
        <v>438</v>
      </c>
      <c r="E4893" s="217">
        <v>45170</v>
      </c>
      <c r="F4893">
        <v>84997.717000000004</v>
      </c>
      <c r="G4893" t="s">
        <v>254</v>
      </c>
    </row>
    <row r="4894" spans="1:7">
      <c r="A4894" s="216">
        <v>45170</v>
      </c>
      <c r="B4894" t="s">
        <v>461</v>
      </c>
      <c r="C4894">
        <v>26</v>
      </c>
      <c r="D4894" t="s">
        <v>438</v>
      </c>
      <c r="E4894" s="217">
        <v>45170</v>
      </c>
      <c r="F4894">
        <v>87032</v>
      </c>
      <c r="G4894" t="s">
        <v>255</v>
      </c>
    </row>
    <row r="4895" spans="1:7">
      <c r="A4895" s="216">
        <v>45170</v>
      </c>
      <c r="B4895" t="s">
        <v>461</v>
      </c>
      <c r="C4895">
        <v>26</v>
      </c>
      <c r="D4895" t="s">
        <v>438</v>
      </c>
      <c r="E4895" s="217">
        <v>45170</v>
      </c>
      <c r="F4895">
        <v>84219.634999999995</v>
      </c>
      <c r="G4895" t="s">
        <v>256</v>
      </c>
    </row>
    <row r="4896" spans="1:7">
      <c r="A4896" s="216">
        <v>45170</v>
      </c>
      <c r="B4896" t="s">
        <v>461</v>
      </c>
      <c r="C4896">
        <v>26</v>
      </c>
      <c r="D4896" t="s">
        <v>438</v>
      </c>
      <c r="E4896" s="217">
        <v>45170</v>
      </c>
      <c r="F4896">
        <v>86631.849000000002</v>
      </c>
      <c r="G4896" t="s">
        <v>257</v>
      </c>
    </row>
    <row r="4897" spans="1:7">
      <c r="A4897" s="216">
        <v>45170</v>
      </c>
      <c r="B4897" t="s">
        <v>461</v>
      </c>
      <c r="C4897">
        <v>26</v>
      </c>
      <c r="D4897" t="s">
        <v>438</v>
      </c>
      <c r="E4897" s="217">
        <v>45170</v>
      </c>
      <c r="F4897">
        <v>86631.849000000002</v>
      </c>
      <c r="G4897" t="s">
        <v>258</v>
      </c>
    </row>
    <row r="4898" spans="1:7">
      <c r="A4898" s="216">
        <v>45170</v>
      </c>
      <c r="B4898" t="s">
        <v>461</v>
      </c>
      <c r="C4898">
        <v>26</v>
      </c>
      <c r="D4898" t="s">
        <v>438</v>
      </c>
      <c r="E4898" s="217">
        <v>45170</v>
      </c>
      <c r="F4898">
        <v>86631.849000000002</v>
      </c>
      <c r="G4898" t="s">
        <v>259</v>
      </c>
    </row>
    <row r="4899" spans="1:7">
      <c r="A4899" s="216">
        <v>45170</v>
      </c>
      <c r="B4899" t="s">
        <v>461</v>
      </c>
      <c r="C4899">
        <v>26</v>
      </c>
      <c r="D4899" t="s">
        <v>438</v>
      </c>
      <c r="E4899" s="217">
        <v>45170</v>
      </c>
      <c r="F4899">
        <v>86631.849000000002</v>
      </c>
      <c r="G4899" t="s">
        <v>260</v>
      </c>
    </row>
    <row r="4900" spans="1:7">
      <c r="A4900" s="216">
        <v>45170</v>
      </c>
      <c r="B4900" t="s">
        <v>461</v>
      </c>
      <c r="C4900">
        <v>26</v>
      </c>
      <c r="D4900" t="s">
        <v>438</v>
      </c>
      <c r="E4900" s="217">
        <v>45170</v>
      </c>
      <c r="F4900">
        <v>86631.849000000002</v>
      </c>
      <c r="G4900" t="s">
        <v>261</v>
      </c>
    </row>
    <row r="4901" spans="1:7">
      <c r="A4901" s="216">
        <v>45170</v>
      </c>
      <c r="B4901" t="s">
        <v>461</v>
      </c>
      <c r="C4901">
        <v>26</v>
      </c>
      <c r="D4901" t="s">
        <v>438</v>
      </c>
      <c r="E4901" s="217">
        <v>45170</v>
      </c>
      <c r="F4901">
        <v>86621.349000000002</v>
      </c>
      <c r="G4901" t="s">
        <v>262</v>
      </c>
    </row>
    <row r="4902" spans="1:7">
      <c r="A4902" s="216">
        <v>45170</v>
      </c>
      <c r="B4902" t="s">
        <v>461</v>
      </c>
      <c r="C4902">
        <v>26</v>
      </c>
      <c r="D4902" t="s">
        <v>438</v>
      </c>
      <c r="E4902" s="217">
        <v>45170</v>
      </c>
      <c r="F4902">
        <v>1038294.601</v>
      </c>
      <c r="G4902" t="s">
        <v>434</v>
      </c>
    </row>
    <row r="4903" spans="1:7">
      <c r="A4903" s="216">
        <v>45170</v>
      </c>
      <c r="B4903" t="s">
        <v>461</v>
      </c>
      <c r="C4903">
        <v>27</v>
      </c>
      <c r="D4903" t="s">
        <v>446</v>
      </c>
      <c r="E4903" s="217">
        <v>45170</v>
      </c>
      <c r="F4903">
        <v>0</v>
      </c>
      <c r="G4903" t="s">
        <v>251</v>
      </c>
    </row>
    <row r="4904" spans="1:7">
      <c r="A4904" s="216">
        <v>45170</v>
      </c>
      <c r="B4904" t="s">
        <v>461</v>
      </c>
      <c r="C4904">
        <v>27</v>
      </c>
      <c r="D4904" t="s">
        <v>446</v>
      </c>
      <c r="E4904" s="217">
        <v>45170</v>
      </c>
      <c r="F4904">
        <v>0</v>
      </c>
      <c r="G4904" t="s">
        <v>252</v>
      </c>
    </row>
    <row r="4905" spans="1:7">
      <c r="A4905" s="216">
        <v>45170</v>
      </c>
      <c r="B4905" t="s">
        <v>461</v>
      </c>
      <c r="C4905">
        <v>27</v>
      </c>
      <c r="D4905" t="s">
        <v>446</v>
      </c>
      <c r="E4905" s="217">
        <v>45170</v>
      </c>
      <c r="F4905">
        <v>0.34500000000116399</v>
      </c>
      <c r="G4905" t="s">
        <v>253</v>
      </c>
    </row>
    <row r="4906" spans="1:7">
      <c r="A4906" s="216">
        <v>45170</v>
      </c>
      <c r="B4906" t="s">
        <v>461</v>
      </c>
      <c r="C4906">
        <v>27</v>
      </c>
      <c r="D4906" t="s">
        <v>446</v>
      </c>
      <c r="E4906" s="217">
        <v>45170</v>
      </c>
      <c r="F4906">
        <v>0.28299999999580899</v>
      </c>
      <c r="G4906" t="s">
        <v>254</v>
      </c>
    </row>
    <row r="4907" spans="1:7">
      <c r="A4907" s="216">
        <v>45170</v>
      </c>
      <c r="B4907" t="s">
        <v>461</v>
      </c>
      <c r="C4907">
        <v>27</v>
      </c>
      <c r="D4907" t="s">
        <v>446</v>
      </c>
      <c r="E4907" s="217">
        <v>45170</v>
      </c>
      <c r="F4907">
        <v>0</v>
      </c>
      <c r="G4907" t="s">
        <v>255</v>
      </c>
    </row>
    <row r="4908" spans="1:7">
      <c r="A4908" s="216">
        <v>45170</v>
      </c>
      <c r="B4908" t="s">
        <v>461</v>
      </c>
      <c r="C4908">
        <v>27</v>
      </c>
      <c r="D4908" t="s">
        <v>446</v>
      </c>
      <c r="E4908" s="217">
        <v>45170</v>
      </c>
      <c r="F4908">
        <v>-0.13499999999476101</v>
      </c>
      <c r="G4908" t="s">
        <v>256</v>
      </c>
    </row>
    <row r="4909" spans="1:7">
      <c r="A4909" s="216">
        <v>45170</v>
      </c>
      <c r="B4909" t="s">
        <v>461</v>
      </c>
      <c r="C4909">
        <v>27</v>
      </c>
      <c r="D4909" t="s">
        <v>446</v>
      </c>
      <c r="E4909" s="217">
        <v>45170</v>
      </c>
      <c r="F4909">
        <v>0.150999999998021</v>
      </c>
      <c r="G4909" t="s">
        <v>257</v>
      </c>
    </row>
    <row r="4910" spans="1:7">
      <c r="A4910" s="216">
        <v>45170</v>
      </c>
      <c r="B4910" t="s">
        <v>461</v>
      </c>
      <c r="C4910">
        <v>27</v>
      </c>
      <c r="D4910" t="s">
        <v>446</v>
      </c>
      <c r="E4910" s="217">
        <v>45170</v>
      </c>
      <c r="F4910">
        <v>0.150999999998021</v>
      </c>
      <c r="G4910" t="s">
        <v>258</v>
      </c>
    </row>
    <row r="4911" spans="1:7">
      <c r="A4911" s="216">
        <v>45170</v>
      </c>
      <c r="B4911" t="s">
        <v>461</v>
      </c>
      <c r="C4911">
        <v>27</v>
      </c>
      <c r="D4911" t="s">
        <v>446</v>
      </c>
      <c r="E4911" s="217">
        <v>45170</v>
      </c>
      <c r="F4911">
        <v>0.150999999998021</v>
      </c>
      <c r="G4911" t="s">
        <v>259</v>
      </c>
    </row>
    <row r="4912" spans="1:7">
      <c r="A4912" s="216">
        <v>45170</v>
      </c>
      <c r="B4912" t="s">
        <v>461</v>
      </c>
      <c r="C4912">
        <v>27</v>
      </c>
      <c r="D4912" t="s">
        <v>446</v>
      </c>
      <c r="E4912" s="217">
        <v>45170</v>
      </c>
      <c r="F4912">
        <v>0.150999999998021</v>
      </c>
      <c r="G4912" t="s">
        <v>260</v>
      </c>
    </row>
    <row r="4913" spans="1:7">
      <c r="A4913" s="216">
        <v>45170</v>
      </c>
      <c r="B4913" t="s">
        <v>461</v>
      </c>
      <c r="C4913">
        <v>27</v>
      </c>
      <c r="D4913" t="s">
        <v>446</v>
      </c>
      <c r="E4913" s="217">
        <v>45170</v>
      </c>
      <c r="F4913">
        <v>0.150999999998021</v>
      </c>
      <c r="G4913" t="s">
        <v>261</v>
      </c>
    </row>
    <row r="4914" spans="1:7">
      <c r="A4914" s="216">
        <v>45170</v>
      </c>
      <c r="B4914" t="s">
        <v>461</v>
      </c>
      <c r="C4914">
        <v>27</v>
      </c>
      <c r="D4914" t="s">
        <v>446</v>
      </c>
      <c r="E4914" s="217">
        <v>45170</v>
      </c>
      <c r="F4914">
        <v>-0.84900000000197895</v>
      </c>
      <c r="G4914" t="s">
        <v>262</v>
      </c>
    </row>
    <row r="4915" spans="1:7">
      <c r="A4915" s="216">
        <v>45170</v>
      </c>
      <c r="B4915" t="s">
        <v>461</v>
      </c>
      <c r="C4915">
        <v>27</v>
      </c>
      <c r="D4915" t="s">
        <v>446</v>
      </c>
      <c r="E4915" s="217">
        <v>45170</v>
      </c>
      <c r="F4915">
        <v>0.398999999975786</v>
      </c>
      <c r="G4915" t="s">
        <v>434</v>
      </c>
    </row>
  </sheetData>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AAA7A"/>
    <pageSetUpPr fitToPage="1"/>
  </sheetPr>
  <dimension ref="A1:AO281"/>
  <sheetViews>
    <sheetView showGridLines="0" zoomScale="70" zoomScaleNormal="70" workbookViewId="0">
      <selection sqref="A1:C1"/>
    </sheetView>
  </sheetViews>
  <sheetFormatPr defaultRowHeight="15.5"/>
  <cols>
    <col min="1" max="1" width="36.07421875" customWidth="1"/>
    <col min="2" max="2" width="11.3046875" style="55" customWidth="1"/>
    <col min="3" max="3" width="90.23046875" customWidth="1"/>
    <col min="4" max="4" width="23.53515625" customWidth="1"/>
    <col min="6" max="6" width="1.53515625" customWidth="1"/>
  </cols>
  <sheetData>
    <row r="1" spans="1:41" ht="21">
      <c r="A1" s="817" t="s">
        <v>30</v>
      </c>
      <c r="B1" s="818"/>
      <c r="C1" s="819"/>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row>
    <row r="2" spans="1:41" ht="16.5" customHeight="1">
      <c r="A2" s="811" t="s">
        <v>31</v>
      </c>
      <c r="B2" s="812"/>
      <c r="C2" s="813"/>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6.5" customHeight="1">
      <c r="A3" s="811"/>
      <c r="B3" s="812"/>
      <c r="C3" s="813"/>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row>
    <row r="4" spans="1:41" ht="30.75" customHeight="1">
      <c r="A4" s="814"/>
      <c r="B4" s="815"/>
      <c r="C4" s="816"/>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c r="A5" s="820" t="s">
        <v>32</v>
      </c>
      <c r="B5" s="821"/>
      <c r="C5" s="822"/>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c r="A6" s="811" t="s">
        <v>33</v>
      </c>
      <c r="B6" s="812"/>
      <c r="C6" s="813"/>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c r="A7" s="811" t="s">
        <v>34</v>
      </c>
      <c r="B7" s="812"/>
      <c r="C7" s="813"/>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c r="A8" s="811" t="s">
        <v>35</v>
      </c>
      <c r="B8" s="812"/>
      <c r="C8" s="813"/>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c r="A9" s="811" t="s">
        <v>36</v>
      </c>
      <c r="B9" s="812"/>
      <c r="C9" s="813"/>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c r="A10" s="814" t="s">
        <v>37</v>
      </c>
      <c r="B10" s="815"/>
      <c r="C10" s="816"/>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c r="A12" s="11"/>
      <c r="B12" s="27"/>
      <c r="C12" s="11" t="s">
        <v>4</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c r="A13" s="11"/>
      <c r="B13" s="27"/>
      <c r="C13" s="19" t="s">
        <v>7</v>
      </c>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c r="A14" s="11"/>
      <c r="B14" s="27"/>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c r="A15" s="11"/>
      <c r="B15" s="27"/>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c r="A16" s="11"/>
      <c r="B16" s="27"/>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c r="A17" s="62"/>
      <c r="B17" s="27"/>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c r="A18" s="483"/>
      <c r="B18" s="27"/>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c r="A19" s="483"/>
      <c r="B19" s="27"/>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c r="A20" s="483"/>
      <c r="B20" s="27"/>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c r="A21" s="483"/>
      <c r="B21" s="27"/>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c r="A22" s="484"/>
      <c r="B22" s="27"/>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c r="A23" s="11"/>
      <c r="B23" s="27"/>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c r="A24" s="11"/>
      <c r="B24" s="27"/>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c r="A25" s="11"/>
      <c r="B25" s="27"/>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c r="A26" s="11"/>
      <c r="B26" s="27"/>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c r="A27" s="11"/>
      <c r="B27" s="27"/>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c r="A28" s="11"/>
      <c r="B28" s="27"/>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c r="A29" s="11"/>
      <c r="B29" s="27"/>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c r="A30" s="11"/>
      <c r="B30" s="27"/>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c r="A31" s="11"/>
      <c r="B31" s="27"/>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c r="A32" s="11"/>
      <c r="B32" s="27"/>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c r="A33" s="11"/>
      <c r="B33" s="27"/>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c r="A34" s="11"/>
      <c r="B34" s="27"/>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c r="A35" s="11"/>
      <c r="B35" s="27"/>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c r="A36" s="11"/>
      <c r="B36" s="27"/>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c r="A37" s="11"/>
      <c r="B37" s="27"/>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c r="A38" s="11"/>
      <c r="B38" s="27"/>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c r="A39" s="11"/>
      <c r="B39" s="27"/>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c r="A40" s="11"/>
      <c r="B40" s="27"/>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c r="A41" s="11"/>
      <c r="B41" s="27"/>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c r="A42" s="11"/>
      <c r="B42" s="27"/>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c r="A43" s="11"/>
      <c r="B43" s="27"/>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c r="A44" s="11"/>
      <c r="B44" s="27"/>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c r="A45" s="11"/>
      <c r="B45" s="27"/>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c r="A46" s="11"/>
      <c r="B46" s="27"/>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c r="A47" s="11"/>
      <c r="B47" s="2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row>
    <row r="48" spans="1:41">
      <c r="A48" s="11"/>
      <c r="B48" s="27"/>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row>
    <row r="49" spans="1:41">
      <c r="A49" s="11"/>
      <c r="B49" s="27"/>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row>
    <row r="50" spans="1:41">
      <c r="A50" s="11"/>
      <c r="B50" s="27"/>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row>
    <row r="51" spans="1:41">
      <c r="A51" s="11"/>
      <c r="B51" s="27"/>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row>
    <row r="52" spans="1:41">
      <c r="A52" s="11"/>
      <c r="B52" s="27"/>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row>
    <row r="53" spans="1:41">
      <c r="A53" s="11"/>
      <c r="B53" s="27"/>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row>
    <row r="54" spans="1:41">
      <c r="A54" s="11"/>
      <c r="B54" s="27"/>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row>
    <row r="55" spans="1:41">
      <c r="A55" s="11"/>
      <c r="B55" s="27"/>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row>
    <row r="56" spans="1:41">
      <c r="A56" s="11"/>
      <c r="B56" s="27"/>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row>
    <row r="57" spans="1:41">
      <c r="A57" s="11"/>
      <c r="B57" s="27"/>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row>
    <row r="58" spans="1:41">
      <c r="A58" s="11"/>
      <c r="B58" s="27"/>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row>
    <row r="59" spans="1:41">
      <c r="A59" s="11"/>
      <c r="B59" s="27"/>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row>
    <row r="60" spans="1:41">
      <c r="A60" s="11"/>
      <c r="B60" s="27"/>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row>
    <row r="61" spans="1:41">
      <c r="A61" s="11"/>
      <c r="B61" s="27"/>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row>
    <row r="62" spans="1:41">
      <c r="A62" s="11"/>
      <c r="B62" s="27"/>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row>
    <row r="63" spans="1:41">
      <c r="A63" s="11"/>
      <c r="B63" s="27"/>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row>
    <row r="64" spans="1:41">
      <c r="A64" s="11"/>
      <c r="B64" s="27"/>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row>
    <row r="65" spans="1:41">
      <c r="A65" s="11"/>
      <c r="B65" s="27"/>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row>
    <row r="66" spans="1:41">
      <c r="A66" s="11"/>
      <c r="B66" s="27"/>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row>
    <row r="67" spans="1:41">
      <c r="A67" s="11"/>
      <c r="B67" s="27"/>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row>
    <row r="68" spans="1:41">
      <c r="A68" s="11"/>
      <c r="B68" s="27"/>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row>
    <row r="69" spans="1:41">
      <c r="A69" s="11"/>
      <c r="B69" s="27"/>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row>
    <row r="70" spans="1:41">
      <c r="A70" s="11"/>
      <c r="B70" s="27"/>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row>
    <row r="71" spans="1:41">
      <c r="A71" s="11"/>
      <c r="B71" s="27"/>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row>
    <row r="72" spans="1:41">
      <c r="A72" s="11"/>
      <c r="B72" s="27"/>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row>
    <row r="73" spans="1:41">
      <c r="A73" s="11"/>
      <c r="B73" s="27"/>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row>
    <row r="74" spans="1:41">
      <c r="A74" s="11"/>
      <c r="B74" s="27"/>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row>
    <row r="75" spans="1:41">
      <c r="A75" s="11"/>
      <c r="B75" s="27"/>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row>
    <row r="76" spans="1:41">
      <c r="A76" s="11"/>
      <c r="B76" s="27"/>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row>
    <row r="77" spans="1:41">
      <c r="A77" s="11"/>
      <c r="B77" s="27"/>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row>
    <row r="78" spans="1:41">
      <c r="A78" s="11"/>
      <c r="B78" s="27"/>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row>
    <row r="79" spans="1:41">
      <c r="A79" s="11"/>
      <c r="B79" s="27"/>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row>
    <row r="80" spans="1:41">
      <c r="A80" s="11"/>
      <c r="B80" s="27"/>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row>
    <row r="81" spans="1:41">
      <c r="A81" s="11"/>
      <c r="B81" s="27"/>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row>
    <row r="82" spans="1:41">
      <c r="A82" s="11"/>
      <c r="B82" s="27"/>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row>
    <row r="83" spans="1:41">
      <c r="A83" s="11"/>
      <c r="B83" s="27"/>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row>
    <row r="84" spans="1:41">
      <c r="A84" s="11"/>
      <c r="B84" s="27"/>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row>
    <row r="85" spans="1:41">
      <c r="A85" s="11"/>
      <c r="B85" s="27"/>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row>
    <row r="86" spans="1:41">
      <c r="A86" s="11"/>
      <c r="B86" s="27"/>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row>
    <row r="87" spans="1:41">
      <c r="A87" s="11"/>
      <c r="B87" s="27"/>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row>
    <row r="88" spans="1:41">
      <c r="A88" s="11"/>
      <c r="B88" s="27"/>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row>
    <row r="89" spans="1:41">
      <c r="A89" s="11"/>
      <c r="B89" s="27"/>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row>
    <row r="90" spans="1:41">
      <c r="A90" s="11"/>
      <c r="B90" s="27"/>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row>
    <row r="91" spans="1:41">
      <c r="A91" s="11"/>
      <c r="B91" s="27"/>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row>
    <row r="92" spans="1:41">
      <c r="A92" s="11"/>
      <c r="B92" s="27"/>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row>
    <row r="93" spans="1:41">
      <c r="A93" s="11"/>
      <c r="B93" s="27"/>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row>
    <row r="94" spans="1:41">
      <c r="A94" s="11"/>
      <c r="B94" s="27"/>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row>
    <row r="95" spans="1:41">
      <c r="A95" s="11"/>
      <c r="B95" s="27"/>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row>
    <row r="96" spans="1:41">
      <c r="A96" s="11"/>
      <c r="B96" s="2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row>
    <row r="97" spans="1:41">
      <c r="A97" s="11"/>
      <c r="B97" s="27"/>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row>
    <row r="98" spans="1:41">
      <c r="A98" s="11"/>
      <c r="B98" s="27"/>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row>
    <row r="99" spans="1:41">
      <c r="A99" s="11"/>
      <c r="B99" s="27"/>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row>
    <row r="100" spans="1:41">
      <c r="A100" s="11"/>
      <c r="B100" s="27"/>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row>
    <row r="101" spans="1:41">
      <c r="A101" s="11"/>
      <c r="B101" s="27"/>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row>
    <row r="102" spans="1:41">
      <c r="A102" s="11"/>
      <c r="B102" s="27"/>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row>
    <row r="103" spans="1:41">
      <c r="A103" s="11"/>
      <c r="B103" s="27"/>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row>
    <row r="104" spans="1:41">
      <c r="A104" s="11"/>
      <c r="B104" s="27"/>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row>
    <row r="105" spans="1:41">
      <c r="A105" s="11"/>
      <c r="B105" s="27"/>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row>
    <row r="106" spans="1:41">
      <c r="A106" s="11"/>
      <c r="B106" s="27"/>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row>
    <row r="107" spans="1:41">
      <c r="A107" s="11"/>
      <c r="B107" s="27"/>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row>
    <row r="108" spans="1:41">
      <c r="A108" s="11"/>
      <c r="B108" s="27"/>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row>
    <row r="109" spans="1:41">
      <c r="A109" s="11"/>
      <c r="B109" s="27"/>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row>
    <row r="110" spans="1:41">
      <c r="A110" s="11"/>
      <c r="B110" s="27"/>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row>
    <row r="111" spans="1:41">
      <c r="A111" s="11"/>
      <c r="B111" s="27"/>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row>
    <row r="112" spans="1:41">
      <c r="A112" s="11"/>
      <c r="B112" s="27"/>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row>
    <row r="113" spans="1:41">
      <c r="A113" s="11"/>
      <c r="B113" s="27"/>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row>
    <row r="114" spans="1:41">
      <c r="A114" s="11"/>
      <c r="B114" s="27"/>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row>
    <row r="115" spans="1:41">
      <c r="A115" s="11"/>
      <c r="B115" s="27"/>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row>
    <row r="116" spans="1:41">
      <c r="A116" s="11"/>
      <c r="B116" s="27"/>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row>
    <row r="117" spans="1:41">
      <c r="A117" s="11"/>
      <c r="B117" s="27"/>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row>
    <row r="118" spans="1:41">
      <c r="A118" s="11"/>
      <c r="B118" s="27"/>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row>
    <row r="119" spans="1:41">
      <c r="A119" s="11"/>
      <c r="B119" s="27"/>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row>
    <row r="120" spans="1:41">
      <c r="A120" s="11"/>
      <c r="B120" s="27"/>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row>
    <row r="121" spans="1:41">
      <c r="A121" s="11"/>
      <c r="B121" s="27"/>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row>
    <row r="122" spans="1:41">
      <c r="A122" s="11"/>
      <c r="B122" s="27"/>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row>
    <row r="123" spans="1:41">
      <c r="A123" s="11"/>
      <c r="B123" s="27"/>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row>
    <row r="124" spans="1:41">
      <c r="A124" s="11"/>
      <c r="B124" s="27"/>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row>
    <row r="125" spans="1:41">
      <c r="A125" s="11"/>
      <c r="B125" s="27"/>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row>
    <row r="126" spans="1:41">
      <c r="A126" s="11"/>
      <c r="B126" s="27"/>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row>
    <row r="127" spans="1:41">
      <c r="A127" s="11"/>
      <c r="B127" s="27"/>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row>
    <row r="128" spans="1:41">
      <c r="A128" s="11"/>
      <c r="B128" s="27"/>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row>
    <row r="129" spans="1:41">
      <c r="A129" s="11"/>
      <c r="B129" s="27"/>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row>
    <row r="130" spans="1:41">
      <c r="A130" s="11"/>
      <c r="B130" s="27"/>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row>
    <row r="131" spans="1:41">
      <c r="A131" s="11"/>
      <c r="B131" s="27"/>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row>
    <row r="132" spans="1:41">
      <c r="A132" s="11"/>
      <c r="B132" s="27"/>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row>
    <row r="133" spans="1:41">
      <c r="A133" s="11"/>
      <c r="B133" s="27"/>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row>
    <row r="134" spans="1:41">
      <c r="A134" s="11"/>
      <c r="B134" s="27"/>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row>
    <row r="135" spans="1:41">
      <c r="A135" s="11"/>
      <c r="B135" s="27"/>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row>
    <row r="136" spans="1:41">
      <c r="A136" s="11"/>
      <c r="B136" s="27"/>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row>
    <row r="137" spans="1:41">
      <c r="A137" s="11"/>
      <c r="B137" s="27"/>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row>
    <row r="138" spans="1:41">
      <c r="A138" s="11"/>
      <c r="B138" s="27"/>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row>
    <row r="139" spans="1:41">
      <c r="A139" s="11"/>
      <c r="B139" s="27"/>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row>
    <row r="140" spans="1:41">
      <c r="A140" s="11"/>
      <c r="B140" s="27"/>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row>
    <row r="141" spans="1:41">
      <c r="A141" s="11"/>
      <c r="B141" s="27"/>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row>
    <row r="142" spans="1:41">
      <c r="A142" s="11"/>
      <c r="B142" s="27"/>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row>
    <row r="143" spans="1:41">
      <c r="A143" s="11"/>
      <c r="B143" s="27"/>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row>
    <row r="144" spans="1:41">
      <c r="A144" s="11"/>
      <c r="B144" s="27"/>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row>
    <row r="145" spans="1:41">
      <c r="A145" s="11"/>
      <c r="B145" s="27"/>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row>
    <row r="146" spans="1:41">
      <c r="A146" s="11"/>
      <c r="B146" s="27"/>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row>
    <row r="147" spans="1:41">
      <c r="A147" s="11"/>
      <c r="B147" s="27"/>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row>
    <row r="148" spans="1:41">
      <c r="A148" s="11"/>
      <c r="B148" s="27"/>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row>
    <row r="149" spans="1:41">
      <c r="A149" s="11"/>
      <c r="B149" s="27"/>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row>
    <row r="150" spans="1:41">
      <c r="A150" s="11"/>
      <c r="B150" s="27"/>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row>
    <row r="151" spans="1:41">
      <c r="A151" s="11"/>
      <c r="B151" s="27"/>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row>
    <row r="152" spans="1:41">
      <c r="A152" s="11"/>
      <c r="B152" s="27"/>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row>
    <row r="153" spans="1:41">
      <c r="A153" s="11"/>
      <c r="B153" s="27"/>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row>
    <row r="154" spans="1:41">
      <c r="A154" s="11"/>
      <c r="B154" s="27"/>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row>
    <row r="155" spans="1:41">
      <c r="A155" s="11"/>
      <c r="B155" s="27"/>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row>
    <row r="156" spans="1:41">
      <c r="A156" s="11"/>
      <c r="B156" s="27"/>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row>
    <row r="157" spans="1:41">
      <c r="A157" s="11"/>
      <c r="B157" s="27"/>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row>
    <row r="158" spans="1:41">
      <c r="A158" s="11"/>
      <c r="B158" s="27"/>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row>
    <row r="159" spans="1:41">
      <c r="A159" s="11"/>
      <c r="B159" s="27"/>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row>
    <row r="160" spans="1:41">
      <c r="A160" s="11"/>
      <c r="B160" s="27"/>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row>
    <row r="161" spans="1:41">
      <c r="A161" s="11"/>
      <c r="B161" s="27"/>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row>
    <row r="162" spans="1:41">
      <c r="A162" s="11"/>
      <c r="B162" s="27"/>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row>
    <row r="163" spans="1:41">
      <c r="A163" s="11"/>
      <c r="B163" s="27"/>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row>
    <row r="164" spans="1:41">
      <c r="A164" s="11"/>
      <c r="B164" s="27"/>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row>
    <row r="165" spans="1:41">
      <c r="A165" s="11"/>
      <c r="B165" s="27"/>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row>
    <row r="166" spans="1:41">
      <c r="A166" s="11"/>
      <c r="B166" s="27"/>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row>
    <row r="167" spans="1:41">
      <c r="A167" s="11"/>
      <c r="B167" s="27"/>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row>
    <row r="168" spans="1:41">
      <c r="A168" s="11"/>
      <c r="B168" s="27"/>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row>
    <row r="169" spans="1:41">
      <c r="A169" s="11"/>
      <c r="B169" s="27"/>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row>
    <row r="170" spans="1:41">
      <c r="A170" s="11"/>
      <c r="B170" s="27"/>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row>
    <row r="171" spans="1:41">
      <c r="A171" s="11"/>
      <c r="B171" s="27"/>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row>
    <row r="172" spans="1:41">
      <c r="A172" s="11"/>
      <c r="B172" s="27"/>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row>
    <row r="173" spans="1:41">
      <c r="A173" s="11"/>
      <c r="B173" s="27"/>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row>
    <row r="174" spans="1:41">
      <c r="A174" s="11"/>
      <c r="B174" s="27"/>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row>
    <row r="175" spans="1:41">
      <c r="A175" s="11"/>
      <c r="B175" s="27"/>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row>
    <row r="176" spans="1:41">
      <c r="A176" s="11"/>
      <c r="B176" s="27"/>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row>
    <row r="177" spans="1:41">
      <c r="A177" s="11"/>
      <c r="B177" s="27"/>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row>
    <row r="178" spans="1:41">
      <c r="A178" s="11"/>
      <c r="B178" s="27"/>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row>
    <row r="179" spans="1:41">
      <c r="A179" s="11"/>
      <c r="B179" s="27"/>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row>
    <row r="180" spans="1:41">
      <c r="A180" s="11"/>
      <c r="B180" s="27"/>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row>
    <row r="181" spans="1:41">
      <c r="A181" s="11"/>
      <c r="B181" s="27"/>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row>
    <row r="182" spans="1:41">
      <c r="A182" s="11"/>
      <c r="B182" s="27"/>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row>
    <row r="183" spans="1:41">
      <c r="A183" s="11"/>
      <c r="B183" s="27"/>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row>
    <row r="184" spans="1:41">
      <c r="A184" s="11"/>
      <c r="B184" s="27"/>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row>
    <row r="185" spans="1:41">
      <c r="A185" s="11"/>
      <c r="B185" s="27"/>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row>
    <row r="186" spans="1:41">
      <c r="A186" s="11"/>
      <c r="B186" s="27"/>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row>
    <row r="187" spans="1:41">
      <c r="A187" s="11"/>
      <c r="B187" s="27"/>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row>
    <row r="188" spans="1:41">
      <c r="A188" s="11"/>
      <c r="B188" s="27"/>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row>
    <row r="189" spans="1:41">
      <c r="A189" s="11"/>
      <c r="B189" s="27"/>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row>
    <row r="190" spans="1:41">
      <c r="A190" s="11"/>
      <c r="B190" s="27"/>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row>
    <row r="191" spans="1:41">
      <c r="A191" s="11"/>
      <c r="B191" s="27"/>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row>
    <row r="192" spans="1:41">
      <c r="A192" s="11"/>
      <c r="B192" s="27"/>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row>
    <row r="193" spans="1:41">
      <c r="A193" s="11"/>
      <c r="B193" s="27"/>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row>
    <row r="194" spans="1:41">
      <c r="A194" s="11"/>
      <c r="B194" s="27"/>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row>
    <row r="195" spans="1:41">
      <c r="A195" s="11"/>
      <c r="B195" s="27"/>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row>
    <row r="196" spans="1:41">
      <c r="A196" s="11"/>
      <c r="B196" s="27"/>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row>
    <row r="197" spans="1:41">
      <c r="A197" s="11"/>
      <c r="B197" s="27"/>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row>
    <row r="198" spans="1:41">
      <c r="A198" s="11"/>
      <c r="B198" s="27"/>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row>
    <row r="199" spans="1:41">
      <c r="A199" s="11"/>
      <c r="B199" s="27"/>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row>
    <row r="200" spans="1:41">
      <c r="A200" s="11"/>
      <c r="B200" s="27"/>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row>
    <row r="201" spans="1:41">
      <c r="A201" s="11"/>
      <c r="B201" s="27"/>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row>
    <row r="202" spans="1:41">
      <c r="A202" s="11"/>
      <c r="B202" s="27"/>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row>
    <row r="203" spans="1:41">
      <c r="A203" s="11"/>
      <c r="B203" s="27"/>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row>
    <row r="204" spans="1:41">
      <c r="A204" s="11"/>
      <c r="B204" s="27"/>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row>
    <row r="205" spans="1:41">
      <c r="A205" s="11"/>
      <c r="B205" s="27"/>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row>
    <row r="206" spans="1:41">
      <c r="A206" s="11"/>
      <c r="B206" s="27"/>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row>
    <row r="207" spans="1:41">
      <c r="A207" s="11"/>
      <c r="B207" s="27"/>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row>
    <row r="208" spans="1:41">
      <c r="A208" s="11"/>
      <c r="B208" s="27"/>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row>
    <row r="209" spans="1:41">
      <c r="A209" s="11"/>
      <c r="B209" s="27"/>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row>
    <row r="210" spans="1:41">
      <c r="A210" s="11"/>
      <c r="B210" s="27"/>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row>
    <row r="211" spans="1:41">
      <c r="A211" s="11"/>
      <c r="B211" s="27"/>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row>
    <row r="212" spans="1:41">
      <c r="A212" s="11"/>
      <c r="B212" s="27"/>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row>
    <row r="213" spans="1:41">
      <c r="A213" s="11"/>
      <c r="B213" s="27"/>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row>
    <row r="214" spans="1:41">
      <c r="A214" s="11"/>
      <c r="B214" s="27"/>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row>
    <row r="215" spans="1:41">
      <c r="A215" s="11"/>
      <c r="B215" s="27"/>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row>
    <row r="216" spans="1:41">
      <c r="A216" s="11"/>
      <c r="B216" s="27"/>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row>
    <row r="217" spans="1:41">
      <c r="A217" s="11"/>
      <c r="B217" s="27"/>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row>
    <row r="218" spans="1:41">
      <c r="A218" s="11"/>
      <c r="B218" s="27"/>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row>
    <row r="219" spans="1:41">
      <c r="A219" s="11"/>
      <c r="B219" s="27"/>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row>
    <row r="220" spans="1:41">
      <c r="A220" s="11"/>
      <c r="B220" s="27"/>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row>
    <row r="221" spans="1:41">
      <c r="A221" s="11"/>
      <c r="B221" s="27"/>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row>
    <row r="222" spans="1:41">
      <c r="A222" s="11"/>
      <c r="B222" s="27"/>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row>
    <row r="223" spans="1:41">
      <c r="A223" s="11"/>
      <c r="B223" s="27"/>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row>
    <row r="224" spans="1:41">
      <c r="A224" s="11"/>
      <c r="B224" s="27"/>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row>
    <row r="225" spans="1:41">
      <c r="A225" s="11"/>
      <c r="B225" s="27"/>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row>
    <row r="226" spans="1:41">
      <c r="A226" s="11"/>
      <c r="B226" s="27"/>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row>
    <row r="227" spans="1:41">
      <c r="A227" s="11"/>
      <c r="B227" s="27"/>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row>
    <row r="228" spans="1:41">
      <c r="A228" s="11"/>
      <c r="B228" s="27"/>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row>
    <row r="229" spans="1:41">
      <c r="A229" s="11"/>
      <c r="B229" s="27"/>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row>
    <row r="230" spans="1:41">
      <c r="A230" s="11"/>
      <c r="B230" s="27"/>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row>
    <row r="231" spans="1:41">
      <c r="A231" s="11"/>
      <c r="B231" s="27"/>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row>
    <row r="232" spans="1:41">
      <c r="A232" s="11"/>
      <c r="B232" s="27"/>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row>
    <row r="233" spans="1:41">
      <c r="A233" s="11"/>
      <c r="B233" s="27"/>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row>
    <row r="234" spans="1:41">
      <c r="A234" s="11"/>
      <c r="B234" s="27"/>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row>
    <row r="235" spans="1:41">
      <c r="A235" s="11"/>
      <c r="B235" s="27"/>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row>
    <row r="236" spans="1:41">
      <c r="A236" s="11"/>
      <c r="B236" s="27"/>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row>
    <row r="237" spans="1:41">
      <c r="A237" s="11"/>
      <c r="B237" s="27"/>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row>
    <row r="238" spans="1:41">
      <c r="A238" s="11"/>
      <c r="B238" s="27"/>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row>
    <row r="239" spans="1:41">
      <c r="A239" s="11"/>
      <c r="B239" s="27"/>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row>
    <row r="240" spans="1:41">
      <c r="A240" s="11"/>
      <c r="B240" s="27"/>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row>
    <row r="241" spans="1:41">
      <c r="A241" s="11"/>
      <c r="B241" s="27"/>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row>
    <row r="242" spans="1:41">
      <c r="A242" s="11"/>
      <c r="B242" s="27"/>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row>
    <row r="243" spans="1:41">
      <c r="A243" s="11"/>
      <c r="B243" s="27"/>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row>
    <row r="244" spans="1:41">
      <c r="A244" s="11"/>
      <c r="B244" s="27"/>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row>
    <row r="245" spans="1:41">
      <c r="A245" s="11"/>
      <c r="B245" s="27"/>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row>
    <row r="246" spans="1:41">
      <c r="A246" s="11"/>
      <c r="B246" s="27"/>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row>
    <row r="247" spans="1:41">
      <c r="A247" s="11"/>
      <c r="B247" s="27"/>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row>
    <row r="248" spans="1:41">
      <c r="A248" s="11"/>
      <c r="B248" s="27"/>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row>
    <row r="249" spans="1:41">
      <c r="A249" s="11"/>
      <c r="B249" s="27"/>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row>
    <row r="250" spans="1:41">
      <c r="A250" s="11"/>
      <c r="B250" s="27"/>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row>
    <row r="251" spans="1:41">
      <c r="A251" s="11"/>
      <c r="B251" s="27"/>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row>
    <row r="252" spans="1:41">
      <c r="A252" s="11"/>
      <c r="B252" s="27"/>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row>
    <row r="253" spans="1:41">
      <c r="A253" s="11"/>
      <c r="B253" s="27"/>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row>
    <row r="254" spans="1:41">
      <c r="A254" s="11"/>
      <c r="B254" s="27"/>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row>
    <row r="255" spans="1:41">
      <c r="A255" s="11"/>
      <c r="B255" s="27"/>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row>
    <row r="256" spans="1:41">
      <c r="A256" s="11"/>
      <c r="B256" s="27"/>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row>
    <row r="257" spans="1:41">
      <c r="A257" s="11"/>
      <c r="B257" s="27"/>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row>
    <row r="258" spans="1:41">
      <c r="A258" s="11"/>
      <c r="B258" s="27"/>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row>
    <row r="259" spans="1:41">
      <c r="A259" s="11"/>
      <c r="B259" s="27"/>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row>
    <row r="260" spans="1:41">
      <c r="A260" s="11"/>
      <c r="B260" s="27"/>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row>
    <row r="261" spans="1:41">
      <c r="A261" s="11"/>
      <c r="B261" s="27"/>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row>
    <row r="262" spans="1:41">
      <c r="A262" s="11"/>
      <c r="B262" s="27"/>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row>
    <row r="263" spans="1:41">
      <c r="A263" s="11"/>
      <c r="B263" s="27"/>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row>
    <row r="264" spans="1:41">
      <c r="A264" s="11"/>
      <c r="B264" s="27"/>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row>
    <row r="265" spans="1:41">
      <c r="A265" s="11"/>
      <c r="B265" s="27"/>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row>
    <row r="266" spans="1:41">
      <c r="A266" s="11"/>
      <c r="B266" s="27"/>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row>
    <row r="267" spans="1:41">
      <c r="A267" s="11"/>
      <c r="B267" s="27"/>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row>
    <row r="268" spans="1:41">
      <c r="A268" s="11"/>
      <c r="B268" s="27"/>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row>
    <row r="269" spans="1:41">
      <c r="A269" s="11"/>
      <c r="B269" s="27"/>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row>
    <row r="270" spans="1:41">
      <c r="A270" s="11"/>
      <c r="B270" s="27"/>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row>
    <row r="271" spans="1:41">
      <c r="A271" s="11"/>
      <c r="B271" s="27"/>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row>
    <row r="272" spans="1:41">
      <c r="A272" s="11"/>
      <c r="B272" s="27"/>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row>
    <row r="273" spans="1:41">
      <c r="A273" s="11"/>
      <c r="B273" s="27"/>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row>
    <row r="274" spans="1:41">
      <c r="A274" s="11"/>
      <c r="B274" s="27"/>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row>
    <row r="275" spans="1:41">
      <c r="A275" s="11"/>
      <c r="B275" s="27"/>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row>
    <row r="276" spans="1:41">
      <c r="A276" s="11"/>
      <c r="B276" s="27"/>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row>
    <row r="277" spans="1:41">
      <c r="A277" s="11"/>
      <c r="B277" s="27"/>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row>
    <row r="278" spans="1:41">
      <c r="A278" s="11"/>
      <c r="B278" s="27"/>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row>
    <row r="279" spans="1:41">
      <c r="A279" s="11"/>
      <c r="B279" s="27"/>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row>
    <row r="280" spans="1:41">
      <c r="A280" s="11"/>
      <c r="B280" s="27"/>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row>
    <row r="281" spans="1:41">
      <c r="A281" s="11"/>
      <c r="B281" s="27"/>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row>
  </sheetData>
  <customSheetViews>
    <customSheetView guid="{95B84344-25FE-4A71-9083-825DAB5E8F01}" scale="115">
      <selection activeCell="C17" sqref="C17"/>
      <pageMargins left="0" right="0" top="0" bottom="0" header="0" footer="0"/>
      <pageSetup paperSize="9" orientation="portrait" r:id="rId1"/>
    </customSheetView>
  </customSheetViews>
  <mergeCells count="8">
    <mergeCell ref="A8:C8"/>
    <mergeCell ref="A9:C9"/>
    <mergeCell ref="A10:C10"/>
    <mergeCell ref="A1:C1"/>
    <mergeCell ref="A2:C4"/>
    <mergeCell ref="A5:C5"/>
    <mergeCell ref="A6:C6"/>
    <mergeCell ref="A7:C7"/>
  </mergeCells>
  <hyperlinks>
    <hyperlink ref="C13" r:id="rId2" xr:uid="{00000000-0004-0000-0100-000000000000}"/>
  </hyperlinks>
  <pageMargins left="0.70866141732283472" right="0.70866141732283472" top="0.74803149606299213" bottom="0.74803149606299213" header="0.31496062992125984" footer="0.31496062992125984"/>
  <pageSetup paperSize="9" scale="22" fitToHeight="0"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499984740745262"/>
  </sheetPr>
  <dimension ref="A1:Z365"/>
  <sheetViews>
    <sheetView topLeftCell="A175" workbookViewId="0">
      <selection activeCell="C23" sqref="C23"/>
    </sheetView>
  </sheetViews>
  <sheetFormatPr defaultRowHeight="15.5"/>
  <cols>
    <col min="1" max="1" width="18.53515625" customWidth="1"/>
    <col min="3" max="3" width="14.23046875" customWidth="1"/>
    <col min="5" max="5" width="13.69140625" customWidth="1"/>
    <col min="8" max="11" width="2.765625" customWidth="1"/>
    <col min="13" max="13" width="26" customWidth="1"/>
    <col min="14" max="26" width="10.3046875" customWidth="1"/>
    <col min="27" max="27" width="12" bestFit="1" customWidth="1"/>
  </cols>
  <sheetData>
    <row r="1" spans="1:26">
      <c r="A1" t="s">
        <v>425</v>
      </c>
      <c r="B1" t="s">
        <v>426</v>
      </c>
      <c r="C1" t="s">
        <v>462</v>
      </c>
      <c r="D1" t="s">
        <v>430</v>
      </c>
      <c r="E1" t="s">
        <v>431</v>
      </c>
      <c r="M1" s="219" t="s">
        <v>432</v>
      </c>
      <c r="N1" s="219" t="s">
        <v>294</v>
      </c>
    </row>
    <row r="2" spans="1:26">
      <c r="A2" s="216">
        <v>45170</v>
      </c>
      <c r="B2" t="s">
        <v>42</v>
      </c>
      <c r="C2" t="s">
        <v>463</v>
      </c>
      <c r="D2">
        <v>62786</v>
      </c>
      <c r="E2" t="s">
        <v>251</v>
      </c>
      <c r="M2" s="219" t="s">
        <v>55</v>
      </c>
      <c r="N2" t="s">
        <v>260</v>
      </c>
      <c r="O2" t="s">
        <v>261</v>
      </c>
      <c r="P2" t="s">
        <v>262</v>
      </c>
      <c r="Q2" t="s">
        <v>251</v>
      </c>
      <c r="R2" t="s">
        <v>252</v>
      </c>
      <c r="S2" t="s">
        <v>253</v>
      </c>
      <c r="T2" t="s">
        <v>254</v>
      </c>
      <c r="U2" t="s">
        <v>255</v>
      </c>
      <c r="V2" t="s">
        <v>256</v>
      </c>
      <c r="W2" t="s">
        <v>257</v>
      </c>
      <c r="X2" t="s">
        <v>258</v>
      </c>
      <c r="Y2" t="s">
        <v>259</v>
      </c>
      <c r="Z2" t="s">
        <v>434</v>
      </c>
    </row>
    <row r="3" spans="1:26">
      <c r="A3" s="216">
        <v>45170</v>
      </c>
      <c r="B3" t="s">
        <v>42</v>
      </c>
      <c r="C3" t="s">
        <v>463</v>
      </c>
      <c r="D3">
        <v>64687</v>
      </c>
      <c r="E3" t="s">
        <v>252</v>
      </c>
      <c r="M3" s="220">
        <v>45170</v>
      </c>
      <c r="N3" s="223"/>
      <c r="O3" s="223"/>
      <c r="P3" s="223"/>
      <c r="Q3" s="223"/>
      <c r="R3" s="223"/>
      <c r="S3" s="223"/>
      <c r="T3" s="223"/>
      <c r="U3" s="223"/>
      <c r="V3" s="223"/>
      <c r="W3" s="223"/>
      <c r="X3" s="223"/>
      <c r="Y3" s="223"/>
      <c r="Z3" s="223"/>
    </row>
    <row r="4" spans="1:26">
      <c r="A4" s="216">
        <v>45170</v>
      </c>
      <c r="B4" t="s">
        <v>42</v>
      </c>
      <c r="C4" t="s">
        <v>463</v>
      </c>
      <c r="D4">
        <v>76383</v>
      </c>
      <c r="E4" t="s">
        <v>253</v>
      </c>
      <c r="M4" s="221" t="s">
        <v>42</v>
      </c>
      <c r="N4" s="223">
        <v>69612</v>
      </c>
      <c r="O4" s="223">
        <v>71862</v>
      </c>
      <c r="P4" s="223">
        <v>69912</v>
      </c>
      <c r="Q4" s="223">
        <v>66681</v>
      </c>
      <c r="R4" s="223">
        <v>69490</v>
      </c>
      <c r="S4" s="223">
        <v>80236</v>
      </c>
      <c r="T4" s="223">
        <v>76117</v>
      </c>
      <c r="U4" s="223">
        <v>70468</v>
      </c>
      <c r="V4" s="223">
        <v>68448</v>
      </c>
      <c r="W4" s="223">
        <v>70162</v>
      </c>
      <c r="X4" s="223">
        <v>69812</v>
      </c>
      <c r="Y4" s="223">
        <v>69262</v>
      </c>
      <c r="Z4" s="223">
        <v>852062</v>
      </c>
    </row>
    <row r="5" spans="1:26">
      <c r="A5" s="216">
        <v>45170</v>
      </c>
      <c r="B5" t="s">
        <v>42</v>
      </c>
      <c r="C5" t="s">
        <v>463</v>
      </c>
      <c r="D5">
        <v>72366</v>
      </c>
      <c r="E5" t="s">
        <v>254</v>
      </c>
      <c r="M5" s="222" t="s">
        <v>464</v>
      </c>
      <c r="N5" s="223">
        <v>3105</v>
      </c>
      <c r="O5" s="223">
        <v>3105</v>
      </c>
      <c r="P5" s="223">
        <v>3105</v>
      </c>
      <c r="Q5" s="223">
        <v>3895</v>
      </c>
      <c r="R5" s="223">
        <v>4803</v>
      </c>
      <c r="S5" s="223">
        <v>3853</v>
      </c>
      <c r="T5" s="223">
        <v>3751</v>
      </c>
      <c r="U5" s="223">
        <v>3939</v>
      </c>
      <c r="V5" s="223">
        <v>3860</v>
      </c>
      <c r="W5" s="223">
        <v>3555</v>
      </c>
      <c r="X5" s="223">
        <v>3555</v>
      </c>
      <c r="Y5" s="223">
        <v>3105</v>
      </c>
      <c r="Z5" s="223">
        <v>43631</v>
      </c>
    </row>
    <row r="6" spans="1:26">
      <c r="A6" s="216">
        <v>45170</v>
      </c>
      <c r="B6" t="s">
        <v>42</v>
      </c>
      <c r="C6" t="s">
        <v>463</v>
      </c>
      <c r="D6">
        <v>66529</v>
      </c>
      <c r="E6" t="s">
        <v>255</v>
      </c>
      <c r="M6" s="222" t="s">
        <v>463</v>
      </c>
      <c r="N6" s="223">
        <v>66507</v>
      </c>
      <c r="O6" s="223">
        <v>68757</v>
      </c>
      <c r="P6" s="223">
        <v>66807</v>
      </c>
      <c r="Q6" s="223">
        <v>62786</v>
      </c>
      <c r="R6" s="223">
        <v>64687</v>
      </c>
      <c r="S6" s="223">
        <v>76383</v>
      </c>
      <c r="T6" s="223">
        <v>72366</v>
      </c>
      <c r="U6" s="223">
        <v>66529</v>
      </c>
      <c r="V6" s="223">
        <v>64588</v>
      </c>
      <c r="W6" s="223">
        <v>66607</v>
      </c>
      <c r="X6" s="223">
        <v>66257</v>
      </c>
      <c r="Y6" s="223">
        <v>66157</v>
      </c>
      <c r="Z6" s="223">
        <v>808431</v>
      </c>
    </row>
    <row r="7" spans="1:26">
      <c r="A7" s="216">
        <v>45170</v>
      </c>
      <c r="B7" t="s">
        <v>42</v>
      </c>
      <c r="C7" t="s">
        <v>463</v>
      </c>
      <c r="D7">
        <v>64588</v>
      </c>
      <c r="E7" t="s">
        <v>256</v>
      </c>
      <c r="M7" s="221" t="s">
        <v>43</v>
      </c>
      <c r="N7" s="223">
        <v>96375</v>
      </c>
      <c r="O7" s="223">
        <v>96172</v>
      </c>
      <c r="P7" s="223">
        <v>96056</v>
      </c>
      <c r="Q7" s="223">
        <v>88964.148000000001</v>
      </c>
      <c r="R7" s="223">
        <v>94814</v>
      </c>
      <c r="S7" s="223">
        <v>112852</v>
      </c>
      <c r="T7" s="223">
        <v>106037</v>
      </c>
      <c r="U7" s="223">
        <v>97494</v>
      </c>
      <c r="V7" s="223">
        <v>95221</v>
      </c>
      <c r="W7" s="223">
        <v>96111</v>
      </c>
      <c r="X7" s="223">
        <v>96145</v>
      </c>
      <c r="Y7" s="223">
        <v>96150</v>
      </c>
      <c r="Z7" s="223">
        <v>1172391.148</v>
      </c>
    </row>
    <row r="8" spans="1:26">
      <c r="A8" s="216">
        <v>45170</v>
      </c>
      <c r="B8" t="s">
        <v>42</v>
      </c>
      <c r="C8" t="s">
        <v>463</v>
      </c>
      <c r="D8">
        <v>66607</v>
      </c>
      <c r="E8" t="s">
        <v>257</v>
      </c>
      <c r="M8" s="222" t="s">
        <v>464</v>
      </c>
      <c r="N8" s="223">
        <v>5688</v>
      </c>
      <c r="O8" s="223">
        <v>5655</v>
      </c>
      <c r="P8" s="223">
        <v>5675</v>
      </c>
      <c r="Q8" s="223">
        <v>5771.1480000000001</v>
      </c>
      <c r="R8" s="223">
        <v>6721</v>
      </c>
      <c r="S8" s="223">
        <v>6972</v>
      </c>
      <c r="T8" s="223">
        <v>6810</v>
      </c>
      <c r="U8" s="223">
        <v>7015</v>
      </c>
      <c r="V8" s="223">
        <v>5737</v>
      </c>
      <c r="W8" s="223">
        <v>5787</v>
      </c>
      <c r="X8" s="223">
        <v>5756</v>
      </c>
      <c r="Y8" s="223">
        <v>5786</v>
      </c>
      <c r="Z8" s="223">
        <v>73373.148000000001</v>
      </c>
    </row>
    <row r="9" spans="1:26">
      <c r="A9" s="216">
        <v>45170</v>
      </c>
      <c r="B9" t="s">
        <v>42</v>
      </c>
      <c r="C9" t="s">
        <v>463</v>
      </c>
      <c r="D9">
        <v>66257</v>
      </c>
      <c r="E9" t="s">
        <v>258</v>
      </c>
      <c r="M9" s="222" t="s">
        <v>463</v>
      </c>
      <c r="N9" s="223">
        <v>90687</v>
      </c>
      <c r="O9" s="223">
        <v>90517</v>
      </c>
      <c r="P9" s="223">
        <v>90381</v>
      </c>
      <c r="Q9" s="223">
        <v>83193</v>
      </c>
      <c r="R9" s="223">
        <v>88093</v>
      </c>
      <c r="S9" s="223">
        <v>105880</v>
      </c>
      <c r="T9" s="223">
        <v>99227</v>
      </c>
      <c r="U9" s="223">
        <v>90479</v>
      </c>
      <c r="V9" s="223">
        <v>89484</v>
      </c>
      <c r="W9" s="223">
        <v>90324</v>
      </c>
      <c r="X9" s="223">
        <v>90389</v>
      </c>
      <c r="Y9" s="223">
        <v>90364</v>
      </c>
      <c r="Z9" s="223">
        <v>1099018</v>
      </c>
    </row>
    <row r="10" spans="1:26">
      <c r="A10" s="216">
        <v>45170</v>
      </c>
      <c r="B10" t="s">
        <v>42</v>
      </c>
      <c r="C10" t="s">
        <v>463</v>
      </c>
      <c r="D10">
        <v>66157</v>
      </c>
      <c r="E10" t="s">
        <v>259</v>
      </c>
      <c r="M10" s="221" t="s">
        <v>44</v>
      </c>
      <c r="N10" s="223">
        <v>74744</v>
      </c>
      <c r="O10" s="223">
        <v>74673</v>
      </c>
      <c r="P10" s="223">
        <v>75123</v>
      </c>
      <c r="Q10" s="223">
        <v>71264</v>
      </c>
      <c r="R10" s="223">
        <v>73589.131839999987</v>
      </c>
      <c r="S10" s="223">
        <v>87017</v>
      </c>
      <c r="T10" s="223">
        <v>83344</v>
      </c>
      <c r="U10" s="223">
        <v>75506</v>
      </c>
      <c r="V10" s="223">
        <v>74677</v>
      </c>
      <c r="W10" s="223">
        <v>74898.428571428594</v>
      </c>
      <c r="X10" s="223">
        <v>74746</v>
      </c>
      <c r="Y10" s="223">
        <v>74761</v>
      </c>
      <c r="Z10" s="223">
        <v>914342.56041142903</v>
      </c>
    </row>
    <row r="11" spans="1:26">
      <c r="A11" s="216">
        <v>45170</v>
      </c>
      <c r="B11" t="s">
        <v>42</v>
      </c>
      <c r="C11" t="s">
        <v>463</v>
      </c>
      <c r="D11">
        <v>66507</v>
      </c>
      <c r="E11" t="s">
        <v>260</v>
      </c>
      <c r="M11" s="222" t="s">
        <v>464</v>
      </c>
      <c r="N11" s="223">
        <v>1134</v>
      </c>
      <c r="O11" s="223">
        <v>1134</v>
      </c>
      <c r="P11" s="223">
        <v>1134</v>
      </c>
      <c r="Q11" s="223">
        <v>1722</v>
      </c>
      <c r="R11" s="223">
        <v>1347.13183999999</v>
      </c>
      <c r="S11" s="223">
        <v>1695</v>
      </c>
      <c r="T11" s="223">
        <v>1964</v>
      </c>
      <c r="U11" s="223">
        <v>1782</v>
      </c>
      <c r="V11" s="223">
        <v>1134</v>
      </c>
      <c r="W11" s="223">
        <v>1134</v>
      </c>
      <c r="X11" s="223">
        <v>1134</v>
      </c>
      <c r="Y11" s="223">
        <v>1134</v>
      </c>
      <c r="Z11" s="223">
        <v>16448.131839999998</v>
      </c>
    </row>
    <row r="12" spans="1:26">
      <c r="A12" s="216">
        <v>45170</v>
      </c>
      <c r="B12" t="s">
        <v>42</v>
      </c>
      <c r="C12" t="s">
        <v>463</v>
      </c>
      <c r="D12">
        <v>68757</v>
      </c>
      <c r="E12" t="s">
        <v>261</v>
      </c>
      <c r="M12" s="222" t="s">
        <v>463</v>
      </c>
      <c r="N12" s="223">
        <v>73610</v>
      </c>
      <c r="O12" s="223">
        <v>73539</v>
      </c>
      <c r="P12" s="223">
        <v>73989</v>
      </c>
      <c r="Q12" s="223">
        <v>69542</v>
      </c>
      <c r="R12" s="223">
        <v>72242</v>
      </c>
      <c r="S12" s="223">
        <v>85322</v>
      </c>
      <c r="T12" s="223">
        <v>81380</v>
      </c>
      <c r="U12" s="223">
        <v>73724</v>
      </c>
      <c r="V12" s="223">
        <v>73543</v>
      </c>
      <c r="W12" s="223">
        <v>73764.428571428594</v>
      </c>
      <c r="X12" s="223">
        <v>73612</v>
      </c>
      <c r="Y12" s="223">
        <v>73627</v>
      </c>
      <c r="Z12" s="223">
        <v>897894.42857142899</v>
      </c>
    </row>
    <row r="13" spans="1:26">
      <c r="A13" s="216">
        <v>45170</v>
      </c>
      <c r="B13" t="s">
        <v>42</v>
      </c>
      <c r="C13" t="s">
        <v>463</v>
      </c>
      <c r="D13">
        <v>66807</v>
      </c>
      <c r="E13" t="s">
        <v>262</v>
      </c>
      <c r="M13" s="221" t="s">
        <v>45</v>
      </c>
      <c r="N13" s="223">
        <v>62744</v>
      </c>
      <c r="O13" s="223">
        <v>62744</v>
      </c>
      <c r="P13" s="223">
        <v>62824</v>
      </c>
      <c r="Q13" s="223">
        <v>58486</v>
      </c>
      <c r="R13" s="223">
        <v>58877</v>
      </c>
      <c r="S13" s="223">
        <v>70117</v>
      </c>
      <c r="T13" s="223">
        <v>68076</v>
      </c>
      <c r="U13" s="223">
        <v>60546</v>
      </c>
      <c r="V13" s="223">
        <v>60638.93</v>
      </c>
      <c r="W13" s="223">
        <v>64904</v>
      </c>
      <c r="X13" s="223">
        <v>62554</v>
      </c>
      <c r="Y13" s="223">
        <v>63044</v>
      </c>
      <c r="Z13" s="223">
        <v>755554.93</v>
      </c>
    </row>
    <row r="14" spans="1:26">
      <c r="A14" s="216">
        <v>45170</v>
      </c>
      <c r="B14" t="s">
        <v>42</v>
      </c>
      <c r="C14" t="s">
        <v>463</v>
      </c>
      <c r="D14">
        <v>808431</v>
      </c>
      <c r="E14" t="s">
        <v>434</v>
      </c>
      <c r="M14" s="222" t="s">
        <v>464</v>
      </c>
      <c r="N14" s="223">
        <v>4340</v>
      </c>
      <c r="O14" s="223">
        <v>4340</v>
      </c>
      <c r="P14" s="223">
        <v>4340</v>
      </c>
      <c r="Q14" s="223">
        <v>4344</v>
      </c>
      <c r="R14" s="223">
        <v>4486</v>
      </c>
      <c r="S14" s="223">
        <v>4047</v>
      </c>
      <c r="T14" s="223">
        <v>4825</v>
      </c>
      <c r="U14" s="223">
        <v>3944</v>
      </c>
      <c r="V14" s="223">
        <v>3756</v>
      </c>
      <c r="W14" s="223">
        <v>3890</v>
      </c>
      <c r="X14" s="223">
        <v>3890</v>
      </c>
      <c r="Y14" s="223">
        <v>4340</v>
      </c>
      <c r="Z14" s="223">
        <v>50542</v>
      </c>
    </row>
    <row r="15" spans="1:26">
      <c r="A15" s="216">
        <v>45170</v>
      </c>
      <c r="B15" t="s">
        <v>42</v>
      </c>
      <c r="C15" t="s">
        <v>464</v>
      </c>
      <c r="D15">
        <v>3895</v>
      </c>
      <c r="E15" t="s">
        <v>251</v>
      </c>
      <c r="M15" s="222" t="s">
        <v>463</v>
      </c>
      <c r="N15" s="223">
        <v>58404</v>
      </c>
      <c r="O15" s="223">
        <v>58404</v>
      </c>
      <c r="P15" s="223">
        <v>58484</v>
      </c>
      <c r="Q15" s="223">
        <v>54142</v>
      </c>
      <c r="R15" s="223">
        <v>54391</v>
      </c>
      <c r="S15" s="223">
        <v>66070</v>
      </c>
      <c r="T15" s="223">
        <v>63251</v>
      </c>
      <c r="U15" s="223">
        <v>56602</v>
      </c>
      <c r="V15" s="223">
        <v>56882.93</v>
      </c>
      <c r="W15" s="223">
        <v>61014</v>
      </c>
      <c r="X15" s="223">
        <v>58664</v>
      </c>
      <c r="Y15" s="223">
        <v>58704</v>
      </c>
      <c r="Z15" s="223">
        <v>705012.93</v>
      </c>
    </row>
    <row r="16" spans="1:26">
      <c r="A16" s="216">
        <v>45170</v>
      </c>
      <c r="B16" t="s">
        <v>42</v>
      </c>
      <c r="C16" t="s">
        <v>464</v>
      </c>
      <c r="D16">
        <v>4803</v>
      </c>
      <c r="E16" t="s">
        <v>252</v>
      </c>
      <c r="M16" s="221" t="s">
        <v>52</v>
      </c>
      <c r="N16" s="223">
        <v>5579</v>
      </c>
      <c r="O16" s="223">
        <v>5669</v>
      </c>
      <c r="P16" s="223">
        <v>5683</v>
      </c>
      <c r="Q16" s="223">
        <v>4726</v>
      </c>
      <c r="R16" s="223">
        <v>4785</v>
      </c>
      <c r="S16" s="223">
        <v>5925</v>
      </c>
      <c r="T16" s="223">
        <v>5779</v>
      </c>
      <c r="U16" s="223">
        <v>5124</v>
      </c>
      <c r="V16" s="223">
        <v>5142</v>
      </c>
      <c r="W16" s="223">
        <v>5244</v>
      </c>
      <c r="X16" s="223">
        <v>5302</v>
      </c>
      <c r="Y16" s="223">
        <v>5311</v>
      </c>
      <c r="Z16" s="223">
        <v>64269</v>
      </c>
    </row>
    <row r="17" spans="1:26">
      <c r="A17" s="216">
        <v>45170</v>
      </c>
      <c r="B17" t="s">
        <v>42</v>
      </c>
      <c r="C17" t="s">
        <v>464</v>
      </c>
      <c r="D17">
        <v>3853</v>
      </c>
      <c r="E17" t="s">
        <v>253</v>
      </c>
      <c r="M17" s="222" t="s">
        <v>464</v>
      </c>
      <c r="N17" s="223">
        <v>50</v>
      </c>
      <c r="O17" s="223">
        <v>50</v>
      </c>
      <c r="P17" s="223">
        <v>50</v>
      </c>
      <c r="Q17" s="223">
        <v>25</v>
      </c>
      <c r="R17" s="223">
        <v>10</v>
      </c>
      <c r="S17" s="223">
        <v>45</v>
      </c>
      <c r="T17" s="223">
        <v>43</v>
      </c>
      <c r="U17" s="223">
        <v>35</v>
      </c>
      <c r="V17" s="223">
        <v>48</v>
      </c>
      <c r="W17" s="223">
        <v>50</v>
      </c>
      <c r="X17" s="223">
        <v>50</v>
      </c>
      <c r="Y17" s="223">
        <v>50</v>
      </c>
      <c r="Z17" s="223">
        <v>506</v>
      </c>
    </row>
    <row r="18" spans="1:26">
      <c r="A18" s="216">
        <v>45170</v>
      </c>
      <c r="B18" t="s">
        <v>42</v>
      </c>
      <c r="C18" t="s">
        <v>464</v>
      </c>
      <c r="D18">
        <v>3751</v>
      </c>
      <c r="E18" t="s">
        <v>254</v>
      </c>
      <c r="M18" s="222" t="s">
        <v>463</v>
      </c>
      <c r="N18" s="223">
        <v>5529</v>
      </c>
      <c r="O18" s="223">
        <v>5619</v>
      </c>
      <c r="P18" s="223">
        <v>5633</v>
      </c>
      <c r="Q18" s="223">
        <v>4701</v>
      </c>
      <c r="R18" s="223">
        <v>4775</v>
      </c>
      <c r="S18" s="223">
        <v>5880</v>
      </c>
      <c r="T18" s="223">
        <v>5736</v>
      </c>
      <c r="U18" s="223">
        <v>5089</v>
      </c>
      <c r="V18" s="223">
        <v>5094</v>
      </c>
      <c r="W18" s="223">
        <v>5194</v>
      </c>
      <c r="X18" s="223">
        <v>5252</v>
      </c>
      <c r="Y18" s="223">
        <v>5261</v>
      </c>
      <c r="Z18" s="223">
        <v>63763</v>
      </c>
    </row>
    <row r="19" spans="1:26">
      <c r="A19" s="216">
        <v>45170</v>
      </c>
      <c r="B19" t="s">
        <v>42</v>
      </c>
      <c r="C19" t="s">
        <v>464</v>
      </c>
      <c r="D19">
        <v>3939</v>
      </c>
      <c r="E19" t="s">
        <v>255</v>
      </c>
      <c r="M19" s="221" t="s">
        <v>51</v>
      </c>
      <c r="N19" s="223">
        <v>2544</v>
      </c>
      <c r="O19" s="223">
        <v>2629</v>
      </c>
      <c r="P19" s="223">
        <v>2672</v>
      </c>
      <c r="Q19" s="223">
        <v>2169</v>
      </c>
      <c r="R19" s="223">
        <v>2227</v>
      </c>
      <c r="S19" s="223">
        <v>2470</v>
      </c>
      <c r="T19" s="223">
        <v>2607</v>
      </c>
      <c r="U19" s="223">
        <v>2370</v>
      </c>
      <c r="V19" s="223">
        <v>2464</v>
      </c>
      <c r="W19" s="223">
        <v>2614</v>
      </c>
      <c r="X19" s="223">
        <v>2532</v>
      </c>
      <c r="Y19" s="223">
        <v>2543</v>
      </c>
      <c r="Z19" s="223">
        <v>29841</v>
      </c>
    </row>
    <row r="20" spans="1:26">
      <c r="A20" s="216">
        <v>45170</v>
      </c>
      <c r="B20" t="s">
        <v>42</v>
      </c>
      <c r="C20" t="s">
        <v>464</v>
      </c>
      <c r="D20">
        <v>3860</v>
      </c>
      <c r="E20" t="s">
        <v>256</v>
      </c>
      <c r="M20" s="222" t="s">
        <v>464</v>
      </c>
      <c r="N20" s="223">
        <v>40</v>
      </c>
      <c r="O20" s="223">
        <v>40</v>
      </c>
      <c r="P20" s="223">
        <v>40</v>
      </c>
      <c r="Q20" s="223">
        <v>48</v>
      </c>
      <c r="R20" s="223">
        <v>32</v>
      </c>
      <c r="S20" s="223">
        <v>28</v>
      </c>
      <c r="T20" s="223">
        <v>24</v>
      </c>
      <c r="U20" s="223">
        <v>29</v>
      </c>
      <c r="V20" s="223">
        <v>14</v>
      </c>
      <c r="W20" s="223">
        <v>40</v>
      </c>
      <c r="X20" s="223">
        <v>40</v>
      </c>
      <c r="Y20" s="223">
        <v>40</v>
      </c>
      <c r="Z20" s="223">
        <v>415</v>
      </c>
    </row>
    <row r="21" spans="1:26">
      <c r="A21" s="216">
        <v>45170</v>
      </c>
      <c r="B21" t="s">
        <v>42</v>
      </c>
      <c r="C21" t="s">
        <v>464</v>
      </c>
      <c r="D21">
        <v>3555</v>
      </c>
      <c r="E21" t="s">
        <v>257</v>
      </c>
      <c r="M21" s="222" t="s">
        <v>463</v>
      </c>
      <c r="N21" s="223">
        <v>2504</v>
      </c>
      <c r="O21" s="223">
        <v>2589</v>
      </c>
      <c r="P21" s="223">
        <v>2632</v>
      </c>
      <c r="Q21" s="223">
        <v>2121</v>
      </c>
      <c r="R21" s="223">
        <v>2195</v>
      </c>
      <c r="S21" s="223">
        <v>2442</v>
      </c>
      <c r="T21" s="223">
        <v>2583</v>
      </c>
      <c r="U21" s="223">
        <v>2341</v>
      </c>
      <c r="V21" s="223">
        <v>2450</v>
      </c>
      <c r="W21" s="223">
        <v>2574</v>
      </c>
      <c r="X21" s="223">
        <v>2492</v>
      </c>
      <c r="Y21" s="223">
        <v>2503</v>
      </c>
      <c r="Z21" s="223">
        <v>29426</v>
      </c>
    </row>
    <row r="22" spans="1:26">
      <c r="A22" s="216">
        <v>45170</v>
      </c>
      <c r="B22" t="s">
        <v>42</v>
      </c>
      <c r="C22" t="s">
        <v>464</v>
      </c>
      <c r="D22">
        <v>3555</v>
      </c>
      <c r="E22" t="s">
        <v>258</v>
      </c>
      <c r="M22" s="221" t="s">
        <v>46</v>
      </c>
      <c r="N22" s="223">
        <v>51423</v>
      </c>
      <c r="O22" s="223">
        <v>51186</v>
      </c>
      <c r="P22" s="223">
        <v>51284</v>
      </c>
      <c r="Q22" s="223">
        <v>51864</v>
      </c>
      <c r="R22" s="223">
        <v>54146</v>
      </c>
      <c r="S22" s="223">
        <v>62449</v>
      </c>
      <c r="T22" s="223">
        <v>57895</v>
      </c>
      <c r="U22" s="223">
        <v>53821</v>
      </c>
      <c r="V22" s="223">
        <v>52019</v>
      </c>
      <c r="W22" s="223">
        <v>52201</v>
      </c>
      <c r="X22" s="223">
        <v>51786</v>
      </c>
      <c r="Y22" s="223">
        <v>51587</v>
      </c>
      <c r="Z22" s="223">
        <v>641661</v>
      </c>
    </row>
    <row r="23" spans="1:26">
      <c r="A23" s="216">
        <v>45170</v>
      </c>
      <c r="B23" t="s">
        <v>42</v>
      </c>
      <c r="C23" t="s">
        <v>464</v>
      </c>
      <c r="D23">
        <v>3105</v>
      </c>
      <c r="E23" t="s">
        <v>259</v>
      </c>
      <c r="M23" s="222" t="s">
        <v>464</v>
      </c>
      <c r="N23" s="223">
        <v>2296</v>
      </c>
      <c r="O23" s="223">
        <v>2255</v>
      </c>
      <c r="P23" s="223">
        <v>2263</v>
      </c>
      <c r="Q23" s="223">
        <v>3718</v>
      </c>
      <c r="R23" s="223">
        <v>3792</v>
      </c>
      <c r="S23" s="223">
        <v>3028</v>
      </c>
      <c r="T23" s="223">
        <v>3084</v>
      </c>
      <c r="U23" s="223">
        <v>3042</v>
      </c>
      <c r="V23" s="223">
        <v>2379</v>
      </c>
      <c r="W23" s="223">
        <v>2327</v>
      </c>
      <c r="X23" s="223">
        <v>2293</v>
      </c>
      <c r="Y23" s="223">
        <v>2321</v>
      </c>
      <c r="Z23" s="223">
        <v>32798</v>
      </c>
    </row>
    <row r="24" spans="1:26">
      <c r="A24" s="216">
        <v>45170</v>
      </c>
      <c r="B24" t="s">
        <v>42</v>
      </c>
      <c r="C24" t="s">
        <v>464</v>
      </c>
      <c r="D24">
        <v>3105</v>
      </c>
      <c r="E24" t="s">
        <v>260</v>
      </c>
      <c r="M24" s="222" t="s">
        <v>463</v>
      </c>
      <c r="N24" s="223">
        <v>49127</v>
      </c>
      <c r="O24" s="223">
        <v>48931</v>
      </c>
      <c r="P24" s="223">
        <v>49021</v>
      </c>
      <c r="Q24" s="223">
        <v>48146</v>
      </c>
      <c r="R24" s="223">
        <v>50354</v>
      </c>
      <c r="S24" s="223">
        <v>59421</v>
      </c>
      <c r="T24" s="223">
        <v>54811</v>
      </c>
      <c r="U24" s="223">
        <v>50779</v>
      </c>
      <c r="V24" s="223">
        <v>49640</v>
      </c>
      <c r="W24" s="223">
        <v>49874</v>
      </c>
      <c r="X24" s="223">
        <v>49493</v>
      </c>
      <c r="Y24" s="223">
        <v>49266</v>
      </c>
      <c r="Z24" s="223">
        <v>608863</v>
      </c>
    </row>
    <row r="25" spans="1:26">
      <c r="A25" s="216">
        <v>45170</v>
      </c>
      <c r="B25" t="s">
        <v>42</v>
      </c>
      <c r="C25" t="s">
        <v>464</v>
      </c>
      <c r="D25">
        <v>3105</v>
      </c>
      <c r="E25" t="s">
        <v>261</v>
      </c>
      <c r="M25" s="221" t="s">
        <v>53</v>
      </c>
      <c r="N25" s="223">
        <v>29184.552</v>
      </c>
      <c r="O25" s="223">
        <v>29195.659</v>
      </c>
      <c r="P25" s="223">
        <v>29151.255000000001</v>
      </c>
      <c r="Q25" s="223">
        <v>25804.611177216</v>
      </c>
      <c r="R25" s="223">
        <v>24946.74942</v>
      </c>
      <c r="S25" s="223">
        <v>27898.531169999998</v>
      </c>
      <c r="T25" s="223">
        <v>27066.234489999999</v>
      </c>
      <c r="U25" s="223">
        <v>27840.166649999999</v>
      </c>
      <c r="V25" s="223">
        <v>28056.738719999998</v>
      </c>
      <c r="W25" s="223">
        <v>34698.230000000003</v>
      </c>
      <c r="X25" s="223">
        <v>29189.46</v>
      </c>
      <c r="Y25" s="223">
        <v>29186.564999999999</v>
      </c>
      <c r="Z25" s="223">
        <v>342218.75262721599</v>
      </c>
    </row>
    <row r="26" spans="1:26">
      <c r="A26" s="216">
        <v>45170</v>
      </c>
      <c r="B26" t="s">
        <v>42</v>
      </c>
      <c r="C26" t="s">
        <v>464</v>
      </c>
      <c r="D26">
        <v>3105</v>
      </c>
      <c r="E26" t="s">
        <v>262</v>
      </c>
      <c r="M26" s="222" t="s">
        <v>464</v>
      </c>
      <c r="N26" s="223">
        <v>75</v>
      </c>
      <c r="O26" s="223">
        <v>75</v>
      </c>
      <c r="P26" s="223">
        <v>75</v>
      </c>
      <c r="Q26" s="223">
        <v>73.047897215999996</v>
      </c>
      <c r="R26" s="223">
        <v>79.861999999999995</v>
      </c>
      <c r="S26" s="223">
        <v>95.816000000000003</v>
      </c>
      <c r="T26" s="223">
        <v>89.563000000000002</v>
      </c>
      <c r="U26" s="223">
        <v>82.367999999999995</v>
      </c>
      <c r="V26" s="223">
        <v>99.96</v>
      </c>
      <c r="W26" s="223">
        <v>75</v>
      </c>
      <c r="X26" s="223">
        <v>75</v>
      </c>
      <c r="Y26" s="223">
        <v>75</v>
      </c>
      <c r="Z26" s="223">
        <v>970.61689721599998</v>
      </c>
    </row>
    <row r="27" spans="1:26">
      <c r="A27" s="216">
        <v>45170</v>
      </c>
      <c r="B27" t="s">
        <v>42</v>
      </c>
      <c r="C27" t="s">
        <v>464</v>
      </c>
      <c r="D27">
        <v>43631</v>
      </c>
      <c r="E27" t="s">
        <v>434</v>
      </c>
      <c r="M27" s="222" t="s">
        <v>463</v>
      </c>
      <c r="N27" s="223">
        <v>29109.552</v>
      </c>
      <c r="O27" s="223">
        <v>29120.659</v>
      </c>
      <c r="P27" s="223">
        <v>29076.255000000001</v>
      </c>
      <c r="Q27" s="223">
        <v>25731.563279999998</v>
      </c>
      <c r="R27" s="223">
        <v>24866.887419999999</v>
      </c>
      <c r="S27" s="223">
        <v>27802.715169999999</v>
      </c>
      <c r="T27" s="223">
        <v>26976.671490000001</v>
      </c>
      <c r="U27" s="223">
        <v>27757.798650000001</v>
      </c>
      <c r="V27" s="223">
        <v>27956.778719999998</v>
      </c>
      <c r="W27" s="223">
        <v>34623.230000000003</v>
      </c>
      <c r="X27" s="223">
        <v>29114.46</v>
      </c>
      <c r="Y27" s="223">
        <v>29111.564999999999</v>
      </c>
      <c r="Z27" s="223">
        <v>341248.13572999998</v>
      </c>
    </row>
    <row r="28" spans="1:26">
      <c r="A28" s="216">
        <v>45170</v>
      </c>
      <c r="B28" t="s">
        <v>43</v>
      </c>
      <c r="C28" t="s">
        <v>463</v>
      </c>
      <c r="D28">
        <v>83193</v>
      </c>
      <c r="E28" t="s">
        <v>251</v>
      </c>
      <c r="M28" s="221" t="s">
        <v>47</v>
      </c>
      <c r="N28" s="223">
        <v>10355</v>
      </c>
      <c r="O28" s="223">
        <v>10345</v>
      </c>
      <c r="P28" s="223">
        <v>10589</v>
      </c>
      <c r="Q28" s="223">
        <v>9578</v>
      </c>
      <c r="R28" s="223">
        <v>10236</v>
      </c>
      <c r="S28" s="223">
        <v>12009</v>
      </c>
      <c r="T28" s="223">
        <v>11379</v>
      </c>
      <c r="U28" s="223">
        <v>10163</v>
      </c>
      <c r="V28" s="223">
        <v>10281</v>
      </c>
      <c r="W28" s="223">
        <v>10378</v>
      </c>
      <c r="X28" s="223">
        <v>10355</v>
      </c>
      <c r="Y28" s="223">
        <v>10355</v>
      </c>
      <c r="Z28" s="223">
        <v>126023</v>
      </c>
    </row>
    <row r="29" spans="1:26">
      <c r="A29" s="216">
        <v>45170</v>
      </c>
      <c r="B29" t="s">
        <v>43</v>
      </c>
      <c r="C29" t="s">
        <v>463</v>
      </c>
      <c r="D29">
        <v>88093</v>
      </c>
      <c r="E29" t="s">
        <v>252</v>
      </c>
      <c r="M29" s="222" t="s">
        <v>464</v>
      </c>
      <c r="N29" s="223">
        <v>1043</v>
      </c>
      <c r="O29" s="223">
        <v>1043</v>
      </c>
      <c r="P29" s="223">
        <v>1043</v>
      </c>
      <c r="Q29" s="223">
        <v>902</v>
      </c>
      <c r="R29" s="223">
        <v>1165</v>
      </c>
      <c r="S29" s="223">
        <v>989</v>
      </c>
      <c r="T29" s="223">
        <v>1111</v>
      </c>
      <c r="U29" s="223">
        <v>1062</v>
      </c>
      <c r="V29" s="223">
        <v>1026</v>
      </c>
      <c r="W29" s="223">
        <v>1043</v>
      </c>
      <c r="X29" s="223">
        <v>1043</v>
      </c>
      <c r="Y29" s="223">
        <v>1043</v>
      </c>
      <c r="Z29" s="223">
        <v>12513</v>
      </c>
    </row>
    <row r="30" spans="1:26">
      <c r="A30" s="216">
        <v>45170</v>
      </c>
      <c r="B30" t="s">
        <v>43</v>
      </c>
      <c r="C30" t="s">
        <v>463</v>
      </c>
      <c r="D30">
        <v>105880</v>
      </c>
      <c r="E30" t="s">
        <v>253</v>
      </c>
      <c r="M30" s="222" t="s">
        <v>463</v>
      </c>
      <c r="N30" s="223">
        <v>9312</v>
      </c>
      <c r="O30" s="223">
        <v>9302</v>
      </c>
      <c r="P30" s="223">
        <v>9546</v>
      </c>
      <c r="Q30" s="223">
        <v>8676</v>
      </c>
      <c r="R30" s="223">
        <v>9071</v>
      </c>
      <c r="S30" s="223">
        <v>11020</v>
      </c>
      <c r="T30" s="223">
        <v>10268</v>
      </c>
      <c r="U30" s="223">
        <v>9101</v>
      </c>
      <c r="V30" s="223">
        <v>9255</v>
      </c>
      <c r="W30" s="223">
        <v>9335</v>
      </c>
      <c r="X30" s="223">
        <v>9312</v>
      </c>
      <c r="Y30" s="223">
        <v>9312</v>
      </c>
      <c r="Z30" s="223">
        <v>113510</v>
      </c>
    </row>
    <row r="31" spans="1:26">
      <c r="A31" s="216">
        <v>45170</v>
      </c>
      <c r="B31" t="s">
        <v>43</v>
      </c>
      <c r="C31" t="s">
        <v>463</v>
      </c>
      <c r="D31">
        <v>99227</v>
      </c>
      <c r="E31" t="s">
        <v>254</v>
      </c>
      <c r="M31" s="221" t="s">
        <v>48</v>
      </c>
      <c r="N31" s="223">
        <v>11911.8228733333</v>
      </c>
      <c r="O31" s="223">
        <v>11889.9799733333</v>
      </c>
      <c r="P31" s="223">
        <v>12276.9799733333</v>
      </c>
      <c r="Q31" s="223">
        <v>10429</v>
      </c>
      <c r="R31" s="223">
        <v>10865</v>
      </c>
      <c r="S31" s="223">
        <v>13952</v>
      </c>
      <c r="T31" s="223">
        <v>12660</v>
      </c>
      <c r="U31" s="223">
        <v>11880</v>
      </c>
      <c r="V31" s="223">
        <v>11464</v>
      </c>
      <c r="W31" s="223">
        <v>11819.233530000001</v>
      </c>
      <c r="X31" s="223">
        <v>11871.178446666701</v>
      </c>
      <c r="Y31" s="223">
        <v>11889.8779566667</v>
      </c>
      <c r="Z31" s="223">
        <v>142909.07275333302</v>
      </c>
    </row>
    <row r="32" spans="1:26">
      <c r="A32" s="216">
        <v>45170</v>
      </c>
      <c r="B32" t="s">
        <v>43</v>
      </c>
      <c r="C32" t="s">
        <v>463</v>
      </c>
      <c r="D32">
        <v>90479</v>
      </c>
      <c r="E32" t="s">
        <v>255</v>
      </c>
      <c r="M32" s="222" t="s">
        <v>464</v>
      </c>
      <c r="N32" s="223">
        <v>278.2</v>
      </c>
      <c r="O32" s="223">
        <v>278.2</v>
      </c>
      <c r="P32" s="223">
        <v>278.2</v>
      </c>
      <c r="Q32" s="223">
        <v>278</v>
      </c>
      <c r="R32" s="223">
        <v>308</v>
      </c>
      <c r="S32" s="223">
        <v>262</v>
      </c>
      <c r="T32" s="223">
        <v>311</v>
      </c>
      <c r="U32" s="223">
        <v>310</v>
      </c>
      <c r="V32" s="223">
        <v>203</v>
      </c>
      <c r="W32" s="223">
        <v>278.2</v>
      </c>
      <c r="X32" s="223">
        <v>278.2</v>
      </c>
      <c r="Y32" s="223">
        <v>278.2</v>
      </c>
      <c r="Z32" s="223">
        <v>3341.2</v>
      </c>
    </row>
    <row r="33" spans="1:26">
      <c r="A33" s="216">
        <v>45170</v>
      </c>
      <c r="B33" t="s">
        <v>43</v>
      </c>
      <c r="C33" t="s">
        <v>463</v>
      </c>
      <c r="D33">
        <v>89484</v>
      </c>
      <c r="E33" t="s">
        <v>256</v>
      </c>
      <c r="M33" s="222" t="s">
        <v>463</v>
      </c>
      <c r="N33" s="223">
        <v>11633.622873333299</v>
      </c>
      <c r="O33" s="223">
        <v>11611.779973333299</v>
      </c>
      <c r="P33" s="223">
        <v>11998.779973333299</v>
      </c>
      <c r="Q33" s="223">
        <v>10151</v>
      </c>
      <c r="R33" s="223">
        <v>10557</v>
      </c>
      <c r="S33" s="223">
        <v>13690</v>
      </c>
      <c r="T33" s="223">
        <v>12349</v>
      </c>
      <c r="U33" s="223">
        <v>11570</v>
      </c>
      <c r="V33" s="223">
        <v>11261</v>
      </c>
      <c r="W33" s="223">
        <v>11541.033530000001</v>
      </c>
      <c r="X33" s="223">
        <v>11592.978446666701</v>
      </c>
      <c r="Y33" s="223">
        <v>11611.677956666699</v>
      </c>
      <c r="Z33" s="223">
        <v>139567.87275333301</v>
      </c>
    </row>
    <row r="34" spans="1:26">
      <c r="A34" s="216">
        <v>45170</v>
      </c>
      <c r="B34" t="s">
        <v>43</v>
      </c>
      <c r="C34" t="s">
        <v>463</v>
      </c>
      <c r="D34">
        <v>90324</v>
      </c>
      <c r="E34" t="s">
        <v>257</v>
      </c>
      <c r="M34" s="221" t="s">
        <v>3</v>
      </c>
      <c r="N34" s="223">
        <v>63984.216886666669</v>
      </c>
      <c r="O34" s="223">
        <v>63787.054886666672</v>
      </c>
      <c r="P34" s="223">
        <v>63920.226886666671</v>
      </c>
      <c r="Q34" s="223">
        <v>58755.230409999996</v>
      </c>
      <c r="R34" s="223">
        <v>63122.80906</v>
      </c>
      <c r="S34" s="223">
        <v>75685.538860000001</v>
      </c>
      <c r="T34" s="223">
        <v>76132.264970000004</v>
      </c>
      <c r="U34" s="223">
        <v>63993.920960000003</v>
      </c>
      <c r="V34" s="223">
        <v>63193.711900000002</v>
      </c>
      <c r="W34" s="223">
        <v>63517.121886666668</v>
      </c>
      <c r="X34" s="223">
        <v>63641.360886666669</v>
      </c>
      <c r="Y34" s="223">
        <v>63638.56388666667</v>
      </c>
      <c r="Z34" s="223">
        <v>783372.02148</v>
      </c>
    </row>
    <row r="35" spans="1:26">
      <c r="A35" s="216">
        <v>45170</v>
      </c>
      <c r="B35" t="s">
        <v>43</v>
      </c>
      <c r="C35" t="s">
        <v>463</v>
      </c>
      <c r="D35">
        <v>90389</v>
      </c>
      <c r="E35" t="s">
        <v>258</v>
      </c>
      <c r="M35" s="222" t="s">
        <v>464</v>
      </c>
      <c r="N35" s="223">
        <v>3263.5448866666702</v>
      </c>
      <c r="O35" s="223">
        <v>3263.5448866666702</v>
      </c>
      <c r="P35" s="223">
        <v>3263.5448866666702</v>
      </c>
      <c r="Q35" s="223">
        <v>3315.4850799999999</v>
      </c>
      <c r="R35" s="223">
        <v>3533.2210599999999</v>
      </c>
      <c r="S35" s="223">
        <v>3713.58365</v>
      </c>
      <c r="T35" s="223">
        <v>3342.4333499999998</v>
      </c>
      <c r="U35" s="223">
        <v>3204.3601800000001</v>
      </c>
      <c r="V35" s="223">
        <v>2472.1860000000001</v>
      </c>
      <c r="W35" s="223">
        <v>3263.5448866666702</v>
      </c>
      <c r="X35" s="223">
        <v>3263.5448866666702</v>
      </c>
      <c r="Y35" s="223">
        <v>3263.5448866666702</v>
      </c>
      <c r="Z35" s="223">
        <v>39162.538639999999</v>
      </c>
    </row>
    <row r="36" spans="1:26">
      <c r="A36" s="216">
        <v>45170</v>
      </c>
      <c r="B36" t="s">
        <v>43</v>
      </c>
      <c r="C36" t="s">
        <v>463</v>
      </c>
      <c r="D36">
        <v>90364</v>
      </c>
      <c r="E36" t="s">
        <v>259</v>
      </c>
      <c r="M36" s="222" t="s">
        <v>463</v>
      </c>
      <c r="N36" s="223">
        <v>60720.671999999999</v>
      </c>
      <c r="O36" s="223">
        <v>60523.51</v>
      </c>
      <c r="P36" s="223">
        <v>60656.682000000001</v>
      </c>
      <c r="Q36" s="223">
        <v>55439.745329999998</v>
      </c>
      <c r="R36" s="223">
        <v>59589.588000000003</v>
      </c>
      <c r="S36" s="223">
        <v>71971.95521</v>
      </c>
      <c r="T36" s="223">
        <v>72789.831619999997</v>
      </c>
      <c r="U36" s="223">
        <v>60789.56078</v>
      </c>
      <c r="V36" s="223">
        <v>60721.525900000001</v>
      </c>
      <c r="W36" s="223">
        <v>60253.576999999997</v>
      </c>
      <c r="X36" s="223">
        <v>60377.815999999999</v>
      </c>
      <c r="Y36" s="223">
        <v>60375.019</v>
      </c>
      <c r="Z36" s="223">
        <v>744209.48283999995</v>
      </c>
    </row>
    <row r="37" spans="1:26">
      <c r="A37" s="216">
        <v>45170</v>
      </c>
      <c r="B37" t="s">
        <v>43</v>
      </c>
      <c r="C37" t="s">
        <v>463</v>
      </c>
      <c r="D37">
        <v>90687</v>
      </c>
      <c r="E37" t="s">
        <v>260</v>
      </c>
      <c r="M37" s="221" t="s">
        <v>49</v>
      </c>
      <c r="N37" s="223">
        <v>7078.9874300000001</v>
      </c>
      <c r="O37" s="223">
        <v>7063.9384300000002</v>
      </c>
      <c r="P37" s="223">
        <v>7062.9874300000001</v>
      </c>
      <c r="Q37" s="223">
        <v>6416.4592899999998</v>
      </c>
      <c r="R37" s="223">
        <v>6752.0629899999994</v>
      </c>
      <c r="S37" s="223">
        <v>8063.8137200000001</v>
      </c>
      <c r="T37" s="223">
        <v>7791.12021</v>
      </c>
      <c r="U37" s="223">
        <v>6910.7954</v>
      </c>
      <c r="V37" s="223">
        <v>7209.9018599999999</v>
      </c>
      <c r="W37" s="223">
        <v>7039.4898299999995</v>
      </c>
      <c r="X37" s="223">
        <v>7066.4668300000003</v>
      </c>
      <c r="Y37" s="223">
        <v>7085.5148300000001</v>
      </c>
      <c r="Z37" s="223">
        <v>85541.538249999998</v>
      </c>
    </row>
    <row r="38" spans="1:26">
      <c r="A38" s="216">
        <v>45170</v>
      </c>
      <c r="B38" t="s">
        <v>43</v>
      </c>
      <c r="C38" t="s">
        <v>463</v>
      </c>
      <c r="D38">
        <v>90517</v>
      </c>
      <c r="E38" t="s">
        <v>261</v>
      </c>
      <c r="M38" s="222" t="s">
        <v>464</v>
      </c>
      <c r="N38" s="223">
        <v>50.802999999999997</v>
      </c>
      <c r="O38" s="223">
        <v>30.754000000000001</v>
      </c>
      <c r="P38" s="223">
        <v>29.803000000000001</v>
      </c>
      <c r="Q38" s="223">
        <v>88.052310000000006</v>
      </c>
      <c r="R38" s="223">
        <v>76.650000000000006</v>
      </c>
      <c r="S38" s="223">
        <v>86.015000000000001</v>
      </c>
      <c r="T38" s="223">
        <v>74.769599999999997</v>
      </c>
      <c r="U38" s="223">
        <v>109.1327</v>
      </c>
      <c r="V38" s="223">
        <v>117.3</v>
      </c>
      <c r="W38" s="223">
        <v>96.330399999999997</v>
      </c>
      <c r="X38" s="223">
        <v>93.281400000000005</v>
      </c>
      <c r="Y38" s="223">
        <v>87.330399999999997</v>
      </c>
      <c r="Z38" s="223">
        <v>940.22181</v>
      </c>
    </row>
    <row r="39" spans="1:26">
      <c r="A39" s="216">
        <v>45170</v>
      </c>
      <c r="B39" t="s">
        <v>43</v>
      </c>
      <c r="C39" t="s">
        <v>463</v>
      </c>
      <c r="D39">
        <v>90381</v>
      </c>
      <c r="E39" t="s">
        <v>262</v>
      </c>
      <c r="M39" s="222" t="s">
        <v>463</v>
      </c>
      <c r="N39" s="223">
        <v>7028.1844300000002</v>
      </c>
      <c r="O39" s="223">
        <v>7033.1844300000002</v>
      </c>
      <c r="P39" s="223">
        <v>7033.1844300000002</v>
      </c>
      <c r="Q39" s="223">
        <v>6328.4069799999997</v>
      </c>
      <c r="R39" s="223">
        <v>6675.4129899999998</v>
      </c>
      <c r="S39" s="223">
        <v>7977.7987199999998</v>
      </c>
      <c r="T39" s="223">
        <v>7716.3506100000004</v>
      </c>
      <c r="U39" s="223">
        <v>6801.6626999999999</v>
      </c>
      <c r="V39" s="223">
        <v>7092.6018599999998</v>
      </c>
      <c r="W39" s="223">
        <v>6943.1594299999997</v>
      </c>
      <c r="X39" s="223">
        <v>6973.1854300000005</v>
      </c>
      <c r="Y39" s="223">
        <v>6998.1844300000002</v>
      </c>
      <c r="Z39" s="223">
        <v>84601.316439999995</v>
      </c>
    </row>
    <row r="40" spans="1:26">
      <c r="A40" s="216">
        <v>45170</v>
      </c>
      <c r="B40" t="s">
        <v>43</v>
      </c>
      <c r="C40" t="s">
        <v>463</v>
      </c>
      <c r="D40">
        <v>1099018</v>
      </c>
      <c r="E40" t="s">
        <v>434</v>
      </c>
      <c r="M40" s="221" t="s">
        <v>50</v>
      </c>
      <c r="N40" s="223">
        <v>17775</v>
      </c>
      <c r="O40" s="223">
        <v>17775</v>
      </c>
      <c r="P40" s="223">
        <v>17775</v>
      </c>
      <c r="Q40" s="223">
        <v>15886</v>
      </c>
      <c r="R40" s="223">
        <v>17005</v>
      </c>
      <c r="S40" s="223">
        <v>20969</v>
      </c>
      <c r="T40" s="223">
        <v>19004</v>
      </c>
      <c r="U40" s="223">
        <v>16840</v>
      </c>
      <c r="V40" s="223">
        <v>16877</v>
      </c>
      <c r="W40" s="223">
        <v>17774</v>
      </c>
      <c r="X40" s="223">
        <v>17774</v>
      </c>
      <c r="Y40" s="223">
        <v>17774</v>
      </c>
      <c r="Z40" s="223">
        <v>213228</v>
      </c>
    </row>
    <row r="41" spans="1:26">
      <c r="A41" s="216">
        <v>45170</v>
      </c>
      <c r="B41" t="s">
        <v>43</v>
      </c>
      <c r="C41" t="s">
        <v>464</v>
      </c>
      <c r="D41">
        <v>5771.1480000000001</v>
      </c>
      <c r="E41" t="s">
        <v>251</v>
      </c>
      <c r="M41" s="222" t="s">
        <v>464</v>
      </c>
      <c r="N41" s="223">
        <v>58</v>
      </c>
      <c r="O41" s="223">
        <v>58</v>
      </c>
      <c r="P41" s="223">
        <v>58</v>
      </c>
      <c r="Q41" s="223">
        <v>100</v>
      </c>
      <c r="R41" s="223">
        <v>107</v>
      </c>
      <c r="S41" s="223">
        <v>62</v>
      </c>
      <c r="T41" s="223">
        <v>59</v>
      </c>
      <c r="U41" s="223">
        <v>51</v>
      </c>
      <c r="V41" s="223">
        <v>70</v>
      </c>
      <c r="W41" s="223">
        <v>58</v>
      </c>
      <c r="X41" s="223">
        <v>58</v>
      </c>
      <c r="Y41" s="223">
        <v>58</v>
      </c>
      <c r="Z41" s="223">
        <v>797</v>
      </c>
    </row>
    <row r="42" spans="1:26">
      <c r="A42" s="216">
        <v>45170</v>
      </c>
      <c r="B42" t="s">
        <v>43</v>
      </c>
      <c r="C42" t="s">
        <v>464</v>
      </c>
      <c r="D42">
        <v>6721</v>
      </c>
      <c r="E42" t="s">
        <v>252</v>
      </c>
      <c r="M42" s="222" t="s">
        <v>463</v>
      </c>
      <c r="N42" s="223">
        <v>17717</v>
      </c>
      <c r="O42" s="223">
        <v>17717</v>
      </c>
      <c r="P42" s="223">
        <v>17717</v>
      </c>
      <c r="Q42" s="223">
        <v>15786</v>
      </c>
      <c r="R42" s="223">
        <v>16898</v>
      </c>
      <c r="S42" s="223">
        <v>20907</v>
      </c>
      <c r="T42" s="223">
        <v>18945</v>
      </c>
      <c r="U42" s="223">
        <v>16789</v>
      </c>
      <c r="V42" s="223">
        <v>16807</v>
      </c>
      <c r="W42" s="223">
        <v>17716</v>
      </c>
      <c r="X42" s="223">
        <v>17716</v>
      </c>
      <c r="Y42" s="223">
        <v>17716</v>
      </c>
      <c r="Z42" s="223">
        <v>212431</v>
      </c>
    </row>
    <row r="43" spans="1:26">
      <c r="A43" s="216">
        <v>45170</v>
      </c>
      <c r="B43" t="s">
        <v>43</v>
      </c>
      <c r="C43" t="s">
        <v>464</v>
      </c>
      <c r="D43">
        <v>6972</v>
      </c>
      <c r="E43" t="s">
        <v>253</v>
      </c>
      <c r="M43" s="221" t="s">
        <v>461</v>
      </c>
      <c r="N43" s="223">
        <v>653.84900000000005</v>
      </c>
      <c r="O43" s="223">
        <v>653.84900000000005</v>
      </c>
      <c r="P43" s="223">
        <v>653.84900000000005</v>
      </c>
      <c r="Q43" s="223">
        <v>598</v>
      </c>
      <c r="R43" s="223">
        <v>934</v>
      </c>
      <c r="S43" s="223">
        <v>402.65499999999997</v>
      </c>
      <c r="T43" s="223">
        <v>722.71699999999998</v>
      </c>
      <c r="U43" s="223">
        <v>615</v>
      </c>
      <c r="V43" s="223">
        <v>611.63499999999999</v>
      </c>
      <c r="W43" s="223">
        <v>653.84900000000005</v>
      </c>
      <c r="X43" s="223">
        <v>653.84900000000005</v>
      </c>
      <c r="Y43" s="223">
        <v>653.84900000000005</v>
      </c>
      <c r="Z43" s="223">
        <v>7807.1009999999997</v>
      </c>
    </row>
    <row r="44" spans="1:26">
      <c r="A44" s="216">
        <v>45170</v>
      </c>
      <c r="B44" t="s">
        <v>43</v>
      </c>
      <c r="C44" t="s">
        <v>464</v>
      </c>
      <c r="D44">
        <v>6810</v>
      </c>
      <c r="E44" t="s">
        <v>254</v>
      </c>
      <c r="M44" s="222" t="s">
        <v>464</v>
      </c>
      <c r="N44" s="223">
        <v>0</v>
      </c>
      <c r="O44" s="223">
        <v>0</v>
      </c>
      <c r="P44" s="223">
        <v>0</v>
      </c>
      <c r="Q44" s="223">
        <v>0</v>
      </c>
      <c r="R44" s="223">
        <v>0</v>
      </c>
      <c r="S44" s="223">
        <v>0</v>
      </c>
      <c r="T44" s="223">
        <v>0</v>
      </c>
      <c r="U44" s="223">
        <v>0</v>
      </c>
      <c r="V44" s="223">
        <v>0</v>
      </c>
      <c r="W44" s="223">
        <v>0</v>
      </c>
      <c r="X44" s="223">
        <v>0</v>
      </c>
      <c r="Y44" s="223">
        <v>0</v>
      </c>
      <c r="Z44" s="223">
        <v>0</v>
      </c>
    </row>
    <row r="45" spans="1:26">
      <c r="A45" s="216">
        <v>45170</v>
      </c>
      <c r="B45" t="s">
        <v>43</v>
      </c>
      <c r="C45" t="s">
        <v>464</v>
      </c>
      <c r="D45">
        <v>7015</v>
      </c>
      <c r="E45" t="s">
        <v>255</v>
      </c>
      <c r="M45" s="222" t="s">
        <v>463</v>
      </c>
      <c r="N45" s="223">
        <v>653.84900000000005</v>
      </c>
      <c r="O45" s="223">
        <v>653.84900000000005</v>
      </c>
      <c r="P45" s="223">
        <v>653.84900000000005</v>
      </c>
      <c r="Q45" s="223">
        <v>598</v>
      </c>
      <c r="R45" s="223">
        <v>934</v>
      </c>
      <c r="S45" s="223">
        <v>402.65499999999997</v>
      </c>
      <c r="T45" s="223">
        <v>722.71699999999998</v>
      </c>
      <c r="U45" s="223">
        <v>615</v>
      </c>
      <c r="V45" s="223">
        <v>611.63499999999999</v>
      </c>
      <c r="W45" s="223">
        <v>653.84900000000005</v>
      </c>
      <c r="X45" s="223">
        <v>653.84900000000005</v>
      </c>
      <c r="Y45" s="223">
        <v>653.84900000000005</v>
      </c>
      <c r="Z45" s="223">
        <v>7807.1009999999997</v>
      </c>
    </row>
    <row r="46" spans="1:26">
      <c r="A46" s="216">
        <v>45170</v>
      </c>
      <c r="B46" t="s">
        <v>43</v>
      </c>
      <c r="C46" t="s">
        <v>464</v>
      </c>
      <c r="D46">
        <v>5737</v>
      </c>
      <c r="E46" t="s">
        <v>256</v>
      </c>
      <c r="M46" s="220" t="s">
        <v>131</v>
      </c>
      <c r="N46" s="223">
        <v>503964.42819000001</v>
      </c>
      <c r="O46" s="223">
        <v>505645.48129000003</v>
      </c>
      <c r="P46" s="223">
        <v>504983.29829000006</v>
      </c>
      <c r="Q46" s="223">
        <v>471621.44887721597</v>
      </c>
      <c r="R46" s="223">
        <v>491789.75331</v>
      </c>
      <c r="S46" s="223">
        <v>580046.53874999995</v>
      </c>
      <c r="T46" s="223">
        <v>554610.33666999987</v>
      </c>
      <c r="U46" s="223">
        <v>503571.88301000005</v>
      </c>
      <c r="V46" s="223">
        <v>496303.91748</v>
      </c>
      <c r="W46" s="223">
        <v>512014.35281809524</v>
      </c>
      <c r="X46" s="223">
        <v>503428.31516333332</v>
      </c>
      <c r="Y46" s="223">
        <v>503241.37067333335</v>
      </c>
      <c r="Z46" s="223">
        <v>6131221.1245219782</v>
      </c>
    </row>
    <row r="47" spans="1:26">
      <c r="A47" s="216">
        <v>45170</v>
      </c>
      <c r="B47" t="s">
        <v>43</v>
      </c>
      <c r="C47" t="s">
        <v>464</v>
      </c>
      <c r="D47">
        <v>5787</v>
      </c>
      <c r="E47" t="s">
        <v>257</v>
      </c>
    </row>
    <row r="48" spans="1:26">
      <c r="A48" s="216">
        <v>45170</v>
      </c>
      <c r="B48" t="s">
        <v>43</v>
      </c>
      <c r="C48" t="s">
        <v>464</v>
      </c>
      <c r="D48">
        <v>5756</v>
      </c>
      <c r="E48" t="s">
        <v>258</v>
      </c>
    </row>
    <row r="49" spans="1:5">
      <c r="A49" s="216">
        <v>45170</v>
      </c>
      <c r="B49" t="s">
        <v>43</v>
      </c>
      <c r="C49" t="s">
        <v>464</v>
      </c>
      <c r="D49">
        <v>5786</v>
      </c>
      <c r="E49" t="s">
        <v>259</v>
      </c>
    </row>
    <row r="50" spans="1:5">
      <c r="A50" s="216">
        <v>45170</v>
      </c>
      <c r="B50" t="s">
        <v>43</v>
      </c>
      <c r="C50" t="s">
        <v>464</v>
      </c>
      <c r="D50">
        <v>5688</v>
      </c>
      <c r="E50" t="s">
        <v>260</v>
      </c>
    </row>
    <row r="51" spans="1:5">
      <c r="A51" s="216">
        <v>45170</v>
      </c>
      <c r="B51" t="s">
        <v>43</v>
      </c>
      <c r="C51" t="s">
        <v>464</v>
      </c>
      <c r="D51">
        <v>5655</v>
      </c>
      <c r="E51" t="s">
        <v>261</v>
      </c>
    </row>
    <row r="52" spans="1:5">
      <c r="A52" s="216">
        <v>45170</v>
      </c>
      <c r="B52" t="s">
        <v>43</v>
      </c>
      <c r="C52" t="s">
        <v>464</v>
      </c>
      <c r="D52">
        <v>5675</v>
      </c>
      <c r="E52" t="s">
        <v>262</v>
      </c>
    </row>
    <row r="53" spans="1:5">
      <c r="A53" s="216">
        <v>45170</v>
      </c>
      <c r="B53" t="s">
        <v>43</v>
      </c>
      <c r="C53" t="s">
        <v>464</v>
      </c>
      <c r="D53">
        <v>73373.148000000001</v>
      </c>
      <c r="E53" t="s">
        <v>434</v>
      </c>
    </row>
    <row r="54" spans="1:5">
      <c r="A54" s="216">
        <v>45170</v>
      </c>
      <c r="B54" t="s">
        <v>44</v>
      </c>
      <c r="C54" t="s">
        <v>463</v>
      </c>
      <c r="D54">
        <v>69542</v>
      </c>
      <c r="E54" t="s">
        <v>251</v>
      </c>
    </row>
    <row r="55" spans="1:5">
      <c r="A55" s="216">
        <v>45170</v>
      </c>
      <c r="B55" t="s">
        <v>44</v>
      </c>
      <c r="C55" t="s">
        <v>463</v>
      </c>
      <c r="D55">
        <v>72242</v>
      </c>
      <c r="E55" t="s">
        <v>252</v>
      </c>
    </row>
    <row r="56" spans="1:5">
      <c r="A56" s="216">
        <v>45170</v>
      </c>
      <c r="B56" t="s">
        <v>44</v>
      </c>
      <c r="C56" t="s">
        <v>463</v>
      </c>
      <c r="D56">
        <v>85322</v>
      </c>
      <c r="E56" t="s">
        <v>253</v>
      </c>
    </row>
    <row r="57" spans="1:5">
      <c r="A57" s="216">
        <v>45170</v>
      </c>
      <c r="B57" t="s">
        <v>44</v>
      </c>
      <c r="C57" t="s">
        <v>463</v>
      </c>
      <c r="D57">
        <v>81380</v>
      </c>
      <c r="E57" t="s">
        <v>254</v>
      </c>
    </row>
    <row r="58" spans="1:5">
      <c r="A58" s="216">
        <v>45170</v>
      </c>
      <c r="B58" t="s">
        <v>44</v>
      </c>
      <c r="C58" t="s">
        <v>463</v>
      </c>
      <c r="D58">
        <v>73724</v>
      </c>
      <c r="E58" t="s">
        <v>255</v>
      </c>
    </row>
    <row r="59" spans="1:5">
      <c r="A59" s="216">
        <v>45170</v>
      </c>
      <c r="B59" t="s">
        <v>44</v>
      </c>
      <c r="C59" t="s">
        <v>463</v>
      </c>
      <c r="D59">
        <v>73543</v>
      </c>
      <c r="E59" t="s">
        <v>256</v>
      </c>
    </row>
    <row r="60" spans="1:5">
      <c r="A60" s="216">
        <v>45170</v>
      </c>
      <c r="B60" t="s">
        <v>44</v>
      </c>
      <c r="C60" t="s">
        <v>463</v>
      </c>
      <c r="D60">
        <v>73764.428571428594</v>
      </c>
      <c r="E60" t="s">
        <v>257</v>
      </c>
    </row>
    <row r="61" spans="1:5">
      <c r="A61" s="216">
        <v>45170</v>
      </c>
      <c r="B61" t="s">
        <v>44</v>
      </c>
      <c r="C61" t="s">
        <v>463</v>
      </c>
      <c r="D61">
        <v>73612</v>
      </c>
      <c r="E61" t="s">
        <v>258</v>
      </c>
    </row>
    <row r="62" spans="1:5">
      <c r="A62" s="216">
        <v>45170</v>
      </c>
      <c r="B62" t="s">
        <v>44</v>
      </c>
      <c r="C62" t="s">
        <v>463</v>
      </c>
      <c r="D62">
        <v>73627</v>
      </c>
      <c r="E62" t="s">
        <v>259</v>
      </c>
    </row>
    <row r="63" spans="1:5">
      <c r="A63" s="216">
        <v>45170</v>
      </c>
      <c r="B63" t="s">
        <v>44</v>
      </c>
      <c r="C63" t="s">
        <v>463</v>
      </c>
      <c r="D63">
        <v>73610</v>
      </c>
      <c r="E63" t="s">
        <v>260</v>
      </c>
    </row>
    <row r="64" spans="1:5">
      <c r="A64" s="216">
        <v>45170</v>
      </c>
      <c r="B64" t="s">
        <v>44</v>
      </c>
      <c r="C64" t="s">
        <v>463</v>
      </c>
      <c r="D64">
        <v>73539</v>
      </c>
      <c r="E64" t="s">
        <v>261</v>
      </c>
    </row>
    <row r="65" spans="1:5">
      <c r="A65" s="216">
        <v>45170</v>
      </c>
      <c r="B65" t="s">
        <v>44</v>
      </c>
      <c r="C65" t="s">
        <v>463</v>
      </c>
      <c r="D65">
        <v>73989</v>
      </c>
      <c r="E65" t="s">
        <v>262</v>
      </c>
    </row>
    <row r="66" spans="1:5">
      <c r="A66" s="216">
        <v>45170</v>
      </c>
      <c r="B66" t="s">
        <v>44</v>
      </c>
      <c r="C66" t="s">
        <v>463</v>
      </c>
      <c r="D66">
        <v>897894.42857142899</v>
      </c>
      <c r="E66" t="s">
        <v>434</v>
      </c>
    </row>
    <row r="67" spans="1:5">
      <c r="A67" s="216">
        <v>45170</v>
      </c>
      <c r="B67" t="s">
        <v>44</v>
      </c>
      <c r="C67" t="s">
        <v>464</v>
      </c>
      <c r="D67">
        <v>1722</v>
      </c>
      <c r="E67" t="s">
        <v>251</v>
      </c>
    </row>
    <row r="68" spans="1:5">
      <c r="A68" s="216">
        <v>45170</v>
      </c>
      <c r="B68" t="s">
        <v>44</v>
      </c>
      <c r="C68" t="s">
        <v>464</v>
      </c>
      <c r="D68">
        <v>1347.13183999999</v>
      </c>
      <c r="E68" t="s">
        <v>252</v>
      </c>
    </row>
    <row r="69" spans="1:5">
      <c r="A69" s="216">
        <v>45170</v>
      </c>
      <c r="B69" t="s">
        <v>44</v>
      </c>
      <c r="C69" t="s">
        <v>464</v>
      </c>
      <c r="D69">
        <v>1695</v>
      </c>
      <c r="E69" t="s">
        <v>253</v>
      </c>
    </row>
    <row r="70" spans="1:5">
      <c r="A70" s="216">
        <v>45170</v>
      </c>
      <c r="B70" t="s">
        <v>44</v>
      </c>
      <c r="C70" t="s">
        <v>464</v>
      </c>
      <c r="D70">
        <v>1964</v>
      </c>
      <c r="E70" t="s">
        <v>254</v>
      </c>
    </row>
    <row r="71" spans="1:5">
      <c r="A71" s="216">
        <v>45170</v>
      </c>
      <c r="B71" t="s">
        <v>44</v>
      </c>
      <c r="C71" t="s">
        <v>464</v>
      </c>
      <c r="D71">
        <v>1782</v>
      </c>
      <c r="E71" t="s">
        <v>255</v>
      </c>
    </row>
    <row r="72" spans="1:5">
      <c r="A72" s="216">
        <v>45170</v>
      </c>
      <c r="B72" t="s">
        <v>44</v>
      </c>
      <c r="C72" t="s">
        <v>464</v>
      </c>
      <c r="D72">
        <v>1134</v>
      </c>
      <c r="E72" t="s">
        <v>256</v>
      </c>
    </row>
    <row r="73" spans="1:5">
      <c r="A73" s="216">
        <v>45170</v>
      </c>
      <c r="B73" t="s">
        <v>44</v>
      </c>
      <c r="C73" t="s">
        <v>464</v>
      </c>
      <c r="D73">
        <v>1134</v>
      </c>
      <c r="E73" t="s">
        <v>257</v>
      </c>
    </row>
    <row r="74" spans="1:5">
      <c r="A74" s="216">
        <v>45170</v>
      </c>
      <c r="B74" t="s">
        <v>44</v>
      </c>
      <c r="C74" t="s">
        <v>464</v>
      </c>
      <c r="D74">
        <v>1134</v>
      </c>
      <c r="E74" t="s">
        <v>258</v>
      </c>
    </row>
    <row r="75" spans="1:5">
      <c r="A75" s="216">
        <v>45170</v>
      </c>
      <c r="B75" t="s">
        <v>44</v>
      </c>
      <c r="C75" t="s">
        <v>464</v>
      </c>
      <c r="D75">
        <v>1134</v>
      </c>
      <c r="E75" t="s">
        <v>259</v>
      </c>
    </row>
    <row r="76" spans="1:5">
      <c r="A76" s="216">
        <v>45170</v>
      </c>
      <c r="B76" t="s">
        <v>44</v>
      </c>
      <c r="C76" t="s">
        <v>464</v>
      </c>
      <c r="D76">
        <v>1134</v>
      </c>
      <c r="E76" t="s">
        <v>260</v>
      </c>
    </row>
    <row r="77" spans="1:5">
      <c r="A77" s="216">
        <v>45170</v>
      </c>
      <c r="B77" t="s">
        <v>44</v>
      </c>
      <c r="C77" t="s">
        <v>464</v>
      </c>
      <c r="D77">
        <v>1134</v>
      </c>
      <c r="E77" t="s">
        <v>261</v>
      </c>
    </row>
    <row r="78" spans="1:5">
      <c r="A78" s="216">
        <v>45170</v>
      </c>
      <c r="B78" t="s">
        <v>44</v>
      </c>
      <c r="C78" t="s">
        <v>464</v>
      </c>
      <c r="D78">
        <v>1134</v>
      </c>
      <c r="E78" t="s">
        <v>262</v>
      </c>
    </row>
    <row r="79" spans="1:5">
      <c r="A79" s="216">
        <v>45170</v>
      </c>
      <c r="B79" t="s">
        <v>44</v>
      </c>
      <c r="C79" t="s">
        <v>464</v>
      </c>
      <c r="D79">
        <v>16448.131839999998</v>
      </c>
      <c r="E79" t="s">
        <v>434</v>
      </c>
    </row>
    <row r="80" spans="1:5">
      <c r="A80" s="216">
        <v>45170</v>
      </c>
      <c r="B80" t="s">
        <v>45</v>
      </c>
      <c r="C80" t="s">
        <v>463</v>
      </c>
      <c r="D80">
        <v>54142</v>
      </c>
      <c r="E80" t="s">
        <v>251</v>
      </c>
    </row>
    <row r="81" spans="1:5">
      <c r="A81" s="216">
        <v>45170</v>
      </c>
      <c r="B81" t="s">
        <v>45</v>
      </c>
      <c r="C81" t="s">
        <v>463</v>
      </c>
      <c r="D81">
        <v>54391</v>
      </c>
      <c r="E81" t="s">
        <v>252</v>
      </c>
    </row>
    <row r="82" spans="1:5">
      <c r="A82" s="216">
        <v>45170</v>
      </c>
      <c r="B82" t="s">
        <v>45</v>
      </c>
      <c r="C82" t="s">
        <v>463</v>
      </c>
      <c r="D82">
        <v>66070</v>
      </c>
      <c r="E82" t="s">
        <v>253</v>
      </c>
    </row>
    <row r="83" spans="1:5">
      <c r="A83" s="216">
        <v>45170</v>
      </c>
      <c r="B83" t="s">
        <v>45</v>
      </c>
      <c r="C83" t="s">
        <v>463</v>
      </c>
      <c r="D83">
        <v>63251</v>
      </c>
      <c r="E83" t="s">
        <v>254</v>
      </c>
    </row>
    <row r="84" spans="1:5">
      <c r="A84" s="216">
        <v>45170</v>
      </c>
      <c r="B84" t="s">
        <v>45</v>
      </c>
      <c r="C84" t="s">
        <v>463</v>
      </c>
      <c r="D84">
        <v>56602</v>
      </c>
      <c r="E84" t="s">
        <v>255</v>
      </c>
    </row>
    <row r="85" spans="1:5">
      <c r="A85" s="216">
        <v>45170</v>
      </c>
      <c r="B85" t="s">
        <v>45</v>
      </c>
      <c r="C85" t="s">
        <v>463</v>
      </c>
      <c r="D85">
        <v>56882.93</v>
      </c>
      <c r="E85" t="s">
        <v>256</v>
      </c>
    </row>
    <row r="86" spans="1:5">
      <c r="A86" s="216">
        <v>45170</v>
      </c>
      <c r="B86" t="s">
        <v>45</v>
      </c>
      <c r="C86" t="s">
        <v>463</v>
      </c>
      <c r="D86">
        <v>61014</v>
      </c>
      <c r="E86" t="s">
        <v>257</v>
      </c>
    </row>
    <row r="87" spans="1:5">
      <c r="A87" s="216">
        <v>45170</v>
      </c>
      <c r="B87" t="s">
        <v>45</v>
      </c>
      <c r="C87" t="s">
        <v>463</v>
      </c>
      <c r="D87">
        <v>58664</v>
      </c>
      <c r="E87" t="s">
        <v>258</v>
      </c>
    </row>
    <row r="88" spans="1:5">
      <c r="A88" s="216">
        <v>45170</v>
      </c>
      <c r="B88" t="s">
        <v>45</v>
      </c>
      <c r="C88" t="s">
        <v>463</v>
      </c>
      <c r="D88">
        <v>58704</v>
      </c>
      <c r="E88" t="s">
        <v>259</v>
      </c>
    </row>
    <row r="89" spans="1:5">
      <c r="A89" s="216">
        <v>45170</v>
      </c>
      <c r="B89" t="s">
        <v>45</v>
      </c>
      <c r="C89" t="s">
        <v>463</v>
      </c>
      <c r="D89">
        <v>58404</v>
      </c>
      <c r="E89" t="s">
        <v>260</v>
      </c>
    </row>
    <row r="90" spans="1:5">
      <c r="A90" s="216">
        <v>45170</v>
      </c>
      <c r="B90" t="s">
        <v>45</v>
      </c>
      <c r="C90" t="s">
        <v>463</v>
      </c>
      <c r="D90">
        <v>58404</v>
      </c>
      <c r="E90" t="s">
        <v>261</v>
      </c>
    </row>
    <row r="91" spans="1:5">
      <c r="A91" s="216">
        <v>45170</v>
      </c>
      <c r="B91" t="s">
        <v>45</v>
      </c>
      <c r="C91" t="s">
        <v>463</v>
      </c>
      <c r="D91">
        <v>58484</v>
      </c>
      <c r="E91" t="s">
        <v>262</v>
      </c>
    </row>
    <row r="92" spans="1:5">
      <c r="A92" s="216">
        <v>45170</v>
      </c>
      <c r="B92" t="s">
        <v>45</v>
      </c>
      <c r="C92" t="s">
        <v>463</v>
      </c>
      <c r="D92">
        <v>705012.93</v>
      </c>
      <c r="E92" t="s">
        <v>434</v>
      </c>
    </row>
    <row r="93" spans="1:5">
      <c r="A93" s="216">
        <v>45170</v>
      </c>
      <c r="B93" t="s">
        <v>45</v>
      </c>
      <c r="C93" t="s">
        <v>464</v>
      </c>
      <c r="D93">
        <v>4344</v>
      </c>
      <c r="E93" t="s">
        <v>251</v>
      </c>
    </row>
    <row r="94" spans="1:5">
      <c r="A94" s="216">
        <v>45170</v>
      </c>
      <c r="B94" t="s">
        <v>45</v>
      </c>
      <c r="C94" t="s">
        <v>464</v>
      </c>
      <c r="D94">
        <v>4486</v>
      </c>
      <c r="E94" t="s">
        <v>252</v>
      </c>
    </row>
    <row r="95" spans="1:5">
      <c r="A95" s="216">
        <v>45170</v>
      </c>
      <c r="B95" t="s">
        <v>45</v>
      </c>
      <c r="C95" t="s">
        <v>464</v>
      </c>
      <c r="D95">
        <v>4047</v>
      </c>
      <c r="E95" t="s">
        <v>253</v>
      </c>
    </row>
    <row r="96" spans="1:5">
      <c r="A96" s="216">
        <v>45170</v>
      </c>
      <c r="B96" t="s">
        <v>45</v>
      </c>
      <c r="C96" t="s">
        <v>464</v>
      </c>
      <c r="D96">
        <v>4825</v>
      </c>
      <c r="E96" t="s">
        <v>254</v>
      </c>
    </row>
    <row r="97" spans="1:5">
      <c r="A97" s="216">
        <v>45170</v>
      </c>
      <c r="B97" t="s">
        <v>45</v>
      </c>
      <c r="C97" t="s">
        <v>464</v>
      </c>
      <c r="D97">
        <v>3944</v>
      </c>
      <c r="E97" t="s">
        <v>255</v>
      </c>
    </row>
    <row r="98" spans="1:5">
      <c r="A98" s="216">
        <v>45170</v>
      </c>
      <c r="B98" t="s">
        <v>45</v>
      </c>
      <c r="C98" t="s">
        <v>464</v>
      </c>
      <c r="D98">
        <v>3756</v>
      </c>
      <c r="E98" t="s">
        <v>256</v>
      </c>
    </row>
    <row r="99" spans="1:5">
      <c r="A99" s="216">
        <v>45170</v>
      </c>
      <c r="B99" t="s">
        <v>45</v>
      </c>
      <c r="C99" t="s">
        <v>464</v>
      </c>
      <c r="D99">
        <v>3890</v>
      </c>
      <c r="E99" t="s">
        <v>257</v>
      </c>
    </row>
    <row r="100" spans="1:5">
      <c r="A100" s="216">
        <v>45170</v>
      </c>
      <c r="B100" t="s">
        <v>45</v>
      </c>
      <c r="C100" t="s">
        <v>464</v>
      </c>
      <c r="D100">
        <v>3890</v>
      </c>
      <c r="E100" t="s">
        <v>258</v>
      </c>
    </row>
    <row r="101" spans="1:5">
      <c r="A101" s="216">
        <v>45170</v>
      </c>
      <c r="B101" t="s">
        <v>45</v>
      </c>
      <c r="C101" t="s">
        <v>464</v>
      </c>
      <c r="D101">
        <v>4340</v>
      </c>
      <c r="E101" t="s">
        <v>259</v>
      </c>
    </row>
    <row r="102" spans="1:5">
      <c r="A102" s="216">
        <v>45170</v>
      </c>
      <c r="B102" t="s">
        <v>45</v>
      </c>
      <c r="C102" t="s">
        <v>464</v>
      </c>
      <c r="D102">
        <v>4340</v>
      </c>
      <c r="E102" t="s">
        <v>260</v>
      </c>
    </row>
    <row r="103" spans="1:5">
      <c r="A103" s="216">
        <v>45170</v>
      </c>
      <c r="B103" t="s">
        <v>45</v>
      </c>
      <c r="C103" t="s">
        <v>464</v>
      </c>
      <c r="D103">
        <v>4340</v>
      </c>
      <c r="E103" t="s">
        <v>261</v>
      </c>
    </row>
    <row r="104" spans="1:5">
      <c r="A104" s="216">
        <v>45170</v>
      </c>
      <c r="B104" t="s">
        <v>45</v>
      </c>
      <c r="C104" t="s">
        <v>464</v>
      </c>
      <c r="D104">
        <v>4340</v>
      </c>
      <c r="E104" t="s">
        <v>262</v>
      </c>
    </row>
    <row r="105" spans="1:5">
      <c r="A105" s="216">
        <v>45170</v>
      </c>
      <c r="B105" t="s">
        <v>45</v>
      </c>
      <c r="C105" t="s">
        <v>464</v>
      </c>
      <c r="D105">
        <v>50542</v>
      </c>
      <c r="E105" t="s">
        <v>434</v>
      </c>
    </row>
    <row r="106" spans="1:5">
      <c r="A106" s="216">
        <v>45170</v>
      </c>
      <c r="B106" t="s">
        <v>52</v>
      </c>
      <c r="C106" t="s">
        <v>463</v>
      </c>
      <c r="D106">
        <v>4701</v>
      </c>
      <c r="E106" t="s">
        <v>251</v>
      </c>
    </row>
    <row r="107" spans="1:5">
      <c r="A107" s="216">
        <v>45170</v>
      </c>
      <c r="B107" t="s">
        <v>52</v>
      </c>
      <c r="C107" t="s">
        <v>463</v>
      </c>
      <c r="D107">
        <v>4775</v>
      </c>
      <c r="E107" t="s">
        <v>252</v>
      </c>
    </row>
    <row r="108" spans="1:5">
      <c r="A108" s="216">
        <v>45170</v>
      </c>
      <c r="B108" t="s">
        <v>52</v>
      </c>
      <c r="C108" t="s">
        <v>463</v>
      </c>
      <c r="D108">
        <v>5880</v>
      </c>
      <c r="E108" t="s">
        <v>253</v>
      </c>
    </row>
    <row r="109" spans="1:5">
      <c r="A109" s="216">
        <v>45170</v>
      </c>
      <c r="B109" t="s">
        <v>52</v>
      </c>
      <c r="C109" t="s">
        <v>463</v>
      </c>
      <c r="D109">
        <v>5736</v>
      </c>
      <c r="E109" t="s">
        <v>254</v>
      </c>
    </row>
    <row r="110" spans="1:5">
      <c r="A110" s="216">
        <v>45170</v>
      </c>
      <c r="B110" t="s">
        <v>52</v>
      </c>
      <c r="C110" t="s">
        <v>463</v>
      </c>
      <c r="D110">
        <v>5089</v>
      </c>
      <c r="E110" t="s">
        <v>255</v>
      </c>
    </row>
    <row r="111" spans="1:5">
      <c r="A111" s="216">
        <v>45170</v>
      </c>
      <c r="B111" t="s">
        <v>52</v>
      </c>
      <c r="C111" t="s">
        <v>463</v>
      </c>
      <c r="D111">
        <v>5094</v>
      </c>
      <c r="E111" t="s">
        <v>256</v>
      </c>
    </row>
    <row r="112" spans="1:5">
      <c r="A112" s="216">
        <v>45170</v>
      </c>
      <c r="B112" t="s">
        <v>52</v>
      </c>
      <c r="C112" t="s">
        <v>463</v>
      </c>
      <c r="D112">
        <v>5194</v>
      </c>
      <c r="E112" t="s">
        <v>257</v>
      </c>
    </row>
    <row r="113" spans="1:5">
      <c r="A113" s="216">
        <v>45170</v>
      </c>
      <c r="B113" t="s">
        <v>52</v>
      </c>
      <c r="C113" t="s">
        <v>463</v>
      </c>
      <c r="D113">
        <v>5252</v>
      </c>
      <c r="E113" t="s">
        <v>258</v>
      </c>
    </row>
    <row r="114" spans="1:5">
      <c r="A114" s="216">
        <v>45170</v>
      </c>
      <c r="B114" t="s">
        <v>52</v>
      </c>
      <c r="C114" t="s">
        <v>463</v>
      </c>
      <c r="D114">
        <v>5261</v>
      </c>
      <c r="E114" t="s">
        <v>259</v>
      </c>
    </row>
    <row r="115" spans="1:5">
      <c r="A115" s="216">
        <v>45170</v>
      </c>
      <c r="B115" t="s">
        <v>52</v>
      </c>
      <c r="C115" t="s">
        <v>463</v>
      </c>
      <c r="D115">
        <v>5529</v>
      </c>
      <c r="E115" t="s">
        <v>260</v>
      </c>
    </row>
    <row r="116" spans="1:5">
      <c r="A116" s="216">
        <v>45170</v>
      </c>
      <c r="B116" t="s">
        <v>52</v>
      </c>
      <c r="C116" t="s">
        <v>463</v>
      </c>
      <c r="D116">
        <v>5619</v>
      </c>
      <c r="E116" t="s">
        <v>261</v>
      </c>
    </row>
    <row r="117" spans="1:5">
      <c r="A117" s="216">
        <v>45170</v>
      </c>
      <c r="B117" t="s">
        <v>52</v>
      </c>
      <c r="C117" t="s">
        <v>463</v>
      </c>
      <c r="D117">
        <v>5633</v>
      </c>
      <c r="E117" t="s">
        <v>262</v>
      </c>
    </row>
    <row r="118" spans="1:5">
      <c r="A118" s="216">
        <v>45170</v>
      </c>
      <c r="B118" t="s">
        <v>52</v>
      </c>
      <c r="C118" t="s">
        <v>463</v>
      </c>
      <c r="D118">
        <v>63763</v>
      </c>
      <c r="E118" t="s">
        <v>434</v>
      </c>
    </row>
    <row r="119" spans="1:5">
      <c r="A119" s="216">
        <v>45170</v>
      </c>
      <c r="B119" t="s">
        <v>52</v>
      </c>
      <c r="C119" t="s">
        <v>464</v>
      </c>
      <c r="D119">
        <v>25</v>
      </c>
      <c r="E119" t="s">
        <v>251</v>
      </c>
    </row>
    <row r="120" spans="1:5">
      <c r="A120" s="216">
        <v>45170</v>
      </c>
      <c r="B120" t="s">
        <v>52</v>
      </c>
      <c r="C120" t="s">
        <v>464</v>
      </c>
      <c r="D120">
        <v>10</v>
      </c>
      <c r="E120" t="s">
        <v>252</v>
      </c>
    </row>
    <row r="121" spans="1:5">
      <c r="A121" s="216">
        <v>45170</v>
      </c>
      <c r="B121" t="s">
        <v>52</v>
      </c>
      <c r="C121" t="s">
        <v>464</v>
      </c>
      <c r="D121">
        <v>45</v>
      </c>
      <c r="E121" t="s">
        <v>253</v>
      </c>
    </row>
    <row r="122" spans="1:5">
      <c r="A122" s="216">
        <v>45170</v>
      </c>
      <c r="B122" t="s">
        <v>52</v>
      </c>
      <c r="C122" t="s">
        <v>464</v>
      </c>
      <c r="D122">
        <v>43</v>
      </c>
      <c r="E122" t="s">
        <v>254</v>
      </c>
    </row>
    <row r="123" spans="1:5">
      <c r="A123" s="216">
        <v>45170</v>
      </c>
      <c r="B123" t="s">
        <v>52</v>
      </c>
      <c r="C123" t="s">
        <v>464</v>
      </c>
      <c r="D123">
        <v>35</v>
      </c>
      <c r="E123" t="s">
        <v>255</v>
      </c>
    </row>
    <row r="124" spans="1:5">
      <c r="A124" s="216">
        <v>45170</v>
      </c>
      <c r="B124" t="s">
        <v>52</v>
      </c>
      <c r="C124" t="s">
        <v>464</v>
      </c>
      <c r="D124">
        <v>48</v>
      </c>
      <c r="E124" t="s">
        <v>256</v>
      </c>
    </row>
    <row r="125" spans="1:5">
      <c r="A125" s="216">
        <v>45170</v>
      </c>
      <c r="B125" t="s">
        <v>52</v>
      </c>
      <c r="C125" t="s">
        <v>464</v>
      </c>
      <c r="D125">
        <v>50</v>
      </c>
      <c r="E125" t="s">
        <v>257</v>
      </c>
    </row>
    <row r="126" spans="1:5">
      <c r="A126" s="216">
        <v>45170</v>
      </c>
      <c r="B126" t="s">
        <v>52</v>
      </c>
      <c r="C126" t="s">
        <v>464</v>
      </c>
      <c r="D126">
        <v>50</v>
      </c>
      <c r="E126" t="s">
        <v>258</v>
      </c>
    </row>
    <row r="127" spans="1:5">
      <c r="A127" s="216">
        <v>45170</v>
      </c>
      <c r="B127" t="s">
        <v>52</v>
      </c>
      <c r="C127" t="s">
        <v>464</v>
      </c>
      <c r="D127">
        <v>50</v>
      </c>
      <c r="E127" t="s">
        <v>259</v>
      </c>
    </row>
    <row r="128" spans="1:5">
      <c r="A128" s="216">
        <v>45170</v>
      </c>
      <c r="B128" t="s">
        <v>52</v>
      </c>
      <c r="C128" t="s">
        <v>464</v>
      </c>
      <c r="D128">
        <v>50</v>
      </c>
      <c r="E128" t="s">
        <v>260</v>
      </c>
    </row>
    <row r="129" spans="1:5">
      <c r="A129" s="216">
        <v>45170</v>
      </c>
      <c r="B129" t="s">
        <v>52</v>
      </c>
      <c r="C129" t="s">
        <v>464</v>
      </c>
      <c r="D129">
        <v>50</v>
      </c>
      <c r="E129" t="s">
        <v>261</v>
      </c>
    </row>
    <row r="130" spans="1:5">
      <c r="A130" s="216">
        <v>45170</v>
      </c>
      <c r="B130" t="s">
        <v>52</v>
      </c>
      <c r="C130" t="s">
        <v>464</v>
      </c>
      <c r="D130">
        <v>50</v>
      </c>
      <c r="E130" t="s">
        <v>262</v>
      </c>
    </row>
    <row r="131" spans="1:5">
      <c r="A131" s="216">
        <v>45170</v>
      </c>
      <c r="B131" t="s">
        <v>52</v>
      </c>
      <c r="C131" t="s">
        <v>464</v>
      </c>
      <c r="D131">
        <v>506</v>
      </c>
      <c r="E131" t="s">
        <v>434</v>
      </c>
    </row>
    <row r="132" spans="1:5">
      <c r="A132" s="216">
        <v>45170</v>
      </c>
      <c r="B132" t="s">
        <v>46</v>
      </c>
      <c r="C132" t="s">
        <v>463</v>
      </c>
      <c r="D132">
        <v>48146</v>
      </c>
      <c r="E132" t="s">
        <v>251</v>
      </c>
    </row>
    <row r="133" spans="1:5">
      <c r="A133" s="216">
        <v>45170</v>
      </c>
      <c r="B133" t="s">
        <v>46</v>
      </c>
      <c r="C133" t="s">
        <v>463</v>
      </c>
      <c r="D133">
        <v>50354</v>
      </c>
      <c r="E133" t="s">
        <v>252</v>
      </c>
    </row>
    <row r="134" spans="1:5">
      <c r="A134" s="216">
        <v>45170</v>
      </c>
      <c r="B134" t="s">
        <v>46</v>
      </c>
      <c r="C134" t="s">
        <v>463</v>
      </c>
      <c r="D134">
        <v>59421</v>
      </c>
      <c r="E134" t="s">
        <v>253</v>
      </c>
    </row>
    <row r="135" spans="1:5">
      <c r="A135" s="216">
        <v>45170</v>
      </c>
      <c r="B135" t="s">
        <v>46</v>
      </c>
      <c r="C135" t="s">
        <v>463</v>
      </c>
      <c r="D135">
        <v>54811</v>
      </c>
      <c r="E135" t="s">
        <v>254</v>
      </c>
    </row>
    <row r="136" spans="1:5">
      <c r="A136" s="216">
        <v>45170</v>
      </c>
      <c r="B136" t="s">
        <v>46</v>
      </c>
      <c r="C136" t="s">
        <v>463</v>
      </c>
      <c r="D136">
        <v>50779</v>
      </c>
      <c r="E136" t="s">
        <v>255</v>
      </c>
    </row>
    <row r="137" spans="1:5">
      <c r="A137" s="216">
        <v>45170</v>
      </c>
      <c r="B137" t="s">
        <v>46</v>
      </c>
      <c r="C137" t="s">
        <v>463</v>
      </c>
      <c r="D137">
        <v>49640</v>
      </c>
      <c r="E137" t="s">
        <v>256</v>
      </c>
    </row>
    <row r="138" spans="1:5">
      <c r="A138" s="216">
        <v>45170</v>
      </c>
      <c r="B138" t="s">
        <v>46</v>
      </c>
      <c r="C138" t="s">
        <v>463</v>
      </c>
      <c r="D138">
        <v>49874</v>
      </c>
      <c r="E138" t="s">
        <v>257</v>
      </c>
    </row>
    <row r="139" spans="1:5">
      <c r="A139" s="216">
        <v>45170</v>
      </c>
      <c r="B139" t="s">
        <v>46</v>
      </c>
      <c r="C139" t="s">
        <v>463</v>
      </c>
      <c r="D139">
        <v>49493</v>
      </c>
      <c r="E139" t="s">
        <v>258</v>
      </c>
    </row>
    <row r="140" spans="1:5">
      <c r="A140" s="216">
        <v>45170</v>
      </c>
      <c r="B140" t="s">
        <v>46</v>
      </c>
      <c r="C140" t="s">
        <v>463</v>
      </c>
      <c r="D140">
        <v>49266</v>
      </c>
      <c r="E140" t="s">
        <v>259</v>
      </c>
    </row>
    <row r="141" spans="1:5">
      <c r="A141" s="216">
        <v>45170</v>
      </c>
      <c r="B141" t="s">
        <v>46</v>
      </c>
      <c r="C141" t="s">
        <v>463</v>
      </c>
      <c r="D141">
        <v>49127</v>
      </c>
      <c r="E141" t="s">
        <v>260</v>
      </c>
    </row>
    <row r="142" spans="1:5">
      <c r="A142" s="216">
        <v>45170</v>
      </c>
      <c r="B142" t="s">
        <v>46</v>
      </c>
      <c r="C142" t="s">
        <v>463</v>
      </c>
      <c r="D142">
        <v>48931</v>
      </c>
      <c r="E142" t="s">
        <v>261</v>
      </c>
    </row>
    <row r="143" spans="1:5">
      <c r="A143" s="216">
        <v>45170</v>
      </c>
      <c r="B143" t="s">
        <v>46</v>
      </c>
      <c r="C143" t="s">
        <v>463</v>
      </c>
      <c r="D143">
        <v>49021</v>
      </c>
      <c r="E143" t="s">
        <v>262</v>
      </c>
    </row>
    <row r="144" spans="1:5">
      <c r="A144" s="216">
        <v>45170</v>
      </c>
      <c r="B144" t="s">
        <v>46</v>
      </c>
      <c r="C144" t="s">
        <v>463</v>
      </c>
      <c r="D144">
        <v>608863</v>
      </c>
      <c r="E144" t="s">
        <v>434</v>
      </c>
    </row>
    <row r="145" spans="1:5">
      <c r="A145" s="216">
        <v>45170</v>
      </c>
      <c r="B145" t="s">
        <v>46</v>
      </c>
      <c r="C145" t="s">
        <v>464</v>
      </c>
      <c r="D145">
        <v>3718</v>
      </c>
      <c r="E145" t="s">
        <v>251</v>
      </c>
    </row>
    <row r="146" spans="1:5">
      <c r="A146" s="216">
        <v>45170</v>
      </c>
      <c r="B146" t="s">
        <v>46</v>
      </c>
      <c r="C146" t="s">
        <v>464</v>
      </c>
      <c r="D146">
        <v>3792</v>
      </c>
      <c r="E146" t="s">
        <v>252</v>
      </c>
    </row>
    <row r="147" spans="1:5">
      <c r="A147" s="216">
        <v>45170</v>
      </c>
      <c r="B147" t="s">
        <v>46</v>
      </c>
      <c r="C147" t="s">
        <v>464</v>
      </c>
      <c r="D147">
        <v>3028</v>
      </c>
      <c r="E147" t="s">
        <v>253</v>
      </c>
    </row>
    <row r="148" spans="1:5">
      <c r="A148" s="216">
        <v>45170</v>
      </c>
      <c r="B148" t="s">
        <v>46</v>
      </c>
      <c r="C148" t="s">
        <v>464</v>
      </c>
      <c r="D148">
        <v>3084</v>
      </c>
      <c r="E148" t="s">
        <v>254</v>
      </c>
    </row>
    <row r="149" spans="1:5">
      <c r="A149" s="216">
        <v>45170</v>
      </c>
      <c r="B149" t="s">
        <v>46</v>
      </c>
      <c r="C149" t="s">
        <v>464</v>
      </c>
      <c r="D149">
        <v>3042</v>
      </c>
      <c r="E149" t="s">
        <v>255</v>
      </c>
    </row>
    <row r="150" spans="1:5">
      <c r="A150" s="216">
        <v>45170</v>
      </c>
      <c r="B150" t="s">
        <v>46</v>
      </c>
      <c r="C150" t="s">
        <v>464</v>
      </c>
      <c r="D150">
        <v>2379</v>
      </c>
      <c r="E150" t="s">
        <v>256</v>
      </c>
    </row>
    <row r="151" spans="1:5">
      <c r="A151" s="216">
        <v>45170</v>
      </c>
      <c r="B151" t="s">
        <v>46</v>
      </c>
      <c r="C151" t="s">
        <v>464</v>
      </c>
      <c r="D151">
        <v>2327</v>
      </c>
      <c r="E151" t="s">
        <v>257</v>
      </c>
    </row>
    <row r="152" spans="1:5">
      <c r="A152" s="216">
        <v>45170</v>
      </c>
      <c r="B152" t="s">
        <v>46</v>
      </c>
      <c r="C152" t="s">
        <v>464</v>
      </c>
      <c r="D152">
        <v>2293</v>
      </c>
      <c r="E152" t="s">
        <v>258</v>
      </c>
    </row>
    <row r="153" spans="1:5">
      <c r="A153" s="216">
        <v>45170</v>
      </c>
      <c r="B153" t="s">
        <v>46</v>
      </c>
      <c r="C153" t="s">
        <v>464</v>
      </c>
      <c r="D153">
        <v>2321</v>
      </c>
      <c r="E153" t="s">
        <v>259</v>
      </c>
    </row>
    <row r="154" spans="1:5">
      <c r="A154" s="216">
        <v>45170</v>
      </c>
      <c r="B154" t="s">
        <v>46</v>
      </c>
      <c r="C154" t="s">
        <v>464</v>
      </c>
      <c r="D154">
        <v>2296</v>
      </c>
      <c r="E154" t="s">
        <v>260</v>
      </c>
    </row>
    <row r="155" spans="1:5">
      <c r="A155" s="216">
        <v>45170</v>
      </c>
      <c r="B155" t="s">
        <v>46</v>
      </c>
      <c r="C155" t="s">
        <v>464</v>
      </c>
      <c r="D155">
        <v>2255</v>
      </c>
      <c r="E155" t="s">
        <v>261</v>
      </c>
    </row>
    <row r="156" spans="1:5">
      <c r="A156" s="216">
        <v>45170</v>
      </c>
      <c r="B156" t="s">
        <v>46</v>
      </c>
      <c r="C156" t="s">
        <v>464</v>
      </c>
      <c r="D156">
        <v>2263</v>
      </c>
      <c r="E156" t="s">
        <v>262</v>
      </c>
    </row>
    <row r="157" spans="1:5">
      <c r="A157" s="216">
        <v>45170</v>
      </c>
      <c r="B157" t="s">
        <v>46</v>
      </c>
      <c r="C157" t="s">
        <v>464</v>
      </c>
      <c r="D157">
        <v>32798</v>
      </c>
      <c r="E157" t="s">
        <v>434</v>
      </c>
    </row>
    <row r="158" spans="1:5">
      <c r="A158" s="216">
        <v>45170</v>
      </c>
      <c r="B158" t="s">
        <v>51</v>
      </c>
      <c r="C158" t="s">
        <v>463</v>
      </c>
      <c r="D158">
        <v>2121</v>
      </c>
      <c r="E158" t="s">
        <v>251</v>
      </c>
    </row>
    <row r="159" spans="1:5">
      <c r="A159" s="216">
        <v>45170</v>
      </c>
      <c r="B159" t="s">
        <v>51</v>
      </c>
      <c r="C159" t="s">
        <v>463</v>
      </c>
      <c r="D159">
        <v>2195</v>
      </c>
      <c r="E159" t="s">
        <v>252</v>
      </c>
    </row>
    <row r="160" spans="1:5">
      <c r="A160" s="216">
        <v>45170</v>
      </c>
      <c r="B160" t="s">
        <v>51</v>
      </c>
      <c r="C160" t="s">
        <v>463</v>
      </c>
      <c r="D160">
        <v>2442</v>
      </c>
      <c r="E160" t="s">
        <v>253</v>
      </c>
    </row>
    <row r="161" spans="1:5">
      <c r="A161" s="216">
        <v>45170</v>
      </c>
      <c r="B161" t="s">
        <v>51</v>
      </c>
      <c r="C161" t="s">
        <v>463</v>
      </c>
      <c r="D161">
        <v>2583</v>
      </c>
      <c r="E161" t="s">
        <v>254</v>
      </c>
    </row>
    <row r="162" spans="1:5">
      <c r="A162" s="216">
        <v>45170</v>
      </c>
      <c r="B162" t="s">
        <v>51</v>
      </c>
      <c r="C162" t="s">
        <v>463</v>
      </c>
      <c r="D162">
        <v>2341</v>
      </c>
      <c r="E162" t="s">
        <v>255</v>
      </c>
    </row>
    <row r="163" spans="1:5">
      <c r="A163" s="216">
        <v>45170</v>
      </c>
      <c r="B163" t="s">
        <v>51</v>
      </c>
      <c r="C163" t="s">
        <v>463</v>
      </c>
      <c r="D163">
        <v>2450</v>
      </c>
      <c r="E163" t="s">
        <v>256</v>
      </c>
    </row>
    <row r="164" spans="1:5">
      <c r="A164" s="216">
        <v>45170</v>
      </c>
      <c r="B164" t="s">
        <v>51</v>
      </c>
      <c r="C164" t="s">
        <v>463</v>
      </c>
      <c r="D164">
        <v>2574</v>
      </c>
      <c r="E164" t="s">
        <v>257</v>
      </c>
    </row>
    <row r="165" spans="1:5">
      <c r="A165" s="216">
        <v>45170</v>
      </c>
      <c r="B165" t="s">
        <v>51</v>
      </c>
      <c r="C165" t="s">
        <v>463</v>
      </c>
      <c r="D165">
        <v>2492</v>
      </c>
      <c r="E165" t="s">
        <v>258</v>
      </c>
    </row>
    <row r="166" spans="1:5">
      <c r="A166" s="216">
        <v>45170</v>
      </c>
      <c r="B166" t="s">
        <v>51</v>
      </c>
      <c r="C166" t="s">
        <v>463</v>
      </c>
      <c r="D166">
        <v>2503</v>
      </c>
      <c r="E166" t="s">
        <v>259</v>
      </c>
    </row>
    <row r="167" spans="1:5">
      <c r="A167" s="216">
        <v>45170</v>
      </c>
      <c r="B167" t="s">
        <v>51</v>
      </c>
      <c r="C167" t="s">
        <v>463</v>
      </c>
      <c r="D167">
        <v>2504</v>
      </c>
      <c r="E167" t="s">
        <v>260</v>
      </c>
    </row>
    <row r="168" spans="1:5">
      <c r="A168" s="216">
        <v>45170</v>
      </c>
      <c r="B168" t="s">
        <v>51</v>
      </c>
      <c r="C168" t="s">
        <v>463</v>
      </c>
      <c r="D168">
        <v>2589</v>
      </c>
      <c r="E168" t="s">
        <v>261</v>
      </c>
    </row>
    <row r="169" spans="1:5">
      <c r="A169" s="216">
        <v>45170</v>
      </c>
      <c r="B169" t="s">
        <v>51</v>
      </c>
      <c r="C169" t="s">
        <v>463</v>
      </c>
      <c r="D169">
        <v>2632</v>
      </c>
      <c r="E169" t="s">
        <v>262</v>
      </c>
    </row>
    <row r="170" spans="1:5">
      <c r="A170" s="216">
        <v>45170</v>
      </c>
      <c r="B170" t="s">
        <v>51</v>
      </c>
      <c r="C170" t="s">
        <v>463</v>
      </c>
      <c r="D170">
        <v>29426</v>
      </c>
      <c r="E170" t="s">
        <v>434</v>
      </c>
    </row>
    <row r="171" spans="1:5">
      <c r="A171" s="216">
        <v>45170</v>
      </c>
      <c r="B171" t="s">
        <v>51</v>
      </c>
      <c r="C171" t="s">
        <v>464</v>
      </c>
      <c r="D171">
        <v>48</v>
      </c>
      <c r="E171" t="s">
        <v>251</v>
      </c>
    </row>
    <row r="172" spans="1:5">
      <c r="A172" s="216">
        <v>45170</v>
      </c>
      <c r="B172" t="s">
        <v>51</v>
      </c>
      <c r="C172" t="s">
        <v>464</v>
      </c>
      <c r="D172">
        <v>32</v>
      </c>
      <c r="E172" t="s">
        <v>252</v>
      </c>
    </row>
    <row r="173" spans="1:5">
      <c r="A173" s="216">
        <v>45170</v>
      </c>
      <c r="B173" t="s">
        <v>51</v>
      </c>
      <c r="C173" t="s">
        <v>464</v>
      </c>
      <c r="D173">
        <v>28</v>
      </c>
      <c r="E173" t="s">
        <v>253</v>
      </c>
    </row>
    <row r="174" spans="1:5">
      <c r="A174" s="216">
        <v>45170</v>
      </c>
      <c r="B174" t="s">
        <v>51</v>
      </c>
      <c r="C174" t="s">
        <v>464</v>
      </c>
      <c r="D174">
        <v>24</v>
      </c>
      <c r="E174" t="s">
        <v>254</v>
      </c>
    </row>
    <row r="175" spans="1:5">
      <c r="A175" s="216">
        <v>45170</v>
      </c>
      <c r="B175" t="s">
        <v>51</v>
      </c>
      <c r="C175" t="s">
        <v>464</v>
      </c>
      <c r="D175">
        <v>29</v>
      </c>
      <c r="E175" t="s">
        <v>255</v>
      </c>
    </row>
    <row r="176" spans="1:5">
      <c r="A176" s="216">
        <v>45170</v>
      </c>
      <c r="B176" t="s">
        <v>51</v>
      </c>
      <c r="C176" t="s">
        <v>464</v>
      </c>
      <c r="D176">
        <v>14</v>
      </c>
      <c r="E176" t="s">
        <v>256</v>
      </c>
    </row>
    <row r="177" spans="1:5">
      <c r="A177" s="216">
        <v>45170</v>
      </c>
      <c r="B177" t="s">
        <v>51</v>
      </c>
      <c r="C177" t="s">
        <v>464</v>
      </c>
      <c r="D177">
        <v>40</v>
      </c>
      <c r="E177" t="s">
        <v>257</v>
      </c>
    </row>
    <row r="178" spans="1:5">
      <c r="A178" s="216">
        <v>45170</v>
      </c>
      <c r="B178" t="s">
        <v>51</v>
      </c>
      <c r="C178" t="s">
        <v>464</v>
      </c>
      <c r="D178">
        <v>40</v>
      </c>
      <c r="E178" t="s">
        <v>258</v>
      </c>
    </row>
    <row r="179" spans="1:5">
      <c r="A179" s="216">
        <v>45170</v>
      </c>
      <c r="B179" t="s">
        <v>51</v>
      </c>
      <c r="C179" t="s">
        <v>464</v>
      </c>
      <c r="D179">
        <v>40</v>
      </c>
      <c r="E179" t="s">
        <v>259</v>
      </c>
    </row>
    <row r="180" spans="1:5">
      <c r="A180" s="216">
        <v>45170</v>
      </c>
      <c r="B180" t="s">
        <v>51</v>
      </c>
      <c r="C180" t="s">
        <v>464</v>
      </c>
      <c r="D180">
        <v>40</v>
      </c>
      <c r="E180" t="s">
        <v>260</v>
      </c>
    </row>
    <row r="181" spans="1:5">
      <c r="A181" s="216">
        <v>45170</v>
      </c>
      <c r="B181" t="s">
        <v>51</v>
      </c>
      <c r="C181" t="s">
        <v>464</v>
      </c>
      <c r="D181">
        <v>40</v>
      </c>
      <c r="E181" t="s">
        <v>261</v>
      </c>
    </row>
    <row r="182" spans="1:5">
      <c r="A182" s="216">
        <v>45170</v>
      </c>
      <c r="B182" t="s">
        <v>51</v>
      </c>
      <c r="C182" t="s">
        <v>464</v>
      </c>
      <c r="D182">
        <v>40</v>
      </c>
      <c r="E182" t="s">
        <v>262</v>
      </c>
    </row>
    <row r="183" spans="1:5">
      <c r="A183" s="216">
        <v>45170</v>
      </c>
      <c r="B183" t="s">
        <v>51</v>
      </c>
      <c r="C183" t="s">
        <v>464</v>
      </c>
      <c r="D183">
        <v>415</v>
      </c>
      <c r="E183" t="s">
        <v>434</v>
      </c>
    </row>
    <row r="184" spans="1:5">
      <c r="A184" s="216">
        <v>45170</v>
      </c>
      <c r="B184" t="s">
        <v>53</v>
      </c>
      <c r="C184" t="s">
        <v>463</v>
      </c>
      <c r="D184">
        <v>25731.563279999998</v>
      </c>
      <c r="E184" t="s">
        <v>251</v>
      </c>
    </row>
    <row r="185" spans="1:5">
      <c r="A185" s="216">
        <v>45170</v>
      </c>
      <c r="B185" t="s">
        <v>53</v>
      </c>
      <c r="C185" t="s">
        <v>463</v>
      </c>
      <c r="D185">
        <v>24866.887419999999</v>
      </c>
      <c r="E185" t="s">
        <v>252</v>
      </c>
    </row>
    <row r="186" spans="1:5">
      <c r="A186" s="216">
        <v>45170</v>
      </c>
      <c r="B186" t="s">
        <v>53</v>
      </c>
      <c r="C186" t="s">
        <v>463</v>
      </c>
      <c r="D186">
        <v>27802.715169999999</v>
      </c>
      <c r="E186" t="s">
        <v>253</v>
      </c>
    </row>
    <row r="187" spans="1:5">
      <c r="A187" s="216">
        <v>45170</v>
      </c>
      <c r="B187" t="s">
        <v>53</v>
      </c>
      <c r="C187" t="s">
        <v>463</v>
      </c>
      <c r="D187">
        <v>26976.671490000001</v>
      </c>
      <c r="E187" t="s">
        <v>254</v>
      </c>
    </row>
    <row r="188" spans="1:5">
      <c r="A188" s="216">
        <v>45170</v>
      </c>
      <c r="B188" t="s">
        <v>53</v>
      </c>
      <c r="C188" t="s">
        <v>463</v>
      </c>
      <c r="D188">
        <v>27757.798650000001</v>
      </c>
      <c r="E188" t="s">
        <v>255</v>
      </c>
    </row>
    <row r="189" spans="1:5">
      <c r="A189" s="216">
        <v>45170</v>
      </c>
      <c r="B189" t="s">
        <v>53</v>
      </c>
      <c r="C189" t="s">
        <v>463</v>
      </c>
      <c r="D189">
        <v>27956.778719999998</v>
      </c>
      <c r="E189" t="s">
        <v>256</v>
      </c>
    </row>
    <row r="190" spans="1:5">
      <c r="A190" s="216">
        <v>45170</v>
      </c>
      <c r="B190" t="s">
        <v>53</v>
      </c>
      <c r="C190" t="s">
        <v>463</v>
      </c>
      <c r="D190">
        <v>34623.230000000003</v>
      </c>
      <c r="E190" t="s">
        <v>257</v>
      </c>
    </row>
    <row r="191" spans="1:5">
      <c r="A191" s="216">
        <v>45170</v>
      </c>
      <c r="B191" t="s">
        <v>53</v>
      </c>
      <c r="C191" t="s">
        <v>463</v>
      </c>
      <c r="D191">
        <v>29114.46</v>
      </c>
      <c r="E191" t="s">
        <v>258</v>
      </c>
    </row>
    <row r="192" spans="1:5">
      <c r="A192" s="216">
        <v>45170</v>
      </c>
      <c r="B192" t="s">
        <v>53</v>
      </c>
      <c r="C192" t="s">
        <v>463</v>
      </c>
      <c r="D192">
        <v>29111.564999999999</v>
      </c>
      <c r="E192" t="s">
        <v>259</v>
      </c>
    </row>
    <row r="193" spans="1:5">
      <c r="A193" s="216">
        <v>45170</v>
      </c>
      <c r="B193" t="s">
        <v>53</v>
      </c>
      <c r="C193" t="s">
        <v>463</v>
      </c>
      <c r="D193">
        <v>29109.552</v>
      </c>
      <c r="E193" t="s">
        <v>260</v>
      </c>
    </row>
    <row r="194" spans="1:5">
      <c r="A194" s="216">
        <v>45170</v>
      </c>
      <c r="B194" t="s">
        <v>53</v>
      </c>
      <c r="C194" t="s">
        <v>463</v>
      </c>
      <c r="D194">
        <v>29120.659</v>
      </c>
      <c r="E194" t="s">
        <v>261</v>
      </c>
    </row>
    <row r="195" spans="1:5">
      <c r="A195" s="216">
        <v>45170</v>
      </c>
      <c r="B195" t="s">
        <v>53</v>
      </c>
      <c r="C195" t="s">
        <v>463</v>
      </c>
      <c r="D195">
        <v>29076.255000000001</v>
      </c>
      <c r="E195" t="s">
        <v>262</v>
      </c>
    </row>
    <row r="196" spans="1:5">
      <c r="A196" s="216">
        <v>45170</v>
      </c>
      <c r="B196" t="s">
        <v>53</v>
      </c>
      <c r="C196" t="s">
        <v>463</v>
      </c>
      <c r="D196">
        <v>341248.13572999998</v>
      </c>
      <c r="E196" t="s">
        <v>434</v>
      </c>
    </row>
    <row r="197" spans="1:5">
      <c r="A197" s="216">
        <v>45170</v>
      </c>
      <c r="B197" t="s">
        <v>53</v>
      </c>
      <c r="C197" t="s">
        <v>464</v>
      </c>
      <c r="D197">
        <v>73.047897215999996</v>
      </c>
      <c r="E197" t="s">
        <v>251</v>
      </c>
    </row>
    <row r="198" spans="1:5">
      <c r="A198" s="216">
        <v>45170</v>
      </c>
      <c r="B198" t="s">
        <v>53</v>
      </c>
      <c r="C198" t="s">
        <v>464</v>
      </c>
      <c r="D198">
        <v>79.861999999999995</v>
      </c>
      <c r="E198" t="s">
        <v>252</v>
      </c>
    </row>
    <row r="199" spans="1:5">
      <c r="A199" s="216">
        <v>45170</v>
      </c>
      <c r="B199" t="s">
        <v>53</v>
      </c>
      <c r="C199" t="s">
        <v>464</v>
      </c>
      <c r="D199">
        <v>95.816000000000003</v>
      </c>
      <c r="E199" t="s">
        <v>253</v>
      </c>
    </row>
    <row r="200" spans="1:5">
      <c r="A200" s="216">
        <v>45170</v>
      </c>
      <c r="B200" t="s">
        <v>53</v>
      </c>
      <c r="C200" t="s">
        <v>464</v>
      </c>
      <c r="D200">
        <v>89.563000000000002</v>
      </c>
      <c r="E200" t="s">
        <v>254</v>
      </c>
    </row>
    <row r="201" spans="1:5">
      <c r="A201" s="216">
        <v>45170</v>
      </c>
      <c r="B201" t="s">
        <v>53</v>
      </c>
      <c r="C201" t="s">
        <v>464</v>
      </c>
      <c r="D201">
        <v>82.367999999999995</v>
      </c>
      <c r="E201" t="s">
        <v>255</v>
      </c>
    </row>
    <row r="202" spans="1:5">
      <c r="A202" s="216">
        <v>45170</v>
      </c>
      <c r="B202" t="s">
        <v>53</v>
      </c>
      <c r="C202" t="s">
        <v>464</v>
      </c>
      <c r="D202">
        <v>99.96</v>
      </c>
      <c r="E202" t="s">
        <v>256</v>
      </c>
    </row>
    <row r="203" spans="1:5">
      <c r="A203" s="216">
        <v>45170</v>
      </c>
      <c r="B203" t="s">
        <v>53</v>
      </c>
      <c r="C203" t="s">
        <v>464</v>
      </c>
      <c r="D203">
        <v>75</v>
      </c>
      <c r="E203" t="s">
        <v>257</v>
      </c>
    </row>
    <row r="204" spans="1:5">
      <c r="A204" s="216">
        <v>45170</v>
      </c>
      <c r="B204" t="s">
        <v>53</v>
      </c>
      <c r="C204" t="s">
        <v>464</v>
      </c>
      <c r="D204">
        <v>75</v>
      </c>
      <c r="E204" t="s">
        <v>258</v>
      </c>
    </row>
    <row r="205" spans="1:5">
      <c r="A205" s="216">
        <v>45170</v>
      </c>
      <c r="B205" t="s">
        <v>53</v>
      </c>
      <c r="C205" t="s">
        <v>464</v>
      </c>
      <c r="D205">
        <v>75</v>
      </c>
      <c r="E205" t="s">
        <v>259</v>
      </c>
    </row>
    <row r="206" spans="1:5">
      <c r="A206" s="216">
        <v>45170</v>
      </c>
      <c r="B206" t="s">
        <v>53</v>
      </c>
      <c r="C206" t="s">
        <v>464</v>
      </c>
      <c r="D206">
        <v>75</v>
      </c>
      <c r="E206" t="s">
        <v>260</v>
      </c>
    </row>
    <row r="207" spans="1:5">
      <c r="A207" s="216">
        <v>45170</v>
      </c>
      <c r="B207" t="s">
        <v>53</v>
      </c>
      <c r="C207" t="s">
        <v>464</v>
      </c>
      <c r="D207">
        <v>75</v>
      </c>
      <c r="E207" t="s">
        <v>261</v>
      </c>
    </row>
    <row r="208" spans="1:5">
      <c r="A208" s="216">
        <v>45170</v>
      </c>
      <c r="B208" t="s">
        <v>53</v>
      </c>
      <c r="C208" t="s">
        <v>464</v>
      </c>
      <c r="D208">
        <v>75</v>
      </c>
      <c r="E208" t="s">
        <v>262</v>
      </c>
    </row>
    <row r="209" spans="1:5">
      <c r="A209" s="216">
        <v>45170</v>
      </c>
      <c r="B209" t="s">
        <v>53</v>
      </c>
      <c r="C209" t="s">
        <v>464</v>
      </c>
      <c r="D209">
        <v>970.61689721599998</v>
      </c>
      <c r="E209" t="s">
        <v>434</v>
      </c>
    </row>
    <row r="210" spans="1:5">
      <c r="A210" s="216">
        <v>45170</v>
      </c>
      <c r="B210" t="s">
        <v>48</v>
      </c>
      <c r="C210" t="s">
        <v>463</v>
      </c>
      <c r="D210">
        <v>10151</v>
      </c>
      <c r="E210" t="s">
        <v>251</v>
      </c>
    </row>
    <row r="211" spans="1:5">
      <c r="A211" s="216">
        <v>45170</v>
      </c>
      <c r="B211" t="s">
        <v>48</v>
      </c>
      <c r="C211" t="s">
        <v>463</v>
      </c>
      <c r="D211">
        <v>10557</v>
      </c>
      <c r="E211" t="s">
        <v>252</v>
      </c>
    </row>
    <row r="212" spans="1:5">
      <c r="A212" s="216">
        <v>45170</v>
      </c>
      <c r="B212" t="s">
        <v>48</v>
      </c>
      <c r="C212" t="s">
        <v>463</v>
      </c>
      <c r="D212">
        <v>13690</v>
      </c>
      <c r="E212" t="s">
        <v>253</v>
      </c>
    </row>
    <row r="213" spans="1:5">
      <c r="A213" s="216">
        <v>45170</v>
      </c>
      <c r="B213" t="s">
        <v>48</v>
      </c>
      <c r="C213" t="s">
        <v>463</v>
      </c>
      <c r="D213">
        <v>12349</v>
      </c>
      <c r="E213" t="s">
        <v>254</v>
      </c>
    </row>
    <row r="214" spans="1:5">
      <c r="A214" s="216">
        <v>45170</v>
      </c>
      <c r="B214" t="s">
        <v>48</v>
      </c>
      <c r="C214" t="s">
        <v>463</v>
      </c>
      <c r="D214">
        <v>11570</v>
      </c>
      <c r="E214" t="s">
        <v>255</v>
      </c>
    </row>
    <row r="215" spans="1:5">
      <c r="A215" s="216">
        <v>45170</v>
      </c>
      <c r="B215" t="s">
        <v>48</v>
      </c>
      <c r="C215" t="s">
        <v>463</v>
      </c>
      <c r="D215">
        <v>11261</v>
      </c>
      <c r="E215" t="s">
        <v>256</v>
      </c>
    </row>
    <row r="216" spans="1:5">
      <c r="A216" s="216">
        <v>45170</v>
      </c>
      <c r="B216" t="s">
        <v>48</v>
      </c>
      <c r="C216" t="s">
        <v>463</v>
      </c>
      <c r="D216">
        <v>11541.033530000001</v>
      </c>
      <c r="E216" t="s">
        <v>257</v>
      </c>
    </row>
    <row r="217" spans="1:5">
      <c r="A217" s="216">
        <v>45170</v>
      </c>
      <c r="B217" t="s">
        <v>48</v>
      </c>
      <c r="C217" t="s">
        <v>463</v>
      </c>
      <c r="D217">
        <v>11592.978446666701</v>
      </c>
      <c r="E217" t="s">
        <v>258</v>
      </c>
    </row>
    <row r="218" spans="1:5">
      <c r="A218" s="216">
        <v>45170</v>
      </c>
      <c r="B218" t="s">
        <v>48</v>
      </c>
      <c r="C218" t="s">
        <v>463</v>
      </c>
      <c r="D218">
        <v>11611.677956666699</v>
      </c>
      <c r="E218" t="s">
        <v>259</v>
      </c>
    </row>
    <row r="219" spans="1:5">
      <c r="A219" s="216">
        <v>45170</v>
      </c>
      <c r="B219" t="s">
        <v>48</v>
      </c>
      <c r="C219" t="s">
        <v>463</v>
      </c>
      <c r="D219">
        <v>11633.622873333299</v>
      </c>
      <c r="E219" t="s">
        <v>260</v>
      </c>
    </row>
    <row r="220" spans="1:5">
      <c r="A220" s="216">
        <v>45170</v>
      </c>
      <c r="B220" t="s">
        <v>48</v>
      </c>
      <c r="C220" t="s">
        <v>463</v>
      </c>
      <c r="D220">
        <v>11611.779973333299</v>
      </c>
      <c r="E220" t="s">
        <v>261</v>
      </c>
    </row>
    <row r="221" spans="1:5">
      <c r="A221" s="216">
        <v>45170</v>
      </c>
      <c r="B221" t="s">
        <v>48</v>
      </c>
      <c r="C221" t="s">
        <v>463</v>
      </c>
      <c r="D221">
        <v>11998.779973333299</v>
      </c>
      <c r="E221" t="s">
        <v>262</v>
      </c>
    </row>
    <row r="222" spans="1:5">
      <c r="A222" s="216">
        <v>45170</v>
      </c>
      <c r="B222" t="s">
        <v>48</v>
      </c>
      <c r="C222" t="s">
        <v>463</v>
      </c>
      <c r="D222">
        <v>139567.87275333301</v>
      </c>
      <c r="E222" t="s">
        <v>434</v>
      </c>
    </row>
    <row r="223" spans="1:5">
      <c r="A223" s="216">
        <v>45170</v>
      </c>
      <c r="B223" t="s">
        <v>48</v>
      </c>
      <c r="C223" t="s">
        <v>464</v>
      </c>
      <c r="D223">
        <v>278</v>
      </c>
      <c r="E223" t="s">
        <v>251</v>
      </c>
    </row>
    <row r="224" spans="1:5">
      <c r="A224" s="216">
        <v>45170</v>
      </c>
      <c r="B224" t="s">
        <v>48</v>
      </c>
      <c r="C224" t="s">
        <v>464</v>
      </c>
      <c r="D224">
        <v>308</v>
      </c>
      <c r="E224" t="s">
        <v>252</v>
      </c>
    </row>
    <row r="225" spans="1:5">
      <c r="A225" s="216">
        <v>45170</v>
      </c>
      <c r="B225" t="s">
        <v>48</v>
      </c>
      <c r="C225" t="s">
        <v>464</v>
      </c>
      <c r="D225">
        <v>262</v>
      </c>
      <c r="E225" t="s">
        <v>253</v>
      </c>
    </row>
    <row r="226" spans="1:5">
      <c r="A226" s="216">
        <v>45170</v>
      </c>
      <c r="B226" t="s">
        <v>48</v>
      </c>
      <c r="C226" t="s">
        <v>464</v>
      </c>
      <c r="D226">
        <v>311</v>
      </c>
      <c r="E226" t="s">
        <v>254</v>
      </c>
    </row>
    <row r="227" spans="1:5">
      <c r="A227" s="216">
        <v>45170</v>
      </c>
      <c r="B227" t="s">
        <v>48</v>
      </c>
      <c r="C227" t="s">
        <v>464</v>
      </c>
      <c r="D227">
        <v>310</v>
      </c>
      <c r="E227" t="s">
        <v>255</v>
      </c>
    </row>
    <row r="228" spans="1:5">
      <c r="A228" s="216">
        <v>45170</v>
      </c>
      <c r="B228" t="s">
        <v>48</v>
      </c>
      <c r="C228" t="s">
        <v>464</v>
      </c>
      <c r="D228">
        <v>203</v>
      </c>
      <c r="E228" t="s">
        <v>256</v>
      </c>
    </row>
    <row r="229" spans="1:5">
      <c r="A229" s="216">
        <v>45170</v>
      </c>
      <c r="B229" t="s">
        <v>48</v>
      </c>
      <c r="C229" t="s">
        <v>464</v>
      </c>
      <c r="D229">
        <v>278.2</v>
      </c>
      <c r="E229" t="s">
        <v>257</v>
      </c>
    </row>
    <row r="230" spans="1:5">
      <c r="A230" s="216">
        <v>45170</v>
      </c>
      <c r="B230" t="s">
        <v>48</v>
      </c>
      <c r="C230" t="s">
        <v>464</v>
      </c>
      <c r="D230">
        <v>278.2</v>
      </c>
      <c r="E230" t="s">
        <v>258</v>
      </c>
    </row>
    <row r="231" spans="1:5">
      <c r="A231" s="216">
        <v>45170</v>
      </c>
      <c r="B231" t="s">
        <v>48</v>
      </c>
      <c r="C231" t="s">
        <v>464</v>
      </c>
      <c r="D231">
        <v>278.2</v>
      </c>
      <c r="E231" t="s">
        <v>259</v>
      </c>
    </row>
    <row r="232" spans="1:5">
      <c r="A232" s="216">
        <v>45170</v>
      </c>
      <c r="B232" t="s">
        <v>48</v>
      </c>
      <c r="C232" t="s">
        <v>464</v>
      </c>
      <c r="D232">
        <v>278.2</v>
      </c>
      <c r="E232" t="s">
        <v>260</v>
      </c>
    </row>
    <row r="233" spans="1:5">
      <c r="A233" s="216">
        <v>45170</v>
      </c>
      <c r="B233" t="s">
        <v>48</v>
      </c>
      <c r="C233" t="s">
        <v>464</v>
      </c>
      <c r="D233">
        <v>278.2</v>
      </c>
      <c r="E233" t="s">
        <v>261</v>
      </c>
    </row>
    <row r="234" spans="1:5">
      <c r="A234" s="216">
        <v>45170</v>
      </c>
      <c r="B234" t="s">
        <v>48</v>
      </c>
      <c r="C234" t="s">
        <v>464</v>
      </c>
      <c r="D234">
        <v>278.2</v>
      </c>
      <c r="E234" t="s">
        <v>262</v>
      </c>
    </row>
    <row r="235" spans="1:5">
      <c r="A235" s="216">
        <v>45170</v>
      </c>
      <c r="B235" t="s">
        <v>48</v>
      </c>
      <c r="C235" t="s">
        <v>464</v>
      </c>
      <c r="D235">
        <v>3341.2</v>
      </c>
      <c r="E235" t="s">
        <v>434</v>
      </c>
    </row>
    <row r="236" spans="1:5">
      <c r="A236" s="216">
        <v>45170</v>
      </c>
      <c r="B236" t="s">
        <v>47</v>
      </c>
      <c r="C236" t="s">
        <v>463</v>
      </c>
      <c r="D236">
        <v>8676</v>
      </c>
      <c r="E236" t="s">
        <v>251</v>
      </c>
    </row>
    <row r="237" spans="1:5">
      <c r="A237" s="216">
        <v>45170</v>
      </c>
      <c r="B237" t="s">
        <v>47</v>
      </c>
      <c r="C237" t="s">
        <v>463</v>
      </c>
      <c r="D237">
        <v>9071</v>
      </c>
      <c r="E237" t="s">
        <v>252</v>
      </c>
    </row>
    <row r="238" spans="1:5">
      <c r="A238" s="216">
        <v>45170</v>
      </c>
      <c r="B238" t="s">
        <v>47</v>
      </c>
      <c r="C238" t="s">
        <v>463</v>
      </c>
      <c r="D238">
        <v>11020</v>
      </c>
      <c r="E238" t="s">
        <v>253</v>
      </c>
    </row>
    <row r="239" spans="1:5">
      <c r="A239" s="216">
        <v>45170</v>
      </c>
      <c r="B239" t="s">
        <v>47</v>
      </c>
      <c r="C239" t="s">
        <v>463</v>
      </c>
      <c r="D239">
        <v>10268</v>
      </c>
      <c r="E239" t="s">
        <v>254</v>
      </c>
    </row>
    <row r="240" spans="1:5">
      <c r="A240" s="216">
        <v>45170</v>
      </c>
      <c r="B240" t="s">
        <v>47</v>
      </c>
      <c r="C240" t="s">
        <v>463</v>
      </c>
      <c r="D240">
        <v>9101</v>
      </c>
      <c r="E240" t="s">
        <v>255</v>
      </c>
    </row>
    <row r="241" spans="1:5">
      <c r="A241" s="216">
        <v>45170</v>
      </c>
      <c r="B241" t="s">
        <v>47</v>
      </c>
      <c r="C241" t="s">
        <v>463</v>
      </c>
      <c r="D241">
        <v>9255</v>
      </c>
      <c r="E241" t="s">
        <v>256</v>
      </c>
    </row>
    <row r="242" spans="1:5">
      <c r="A242" s="216">
        <v>45170</v>
      </c>
      <c r="B242" t="s">
        <v>47</v>
      </c>
      <c r="C242" t="s">
        <v>463</v>
      </c>
      <c r="D242">
        <v>9335</v>
      </c>
      <c r="E242" t="s">
        <v>257</v>
      </c>
    </row>
    <row r="243" spans="1:5">
      <c r="A243" s="216">
        <v>45170</v>
      </c>
      <c r="B243" t="s">
        <v>47</v>
      </c>
      <c r="C243" t="s">
        <v>463</v>
      </c>
      <c r="D243">
        <v>9312</v>
      </c>
      <c r="E243" t="s">
        <v>258</v>
      </c>
    </row>
    <row r="244" spans="1:5">
      <c r="A244" s="216">
        <v>45170</v>
      </c>
      <c r="B244" t="s">
        <v>47</v>
      </c>
      <c r="C244" t="s">
        <v>463</v>
      </c>
      <c r="D244">
        <v>9312</v>
      </c>
      <c r="E244" t="s">
        <v>259</v>
      </c>
    </row>
    <row r="245" spans="1:5">
      <c r="A245" s="216">
        <v>45170</v>
      </c>
      <c r="B245" t="s">
        <v>47</v>
      </c>
      <c r="C245" t="s">
        <v>463</v>
      </c>
      <c r="D245">
        <v>9312</v>
      </c>
      <c r="E245" t="s">
        <v>260</v>
      </c>
    </row>
    <row r="246" spans="1:5">
      <c r="A246" s="216">
        <v>45170</v>
      </c>
      <c r="B246" t="s">
        <v>47</v>
      </c>
      <c r="C246" t="s">
        <v>463</v>
      </c>
      <c r="D246">
        <v>9302</v>
      </c>
      <c r="E246" t="s">
        <v>261</v>
      </c>
    </row>
    <row r="247" spans="1:5">
      <c r="A247" s="216">
        <v>45170</v>
      </c>
      <c r="B247" t="s">
        <v>47</v>
      </c>
      <c r="C247" t="s">
        <v>463</v>
      </c>
      <c r="D247">
        <v>9546</v>
      </c>
      <c r="E247" t="s">
        <v>262</v>
      </c>
    </row>
    <row r="248" spans="1:5">
      <c r="A248" s="216">
        <v>45170</v>
      </c>
      <c r="B248" t="s">
        <v>47</v>
      </c>
      <c r="C248" t="s">
        <v>463</v>
      </c>
      <c r="D248">
        <v>113510</v>
      </c>
      <c r="E248" t="s">
        <v>434</v>
      </c>
    </row>
    <row r="249" spans="1:5">
      <c r="A249" s="216">
        <v>45170</v>
      </c>
      <c r="B249" t="s">
        <v>47</v>
      </c>
      <c r="C249" t="s">
        <v>464</v>
      </c>
      <c r="D249">
        <v>902</v>
      </c>
      <c r="E249" t="s">
        <v>251</v>
      </c>
    </row>
    <row r="250" spans="1:5">
      <c r="A250" s="216">
        <v>45170</v>
      </c>
      <c r="B250" t="s">
        <v>47</v>
      </c>
      <c r="C250" t="s">
        <v>464</v>
      </c>
      <c r="D250">
        <v>1165</v>
      </c>
      <c r="E250" t="s">
        <v>252</v>
      </c>
    </row>
    <row r="251" spans="1:5">
      <c r="A251" s="216">
        <v>45170</v>
      </c>
      <c r="B251" t="s">
        <v>47</v>
      </c>
      <c r="C251" t="s">
        <v>464</v>
      </c>
      <c r="D251">
        <v>989</v>
      </c>
      <c r="E251" t="s">
        <v>253</v>
      </c>
    </row>
    <row r="252" spans="1:5">
      <c r="A252" s="216">
        <v>45170</v>
      </c>
      <c r="B252" t="s">
        <v>47</v>
      </c>
      <c r="C252" t="s">
        <v>464</v>
      </c>
      <c r="D252">
        <v>1111</v>
      </c>
      <c r="E252" t="s">
        <v>254</v>
      </c>
    </row>
    <row r="253" spans="1:5">
      <c r="A253" s="216">
        <v>45170</v>
      </c>
      <c r="B253" t="s">
        <v>47</v>
      </c>
      <c r="C253" t="s">
        <v>464</v>
      </c>
      <c r="D253">
        <v>1062</v>
      </c>
      <c r="E253" t="s">
        <v>255</v>
      </c>
    </row>
    <row r="254" spans="1:5">
      <c r="A254" s="216">
        <v>45170</v>
      </c>
      <c r="B254" t="s">
        <v>47</v>
      </c>
      <c r="C254" t="s">
        <v>464</v>
      </c>
      <c r="D254">
        <v>1026</v>
      </c>
      <c r="E254" t="s">
        <v>256</v>
      </c>
    </row>
    <row r="255" spans="1:5">
      <c r="A255" s="216">
        <v>45170</v>
      </c>
      <c r="B255" t="s">
        <v>47</v>
      </c>
      <c r="C255" t="s">
        <v>464</v>
      </c>
      <c r="D255">
        <v>1043</v>
      </c>
      <c r="E255" t="s">
        <v>257</v>
      </c>
    </row>
    <row r="256" spans="1:5">
      <c r="A256" s="216">
        <v>45170</v>
      </c>
      <c r="B256" t="s">
        <v>47</v>
      </c>
      <c r="C256" t="s">
        <v>464</v>
      </c>
      <c r="D256">
        <v>1043</v>
      </c>
      <c r="E256" t="s">
        <v>258</v>
      </c>
    </row>
    <row r="257" spans="1:5">
      <c r="A257" s="216">
        <v>45170</v>
      </c>
      <c r="B257" t="s">
        <v>47</v>
      </c>
      <c r="C257" t="s">
        <v>464</v>
      </c>
      <c r="D257">
        <v>1043</v>
      </c>
      <c r="E257" t="s">
        <v>259</v>
      </c>
    </row>
    <row r="258" spans="1:5">
      <c r="A258" s="216">
        <v>45170</v>
      </c>
      <c r="B258" t="s">
        <v>47</v>
      </c>
      <c r="C258" t="s">
        <v>464</v>
      </c>
      <c r="D258">
        <v>1043</v>
      </c>
      <c r="E258" t="s">
        <v>260</v>
      </c>
    </row>
    <row r="259" spans="1:5">
      <c r="A259" s="216">
        <v>45170</v>
      </c>
      <c r="B259" t="s">
        <v>47</v>
      </c>
      <c r="C259" t="s">
        <v>464</v>
      </c>
      <c r="D259">
        <v>1043</v>
      </c>
      <c r="E259" t="s">
        <v>261</v>
      </c>
    </row>
    <row r="260" spans="1:5">
      <c r="A260" s="216">
        <v>45170</v>
      </c>
      <c r="B260" t="s">
        <v>47</v>
      </c>
      <c r="C260" t="s">
        <v>464</v>
      </c>
      <c r="D260">
        <v>1043</v>
      </c>
      <c r="E260" t="s">
        <v>262</v>
      </c>
    </row>
    <row r="261" spans="1:5">
      <c r="A261" s="216">
        <v>45170</v>
      </c>
      <c r="B261" t="s">
        <v>47</v>
      </c>
      <c r="C261" t="s">
        <v>464</v>
      </c>
      <c r="D261">
        <v>12513</v>
      </c>
      <c r="E261" t="s">
        <v>434</v>
      </c>
    </row>
    <row r="262" spans="1:5">
      <c r="A262" s="216">
        <v>45170</v>
      </c>
      <c r="B262" t="s">
        <v>3</v>
      </c>
      <c r="C262" t="s">
        <v>463</v>
      </c>
      <c r="D262">
        <v>55439.745329999998</v>
      </c>
      <c r="E262" t="s">
        <v>251</v>
      </c>
    </row>
    <row r="263" spans="1:5">
      <c r="A263" s="216">
        <v>45170</v>
      </c>
      <c r="B263" t="s">
        <v>3</v>
      </c>
      <c r="C263" t="s">
        <v>463</v>
      </c>
      <c r="D263">
        <v>59589.588000000003</v>
      </c>
      <c r="E263" t="s">
        <v>252</v>
      </c>
    </row>
    <row r="264" spans="1:5">
      <c r="A264" s="216">
        <v>45170</v>
      </c>
      <c r="B264" t="s">
        <v>3</v>
      </c>
      <c r="C264" t="s">
        <v>463</v>
      </c>
      <c r="D264">
        <v>71971.95521</v>
      </c>
      <c r="E264" t="s">
        <v>253</v>
      </c>
    </row>
    <row r="265" spans="1:5">
      <c r="A265" s="216">
        <v>45170</v>
      </c>
      <c r="B265" t="s">
        <v>3</v>
      </c>
      <c r="C265" t="s">
        <v>463</v>
      </c>
      <c r="D265">
        <v>72789.831619999997</v>
      </c>
      <c r="E265" t="s">
        <v>254</v>
      </c>
    </row>
    <row r="266" spans="1:5">
      <c r="A266" s="216">
        <v>45170</v>
      </c>
      <c r="B266" t="s">
        <v>3</v>
      </c>
      <c r="C266" t="s">
        <v>463</v>
      </c>
      <c r="D266">
        <v>60789.56078</v>
      </c>
      <c r="E266" t="s">
        <v>255</v>
      </c>
    </row>
    <row r="267" spans="1:5">
      <c r="A267" s="216">
        <v>45170</v>
      </c>
      <c r="B267" t="s">
        <v>3</v>
      </c>
      <c r="C267" t="s">
        <v>463</v>
      </c>
      <c r="D267">
        <v>60721.525900000001</v>
      </c>
      <c r="E267" t="s">
        <v>256</v>
      </c>
    </row>
    <row r="268" spans="1:5">
      <c r="A268" s="216">
        <v>45170</v>
      </c>
      <c r="B268" t="s">
        <v>3</v>
      </c>
      <c r="C268" t="s">
        <v>463</v>
      </c>
      <c r="D268">
        <v>60253.576999999997</v>
      </c>
      <c r="E268" t="s">
        <v>257</v>
      </c>
    </row>
    <row r="269" spans="1:5">
      <c r="A269" s="216">
        <v>45170</v>
      </c>
      <c r="B269" t="s">
        <v>3</v>
      </c>
      <c r="C269" t="s">
        <v>463</v>
      </c>
      <c r="D269">
        <v>60377.815999999999</v>
      </c>
      <c r="E269" t="s">
        <v>258</v>
      </c>
    </row>
    <row r="270" spans="1:5">
      <c r="A270" s="216">
        <v>45170</v>
      </c>
      <c r="B270" t="s">
        <v>3</v>
      </c>
      <c r="C270" t="s">
        <v>463</v>
      </c>
      <c r="D270">
        <v>60375.019</v>
      </c>
      <c r="E270" t="s">
        <v>259</v>
      </c>
    </row>
    <row r="271" spans="1:5">
      <c r="A271" s="216">
        <v>45170</v>
      </c>
      <c r="B271" t="s">
        <v>3</v>
      </c>
      <c r="C271" t="s">
        <v>463</v>
      </c>
      <c r="D271">
        <v>60720.671999999999</v>
      </c>
      <c r="E271" t="s">
        <v>260</v>
      </c>
    </row>
    <row r="272" spans="1:5">
      <c r="A272" s="216">
        <v>45170</v>
      </c>
      <c r="B272" t="s">
        <v>3</v>
      </c>
      <c r="C272" t="s">
        <v>463</v>
      </c>
      <c r="D272">
        <v>60523.51</v>
      </c>
      <c r="E272" t="s">
        <v>261</v>
      </c>
    </row>
    <row r="273" spans="1:5">
      <c r="A273" s="216">
        <v>45170</v>
      </c>
      <c r="B273" t="s">
        <v>3</v>
      </c>
      <c r="C273" t="s">
        <v>463</v>
      </c>
      <c r="D273">
        <v>60656.682000000001</v>
      </c>
      <c r="E273" t="s">
        <v>262</v>
      </c>
    </row>
    <row r="274" spans="1:5">
      <c r="A274" s="216">
        <v>45170</v>
      </c>
      <c r="B274" t="s">
        <v>3</v>
      </c>
      <c r="C274" t="s">
        <v>463</v>
      </c>
      <c r="D274">
        <v>744209.48283999995</v>
      </c>
      <c r="E274" t="s">
        <v>434</v>
      </c>
    </row>
    <row r="275" spans="1:5">
      <c r="A275" s="216">
        <v>45170</v>
      </c>
      <c r="B275" t="s">
        <v>3</v>
      </c>
      <c r="C275" t="s">
        <v>464</v>
      </c>
      <c r="D275">
        <v>3315.4850799999999</v>
      </c>
      <c r="E275" t="s">
        <v>251</v>
      </c>
    </row>
    <row r="276" spans="1:5">
      <c r="A276" s="216">
        <v>45170</v>
      </c>
      <c r="B276" t="s">
        <v>3</v>
      </c>
      <c r="C276" t="s">
        <v>464</v>
      </c>
      <c r="D276">
        <v>3533.2210599999999</v>
      </c>
      <c r="E276" t="s">
        <v>252</v>
      </c>
    </row>
    <row r="277" spans="1:5">
      <c r="A277" s="216">
        <v>45170</v>
      </c>
      <c r="B277" t="s">
        <v>3</v>
      </c>
      <c r="C277" t="s">
        <v>464</v>
      </c>
      <c r="D277">
        <v>3713.58365</v>
      </c>
      <c r="E277" t="s">
        <v>253</v>
      </c>
    </row>
    <row r="278" spans="1:5">
      <c r="A278" s="216">
        <v>45170</v>
      </c>
      <c r="B278" t="s">
        <v>3</v>
      </c>
      <c r="C278" t="s">
        <v>464</v>
      </c>
      <c r="D278">
        <v>3342.4333499999998</v>
      </c>
      <c r="E278" t="s">
        <v>254</v>
      </c>
    </row>
    <row r="279" spans="1:5">
      <c r="A279" s="216">
        <v>45170</v>
      </c>
      <c r="B279" t="s">
        <v>3</v>
      </c>
      <c r="C279" t="s">
        <v>464</v>
      </c>
      <c r="D279">
        <v>3204.3601800000001</v>
      </c>
      <c r="E279" t="s">
        <v>255</v>
      </c>
    </row>
    <row r="280" spans="1:5">
      <c r="A280" s="216">
        <v>45170</v>
      </c>
      <c r="B280" t="s">
        <v>3</v>
      </c>
      <c r="C280" t="s">
        <v>464</v>
      </c>
      <c r="D280">
        <v>2472.1860000000001</v>
      </c>
      <c r="E280" t="s">
        <v>256</v>
      </c>
    </row>
    <row r="281" spans="1:5">
      <c r="A281" s="216">
        <v>45170</v>
      </c>
      <c r="B281" t="s">
        <v>3</v>
      </c>
      <c r="C281" t="s">
        <v>464</v>
      </c>
      <c r="D281">
        <v>3263.5448866666702</v>
      </c>
      <c r="E281" t="s">
        <v>257</v>
      </c>
    </row>
    <row r="282" spans="1:5">
      <c r="A282" s="216">
        <v>45170</v>
      </c>
      <c r="B282" t="s">
        <v>3</v>
      </c>
      <c r="C282" t="s">
        <v>464</v>
      </c>
      <c r="D282">
        <v>3263.5448866666702</v>
      </c>
      <c r="E282" t="s">
        <v>258</v>
      </c>
    </row>
    <row r="283" spans="1:5">
      <c r="A283" s="216">
        <v>45170</v>
      </c>
      <c r="B283" t="s">
        <v>3</v>
      </c>
      <c r="C283" t="s">
        <v>464</v>
      </c>
      <c r="D283">
        <v>3263.5448866666702</v>
      </c>
      <c r="E283" t="s">
        <v>259</v>
      </c>
    </row>
    <row r="284" spans="1:5">
      <c r="A284" s="216">
        <v>45170</v>
      </c>
      <c r="B284" t="s">
        <v>3</v>
      </c>
      <c r="C284" t="s">
        <v>464</v>
      </c>
      <c r="D284">
        <v>3263.5448866666702</v>
      </c>
      <c r="E284" t="s">
        <v>260</v>
      </c>
    </row>
    <row r="285" spans="1:5">
      <c r="A285" s="216">
        <v>45170</v>
      </c>
      <c r="B285" t="s">
        <v>3</v>
      </c>
      <c r="C285" t="s">
        <v>464</v>
      </c>
      <c r="D285">
        <v>3263.5448866666702</v>
      </c>
      <c r="E285" t="s">
        <v>261</v>
      </c>
    </row>
    <row r="286" spans="1:5">
      <c r="A286" s="216">
        <v>45170</v>
      </c>
      <c r="B286" t="s">
        <v>3</v>
      </c>
      <c r="C286" t="s">
        <v>464</v>
      </c>
      <c r="D286">
        <v>3263.5448866666702</v>
      </c>
      <c r="E286" t="s">
        <v>262</v>
      </c>
    </row>
    <row r="287" spans="1:5">
      <c r="A287" s="216">
        <v>45170</v>
      </c>
      <c r="B287" t="s">
        <v>3</v>
      </c>
      <c r="C287" t="s">
        <v>464</v>
      </c>
      <c r="D287">
        <v>39162.538639999999</v>
      </c>
      <c r="E287" t="s">
        <v>434</v>
      </c>
    </row>
    <row r="288" spans="1:5">
      <c r="A288" s="216">
        <v>45170</v>
      </c>
      <c r="B288" t="s">
        <v>49</v>
      </c>
      <c r="C288" t="s">
        <v>463</v>
      </c>
      <c r="D288">
        <v>6328.4069799999997</v>
      </c>
      <c r="E288" t="s">
        <v>251</v>
      </c>
    </row>
    <row r="289" spans="1:5">
      <c r="A289" s="216">
        <v>45170</v>
      </c>
      <c r="B289" t="s">
        <v>49</v>
      </c>
      <c r="C289" t="s">
        <v>463</v>
      </c>
      <c r="D289">
        <v>6675.4129899999998</v>
      </c>
      <c r="E289" t="s">
        <v>252</v>
      </c>
    </row>
    <row r="290" spans="1:5">
      <c r="A290" s="216">
        <v>45170</v>
      </c>
      <c r="B290" t="s">
        <v>49</v>
      </c>
      <c r="C290" t="s">
        <v>463</v>
      </c>
      <c r="D290">
        <v>7977.7987199999998</v>
      </c>
      <c r="E290" t="s">
        <v>253</v>
      </c>
    </row>
    <row r="291" spans="1:5">
      <c r="A291" s="216">
        <v>45170</v>
      </c>
      <c r="B291" t="s">
        <v>49</v>
      </c>
      <c r="C291" t="s">
        <v>463</v>
      </c>
      <c r="D291">
        <v>7716.3506100000004</v>
      </c>
      <c r="E291" t="s">
        <v>254</v>
      </c>
    </row>
    <row r="292" spans="1:5">
      <c r="A292" s="216">
        <v>45170</v>
      </c>
      <c r="B292" t="s">
        <v>49</v>
      </c>
      <c r="C292" t="s">
        <v>463</v>
      </c>
      <c r="D292">
        <v>6801.6626999999999</v>
      </c>
      <c r="E292" t="s">
        <v>255</v>
      </c>
    </row>
    <row r="293" spans="1:5">
      <c r="A293" s="216">
        <v>45170</v>
      </c>
      <c r="B293" t="s">
        <v>49</v>
      </c>
      <c r="C293" t="s">
        <v>463</v>
      </c>
      <c r="D293">
        <v>7092.6018599999998</v>
      </c>
      <c r="E293" t="s">
        <v>256</v>
      </c>
    </row>
    <row r="294" spans="1:5">
      <c r="A294" s="216">
        <v>45170</v>
      </c>
      <c r="B294" t="s">
        <v>49</v>
      </c>
      <c r="C294" t="s">
        <v>463</v>
      </c>
      <c r="D294">
        <v>6943.1594299999997</v>
      </c>
      <c r="E294" t="s">
        <v>257</v>
      </c>
    </row>
    <row r="295" spans="1:5">
      <c r="A295" s="216">
        <v>45170</v>
      </c>
      <c r="B295" t="s">
        <v>49</v>
      </c>
      <c r="C295" t="s">
        <v>463</v>
      </c>
      <c r="D295">
        <v>6973.1854300000005</v>
      </c>
      <c r="E295" t="s">
        <v>258</v>
      </c>
    </row>
    <row r="296" spans="1:5">
      <c r="A296" s="216">
        <v>45170</v>
      </c>
      <c r="B296" t="s">
        <v>49</v>
      </c>
      <c r="C296" t="s">
        <v>463</v>
      </c>
      <c r="D296">
        <v>6998.1844300000002</v>
      </c>
      <c r="E296" t="s">
        <v>259</v>
      </c>
    </row>
    <row r="297" spans="1:5">
      <c r="A297" s="216">
        <v>45170</v>
      </c>
      <c r="B297" t="s">
        <v>49</v>
      </c>
      <c r="C297" t="s">
        <v>463</v>
      </c>
      <c r="D297">
        <v>7028.1844300000002</v>
      </c>
      <c r="E297" t="s">
        <v>260</v>
      </c>
    </row>
    <row r="298" spans="1:5">
      <c r="A298" s="216">
        <v>45170</v>
      </c>
      <c r="B298" t="s">
        <v>49</v>
      </c>
      <c r="C298" t="s">
        <v>463</v>
      </c>
      <c r="D298">
        <v>7033.1844300000002</v>
      </c>
      <c r="E298" t="s">
        <v>261</v>
      </c>
    </row>
    <row r="299" spans="1:5">
      <c r="A299" s="216">
        <v>45170</v>
      </c>
      <c r="B299" t="s">
        <v>49</v>
      </c>
      <c r="C299" t="s">
        <v>463</v>
      </c>
      <c r="D299">
        <v>7033.1844300000002</v>
      </c>
      <c r="E299" t="s">
        <v>262</v>
      </c>
    </row>
    <row r="300" spans="1:5">
      <c r="A300" s="216">
        <v>45170</v>
      </c>
      <c r="B300" t="s">
        <v>49</v>
      </c>
      <c r="C300" t="s">
        <v>463</v>
      </c>
      <c r="D300">
        <v>84601.316439999995</v>
      </c>
      <c r="E300" t="s">
        <v>434</v>
      </c>
    </row>
    <row r="301" spans="1:5">
      <c r="A301" s="216">
        <v>45170</v>
      </c>
      <c r="B301" t="s">
        <v>49</v>
      </c>
      <c r="C301" t="s">
        <v>464</v>
      </c>
      <c r="D301">
        <v>88.052310000000006</v>
      </c>
      <c r="E301" t="s">
        <v>251</v>
      </c>
    </row>
    <row r="302" spans="1:5">
      <c r="A302" s="216">
        <v>45170</v>
      </c>
      <c r="B302" t="s">
        <v>49</v>
      </c>
      <c r="C302" t="s">
        <v>464</v>
      </c>
      <c r="D302">
        <v>76.650000000000006</v>
      </c>
      <c r="E302" t="s">
        <v>252</v>
      </c>
    </row>
    <row r="303" spans="1:5">
      <c r="A303" s="216">
        <v>45170</v>
      </c>
      <c r="B303" t="s">
        <v>49</v>
      </c>
      <c r="C303" t="s">
        <v>464</v>
      </c>
      <c r="D303">
        <v>86.015000000000001</v>
      </c>
      <c r="E303" t="s">
        <v>253</v>
      </c>
    </row>
    <row r="304" spans="1:5">
      <c r="A304" s="216">
        <v>45170</v>
      </c>
      <c r="B304" t="s">
        <v>49</v>
      </c>
      <c r="C304" t="s">
        <v>464</v>
      </c>
      <c r="D304">
        <v>74.769599999999997</v>
      </c>
      <c r="E304" t="s">
        <v>254</v>
      </c>
    </row>
    <row r="305" spans="1:5">
      <c r="A305" s="216">
        <v>45170</v>
      </c>
      <c r="B305" t="s">
        <v>49</v>
      </c>
      <c r="C305" t="s">
        <v>464</v>
      </c>
      <c r="D305">
        <v>109.1327</v>
      </c>
      <c r="E305" t="s">
        <v>255</v>
      </c>
    </row>
    <row r="306" spans="1:5">
      <c r="A306" s="216">
        <v>45170</v>
      </c>
      <c r="B306" t="s">
        <v>49</v>
      </c>
      <c r="C306" t="s">
        <v>464</v>
      </c>
      <c r="D306">
        <v>117.3</v>
      </c>
      <c r="E306" t="s">
        <v>256</v>
      </c>
    </row>
    <row r="307" spans="1:5">
      <c r="A307" s="216">
        <v>45170</v>
      </c>
      <c r="B307" t="s">
        <v>49</v>
      </c>
      <c r="C307" t="s">
        <v>464</v>
      </c>
      <c r="D307">
        <v>96.330399999999997</v>
      </c>
      <c r="E307" t="s">
        <v>257</v>
      </c>
    </row>
    <row r="308" spans="1:5">
      <c r="A308" s="216">
        <v>45170</v>
      </c>
      <c r="B308" t="s">
        <v>49</v>
      </c>
      <c r="C308" t="s">
        <v>464</v>
      </c>
      <c r="D308">
        <v>93.281400000000005</v>
      </c>
      <c r="E308" t="s">
        <v>258</v>
      </c>
    </row>
    <row r="309" spans="1:5">
      <c r="A309" s="216">
        <v>45170</v>
      </c>
      <c r="B309" t="s">
        <v>49</v>
      </c>
      <c r="C309" t="s">
        <v>464</v>
      </c>
      <c r="D309">
        <v>87.330399999999997</v>
      </c>
      <c r="E309" t="s">
        <v>259</v>
      </c>
    </row>
    <row r="310" spans="1:5">
      <c r="A310" s="216">
        <v>45170</v>
      </c>
      <c r="B310" t="s">
        <v>49</v>
      </c>
      <c r="C310" t="s">
        <v>464</v>
      </c>
      <c r="D310">
        <v>50.802999999999997</v>
      </c>
      <c r="E310" t="s">
        <v>260</v>
      </c>
    </row>
    <row r="311" spans="1:5">
      <c r="A311" s="216">
        <v>45170</v>
      </c>
      <c r="B311" t="s">
        <v>49</v>
      </c>
      <c r="C311" t="s">
        <v>464</v>
      </c>
      <c r="D311">
        <v>30.754000000000001</v>
      </c>
      <c r="E311" t="s">
        <v>261</v>
      </c>
    </row>
    <row r="312" spans="1:5">
      <c r="A312" s="216">
        <v>45170</v>
      </c>
      <c r="B312" t="s">
        <v>49</v>
      </c>
      <c r="C312" t="s">
        <v>464</v>
      </c>
      <c r="D312">
        <v>29.803000000000001</v>
      </c>
      <c r="E312" t="s">
        <v>262</v>
      </c>
    </row>
    <row r="313" spans="1:5">
      <c r="A313" s="216">
        <v>45170</v>
      </c>
      <c r="B313" t="s">
        <v>49</v>
      </c>
      <c r="C313" t="s">
        <v>464</v>
      </c>
      <c r="D313">
        <v>940.22181</v>
      </c>
      <c r="E313" t="s">
        <v>434</v>
      </c>
    </row>
    <row r="314" spans="1:5">
      <c r="A314" s="216">
        <v>45170</v>
      </c>
      <c r="B314" t="s">
        <v>50</v>
      </c>
      <c r="C314" t="s">
        <v>463</v>
      </c>
      <c r="D314">
        <v>15786</v>
      </c>
      <c r="E314" t="s">
        <v>251</v>
      </c>
    </row>
    <row r="315" spans="1:5">
      <c r="A315" s="216">
        <v>45170</v>
      </c>
      <c r="B315" t="s">
        <v>50</v>
      </c>
      <c r="C315" t="s">
        <v>463</v>
      </c>
      <c r="D315">
        <v>16898</v>
      </c>
      <c r="E315" t="s">
        <v>252</v>
      </c>
    </row>
    <row r="316" spans="1:5">
      <c r="A316" s="216">
        <v>45170</v>
      </c>
      <c r="B316" t="s">
        <v>50</v>
      </c>
      <c r="C316" t="s">
        <v>463</v>
      </c>
      <c r="D316">
        <v>20907</v>
      </c>
      <c r="E316" t="s">
        <v>253</v>
      </c>
    </row>
    <row r="317" spans="1:5">
      <c r="A317" s="216">
        <v>45170</v>
      </c>
      <c r="B317" t="s">
        <v>50</v>
      </c>
      <c r="C317" t="s">
        <v>463</v>
      </c>
      <c r="D317">
        <v>18945</v>
      </c>
      <c r="E317" t="s">
        <v>254</v>
      </c>
    </row>
    <row r="318" spans="1:5">
      <c r="A318" s="216">
        <v>45170</v>
      </c>
      <c r="B318" t="s">
        <v>50</v>
      </c>
      <c r="C318" t="s">
        <v>463</v>
      </c>
      <c r="D318">
        <v>16789</v>
      </c>
      <c r="E318" t="s">
        <v>255</v>
      </c>
    </row>
    <row r="319" spans="1:5">
      <c r="A319" s="216">
        <v>45170</v>
      </c>
      <c r="B319" t="s">
        <v>50</v>
      </c>
      <c r="C319" t="s">
        <v>463</v>
      </c>
      <c r="D319">
        <v>16807</v>
      </c>
      <c r="E319" t="s">
        <v>256</v>
      </c>
    </row>
    <row r="320" spans="1:5">
      <c r="A320" s="216">
        <v>45170</v>
      </c>
      <c r="B320" t="s">
        <v>50</v>
      </c>
      <c r="C320" t="s">
        <v>463</v>
      </c>
      <c r="D320">
        <v>17716</v>
      </c>
      <c r="E320" t="s">
        <v>257</v>
      </c>
    </row>
    <row r="321" spans="1:5">
      <c r="A321" s="216">
        <v>45170</v>
      </c>
      <c r="B321" t="s">
        <v>50</v>
      </c>
      <c r="C321" t="s">
        <v>463</v>
      </c>
      <c r="D321">
        <v>17716</v>
      </c>
      <c r="E321" t="s">
        <v>258</v>
      </c>
    </row>
    <row r="322" spans="1:5">
      <c r="A322" s="216">
        <v>45170</v>
      </c>
      <c r="B322" t="s">
        <v>50</v>
      </c>
      <c r="C322" t="s">
        <v>463</v>
      </c>
      <c r="D322">
        <v>17716</v>
      </c>
      <c r="E322" t="s">
        <v>259</v>
      </c>
    </row>
    <row r="323" spans="1:5">
      <c r="A323" s="216">
        <v>45170</v>
      </c>
      <c r="B323" t="s">
        <v>50</v>
      </c>
      <c r="C323" t="s">
        <v>463</v>
      </c>
      <c r="D323">
        <v>17717</v>
      </c>
      <c r="E323" t="s">
        <v>260</v>
      </c>
    </row>
    <row r="324" spans="1:5">
      <c r="A324" s="216">
        <v>45170</v>
      </c>
      <c r="B324" t="s">
        <v>50</v>
      </c>
      <c r="C324" t="s">
        <v>463</v>
      </c>
      <c r="D324">
        <v>17717</v>
      </c>
      <c r="E324" t="s">
        <v>261</v>
      </c>
    </row>
    <row r="325" spans="1:5">
      <c r="A325" s="216">
        <v>45170</v>
      </c>
      <c r="B325" t="s">
        <v>50</v>
      </c>
      <c r="C325" t="s">
        <v>463</v>
      </c>
      <c r="D325">
        <v>17717</v>
      </c>
      <c r="E325" t="s">
        <v>262</v>
      </c>
    </row>
    <row r="326" spans="1:5">
      <c r="A326" s="216">
        <v>45170</v>
      </c>
      <c r="B326" t="s">
        <v>50</v>
      </c>
      <c r="C326" t="s">
        <v>463</v>
      </c>
      <c r="D326">
        <v>212431</v>
      </c>
      <c r="E326" t="s">
        <v>434</v>
      </c>
    </row>
    <row r="327" spans="1:5">
      <c r="A327" s="216">
        <v>45170</v>
      </c>
      <c r="B327" t="s">
        <v>50</v>
      </c>
      <c r="C327" t="s">
        <v>464</v>
      </c>
      <c r="D327">
        <v>100</v>
      </c>
      <c r="E327" t="s">
        <v>251</v>
      </c>
    </row>
    <row r="328" spans="1:5">
      <c r="A328" s="216">
        <v>45170</v>
      </c>
      <c r="B328" t="s">
        <v>50</v>
      </c>
      <c r="C328" t="s">
        <v>464</v>
      </c>
      <c r="D328">
        <v>107</v>
      </c>
      <c r="E328" t="s">
        <v>252</v>
      </c>
    </row>
    <row r="329" spans="1:5">
      <c r="A329" s="216">
        <v>45170</v>
      </c>
      <c r="B329" t="s">
        <v>50</v>
      </c>
      <c r="C329" t="s">
        <v>464</v>
      </c>
      <c r="D329">
        <v>62</v>
      </c>
      <c r="E329" t="s">
        <v>253</v>
      </c>
    </row>
    <row r="330" spans="1:5">
      <c r="A330" s="216">
        <v>45170</v>
      </c>
      <c r="B330" t="s">
        <v>50</v>
      </c>
      <c r="C330" t="s">
        <v>464</v>
      </c>
      <c r="D330">
        <v>59</v>
      </c>
      <c r="E330" t="s">
        <v>254</v>
      </c>
    </row>
    <row r="331" spans="1:5">
      <c r="A331" s="216">
        <v>45170</v>
      </c>
      <c r="B331" t="s">
        <v>50</v>
      </c>
      <c r="C331" t="s">
        <v>464</v>
      </c>
      <c r="D331">
        <v>51</v>
      </c>
      <c r="E331" t="s">
        <v>255</v>
      </c>
    </row>
    <row r="332" spans="1:5">
      <c r="A332" s="216">
        <v>45170</v>
      </c>
      <c r="B332" t="s">
        <v>50</v>
      </c>
      <c r="C332" t="s">
        <v>464</v>
      </c>
      <c r="D332">
        <v>70</v>
      </c>
      <c r="E332" t="s">
        <v>256</v>
      </c>
    </row>
    <row r="333" spans="1:5">
      <c r="A333" s="216">
        <v>45170</v>
      </c>
      <c r="B333" t="s">
        <v>50</v>
      </c>
      <c r="C333" t="s">
        <v>464</v>
      </c>
      <c r="D333">
        <v>58</v>
      </c>
      <c r="E333" t="s">
        <v>257</v>
      </c>
    </row>
    <row r="334" spans="1:5">
      <c r="A334" s="216">
        <v>45170</v>
      </c>
      <c r="B334" t="s">
        <v>50</v>
      </c>
      <c r="C334" t="s">
        <v>464</v>
      </c>
      <c r="D334">
        <v>58</v>
      </c>
      <c r="E334" t="s">
        <v>258</v>
      </c>
    </row>
    <row r="335" spans="1:5">
      <c r="A335" s="216">
        <v>45170</v>
      </c>
      <c r="B335" t="s">
        <v>50</v>
      </c>
      <c r="C335" t="s">
        <v>464</v>
      </c>
      <c r="D335">
        <v>58</v>
      </c>
      <c r="E335" t="s">
        <v>259</v>
      </c>
    </row>
    <row r="336" spans="1:5">
      <c r="A336" s="216">
        <v>45170</v>
      </c>
      <c r="B336" t="s">
        <v>50</v>
      </c>
      <c r="C336" t="s">
        <v>464</v>
      </c>
      <c r="D336">
        <v>58</v>
      </c>
      <c r="E336" t="s">
        <v>260</v>
      </c>
    </row>
    <row r="337" spans="1:5">
      <c r="A337" s="216">
        <v>45170</v>
      </c>
      <c r="B337" t="s">
        <v>50</v>
      </c>
      <c r="C337" t="s">
        <v>464</v>
      </c>
      <c r="D337">
        <v>58</v>
      </c>
      <c r="E337" t="s">
        <v>261</v>
      </c>
    </row>
    <row r="338" spans="1:5">
      <c r="A338" s="216">
        <v>45170</v>
      </c>
      <c r="B338" t="s">
        <v>50</v>
      </c>
      <c r="C338" t="s">
        <v>464</v>
      </c>
      <c r="D338">
        <v>58</v>
      </c>
      <c r="E338" t="s">
        <v>262</v>
      </c>
    </row>
    <row r="339" spans="1:5">
      <c r="A339" s="216">
        <v>45170</v>
      </c>
      <c r="B339" t="s">
        <v>50</v>
      </c>
      <c r="C339" t="s">
        <v>464</v>
      </c>
      <c r="D339">
        <v>797</v>
      </c>
      <c r="E339" t="s">
        <v>434</v>
      </c>
    </row>
    <row r="340" spans="1:5">
      <c r="A340" s="216">
        <v>45170</v>
      </c>
      <c r="B340" t="s">
        <v>461</v>
      </c>
      <c r="C340" t="s">
        <v>463</v>
      </c>
      <c r="D340">
        <v>598</v>
      </c>
      <c r="E340" t="s">
        <v>251</v>
      </c>
    </row>
    <row r="341" spans="1:5">
      <c r="A341" s="216">
        <v>45170</v>
      </c>
      <c r="B341" t="s">
        <v>461</v>
      </c>
      <c r="C341" t="s">
        <v>463</v>
      </c>
      <c r="D341">
        <v>934</v>
      </c>
      <c r="E341" t="s">
        <v>252</v>
      </c>
    </row>
    <row r="342" spans="1:5">
      <c r="A342" s="216">
        <v>45170</v>
      </c>
      <c r="B342" t="s">
        <v>461</v>
      </c>
      <c r="C342" t="s">
        <v>463</v>
      </c>
      <c r="D342">
        <v>402.65499999999997</v>
      </c>
      <c r="E342" t="s">
        <v>253</v>
      </c>
    </row>
    <row r="343" spans="1:5">
      <c r="A343" s="216">
        <v>45170</v>
      </c>
      <c r="B343" t="s">
        <v>461</v>
      </c>
      <c r="C343" t="s">
        <v>463</v>
      </c>
      <c r="D343">
        <v>722.71699999999998</v>
      </c>
      <c r="E343" t="s">
        <v>254</v>
      </c>
    </row>
    <row r="344" spans="1:5">
      <c r="A344" s="216">
        <v>45170</v>
      </c>
      <c r="B344" t="s">
        <v>461</v>
      </c>
      <c r="C344" t="s">
        <v>463</v>
      </c>
      <c r="D344">
        <v>615</v>
      </c>
      <c r="E344" t="s">
        <v>255</v>
      </c>
    </row>
    <row r="345" spans="1:5">
      <c r="A345" s="216">
        <v>45170</v>
      </c>
      <c r="B345" t="s">
        <v>461</v>
      </c>
      <c r="C345" t="s">
        <v>463</v>
      </c>
      <c r="D345">
        <v>611.63499999999999</v>
      </c>
      <c r="E345" t="s">
        <v>256</v>
      </c>
    </row>
    <row r="346" spans="1:5">
      <c r="A346" s="216">
        <v>45170</v>
      </c>
      <c r="B346" t="s">
        <v>461</v>
      </c>
      <c r="C346" t="s">
        <v>463</v>
      </c>
      <c r="D346">
        <v>653.84900000000005</v>
      </c>
      <c r="E346" t="s">
        <v>257</v>
      </c>
    </row>
    <row r="347" spans="1:5">
      <c r="A347" s="216">
        <v>45170</v>
      </c>
      <c r="B347" t="s">
        <v>461</v>
      </c>
      <c r="C347" t="s">
        <v>463</v>
      </c>
      <c r="D347">
        <v>653.84900000000005</v>
      </c>
      <c r="E347" t="s">
        <v>258</v>
      </c>
    </row>
    <row r="348" spans="1:5">
      <c r="A348" s="216">
        <v>45170</v>
      </c>
      <c r="B348" t="s">
        <v>461</v>
      </c>
      <c r="C348" t="s">
        <v>463</v>
      </c>
      <c r="D348">
        <v>653.84900000000005</v>
      </c>
      <c r="E348" t="s">
        <v>259</v>
      </c>
    </row>
    <row r="349" spans="1:5">
      <c r="A349" s="216">
        <v>45170</v>
      </c>
      <c r="B349" t="s">
        <v>461</v>
      </c>
      <c r="C349" t="s">
        <v>463</v>
      </c>
      <c r="D349">
        <v>653.84900000000005</v>
      </c>
      <c r="E349" t="s">
        <v>260</v>
      </c>
    </row>
    <row r="350" spans="1:5">
      <c r="A350" s="216">
        <v>45170</v>
      </c>
      <c r="B350" t="s">
        <v>461</v>
      </c>
      <c r="C350" t="s">
        <v>463</v>
      </c>
      <c r="D350">
        <v>653.84900000000005</v>
      </c>
      <c r="E350" t="s">
        <v>261</v>
      </c>
    </row>
    <row r="351" spans="1:5">
      <c r="A351" s="216">
        <v>45170</v>
      </c>
      <c r="B351" t="s">
        <v>461</v>
      </c>
      <c r="C351" t="s">
        <v>463</v>
      </c>
      <c r="D351">
        <v>653.84900000000005</v>
      </c>
      <c r="E351" t="s">
        <v>262</v>
      </c>
    </row>
    <row r="352" spans="1:5">
      <c r="A352" s="216">
        <v>45170</v>
      </c>
      <c r="B352" t="s">
        <v>461</v>
      </c>
      <c r="C352" t="s">
        <v>463</v>
      </c>
      <c r="D352">
        <v>7807.1009999999997</v>
      </c>
      <c r="E352" t="s">
        <v>434</v>
      </c>
    </row>
    <row r="353" spans="1:5">
      <c r="A353" s="216">
        <v>45170</v>
      </c>
      <c r="B353" t="s">
        <v>461</v>
      </c>
      <c r="C353" t="s">
        <v>464</v>
      </c>
      <c r="D353">
        <v>0</v>
      </c>
      <c r="E353" t="s">
        <v>251</v>
      </c>
    </row>
    <row r="354" spans="1:5">
      <c r="A354" s="216">
        <v>45170</v>
      </c>
      <c r="B354" t="s">
        <v>461</v>
      </c>
      <c r="C354" t="s">
        <v>464</v>
      </c>
      <c r="D354">
        <v>0</v>
      </c>
      <c r="E354" t="s">
        <v>252</v>
      </c>
    </row>
    <row r="355" spans="1:5">
      <c r="A355" s="216">
        <v>45170</v>
      </c>
      <c r="B355" t="s">
        <v>461</v>
      </c>
      <c r="C355" t="s">
        <v>464</v>
      </c>
      <c r="D355">
        <v>0</v>
      </c>
      <c r="E355" t="s">
        <v>253</v>
      </c>
    </row>
    <row r="356" spans="1:5">
      <c r="A356" s="216">
        <v>45170</v>
      </c>
      <c r="B356" t="s">
        <v>461</v>
      </c>
      <c r="C356" t="s">
        <v>464</v>
      </c>
      <c r="D356">
        <v>0</v>
      </c>
      <c r="E356" t="s">
        <v>254</v>
      </c>
    </row>
    <row r="357" spans="1:5">
      <c r="A357" s="216">
        <v>45170</v>
      </c>
      <c r="B357" t="s">
        <v>461</v>
      </c>
      <c r="C357" t="s">
        <v>464</v>
      </c>
      <c r="D357">
        <v>0</v>
      </c>
      <c r="E357" t="s">
        <v>255</v>
      </c>
    </row>
    <row r="358" spans="1:5">
      <c r="A358" s="216">
        <v>45170</v>
      </c>
      <c r="B358" t="s">
        <v>461</v>
      </c>
      <c r="C358" t="s">
        <v>464</v>
      </c>
      <c r="D358">
        <v>0</v>
      </c>
      <c r="E358" t="s">
        <v>256</v>
      </c>
    </row>
    <row r="359" spans="1:5">
      <c r="A359" s="216">
        <v>45170</v>
      </c>
      <c r="B359" t="s">
        <v>461</v>
      </c>
      <c r="C359" t="s">
        <v>464</v>
      </c>
      <c r="D359">
        <v>0</v>
      </c>
      <c r="E359" t="s">
        <v>257</v>
      </c>
    </row>
    <row r="360" spans="1:5">
      <c r="A360" s="216">
        <v>45170</v>
      </c>
      <c r="B360" t="s">
        <v>461</v>
      </c>
      <c r="C360" t="s">
        <v>464</v>
      </c>
      <c r="D360">
        <v>0</v>
      </c>
      <c r="E360" t="s">
        <v>258</v>
      </c>
    </row>
    <row r="361" spans="1:5">
      <c r="A361" s="216">
        <v>45170</v>
      </c>
      <c r="B361" t="s">
        <v>461</v>
      </c>
      <c r="C361" t="s">
        <v>464</v>
      </c>
      <c r="D361">
        <v>0</v>
      </c>
      <c r="E361" t="s">
        <v>259</v>
      </c>
    </row>
    <row r="362" spans="1:5">
      <c r="A362" s="216">
        <v>45170</v>
      </c>
      <c r="B362" t="s">
        <v>461</v>
      </c>
      <c r="C362" t="s">
        <v>464</v>
      </c>
      <c r="D362">
        <v>0</v>
      </c>
      <c r="E362" t="s">
        <v>260</v>
      </c>
    </row>
    <row r="363" spans="1:5">
      <c r="A363" s="216">
        <v>45170</v>
      </c>
      <c r="B363" t="s">
        <v>461</v>
      </c>
      <c r="C363" t="s">
        <v>464</v>
      </c>
      <c r="D363">
        <v>0</v>
      </c>
      <c r="E363" t="s">
        <v>261</v>
      </c>
    </row>
    <row r="364" spans="1:5">
      <c r="A364" s="216">
        <v>45170</v>
      </c>
      <c r="B364" t="s">
        <v>461</v>
      </c>
      <c r="C364" t="s">
        <v>464</v>
      </c>
      <c r="D364">
        <v>0</v>
      </c>
      <c r="E364" t="s">
        <v>262</v>
      </c>
    </row>
    <row r="365" spans="1:5">
      <c r="A365" s="216">
        <v>45170</v>
      </c>
      <c r="B365" t="s">
        <v>461</v>
      </c>
      <c r="C365" t="s">
        <v>464</v>
      </c>
      <c r="D365">
        <v>0</v>
      </c>
      <c r="E365" t="s">
        <v>434</v>
      </c>
    </row>
  </sheetData>
  <pageMargins left="0.7" right="0.7" top="0.75" bottom="0.75" header="0.3" footer="0.3"/>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7" tint="0.79998168889431442"/>
    <pageSetUpPr fitToPage="1"/>
  </sheetPr>
  <dimension ref="A1:AV111"/>
  <sheetViews>
    <sheetView showGridLines="0" zoomScale="80" zoomScaleNormal="80" workbookViewId="0">
      <pane xSplit="2" ySplit="3" topLeftCell="N10" activePane="bottomRight" state="frozenSplit"/>
      <selection pane="topRight" activeCell="A22" sqref="A22"/>
      <selection pane="bottomLeft" activeCell="A22" sqref="A22"/>
      <selection pane="bottomRight" activeCell="AG14" sqref="AG14"/>
    </sheetView>
  </sheetViews>
  <sheetFormatPr defaultColWidth="8.84375" defaultRowHeight="15.5"/>
  <cols>
    <col min="1" max="1" width="2.765625" style="113" customWidth="1"/>
    <col min="2" max="2" width="53.765625" style="113" customWidth="1"/>
    <col min="3" max="3" width="12.3046875" style="113" customWidth="1"/>
    <col min="4" max="6" width="14.23046875" style="113" customWidth="1"/>
    <col min="7" max="7" width="2.23046875" style="113" customWidth="1"/>
    <col min="8" max="19" width="9.23046875" style="10"/>
    <col min="20" max="20" width="2.23046875" style="113" customWidth="1"/>
    <col min="21" max="32" width="10.3046875" style="113" customWidth="1"/>
    <col min="33" max="33" width="12.3046875" style="113" customWidth="1"/>
    <col min="34" max="34" width="2.23046875" style="113" hidden="1" customWidth="1"/>
    <col min="35" max="46" width="10.3046875" style="113" hidden="1" customWidth="1"/>
    <col min="47" max="47" width="12.3046875" style="113" hidden="1" customWidth="1"/>
    <col min="48" max="55" width="10.3046875" style="113" customWidth="1"/>
    <col min="56" max="16384" width="8.84375" style="113"/>
  </cols>
  <sheetData>
    <row r="1" spans="1:48" ht="20.149999999999999" customHeight="1">
      <c r="A1" s="277"/>
      <c r="B1" s="274" t="s">
        <v>465</v>
      </c>
      <c r="C1" s="278"/>
      <c r="D1" s="278"/>
      <c r="E1" s="281" t="s">
        <v>466</v>
      </c>
      <c r="F1" s="279"/>
      <c r="G1" s="280"/>
      <c r="H1" s="279"/>
      <c r="I1" s="281"/>
      <c r="J1" s="301">
        <v>45261</v>
      </c>
      <c r="K1" s="281"/>
      <c r="L1" s="281"/>
      <c r="M1" s="281" t="s">
        <v>467</v>
      </c>
      <c r="N1" s="281"/>
      <c r="O1" s="281"/>
      <c r="P1" s="281"/>
      <c r="Q1" s="281"/>
      <c r="R1" s="281"/>
      <c r="S1" s="278"/>
      <c r="T1" s="280"/>
      <c r="U1" s="278" t="s">
        <v>468</v>
      </c>
      <c r="V1" s="278"/>
      <c r="W1" s="278"/>
      <c r="X1" s="278"/>
      <c r="Y1" s="278"/>
      <c r="Z1" s="278"/>
      <c r="AA1" s="278"/>
      <c r="AB1" s="278"/>
      <c r="AC1" s="278"/>
      <c r="AD1" s="278"/>
      <c r="AE1" s="278"/>
      <c r="AF1" s="278"/>
      <c r="AG1" s="282"/>
      <c r="AH1" s="280"/>
      <c r="AI1" s="278" t="s">
        <v>469</v>
      </c>
      <c r="AJ1" s="278"/>
      <c r="AK1" s="278"/>
      <c r="AL1" s="278"/>
      <c r="AM1" s="278"/>
      <c r="AN1" s="278"/>
      <c r="AO1" s="278"/>
      <c r="AP1" s="278"/>
      <c r="AQ1" s="278"/>
      <c r="AR1" s="278"/>
      <c r="AS1" s="278"/>
      <c r="AT1" s="278"/>
      <c r="AU1" s="282"/>
    </row>
    <row r="2" spans="1:48" ht="79.5" customHeight="1">
      <c r="A2" s="277"/>
      <c r="B2" s="283"/>
      <c r="C2" s="284" t="s">
        <v>470</v>
      </c>
      <c r="D2" s="284" t="s">
        <v>471</v>
      </c>
      <c r="E2" s="284" t="s">
        <v>472</v>
      </c>
      <c r="F2" s="284" t="s">
        <v>473</v>
      </c>
      <c r="G2" s="285"/>
      <c r="H2" s="284" t="s">
        <v>251</v>
      </c>
      <c r="I2" s="284" t="s">
        <v>252</v>
      </c>
      <c r="J2" s="284" t="s">
        <v>253</v>
      </c>
      <c r="K2" s="284" t="s">
        <v>254</v>
      </c>
      <c r="L2" s="284" t="s">
        <v>255</v>
      </c>
      <c r="M2" s="284" t="s">
        <v>256</v>
      </c>
      <c r="N2" s="286" t="s">
        <v>257</v>
      </c>
      <c r="O2" s="286" t="s">
        <v>258</v>
      </c>
      <c r="P2" s="286" t="s">
        <v>259</v>
      </c>
      <c r="Q2" s="286" t="s">
        <v>260</v>
      </c>
      <c r="R2" s="286" t="s">
        <v>261</v>
      </c>
      <c r="S2" s="286" t="s">
        <v>262</v>
      </c>
      <c r="T2" s="285"/>
      <c r="U2" s="287" t="s">
        <v>251</v>
      </c>
      <c r="V2" s="287" t="s">
        <v>252</v>
      </c>
      <c r="W2" s="287" t="s">
        <v>253</v>
      </c>
      <c r="X2" s="287" t="s">
        <v>254</v>
      </c>
      <c r="Y2" s="287" t="s">
        <v>255</v>
      </c>
      <c r="Z2" s="287" t="s">
        <v>256</v>
      </c>
      <c r="AA2" s="288" t="s">
        <v>257</v>
      </c>
      <c r="AB2" s="288" t="s">
        <v>258</v>
      </c>
      <c r="AC2" s="288" t="s">
        <v>259</v>
      </c>
      <c r="AD2" s="288" t="s">
        <v>260</v>
      </c>
      <c r="AE2" s="288" t="s">
        <v>261</v>
      </c>
      <c r="AF2" s="288" t="s">
        <v>262</v>
      </c>
      <c r="AG2" s="289" t="s">
        <v>471</v>
      </c>
      <c r="AH2" s="285"/>
      <c r="AI2" s="287" t="s">
        <v>251</v>
      </c>
      <c r="AJ2" s="287" t="s">
        <v>252</v>
      </c>
      <c r="AK2" s="287" t="s">
        <v>253</v>
      </c>
      <c r="AL2" s="287" t="s">
        <v>254</v>
      </c>
      <c r="AM2" s="287" t="s">
        <v>255</v>
      </c>
      <c r="AN2" s="287" t="s">
        <v>256</v>
      </c>
      <c r="AO2" s="288" t="s">
        <v>257</v>
      </c>
      <c r="AP2" s="288" t="s">
        <v>258</v>
      </c>
      <c r="AQ2" s="288" t="s">
        <v>259</v>
      </c>
      <c r="AR2" s="288" t="s">
        <v>260</v>
      </c>
      <c r="AS2" s="288" t="s">
        <v>261</v>
      </c>
      <c r="AT2" s="288" t="s">
        <v>262</v>
      </c>
      <c r="AU2" s="289" t="s">
        <v>472</v>
      </c>
    </row>
    <row r="3" spans="1:48" ht="20.149999999999999" customHeight="1">
      <c r="A3" s="277"/>
      <c r="B3" s="137" t="s">
        <v>266</v>
      </c>
      <c r="C3" s="871" t="s">
        <v>398</v>
      </c>
      <c r="D3" s="871"/>
      <c r="E3" s="871"/>
      <c r="F3" s="871"/>
      <c r="G3" s="79"/>
      <c r="H3" s="290" t="s">
        <v>398</v>
      </c>
      <c r="I3" s="290" t="s">
        <v>398</v>
      </c>
      <c r="J3" s="290" t="s">
        <v>398</v>
      </c>
      <c r="K3" s="290" t="s">
        <v>398</v>
      </c>
      <c r="L3" s="290" t="s">
        <v>398</v>
      </c>
      <c r="M3" s="290" t="s">
        <v>398</v>
      </c>
      <c r="N3" s="290" t="s">
        <v>398</v>
      </c>
      <c r="O3" s="290" t="s">
        <v>398</v>
      </c>
      <c r="P3" s="290" t="s">
        <v>398</v>
      </c>
      <c r="Q3" s="290" t="s">
        <v>398</v>
      </c>
      <c r="R3" s="290" t="s">
        <v>398</v>
      </c>
      <c r="S3" s="290" t="s">
        <v>398</v>
      </c>
      <c r="T3" s="79"/>
      <c r="U3" s="290" t="s">
        <v>398</v>
      </c>
      <c r="V3" s="290" t="s">
        <v>398</v>
      </c>
      <c r="W3" s="290" t="s">
        <v>398</v>
      </c>
      <c r="X3" s="290" t="s">
        <v>398</v>
      </c>
      <c r="Y3" s="290" t="s">
        <v>398</v>
      </c>
      <c r="Z3" s="290" t="s">
        <v>398</v>
      </c>
      <c r="AA3" s="290" t="s">
        <v>398</v>
      </c>
      <c r="AB3" s="290" t="s">
        <v>398</v>
      </c>
      <c r="AC3" s="290" t="s">
        <v>398</v>
      </c>
      <c r="AD3" s="290" t="s">
        <v>398</v>
      </c>
      <c r="AE3" s="290" t="s">
        <v>398</v>
      </c>
      <c r="AF3" s="290" t="s">
        <v>398</v>
      </c>
      <c r="AG3" s="290" t="s">
        <v>398</v>
      </c>
      <c r="AH3" s="79"/>
      <c r="AI3" s="871" t="s">
        <v>398</v>
      </c>
      <c r="AJ3" s="871"/>
      <c r="AK3" s="871"/>
      <c r="AL3" s="871"/>
      <c r="AM3" s="871"/>
      <c r="AN3" s="871"/>
      <c r="AO3" s="871"/>
      <c r="AP3" s="871"/>
      <c r="AQ3" s="871"/>
      <c r="AR3" s="871"/>
      <c r="AS3" s="871"/>
      <c r="AT3" s="871"/>
      <c r="AU3" s="139"/>
    </row>
    <row r="4" spans="1:48" ht="20.149999999999999" customHeight="1">
      <c r="A4" s="4"/>
      <c r="B4" s="49" t="s">
        <v>474</v>
      </c>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2"/>
      <c r="AH4" s="291"/>
      <c r="AI4" s="291"/>
      <c r="AJ4" s="291"/>
      <c r="AK4" s="291"/>
      <c r="AL4" s="291"/>
      <c r="AM4" s="291"/>
      <c r="AN4" s="291"/>
      <c r="AO4" s="291"/>
      <c r="AP4" s="291"/>
      <c r="AQ4" s="291"/>
      <c r="AR4" s="291"/>
      <c r="AS4" s="291"/>
      <c r="AT4" s="291"/>
      <c r="AU4" s="292"/>
    </row>
    <row r="5" spans="1:48" ht="20.149999999999999" customHeight="1">
      <c r="A5" s="4"/>
      <c r="B5" s="293" t="s">
        <v>453</v>
      </c>
      <c r="C5" s="22">
        <f>SUM(H5:S5)</f>
        <v>1222704.99712</v>
      </c>
      <c r="D5" s="22">
        <f t="shared" ref="D5:D10" si="0">AG5</f>
        <v>1219657.111111111</v>
      </c>
      <c r="E5" s="215"/>
      <c r="F5" s="215"/>
      <c r="G5" s="58"/>
      <c r="H5" s="215">
        <v>77088.445999999996</v>
      </c>
      <c r="I5" s="215">
        <v>82064.765000000014</v>
      </c>
      <c r="J5" s="215">
        <v>100287.12199999997</v>
      </c>
      <c r="K5" s="215">
        <v>98342.580000000016</v>
      </c>
      <c r="L5" s="215">
        <v>89992.332999999984</v>
      </c>
      <c r="M5" s="215">
        <v>88998.823000000033</v>
      </c>
      <c r="N5" s="215">
        <v>131382.90500000003</v>
      </c>
      <c r="O5" s="215">
        <v>102390.68199999991</v>
      </c>
      <c r="P5" s="215">
        <v>100593.40700000001</v>
      </c>
      <c r="Q5" s="215">
        <v>109624.723</v>
      </c>
      <c r="R5" s="215">
        <v>108503.08200000005</v>
      </c>
      <c r="S5" s="215">
        <v>133436.12912000006</v>
      </c>
      <c r="T5" s="58"/>
      <c r="U5" s="215">
        <f>('F4 - Funding Assumptions'!$C$14+'F4 - Funding Assumptions'!$C$71)/12</f>
        <v>101638.09259259258</v>
      </c>
      <c r="V5" s="215">
        <f>('F4 - Funding Assumptions'!$C$14+'F4 - Funding Assumptions'!$C$71)/12</f>
        <v>101638.09259259258</v>
      </c>
      <c r="W5" s="215">
        <f>('F4 - Funding Assumptions'!$C$14+'F4 - Funding Assumptions'!$C$71)/12</f>
        <v>101638.09259259258</v>
      </c>
      <c r="X5" s="215">
        <f>('F4 - Funding Assumptions'!$C$14+'F4 - Funding Assumptions'!$C$71)/12</f>
        <v>101638.09259259258</v>
      </c>
      <c r="Y5" s="215">
        <f>('F4 - Funding Assumptions'!$C$14+'F4 - Funding Assumptions'!$C$71)/12</f>
        <v>101638.09259259258</v>
      </c>
      <c r="Z5" s="215">
        <f>('F4 - Funding Assumptions'!$C$14+'F4 - Funding Assumptions'!$C$71)/12</f>
        <v>101638.09259259258</v>
      </c>
      <c r="AA5" s="215">
        <f>('F4 - Funding Assumptions'!$C$14+'F4 - Funding Assumptions'!$C$71)/12</f>
        <v>101638.09259259258</v>
      </c>
      <c r="AB5" s="215">
        <f>('F4 - Funding Assumptions'!$C$14+'F4 - Funding Assumptions'!$C$71)/12</f>
        <v>101638.09259259258</v>
      </c>
      <c r="AC5" s="215">
        <f>('F4 - Funding Assumptions'!$C$14+'F4 - Funding Assumptions'!$C$71)/12</f>
        <v>101638.09259259258</v>
      </c>
      <c r="AD5" s="215">
        <f>('F4 - Funding Assumptions'!$C$14+'F4 - Funding Assumptions'!$C$71)/12</f>
        <v>101638.09259259258</v>
      </c>
      <c r="AE5" s="215">
        <f>('F4 - Funding Assumptions'!$C$14+'F4 - Funding Assumptions'!$C$71)/12</f>
        <v>101638.09259259258</v>
      </c>
      <c r="AF5" s="215">
        <f>('F4 - Funding Assumptions'!$C$14+'F4 - Funding Assumptions'!$C$71)/12</f>
        <v>101638.09259259258</v>
      </c>
      <c r="AG5" s="22">
        <f>SUM(U5:AF5)</f>
        <v>1219657.111111111</v>
      </c>
      <c r="AH5" s="294"/>
      <c r="AI5" s="295"/>
      <c r="AJ5" s="295"/>
      <c r="AK5" s="295"/>
      <c r="AL5" s="295"/>
      <c r="AM5" s="295"/>
      <c r="AN5" s="295"/>
      <c r="AO5" s="295"/>
      <c r="AP5" s="295"/>
      <c r="AQ5" s="295"/>
      <c r="AR5" s="295"/>
      <c r="AS5" s="295"/>
      <c r="AT5" s="295"/>
      <c r="AU5" s="22">
        <f>SUM(AI5:AT5)</f>
        <v>0</v>
      </c>
      <c r="AV5" s="113" t="str">
        <f>IF(COUNTA(C5:AG5)&lt;&gt;COUNT(C5:AG5),"Please remove any text entries, enter numeric values only","")</f>
        <v/>
      </c>
    </row>
    <row r="6" spans="1:48" ht="20.149999999999999" customHeight="1">
      <c r="A6" s="4"/>
      <c r="B6" s="293" t="s">
        <v>436</v>
      </c>
      <c r="C6" s="22">
        <f t="shared" ref="C6:C31" si="1">SUM(H6:S6)</f>
        <v>284</v>
      </c>
      <c r="D6" s="22">
        <f t="shared" si="0"/>
        <v>284</v>
      </c>
      <c r="E6" s="215"/>
      <c r="F6" s="215"/>
      <c r="G6" s="58"/>
      <c r="H6" s="215">
        <v>0</v>
      </c>
      <c r="I6" s="215">
        <v>0</v>
      </c>
      <c r="J6" s="215">
        <v>0</v>
      </c>
      <c r="K6" s="215">
        <v>0</v>
      </c>
      <c r="L6" s="215">
        <v>0</v>
      </c>
      <c r="M6" s="215">
        <v>0</v>
      </c>
      <c r="N6" s="215">
        <v>0</v>
      </c>
      <c r="O6" s="215">
        <v>0</v>
      </c>
      <c r="P6" s="215">
        <v>0</v>
      </c>
      <c r="Q6" s="215">
        <v>0</v>
      </c>
      <c r="R6" s="215">
        <v>0</v>
      </c>
      <c r="S6" s="215">
        <v>284</v>
      </c>
      <c r="T6" s="58"/>
      <c r="U6" s="215"/>
      <c r="V6" s="215"/>
      <c r="W6" s="215"/>
      <c r="X6" s="215"/>
      <c r="Y6" s="215"/>
      <c r="Z6" s="215"/>
      <c r="AA6" s="215"/>
      <c r="AB6" s="215"/>
      <c r="AC6" s="215"/>
      <c r="AD6" s="215"/>
      <c r="AE6" s="215"/>
      <c r="AF6" s="215">
        <f>S6</f>
        <v>284</v>
      </c>
      <c r="AG6" s="22">
        <f t="shared" ref="AG6:AG29" si="2">SUM(U6:AF6)</f>
        <v>284</v>
      </c>
      <c r="AH6" s="294"/>
      <c r="AI6" s="295"/>
      <c r="AJ6" s="295"/>
      <c r="AK6" s="295"/>
      <c r="AL6" s="295"/>
      <c r="AM6" s="295"/>
      <c r="AN6" s="295"/>
      <c r="AO6" s="295"/>
      <c r="AP6" s="295"/>
      <c r="AQ6" s="295"/>
      <c r="AR6" s="295"/>
      <c r="AS6" s="295"/>
      <c r="AT6" s="295"/>
      <c r="AU6" s="22">
        <f t="shared" ref="AU6:AU29" si="3">SUM(AI6:AT6)</f>
        <v>0</v>
      </c>
      <c r="AV6" s="113" t="str">
        <f t="shared" ref="AV6:AV31" si="4">IF(COUNTA(C6:AG6)&lt;&gt;COUNT(C6:AG6),"Please remove any text entries, enter numeric values only","")</f>
        <v/>
      </c>
    </row>
    <row r="7" spans="1:48" ht="20.149999999999999" customHeight="1">
      <c r="A7" s="4"/>
      <c r="B7" s="293" t="s">
        <v>459</v>
      </c>
      <c r="C7" s="22">
        <f t="shared" si="1"/>
        <v>108986.891</v>
      </c>
      <c r="D7" s="22">
        <f t="shared" si="0"/>
        <v>111938.52519999997</v>
      </c>
      <c r="E7" s="215"/>
      <c r="F7" s="215"/>
      <c r="G7" s="58"/>
      <c r="H7" s="215">
        <v>8549.2340000000004</v>
      </c>
      <c r="I7" s="215">
        <v>8928.1039999999994</v>
      </c>
      <c r="J7" s="215">
        <v>9295.4200000000019</v>
      </c>
      <c r="K7" s="215">
        <v>9331.7189999999973</v>
      </c>
      <c r="L7" s="215">
        <v>9272.512999999999</v>
      </c>
      <c r="M7" s="215">
        <v>8759.9320000000007</v>
      </c>
      <c r="N7" s="215">
        <v>9047.775999999998</v>
      </c>
      <c r="O7" s="215">
        <v>9123.8930000000037</v>
      </c>
      <c r="P7" s="215">
        <v>9157.7090000000026</v>
      </c>
      <c r="Q7" s="215">
        <v>7776.6070000000036</v>
      </c>
      <c r="R7" s="215">
        <v>10010.205999999991</v>
      </c>
      <c r="S7" s="215">
        <v>9733.7780000000002</v>
      </c>
      <c r="T7" s="58"/>
      <c r="U7" s="215">
        <f>'F4 - Funding Assumptions'!$C$75/12</f>
        <v>9328.2104333333336</v>
      </c>
      <c r="V7" s="215">
        <f>'F4 - Funding Assumptions'!$C$75/12</f>
        <v>9328.2104333333336</v>
      </c>
      <c r="W7" s="215">
        <f>'F4 - Funding Assumptions'!$C$75/12</f>
        <v>9328.2104333333336</v>
      </c>
      <c r="X7" s="215">
        <f>'F4 - Funding Assumptions'!$C$75/12</f>
        <v>9328.2104333333336</v>
      </c>
      <c r="Y7" s="215">
        <f>'F4 - Funding Assumptions'!$C$75/12</f>
        <v>9328.2104333333336</v>
      </c>
      <c r="Z7" s="215">
        <f>'F4 - Funding Assumptions'!$C$75/12</f>
        <v>9328.2104333333336</v>
      </c>
      <c r="AA7" s="215">
        <f>'F4 - Funding Assumptions'!$C$75/12</f>
        <v>9328.2104333333336</v>
      </c>
      <c r="AB7" s="215">
        <f>'F4 - Funding Assumptions'!$C$75/12</f>
        <v>9328.2104333333336</v>
      </c>
      <c r="AC7" s="215">
        <f>'F4 - Funding Assumptions'!$C$75/12</f>
        <v>9328.2104333333336</v>
      </c>
      <c r="AD7" s="215">
        <f>'F4 - Funding Assumptions'!$C$75/12</f>
        <v>9328.2104333333336</v>
      </c>
      <c r="AE7" s="215">
        <f>'F4 - Funding Assumptions'!$C$75/12</f>
        <v>9328.2104333333336</v>
      </c>
      <c r="AF7" s="215">
        <f>'F4 - Funding Assumptions'!$C$75/12</f>
        <v>9328.2104333333336</v>
      </c>
      <c r="AG7" s="22">
        <f t="shared" si="2"/>
        <v>111938.52519999997</v>
      </c>
      <c r="AH7" s="294"/>
      <c r="AI7" s="295"/>
      <c r="AJ7" s="295"/>
      <c r="AK7" s="295"/>
      <c r="AL7" s="295"/>
      <c r="AM7" s="295"/>
      <c r="AN7" s="295"/>
      <c r="AO7" s="295"/>
      <c r="AP7" s="295"/>
      <c r="AQ7" s="295"/>
      <c r="AR7" s="295"/>
      <c r="AS7" s="295"/>
      <c r="AT7" s="295"/>
      <c r="AU7" s="22">
        <f t="shared" si="3"/>
        <v>0</v>
      </c>
      <c r="AV7" s="113" t="str">
        <f t="shared" si="4"/>
        <v/>
      </c>
    </row>
    <row r="8" spans="1:48" ht="20.149999999999999" customHeight="1">
      <c r="A8" s="4"/>
      <c r="B8" s="293" t="s">
        <v>460</v>
      </c>
      <c r="C8" s="22">
        <f t="shared" si="1"/>
        <v>135799.92000000001</v>
      </c>
      <c r="D8" s="22">
        <f t="shared" si="0"/>
        <v>140145.51744000003</v>
      </c>
      <c r="E8" s="215"/>
      <c r="F8" s="215"/>
      <c r="G8" s="58"/>
      <c r="H8" s="215">
        <v>10852.953</v>
      </c>
      <c r="I8" s="215">
        <v>10912.662000000002</v>
      </c>
      <c r="J8" s="215">
        <v>10813.690999999999</v>
      </c>
      <c r="K8" s="215">
        <v>12855.73</v>
      </c>
      <c r="L8" s="215">
        <v>11094.652000000002</v>
      </c>
      <c r="M8" s="215">
        <v>11326.329000000005</v>
      </c>
      <c r="N8" s="215">
        <v>11563.574999999997</v>
      </c>
      <c r="O8" s="215">
        <v>11254.805999999997</v>
      </c>
      <c r="P8" s="215">
        <v>10533.584000000003</v>
      </c>
      <c r="Q8" s="215">
        <v>11511.467999999993</v>
      </c>
      <c r="R8" s="215">
        <v>11556.938000000009</v>
      </c>
      <c r="S8" s="215">
        <v>11523.531999999999</v>
      </c>
      <c r="T8" s="58"/>
      <c r="U8" s="215">
        <f>'F4 - Funding Assumptions'!$C$76/12</f>
        <v>11678.793120000002</v>
      </c>
      <c r="V8" s="215">
        <f>'F4 - Funding Assumptions'!$C$76/12</f>
        <v>11678.793120000002</v>
      </c>
      <c r="W8" s="215">
        <f>'F4 - Funding Assumptions'!$C$76/12</f>
        <v>11678.793120000002</v>
      </c>
      <c r="X8" s="215">
        <f>'F4 - Funding Assumptions'!$C$76/12</f>
        <v>11678.793120000002</v>
      </c>
      <c r="Y8" s="215">
        <f>'F4 - Funding Assumptions'!$C$76/12</f>
        <v>11678.793120000002</v>
      </c>
      <c r="Z8" s="215">
        <f>'F4 - Funding Assumptions'!$C$76/12</f>
        <v>11678.793120000002</v>
      </c>
      <c r="AA8" s="215">
        <f>'F4 - Funding Assumptions'!$C$76/12</f>
        <v>11678.793120000002</v>
      </c>
      <c r="AB8" s="215">
        <f>'F4 - Funding Assumptions'!$C$76/12</f>
        <v>11678.793120000002</v>
      </c>
      <c r="AC8" s="215">
        <f>'F4 - Funding Assumptions'!$C$76/12</f>
        <v>11678.793120000002</v>
      </c>
      <c r="AD8" s="215">
        <f>'F4 - Funding Assumptions'!$C$76/12</f>
        <v>11678.793120000002</v>
      </c>
      <c r="AE8" s="215">
        <f>'F4 - Funding Assumptions'!$C$76/12</f>
        <v>11678.793120000002</v>
      </c>
      <c r="AF8" s="215">
        <f>'F4 - Funding Assumptions'!$C$76/12</f>
        <v>11678.793120000002</v>
      </c>
      <c r="AG8" s="22">
        <f t="shared" si="2"/>
        <v>140145.51744000003</v>
      </c>
      <c r="AH8" s="294"/>
      <c r="AI8" s="295"/>
      <c r="AJ8" s="295"/>
      <c r="AK8" s="295"/>
      <c r="AL8" s="295"/>
      <c r="AM8" s="295"/>
      <c r="AN8" s="295"/>
      <c r="AO8" s="295"/>
      <c r="AP8" s="295"/>
      <c r="AQ8" s="295"/>
      <c r="AR8" s="295"/>
      <c r="AS8" s="295"/>
      <c r="AT8" s="295"/>
      <c r="AU8" s="22">
        <f t="shared" si="3"/>
        <v>0</v>
      </c>
      <c r="AV8" s="113" t="str">
        <f t="shared" si="4"/>
        <v/>
      </c>
    </row>
    <row r="9" spans="1:48" ht="20.149999999999999" customHeight="1">
      <c r="A9" s="4"/>
      <c r="B9" s="293" t="s">
        <v>458</v>
      </c>
      <c r="C9" s="22">
        <f t="shared" si="1"/>
        <v>2042.2809999999999</v>
      </c>
      <c r="D9" s="22">
        <f t="shared" si="0"/>
        <v>2042.2810000000002</v>
      </c>
      <c r="E9" s="215"/>
      <c r="F9" s="215"/>
      <c r="G9" s="58"/>
      <c r="H9" s="215">
        <v>37.262</v>
      </c>
      <c r="I9" s="215">
        <v>66.459000000000003</v>
      </c>
      <c r="J9" s="215">
        <v>66.381</v>
      </c>
      <c r="K9" s="215">
        <v>63.152999999999992</v>
      </c>
      <c r="L9" s="215">
        <v>76.48599999999999</v>
      </c>
      <c r="M9" s="215">
        <v>68.122000000000014</v>
      </c>
      <c r="N9" s="215">
        <v>274.78000000000003</v>
      </c>
      <c r="O9" s="215">
        <v>62.347999999999956</v>
      </c>
      <c r="P9" s="215">
        <v>733.74800000000005</v>
      </c>
      <c r="Q9" s="215">
        <v>70.216999999999871</v>
      </c>
      <c r="R9" s="215">
        <v>53.294000000000096</v>
      </c>
      <c r="S9" s="215">
        <v>470.03100000000001</v>
      </c>
      <c r="T9" s="58"/>
      <c r="U9" s="215">
        <f>'F4 - Funding Assumptions'!$C$78/12</f>
        <v>170.19008333333332</v>
      </c>
      <c r="V9" s="215">
        <f>'F4 - Funding Assumptions'!$C$78/12</f>
        <v>170.19008333333332</v>
      </c>
      <c r="W9" s="215">
        <f>'F4 - Funding Assumptions'!$C$78/12</f>
        <v>170.19008333333332</v>
      </c>
      <c r="X9" s="215">
        <f>'F4 - Funding Assumptions'!$C$78/12</f>
        <v>170.19008333333332</v>
      </c>
      <c r="Y9" s="215">
        <f>'F4 - Funding Assumptions'!$C$78/12</f>
        <v>170.19008333333332</v>
      </c>
      <c r="Z9" s="215">
        <f>'F4 - Funding Assumptions'!$C$78/12</f>
        <v>170.19008333333332</v>
      </c>
      <c r="AA9" s="215">
        <f>'F4 - Funding Assumptions'!$C$78/12</f>
        <v>170.19008333333332</v>
      </c>
      <c r="AB9" s="215">
        <f>'F4 - Funding Assumptions'!$C$78/12</f>
        <v>170.19008333333332</v>
      </c>
      <c r="AC9" s="215">
        <f>'F4 - Funding Assumptions'!$C$78/12</f>
        <v>170.19008333333332</v>
      </c>
      <c r="AD9" s="215">
        <f>'F4 - Funding Assumptions'!$C$78/12</f>
        <v>170.19008333333332</v>
      </c>
      <c r="AE9" s="215">
        <f>'F4 - Funding Assumptions'!$C$78/12</f>
        <v>170.19008333333332</v>
      </c>
      <c r="AF9" s="215">
        <f>'F4 - Funding Assumptions'!$C$78/12</f>
        <v>170.19008333333332</v>
      </c>
      <c r="AG9" s="22">
        <f t="shared" si="2"/>
        <v>2042.2810000000002</v>
      </c>
      <c r="AH9" s="294"/>
      <c r="AI9" s="295"/>
      <c r="AJ9" s="295"/>
      <c r="AK9" s="295"/>
      <c r="AL9" s="295"/>
      <c r="AM9" s="295"/>
      <c r="AN9" s="295"/>
      <c r="AO9" s="295"/>
      <c r="AP9" s="295"/>
      <c r="AQ9" s="295"/>
      <c r="AR9" s="295"/>
      <c r="AS9" s="295"/>
      <c r="AT9" s="295"/>
      <c r="AU9" s="22">
        <f t="shared" si="3"/>
        <v>0</v>
      </c>
      <c r="AV9" s="113" t="str">
        <f t="shared" si="4"/>
        <v/>
      </c>
    </row>
    <row r="10" spans="1:48" ht="20.149999999999999" customHeight="1">
      <c r="A10" s="4"/>
      <c r="B10" s="293" t="s">
        <v>448</v>
      </c>
      <c r="C10" s="22">
        <f t="shared" si="1"/>
        <v>44512.239320000001</v>
      </c>
      <c r="D10" s="22">
        <f t="shared" si="0"/>
        <v>44512.239320000015</v>
      </c>
      <c r="E10" s="215"/>
      <c r="F10" s="215"/>
      <c r="G10" s="58"/>
      <c r="H10" s="215">
        <v>3215.85</v>
      </c>
      <c r="I10" s="215">
        <v>3647.3679999999999</v>
      </c>
      <c r="J10" s="215">
        <v>3689.9489999999996</v>
      </c>
      <c r="K10" s="215">
        <v>3635.2210000000014</v>
      </c>
      <c r="L10" s="215">
        <v>3385.0539999999983</v>
      </c>
      <c r="M10" s="215">
        <v>4005.4320000000007</v>
      </c>
      <c r="N10" s="215">
        <v>3646.5070000000014</v>
      </c>
      <c r="O10" s="215">
        <v>4230.6519999999982</v>
      </c>
      <c r="P10" s="215">
        <v>4056.8500000000022</v>
      </c>
      <c r="Q10" s="215">
        <v>4418.0499999999956</v>
      </c>
      <c r="R10" s="215">
        <v>4229.4470000000001</v>
      </c>
      <c r="S10" s="215">
        <v>2351.8593200000005</v>
      </c>
      <c r="T10" s="58"/>
      <c r="U10" s="215">
        <f>'F4 - Funding Assumptions'!$C$77/12</f>
        <v>3709.3532766666667</v>
      </c>
      <c r="V10" s="215">
        <f>'F4 - Funding Assumptions'!$C$77/12</f>
        <v>3709.3532766666667</v>
      </c>
      <c r="W10" s="215">
        <f>'F4 - Funding Assumptions'!$C$77/12</f>
        <v>3709.3532766666667</v>
      </c>
      <c r="X10" s="215">
        <f>'F4 - Funding Assumptions'!$C$77/12</f>
        <v>3709.3532766666667</v>
      </c>
      <c r="Y10" s="215">
        <f>'F4 - Funding Assumptions'!$C$77/12</f>
        <v>3709.3532766666667</v>
      </c>
      <c r="Z10" s="215">
        <f>'F4 - Funding Assumptions'!$C$77/12</f>
        <v>3709.3532766666667</v>
      </c>
      <c r="AA10" s="215">
        <f>'F4 - Funding Assumptions'!$C$77/12</f>
        <v>3709.3532766666667</v>
      </c>
      <c r="AB10" s="215">
        <f>'F4 - Funding Assumptions'!$C$77/12</f>
        <v>3709.3532766666667</v>
      </c>
      <c r="AC10" s="215">
        <f>'F4 - Funding Assumptions'!$C$77/12</f>
        <v>3709.3532766666667</v>
      </c>
      <c r="AD10" s="215">
        <f>'F4 - Funding Assumptions'!$C$77/12</f>
        <v>3709.3532766666667</v>
      </c>
      <c r="AE10" s="215">
        <f>'F4 - Funding Assumptions'!$C$77/12</f>
        <v>3709.3532766666667</v>
      </c>
      <c r="AF10" s="215">
        <f>'F4 - Funding Assumptions'!$C$77/12</f>
        <v>3709.3532766666667</v>
      </c>
      <c r="AG10" s="22">
        <f t="shared" si="2"/>
        <v>44512.239320000015</v>
      </c>
      <c r="AH10" s="294"/>
      <c r="AI10" s="295"/>
      <c r="AJ10" s="295"/>
      <c r="AK10" s="295"/>
      <c r="AL10" s="295"/>
      <c r="AM10" s="295"/>
      <c r="AN10" s="295"/>
      <c r="AO10" s="295"/>
      <c r="AP10" s="295"/>
      <c r="AQ10" s="295"/>
      <c r="AR10" s="295"/>
      <c r="AS10" s="295"/>
      <c r="AT10" s="295"/>
      <c r="AU10" s="22">
        <f t="shared" si="3"/>
        <v>0</v>
      </c>
      <c r="AV10" s="113" t="str">
        <f t="shared" si="4"/>
        <v/>
      </c>
    </row>
    <row r="11" spans="1:48" s="297" customFormat="1" ht="20.149999999999999" customHeight="1">
      <c r="A11" s="296"/>
      <c r="B11" s="35" t="s">
        <v>475</v>
      </c>
      <c r="C11" s="224">
        <f t="shared" si="1"/>
        <v>1514330.3284400003</v>
      </c>
      <c r="D11" s="224">
        <f>SUM(U11:AF11)</f>
        <v>1518579.6740711108</v>
      </c>
      <c r="E11" s="224">
        <f>SUM(E5:E10)</f>
        <v>0</v>
      </c>
      <c r="F11" s="224">
        <f>SUM(F5:F10)</f>
        <v>0</v>
      </c>
      <c r="G11" s="58"/>
      <c r="H11" s="224">
        <f>SUM(H5:H10)</f>
        <v>99743.744999999995</v>
      </c>
      <c r="I11" s="224">
        <f t="shared" ref="I11:S11" si="5">SUM(I5:I10)</f>
        <v>105619.35800000001</v>
      </c>
      <c r="J11" s="224">
        <f t="shared" si="5"/>
        <v>124152.56299999997</v>
      </c>
      <c r="K11" s="224">
        <f t="shared" si="5"/>
        <v>124228.40300000002</v>
      </c>
      <c r="L11" s="224">
        <f t="shared" si="5"/>
        <v>113821.038</v>
      </c>
      <c r="M11" s="224">
        <f t="shared" si="5"/>
        <v>113158.63800000004</v>
      </c>
      <c r="N11" s="224">
        <f t="shared" si="5"/>
        <v>155915.54300000006</v>
      </c>
      <c r="O11" s="224">
        <f t="shared" si="5"/>
        <v>127062.38099999992</v>
      </c>
      <c r="P11" s="224">
        <f t="shared" si="5"/>
        <v>125075.29800000002</v>
      </c>
      <c r="Q11" s="224">
        <f t="shared" si="5"/>
        <v>133401.065</v>
      </c>
      <c r="R11" s="224">
        <f t="shared" si="5"/>
        <v>134352.96700000006</v>
      </c>
      <c r="S11" s="224">
        <f t="shared" si="5"/>
        <v>157799.32944000003</v>
      </c>
      <c r="T11" s="58"/>
      <c r="U11" s="224">
        <f t="shared" ref="U11:AF11" si="6">SUM(U5:U10)</f>
        <v>126524.63950592591</v>
      </c>
      <c r="V11" s="224">
        <f t="shared" si="6"/>
        <v>126524.63950592591</v>
      </c>
      <c r="W11" s="224">
        <f t="shared" si="6"/>
        <v>126524.63950592591</v>
      </c>
      <c r="X11" s="224">
        <f t="shared" si="6"/>
        <v>126524.63950592591</v>
      </c>
      <c r="Y11" s="224">
        <f t="shared" si="6"/>
        <v>126524.63950592591</v>
      </c>
      <c r="Z11" s="224">
        <f t="shared" si="6"/>
        <v>126524.63950592591</v>
      </c>
      <c r="AA11" s="224">
        <f t="shared" si="6"/>
        <v>126524.63950592591</v>
      </c>
      <c r="AB11" s="224">
        <f t="shared" si="6"/>
        <v>126524.63950592591</v>
      </c>
      <c r="AC11" s="224">
        <f t="shared" si="6"/>
        <v>126524.63950592591</v>
      </c>
      <c r="AD11" s="224">
        <f t="shared" si="6"/>
        <v>126524.63950592591</v>
      </c>
      <c r="AE11" s="224">
        <f t="shared" si="6"/>
        <v>126524.63950592591</v>
      </c>
      <c r="AF11" s="224">
        <f t="shared" si="6"/>
        <v>126808.63950592591</v>
      </c>
      <c r="AG11" s="224">
        <f t="shared" si="2"/>
        <v>1518579.6740711108</v>
      </c>
      <c r="AH11" s="294"/>
      <c r="AI11" s="224">
        <f t="shared" ref="AI11:AT11" si="7">SUM(AI5:AI10)</f>
        <v>0</v>
      </c>
      <c r="AJ11" s="224">
        <f t="shared" si="7"/>
        <v>0</v>
      </c>
      <c r="AK11" s="224">
        <f t="shared" si="7"/>
        <v>0</v>
      </c>
      <c r="AL11" s="224">
        <f t="shared" si="7"/>
        <v>0</v>
      </c>
      <c r="AM11" s="224">
        <f t="shared" si="7"/>
        <v>0</v>
      </c>
      <c r="AN11" s="224">
        <f t="shared" si="7"/>
        <v>0</v>
      </c>
      <c r="AO11" s="224">
        <f t="shared" si="7"/>
        <v>0</v>
      </c>
      <c r="AP11" s="224">
        <f t="shared" si="7"/>
        <v>0</v>
      </c>
      <c r="AQ11" s="224">
        <f t="shared" si="7"/>
        <v>0</v>
      </c>
      <c r="AR11" s="224">
        <f t="shared" si="7"/>
        <v>0</v>
      </c>
      <c r="AS11" s="224">
        <f t="shared" si="7"/>
        <v>0</v>
      </c>
      <c r="AT11" s="224">
        <f t="shared" si="7"/>
        <v>0</v>
      </c>
      <c r="AU11" s="224">
        <f t="shared" si="3"/>
        <v>0</v>
      </c>
      <c r="AV11" s="113" t="str">
        <f t="shared" si="4"/>
        <v/>
      </c>
    </row>
    <row r="12" spans="1:48" ht="20.149999999999999" customHeight="1">
      <c r="A12" s="4"/>
      <c r="B12" s="293" t="s">
        <v>451</v>
      </c>
      <c r="C12" s="22">
        <f t="shared" si="1"/>
        <v>117985.63100000001</v>
      </c>
      <c r="D12" s="22">
        <f t="shared" ref="D12:D29" si="8">AG12</f>
        <v>117985.63100000001</v>
      </c>
      <c r="E12" s="215"/>
      <c r="F12" s="215"/>
      <c r="G12" s="58"/>
      <c r="H12" s="215">
        <v>9864.3369999999995</v>
      </c>
      <c r="I12" s="215">
        <v>10014.778000000002</v>
      </c>
      <c r="J12" s="215">
        <v>10108.806999999997</v>
      </c>
      <c r="K12" s="215">
        <v>9742.0460000000021</v>
      </c>
      <c r="L12" s="215">
        <v>9531.2430000000022</v>
      </c>
      <c r="M12" s="215">
        <v>9827.1749999999956</v>
      </c>
      <c r="N12" s="215">
        <v>9612.0880000000034</v>
      </c>
      <c r="O12" s="215">
        <v>9208.3940000000002</v>
      </c>
      <c r="P12" s="215">
        <v>8991.0439999999944</v>
      </c>
      <c r="Q12" s="215">
        <v>9811.6</v>
      </c>
      <c r="R12" s="215">
        <v>10389.877000000008</v>
      </c>
      <c r="S12" s="215">
        <v>10884.242</v>
      </c>
      <c r="T12" s="58"/>
      <c r="U12" s="215">
        <f>H12</f>
        <v>9864.3369999999995</v>
      </c>
      <c r="V12" s="215">
        <f t="shared" ref="V12:AF25" si="9">I12</f>
        <v>10014.778000000002</v>
      </c>
      <c r="W12" s="215">
        <f t="shared" si="9"/>
        <v>10108.806999999997</v>
      </c>
      <c r="X12" s="215">
        <f t="shared" si="9"/>
        <v>9742.0460000000021</v>
      </c>
      <c r="Y12" s="215">
        <f t="shared" si="9"/>
        <v>9531.2430000000022</v>
      </c>
      <c r="Z12" s="215">
        <f t="shared" si="9"/>
        <v>9827.1749999999956</v>
      </c>
      <c r="AA12" s="215">
        <f t="shared" si="9"/>
        <v>9612.0880000000034</v>
      </c>
      <c r="AB12" s="215">
        <f t="shared" si="9"/>
        <v>9208.3940000000002</v>
      </c>
      <c r="AC12" s="215">
        <f t="shared" si="9"/>
        <v>8991.0439999999944</v>
      </c>
      <c r="AD12" s="215">
        <f t="shared" si="9"/>
        <v>9811.6</v>
      </c>
      <c r="AE12" s="215">
        <f t="shared" si="9"/>
        <v>10389.877000000008</v>
      </c>
      <c r="AF12" s="215">
        <f t="shared" si="9"/>
        <v>10884.242</v>
      </c>
      <c r="AG12" s="22">
        <f t="shared" si="2"/>
        <v>117985.63100000001</v>
      </c>
      <c r="AH12" s="294"/>
      <c r="AI12" s="295"/>
      <c r="AJ12" s="295"/>
      <c r="AK12" s="295"/>
      <c r="AL12" s="295"/>
      <c r="AM12" s="295"/>
      <c r="AN12" s="295"/>
      <c r="AO12" s="295"/>
      <c r="AP12" s="295"/>
      <c r="AQ12" s="295"/>
      <c r="AR12" s="295"/>
      <c r="AS12" s="295"/>
      <c r="AT12" s="295"/>
      <c r="AU12" s="22">
        <f t="shared" si="3"/>
        <v>0</v>
      </c>
      <c r="AV12" s="113" t="str">
        <f t="shared" si="4"/>
        <v/>
      </c>
    </row>
    <row r="13" spans="1:48" ht="20.149999999999999" customHeight="1">
      <c r="A13" s="4"/>
      <c r="B13" s="293" t="s">
        <v>450</v>
      </c>
      <c r="C13" s="22">
        <f t="shared" si="1"/>
        <v>88236.968000000008</v>
      </c>
      <c r="D13" s="22">
        <f t="shared" si="8"/>
        <v>91843.967655386092</v>
      </c>
      <c r="E13" s="215"/>
      <c r="F13" s="215"/>
      <c r="G13" s="58"/>
      <c r="H13" s="215">
        <v>6758.3729999999996</v>
      </c>
      <c r="I13" s="215">
        <v>7596.6400000000012</v>
      </c>
      <c r="J13" s="215">
        <v>7234.2659999999978</v>
      </c>
      <c r="K13" s="215">
        <v>7691.0339999999997</v>
      </c>
      <c r="L13" s="215">
        <v>7961.1970000000038</v>
      </c>
      <c r="M13" s="215">
        <v>7039.301999999996</v>
      </c>
      <c r="N13" s="215">
        <v>8026.1660000000047</v>
      </c>
      <c r="O13" s="215">
        <v>7726.6939999999959</v>
      </c>
      <c r="P13" s="215">
        <v>7004.2</v>
      </c>
      <c r="Q13" s="215">
        <v>7273.9719999999943</v>
      </c>
      <c r="R13" s="215">
        <v>6994.4980000000069</v>
      </c>
      <c r="S13" s="215">
        <v>6930.6260000000002</v>
      </c>
      <c r="T13" s="58"/>
      <c r="U13" s="215">
        <f>H13+'F5 - Cost Pressures'!$L$65/12-3380/12</f>
        <v>7058.9563046155072</v>
      </c>
      <c r="V13" s="215">
        <f>I13+'F5 - Cost Pressures'!$L$65/12-3380/12</f>
        <v>7897.2233046155088</v>
      </c>
      <c r="W13" s="215">
        <f>J13+'F5 - Cost Pressures'!$L$65/12-3380/12</f>
        <v>7534.8493046155054</v>
      </c>
      <c r="X13" s="215">
        <f>K13+'F5 - Cost Pressures'!$L$65/12-3380/12</f>
        <v>7991.6173046155081</v>
      </c>
      <c r="Y13" s="215">
        <f>L13+'F5 - Cost Pressures'!$L$65/12-3380/12</f>
        <v>8261.7803046155132</v>
      </c>
      <c r="Z13" s="215">
        <f>M13+'F5 - Cost Pressures'!$L$65/12-3380/12</f>
        <v>7339.8853046155036</v>
      </c>
      <c r="AA13" s="215">
        <f>N13+'F5 - Cost Pressures'!$L$65/12-3380/12</f>
        <v>8326.7493046155141</v>
      </c>
      <c r="AB13" s="215">
        <f>O13+'F5 - Cost Pressures'!$L$65/12-3380/12</f>
        <v>8027.2773046155044</v>
      </c>
      <c r="AC13" s="215">
        <f>P13+'F5 - Cost Pressures'!$L$65/12-3380/12</f>
        <v>7304.7833046155074</v>
      </c>
      <c r="AD13" s="215">
        <f>Q13+'F5 - Cost Pressures'!$L$65/12-3380/12</f>
        <v>7574.5553046155019</v>
      </c>
      <c r="AE13" s="215">
        <f>R13+'F5 - Cost Pressures'!$L$65/12-3380/12</f>
        <v>7295.0813046155145</v>
      </c>
      <c r="AF13" s="215">
        <f>S13+'F5 - Cost Pressures'!$L$65/12-3380/12</f>
        <v>7231.2093046155078</v>
      </c>
      <c r="AG13" s="22">
        <f t="shared" si="2"/>
        <v>91843.967655386092</v>
      </c>
      <c r="AH13" s="294"/>
      <c r="AI13" s="295"/>
      <c r="AJ13" s="295"/>
      <c r="AK13" s="295"/>
      <c r="AL13" s="295"/>
      <c r="AM13" s="295"/>
      <c r="AN13" s="295"/>
      <c r="AO13" s="295"/>
      <c r="AP13" s="295"/>
      <c r="AQ13" s="295"/>
      <c r="AR13" s="295"/>
      <c r="AS13" s="295"/>
      <c r="AT13" s="295"/>
      <c r="AU13" s="22">
        <f t="shared" si="3"/>
        <v>0</v>
      </c>
      <c r="AV13" s="113" t="str">
        <f t="shared" si="4"/>
        <v/>
      </c>
    </row>
    <row r="14" spans="1:48" ht="20.149999999999999" customHeight="1">
      <c r="A14" s="4"/>
      <c r="B14" s="293" t="s">
        <v>433</v>
      </c>
      <c r="C14" s="22">
        <f t="shared" si="1"/>
        <v>753424.44523999991</v>
      </c>
      <c r="D14" s="22">
        <f t="shared" si="8"/>
        <v>749293</v>
      </c>
      <c r="E14" s="215"/>
      <c r="F14" s="215"/>
      <c r="G14" s="58"/>
      <c r="H14" s="215">
        <v>54145.180999999997</v>
      </c>
      <c r="I14" s="215">
        <v>58136.858000000007</v>
      </c>
      <c r="J14" s="215">
        <v>70330.335999999996</v>
      </c>
      <c r="K14" s="215">
        <v>71803.997000000003</v>
      </c>
      <c r="L14" s="215">
        <v>59340.931000000011</v>
      </c>
      <c r="M14" s="215">
        <v>59220.7</v>
      </c>
      <c r="N14" s="215">
        <v>64479.6</v>
      </c>
      <c r="O14" s="215">
        <v>62241.701000000001</v>
      </c>
      <c r="P14" s="215">
        <v>61808.250000000058</v>
      </c>
      <c r="Q14" s="215">
        <v>63415.234999999986</v>
      </c>
      <c r="R14" s="215">
        <v>64859.954999999958</v>
      </c>
      <c r="S14" s="215">
        <v>63641.701239999995</v>
      </c>
      <c r="T14" s="58"/>
      <c r="U14" s="215">
        <f>(62785-12772/12)+'F5 - Cost Pressures'!$H$65/12-6300/12-'F6 - Savings Tracker'!$J$2/12*0.7+515</f>
        <v>62441.5</v>
      </c>
      <c r="V14" s="215">
        <f>(62785-12772/12)+'F5 - Cost Pressures'!$H$65/12-6300/12-'F6 - Savings Tracker'!$J$2/12*0.7+515</f>
        <v>62441.5</v>
      </c>
      <c r="W14" s="215">
        <f>(62785-12772/12)+'F5 - Cost Pressures'!$H$65/12-6300/12-'F6 - Savings Tracker'!$J$2/12*0.7+515</f>
        <v>62441.5</v>
      </c>
      <c r="X14" s="215">
        <f>(62785-12772/12)+'F5 - Cost Pressures'!$H$65/12-6300/12-'F6 - Savings Tracker'!$J$2/12*0.7+515</f>
        <v>62441.5</v>
      </c>
      <c r="Y14" s="215">
        <f>(62785-12772/12)+'F5 - Cost Pressures'!$H$65/12-6300/12-'F6 - Savings Tracker'!$J$2/12*0.7+515</f>
        <v>62441.5</v>
      </c>
      <c r="Z14" s="215">
        <f>(62785-12772/12)+'F5 - Cost Pressures'!$H$65/12-6300/12-'F6 - Savings Tracker'!$J$2/12*0.7+515</f>
        <v>62441.5</v>
      </c>
      <c r="AA14" s="215">
        <f>(62785-12772/12)+'F5 - Cost Pressures'!$H$65/12-6300/12-'F6 - Savings Tracker'!$J$2/12*0.7+515</f>
        <v>62441.5</v>
      </c>
      <c r="AB14" s="215">
        <f>(62785-12772/12)+'F5 - Cost Pressures'!$H$65/12-6300/12-'F6 - Savings Tracker'!$J$2/12*0.7+515</f>
        <v>62441.5</v>
      </c>
      <c r="AC14" s="215">
        <f>(62785-12772/12)+'F5 - Cost Pressures'!$H$65/12-6300/12-'F6 - Savings Tracker'!$J$2/12*0.7+515</f>
        <v>62441.5</v>
      </c>
      <c r="AD14" s="215">
        <f>(62785-12772/12)+'F5 - Cost Pressures'!$H$65/12-6300/12-'F6 - Savings Tracker'!$J$2/12*0.7+515</f>
        <v>62441.5</v>
      </c>
      <c r="AE14" s="215">
        <f>(62785-12772/12)+'F5 - Cost Pressures'!$H$65/12-6300/12-'F6 - Savings Tracker'!$J$2/12*0.7+515</f>
        <v>62441.5</v>
      </c>
      <c r="AF14" s="215">
        <f>(62785-12772/12)+'F5 - Cost Pressures'!$H$65/12-6300/12-'F6 - Savings Tracker'!$J$2/12*0.7+515-5</f>
        <v>62436.5</v>
      </c>
      <c r="AG14" s="22">
        <f t="shared" si="2"/>
        <v>749293</v>
      </c>
      <c r="AH14" s="294"/>
      <c r="AI14" s="295"/>
      <c r="AJ14" s="295"/>
      <c r="AK14" s="295"/>
      <c r="AL14" s="295"/>
      <c r="AM14" s="295"/>
      <c r="AN14" s="295"/>
      <c r="AO14" s="295"/>
      <c r="AP14" s="295"/>
      <c r="AQ14" s="295"/>
      <c r="AR14" s="295"/>
      <c r="AS14" s="295"/>
      <c r="AT14" s="295"/>
      <c r="AU14" s="22">
        <f t="shared" si="3"/>
        <v>0</v>
      </c>
      <c r="AV14" s="113" t="str">
        <f t="shared" si="4"/>
        <v/>
      </c>
    </row>
    <row r="15" spans="1:48" ht="20.149999999999999" customHeight="1">
      <c r="A15" s="4"/>
      <c r="B15" s="293" t="s">
        <v>445</v>
      </c>
      <c r="C15" s="22">
        <f t="shared" si="1"/>
        <v>143234.16212999998</v>
      </c>
      <c r="D15" s="22">
        <f t="shared" si="8"/>
        <v>157644.42512999999</v>
      </c>
      <c r="E15" s="215"/>
      <c r="F15" s="215"/>
      <c r="G15" s="58"/>
      <c r="H15" s="215">
        <v>11225.135</v>
      </c>
      <c r="I15" s="215">
        <v>10959.656000000001</v>
      </c>
      <c r="J15" s="215">
        <v>12586.064999999999</v>
      </c>
      <c r="K15" s="215">
        <v>12081.285000000003</v>
      </c>
      <c r="L15" s="215">
        <v>11774.905999999995</v>
      </c>
      <c r="M15" s="215">
        <v>13086.627</v>
      </c>
      <c r="N15" s="215">
        <v>11668.396000000008</v>
      </c>
      <c r="O15" s="215">
        <v>13312.672999999995</v>
      </c>
      <c r="P15" s="215">
        <v>12331.769000000004</v>
      </c>
      <c r="Q15" s="215">
        <v>12851.245999999999</v>
      </c>
      <c r="R15" s="215">
        <v>13132.728999999999</v>
      </c>
      <c r="S15" s="215">
        <v>8223.6751299999814</v>
      </c>
      <c r="T15" s="58"/>
      <c r="U15" s="215">
        <f>H15+'F5 - Cost Pressures'!$J$65/12-3700/12-'F6 - Savings Tracker'!$J$2/12*0.3</f>
        <v>12243.073583333333</v>
      </c>
      <c r="V15" s="215">
        <f>I15+'F5 - Cost Pressures'!$J$65/12-3700/12-'F6 - Savings Tracker'!$J$2/12*0.3</f>
        <v>11977.594583333334</v>
      </c>
      <c r="W15" s="215">
        <f>J15+'F5 - Cost Pressures'!$J$65/12-3700/12-'F6 - Savings Tracker'!$J$2/12*0.3</f>
        <v>13604.003583333331</v>
      </c>
      <c r="X15" s="215">
        <f>K15+'F5 - Cost Pressures'!$J$65/12-3700/12-'F6 - Savings Tracker'!$J$2/12*0.3</f>
        <v>13099.223583333336</v>
      </c>
      <c r="Y15" s="215">
        <f>L15+'F5 - Cost Pressures'!$J$65/12-3700/12-'F6 - Savings Tracker'!$J$2/12*0.3</f>
        <v>12792.844583333328</v>
      </c>
      <c r="Z15" s="215">
        <f>M15+'F5 - Cost Pressures'!$J$65/12-3700/12-'F6 - Savings Tracker'!$J$2/12*0.3-500</f>
        <v>13604.565583333333</v>
      </c>
      <c r="AA15" s="215">
        <f>N15+'F5 - Cost Pressures'!$J$65/12-3700/12-'F6 - Savings Tracker'!$J$2/12*0.3</f>
        <v>12686.334583333341</v>
      </c>
      <c r="AB15" s="215">
        <f>O15+'F5 - Cost Pressures'!$J$65/12-3700/12-'F6 - Savings Tracker'!$J$2/12*0.3-500</f>
        <v>13830.611583333328</v>
      </c>
      <c r="AC15" s="215">
        <f>P15+'F5 - Cost Pressures'!$J$65/12-3700/12-'F6 - Savings Tracker'!$J$2/12*0.3</f>
        <v>13349.707583333337</v>
      </c>
      <c r="AD15" s="215">
        <f>Q15+'F5 - Cost Pressures'!$J$65/12-3700/12-'F6 - Savings Tracker'!$J$2/12*0.3-600</f>
        <v>13269.184583333332</v>
      </c>
      <c r="AE15" s="215">
        <f>R15+'F5 - Cost Pressures'!$J$65/12-3700/12-'F6 - Savings Tracker'!$J$2/12*0.3-500</f>
        <v>13650.667583333332</v>
      </c>
      <c r="AF15" s="215">
        <f>S15+'F5 - Cost Pressures'!$J$65/12-3700/12-'F6 - Savings Tracker'!$J$2/12*0.3+'F5 - Cost Pressures'!P39+'F5 - Cost Pressures'!P40-3305</f>
        <v>13536.613713333314</v>
      </c>
      <c r="AG15" s="22">
        <f t="shared" si="2"/>
        <v>157644.42512999999</v>
      </c>
      <c r="AH15" s="294"/>
      <c r="AI15" s="295"/>
      <c r="AJ15" s="295"/>
      <c r="AK15" s="295"/>
      <c r="AL15" s="295"/>
      <c r="AM15" s="295"/>
      <c r="AN15" s="295"/>
      <c r="AO15" s="295"/>
      <c r="AP15" s="295"/>
      <c r="AQ15" s="295"/>
      <c r="AR15" s="295"/>
      <c r="AS15" s="295"/>
      <c r="AT15" s="295"/>
      <c r="AU15" s="22">
        <f t="shared" si="3"/>
        <v>0</v>
      </c>
      <c r="AV15" s="113" t="str">
        <f t="shared" si="4"/>
        <v/>
      </c>
    </row>
    <row r="16" spans="1:48" ht="20.149999999999999" customHeight="1">
      <c r="A16" s="4"/>
      <c r="B16" s="293" t="s">
        <v>454</v>
      </c>
      <c r="C16" s="22">
        <f t="shared" si="1"/>
        <v>83276.843999999997</v>
      </c>
      <c r="D16" s="22">
        <f t="shared" si="8"/>
        <v>87980.000000000015</v>
      </c>
      <c r="E16" s="215"/>
      <c r="F16" s="215"/>
      <c r="G16" s="58"/>
      <c r="H16" s="215">
        <v>5428.5649999999996</v>
      </c>
      <c r="I16" s="215">
        <v>6817.8760000000011</v>
      </c>
      <c r="J16" s="215">
        <v>6594.8680000000004</v>
      </c>
      <c r="K16" s="215">
        <v>6639.8580000000002</v>
      </c>
      <c r="L16" s="215">
        <v>6582.1090000000004</v>
      </c>
      <c r="M16" s="215">
        <v>6362.3080000000009</v>
      </c>
      <c r="N16" s="215">
        <v>7815.3240000000005</v>
      </c>
      <c r="O16" s="215">
        <v>8090.0089999999982</v>
      </c>
      <c r="P16" s="215">
        <v>6312.4239999999991</v>
      </c>
      <c r="Q16" s="215">
        <v>8432</v>
      </c>
      <c r="R16" s="215">
        <v>7051.0509999999922</v>
      </c>
      <c r="S16" s="215">
        <v>7150.4519999999993</v>
      </c>
      <c r="T16" s="58"/>
      <c r="U16" s="215">
        <f>6940+'F5 - Cost Pressures'!$N$65/12</f>
        <v>7331.666666666667</v>
      </c>
      <c r="V16" s="215">
        <f>6940+'F5 - Cost Pressures'!$N$65/12</f>
        <v>7331.666666666667</v>
      </c>
      <c r="W16" s="215">
        <f>6940+'F5 - Cost Pressures'!$N$65/12</f>
        <v>7331.666666666667</v>
      </c>
      <c r="X16" s="215">
        <f>6940+'F5 - Cost Pressures'!$N$65/12</f>
        <v>7331.666666666667</v>
      </c>
      <c r="Y16" s="215">
        <f>6940+'F5 - Cost Pressures'!$N$65/12</f>
        <v>7331.666666666667</v>
      </c>
      <c r="Z16" s="215">
        <f>6940+'F5 - Cost Pressures'!$N$65/12</f>
        <v>7331.666666666667</v>
      </c>
      <c r="AA16" s="215">
        <f>6940+'F5 - Cost Pressures'!$N$65/12</f>
        <v>7331.666666666667</v>
      </c>
      <c r="AB16" s="215">
        <f>6940+'F5 - Cost Pressures'!$N$65/12</f>
        <v>7331.666666666667</v>
      </c>
      <c r="AC16" s="215">
        <f>6940+'F5 - Cost Pressures'!$N$65/12</f>
        <v>7331.666666666667</v>
      </c>
      <c r="AD16" s="215">
        <f>6940+'F5 - Cost Pressures'!$N$65/12</f>
        <v>7331.666666666667</v>
      </c>
      <c r="AE16" s="215">
        <f>6940+'F5 - Cost Pressures'!$N$65/12</f>
        <v>7331.666666666667</v>
      </c>
      <c r="AF16" s="215">
        <f>6940+'F5 - Cost Pressures'!$N$65/12</f>
        <v>7331.666666666667</v>
      </c>
      <c r="AG16" s="22">
        <f t="shared" si="2"/>
        <v>87980.000000000015</v>
      </c>
      <c r="AH16" s="294"/>
      <c r="AI16" s="295"/>
      <c r="AJ16" s="295"/>
      <c r="AK16" s="295"/>
      <c r="AL16" s="295"/>
      <c r="AM16" s="295"/>
      <c r="AN16" s="295"/>
      <c r="AO16" s="295"/>
      <c r="AP16" s="295"/>
      <c r="AQ16" s="295"/>
      <c r="AR16" s="295"/>
      <c r="AS16" s="295"/>
      <c r="AT16" s="295"/>
      <c r="AU16" s="22">
        <f t="shared" si="3"/>
        <v>0</v>
      </c>
      <c r="AV16" s="113" t="str">
        <f t="shared" si="4"/>
        <v/>
      </c>
    </row>
    <row r="17" spans="1:48" ht="20.149999999999999" customHeight="1">
      <c r="A17" s="4"/>
      <c r="B17" s="293" t="s">
        <v>441</v>
      </c>
      <c r="C17" s="22">
        <f t="shared" si="1"/>
        <v>183070.45899999997</v>
      </c>
      <c r="D17" s="22">
        <f t="shared" si="8"/>
        <v>190918.79233333332</v>
      </c>
      <c r="E17" s="215"/>
      <c r="F17" s="215"/>
      <c r="G17" s="58"/>
      <c r="H17" s="215">
        <v>14640.498</v>
      </c>
      <c r="I17" s="215">
        <v>14682.698</v>
      </c>
      <c r="J17" s="215">
        <v>14597.314999999999</v>
      </c>
      <c r="K17" s="215">
        <v>14931.313999999998</v>
      </c>
      <c r="L17" s="215">
        <v>14767.524000000005</v>
      </c>
      <c r="M17" s="215">
        <v>16130.080999999991</v>
      </c>
      <c r="N17" s="215">
        <v>14996.455000000002</v>
      </c>
      <c r="O17" s="215">
        <v>16718.65800000001</v>
      </c>
      <c r="P17" s="215">
        <v>15555.774999999996</v>
      </c>
      <c r="Q17" s="215">
        <v>15627.823000000004</v>
      </c>
      <c r="R17" s="215">
        <v>14863.987999999983</v>
      </c>
      <c r="S17" s="215">
        <v>15558.33</v>
      </c>
      <c r="T17" s="58"/>
      <c r="U17" s="215">
        <f>H17+'F5 - Cost Pressures'!$T$65/12</f>
        <v>15294.525777777777</v>
      </c>
      <c r="V17" s="215">
        <f>I17+'F5 - Cost Pressures'!$T$65/12</f>
        <v>15336.725777777778</v>
      </c>
      <c r="W17" s="215">
        <f>J17+'F5 - Cost Pressures'!$T$65/12</f>
        <v>15251.342777777776</v>
      </c>
      <c r="X17" s="215">
        <f>K17+'F5 - Cost Pressures'!$T$65/12</f>
        <v>15585.341777777776</v>
      </c>
      <c r="Y17" s="215">
        <f>L17+'F5 - Cost Pressures'!$T$65/12</f>
        <v>15421.551777777782</v>
      </c>
      <c r="Z17" s="215">
        <f>M17+'F5 - Cost Pressures'!$T$65/12</f>
        <v>16784.108777777768</v>
      </c>
      <c r="AA17" s="215">
        <f>N17+'F5 - Cost Pressures'!$T$65/12</f>
        <v>15650.482777777779</v>
      </c>
      <c r="AB17" s="215">
        <f>O17+'F5 - Cost Pressures'!$T$65/12</f>
        <v>17372.685777777788</v>
      </c>
      <c r="AC17" s="215">
        <f>P17+'F5 - Cost Pressures'!$T$65/12</f>
        <v>16209.802777777773</v>
      </c>
      <c r="AD17" s="215">
        <f>Q17+'F5 - Cost Pressures'!$T$65/12</f>
        <v>16281.850777777781</v>
      </c>
      <c r="AE17" s="215">
        <f>R17+'F5 - Cost Pressures'!$T$65/12</f>
        <v>15518.01577777776</v>
      </c>
      <c r="AF17" s="215">
        <f>S17+'F5 - Cost Pressures'!$T$65/12</f>
        <v>16212.357777777777</v>
      </c>
      <c r="AG17" s="22">
        <f t="shared" si="2"/>
        <v>190918.79233333332</v>
      </c>
      <c r="AH17" s="294"/>
      <c r="AI17" s="295"/>
      <c r="AJ17" s="295"/>
      <c r="AK17" s="295"/>
      <c r="AL17" s="295"/>
      <c r="AM17" s="295"/>
      <c r="AN17" s="295"/>
      <c r="AO17" s="295"/>
      <c r="AP17" s="295"/>
      <c r="AQ17" s="295"/>
      <c r="AR17" s="295"/>
      <c r="AS17" s="295"/>
      <c r="AT17" s="295"/>
      <c r="AU17" s="22">
        <f t="shared" si="3"/>
        <v>0</v>
      </c>
      <c r="AV17" s="113" t="str">
        <f t="shared" si="4"/>
        <v/>
      </c>
    </row>
    <row r="18" spans="1:48" ht="20.149999999999999" customHeight="1">
      <c r="A18" s="4"/>
      <c r="B18" s="293" t="s">
        <v>447</v>
      </c>
      <c r="C18" s="22">
        <f t="shared" si="1"/>
        <v>0</v>
      </c>
      <c r="D18" s="22">
        <f t="shared" si="8"/>
        <v>0</v>
      </c>
      <c r="E18" s="215"/>
      <c r="F18" s="215"/>
      <c r="G18" s="58"/>
      <c r="H18" s="215">
        <v>0</v>
      </c>
      <c r="I18" s="215">
        <v>0</v>
      </c>
      <c r="J18" s="215">
        <v>0</v>
      </c>
      <c r="K18" s="215">
        <v>0</v>
      </c>
      <c r="L18" s="215">
        <v>0</v>
      </c>
      <c r="M18" s="215">
        <v>0</v>
      </c>
      <c r="N18" s="215">
        <v>0</v>
      </c>
      <c r="O18" s="215">
        <v>0</v>
      </c>
      <c r="P18" s="215">
        <v>0</v>
      </c>
      <c r="Q18" s="215">
        <v>0</v>
      </c>
      <c r="R18" s="215">
        <v>0</v>
      </c>
      <c r="S18" s="215">
        <v>0</v>
      </c>
      <c r="T18" s="58"/>
      <c r="U18" s="215">
        <f t="shared" ref="U18:U29" si="10">H18</f>
        <v>0</v>
      </c>
      <c r="V18" s="215">
        <f t="shared" si="9"/>
        <v>0</v>
      </c>
      <c r="W18" s="215">
        <f t="shared" si="9"/>
        <v>0</v>
      </c>
      <c r="X18" s="215">
        <f t="shared" si="9"/>
        <v>0</v>
      </c>
      <c r="Y18" s="215">
        <f t="shared" si="9"/>
        <v>0</v>
      </c>
      <c r="Z18" s="215">
        <f t="shared" si="9"/>
        <v>0</v>
      </c>
      <c r="AA18" s="215">
        <f t="shared" si="9"/>
        <v>0</v>
      </c>
      <c r="AB18" s="215">
        <f t="shared" si="9"/>
        <v>0</v>
      </c>
      <c r="AC18" s="215">
        <f t="shared" si="9"/>
        <v>0</v>
      </c>
      <c r="AD18" s="215">
        <f t="shared" si="9"/>
        <v>0</v>
      </c>
      <c r="AE18" s="215">
        <f t="shared" si="9"/>
        <v>0</v>
      </c>
      <c r="AF18" s="215">
        <f t="shared" si="9"/>
        <v>0</v>
      </c>
      <c r="AG18" s="22">
        <f t="shared" si="2"/>
        <v>0</v>
      </c>
      <c r="AH18" s="294"/>
      <c r="AI18" s="295"/>
      <c r="AJ18" s="295"/>
      <c r="AK18" s="295"/>
      <c r="AL18" s="295"/>
      <c r="AM18" s="295"/>
      <c r="AN18" s="295"/>
      <c r="AO18" s="295"/>
      <c r="AP18" s="295"/>
      <c r="AQ18" s="295"/>
      <c r="AR18" s="295"/>
      <c r="AS18" s="295"/>
      <c r="AT18" s="295"/>
      <c r="AU18" s="22">
        <f t="shared" si="3"/>
        <v>0</v>
      </c>
      <c r="AV18" s="113" t="str">
        <f t="shared" si="4"/>
        <v/>
      </c>
    </row>
    <row r="19" spans="1:48" ht="20.149999999999999" customHeight="1">
      <c r="A19" s="4"/>
      <c r="B19" s="293" t="s">
        <v>437</v>
      </c>
      <c r="C19" s="22">
        <f t="shared" si="1"/>
        <v>86728.513999999996</v>
      </c>
      <c r="D19" s="22">
        <f t="shared" si="8"/>
        <v>97507.513999999996</v>
      </c>
      <c r="E19" s="215"/>
      <c r="F19" s="215"/>
      <c r="G19" s="58"/>
      <c r="H19" s="215">
        <v>6388.8959999999997</v>
      </c>
      <c r="I19" s="215">
        <v>6045.8360000000002</v>
      </c>
      <c r="J19" s="215">
        <v>7274.4010000000017</v>
      </c>
      <c r="K19" s="215">
        <v>6822.739999999998</v>
      </c>
      <c r="L19" s="215">
        <v>7471.2510000000038</v>
      </c>
      <c r="M19" s="215">
        <v>6010.3379999999961</v>
      </c>
      <c r="N19" s="215">
        <v>8010.038999999997</v>
      </c>
      <c r="O19" s="215">
        <v>7987.5920000000042</v>
      </c>
      <c r="P19" s="215">
        <v>7904.273000000001</v>
      </c>
      <c r="Q19" s="215">
        <v>8202.7049999999945</v>
      </c>
      <c r="R19" s="215">
        <v>7381.8559999999998</v>
      </c>
      <c r="S19" s="215">
        <v>7228.5870000000004</v>
      </c>
      <c r="T19" s="58"/>
      <c r="U19" s="215">
        <f>H19+'F5 - Cost Pressures'!$P$65/12-7600/12</f>
        <v>7287.1459999999997</v>
      </c>
      <c r="V19" s="215">
        <f>I19+'F5 - Cost Pressures'!$P$65/12-7600/12</f>
        <v>6944.0860000000002</v>
      </c>
      <c r="W19" s="215">
        <f>J19+'F5 - Cost Pressures'!$P$65/12-7600/12</f>
        <v>8172.6510000000026</v>
      </c>
      <c r="X19" s="215">
        <f>K19+'F5 - Cost Pressures'!$P$65/12-7600/12</f>
        <v>7720.9899999999989</v>
      </c>
      <c r="Y19" s="215">
        <f>L19+'F5 - Cost Pressures'!$P$65/12-7600/12</f>
        <v>8369.5010000000038</v>
      </c>
      <c r="Z19" s="215">
        <f>M19+'F5 - Cost Pressures'!$P$65/12-7600/12</f>
        <v>6908.5879999999961</v>
      </c>
      <c r="AA19" s="215">
        <f>N19+'F5 - Cost Pressures'!$P$65/12-7600/12</f>
        <v>8908.288999999997</v>
      </c>
      <c r="AB19" s="215">
        <f>O19+'F5 - Cost Pressures'!$P$65/12-7600/12</f>
        <v>8885.8420000000042</v>
      </c>
      <c r="AC19" s="215">
        <f>P19+'F5 - Cost Pressures'!$P$65/12-7600/12</f>
        <v>8802.523000000001</v>
      </c>
      <c r="AD19" s="215">
        <f>Q19+'F5 - Cost Pressures'!$P$65/12-7600/12</f>
        <v>9100.9549999999945</v>
      </c>
      <c r="AE19" s="215">
        <f>R19+'F5 - Cost Pressures'!$P$65/12-7600/12</f>
        <v>8280.1059999999998</v>
      </c>
      <c r="AF19" s="215">
        <f>S19+'F5 - Cost Pressures'!$P$65/12-7600/12</f>
        <v>8126.8370000000004</v>
      </c>
      <c r="AG19" s="22">
        <f t="shared" si="2"/>
        <v>97507.513999999996</v>
      </c>
      <c r="AH19" s="294"/>
      <c r="AI19" s="295"/>
      <c r="AJ19" s="295"/>
      <c r="AK19" s="295"/>
      <c r="AL19" s="295"/>
      <c r="AM19" s="295"/>
      <c r="AN19" s="295"/>
      <c r="AO19" s="295"/>
      <c r="AP19" s="295"/>
      <c r="AQ19" s="295"/>
      <c r="AR19" s="295"/>
      <c r="AS19" s="295"/>
      <c r="AT19" s="295"/>
      <c r="AU19" s="22">
        <f t="shared" si="3"/>
        <v>0</v>
      </c>
      <c r="AV19" s="113" t="str">
        <f t="shared" si="4"/>
        <v/>
      </c>
    </row>
    <row r="20" spans="1:48" ht="20.149999999999999" customHeight="1">
      <c r="A20" s="4"/>
      <c r="B20" s="293" t="s">
        <v>449</v>
      </c>
      <c r="C20" s="22">
        <f t="shared" si="1"/>
        <v>18049.4385</v>
      </c>
      <c r="D20" s="22">
        <f t="shared" si="8"/>
        <v>18048</v>
      </c>
      <c r="E20" s="215"/>
      <c r="F20" s="215"/>
      <c r="G20" s="58"/>
      <c r="H20" s="215">
        <v>1224.0550000000001</v>
      </c>
      <c r="I20" s="215">
        <v>1327.0240000000001</v>
      </c>
      <c r="J20" s="215">
        <v>1622.3309999999997</v>
      </c>
      <c r="K20" s="215">
        <v>1562.5439999999999</v>
      </c>
      <c r="L20" s="215">
        <v>1250.8270000000002</v>
      </c>
      <c r="M20" s="215">
        <v>1888.0379999999996</v>
      </c>
      <c r="N20" s="215">
        <v>1346.5820000000003</v>
      </c>
      <c r="O20" s="215">
        <v>1560.3860000000004</v>
      </c>
      <c r="P20" s="215">
        <v>1643.6309999999994</v>
      </c>
      <c r="Q20" s="215">
        <v>2184.6769999999997</v>
      </c>
      <c r="R20" s="215">
        <v>2316.0310000000009</v>
      </c>
      <c r="S20" s="215">
        <v>123.3125</v>
      </c>
      <c r="T20" s="58"/>
      <c r="U20" s="215">
        <v>1504</v>
      </c>
      <c r="V20" s="215">
        <v>1504</v>
      </c>
      <c r="W20" s="215">
        <v>1504</v>
      </c>
      <c r="X20" s="215">
        <v>1504</v>
      </c>
      <c r="Y20" s="215">
        <v>1504</v>
      </c>
      <c r="Z20" s="215">
        <v>1504</v>
      </c>
      <c r="AA20" s="215">
        <v>1504</v>
      </c>
      <c r="AB20" s="215">
        <v>1504</v>
      </c>
      <c r="AC20" s="215">
        <v>1504</v>
      </c>
      <c r="AD20" s="215">
        <v>1504</v>
      </c>
      <c r="AE20" s="215">
        <v>1504</v>
      </c>
      <c r="AF20" s="215">
        <v>1504</v>
      </c>
      <c r="AG20" s="22">
        <f t="shared" si="2"/>
        <v>18048</v>
      </c>
      <c r="AH20" s="294"/>
      <c r="AI20" s="295"/>
      <c r="AJ20" s="295"/>
      <c r="AK20" s="295"/>
      <c r="AL20" s="295"/>
      <c r="AM20" s="295"/>
      <c r="AN20" s="295"/>
      <c r="AO20" s="295"/>
      <c r="AP20" s="295"/>
      <c r="AQ20" s="295"/>
      <c r="AR20" s="295"/>
      <c r="AS20" s="295"/>
      <c r="AT20" s="295"/>
      <c r="AU20" s="22">
        <f t="shared" si="3"/>
        <v>0</v>
      </c>
      <c r="AV20" s="113" t="str">
        <f t="shared" si="4"/>
        <v/>
      </c>
    </row>
    <row r="21" spans="1:48" ht="20.149999999999999" customHeight="1">
      <c r="A21" s="4"/>
      <c r="B21" s="293" t="s">
        <v>443</v>
      </c>
      <c r="C21" s="22">
        <f t="shared" si="1"/>
        <v>19677.23875</v>
      </c>
      <c r="D21" s="22">
        <f t="shared" si="8"/>
        <v>19677</v>
      </c>
      <c r="E21" s="215"/>
      <c r="F21" s="215"/>
      <c r="G21" s="58"/>
      <c r="H21" s="215">
        <v>447.99799999999999</v>
      </c>
      <c r="I21" s="215">
        <v>588.55500000000006</v>
      </c>
      <c r="J21" s="215">
        <v>469.32999999999993</v>
      </c>
      <c r="K21" s="215">
        <v>689.62200000000007</v>
      </c>
      <c r="L21" s="215">
        <v>1494.473</v>
      </c>
      <c r="M21" s="215">
        <v>310.50099999999975</v>
      </c>
      <c r="N21" s="215">
        <v>1117.1129999999998</v>
      </c>
      <c r="O21" s="215">
        <v>266.0590000000002</v>
      </c>
      <c r="P21" s="215">
        <v>1160.1019999999999</v>
      </c>
      <c r="Q21" s="215">
        <v>652.06400000000031</v>
      </c>
      <c r="R21" s="215">
        <v>4622.2769999999991</v>
      </c>
      <c r="S21" s="215">
        <v>7859.1447500000013</v>
      </c>
      <c r="T21" s="58"/>
      <c r="U21" s="215">
        <f>19677/12</f>
        <v>1639.75</v>
      </c>
      <c r="V21" s="215">
        <f t="shared" ref="V21:AF21" si="11">19677/12</f>
        <v>1639.75</v>
      </c>
      <c r="W21" s="215">
        <f t="shared" si="11"/>
        <v>1639.75</v>
      </c>
      <c r="X21" s="215">
        <f t="shared" si="11"/>
        <v>1639.75</v>
      </c>
      <c r="Y21" s="215">
        <f t="shared" si="11"/>
        <v>1639.75</v>
      </c>
      <c r="Z21" s="215">
        <f t="shared" si="11"/>
        <v>1639.75</v>
      </c>
      <c r="AA21" s="215">
        <f t="shared" si="11"/>
        <v>1639.75</v>
      </c>
      <c r="AB21" s="215">
        <f t="shared" si="11"/>
        <v>1639.75</v>
      </c>
      <c r="AC21" s="215">
        <f t="shared" si="11"/>
        <v>1639.75</v>
      </c>
      <c r="AD21" s="215">
        <f t="shared" si="11"/>
        <v>1639.75</v>
      </c>
      <c r="AE21" s="215">
        <f t="shared" si="11"/>
        <v>1639.75</v>
      </c>
      <c r="AF21" s="215">
        <f t="shared" si="11"/>
        <v>1639.75</v>
      </c>
      <c r="AG21" s="22">
        <f t="shared" si="2"/>
        <v>19677</v>
      </c>
      <c r="AH21" s="294"/>
      <c r="AI21" s="295"/>
      <c r="AJ21" s="295"/>
      <c r="AK21" s="295"/>
      <c r="AL21" s="295"/>
      <c r="AM21" s="295"/>
      <c r="AN21" s="295"/>
      <c r="AO21" s="295"/>
      <c r="AP21" s="295"/>
      <c r="AQ21" s="295"/>
      <c r="AR21" s="295"/>
      <c r="AS21" s="295"/>
      <c r="AT21" s="295"/>
      <c r="AU21" s="22">
        <f t="shared" si="3"/>
        <v>0</v>
      </c>
      <c r="AV21" s="113" t="str">
        <f t="shared" si="4"/>
        <v/>
      </c>
    </row>
    <row r="22" spans="1:48" ht="20.149999999999999" customHeight="1">
      <c r="A22" s="4"/>
      <c r="B22" s="293" t="s">
        <v>444</v>
      </c>
      <c r="C22" s="22">
        <f t="shared" si="1"/>
        <v>2092.7989999999995</v>
      </c>
      <c r="D22" s="22">
        <f t="shared" si="8"/>
        <v>2093.0000000000005</v>
      </c>
      <c r="E22" s="215"/>
      <c r="F22" s="215"/>
      <c r="G22" s="58"/>
      <c r="H22" s="215">
        <v>-1400.4369999999999</v>
      </c>
      <c r="I22" s="215">
        <v>1242.6389999999999</v>
      </c>
      <c r="J22" s="215">
        <v>415.94200000000001</v>
      </c>
      <c r="K22" s="215">
        <v>-29.311000000000007</v>
      </c>
      <c r="L22" s="215">
        <v>468.98100000000068</v>
      </c>
      <c r="M22" s="215">
        <v>-867.94500000000062</v>
      </c>
      <c r="N22" s="215">
        <v>-775.34999999999991</v>
      </c>
      <c r="O22" s="215">
        <v>384.66399999999976</v>
      </c>
      <c r="P22" s="215">
        <v>-680.66100000000006</v>
      </c>
      <c r="Q22" s="215">
        <v>-770.65300000000025</v>
      </c>
      <c r="R22" s="215">
        <v>924.31700000000001</v>
      </c>
      <c r="S22" s="215">
        <v>3180.6129999999998</v>
      </c>
      <c r="T22" s="58"/>
      <c r="U22" s="215">
        <f>2093/12</f>
        <v>174.41666666666666</v>
      </c>
      <c r="V22" s="215">
        <f t="shared" ref="V22:AF22" si="12">2093/12</f>
        <v>174.41666666666666</v>
      </c>
      <c r="W22" s="215">
        <f t="shared" si="12"/>
        <v>174.41666666666666</v>
      </c>
      <c r="X22" s="215">
        <f t="shared" si="12"/>
        <v>174.41666666666666</v>
      </c>
      <c r="Y22" s="215">
        <f t="shared" si="12"/>
        <v>174.41666666666666</v>
      </c>
      <c r="Z22" s="215">
        <f t="shared" si="12"/>
        <v>174.41666666666666</v>
      </c>
      <c r="AA22" s="215">
        <f t="shared" si="12"/>
        <v>174.41666666666666</v>
      </c>
      <c r="AB22" s="215">
        <f t="shared" si="12"/>
        <v>174.41666666666666</v>
      </c>
      <c r="AC22" s="215">
        <f t="shared" si="12"/>
        <v>174.41666666666666</v>
      </c>
      <c r="AD22" s="215">
        <f t="shared" si="12"/>
        <v>174.41666666666666</v>
      </c>
      <c r="AE22" s="215">
        <f t="shared" si="12"/>
        <v>174.41666666666666</v>
      </c>
      <c r="AF22" s="215">
        <f t="shared" si="12"/>
        <v>174.41666666666666</v>
      </c>
      <c r="AG22" s="22">
        <f t="shared" si="2"/>
        <v>2093.0000000000005</v>
      </c>
      <c r="AH22" s="294"/>
      <c r="AI22" s="295"/>
      <c r="AJ22" s="295"/>
      <c r="AK22" s="295"/>
      <c r="AL22" s="295"/>
      <c r="AM22" s="295"/>
      <c r="AN22" s="295"/>
      <c r="AO22" s="295"/>
      <c r="AP22" s="295"/>
      <c r="AQ22" s="295"/>
      <c r="AR22" s="295"/>
      <c r="AS22" s="295"/>
      <c r="AT22" s="295"/>
      <c r="AU22" s="22">
        <f t="shared" si="3"/>
        <v>0</v>
      </c>
      <c r="AV22" s="113" t="str">
        <f t="shared" si="4"/>
        <v/>
      </c>
    </row>
    <row r="23" spans="1:48" ht="20.149999999999999" customHeight="1">
      <c r="A23" s="4"/>
      <c r="B23" s="293" t="s">
        <v>440</v>
      </c>
      <c r="C23" s="22">
        <f t="shared" si="1"/>
        <v>0</v>
      </c>
      <c r="D23" s="22">
        <f t="shared" si="8"/>
        <v>0</v>
      </c>
      <c r="E23" s="215"/>
      <c r="F23" s="215"/>
      <c r="G23" s="58"/>
      <c r="H23" s="215">
        <v>0</v>
      </c>
      <c r="I23" s="215">
        <v>0</v>
      </c>
      <c r="J23" s="215">
        <v>0</v>
      </c>
      <c r="K23" s="215">
        <v>0</v>
      </c>
      <c r="L23" s="215">
        <v>0</v>
      </c>
      <c r="M23" s="215">
        <v>0</v>
      </c>
      <c r="N23" s="215">
        <v>0</v>
      </c>
      <c r="O23" s="215">
        <v>0</v>
      </c>
      <c r="P23" s="215">
        <v>0</v>
      </c>
      <c r="Q23" s="215">
        <v>0</v>
      </c>
      <c r="R23" s="215">
        <v>0</v>
      </c>
      <c r="S23" s="215">
        <v>0</v>
      </c>
      <c r="T23" s="58"/>
      <c r="U23" s="215">
        <f t="shared" si="10"/>
        <v>0</v>
      </c>
      <c r="V23" s="215">
        <f t="shared" si="9"/>
        <v>0</v>
      </c>
      <c r="W23" s="215">
        <f t="shared" si="9"/>
        <v>0</v>
      </c>
      <c r="X23" s="215">
        <f t="shared" si="9"/>
        <v>0</v>
      </c>
      <c r="Y23" s="215">
        <f t="shared" si="9"/>
        <v>0</v>
      </c>
      <c r="Z23" s="215">
        <f t="shared" si="9"/>
        <v>0</v>
      </c>
      <c r="AA23" s="215">
        <f t="shared" si="9"/>
        <v>0</v>
      </c>
      <c r="AB23" s="215">
        <f t="shared" si="9"/>
        <v>0</v>
      </c>
      <c r="AC23" s="215">
        <f t="shared" si="9"/>
        <v>0</v>
      </c>
      <c r="AD23" s="215">
        <f t="shared" si="9"/>
        <v>0</v>
      </c>
      <c r="AE23" s="215">
        <f t="shared" si="9"/>
        <v>0</v>
      </c>
      <c r="AF23" s="215">
        <f t="shared" si="9"/>
        <v>0</v>
      </c>
      <c r="AG23" s="22">
        <f t="shared" si="2"/>
        <v>0</v>
      </c>
      <c r="AH23" s="294"/>
      <c r="AI23" s="295"/>
      <c r="AJ23" s="295"/>
      <c r="AK23" s="295"/>
      <c r="AL23" s="295"/>
      <c r="AM23" s="295"/>
      <c r="AN23" s="295"/>
      <c r="AO23" s="295"/>
      <c r="AP23" s="295"/>
      <c r="AQ23" s="295"/>
      <c r="AR23" s="295"/>
      <c r="AS23" s="295"/>
      <c r="AT23" s="295"/>
      <c r="AU23" s="22">
        <f t="shared" si="3"/>
        <v>0</v>
      </c>
      <c r="AV23" s="113" t="str">
        <f t="shared" si="4"/>
        <v/>
      </c>
    </row>
    <row r="24" spans="1:48" ht="20.149999999999999" customHeight="1">
      <c r="A24" s="4"/>
      <c r="B24" s="293" t="s">
        <v>456</v>
      </c>
      <c r="C24" s="22">
        <f t="shared" si="1"/>
        <v>0</v>
      </c>
      <c r="D24" s="22">
        <f t="shared" si="8"/>
        <v>0</v>
      </c>
      <c r="E24" s="215"/>
      <c r="F24" s="215"/>
      <c r="G24" s="58"/>
      <c r="H24" s="215">
        <v>0</v>
      </c>
      <c r="I24" s="215">
        <v>0</v>
      </c>
      <c r="J24" s="215">
        <v>0</v>
      </c>
      <c r="K24" s="215">
        <v>0</v>
      </c>
      <c r="L24" s="215">
        <v>0</v>
      </c>
      <c r="M24" s="215">
        <v>0</v>
      </c>
      <c r="N24" s="215">
        <v>0</v>
      </c>
      <c r="O24" s="215">
        <v>0</v>
      </c>
      <c r="P24" s="215">
        <v>0</v>
      </c>
      <c r="Q24" s="215">
        <v>0</v>
      </c>
      <c r="R24" s="215">
        <v>0</v>
      </c>
      <c r="S24" s="215">
        <v>0</v>
      </c>
      <c r="T24" s="58"/>
      <c r="U24" s="215">
        <f t="shared" si="10"/>
        <v>0</v>
      </c>
      <c r="V24" s="215">
        <f t="shared" si="9"/>
        <v>0</v>
      </c>
      <c r="W24" s="215">
        <f t="shared" si="9"/>
        <v>0</v>
      </c>
      <c r="X24" s="215">
        <f t="shared" si="9"/>
        <v>0</v>
      </c>
      <c r="Y24" s="215">
        <f t="shared" si="9"/>
        <v>0</v>
      </c>
      <c r="Z24" s="215">
        <f t="shared" si="9"/>
        <v>0</v>
      </c>
      <c r="AA24" s="215">
        <f t="shared" si="9"/>
        <v>0</v>
      </c>
      <c r="AB24" s="215">
        <f t="shared" si="9"/>
        <v>0</v>
      </c>
      <c r="AC24" s="215">
        <f t="shared" si="9"/>
        <v>0</v>
      </c>
      <c r="AD24" s="215">
        <f t="shared" si="9"/>
        <v>0</v>
      </c>
      <c r="AE24" s="215">
        <f t="shared" si="9"/>
        <v>0</v>
      </c>
      <c r="AF24" s="215">
        <f t="shared" si="9"/>
        <v>0</v>
      </c>
      <c r="AG24" s="22">
        <f t="shared" si="2"/>
        <v>0</v>
      </c>
      <c r="AH24" s="294"/>
      <c r="AI24" s="295"/>
      <c r="AJ24" s="295"/>
      <c r="AK24" s="295"/>
      <c r="AL24" s="295"/>
      <c r="AM24" s="295"/>
      <c r="AN24" s="295"/>
      <c r="AO24" s="295"/>
      <c r="AP24" s="295"/>
      <c r="AQ24" s="295"/>
      <c r="AR24" s="295"/>
      <c r="AS24" s="295"/>
      <c r="AT24" s="295"/>
      <c r="AU24" s="22">
        <f t="shared" si="3"/>
        <v>0</v>
      </c>
      <c r="AV24" s="113" t="str">
        <f t="shared" si="4"/>
        <v/>
      </c>
    </row>
    <row r="25" spans="1:48" ht="20.149999999999999" customHeight="1">
      <c r="A25" s="4"/>
      <c r="B25" s="293" t="s">
        <v>455</v>
      </c>
      <c r="C25" s="22">
        <f t="shared" si="1"/>
        <v>0</v>
      </c>
      <c r="D25" s="22">
        <f t="shared" si="8"/>
        <v>0</v>
      </c>
      <c r="E25" s="215"/>
      <c r="F25" s="215"/>
      <c r="G25" s="58"/>
      <c r="H25" s="215">
        <v>0</v>
      </c>
      <c r="I25" s="215">
        <v>0</v>
      </c>
      <c r="J25" s="215">
        <v>0</v>
      </c>
      <c r="K25" s="215">
        <v>0</v>
      </c>
      <c r="L25" s="215">
        <v>0</v>
      </c>
      <c r="M25" s="215">
        <v>0</v>
      </c>
      <c r="N25" s="215">
        <v>0</v>
      </c>
      <c r="O25" s="215">
        <v>0</v>
      </c>
      <c r="P25" s="215">
        <v>0</v>
      </c>
      <c r="Q25" s="215">
        <v>0</v>
      </c>
      <c r="R25" s="215">
        <v>0</v>
      </c>
      <c r="S25" s="215">
        <v>0</v>
      </c>
      <c r="T25" s="58"/>
      <c r="U25" s="215">
        <f t="shared" si="10"/>
        <v>0</v>
      </c>
      <c r="V25" s="215">
        <f t="shared" si="9"/>
        <v>0</v>
      </c>
      <c r="W25" s="215">
        <f t="shared" si="9"/>
        <v>0</v>
      </c>
      <c r="X25" s="215">
        <f t="shared" si="9"/>
        <v>0</v>
      </c>
      <c r="Y25" s="215">
        <f t="shared" si="9"/>
        <v>0</v>
      </c>
      <c r="Z25" s="215">
        <f t="shared" si="9"/>
        <v>0</v>
      </c>
      <c r="AA25" s="215">
        <f t="shared" si="9"/>
        <v>0</v>
      </c>
      <c r="AB25" s="215">
        <f t="shared" si="9"/>
        <v>0</v>
      </c>
      <c r="AC25" s="215">
        <f t="shared" si="9"/>
        <v>0</v>
      </c>
      <c r="AD25" s="215">
        <f t="shared" si="9"/>
        <v>0</v>
      </c>
      <c r="AE25" s="215">
        <f t="shared" si="9"/>
        <v>0</v>
      </c>
      <c r="AF25" s="215">
        <f t="shared" si="9"/>
        <v>0</v>
      </c>
      <c r="AG25" s="22">
        <f t="shared" si="2"/>
        <v>0</v>
      </c>
      <c r="AH25" s="294"/>
      <c r="AI25" s="295"/>
      <c r="AJ25" s="295"/>
      <c r="AK25" s="295"/>
      <c r="AL25" s="295"/>
      <c r="AM25" s="295"/>
      <c r="AN25" s="295"/>
      <c r="AO25" s="295"/>
      <c r="AP25" s="295"/>
      <c r="AQ25" s="295"/>
      <c r="AR25" s="295"/>
      <c r="AS25" s="295"/>
      <c r="AT25" s="295"/>
      <c r="AU25" s="22">
        <f t="shared" si="3"/>
        <v>0</v>
      </c>
      <c r="AV25" s="113" t="str">
        <f t="shared" si="4"/>
        <v/>
      </c>
    </row>
    <row r="26" spans="1:48" ht="20.149999999999999" customHeight="1">
      <c r="A26" s="4"/>
      <c r="B26" s="293" t="s">
        <v>439</v>
      </c>
      <c r="C26" s="22">
        <f t="shared" si="1"/>
        <v>34936.525000000001</v>
      </c>
      <c r="D26" s="22">
        <f t="shared" si="8"/>
        <v>34937.000000000007</v>
      </c>
      <c r="E26" s="215"/>
      <c r="F26" s="215"/>
      <c r="G26" s="58"/>
      <c r="H26" s="215">
        <v>1859.8319999999999</v>
      </c>
      <c r="I26" s="215">
        <v>1860.0440000000003</v>
      </c>
      <c r="J26" s="215">
        <v>4308.2129999999997</v>
      </c>
      <c r="K26" s="215">
        <v>2689.5300000000007</v>
      </c>
      <c r="L26" s="215">
        <v>3143.5450000000001</v>
      </c>
      <c r="M26" s="215">
        <v>2766.2209999999977</v>
      </c>
      <c r="N26" s="215">
        <v>2765.8240000000005</v>
      </c>
      <c r="O26" s="215">
        <v>2765.9979999999996</v>
      </c>
      <c r="P26" s="215">
        <v>2806.0879999999997</v>
      </c>
      <c r="Q26" s="215">
        <v>4105.0360000000001</v>
      </c>
      <c r="R26" s="215">
        <v>2932.6500000000015</v>
      </c>
      <c r="S26" s="215">
        <v>2933.5439999999999</v>
      </c>
      <c r="T26" s="58"/>
      <c r="U26" s="215">
        <f>34937/12</f>
        <v>2911.4166666666665</v>
      </c>
      <c r="V26" s="215">
        <f t="shared" ref="V26:AF26" si="13">34937/12</f>
        <v>2911.4166666666665</v>
      </c>
      <c r="W26" s="215">
        <f t="shared" si="13"/>
        <v>2911.4166666666665</v>
      </c>
      <c r="X26" s="215">
        <f t="shared" si="13"/>
        <v>2911.4166666666665</v>
      </c>
      <c r="Y26" s="215">
        <f t="shared" si="13"/>
        <v>2911.4166666666665</v>
      </c>
      <c r="Z26" s="215">
        <f t="shared" si="13"/>
        <v>2911.4166666666665</v>
      </c>
      <c r="AA26" s="215">
        <f t="shared" si="13"/>
        <v>2911.4166666666665</v>
      </c>
      <c r="AB26" s="215">
        <f t="shared" si="13"/>
        <v>2911.4166666666665</v>
      </c>
      <c r="AC26" s="215">
        <f t="shared" si="13"/>
        <v>2911.4166666666665</v>
      </c>
      <c r="AD26" s="215">
        <f t="shared" si="13"/>
        <v>2911.4166666666665</v>
      </c>
      <c r="AE26" s="215">
        <f t="shared" si="13"/>
        <v>2911.4166666666665</v>
      </c>
      <c r="AF26" s="215">
        <f t="shared" si="13"/>
        <v>2911.4166666666665</v>
      </c>
      <c r="AG26" s="22">
        <f t="shared" si="2"/>
        <v>34937.000000000007</v>
      </c>
      <c r="AH26" s="294"/>
      <c r="AI26" s="295"/>
      <c r="AJ26" s="295"/>
      <c r="AK26" s="295"/>
      <c r="AL26" s="295"/>
      <c r="AM26" s="295"/>
      <c r="AN26" s="295"/>
      <c r="AO26" s="295"/>
      <c r="AP26" s="295"/>
      <c r="AQ26" s="295"/>
      <c r="AR26" s="295"/>
      <c r="AS26" s="295"/>
      <c r="AT26" s="295"/>
      <c r="AU26" s="22">
        <f t="shared" si="3"/>
        <v>0</v>
      </c>
      <c r="AV26" s="113" t="str">
        <f t="shared" si="4"/>
        <v/>
      </c>
    </row>
    <row r="27" spans="1:48" ht="20.149999999999999" customHeight="1">
      <c r="A27" s="4"/>
      <c r="B27" s="293" t="s">
        <v>435</v>
      </c>
      <c r="C27" s="22">
        <f t="shared" si="1"/>
        <v>751.32500000000005</v>
      </c>
      <c r="D27" s="22">
        <f t="shared" si="8"/>
        <v>751.00000000000011</v>
      </c>
      <c r="E27" s="215"/>
      <c r="F27" s="215"/>
      <c r="G27" s="58"/>
      <c r="H27" s="215">
        <v>22.161000000000001</v>
      </c>
      <c r="I27" s="215">
        <v>21</v>
      </c>
      <c r="J27" s="215">
        <v>35.658999999999992</v>
      </c>
      <c r="K27" s="215">
        <v>7.5010000000000048</v>
      </c>
      <c r="L27" s="215">
        <v>224.28400000000002</v>
      </c>
      <c r="M27" s="215">
        <v>62.120999999999981</v>
      </c>
      <c r="N27" s="215">
        <v>62.122000000000014</v>
      </c>
      <c r="O27" s="215">
        <v>66.036000000000001</v>
      </c>
      <c r="P27" s="215">
        <v>62.610000000000014</v>
      </c>
      <c r="Q27" s="215">
        <v>62.61099999999999</v>
      </c>
      <c r="R27" s="215">
        <v>62.610000000000014</v>
      </c>
      <c r="S27" s="215">
        <v>62.61</v>
      </c>
      <c r="T27" s="58"/>
      <c r="U27" s="215">
        <f>751/12</f>
        <v>62.583333333333336</v>
      </c>
      <c r="V27" s="215">
        <f t="shared" ref="V27:AF27" si="14">751/12</f>
        <v>62.583333333333336</v>
      </c>
      <c r="W27" s="215">
        <f t="shared" si="14"/>
        <v>62.583333333333336</v>
      </c>
      <c r="X27" s="215">
        <f t="shared" si="14"/>
        <v>62.583333333333336</v>
      </c>
      <c r="Y27" s="215">
        <f t="shared" si="14"/>
        <v>62.583333333333336</v>
      </c>
      <c r="Z27" s="215">
        <f t="shared" si="14"/>
        <v>62.583333333333336</v>
      </c>
      <c r="AA27" s="215">
        <f t="shared" si="14"/>
        <v>62.583333333333336</v>
      </c>
      <c r="AB27" s="215">
        <f t="shared" si="14"/>
        <v>62.583333333333336</v>
      </c>
      <c r="AC27" s="215">
        <f t="shared" si="14"/>
        <v>62.583333333333336</v>
      </c>
      <c r="AD27" s="215">
        <f t="shared" si="14"/>
        <v>62.583333333333336</v>
      </c>
      <c r="AE27" s="215">
        <f t="shared" si="14"/>
        <v>62.583333333333336</v>
      </c>
      <c r="AF27" s="215">
        <f t="shared" si="14"/>
        <v>62.583333333333336</v>
      </c>
      <c r="AG27" s="22">
        <f t="shared" si="2"/>
        <v>751.00000000000011</v>
      </c>
      <c r="AH27" s="294"/>
      <c r="AI27" s="298"/>
      <c r="AJ27" s="298"/>
      <c r="AK27" s="298"/>
      <c r="AL27" s="298"/>
      <c r="AM27" s="298"/>
      <c r="AN27" s="298"/>
      <c r="AO27" s="298"/>
      <c r="AP27" s="298"/>
      <c r="AQ27" s="298"/>
      <c r="AR27" s="298"/>
      <c r="AS27" s="298"/>
      <c r="AT27" s="298"/>
      <c r="AU27" s="22">
        <f t="shared" si="3"/>
        <v>0</v>
      </c>
      <c r="AV27" s="113" t="str">
        <f t="shared" si="4"/>
        <v/>
      </c>
    </row>
    <row r="28" spans="1:48" ht="20.149999999999999" customHeight="1">
      <c r="A28" s="4"/>
      <c r="B28" s="293" t="s">
        <v>457</v>
      </c>
      <c r="C28" s="22">
        <f t="shared" si="1"/>
        <v>0</v>
      </c>
      <c r="D28" s="22">
        <f t="shared" si="8"/>
        <v>0</v>
      </c>
      <c r="E28" s="215"/>
      <c r="F28" s="215"/>
      <c r="G28" s="58"/>
      <c r="H28" s="215">
        <v>0</v>
      </c>
      <c r="I28" s="215">
        <v>0</v>
      </c>
      <c r="J28" s="215">
        <v>0</v>
      </c>
      <c r="K28" s="215">
        <v>0</v>
      </c>
      <c r="L28" s="215">
        <v>0</v>
      </c>
      <c r="M28" s="215">
        <v>0</v>
      </c>
      <c r="N28" s="215">
        <v>0</v>
      </c>
      <c r="O28" s="215">
        <v>0</v>
      </c>
      <c r="P28" s="215">
        <v>0</v>
      </c>
      <c r="Q28" s="215">
        <v>0</v>
      </c>
      <c r="R28" s="215">
        <v>0</v>
      </c>
      <c r="S28" s="215">
        <v>0</v>
      </c>
      <c r="T28" s="58"/>
      <c r="U28" s="215">
        <f t="shared" si="10"/>
        <v>0</v>
      </c>
      <c r="V28" s="215">
        <f t="shared" ref="V28:V29" si="15">I28</f>
        <v>0</v>
      </c>
      <c r="W28" s="215">
        <f t="shared" ref="W28:W29" si="16">J28</f>
        <v>0</v>
      </c>
      <c r="X28" s="215">
        <f t="shared" ref="X28:X29" si="17">K28</f>
        <v>0</v>
      </c>
      <c r="Y28" s="215">
        <f t="shared" ref="Y28:Y29" si="18">L28</f>
        <v>0</v>
      </c>
      <c r="Z28" s="215">
        <f t="shared" ref="Z28:Z29" si="19">M28</f>
        <v>0</v>
      </c>
      <c r="AA28" s="215">
        <f t="shared" ref="AA28:AA29" si="20">N28</f>
        <v>0</v>
      </c>
      <c r="AB28" s="215">
        <f t="shared" ref="AB28:AB29" si="21">O28</f>
        <v>0</v>
      </c>
      <c r="AC28" s="215">
        <f t="shared" ref="AC28:AC29" si="22">P28</f>
        <v>0</v>
      </c>
      <c r="AD28" s="215">
        <f t="shared" ref="AD28:AD29" si="23">Q28</f>
        <v>0</v>
      </c>
      <c r="AE28" s="215">
        <f t="shared" ref="AE28:AE29" si="24">R28</f>
        <v>0</v>
      </c>
      <c r="AF28" s="215">
        <f t="shared" ref="AF28:AF29" si="25">S28</f>
        <v>0</v>
      </c>
      <c r="AG28" s="22">
        <f t="shared" si="2"/>
        <v>0</v>
      </c>
      <c r="AH28" s="294"/>
      <c r="AI28" s="298"/>
      <c r="AJ28" s="298"/>
      <c r="AK28" s="298"/>
      <c r="AL28" s="298"/>
      <c r="AM28" s="298"/>
      <c r="AN28" s="298"/>
      <c r="AO28" s="298"/>
      <c r="AP28" s="298"/>
      <c r="AQ28" s="298"/>
      <c r="AR28" s="298"/>
      <c r="AS28" s="298"/>
      <c r="AT28" s="298"/>
      <c r="AU28" s="22">
        <f t="shared" si="3"/>
        <v>0</v>
      </c>
      <c r="AV28" s="113" t="str">
        <f t="shared" si="4"/>
        <v/>
      </c>
    </row>
    <row r="29" spans="1:48" ht="20.149999999999999" customHeight="1">
      <c r="A29" s="4"/>
      <c r="B29" s="293" t="s">
        <v>452</v>
      </c>
      <c r="C29" s="22">
        <f t="shared" si="1"/>
        <v>0</v>
      </c>
      <c r="D29" s="22">
        <f t="shared" si="8"/>
        <v>0</v>
      </c>
      <c r="E29" s="215"/>
      <c r="F29" s="215"/>
      <c r="G29" s="58"/>
      <c r="H29" s="215">
        <v>0</v>
      </c>
      <c r="I29" s="215">
        <v>0</v>
      </c>
      <c r="J29" s="215">
        <v>0</v>
      </c>
      <c r="K29" s="215">
        <v>0</v>
      </c>
      <c r="L29" s="215">
        <v>0</v>
      </c>
      <c r="M29" s="215">
        <v>0</v>
      </c>
      <c r="N29" s="215">
        <v>0</v>
      </c>
      <c r="O29" s="215">
        <v>0</v>
      </c>
      <c r="P29" s="215">
        <v>0</v>
      </c>
      <c r="Q29" s="215">
        <v>0</v>
      </c>
      <c r="R29" s="215">
        <v>0</v>
      </c>
      <c r="S29" s="215">
        <v>0</v>
      </c>
      <c r="T29" s="58"/>
      <c r="U29" s="215">
        <f t="shared" si="10"/>
        <v>0</v>
      </c>
      <c r="V29" s="215">
        <f t="shared" si="15"/>
        <v>0</v>
      </c>
      <c r="W29" s="215">
        <f t="shared" si="16"/>
        <v>0</v>
      </c>
      <c r="X29" s="215">
        <f t="shared" si="17"/>
        <v>0</v>
      </c>
      <c r="Y29" s="215">
        <f t="shared" si="18"/>
        <v>0</v>
      </c>
      <c r="Z29" s="215">
        <f t="shared" si="19"/>
        <v>0</v>
      </c>
      <c r="AA29" s="215">
        <f t="shared" si="20"/>
        <v>0</v>
      </c>
      <c r="AB29" s="215">
        <f t="shared" si="21"/>
        <v>0</v>
      </c>
      <c r="AC29" s="215">
        <f t="shared" si="22"/>
        <v>0</v>
      </c>
      <c r="AD29" s="215">
        <f t="shared" si="23"/>
        <v>0</v>
      </c>
      <c r="AE29" s="215">
        <f t="shared" si="24"/>
        <v>0</v>
      </c>
      <c r="AF29" s="215">
        <f t="shared" si="25"/>
        <v>0</v>
      </c>
      <c r="AG29" s="22">
        <f t="shared" si="2"/>
        <v>0</v>
      </c>
      <c r="AH29" s="294"/>
      <c r="AI29" s="299"/>
      <c r="AJ29" s="299"/>
      <c r="AK29" s="299"/>
      <c r="AL29" s="299"/>
      <c r="AM29" s="299"/>
      <c r="AN29" s="299"/>
      <c r="AO29" s="299"/>
      <c r="AP29" s="299"/>
      <c r="AQ29" s="299"/>
      <c r="AR29" s="299"/>
      <c r="AS29" s="299"/>
      <c r="AT29" s="299"/>
      <c r="AU29" s="22">
        <f t="shared" si="3"/>
        <v>0</v>
      </c>
      <c r="AV29" s="113" t="str">
        <f t="shared" si="4"/>
        <v/>
      </c>
    </row>
    <row r="30" spans="1:48" s="297" customFormat="1" ht="20.149999999999999" customHeight="1">
      <c r="A30" s="296"/>
      <c r="B30" s="3" t="s">
        <v>476</v>
      </c>
      <c r="C30" s="225">
        <f t="shared" si="1"/>
        <v>1531464.3496199998</v>
      </c>
      <c r="D30" s="224">
        <f>SUM(D12:D29)</f>
        <v>1568679.3301187195</v>
      </c>
      <c r="E30" s="224">
        <f>SUM(E12:E29)</f>
        <v>0</v>
      </c>
      <c r="F30" s="224">
        <f>SUM(F12:F29)</f>
        <v>0</v>
      </c>
      <c r="G30" s="294"/>
      <c r="H30" s="224">
        <f t="shared" ref="H30:S30" si="26">SUM(H12:H29)</f>
        <v>110604.59399999998</v>
      </c>
      <c r="I30" s="224">
        <f t="shared" si="26"/>
        <v>119293.60400000001</v>
      </c>
      <c r="J30" s="224">
        <f t="shared" si="26"/>
        <v>135577.533</v>
      </c>
      <c r="K30" s="224">
        <f t="shared" si="26"/>
        <v>134632.16</v>
      </c>
      <c r="L30" s="224">
        <f t="shared" si="26"/>
        <v>124011.27100000001</v>
      </c>
      <c r="M30" s="224">
        <f t="shared" si="26"/>
        <v>121835.46699999999</v>
      </c>
      <c r="N30" s="224">
        <f t="shared" si="26"/>
        <v>129124.35900000003</v>
      </c>
      <c r="O30" s="224">
        <f t="shared" si="26"/>
        <v>130328.864</v>
      </c>
      <c r="P30" s="224">
        <f t="shared" si="26"/>
        <v>124899.50500000003</v>
      </c>
      <c r="Q30" s="224">
        <f t="shared" si="26"/>
        <v>131848.31599999996</v>
      </c>
      <c r="R30" s="224">
        <f t="shared" si="26"/>
        <v>135531.83899999995</v>
      </c>
      <c r="S30" s="224">
        <f t="shared" si="26"/>
        <v>133776.83761999998</v>
      </c>
      <c r="T30" s="294"/>
      <c r="U30" s="224">
        <f t="shared" ref="U30:AF30" si="27">SUM(U12:U29)</f>
        <v>127813.37199905995</v>
      </c>
      <c r="V30" s="224">
        <f t="shared" si="27"/>
        <v>128235.74099905996</v>
      </c>
      <c r="W30" s="224">
        <f t="shared" si="27"/>
        <v>130736.98699905994</v>
      </c>
      <c r="X30" s="224">
        <f t="shared" si="27"/>
        <v>130204.55199905997</v>
      </c>
      <c r="Y30" s="224">
        <f t="shared" si="27"/>
        <v>130442.25399905998</v>
      </c>
      <c r="Z30" s="224">
        <f t="shared" si="27"/>
        <v>130529.65599905995</v>
      </c>
      <c r="AA30" s="224">
        <f t="shared" si="27"/>
        <v>131249.27699906001</v>
      </c>
      <c r="AB30" s="224">
        <f t="shared" si="27"/>
        <v>133390.14399905998</v>
      </c>
      <c r="AC30" s="224">
        <f t="shared" si="27"/>
        <v>130723.19399905995</v>
      </c>
      <c r="AD30" s="224">
        <f t="shared" si="27"/>
        <v>132103.47899905997</v>
      </c>
      <c r="AE30" s="224">
        <f t="shared" si="27"/>
        <v>131199.08099905995</v>
      </c>
      <c r="AF30" s="224">
        <f t="shared" si="27"/>
        <v>132051.59312905994</v>
      </c>
      <c r="AG30" s="224">
        <f>SUM(AG12:AG29)</f>
        <v>1568679.3301187195</v>
      </c>
      <c r="AH30" s="294"/>
      <c r="AI30" s="224">
        <f t="shared" ref="AI30:AT30" si="28">SUM(AI12:AI29)</f>
        <v>0</v>
      </c>
      <c r="AJ30" s="224">
        <f t="shared" si="28"/>
        <v>0</v>
      </c>
      <c r="AK30" s="224">
        <f t="shared" si="28"/>
        <v>0</v>
      </c>
      <c r="AL30" s="224">
        <f t="shared" si="28"/>
        <v>0</v>
      </c>
      <c r="AM30" s="224">
        <f t="shared" si="28"/>
        <v>0</v>
      </c>
      <c r="AN30" s="224">
        <f t="shared" si="28"/>
        <v>0</v>
      </c>
      <c r="AO30" s="224">
        <f t="shared" si="28"/>
        <v>0</v>
      </c>
      <c r="AP30" s="224">
        <f t="shared" si="28"/>
        <v>0</v>
      </c>
      <c r="AQ30" s="224">
        <f t="shared" si="28"/>
        <v>0</v>
      </c>
      <c r="AR30" s="224">
        <f t="shared" si="28"/>
        <v>0</v>
      </c>
      <c r="AS30" s="224">
        <f t="shared" si="28"/>
        <v>0</v>
      </c>
      <c r="AT30" s="224">
        <f t="shared" si="28"/>
        <v>0</v>
      </c>
      <c r="AU30" s="224">
        <f>SUM(AU12:AU29)</f>
        <v>0</v>
      </c>
      <c r="AV30" s="113" t="str">
        <f t="shared" si="4"/>
        <v/>
      </c>
    </row>
    <row r="31" spans="1:48" s="297" customFormat="1" ht="20.149999999999999" customHeight="1">
      <c r="A31" s="296"/>
      <c r="B31" s="3" t="s">
        <v>477</v>
      </c>
      <c r="C31" s="224">
        <f t="shared" si="1"/>
        <v>-17134.021179999807</v>
      </c>
      <c r="D31" s="224">
        <f>D11-D30</f>
        <v>-50099.656047608703</v>
      </c>
      <c r="E31" s="224">
        <f>E11-E30</f>
        <v>0</v>
      </c>
      <c r="F31" s="224">
        <f>F11-F30</f>
        <v>0</v>
      </c>
      <c r="G31" s="294"/>
      <c r="H31" s="224">
        <f t="shared" ref="H31:S31" si="29">H11-H30</f>
        <v>-10860.848999999987</v>
      </c>
      <c r="I31" s="224">
        <f t="shared" si="29"/>
        <v>-13674.245999999999</v>
      </c>
      <c r="J31" s="224">
        <f t="shared" si="29"/>
        <v>-11424.97000000003</v>
      </c>
      <c r="K31" s="224">
        <f t="shared" si="29"/>
        <v>-10403.756999999983</v>
      </c>
      <c r="L31" s="224">
        <f t="shared" si="29"/>
        <v>-10190.233000000007</v>
      </c>
      <c r="M31" s="224">
        <f t="shared" si="29"/>
        <v>-8676.8289999999542</v>
      </c>
      <c r="N31" s="224">
        <f t="shared" si="29"/>
        <v>26791.184000000037</v>
      </c>
      <c r="O31" s="224">
        <f t="shared" si="29"/>
        <v>-3266.4830000000802</v>
      </c>
      <c r="P31" s="224">
        <f t="shared" si="29"/>
        <v>175.79299999999057</v>
      </c>
      <c r="Q31" s="224">
        <f t="shared" si="29"/>
        <v>1552.7490000000398</v>
      </c>
      <c r="R31" s="224">
        <f t="shared" si="29"/>
        <v>-1178.8719999998866</v>
      </c>
      <c r="S31" s="224">
        <f t="shared" si="29"/>
        <v>24022.491820000054</v>
      </c>
      <c r="T31" s="294"/>
      <c r="U31" s="224">
        <f t="shared" ref="U31:AG31" si="30">U11-U30</f>
        <v>-1288.7324931340409</v>
      </c>
      <c r="V31" s="224">
        <f t="shared" si="30"/>
        <v>-1711.1014931340469</v>
      </c>
      <c r="W31" s="224">
        <f t="shared" si="30"/>
        <v>-4212.3474931340315</v>
      </c>
      <c r="X31" s="224">
        <f t="shared" si="30"/>
        <v>-3679.912493134063</v>
      </c>
      <c r="Y31" s="224">
        <f t="shared" si="30"/>
        <v>-3917.6144931340677</v>
      </c>
      <c r="Z31" s="224">
        <f t="shared" si="30"/>
        <v>-4005.0164931340405</v>
      </c>
      <c r="AA31" s="224">
        <f t="shared" si="30"/>
        <v>-4724.6374931340979</v>
      </c>
      <c r="AB31" s="224">
        <f t="shared" si="30"/>
        <v>-6865.5044931340672</v>
      </c>
      <c r="AC31" s="224">
        <f t="shared" si="30"/>
        <v>-4198.554493134041</v>
      </c>
      <c r="AD31" s="224">
        <f t="shared" si="30"/>
        <v>-5578.839493134059</v>
      </c>
      <c r="AE31" s="224">
        <f t="shared" si="30"/>
        <v>-4674.4414931340434</v>
      </c>
      <c r="AF31" s="224">
        <f t="shared" si="30"/>
        <v>-5242.9536231340317</v>
      </c>
      <c r="AG31" s="224">
        <f t="shared" si="30"/>
        <v>-50099.656047608703</v>
      </c>
      <c r="AH31" s="294"/>
      <c r="AI31" s="224">
        <f t="shared" ref="AI31:AT31" si="31">AI11-AI30</f>
        <v>0</v>
      </c>
      <c r="AJ31" s="224">
        <f t="shared" si="31"/>
        <v>0</v>
      </c>
      <c r="AK31" s="224">
        <f t="shared" si="31"/>
        <v>0</v>
      </c>
      <c r="AL31" s="224">
        <f t="shared" si="31"/>
        <v>0</v>
      </c>
      <c r="AM31" s="224">
        <f t="shared" si="31"/>
        <v>0</v>
      </c>
      <c r="AN31" s="224">
        <f t="shared" si="31"/>
        <v>0</v>
      </c>
      <c r="AO31" s="224">
        <f t="shared" si="31"/>
        <v>0</v>
      </c>
      <c r="AP31" s="224">
        <f t="shared" si="31"/>
        <v>0</v>
      </c>
      <c r="AQ31" s="224">
        <f t="shared" si="31"/>
        <v>0</v>
      </c>
      <c r="AR31" s="224">
        <f t="shared" si="31"/>
        <v>0</v>
      </c>
      <c r="AS31" s="224">
        <f t="shared" si="31"/>
        <v>0</v>
      </c>
      <c r="AT31" s="224">
        <f t="shared" si="31"/>
        <v>0</v>
      </c>
      <c r="AU31" s="224">
        <f>AU11-AU30</f>
        <v>0</v>
      </c>
      <c r="AV31" s="113" t="str">
        <f t="shared" si="4"/>
        <v/>
      </c>
    </row>
    <row r="32" spans="1:48" ht="20.149999999999999" customHeight="1">
      <c r="A32" s="4"/>
      <c r="B32" s="4"/>
      <c r="C32" s="4"/>
      <c r="D32" s="4"/>
      <c r="E32" s="4"/>
      <c r="F32" s="4"/>
      <c r="G32" s="4"/>
      <c r="U32" s="4"/>
      <c r="V32" s="4"/>
      <c r="W32" s="4"/>
      <c r="X32" s="4"/>
      <c r="Y32" s="4"/>
      <c r="Z32" s="4"/>
      <c r="AA32" s="4"/>
      <c r="AB32" s="4"/>
      <c r="AC32" s="4"/>
      <c r="AD32" s="4"/>
      <c r="AE32" s="4"/>
      <c r="AF32" s="4"/>
      <c r="AG32" s="4"/>
      <c r="AI32" s="4"/>
      <c r="AJ32" s="4"/>
      <c r="AK32" s="4"/>
      <c r="AL32" s="4"/>
      <c r="AM32" s="4"/>
      <c r="AN32" s="4"/>
      <c r="AO32" s="4"/>
      <c r="AP32" s="4"/>
      <c r="AQ32" s="4"/>
      <c r="AR32" s="4"/>
      <c r="AS32" s="4"/>
      <c r="AT32" s="4"/>
      <c r="AU32" s="4"/>
    </row>
    <row r="33" spans="2:48">
      <c r="H33" s="113"/>
    </row>
    <row r="34" spans="2:48">
      <c r="B34" s="297" t="s">
        <v>478</v>
      </c>
    </row>
    <row r="35" spans="2:48" ht="21">
      <c r="B35" s="3" t="s">
        <v>283</v>
      </c>
      <c r="C35" s="22">
        <f>SUM(H35:S35)</f>
        <v>696762.38257000013</v>
      </c>
      <c r="D35" s="22">
        <f t="shared" ref="D35:D37" si="32">AG35</f>
        <v>681859.29862814571</v>
      </c>
      <c r="E35" s="215"/>
      <c r="F35" s="215"/>
      <c r="G35" s="294"/>
      <c r="H35" s="215">
        <v>48938.5</v>
      </c>
      <c r="I35" s="215">
        <v>52503.247060000263</v>
      </c>
      <c r="J35" s="215">
        <v>65310</v>
      </c>
      <c r="K35" s="215">
        <v>66145.5</v>
      </c>
      <c r="L35" s="215">
        <v>54793.212930000038</v>
      </c>
      <c r="M35" s="215">
        <v>55390</v>
      </c>
      <c r="N35" s="215">
        <v>60486.342539999794</v>
      </c>
      <c r="O35" s="215">
        <v>57408.48077999994</v>
      </c>
      <c r="P35" s="215">
        <v>57784.549930000037</v>
      </c>
      <c r="Q35" s="215">
        <v>58792.969600000171</v>
      </c>
      <c r="R35" s="215">
        <v>59891.57972999991</v>
      </c>
      <c r="S35" s="215">
        <v>59318</v>
      </c>
      <c r="T35" s="58"/>
      <c r="U35" s="215">
        <f>'F8 - Pay Split'!$D$14/12</f>
        <v>56821.608219012145</v>
      </c>
      <c r="V35" s="215">
        <f>'F8 - Pay Split'!$D$14/12</f>
        <v>56821.608219012145</v>
      </c>
      <c r="W35" s="215">
        <f>'F8 - Pay Split'!$D$14/12</f>
        <v>56821.608219012145</v>
      </c>
      <c r="X35" s="215">
        <f>'F8 - Pay Split'!$D$14/12</f>
        <v>56821.608219012145</v>
      </c>
      <c r="Y35" s="215">
        <f>'F8 - Pay Split'!$D$14/12</f>
        <v>56821.608219012145</v>
      </c>
      <c r="Z35" s="215">
        <f>'F8 - Pay Split'!$D$14/12</f>
        <v>56821.608219012145</v>
      </c>
      <c r="AA35" s="215">
        <f>'F8 - Pay Split'!$D$14/12</f>
        <v>56821.608219012145</v>
      </c>
      <c r="AB35" s="215">
        <f>'F8 - Pay Split'!$D$14/12</f>
        <v>56821.608219012145</v>
      </c>
      <c r="AC35" s="215">
        <f>'F8 - Pay Split'!$D$14/12</f>
        <v>56821.608219012145</v>
      </c>
      <c r="AD35" s="215">
        <f>'F8 - Pay Split'!$D$14/12</f>
        <v>56821.608219012145</v>
      </c>
      <c r="AE35" s="215">
        <f>'F8 - Pay Split'!$D$14/12</f>
        <v>56821.608219012145</v>
      </c>
      <c r="AF35" s="215">
        <f>'F8 - Pay Split'!$D$14/12</f>
        <v>56821.608219012145</v>
      </c>
      <c r="AG35" s="22">
        <f t="shared" ref="AG35:AG37" si="33">SUM(U35:AF35)</f>
        <v>681859.29862814571</v>
      </c>
      <c r="AV35" s="113" t="str">
        <f t="shared" ref="AV35:AV38" si="34">IF(COUNTA(C35:AG35)&lt;&gt;COUNT(C35:AG35),"Please remove any text entries, enter numeric values only","")</f>
        <v/>
      </c>
    </row>
    <row r="36" spans="2:48" ht="21">
      <c r="B36" s="3" t="s">
        <v>479</v>
      </c>
      <c r="C36" s="22">
        <f t="shared" ref="C36:C37" si="35">SUM(H36:S36)</f>
        <v>39074.66977</v>
      </c>
      <c r="D36" s="22">
        <f t="shared" si="32"/>
        <v>37774.5</v>
      </c>
      <c r="E36" s="215"/>
      <c r="F36" s="215"/>
      <c r="G36" s="294"/>
      <c r="H36" s="215">
        <v>3186</v>
      </c>
      <c r="I36" s="215">
        <v>3553.1198799999979</v>
      </c>
      <c r="J36" s="215">
        <v>2948</v>
      </c>
      <c r="K36" s="215">
        <v>3302</v>
      </c>
      <c r="L36" s="215">
        <v>2791.9876699999977</v>
      </c>
      <c r="M36" s="215">
        <v>2859.4807800000012</v>
      </c>
      <c r="N36" s="215">
        <v>3213.9139600000008</v>
      </c>
      <c r="O36" s="215">
        <v>3310.9585999999995</v>
      </c>
      <c r="P36" s="215">
        <v>2948.8575799999999</v>
      </c>
      <c r="Q36" s="215">
        <v>3724.2893499999977</v>
      </c>
      <c r="R36" s="215">
        <v>3919.0619500000016</v>
      </c>
      <c r="S36" s="215">
        <v>3317</v>
      </c>
      <c r="T36" s="58"/>
      <c r="U36" s="215">
        <f>'F8 - Pay Split'!$D$26/12</f>
        <v>3147.875</v>
      </c>
      <c r="V36" s="215">
        <f>'F8 - Pay Split'!$D$26/12</f>
        <v>3147.875</v>
      </c>
      <c r="W36" s="215">
        <f>'F8 - Pay Split'!$D$26/12</f>
        <v>3147.875</v>
      </c>
      <c r="X36" s="215">
        <f>'F8 - Pay Split'!$D$26/12</f>
        <v>3147.875</v>
      </c>
      <c r="Y36" s="215">
        <f>'F8 - Pay Split'!$D$26/12</f>
        <v>3147.875</v>
      </c>
      <c r="Z36" s="215">
        <f>'F8 - Pay Split'!$D$26/12</f>
        <v>3147.875</v>
      </c>
      <c r="AA36" s="215">
        <f>'F8 - Pay Split'!$D$26/12</f>
        <v>3147.875</v>
      </c>
      <c r="AB36" s="215">
        <f>'F8 - Pay Split'!$D$26/12</f>
        <v>3147.875</v>
      </c>
      <c r="AC36" s="215">
        <f>'F8 - Pay Split'!$D$26/12</f>
        <v>3147.875</v>
      </c>
      <c r="AD36" s="215">
        <f>'F8 - Pay Split'!$D$26/12</f>
        <v>3147.875</v>
      </c>
      <c r="AE36" s="215">
        <f>'F8 - Pay Split'!$D$26/12</f>
        <v>3147.875</v>
      </c>
      <c r="AF36" s="215">
        <f>'F8 - Pay Split'!$D$26/12</f>
        <v>3147.875</v>
      </c>
      <c r="AG36" s="22">
        <f t="shared" si="33"/>
        <v>37774.5</v>
      </c>
      <c r="AV36" s="113" t="str">
        <f t="shared" si="34"/>
        <v/>
      </c>
    </row>
    <row r="37" spans="2:48" ht="21">
      <c r="B37" s="3" t="s">
        <v>480</v>
      </c>
      <c r="C37" s="22">
        <f t="shared" si="35"/>
        <v>34659.061040000001</v>
      </c>
      <c r="D37" s="22">
        <f t="shared" si="32"/>
        <v>29659.061040000001</v>
      </c>
      <c r="E37" s="215"/>
      <c r="F37" s="215"/>
      <c r="G37" s="294"/>
      <c r="H37" s="215">
        <v>3315.4850799999995</v>
      </c>
      <c r="I37" s="215">
        <v>3533.2210599999994</v>
      </c>
      <c r="J37" s="215">
        <v>3713.5836499999996</v>
      </c>
      <c r="K37" s="215">
        <v>3342.4333500000002</v>
      </c>
      <c r="L37" s="215">
        <v>3204.3601799999997</v>
      </c>
      <c r="M37" s="215">
        <v>2472.1860000000001</v>
      </c>
      <c r="N37" s="215">
        <v>2252.3696999999997</v>
      </c>
      <c r="O37" s="215">
        <v>2937.1777400000005</v>
      </c>
      <c r="P37" s="215">
        <v>2546.0269899999994</v>
      </c>
      <c r="Q37" s="215">
        <v>2494.2070800000006</v>
      </c>
      <c r="R37" s="215">
        <v>2375.9491400000002</v>
      </c>
      <c r="S37" s="215">
        <v>2472.0610700000002</v>
      </c>
      <c r="T37" s="58"/>
      <c r="U37" s="215">
        <f>'F8 - Pay Split'!$D$38/12</f>
        <v>2471.58842</v>
      </c>
      <c r="V37" s="215">
        <f>'F8 - Pay Split'!$D$38/12</f>
        <v>2471.58842</v>
      </c>
      <c r="W37" s="215">
        <f>'F8 - Pay Split'!$D$38/12</f>
        <v>2471.58842</v>
      </c>
      <c r="X37" s="215">
        <f>'F8 - Pay Split'!$D$38/12</f>
        <v>2471.58842</v>
      </c>
      <c r="Y37" s="215">
        <f>'F8 - Pay Split'!$D$38/12</f>
        <v>2471.58842</v>
      </c>
      <c r="Z37" s="215">
        <f>'F8 - Pay Split'!$D$38/12</f>
        <v>2471.58842</v>
      </c>
      <c r="AA37" s="215">
        <f>'F8 - Pay Split'!$D$38/12</f>
        <v>2471.58842</v>
      </c>
      <c r="AB37" s="215">
        <f>'F8 - Pay Split'!$D$38/12</f>
        <v>2471.58842</v>
      </c>
      <c r="AC37" s="215">
        <f>'F8 - Pay Split'!$D$38/12</f>
        <v>2471.58842</v>
      </c>
      <c r="AD37" s="215">
        <f>'F8 - Pay Split'!$D$38/12</f>
        <v>2471.58842</v>
      </c>
      <c r="AE37" s="215">
        <f>'F8 - Pay Split'!$D$38/12</f>
        <v>2471.58842</v>
      </c>
      <c r="AF37" s="215">
        <f>'F8 - Pay Split'!$D$38/12</f>
        <v>2471.58842</v>
      </c>
      <c r="AG37" s="22">
        <f t="shared" si="33"/>
        <v>29659.061040000001</v>
      </c>
      <c r="AV37" s="113" t="str">
        <f t="shared" si="34"/>
        <v/>
      </c>
    </row>
    <row r="38" spans="2:48" s="297" customFormat="1" ht="21">
      <c r="B38" s="3" t="s">
        <v>268</v>
      </c>
      <c r="C38" s="224">
        <f>SUM(C35:C37)</f>
        <v>770496.11338000023</v>
      </c>
      <c r="D38" s="224">
        <f t="shared" ref="D38:F38" si="36">SUM(D35:D37)</f>
        <v>749292.85966814565</v>
      </c>
      <c r="E38" s="224">
        <f t="shared" si="36"/>
        <v>0</v>
      </c>
      <c r="F38" s="224">
        <f t="shared" si="36"/>
        <v>0</v>
      </c>
      <c r="G38" s="294"/>
      <c r="H38" s="224">
        <f t="shared" ref="H38:S38" si="37">SUM(H35:H37)</f>
        <v>55439.985079999999</v>
      </c>
      <c r="I38" s="224">
        <f t="shared" si="37"/>
        <v>59589.588000000258</v>
      </c>
      <c r="J38" s="224">
        <f t="shared" si="37"/>
        <v>71971.58365</v>
      </c>
      <c r="K38" s="224">
        <f t="shared" si="37"/>
        <v>72789.933350000007</v>
      </c>
      <c r="L38" s="224">
        <f t="shared" si="37"/>
        <v>60789.560780000029</v>
      </c>
      <c r="M38" s="224">
        <f t="shared" si="37"/>
        <v>60721.66678</v>
      </c>
      <c r="N38" s="224">
        <f t="shared" si="37"/>
        <v>65952.626199999795</v>
      </c>
      <c r="O38" s="224">
        <f t="shared" si="37"/>
        <v>63656.617119999937</v>
      </c>
      <c r="P38" s="224">
        <f t="shared" si="37"/>
        <v>63279.434500000032</v>
      </c>
      <c r="Q38" s="224">
        <f t="shared" si="37"/>
        <v>65011.466030000171</v>
      </c>
      <c r="R38" s="224">
        <f t="shared" si="37"/>
        <v>66186.59081999991</v>
      </c>
      <c r="S38" s="224">
        <f t="shared" si="37"/>
        <v>65107.061070000003</v>
      </c>
      <c r="T38" s="58"/>
      <c r="U38" s="224">
        <f t="shared" ref="U38:AG38" si="38">SUM(U35:U37)</f>
        <v>62441.071639012145</v>
      </c>
      <c r="V38" s="224">
        <f t="shared" si="38"/>
        <v>62441.071639012145</v>
      </c>
      <c r="W38" s="224">
        <f t="shared" si="38"/>
        <v>62441.071639012145</v>
      </c>
      <c r="X38" s="224">
        <f t="shared" si="38"/>
        <v>62441.071639012145</v>
      </c>
      <c r="Y38" s="224">
        <f t="shared" si="38"/>
        <v>62441.071639012145</v>
      </c>
      <c r="Z38" s="224">
        <f t="shared" si="38"/>
        <v>62441.071639012145</v>
      </c>
      <c r="AA38" s="224">
        <f t="shared" si="38"/>
        <v>62441.071639012145</v>
      </c>
      <c r="AB38" s="224">
        <f t="shared" si="38"/>
        <v>62441.071639012145</v>
      </c>
      <c r="AC38" s="224">
        <f t="shared" si="38"/>
        <v>62441.071639012145</v>
      </c>
      <c r="AD38" s="224">
        <f t="shared" si="38"/>
        <v>62441.071639012145</v>
      </c>
      <c r="AE38" s="224">
        <f t="shared" si="38"/>
        <v>62441.071639012145</v>
      </c>
      <c r="AF38" s="224">
        <f t="shared" si="38"/>
        <v>62441.071639012145</v>
      </c>
      <c r="AG38" s="224">
        <f t="shared" si="38"/>
        <v>749292.85966814565</v>
      </c>
      <c r="AV38" s="113" t="str">
        <f t="shared" si="34"/>
        <v/>
      </c>
    </row>
    <row r="40" spans="2:48" s="297" customFormat="1" ht="21">
      <c r="B40" s="3" t="s">
        <v>481</v>
      </c>
      <c r="C40" s="224">
        <f>C38-C41</f>
        <v>17071.668140000314</v>
      </c>
      <c r="D40" s="224">
        <f t="shared" ref="D40:F40" si="39">D38-D41</f>
        <v>-0.14033185434527695</v>
      </c>
      <c r="E40" s="224">
        <f t="shared" si="39"/>
        <v>0</v>
      </c>
      <c r="F40" s="224">
        <f t="shared" si="39"/>
        <v>0</v>
      </c>
      <c r="G40" s="294"/>
      <c r="H40" s="224">
        <f t="shared" ref="H40:S40" si="40">H38-H41</f>
        <v>1294.8040800000017</v>
      </c>
      <c r="I40" s="224">
        <f t="shared" si="40"/>
        <v>1452.7300000002506</v>
      </c>
      <c r="J40" s="224">
        <f t="shared" si="40"/>
        <v>1641.2476500000048</v>
      </c>
      <c r="K40" s="224">
        <f t="shared" si="40"/>
        <v>985.93635000000359</v>
      </c>
      <c r="L40" s="224">
        <f t="shared" si="40"/>
        <v>1448.6297800000175</v>
      </c>
      <c r="M40" s="224">
        <f t="shared" si="40"/>
        <v>1500.9667800000025</v>
      </c>
      <c r="N40" s="224">
        <f t="shared" si="40"/>
        <v>1473.0261999997965</v>
      </c>
      <c r="O40" s="224">
        <f t="shared" si="40"/>
        <v>1414.9161199999362</v>
      </c>
      <c r="P40" s="224">
        <f t="shared" si="40"/>
        <v>1471.1844999999739</v>
      </c>
      <c r="Q40" s="224">
        <f t="shared" si="40"/>
        <v>1596.2310300001845</v>
      </c>
      <c r="R40" s="224">
        <f t="shared" si="40"/>
        <v>1326.6358199999522</v>
      </c>
      <c r="S40" s="224">
        <f t="shared" si="40"/>
        <v>1465.3598300000085</v>
      </c>
      <c r="T40" s="58"/>
      <c r="U40" s="224">
        <f t="shared" ref="U40:AG40" si="41">U38-U41</f>
        <v>-0.42836098785483046</v>
      </c>
      <c r="V40" s="224">
        <f t="shared" si="41"/>
        <v>-0.42836098785483046</v>
      </c>
      <c r="W40" s="224">
        <f t="shared" si="41"/>
        <v>-0.42836098785483046</v>
      </c>
      <c r="X40" s="224">
        <f t="shared" si="41"/>
        <v>-0.42836098785483046</v>
      </c>
      <c r="Y40" s="224">
        <f t="shared" si="41"/>
        <v>-0.42836098785483046</v>
      </c>
      <c r="Z40" s="224">
        <f t="shared" si="41"/>
        <v>-0.42836098785483046</v>
      </c>
      <c r="AA40" s="224">
        <f t="shared" si="41"/>
        <v>-0.42836098785483046</v>
      </c>
      <c r="AB40" s="224">
        <f t="shared" si="41"/>
        <v>-0.42836098785483046</v>
      </c>
      <c r="AC40" s="224">
        <f t="shared" si="41"/>
        <v>-0.42836098785483046</v>
      </c>
      <c r="AD40" s="224">
        <f t="shared" si="41"/>
        <v>-0.42836098785483046</v>
      </c>
      <c r="AE40" s="224">
        <f t="shared" si="41"/>
        <v>-0.42836098785483046</v>
      </c>
      <c r="AF40" s="224">
        <f t="shared" si="41"/>
        <v>4.5716390121451695</v>
      </c>
      <c r="AG40" s="224">
        <f t="shared" si="41"/>
        <v>-0.14033185434527695</v>
      </c>
      <c r="AV40" s="113" t="str">
        <f t="shared" ref="AV40:AV41" si="42">IF(COUNTA(C40:AG40)&lt;&gt;COUNT(C40:AG40),"Please remove any text entries, enter numeric values only","")</f>
        <v/>
      </c>
    </row>
    <row r="41" spans="2:48" s="297" customFormat="1" ht="21">
      <c r="B41" s="3" t="s">
        <v>482</v>
      </c>
      <c r="C41" s="224">
        <f>C14</f>
        <v>753424.44523999991</v>
      </c>
      <c r="D41" s="224">
        <f t="shared" ref="D41:F41" si="43">D14</f>
        <v>749293</v>
      </c>
      <c r="E41" s="224">
        <f t="shared" si="43"/>
        <v>0</v>
      </c>
      <c r="F41" s="224">
        <f t="shared" si="43"/>
        <v>0</v>
      </c>
      <c r="G41" s="294"/>
      <c r="H41" s="224">
        <f t="shared" ref="H41:S41" si="44">H14</f>
        <v>54145.180999999997</v>
      </c>
      <c r="I41" s="224">
        <f t="shared" si="44"/>
        <v>58136.858000000007</v>
      </c>
      <c r="J41" s="224">
        <f t="shared" si="44"/>
        <v>70330.335999999996</v>
      </c>
      <c r="K41" s="224">
        <f t="shared" si="44"/>
        <v>71803.997000000003</v>
      </c>
      <c r="L41" s="224">
        <f t="shared" si="44"/>
        <v>59340.931000000011</v>
      </c>
      <c r="M41" s="224">
        <f t="shared" si="44"/>
        <v>59220.7</v>
      </c>
      <c r="N41" s="224">
        <f t="shared" si="44"/>
        <v>64479.6</v>
      </c>
      <c r="O41" s="224">
        <f t="shared" si="44"/>
        <v>62241.701000000001</v>
      </c>
      <c r="P41" s="224">
        <f t="shared" si="44"/>
        <v>61808.250000000058</v>
      </c>
      <c r="Q41" s="224">
        <f t="shared" si="44"/>
        <v>63415.234999999986</v>
      </c>
      <c r="R41" s="224">
        <f t="shared" si="44"/>
        <v>64859.954999999958</v>
      </c>
      <c r="S41" s="224">
        <f t="shared" si="44"/>
        <v>63641.701239999995</v>
      </c>
      <c r="T41" s="58"/>
      <c r="U41" s="224">
        <f t="shared" ref="U41:AG41" si="45">U14</f>
        <v>62441.5</v>
      </c>
      <c r="V41" s="224">
        <f t="shared" si="45"/>
        <v>62441.5</v>
      </c>
      <c r="W41" s="224">
        <f t="shared" si="45"/>
        <v>62441.5</v>
      </c>
      <c r="X41" s="224">
        <f t="shared" si="45"/>
        <v>62441.5</v>
      </c>
      <c r="Y41" s="224">
        <f t="shared" si="45"/>
        <v>62441.5</v>
      </c>
      <c r="Z41" s="224">
        <f t="shared" si="45"/>
        <v>62441.5</v>
      </c>
      <c r="AA41" s="224">
        <f t="shared" si="45"/>
        <v>62441.5</v>
      </c>
      <c r="AB41" s="224">
        <f t="shared" si="45"/>
        <v>62441.5</v>
      </c>
      <c r="AC41" s="224">
        <f t="shared" si="45"/>
        <v>62441.5</v>
      </c>
      <c r="AD41" s="224">
        <f t="shared" si="45"/>
        <v>62441.5</v>
      </c>
      <c r="AE41" s="224">
        <f t="shared" si="45"/>
        <v>62441.5</v>
      </c>
      <c r="AF41" s="224">
        <f t="shared" si="45"/>
        <v>62436.5</v>
      </c>
      <c r="AG41" s="224">
        <f t="shared" si="45"/>
        <v>749293</v>
      </c>
      <c r="AV41" s="113" t="str">
        <f t="shared" si="42"/>
        <v/>
      </c>
    </row>
    <row r="43" spans="2:48">
      <c r="AV43" s="401">
        <f>COUNTIFS(AV3:AV42,"Please*")</f>
        <v>0</v>
      </c>
    </row>
    <row r="107" spans="1:47" ht="20.149999999999999" customHeight="1">
      <c r="A107" s="4"/>
      <c r="B107" s="36"/>
      <c r="C107" s="36"/>
      <c r="D107" s="36"/>
      <c r="E107" s="36"/>
      <c r="F107" s="36"/>
      <c r="G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row>
    <row r="108" spans="1:47" ht="10" customHeight="1">
      <c r="A108" s="4"/>
      <c r="B108" s="4"/>
      <c r="C108" s="36"/>
      <c r="D108" s="4"/>
      <c r="E108" s="4"/>
      <c r="F108" s="4"/>
      <c r="G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row>
    <row r="109" spans="1:47" ht="20.149999999999999" customHeight="1">
      <c r="A109" s="4"/>
      <c r="B109" s="36"/>
      <c r="C109" s="36"/>
      <c r="D109" s="36"/>
      <c r="E109" s="36"/>
      <c r="F109" s="36"/>
      <c r="G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row>
    <row r="110" spans="1:47" ht="20.149999999999999" customHeight="1">
      <c r="A110" s="4"/>
      <c r="B110" s="36"/>
      <c r="C110" s="36"/>
      <c r="D110" s="36"/>
      <c r="E110" s="36"/>
      <c r="F110" s="36"/>
      <c r="G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row>
    <row r="111" spans="1:47" s="114" customFormat="1" ht="20.149999999999999" customHeight="1">
      <c r="C111" s="300"/>
      <c r="H111" s="10"/>
      <c r="I111" s="10"/>
      <c r="J111" s="10"/>
      <c r="K111" s="10"/>
      <c r="L111" s="10"/>
      <c r="M111" s="10"/>
      <c r="N111" s="10"/>
      <c r="O111" s="10"/>
      <c r="P111" s="10"/>
      <c r="Q111" s="10"/>
      <c r="R111" s="10"/>
      <c r="S111" s="10"/>
    </row>
  </sheetData>
  <sheetProtection sheet="1" objects="1" scenarios="1"/>
  <customSheetViews>
    <customSheetView guid="{95B84344-25FE-4A71-9083-825DAB5E8F01}" scale="60" showGridLines="0" topLeftCell="A22">
      <selection activeCell="I76" sqref="I76"/>
      <pageMargins left="0" right="0" top="0" bottom="0" header="0" footer="0"/>
      <pageSetup paperSize="9" scale="21" orientation="portrait" r:id="rId1"/>
    </customSheetView>
  </customSheetViews>
  <mergeCells count="2">
    <mergeCell ref="C3:F3"/>
    <mergeCell ref="AI3:AT3"/>
  </mergeCells>
  <dataValidations disablePrompts="1" count="1">
    <dataValidation type="list" allowBlank="1" showInputMessage="1" showErrorMessage="1" sqref="J1" xr:uid="{00000000-0002-0000-1400-000000000000}">
      <formula1>"Sep-2023,Oct-2023,Nov-2023,Dec-2023,Jan-2023,Feb-2023"</formula1>
    </dataValidation>
  </dataValidations>
  <pageMargins left="0.23622047244094491" right="0.23622047244094491" top="0.74803149606299213" bottom="0.74803149606299213" header="0.31496062992125984" footer="0.31496062992125984"/>
  <pageSetup paperSize="9" fitToHeight="0" orientation="landscape" r:id="rId2"/>
  <headerFooter>
    <oddHeader>&amp;C&amp;A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79998168889431442"/>
    <pageSetUpPr fitToPage="1"/>
  </sheetPr>
  <dimension ref="A1:J50"/>
  <sheetViews>
    <sheetView zoomScale="90" zoomScaleNormal="90" workbookViewId="0">
      <pane ySplit="4" topLeftCell="A5" activePane="bottomLeft" state="frozenSplit"/>
      <selection activeCell="A22" sqref="A22"/>
      <selection pane="bottomLeft" activeCell="C24" sqref="C24"/>
    </sheetView>
  </sheetViews>
  <sheetFormatPr defaultColWidth="9.23046875" defaultRowHeight="14.5"/>
  <cols>
    <col min="1" max="1" width="1.84375" style="306" customWidth="1"/>
    <col min="2" max="2" width="34" style="306" customWidth="1"/>
    <col min="3" max="3" width="38" style="306" customWidth="1"/>
    <col min="4" max="4" width="9.23046875" style="306"/>
    <col min="5" max="5" width="5.53515625" style="306" customWidth="1"/>
    <col min="6" max="6" width="30.3046875" style="306" customWidth="1"/>
    <col min="7" max="7" width="10.69140625" style="306" customWidth="1"/>
    <col min="8" max="8" width="9.23046875" style="306"/>
    <col min="9" max="9" width="33.69140625" style="306" bestFit="1" customWidth="1"/>
    <col min="10" max="16384" width="9.23046875" style="306"/>
  </cols>
  <sheetData>
    <row r="1" spans="1:10" ht="23.5">
      <c r="A1" s="302"/>
      <c r="B1" s="185" t="s">
        <v>483</v>
      </c>
      <c r="C1" s="303"/>
      <c r="D1" s="304" t="s">
        <v>398</v>
      </c>
      <c r="E1" s="302"/>
      <c r="F1" s="303" t="s">
        <v>484</v>
      </c>
      <c r="G1" s="305"/>
      <c r="H1" s="302"/>
    </row>
    <row r="2" spans="1:10">
      <c r="A2" s="302"/>
      <c r="B2" s="307" t="s">
        <v>485</v>
      </c>
      <c r="C2" s="308"/>
      <c r="D2" s="485">
        <f>'F2 - Net Expenditure'!$C$31</f>
        <v>-17134.021179999807</v>
      </c>
      <c r="E2" s="302"/>
      <c r="F2" s="308" t="s">
        <v>486</v>
      </c>
      <c r="G2" s="305" t="s">
        <v>487</v>
      </c>
      <c r="H2" s="302"/>
    </row>
    <row r="3" spans="1:10">
      <c r="A3" s="302"/>
      <c r="B3" s="302"/>
      <c r="C3" s="302"/>
      <c r="D3" s="302"/>
      <c r="E3" s="302"/>
      <c r="F3" s="309" t="s">
        <v>488</v>
      </c>
      <c r="G3" s="407">
        <f>'[3]UDL MDS'!C4-1</f>
        <v>-4904.9535895815043</v>
      </c>
      <c r="H3" s="302"/>
    </row>
    <row r="4" spans="1:10">
      <c r="A4" s="302"/>
      <c r="B4" s="307" t="s">
        <v>489</v>
      </c>
      <c r="C4" s="308" t="s">
        <v>38</v>
      </c>
      <c r="D4" s="310"/>
      <c r="E4" s="311"/>
      <c r="F4" s="309" t="s">
        <v>490</v>
      </c>
      <c r="G4" s="407">
        <f>'[3]UDL MDS'!C5</f>
        <v>-16689.42967267998</v>
      </c>
      <c r="H4" s="302"/>
      <c r="J4" s="306" t="str">
        <f>IF(COUNTA(G3:G15)&lt;&gt;COUNT(G3:G15),"Please remove any text entries, enter numeric values only","")</f>
        <v/>
      </c>
    </row>
    <row r="5" spans="1:10">
      <c r="A5" s="302"/>
      <c r="B5" s="405" t="s">
        <v>491</v>
      </c>
      <c r="C5" s="405" t="s">
        <v>492</v>
      </c>
      <c r="D5" s="406">
        <v>-11259.5</v>
      </c>
      <c r="E5" s="302"/>
      <c r="F5" s="309" t="s">
        <v>493</v>
      </c>
      <c r="G5" s="407">
        <f>'[3]UDL MDS'!C6</f>
        <v>-1697.152</v>
      </c>
      <c r="H5" s="302"/>
      <c r="I5" s="306" t="str">
        <f>IF(AND(D5&lt;&gt;0,OR(C5="",B5="")),"Please label and categorise each value entered","")</f>
        <v/>
      </c>
      <c r="J5" s="306" t="str">
        <f t="shared" ref="J5:J44" si="0">IF(COUNTA(D5)&lt;&gt;COUNT(D5),"Please remove any text entries, enter numeric values only","")</f>
        <v/>
      </c>
    </row>
    <row r="6" spans="1:10">
      <c r="A6" s="302"/>
      <c r="B6" s="405" t="s">
        <v>494</v>
      </c>
      <c r="C6" s="405" t="s">
        <v>492</v>
      </c>
      <c r="D6" s="406">
        <v>-19700</v>
      </c>
      <c r="E6" s="302"/>
      <c r="F6" s="309" t="s">
        <v>495</v>
      </c>
      <c r="G6" s="407">
        <f>'[3]UDL MDS'!C7</f>
        <v>-1589.0840000000001</v>
      </c>
      <c r="H6" s="302"/>
      <c r="I6" s="306" t="str">
        <f t="shared" ref="I6:I44" si="1">IF(AND(D6&lt;&gt;0,OR(C6="",B6="")),"Please label and categorise each value entered","")</f>
        <v/>
      </c>
      <c r="J6" s="306" t="str">
        <f t="shared" si="0"/>
        <v/>
      </c>
    </row>
    <row r="7" spans="1:10">
      <c r="A7" s="302"/>
      <c r="B7" s="405" t="s">
        <v>496</v>
      </c>
      <c r="C7" s="405" t="s">
        <v>267</v>
      </c>
      <c r="D7" s="406">
        <v>-6800</v>
      </c>
      <c r="E7" s="302"/>
      <c r="F7" s="309" t="s">
        <v>497</v>
      </c>
      <c r="G7" s="407">
        <f>'[3]UDL MDS'!C8</f>
        <v>-6800</v>
      </c>
      <c r="H7" s="302"/>
      <c r="I7" s="306" t="str">
        <f t="shared" si="1"/>
        <v/>
      </c>
      <c r="J7" s="306" t="str">
        <f t="shared" si="0"/>
        <v/>
      </c>
    </row>
    <row r="8" spans="1:10">
      <c r="A8" s="302"/>
      <c r="B8" s="405"/>
      <c r="C8" s="405"/>
      <c r="D8" s="406"/>
      <c r="E8" s="302"/>
      <c r="F8" s="309" t="s">
        <v>498</v>
      </c>
      <c r="G8" s="407">
        <f>'[3]UDL MDS'!C9</f>
        <v>0</v>
      </c>
      <c r="H8" s="302"/>
      <c r="I8" s="306" t="str">
        <f t="shared" si="1"/>
        <v/>
      </c>
      <c r="J8" s="306" t="str">
        <f t="shared" si="0"/>
        <v/>
      </c>
    </row>
    <row r="9" spans="1:10">
      <c r="A9" s="302"/>
      <c r="B9" s="405"/>
      <c r="C9" s="405"/>
      <c r="D9" s="406"/>
      <c r="E9" s="302"/>
      <c r="F9" s="309" t="s">
        <v>499</v>
      </c>
      <c r="G9" s="407">
        <f>'[3]UDL MDS'!C10</f>
        <v>-2595.6776221681494</v>
      </c>
      <c r="H9" s="302"/>
      <c r="I9" s="306" t="str">
        <f t="shared" si="1"/>
        <v/>
      </c>
      <c r="J9" s="306" t="str">
        <f t="shared" si="0"/>
        <v/>
      </c>
    </row>
    <row r="10" spans="1:10">
      <c r="A10" s="302"/>
      <c r="B10" s="405"/>
      <c r="C10" s="405"/>
      <c r="D10" s="406"/>
      <c r="E10" s="302"/>
      <c r="F10" s="309" t="s">
        <v>500</v>
      </c>
      <c r="G10" s="407">
        <f>'[3]UDL MDS'!C11</f>
        <v>-8871.7597875903302</v>
      </c>
      <c r="H10" s="302"/>
      <c r="I10" s="306" t="str">
        <f t="shared" si="1"/>
        <v/>
      </c>
      <c r="J10" s="306" t="str">
        <f t="shared" si="0"/>
        <v/>
      </c>
    </row>
    <row r="11" spans="1:10">
      <c r="A11" s="302"/>
      <c r="B11" s="405"/>
      <c r="C11" s="405"/>
      <c r="D11" s="406"/>
      <c r="E11" s="302"/>
      <c r="F11" s="309" t="s">
        <v>501</v>
      </c>
      <c r="G11" s="407">
        <f>'[3]UDL MDS'!C12</f>
        <v>-6604.9451155703682</v>
      </c>
      <c r="H11" s="302"/>
      <c r="I11" s="306" t="str">
        <f t="shared" si="1"/>
        <v/>
      </c>
      <c r="J11" s="306" t="str">
        <f t="shared" si="0"/>
        <v/>
      </c>
    </row>
    <row r="12" spans="1:10">
      <c r="A12" s="302"/>
      <c r="B12" s="405"/>
      <c r="C12" s="405"/>
      <c r="D12" s="406"/>
      <c r="E12" s="302"/>
      <c r="F12" s="309" t="s">
        <v>502</v>
      </c>
      <c r="G12" s="407">
        <f>'[3]UDL MDS'!C13</f>
        <v>-5140.8689999999997</v>
      </c>
      <c r="H12" s="302"/>
      <c r="I12" s="306" t="str">
        <f t="shared" si="1"/>
        <v/>
      </c>
      <c r="J12" s="306" t="str">
        <f t="shared" si="0"/>
        <v/>
      </c>
    </row>
    <row r="13" spans="1:10">
      <c r="A13" s="302"/>
      <c r="B13" s="405"/>
      <c r="C13" s="405"/>
      <c r="D13" s="406"/>
      <c r="E13" s="302"/>
      <c r="F13" s="309" t="s">
        <v>503</v>
      </c>
      <c r="G13" s="407">
        <f>'[3]UDL MDS'!C14</f>
        <v>0</v>
      </c>
      <c r="H13" s="302"/>
      <c r="I13" s="306" t="str">
        <f t="shared" si="1"/>
        <v/>
      </c>
      <c r="J13" s="306" t="str">
        <f t="shared" si="0"/>
        <v/>
      </c>
    </row>
    <row r="14" spans="1:10">
      <c r="A14" s="302"/>
      <c r="B14" s="405"/>
      <c r="C14" s="405"/>
      <c r="D14" s="406"/>
      <c r="E14" s="302"/>
      <c r="F14" s="309"/>
      <c r="G14" s="407"/>
      <c r="H14" s="302"/>
      <c r="I14" s="306" t="str">
        <f t="shared" si="1"/>
        <v/>
      </c>
      <c r="J14" s="306" t="str">
        <f t="shared" si="0"/>
        <v/>
      </c>
    </row>
    <row r="15" spans="1:10">
      <c r="A15" s="302"/>
      <c r="B15" s="405"/>
      <c r="C15" s="405"/>
      <c r="D15" s="406"/>
      <c r="E15" s="302"/>
      <c r="F15" s="309"/>
      <c r="G15" s="407"/>
      <c r="H15" s="302"/>
      <c r="I15" s="306" t="str">
        <f t="shared" si="1"/>
        <v/>
      </c>
      <c r="J15" s="306" t="str">
        <f t="shared" si="0"/>
        <v/>
      </c>
    </row>
    <row r="16" spans="1:10">
      <c r="A16" s="302"/>
      <c r="B16" s="405"/>
      <c r="C16" s="405"/>
      <c r="D16" s="406"/>
      <c r="E16" s="302"/>
      <c r="F16" s="308" t="s">
        <v>504</v>
      </c>
      <c r="G16" s="312">
        <f>SUM(G3:G15)</f>
        <v>-54893.870787590327</v>
      </c>
      <c r="H16" s="302"/>
      <c r="I16" s="306" t="str">
        <f t="shared" si="1"/>
        <v/>
      </c>
      <c r="J16" s="306" t="str">
        <f t="shared" si="0"/>
        <v/>
      </c>
    </row>
    <row r="17" spans="1:10">
      <c r="A17" s="302"/>
      <c r="B17" s="405"/>
      <c r="C17" s="405"/>
      <c r="D17" s="406"/>
      <c r="E17" s="302"/>
      <c r="F17" s="302"/>
      <c r="G17" s="302"/>
      <c r="H17" s="302"/>
      <c r="I17" s="306" t="str">
        <f t="shared" si="1"/>
        <v/>
      </c>
      <c r="J17" s="306" t="str">
        <f t="shared" si="0"/>
        <v/>
      </c>
    </row>
    <row r="18" spans="1:10">
      <c r="A18" s="302"/>
      <c r="B18" s="405"/>
      <c r="C18" s="405"/>
      <c r="D18" s="406"/>
      <c r="E18" s="302"/>
      <c r="F18" s="302"/>
      <c r="G18" s="302"/>
      <c r="H18" s="302"/>
      <c r="I18" s="306" t="str">
        <f t="shared" si="1"/>
        <v/>
      </c>
      <c r="J18" s="306" t="str">
        <f t="shared" si="0"/>
        <v/>
      </c>
    </row>
    <row r="19" spans="1:10">
      <c r="A19" s="302"/>
      <c r="B19" s="405"/>
      <c r="C19" s="405"/>
      <c r="D19" s="406"/>
      <c r="E19" s="302"/>
      <c r="F19" s="302"/>
      <c r="G19" s="302"/>
      <c r="H19" s="302"/>
      <c r="I19" s="306" t="str">
        <f t="shared" si="1"/>
        <v/>
      </c>
      <c r="J19" s="306" t="str">
        <f t="shared" si="0"/>
        <v/>
      </c>
    </row>
    <row r="20" spans="1:10">
      <c r="A20" s="302"/>
      <c r="B20" s="405"/>
      <c r="C20" s="405"/>
      <c r="D20" s="406"/>
      <c r="E20" s="302"/>
      <c r="F20" s="302"/>
      <c r="G20" s="302"/>
      <c r="H20" s="302"/>
      <c r="I20" s="306" t="str">
        <f t="shared" si="1"/>
        <v/>
      </c>
      <c r="J20" s="306" t="str">
        <f t="shared" si="0"/>
        <v/>
      </c>
    </row>
    <row r="21" spans="1:10">
      <c r="A21" s="302"/>
      <c r="B21" s="405"/>
      <c r="C21" s="405"/>
      <c r="D21" s="406"/>
      <c r="E21" s="302"/>
      <c r="F21" s="302"/>
      <c r="G21" s="302"/>
      <c r="H21" s="302"/>
      <c r="I21" s="306" t="str">
        <f t="shared" si="1"/>
        <v/>
      </c>
      <c r="J21" s="306" t="str">
        <f t="shared" si="0"/>
        <v/>
      </c>
    </row>
    <row r="22" spans="1:10">
      <c r="A22" s="302"/>
      <c r="B22" s="405"/>
      <c r="C22" s="405"/>
      <c r="D22" s="406"/>
      <c r="E22" s="302"/>
      <c r="F22" s="302"/>
      <c r="G22" s="302"/>
      <c r="H22" s="302"/>
      <c r="I22" s="306" t="str">
        <f t="shared" si="1"/>
        <v/>
      </c>
      <c r="J22" s="306" t="str">
        <f t="shared" si="0"/>
        <v/>
      </c>
    </row>
    <row r="23" spans="1:10">
      <c r="A23" s="302"/>
      <c r="B23" s="405"/>
      <c r="C23" s="405"/>
      <c r="D23" s="406"/>
      <c r="E23" s="302"/>
      <c r="F23" s="302"/>
      <c r="G23" s="302"/>
      <c r="H23" s="302"/>
      <c r="I23" s="306" t="str">
        <f t="shared" si="1"/>
        <v/>
      </c>
      <c r="J23" s="306" t="str">
        <f t="shared" si="0"/>
        <v/>
      </c>
    </row>
    <row r="24" spans="1:10">
      <c r="A24" s="302"/>
      <c r="B24" s="405"/>
      <c r="C24" s="405"/>
      <c r="D24" s="406"/>
      <c r="E24" s="302"/>
      <c r="F24" s="302"/>
      <c r="G24" s="302"/>
      <c r="H24" s="302"/>
      <c r="I24" s="306" t="str">
        <f t="shared" si="1"/>
        <v/>
      </c>
      <c r="J24" s="306" t="str">
        <f t="shared" si="0"/>
        <v/>
      </c>
    </row>
    <row r="25" spans="1:10">
      <c r="A25" s="302"/>
      <c r="B25" s="405"/>
      <c r="C25" s="405"/>
      <c r="D25" s="406"/>
      <c r="E25" s="302"/>
      <c r="F25" s="302"/>
      <c r="G25" s="302"/>
      <c r="H25" s="302"/>
      <c r="I25" s="306" t="str">
        <f t="shared" si="1"/>
        <v/>
      </c>
      <c r="J25" s="306" t="str">
        <f t="shared" si="0"/>
        <v/>
      </c>
    </row>
    <row r="26" spans="1:10">
      <c r="A26" s="302"/>
      <c r="B26" s="405"/>
      <c r="C26" s="405"/>
      <c r="D26" s="406"/>
      <c r="E26" s="302"/>
      <c r="F26" s="302"/>
      <c r="G26" s="302"/>
      <c r="H26" s="302"/>
      <c r="I26" s="306" t="str">
        <f t="shared" si="1"/>
        <v/>
      </c>
      <c r="J26" s="306" t="str">
        <f t="shared" si="0"/>
        <v/>
      </c>
    </row>
    <row r="27" spans="1:10">
      <c r="A27" s="302"/>
      <c r="B27" s="405"/>
      <c r="C27" s="405"/>
      <c r="D27" s="406"/>
      <c r="E27" s="302"/>
      <c r="F27" s="302"/>
      <c r="G27" s="302"/>
      <c r="H27" s="302"/>
      <c r="I27" s="306" t="str">
        <f t="shared" si="1"/>
        <v/>
      </c>
      <c r="J27" s="306" t="str">
        <f t="shared" si="0"/>
        <v/>
      </c>
    </row>
    <row r="28" spans="1:10">
      <c r="A28" s="302"/>
      <c r="B28" s="405"/>
      <c r="C28" s="405"/>
      <c r="D28" s="406"/>
      <c r="E28" s="302"/>
      <c r="F28" s="302"/>
      <c r="G28" s="302"/>
      <c r="H28" s="302"/>
      <c r="I28" s="306" t="str">
        <f t="shared" si="1"/>
        <v/>
      </c>
      <c r="J28" s="306" t="str">
        <f t="shared" si="0"/>
        <v/>
      </c>
    </row>
    <row r="29" spans="1:10">
      <c r="A29" s="302"/>
      <c r="B29" s="405"/>
      <c r="C29" s="405"/>
      <c r="D29" s="406"/>
      <c r="E29" s="302"/>
      <c r="F29" s="302"/>
      <c r="G29" s="302"/>
      <c r="H29" s="302"/>
      <c r="I29" s="306" t="str">
        <f t="shared" si="1"/>
        <v/>
      </c>
      <c r="J29" s="306" t="str">
        <f t="shared" si="0"/>
        <v/>
      </c>
    </row>
    <row r="30" spans="1:10">
      <c r="A30" s="302"/>
      <c r="B30" s="405"/>
      <c r="C30" s="405"/>
      <c r="D30" s="406"/>
      <c r="E30" s="302"/>
      <c r="F30" s="302"/>
      <c r="G30" s="302"/>
      <c r="H30" s="302"/>
      <c r="I30" s="306" t="str">
        <f t="shared" si="1"/>
        <v/>
      </c>
      <c r="J30" s="306" t="str">
        <f t="shared" si="0"/>
        <v/>
      </c>
    </row>
    <row r="31" spans="1:10">
      <c r="A31" s="302"/>
      <c r="B31" s="405"/>
      <c r="C31" s="405"/>
      <c r="D31" s="406"/>
      <c r="E31" s="302"/>
      <c r="F31" s="302"/>
      <c r="G31" s="302"/>
      <c r="H31" s="302"/>
      <c r="I31" s="306" t="str">
        <f t="shared" si="1"/>
        <v/>
      </c>
      <c r="J31" s="306" t="str">
        <f t="shared" si="0"/>
        <v/>
      </c>
    </row>
    <row r="32" spans="1:10">
      <c r="A32" s="302"/>
      <c r="B32" s="405"/>
      <c r="C32" s="405"/>
      <c r="D32" s="406"/>
      <c r="E32" s="302"/>
      <c r="F32" s="302"/>
      <c r="G32" s="302"/>
      <c r="H32" s="302"/>
      <c r="I32" s="306" t="str">
        <f t="shared" si="1"/>
        <v/>
      </c>
      <c r="J32" s="306" t="str">
        <f t="shared" si="0"/>
        <v/>
      </c>
    </row>
    <row r="33" spans="1:10">
      <c r="A33" s="302"/>
      <c r="B33" s="405"/>
      <c r="C33" s="405"/>
      <c r="D33" s="406"/>
      <c r="E33" s="302"/>
      <c r="F33" s="302"/>
      <c r="G33" s="302"/>
      <c r="H33" s="302"/>
      <c r="I33" s="306" t="str">
        <f t="shared" si="1"/>
        <v/>
      </c>
      <c r="J33" s="306" t="str">
        <f t="shared" si="0"/>
        <v/>
      </c>
    </row>
    <row r="34" spans="1:10">
      <c r="A34" s="302"/>
      <c r="B34" s="405"/>
      <c r="C34" s="405"/>
      <c r="D34" s="406"/>
      <c r="E34" s="302"/>
      <c r="F34" s="302"/>
      <c r="G34" s="302"/>
      <c r="H34" s="302"/>
      <c r="I34" s="306" t="str">
        <f t="shared" si="1"/>
        <v/>
      </c>
      <c r="J34" s="306" t="str">
        <f t="shared" si="0"/>
        <v/>
      </c>
    </row>
    <row r="35" spans="1:10">
      <c r="A35" s="302"/>
      <c r="B35" s="405"/>
      <c r="C35" s="405"/>
      <c r="D35" s="406"/>
      <c r="E35" s="302"/>
      <c r="F35" s="302"/>
      <c r="G35" s="302"/>
      <c r="H35" s="302"/>
      <c r="I35" s="306" t="str">
        <f t="shared" si="1"/>
        <v/>
      </c>
      <c r="J35" s="306" t="str">
        <f t="shared" si="0"/>
        <v/>
      </c>
    </row>
    <row r="36" spans="1:10">
      <c r="A36" s="302"/>
      <c r="B36" s="405"/>
      <c r="C36" s="405"/>
      <c r="D36" s="406"/>
      <c r="E36" s="302"/>
      <c r="F36" s="302"/>
      <c r="G36" s="302"/>
      <c r="H36" s="302"/>
      <c r="I36" s="306" t="str">
        <f t="shared" si="1"/>
        <v/>
      </c>
      <c r="J36" s="306" t="str">
        <f t="shared" si="0"/>
        <v/>
      </c>
    </row>
    <row r="37" spans="1:10">
      <c r="A37" s="302"/>
      <c r="B37" s="405"/>
      <c r="C37" s="405"/>
      <c r="D37" s="406"/>
      <c r="E37" s="302"/>
      <c r="F37" s="302"/>
      <c r="G37" s="302"/>
      <c r="H37" s="302"/>
      <c r="I37" s="306" t="str">
        <f t="shared" si="1"/>
        <v/>
      </c>
      <c r="J37" s="306" t="str">
        <f t="shared" si="0"/>
        <v/>
      </c>
    </row>
    <row r="38" spans="1:10">
      <c r="A38" s="302"/>
      <c r="B38" s="405"/>
      <c r="C38" s="405"/>
      <c r="D38" s="406"/>
      <c r="E38" s="302"/>
      <c r="F38" s="302"/>
      <c r="G38" s="302"/>
      <c r="H38" s="302"/>
      <c r="I38" s="306" t="str">
        <f t="shared" si="1"/>
        <v/>
      </c>
      <c r="J38" s="306" t="str">
        <f t="shared" si="0"/>
        <v/>
      </c>
    </row>
    <row r="39" spans="1:10">
      <c r="A39" s="302"/>
      <c r="B39" s="405"/>
      <c r="C39" s="405"/>
      <c r="D39" s="406"/>
      <c r="E39" s="302"/>
      <c r="F39" s="302"/>
      <c r="G39" s="302"/>
      <c r="H39" s="302"/>
      <c r="I39" s="306" t="str">
        <f t="shared" si="1"/>
        <v/>
      </c>
      <c r="J39" s="306" t="str">
        <f t="shared" si="0"/>
        <v/>
      </c>
    </row>
    <row r="40" spans="1:10">
      <c r="A40" s="302"/>
      <c r="B40" s="405"/>
      <c r="C40" s="405"/>
      <c r="D40" s="406"/>
      <c r="E40" s="302"/>
      <c r="F40" s="302"/>
      <c r="G40" s="302"/>
      <c r="H40" s="302"/>
      <c r="I40" s="306" t="str">
        <f t="shared" si="1"/>
        <v/>
      </c>
      <c r="J40" s="306" t="str">
        <f t="shared" si="0"/>
        <v/>
      </c>
    </row>
    <row r="41" spans="1:10">
      <c r="A41" s="302"/>
      <c r="B41" s="405"/>
      <c r="C41" s="405"/>
      <c r="D41" s="406"/>
      <c r="E41" s="302"/>
      <c r="F41" s="302"/>
      <c r="G41" s="302"/>
      <c r="H41" s="302"/>
      <c r="I41" s="306" t="str">
        <f t="shared" si="1"/>
        <v/>
      </c>
      <c r="J41" s="306" t="str">
        <f t="shared" si="0"/>
        <v/>
      </c>
    </row>
    <row r="42" spans="1:10">
      <c r="A42" s="302"/>
      <c r="B42" s="405"/>
      <c r="C42" s="405"/>
      <c r="D42" s="406"/>
      <c r="E42" s="302"/>
      <c r="F42" s="302"/>
      <c r="G42" s="302"/>
      <c r="H42" s="302"/>
      <c r="I42" s="306" t="str">
        <f t="shared" si="1"/>
        <v/>
      </c>
      <c r="J42" s="306" t="str">
        <f t="shared" si="0"/>
        <v/>
      </c>
    </row>
    <row r="43" spans="1:10">
      <c r="A43" s="302"/>
      <c r="B43" s="405"/>
      <c r="C43" s="405"/>
      <c r="D43" s="406"/>
      <c r="E43" s="302"/>
      <c r="F43" s="302"/>
      <c r="G43" s="302"/>
      <c r="H43" s="302"/>
      <c r="I43" s="306" t="str">
        <f t="shared" si="1"/>
        <v/>
      </c>
      <c r="J43" s="306" t="str">
        <f t="shared" si="0"/>
        <v/>
      </c>
    </row>
    <row r="44" spans="1:10">
      <c r="A44" s="302"/>
      <c r="B44" s="405"/>
      <c r="C44" s="405"/>
      <c r="D44" s="406"/>
      <c r="E44" s="302"/>
      <c r="F44" s="302"/>
      <c r="G44" s="302"/>
      <c r="H44" s="302"/>
      <c r="I44" s="306" t="str">
        <f t="shared" si="1"/>
        <v/>
      </c>
      <c r="J44" s="306" t="str">
        <f t="shared" si="0"/>
        <v/>
      </c>
    </row>
    <row r="45" spans="1:10">
      <c r="A45" s="302"/>
      <c r="B45" s="313" t="s">
        <v>505</v>
      </c>
      <c r="C45" s="314"/>
      <c r="D45" s="315">
        <f>SUM(D5:D44)</f>
        <v>-37759.5</v>
      </c>
      <c r="E45" s="302"/>
      <c r="F45" s="302"/>
      <c r="G45" s="302"/>
      <c r="H45" s="302"/>
    </row>
    <row r="46" spans="1:10">
      <c r="A46" s="302"/>
      <c r="B46" s="316" t="s">
        <v>506</v>
      </c>
      <c r="C46" s="308"/>
      <c r="D46" s="486">
        <f>D2+D45</f>
        <v>-54893.521179999807</v>
      </c>
      <c r="E46" s="302"/>
      <c r="F46" s="302"/>
      <c r="G46" s="302"/>
      <c r="H46" s="302"/>
    </row>
    <row r="47" spans="1:10">
      <c r="A47" s="302"/>
      <c r="B47" s="302"/>
      <c r="C47" s="302"/>
      <c r="D47" s="302"/>
      <c r="E47" s="302"/>
      <c r="F47" s="302"/>
      <c r="G47" s="302"/>
      <c r="H47" s="302"/>
    </row>
    <row r="48" spans="1:10">
      <c r="A48" s="302"/>
      <c r="B48" s="302"/>
      <c r="C48" s="132"/>
      <c r="D48" s="132"/>
      <c r="E48" s="302"/>
      <c r="F48" s="302"/>
      <c r="G48" s="302"/>
      <c r="H48" s="302"/>
    </row>
    <row r="49" spans="1:10">
      <c r="A49" s="302"/>
      <c r="B49" s="302"/>
      <c r="C49" s="302"/>
      <c r="D49" s="302"/>
      <c r="E49" s="302"/>
      <c r="F49" s="302"/>
      <c r="G49" s="302"/>
      <c r="H49" s="302"/>
    </row>
    <row r="50" spans="1:10">
      <c r="I50" s="403">
        <f>COUNTIFS(I2:I49,"Please*")</f>
        <v>0</v>
      </c>
      <c r="J50" s="403">
        <f>COUNTIFS(J2:J49,"Please*")</f>
        <v>0</v>
      </c>
    </row>
  </sheetData>
  <sheetProtection sheet="1" objects="1" scenarios="1"/>
  <customSheetViews>
    <customSheetView guid="{95B84344-25FE-4A71-9083-825DAB5E8F01}" scale="90">
      <selection activeCell="C1" sqref="C1:C42"/>
      <pageMargins left="0" right="0" top="0" bottom="0" header="0" footer="0"/>
      <pageSetup paperSize="9" orientation="portrait" r:id="rId1"/>
    </customSheetView>
  </customSheetViews>
  <pageMargins left="0.23622047244094491" right="0.23622047244094491" top="0.74803149606299213" bottom="0.74803149606299213" header="0.31496062992125984" footer="0.31496062992125984"/>
  <pageSetup paperSize="9" fitToHeight="0" orientation="landscape" r:id="rId2"/>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'Ref Lists'!$D$2:$D$9</xm:f>
          </x14:formula1>
          <xm:sqref>C5:C44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7" tint="0.79998168889431442"/>
    <pageSetUpPr fitToPage="1"/>
  </sheetPr>
  <dimension ref="B1:N125"/>
  <sheetViews>
    <sheetView topLeftCell="B1" zoomScale="85" zoomScaleNormal="85" workbookViewId="0">
      <pane xSplit="2" ySplit="3" topLeftCell="D67" activePane="bottomRight" state="frozenSplit"/>
      <selection pane="topRight" activeCell="A22" sqref="A22"/>
      <selection pane="bottomLeft" activeCell="A22" sqref="A22"/>
      <selection pane="bottomRight" activeCell="E89" sqref="E89"/>
    </sheetView>
  </sheetViews>
  <sheetFormatPr defaultRowHeight="15.5"/>
  <cols>
    <col min="1" max="1" width="4" style="8" customWidth="1"/>
    <col min="2" max="2" width="53.23046875" style="8" customWidth="1"/>
    <col min="3" max="3" width="16.07421875" style="373" customWidth="1"/>
    <col min="4" max="4" width="3.3046875" style="8" customWidth="1"/>
    <col min="5" max="6" width="15.53515625" style="373" customWidth="1"/>
    <col min="7" max="7" width="19.3046875" style="8" customWidth="1"/>
    <col min="8" max="8" width="36.07421875" style="8" bestFit="1" customWidth="1"/>
    <col min="9" max="43" width="9.69140625" style="8" customWidth="1"/>
    <col min="44" max="241" width="8.84375" style="8"/>
    <col min="242" max="242" width="3.53515625" style="8" customWidth="1"/>
    <col min="243" max="243" width="55" style="8" customWidth="1"/>
    <col min="244" max="244" width="10.07421875" style="8" customWidth="1"/>
    <col min="245" max="497" width="8.84375" style="8"/>
    <col min="498" max="498" width="3.53515625" style="8" customWidth="1"/>
    <col min="499" max="499" width="55" style="8" customWidth="1"/>
    <col min="500" max="500" width="10.07421875" style="8" customWidth="1"/>
    <col min="501" max="753" width="8.84375" style="8"/>
    <col min="754" max="754" width="3.53515625" style="8" customWidth="1"/>
    <col min="755" max="755" width="55" style="8" customWidth="1"/>
    <col min="756" max="756" width="10.07421875" style="8" customWidth="1"/>
    <col min="757" max="1009" width="8.84375" style="8"/>
    <col min="1010" max="1010" width="3.53515625" style="8" customWidth="1"/>
    <col min="1011" max="1011" width="55" style="8" customWidth="1"/>
    <col min="1012" max="1012" width="10.07421875" style="8" customWidth="1"/>
    <col min="1013" max="1265" width="8.84375" style="8"/>
    <col min="1266" max="1266" width="3.53515625" style="8" customWidth="1"/>
    <col min="1267" max="1267" width="55" style="8" customWidth="1"/>
    <col min="1268" max="1268" width="10.07421875" style="8" customWidth="1"/>
    <col min="1269" max="1521" width="8.84375" style="8"/>
    <col min="1522" max="1522" width="3.53515625" style="8" customWidth="1"/>
    <col min="1523" max="1523" width="55" style="8" customWidth="1"/>
    <col min="1524" max="1524" width="10.07421875" style="8" customWidth="1"/>
    <col min="1525" max="1777" width="8.84375" style="8"/>
    <col min="1778" max="1778" width="3.53515625" style="8" customWidth="1"/>
    <col min="1779" max="1779" width="55" style="8" customWidth="1"/>
    <col min="1780" max="1780" width="10.07421875" style="8" customWidth="1"/>
    <col min="1781" max="2033" width="8.84375" style="8"/>
    <col min="2034" max="2034" width="3.53515625" style="8" customWidth="1"/>
    <col min="2035" max="2035" width="55" style="8" customWidth="1"/>
    <col min="2036" max="2036" width="10.07421875" style="8" customWidth="1"/>
    <col min="2037" max="2289" width="8.84375" style="8"/>
    <col min="2290" max="2290" width="3.53515625" style="8" customWidth="1"/>
    <col min="2291" max="2291" width="55" style="8" customWidth="1"/>
    <col min="2292" max="2292" width="10.07421875" style="8" customWidth="1"/>
    <col min="2293" max="2545" width="8.84375" style="8"/>
    <col min="2546" max="2546" width="3.53515625" style="8" customWidth="1"/>
    <col min="2547" max="2547" width="55" style="8" customWidth="1"/>
    <col min="2548" max="2548" width="10.07421875" style="8" customWidth="1"/>
    <col min="2549" max="2801" width="8.84375" style="8"/>
    <col min="2802" max="2802" width="3.53515625" style="8" customWidth="1"/>
    <col min="2803" max="2803" width="55" style="8" customWidth="1"/>
    <col min="2804" max="2804" width="10.07421875" style="8" customWidth="1"/>
    <col min="2805" max="3057" width="8.84375" style="8"/>
    <col min="3058" max="3058" width="3.53515625" style="8" customWidth="1"/>
    <col min="3059" max="3059" width="55" style="8" customWidth="1"/>
    <col min="3060" max="3060" width="10.07421875" style="8" customWidth="1"/>
    <col min="3061" max="3313" width="8.84375" style="8"/>
    <col min="3314" max="3314" width="3.53515625" style="8" customWidth="1"/>
    <col min="3315" max="3315" width="55" style="8" customWidth="1"/>
    <col min="3316" max="3316" width="10.07421875" style="8" customWidth="1"/>
    <col min="3317" max="3569" width="8.84375" style="8"/>
    <col min="3570" max="3570" width="3.53515625" style="8" customWidth="1"/>
    <col min="3571" max="3571" width="55" style="8" customWidth="1"/>
    <col min="3572" max="3572" width="10.07421875" style="8" customWidth="1"/>
    <col min="3573" max="3825" width="8.84375" style="8"/>
    <col min="3826" max="3826" width="3.53515625" style="8" customWidth="1"/>
    <col min="3827" max="3827" width="55" style="8" customWidth="1"/>
    <col min="3828" max="3828" width="10.07421875" style="8" customWidth="1"/>
    <col min="3829" max="4081" width="8.84375" style="8"/>
    <col min="4082" max="4082" width="3.53515625" style="8" customWidth="1"/>
    <col min="4083" max="4083" width="55" style="8" customWidth="1"/>
    <col min="4084" max="4084" width="10.07421875" style="8" customWidth="1"/>
    <col min="4085" max="4337" width="8.84375" style="8"/>
    <col min="4338" max="4338" width="3.53515625" style="8" customWidth="1"/>
    <col min="4339" max="4339" width="55" style="8" customWidth="1"/>
    <col min="4340" max="4340" width="10.07421875" style="8" customWidth="1"/>
    <col min="4341" max="4593" width="8.84375" style="8"/>
    <col min="4594" max="4594" width="3.53515625" style="8" customWidth="1"/>
    <col min="4595" max="4595" width="55" style="8" customWidth="1"/>
    <col min="4596" max="4596" width="10.07421875" style="8" customWidth="1"/>
    <col min="4597" max="4849" width="8.84375" style="8"/>
    <col min="4850" max="4850" width="3.53515625" style="8" customWidth="1"/>
    <col min="4851" max="4851" width="55" style="8" customWidth="1"/>
    <col min="4852" max="4852" width="10.07421875" style="8" customWidth="1"/>
    <col min="4853" max="5105" width="8.84375" style="8"/>
    <col min="5106" max="5106" width="3.53515625" style="8" customWidth="1"/>
    <col min="5107" max="5107" width="55" style="8" customWidth="1"/>
    <col min="5108" max="5108" width="10.07421875" style="8" customWidth="1"/>
    <col min="5109" max="5361" width="8.84375" style="8"/>
    <col min="5362" max="5362" width="3.53515625" style="8" customWidth="1"/>
    <col min="5363" max="5363" width="55" style="8" customWidth="1"/>
    <col min="5364" max="5364" width="10.07421875" style="8" customWidth="1"/>
    <col min="5365" max="5617" width="8.84375" style="8"/>
    <col min="5618" max="5618" width="3.53515625" style="8" customWidth="1"/>
    <col min="5619" max="5619" width="55" style="8" customWidth="1"/>
    <col min="5620" max="5620" width="10.07421875" style="8" customWidth="1"/>
    <col min="5621" max="5873" width="8.84375" style="8"/>
    <col min="5874" max="5874" width="3.53515625" style="8" customWidth="1"/>
    <col min="5875" max="5875" width="55" style="8" customWidth="1"/>
    <col min="5876" max="5876" width="10.07421875" style="8" customWidth="1"/>
    <col min="5877" max="6129" width="8.84375" style="8"/>
    <col min="6130" max="6130" width="3.53515625" style="8" customWidth="1"/>
    <col min="6131" max="6131" width="55" style="8" customWidth="1"/>
    <col min="6132" max="6132" width="10.07421875" style="8" customWidth="1"/>
    <col min="6133" max="6385" width="8.84375" style="8"/>
    <col min="6386" max="6386" width="3.53515625" style="8" customWidth="1"/>
    <col min="6387" max="6387" width="55" style="8" customWidth="1"/>
    <col min="6388" max="6388" width="10.07421875" style="8" customWidth="1"/>
    <col min="6389" max="6641" width="8.84375" style="8"/>
    <col min="6642" max="6642" width="3.53515625" style="8" customWidth="1"/>
    <col min="6643" max="6643" width="55" style="8" customWidth="1"/>
    <col min="6644" max="6644" width="10.07421875" style="8" customWidth="1"/>
    <col min="6645" max="6897" width="8.84375" style="8"/>
    <col min="6898" max="6898" width="3.53515625" style="8" customWidth="1"/>
    <col min="6899" max="6899" width="55" style="8" customWidth="1"/>
    <col min="6900" max="6900" width="10.07421875" style="8" customWidth="1"/>
    <col min="6901" max="7153" width="8.84375" style="8"/>
    <col min="7154" max="7154" width="3.53515625" style="8" customWidth="1"/>
    <col min="7155" max="7155" width="55" style="8" customWidth="1"/>
    <col min="7156" max="7156" width="10.07421875" style="8" customWidth="1"/>
    <col min="7157" max="7409" width="8.84375" style="8"/>
    <col min="7410" max="7410" width="3.53515625" style="8" customWidth="1"/>
    <col min="7411" max="7411" width="55" style="8" customWidth="1"/>
    <col min="7412" max="7412" width="10.07421875" style="8" customWidth="1"/>
    <col min="7413" max="7665" width="8.84375" style="8"/>
    <col min="7666" max="7666" width="3.53515625" style="8" customWidth="1"/>
    <col min="7667" max="7667" width="55" style="8" customWidth="1"/>
    <col min="7668" max="7668" width="10.07421875" style="8" customWidth="1"/>
    <col min="7669" max="7921" width="8.84375" style="8"/>
    <col min="7922" max="7922" width="3.53515625" style="8" customWidth="1"/>
    <col min="7923" max="7923" width="55" style="8" customWidth="1"/>
    <col min="7924" max="7924" width="10.07421875" style="8" customWidth="1"/>
    <col min="7925" max="8177" width="8.84375" style="8"/>
    <col min="8178" max="8178" width="3.53515625" style="8" customWidth="1"/>
    <col min="8179" max="8179" width="55" style="8" customWidth="1"/>
    <col min="8180" max="8180" width="10.07421875" style="8" customWidth="1"/>
    <col min="8181" max="8433" width="8.84375" style="8"/>
    <col min="8434" max="8434" width="3.53515625" style="8" customWidth="1"/>
    <col min="8435" max="8435" width="55" style="8" customWidth="1"/>
    <col min="8436" max="8436" width="10.07421875" style="8" customWidth="1"/>
    <col min="8437" max="8689" width="8.84375" style="8"/>
    <col min="8690" max="8690" width="3.53515625" style="8" customWidth="1"/>
    <col min="8691" max="8691" width="55" style="8" customWidth="1"/>
    <col min="8692" max="8692" width="10.07421875" style="8" customWidth="1"/>
    <col min="8693" max="8945" width="8.84375" style="8"/>
    <col min="8946" max="8946" width="3.53515625" style="8" customWidth="1"/>
    <col min="8947" max="8947" width="55" style="8" customWidth="1"/>
    <col min="8948" max="8948" width="10.07421875" style="8" customWidth="1"/>
    <col min="8949" max="9201" width="8.84375" style="8"/>
    <col min="9202" max="9202" width="3.53515625" style="8" customWidth="1"/>
    <col min="9203" max="9203" width="55" style="8" customWidth="1"/>
    <col min="9204" max="9204" width="10.07421875" style="8" customWidth="1"/>
    <col min="9205" max="9457" width="8.84375" style="8"/>
    <col min="9458" max="9458" width="3.53515625" style="8" customWidth="1"/>
    <col min="9459" max="9459" width="55" style="8" customWidth="1"/>
    <col min="9460" max="9460" width="10.07421875" style="8" customWidth="1"/>
    <col min="9461" max="9713" width="8.84375" style="8"/>
    <col min="9714" max="9714" width="3.53515625" style="8" customWidth="1"/>
    <col min="9715" max="9715" width="55" style="8" customWidth="1"/>
    <col min="9716" max="9716" width="10.07421875" style="8" customWidth="1"/>
    <col min="9717" max="9969" width="8.84375" style="8"/>
    <col min="9970" max="9970" width="3.53515625" style="8" customWidth="1"/>
    <col min="9971" max="9971" width="55" style="8" customWidth="1"/>
    <col min="9972" max="9972" width="10.07421875" style="8" customWidth="1"/>
    <col min="9973" max="10225" width="8.84375" style="8"/>
    <col min="10226" max="10226" width="3.53515625" style="8" customWidth="1"/>
    <col min="10227" max="10227" width="55" style="8" customWidth="1"/>
    <col min="10228" max="10228" width="10.07421875" style="8" customWidth="1"/>
    <col min="10229" max="10481" width="8.84375" style="8"/>
    <col min="10482" max="10482" width="3.53515625" style="8" customWidth="1"/>
    <col min="10483" max="10483" width="55" style="8" customWidth="1"/>
    <col min="10484" max="10484" width="10.07421875" style="8" customWidth="1"/>
    <col min="10485" max="10737" width="8.84375" style="8"/>
    <col min="10738" max="10738" width="3.53515625" style="8" customWidth="1"/>
    <col min="10739" max="10739" width="55" style="8" customWidth="1"/>
    <col min="10740" max="10740" width="10.07421875" style="8" customWidth="1"/>
    <col min="10741" max="10993" width="8.84375" style="8"/>
    <col min="10994" max="10994" width="3.53515625" style="8" customWidth="1"/>
    <col min="10995" max="10995" width="55" style="8" customWidth="1"/>
    <col min="10996" max="10996" width="10.07421875" style="8" customWidth="1"/>
    <col min="10997" max="11249" width="8.84375" style="8"/>
    <col min="11250" max="11250" width="3.53515625" style="8" customWidth="1"/>
    <col min="11251" max="11251" width="55" style="8" customWidth="1"/>
    <col min="11252" max="11252" width="10.07421875" style="8" customWidth="1"/>
    <col min="11253" max="11505" width="8.84375" style="8"/>
    <col min="11506" max="11506" width="3.53515625" style="8" customWidth="1"/>
    <col min="11507" max="11507" width="55" style="8" customWidth="1"/>
    <col min="11508" max="11508" width="10.07421875" style="8" customWidth="1"/>
    <col min="11509" max="11761" width="8.84375" style="8"/>
    <col min="11762" max="11762" width="3.53515625" style="8" customWidth="1"/>
    <col min="11763" max="11763" width="55" style="8" customWidth="1"/>
    <col min="11764" max="11764" width="10.07421875" style="8" customWidth="1"/>
    <col min="11765" max="12017" width="8.84375" style="8"/>
    <col min="12018" max="12018" width="3.53515625" style="8" customWidth="1"/>
    <col min="12019" max="12019" width="55" style="8" customWidth="1"/>
    <col min="12020" max="12020" width="10.07421875" style="8" customWidth="1"/>
    <col min="12021" max="12273" width="8.84375" style="8"/>
    <col min="12274" max="12274" width="3.53515625" style="8" customWidth="1"/>
    <col min="12275" max="12275" width="55" style="8" customWidth="1"/>
    <col min="12276" max="12276" width="10.07421875" style="8" customWidth="1"/>
    <col min="12277" max="12529" width="8.84375" style="8"/>
    <col min="12530" max="12530" width="3.53515625" style="8" customWidth="1"/>
    <col min="12531" max="12531" width="55" style="8" customWidth="1"/>
    <col min="12532" max="12532" width="10.07421875" style="8" customWidth="1"/>
    <col min="12533" max="12785" width="8.84375" style="8"/>
    <col min="12786" max="12786" width="3.53515625" style="8" customWidth="1"/>
    <col min="12787" max="12787" width="55" style="8" customWidth="1"/>
    <col min="12788" max="12788" width="10.07421875" style="8" customWidth="1"/>
    <col min="12789" max="13041" width="8.84375" style="8"/>
    <col min="13042" max="13042" width="3.53515625" style="8" customWidth="1"/>
    <col min="13043" max="13043" width="55" style="8" customWidth="1"/>
    <col min="13044" max="13044" width="10.07421875" style="8" customWidth="1"/>
    <col min="13045" max="13297" width="8.84375" style="8"/>
    <col min="13298" max="13298" width="3.53515625" style="8" customWidth="1"/>
    <col min="13299" max="13299" width="55" style="8" customWidth="1"/>
    <col min="13300" max="13300" width="10.07421875" style="8" customWidth="1"/>
    <col min="13301" max="13553" width="8.84375" style="8"/>
    <col min="13554" max="13554" width="3.53515625" style="8" customWidth="1"/>
    <col min="13555" max="13555" width="55" style="8" customWidth="1"/>
    <col min="13556" max="13556" width="10.07421875" style="8" customWidth="1"/>
    <col min="13557" max="13809" width="8.84375" style="8"/>
    <col min="13810" max="13810" width="3.53515625" style="8" customWidth="1"/>
    <col min="13811" max="13811" width="55" style="8" customWidth="1"/>
    <col min="13812" max="13812" width="10.07421875" style="8" customWidth="1"/>
    <col min="13813" max="14065" width="8.84375" style="8"/>
    <col min="14066" max="14066" width="3.53515625" style="8" customWidth="1"/>
    <col min="14067" max="14067" width="55" style="8" customWidth="1"/>
    <col min="14068" max="14068" width="10.07421875" style="8" customWidth="1"/>
    <col min="14069" max="14321" width="8.84375" style="8"/>
    <col min="14322" max="14322" width="3.53515625" style="8" customWidth="1"/>
    <col min="14323" max="14323" width="55" style="8" customWidth="1"/>
    <col min="14324" max="14324" width="10.07421875" style="8" customWidth="1"/>
    <col min="14325" max="14577" width="8.84375" style="8"/>
    <col min="14578" max="14578" width="3.53515625" style="8" customWidth="1"/>
    <col min="14579" max="14579" width="55" style="8" customWidth="1"/>
    <col min="14580" max="14580" width="10.07421875" style="8" customWidth="1"/>
    <col min="14581" max="14833" width="8.84375" style="8"/>
    <col min="14834" max="14834" width="3.53515625" style="8" customWidth="1"/>
    <col min="14835" max="14835" width="55" style="8" customWidth="1"/>
    <col min="14836" max="14836" width="10.07421875" style="8" customWidth="1"/>
    <col min="14837" max="15089" width="8.84375" style="8"/>
    <col min="15090" max="15090" width="3.53515625" style="8" customWidth="1"/>
    <col min="15091" max="15091" width="55" style="8" customWidth="1"/>
    <col min="15092" max="15092" width="10.07421875" style="8" customWidth="1"/>
    <col min="15093" max="15345" width="8.84375" style="8"/>
    <col min="15346" max="15346" width="3.53515625" style="8" customWidth="1"/>
    <col min="15347" max="15347" width="55" style="8" customWidth="1"/>
    <col min="15348" max="15348" width="10.07421875" style="8" customWidth="1"/>
    <col min="15349" max="15601" width="8.84375" style="8"/>
    <col min="15602" max="15602" width="3.53515625" style="8" customWidth="1"/>
    <col min="15603" max="15603" width="55" style="8" customWidth="1"/>
    <col min="15604" max="15604" width="10.07421875" style="8" customWidth="1"/>
    <col min="15605" max="15857" width="8.84375" style="8"/>
    <col min="15858" max="15858" width="3.53515625" style="8" customWidth="1"/>
    <col min="15859" max="15859" width="55" style="8" customWidth="1"/>
    <col min="15860" max="15860" width="10.07421875" style="8" customWidth="1"/>
    <col min="15861" max="16113" width="8.84375" style="8"/>
    <col min="16114" max="16114" width="3.53515625" style="8" customWidth="1"/>
    <col min="16115" max="16115" width="55" style="8" customWidth="1"/>
    <col min="16116" max="16116" width="10.07421875" style="8" customWidth="1"/>
    <col min="16117" max="16384" width="8.84375" style="8"/>
  </cols>
  <sheetData>
    <row r="1" spans="2:9" s="370" customFormat="1" ht="23.25" customHeight="1">
      <c r="B1" s="874" t="s">
        <v>507</v>
      </c>
      <c r="C1" s="872" t="s">
        <v>508</v>
      </c>
      <c r="E1" s="872" t="s">
        <v>509</v>
      </c>
      <c r="F1" s="872" t="s">
        <v>510</v>
      </c>
    </row>
    <row r="2" spans="2:9" s="370" customFormat="1" ht="32.5" customHeight="1">
      <c r="B2" s="874"/>
      <c r="C2" s="873"/>
      <c r="E2" s="873"/>
      <c r="F2" s="873"/>
    </row>
    <row r="3" spans="2:9" s="370" customFormat="1" ht="15" customHeight="1">
      <c r="B3" s="16" t="s">
        <v>266</v>
      </c>
      <c r="C3" s="304" t="s">
        <v>398</v>
      </c>
      <c r="E3" s="304" t="s">
        <v>398</v>
      </c>
      <c r="F3" s="304" t="s">
        <v>398</v>
      </c>
    </row>
    <row r="4" spans="2:9" s="370" customFormat="1">
      <c r="C4" s="371"/>
      <c r="E4" s="371"/>
      <c r="F4" s="371"/>
    </row>
    <row r="5" spans="2:9" s="370" customFormat="1">
      <c r="B5" s="31" t="s">
        <v>511</v>
      </c>
      <c r="C5" s="92"/>
      <c r="D5" s="92"/>
      <c r="E5" s="29"/>
      <c r="F5" s="371"/>
    </row>
    <row r="6" spans="2:9" s="370" customFormat="1" ht="29">
      <c r="B6" s="151" t="s">
        <v>512</v>
      </c>
      <c r="C6" s="230">
        <v>820692</v>
      </c>
      <c r="E6" s="29"/>
      <c r="F6" s="371"/>
      <c r="I6" s="370" t="str">
        <f t="shared" ref="I6:I13" si="0">IF(COUNTA(C6)&lt;&gt;COUNT(C6),"Please remove any text entries, enter numeric values only","")</f>
        <v/>
      </c>
    </row>
    <row r="7" spans="2:9" s="370" customFormat="1" ht="29">
      <c r="B7" s="151" t="s">
        <v>513</v>
      </c>
      <c r="C7" s="230">
        <v>212221</v>
      </c>
      <c r="E7" s="29"/>
      <c r="F7" s="371"/>
      <c r="I7" s="370" t="str">
        <f t="shared" si="0"/>
        <v/>
      </c>
    </row>
    <row r="8" spans="2:9" s="370" customFormat="1" ht="30" customHeight="1">
      <c r="B8" s="151" t="s">
        <v>514</v>
      </c>
      <c r="C8" s="230">
        <v>9964</v>
      </c>
      <c r="E8" s="29"/>
      <c r="F8" s="371"/>
      <c r="I8" s="370" t="str">
        <f t="shared" si="0"/>
        <v/>
      </c>
    </row>
    <row r="9" spans="2:9" s="370" customFormat="1">
      <c r="B9" s="151" t="s">
        <v>515</v>
      </c>
      <c r="C9" s="230">
        <v>69396</v>
      </c>
      <c r="E9" s="29"/>
      <c r="F9" s="371"/>
      <c r="I9" s="370" t="str">
        <f t="shared" si="0"/>
        <v/>
      </c>
    </row>
    <row r="10" spans="2:9" s="370" customFormat="1">
      <c r="B10" s="151" t="s">
        <v>516</v>
      </c>
      <c r="C10" s="230">
        <v>23273</v>
      </c>
      <c r="E10" s="29"/>
      <c r="F10" s="371"/>
      <c r="I10" s="370" t="str">
        <f t="shared" si="0"/>
        <v/>
      </c>
    </row>
    <row r="11" spans="2:9" s="370" customFormat="1">
      <c r="B11" s="151" t="s">
        <v>517</v>
      </c>
      <c r="C11" s="230">
        <v>25112</v>
      </c>
      <c r="E11" s="29"/>
      <c r="F11" s="371"/>
      <c r="I11" s="370" t="str">
        <f t="shared" si="0"/>
        <v/>
      </c>
    </row>
    <row r="12" spans="2:9" s="370" customFormat="1">
      <c r="B12" s="386"/>
      <c r="C12" s="230"/>
      <c r="E12" s="29"/>
      <c r="F12" s="371"/>
      <c r="H12" s="370" t="str">
        <f>IF(AND(C12&lt;&gt;0,B12=""),"Please label and categorise each value entered","")</f>
        <v/>
      </c>
      <c r="I12" s="370" t="str">
        <f t="shared" si="0"/>
        <v/>
      </c>
    </row>
    <row r="13" spans="2:9" s="370" customFormat="1">
      <c r="B13" s="386" t="s">
        <v>518</v>
      </c>
      <c r="C13" s="230"/>
      <c r="E13" s="29"/>
      <c r="F13" s="371"/>
      <c r="H13" s="370" t="str">
        <f>IF(AND(C13&lt;&gt;0,B13=""),"Please label and categorise each value entered","")</f>
        <v/>
      </c>
      <c r="I13" s="370" t="str">
        <f t="shared" si="0"/>
        <v/>
      </c>
    </row>
    <row r="14" spans="2:9" s="370" customFormat="1" ht="29">
      <c r="B14" s="31" t="s">
        <v>519</v>
      </c>
      <c r="C14" s="94">
        <f>SUM(C6:C13)</f>
        <v>1160658</v>
      </c>
      <c r="E14" s="395">
        <f>(-'[3]Master Live'!$G$39-'[3]Master Live'!$G$40-'[3]Master Live'!$G$42)*1000</f>
        <v>42426</v>
      </c>
      <c r="F14" s="395">
        <f>E14</f>
        <v>42426</v>
      </c>
      <c r="I14" s="370" t="str">
        <f>IF(COUNTA(E14:F14)&lt;&gt;COUNT(E14:F14),"Please remove any text entries, enter numeric values only","")</f>
        <v/>
      </c>
    </row>
    <row r="15" spans="2:9" s="370" customFormat="1">
      <c r="C15" s="394"/>
      <c r="E15" s="394"/>
      <c r="F15" s="394"/>
    </row>
    <row r="16" spans="2:9" s="370" customFormat="1">
      <c r="B16" s="31" t="s">
        <v>520</v>
      </c>
      <c r="C16" s="394"/>
      <c r="E16" s="394"/>
      <c r="F16" s="394"/>
    </row>
    <row r="17" spans="2:9" s="370" customFormat="1">
      <c r="B17" s="392" t="s">
        <v>521</v>
      </c>
      <c r="C17" s="395">
        <v>0</v>
      </c>
      <c r="E17" s="394"/>
      <c r="F17" s="394"/>
      <c r="I17" s="370" t="str">
        <f t="shared" ref="I17:I62" si="1">IF(COUNTA(C17)&lt;&gt;COUNT(C17),"Please remove any text entries, enter numeric values only","")</f>
        <v/>
      </c>
    </row>
    <row r="18" spans="2:9" s="370" customFormat="1">
      <c r="B18" s="392" t="s">
        <v>522</v>
      </c>
      <c r="C18" s="395">
        <v>3187</v>
      </c>
      <c r="E18" s="394"/>
      <c r="F18" s="394"/>
      <c r="I18" s="370" t="str">
        <f t="shared" si="1"/>
        <v/>
      </c>
    </row>
    <row r="19" spans="2:9" s="370" customFormat="1">
      <c r="B19" s="392" t="s">
        <v>523</v>
      </c>
      <c r="C19" s="395">
        <v>0</v>
      </c>
      <c r="E19" s="394"/>
      <c r="F19" s="394"/>
      <c r="I19" s="370" t="str">
        <f t="shared" si="1"/>
        <v/>
      </c>
    </row>
    <row r="20" spans="2:9" s="370" customFormat="1">
      <c r="B20" s="392" t="s">
        <v>524</v>
      </c>
      <c r="C20" s="395">
        <v>3173</v>
      </c>
      <c r="E20" s="394"/>
      <c r="F20" s="394"/>
      <c r="I20" s="370" t="str">
        <f t="shared" si="1"/>
        <v/>
      </c>
    </row>
    <row r="21" spans="2:9" s="370" customFormat="1">
      <c r="B21" s="392" t="s">
        <v>525</v>
      </c>
      <c r="C21" s="395">
        <v>2960</v>
      </c>
      <c r="E21" s="394"/>
      <c r="F21" s="394"/>
      <c r="I21" s="370" t="str">
        <f t="shared" si="1"/>
        <v/>
      </c>
    </row>
    <row r="22" spans="2:9" s="370" customFormat="1">
      <c r="B22" s="392" t="s">
        <v>526</v>
      </c>
      <c r="C22" s="395">
        <v>2732</v>
      </c>
      <c r="E22" s="394"/>
      <c r="F22" s="394"/>
      <c r="I22" s="370" t="str">
        <f t="shared" si="1"/>
        <v/>
      </c>
    </row>
    <row r="23" spans="2:9" s="370" customFormat="1">
      <c r="B23" s="392" t="s">
        <v>527</v>
      </c>
      <c r="C23" s="395">
        <v>602</v>
      </c>
      <c r="E23" s="394"/>
      <c r="F23" s="394"/>
      <c r="I23" s="370" t="str">
        <f t="shared" si="1"/>
        <v/>
      </c>
    </row>
    <row r="24" spans="2:9" s="370" customFormat="1">
      <c r="B24" s="392" t="s">
        <v>528</v>
      </c>
      <c r="C24" s="395">
        <v>950</v>
      </c>
      <c r="E24" s="394"/>
      <c r="F24" s="394"/>
      <c r="I24" s="370" t="str">
        <f t="shared" si="1"/>
        <v/>
      </c>
    </row>
    <row r="25" spans="2:9" s="370" customFormat="1">
      <c r="B25" s="392" t="s">
        <v>529</v>
      </c>
      <c r="C25" s="395">
        <v>-4098</v>
      </c>
      <c r="E25" s="394"/>
      <c r="F25" s="394"/>
      <c r="I25" s="370" t="str">
        <f t="shared" si="1"/>
        <v/>
      </c>
    </row>
    <row r="26" spans="2:9" s="370" customFormat="1">
      <c r="B26" s="392" t="s">
        <v>530</v>
      </c>
      <c r="C26" s="395">
        <v>386</v>
      </c>
      <c r="E26" s="394"/>
      <c r="F26" s="394"/>
      <c r="I26" s="370" t="str">
        <f t="shared" si="1"/>
        <v/>
      </c>
    </row>
    <row r="27" spans="2:9" s="370" customFormat="1">
      <c r="B27" s="392" t="s">
        <v>531</v>
      </c>
      <c r="C27" s="395">
        <v>425</v>
      </c>
      <c r="E27" s="394"/>
      <c r="F27" s="394"/>
      <c r="I27" s="370" t="str">
        <f t="shared" si="1"/>
        <v/>
      </c>
    </row>
    <row r="28" spans="2:9" s="370" customFormat="1">
      <c r="B28" s="392" t="s">
        <v>532</v>
      </c>
      <c r="C28" s="395">
        <v>59</v>
      </c>
      <c r="E28" s="394"/>
      <c r="F28" s="394"/>
      <c r="I28" s="370" t="str">
        <f t="shared" si="1"/>
        <v/>
      </c>
    </row>
    <row r="29" spans="2:9" s="370" customFormat="1">
      <c r="B29" s="392" t="s">
        <v>533</v>
      </c>
      <c r="C29" s="395">
        <v>1556</v>
      </c>
      <c r="E29" s="394"/>
      <c r="F29" s="394"/>
      <c r="I29" s="370" t="str">
        <f t="shared" si="1"/>
        <v/>
      </c>
    </row>
    <row r="30" spans="2:9" s="370" customFormat="1">
      <c r="B30" s="392" t="s">
        <v>534</v>
      </c>
      <c r="C30" s="395">
        <v>0</v>
      </c>
      <c r="E30" s="394"/>
      <c r="F30" s="394"/>
      <c r="H30" s="370" t="str">
        <f t="shared" ref="H30:H62" si="2">IF(AND(C30&lt;&gt;0,B30=""),"Please label and categorise each value entered","")</f>
        <v/>
      </c>
      <c r="I30" s="370" t="str">
        <f t="shared" si="1"/>
        <v/>
      </c>
    </row>
    <row r="31" spans="2:9" s="370" customFormat="1">
      <c r="B31" s="392" t="s">
        <v>535</v>
      </c>
      <c r="C31" s="395">
        <v>0</v>
      </c>
      <c r="E31" s="394"/>
      <c r="F31" s="394"/>
      <c r="H31" s="370" t="str">
        <f t="shared" si="2"/>
        <v/>
      </c>
      <c r="I31" s="370" t="str">
        <f t="shared" si="1"/>
        <v/>
      </c>
    </row>
    <row r="32" spans="2:9" s="370" customFormat="1">
      <c r="B32" s="392" t="s">
        <v>536</v>
      </c>
      <c r="C32" s="395">
        <v>0</v>
      </c>
      <c r="E32" s="394"/>
      <c r="F32" s="394"/>
      <c r="H32" s="370" t="str">
        <f t="shared" si="2"/>
        <v/>
      </c>
      <c r="I32" s="370" t="str">
        <f t="shared" si="1"/>
        <v/>
      </c>
    </row>
    <row r="33" spans="2:9" s="370" customFormat="1">
      <c r="B33" s="392" t="s">
        <v>537</v>
      </c>
      <c r="C33" s="395">
        <v>1471</v>
      </c>
      <c r="E33" s="394"/>
      <c r="F33" s="394"/>
      <c r="H33" s="370" t="str">
        <f t="shared" si="2"/>
        <v/>
      </c>
      <c r="I33" s="370" t="str">
        <f t="shared" si="1"/>
        <v/>
      </c>
    </row>
    <row r="34" spans="2:9" s="370" customFormat="1">
      <c r="B34" s="392" t="s">
        <v>538</v>
      </c>
      <c r="C34" s="395">
        <v>1313</v>
      </c>
      <c r="E34" s="394"/>
      <c r="F34" s="394"/>
      <c r="H34" s="370" t="str">
        <f t="shared" si="2"/>
        <v/>
      </c>
      <c r="I34" s="370" t="str">
        <f t="shared" si="1"/>
        <v/>
      </c>
    </row>
    <row r="35" spans="2:9" s="370" customFormat="1">
      <c r="B35" s="392" t="s">
        <v>539</v>
      </c>
      <c r="C35" s="395">
        <f>746+75</f>
        <v>821</v>
      </c>
      <c r="E35" s="394"/>
      <c r="F35" s="394"/>
      <c r="H35" s="370" t="str">
        <f t="shared" si="2"/>
        <v/>
      </c>
      <c r="I35" s="370" t="str">
        <f t="shared" si="1"/>
        <v/>
      </c>
    </row>
    <row r="36" spans="2:9" s="370" customFormat="1">
      <c r="B36" s="392" t="s">
        <v>540</v>
      </c>
      <c r="C36" s="395">
        <v>1229</v>
      </c>
      <c r="E36" s="394"/>
      <c r="F36" s="394"/>
      <c r="H36" s="370" t="str">
        <f t="shared" si="2"/>
        <v/>
      </c>
      <c r="I36" s="370" t="str">
        <f t="shared" si="1"/>
        <v/>
      </c>
    </row>
    <row r="37" spans="2:9" s="370" customFormat="1">
      <c r="B37" s="392" t="s">
        <v>541</v>
      </c>
      <c r="C37" s="395">
        <v>0</v>
      </c>
      <c r="E37" s="394"/>
      <c r="F37" s="394"/>
      <c r="H37" s="370" t="str">
        <f t="shared" si="2"/>
        <v/>
      </c>
      <c r="I37" s="370" t="str">
        <f t="shared" si="1"/>
        <v/>
      </c>
    </row>
    <row r="38" spans="2:9" s="370" customFormat="1">
      <c r="B38" s="231" t="s">
        <v>1180</v>
      </c>
      <c r="C38" s="395">
        <v>275</v>
      </c>
      <c r="E38" s="394"/>
      <c r="F38" s="394"/>
      <c r="H38" s="370" t="str">
        <f t="shared" si="2"/>
        <v/>
      </c>
      <c r="I38" s="370" t="str">
        <f t="shared" si="1"/>
        <v/>
      </c>
    </row>
    <row r="39" spans="2:9" s="370" customFormat="1">
      <c r="B39" s="231" t="s">
        <v>1181</v>
      </c>
      <c r="C39" s="395">
        <v>33</v>
      </c>
      <c r="E39" s="394"/>
      <c r="F39" s="394"/>
      <c r="H39" s="370" t="str">
        <f t="shared" si="2"/>
        <v/>
      </c>
      <c r="I39" s="370" t="str">
        <f t="shared" si="1"/>
        <v/>
      </c>
    </row>
    <row r="40" spans="2:9" s="370" customFormat="1">
      <c r="B40" s="231" t="s">
        <v>1182</v>
      </c>
      <c r="C40" s="395">
        <v>70</v>
      </c>
      <c r="E40" s="394"/>
      <c r="F40" s="394"/>
      <c r="H40" s="370" t="str">
        <f t="shared" si="2"/>
        <v/>
      </c>
      <c r="I40" s="370" t="str">
        <f t="shared" si="1"/>
        <v/>
      </c>
    </row>
    <row r="41" spans="2:9" s="370" customFormat="1">
      <c r="B41" s="231" t="s">
        <v>1183</v>
      </c>
      <c r="C41" s="395">
        <v>50</v>
      </c>
      <c r="E41" s="394"/>
      <c r="F41" s="394"/>
      <c r="H41" s="370" t="str">
        <f t="shared" si="2"/>
        <v/>
      </c>
      <c r="I41" s="370" t="str">
        <f t="shared" si="1"/>
        <v/>
      </c>
    </row>
    <row r="42" spans="2:9" s="370" customFormat="1">
      <c r="B42" s="231" t="s">
        <v>1184</v>
      </c>
      <c r="C42" s="395">
        <v>64</v>
      </c>
      <c r="E42" s="394"/>
      <c r="F42" s="394"/>
      <c r="H42" s="370" t="str">
        <f t="shared" si="2"/>
        <v/>
      </c>
      <c r="I42" s="370" t="str">
        <f t="shared" si="1"/>
        <v/>
      </c>
    </row>
    <row r="43" spans="2:9" s="370" customFormat="1">
      <c r="B43" s="231" t="s">
        <v>1185</v>
      </c>
      <c r="C43" s="395">
        <v>549</v>
      </c>
      <c r="E43" s="394"/>
      <c r="F43" s="394"/>
      <c r="H43" s="370" t="str">
        <f t="shared" si="2"/>
        <v/>
      </c>
      <c r="I43" s="370" t="str">
        <f t="shared" si="1"/>
        <v/>
      </c>
    </row>
    <row r="44" spans="2:9" s="370" customFormat="1">
      <c r="B44" s="231" t="s">
        <v>1186</v>
      </c>
      <c r="C44" s="395">
        <v>170</v>
      </c>
      <c r="E44" s="394"/>
      <c r="F44" s="394"/>
      <c r="H44" s="370" t="str">
        <f t="shared" si="2"/>
        <v/>
      </c>
      <c r="I44" s="370" t="str">
        <f t="shared" si="1"/>
        <v/>
      </c>
    </row>
    <row r="45" spans="2:9" s="370" customFormat="1">
      <c r="B45" s="231" t="s">
        <v>1187</v>
      </c>
      <c r="C45" s="395">
        <v>182</v>
      </c>
      <c r="E45" s="394"/>
      <c r="F45" s="394"/>
      <c r="H45" s="370" t="str">
        <f t="shared" si="2"/>
        <v/>
      </c>
      <c r="I45" s="370" t="str">
        <f t="shared" si="1"/>
        <v/>
      </c>
    </row>
    <row r="46" spans="2:9" s="370" customFormat="1">
      <c r="B46" s="231" t="s">
        <v>1188</v>
      </c>
      <c r="C46" s="395">
        <v>69</v>
      </c>
      <c r="E46" s="394"/>
      <c r="F46" s="394"/>
      <c r="H46" s="370" t="str">
        <f t="shared" si="2"/>
        <v/>
      </c>
      <c r="I46" s="370" t="str">
        <f t="shared" si="1"/>
        <v/>
      </c>
    </row>
    <row r="47" spans="2:9" s="370" customFormat="1">
      <c r="B47" s="231" t="s">
        <v>1191</v>
      </c>
      <c r="C47" s="395">
        <f>36694/90*100</f>
        <v>40771.111111111109</v>
      </c>
      <c r="E47" s="394"/>
      <c r="F47" s="394"/>
      <c r="H47" s="370" t="str">
        <f t="shared" si="2"/>
        <v/>
      </c>
      <c r="I47" s="370" t="str">
        <f t="shared" si="1"/>
        <v/>
      </c>
    </row>
    <row r="48" spans="2:9" s="370" customFormat="1">
      <c r="B48" s="231"/>
      <c r="C48" s="395"/>
      <c r="E48" s="394"/>
      <c r="F48" s="394"/>
      <c r="H48" s="370" t="str">
        <f t="shared" si="2"/>
        <v/>
      </c>
      <c r="I48" s="370" t="str">
        <f t="shared" si="1"/>
        <v/>
      </c>
    </row>
    <row r="49" spans="2:9" s="370" customFormat="1">
      <c r="B49" s="231"/>
      <c r="C49" s="395"/>
      <c r="E49" s="394"/>
      <c r="F49" s="394"/>
      <c r="H49" s="370" t="str">
        <f t="shared" si="2"/>
        <v/>
      </c>
      <c r="I49" s="370" t="str">
        <f t="shared" si="1"/>
        <v/>
      </c>
    </row>
    <row r="50" spans="2:9" s="370" customFormat="1">
      <c r="B50" s="231"/>
      <c r="C50" s="395"/>
      <c r="E50" s="394"/>
      <c r="F50" s="394"/>
      <c r="H50" s="370" t="str">
        <f t="shared" si="2"/>
        <v/>
      </c>
      <c r="I50" s="370" t="str">
        <f t="shared" si="1"/>
        <v/>
      </c>
    </row>
    <row r="51" spans="2:9" s="370" customFormat="1">
      <c r="B51" s="231"/>
      <c r="C51" s="395"/>
      <c r="E51" s="394"/>
      <c r="F51" s="394"/>
      <c r="H51" s="370" t="str">
        <f t="shared" si="2"/>
        <v/>
      </c>
      <c r="I51" s="370" t="str">
        <f t="shared" si="1"/>
        <v/>
      </c>
    </row>
    <row r="52" spans="2:9" s="370" customFormat="1">
      <c r="B52" s="231"/>
      <c r="C52" s="395"/>
      <c r="E52" s="394"/>
      <c r="F52" s="394"/>
      <c r="H52" s="370" t="str">
        <f t="shared" si="2"/>
        <v/>
      </c>
      <c r="I52" s="370" t="str">
        <f t="shared" si="1"/>
        <v/>
      </c>
    </row>
    <row r="53" spans="2:9" s="370" customFormat="1">
      <c r="B53" s="231"/>
      <c r="C53" s="395"/>
      <c r="E53" s="394"/>
      <c r="F53" s="394"/>
      <c r="H53" s="370" t="str">
        <f t="shared" si="2"/>
        <v/>
      </c>
      <c r="I53" s="370" t="str">
        <f t="shared" si="1"/>
        <v/>
      </c>
    </row>
    <row r="54" spans="2:9" s="370" customFormat="1">
      <c r="B54" s="231"/>
      <c r="C54" s="395"/>
      <c r="E54" s="394"/>
      <c r="F54" s="394"/>
      <c r="H54" s="370" t="str">
        <f t="shared" si="2"/>
        <v/>
      </c>
      <c r="I54" s="370" t="str">
        <f t="shared" si="1"/>
        <v/>
      </c>
    </row>
    <row r="55" spans="2:9" s="370" customFormat="1">
      <c r="B55" s="231"/>
      <c r="C55" s="395"/>
      <c r="E55" s="394"/>
      <c r="F55" s="394"/>
      <c r="H55" s="370" t="str">
        <f t="shared" si="2"/>
        <v/>
      </c>
      <c r="I55" s="370" t="str">
        <f t="shared" si="1"/>
        <v/>
      </c>
    </row>
    <row r="56" spans="2:9" s="370" customFormat="1">
      <c r="B56" s="231"/>
      <c r="C56" s="395"/>
      <c r="E56" s="394"/>
      <c r="F56" s="394"/>
      <c r="H56" s="370" t="str">
        <f t="shared" si="2"/>
        <v/>
      </c>
      <c r="I56" s="370" t="str">
        <f t="shared" si="1"/>
        <v/>
      </c>
    </row>
    <row r="57" spans="2:9" s="370" customFormat="1">
      <c r="B57" s="231"/>
      <c r="C57" s="395"/>
      <c r="E57" s="394"/>
      <c r="F57" s="394"/>
      <c r="H57" s="370" t="str">
        <f t="shared" si="2"/>
        <v/>
      </c>
      <c r="I57" s="370" t="str">
        <f t="shared" si="1"/>
        <v/>
      </c>
    </row>
    <row r="58" spans="2:9" s="370" customFormat="1">
      <c r="B58" s="231"/>
      <c r="C58" s="395"/>
      <c r="E58" s="394"/>
      <c r="F58" s="394"/>
      <c r="H58" s="370" t="str">
        <f t="shared" si="2"/>
        <v/>
      </c>
      <c r="I58" s="370" t="str">
        <f t="shared" si="1"/>
        <v/>
      </c>
    </row>
    <row r="59" spans="2:9" s="370" customFormat="1">
      <c r="B59" s="231"/>
      <c r="C59" s="395"/>
      <c r="E59" s="394"/>
      <c r="F59" s="394"/>
      <c r="H59" s="370" t="str">
        <f t="shared" si="2"/>
        <v/>
      </c>
      <c r="I59" s="370" t="str">
        <f t="shared" si="1"/>
        <v/>
      </c>
    </row>
    <row r="60" spans="2:9" s="370" customFormat="1">
      <c r="B60" s="231"/>
      <c r="C60" s="395"/>
      <c r="E60" s="394"/>
      <c r="F60" s="394"/>
      <c r="H60" s="370" t="str">
        <f t="shared" si="2"/>
        <v/>
      </c>
      <c r="I60" s="370" t="str">
        <f t="shared" si="1"/>
        <v/>
      </c>
    </row>
    <row r="61" spans="2:9" s="370" customFormat="1">
      <c r="B61" s="231"/>
      <c r="C61" s="395"/>
      <c r="E61" s="394"/>
      <c r="F61" s="394"/>
      <c r="H61" s="370" t="str">
        <f t="shared" si="2"/>
        <v/>
      </c>
      <c r="I61" s="370" t="str">
        <f t="shared" si="1"/>
        <v/>
      </c>
    </row>
    <row r="62" spans="2:9" s="370" customFormat="1">
      <c r="B62" s="231"/>
      <c r="C62" s="395"/>
      <c r="E62" s="394"/>
      <c r="F62" s="394"/>
      <c r="H62" s="370" t="str">
        <f t="shared" si="2"/>
        <v/>
      </c>
      <c r="I62" s="370" t="str">
        <f t="shared" si="1"/>
        <v/>
      </c>
    </row>
    <row r="63" spans="2:9" s="370" customFormat="1">
      <c r="B63" s="231"/>
      <c r="C63" s="395"/>
      <c r="E63" s="394"/>
      <c r="F63" s="394"/>
    </row>
    <row r="64" spans="2:9" s="370" customFormat="1">
      <c r="B64" s="231"/>
      <c r="C64" s="395"/>
      <c r="E64" s="394"/>
      <c r="F64" s="394"/>
    </row>
    <row r="65" spans="2:9" s="370" customFormat="1">
      <c r="B65" s="231"/>
      <c r="C65" s="395"/>
      <c r="E65" s="394"/>
      <c r="F65" s="394"/>
    </row>
    <row r="66" spans="2:9" s="370" customFormat="1">
      <c r="B66" s="231"/>
      <c r="C66" s="395"/>
      <c r="E66" s="394"/>
      <c r="F66" s="394"/>
    </row>
    <row r="67" spans="2:9" s="370" customFormat="1">
      <c r="B67" s="231"/>
      <c r="C67" s="395"/>
      <c r="E67" s="394"/>
      <c r="F67" s="394"/>
    </row>
    <row r="68" spans="2:9" s="370" customFormat="1">
      <c r="B68" s="231"/>
      <c r="C68" s="395"/>
      <c r="E68" s="394"/>
      <c r="F68" s="394"/>
    </row>
    <row r="69" spans="2:9" s="370" customFormat="1">
      <c r="B69" s="231"/>
      <c r="C69" s="395"/>
      <c r="E69" s="394"/>
      <c r="F69" s="394"/>
    </row>
    <row r="70" spans="2:9" s="370" customFormat="1">
      <c r="B70" s="231"/>
      <c r="C70" s="395"/>
      <c r="E70" s="394"/>
      <c r="F70" s="394"/>
    </row>
    <row r="71" spans="2:9" s="370" customFormat="1">
      <c r="B71" s="372" t="s">
        <v>542</v>
      </c>
      <c r="C71" s="396">
        <f>SUM(C17:C70)</f>
        <v>58999.111111111109</v>
      </c>
      <c r="E71" s="395">
        <f>C18</f>
        <v>3187</v>
      </c>
      <c r="F71" s="395">
        <f>E71</f>
        <v>3187</v>
      </c>
      <c r="I71" s="370" t="str">
        <f>IF(COUNTA(E71:F71)&lt;&gt;COUNT(E71:F71),"Please remove any text entries, enter numeric values only","")</f>
        <v/>
      </c>
    </row>
    <row r="72" spans="2:9" s="370" customFormat="1">
      <c r="C72" s="394"/>
      <c r="E72" s="394"/>
      <c r="F72" s="394"/>
    </row>
    <row r="73" spans="2:9" s="370" customFormat="1">
      <c r="B73" s="31" t="s">
        <v>543</v>
      </c>
      <c r="C73" s="394"/>
      <c r="E73" s="394"/>
      <c r="F73" s="394"/>
    </row>
    <row r="74" spans="2:9" s="370" customFormat="1" ht="33.75" customHeight="1">
      <c r="B74" s="393" t="s">
        <v>544</v>
      </c>
      <c r="C74" s="397">
        <f>'F2 - Net Expenditure'!C6</f>
        <v>284</v>
      </c>
      <c r="E74" s="394"/>
      <c r="F74" s="394"/>
      <c r="I74" s="370" t="str">
        <f t="shared" ref="I74:I88" si="3">IF(COUNTA(C74)&lt;&gt;COUNT(C74),"Please remove any text entries, enter numeric values only","")</f>
        <v/>
      </c>
    </row>
    <row r="75" spans="2:9" s="370" customFormat="1">
      <c r="B75" s="393" t="s">
        <v>459</v>
      </c>
      <c r="C75" s="395">
        <f>'F2 - Net Expenditure'!C7+(80426*0.0367)</f>
        <v>111938.5252</v>
      </c>
      <c r="E75" s="394"/>
      <c r="F75" s="394"/>
      <c r="I75" s="370" t="str">
        <f t="shared" si="3"/>
        <v/>
      </c>
    </row>
    <row r="76" spans="2:9" s="370" customFormat="1">
      <c r="B76" s="393" t="s">
        <v>460</v>
      </c>
      <c r="C76" s="395">
        <f>'F2 - Net Expenditure'!C8*1.032</f>
        <v>140145.51744000003</v>
      </c>
      <c r="E76" s="394"/>
      <c r="F76" s="394"/>
      <c r="I76" s="370" t="str">
        <f t="shared" si="3"/>
        <v/>
      </c>
    </row>
    <row r="77" spans="2:9" s="370" customFormat="1">
      <c r="B77" s="393" t="s">
        <v>448</v>
      </c>
      <c r="C77" s="395">
        <f>'F2 - Net Expenditure'!C10</f>
        <v>44512.239320000001</v>
      </c>
      <c r="E77" s="394"/>
      <c r="F77" s="394"/>
      <c r="I77" s="370" t="str">
        <f t="shared" si="3"/>
        <v/>
      </c>
    </row>
    <row r="78" spans="2:9" s="370" customFormat="1">
      <c r="B78" s="380" t="s">
        <v>1189</v>
      </c>
      <c r="C78" s="395">
        <f>'F2 - Net Expenditure'!C9</f>
        <v>2042.2809999999999</v>
      </c>
      <c r="E78" s="394"/>
      <c r="F78" s="394"/>
      <c r="H78" s="370" t="str">
        <f t="shared" ref="H78:H88" si="4">IF(AND(C78&lt;&gt;0,B78=""),"Please label and categorise each value entered","")</f>
        <v/>
      </c>
      <c r="I78" s="370" t="str">
        <f t="shared" si="3"/>
        <v/>
      </c>
    </row>
    <row r="79" spans="2:9" s="370" customFormat="1">
      <c r="B79" s="380" t="s">
        <v>518</v>
      </c>
      <c r="C79" s="395"/>
      <c r="E79" s="394"/>
      <c r="F79" s="394"/>
      <c r="H79" s="370" t="str">
        <f t="shared" si="4"/>
        <v/>
      </c>
      <c r="I79" s="370" t="str">
        <f t="shared" si="3"/>
        <v/>
      </c>
    </row>
    <row r="80" spans="2:9" s="370" customFormat="1">
      <c r="B80" s="380" t="s">
        <v>518</v>
      </c>
      <c r="C80" s="395"/>
      <c r="E80" s="394"/>
      <c r="F80" s="394"/>
      <c r="H80" s="370" t="str">
        <f t="shared" si="4"/>
        <v/>
      </c>
      <c r="I80" s="370" t="str">
        <f t="shared" si="3"/>
        <v/>
      </c>
    </row>
    <row r="81" spans="2:9" s="370" customFormat="1">
      <c r="B81" s="380" t="s">
        <v>518</v>
      </c>
      <c r="C81" s="395"/>
      <c r="E81" s="394"/>
      <c r="F81" s="394"/>
      <c r="H81" s="370" t="str">
        <f t="shared" si="4"/>
        <v/>
      </c>
      <c r="I81" s="370" t="str">
        <f t="shared" si="3"/>
        <v/>
      </c>
    </row>
    <row r="82" spans="2:9" s="370" customFormat="1">
      <c r="B82" s="380" t="s">
        <v>518</v>
      </c>
      <c r="C82" s="395"/>
      <c r="E82" s="394"/>
      <c r="F82" s="394"/>
      <c r="H82" s="370" t="str">
        <f t="shared" si="4"/>
        <v/>
      </c>
      <c r="I82" s="370" t="str">
        <f t="shared" si="3"/>
        <v/>
      </c>
    </row>
    <row r="83" spans="2:9" s="370" customFormat="1">
      <c r="B83" s="380" t="s">
        <v>518</v>
      </c>
      <c r="C83" s="395"/>
      <c r="E83" s="394"/>
      <c r="F83" s="394"/>
      <c r="H83" s="370" t="str">
        <f t="shared" si="4"/>
        <v/>
      </c>
      <c r="I83" s="370" t="str">
        <f t="shared" si="3"/>
        <v/>
      </c>
    </row>
    <row r="84" spans="2:9" s="370" customFormat="1">
      <c r="B84" s="380" t="s">
        <v>518</v>
      </c>
      <c r="C84" s="395"/>
      <c r="E84" s="394"/>
      <c r="F84" s="394"/>
      <c r="H84" s="370" t="str">
        <f t="shared" si="4"/>
        <v/>
      </c>
      <c r="I84" s="370" t="str">
        <f t="shared" si="3"/>
        <v/>
      </c>
    </row>
    <row r="85" spans="2:9" s="370" customFormat="1">
      <c r="B85" s="380" t="s">
        <v>518</v>
      </c>
      <c r="C85" s="395"/>
      <c r="E85" s="394"/>
      <c r="F85" s="394"/>
      <c r="H85" s="370" t="str">
        <f t="shared" si="4"/>
        <v/>
      </c>
      <c r="I85" s="370" t="str">
        <f t="shared" si="3"/>
        <v/>
      </c>
    </row>
    <row r="86" spans="2:9" s="370" customFormat="1">
      <c r="B86" s="380" t="s">
        <v>518</v>
      </c>
      <c r="C86" s="395"/>
      <c r="E86" s="394"/>
      <c r="F86" s="394"/>
      <c r="H86" s="370" t="str">
        <f t="shared" si="4"/>
        <v/>
      </c>
      <c r="I86" s="370" t="str">
        <f t="shared" si="3"/>
        <v/>
      </c>
    </row>
    <row r="87" spans="2:9" s="370" customFormat="1">
      <c r="B87" s="380" t="s">
        <v>518</v>
      </c>
      <c r="C87" s="395"/>
      <c r="E87" s="394"/>
      <c r="F87" s="394"/>
      <c r="H87" s="370" t="str">
        <f t="shared" si="4"/>
        <v/>
      </c>
      <c r="I87" s="370" t="str">
        <f t="shared" si="3"/>
        <v/>
      </c>
    </row>
    <row r="88" spans="2:9" s="370" customFormat="1">
      <c r="B88" s="380" t="s">
        <v>518</v>
      </c>
      <c r="C88" s="395"/>
      <c r="E88" s="394"/>
      <c r="F88" s="394"/>
      <c r="H88" s="370" t="str">
        <f t="shared" si="4"/>
        <v/>
      </c>
      <c r="I88" s="370" t="str">
        <f t="shared" si="3"/>
        <v/>
      </c>
    </row>
    <row r="89" spans="2:9" s="370" customFormat="1">
      <c r="B89" s="372" t="s">
        <v>542</v>
      </c>
      <c r="C89" s="396">
        <f>SUM(C74:C83)</f>
        <v>298922.56296000007</v>
      </c>
      <c r="E89" s="395"/>
      <c r="F89" s="395">
        <f>E89</f>
        <v>0</v>
      </c>
      <c r="I89" s="370" t="str">
        <f>IF(COUNTA(E89:F89)&lt;&gt;COUNT(E89:F89),"Please remove any text entries, enter numeric values only","")</f>
        <v/>
      </c>
    </row>
    <row r="90" spans="2:9">
      <c r="C90" s="394"/>
      <c r="E90" s="399"/>
      <c r="F90" s="399"/>
    </row>
    <row r="91" spans="2:9" s="370" customFormat="1">
      <c r="C91" s="398"/>
      <c r="E91" s="398"/>
      <c r="F91" s="398"/>
    </row>
    <row r="92" spans="2:9" s="370" customFormat="1">
      <c r="B92" s="3" t="s">
        <v>263</v>
      </c>
      <c r="C92" s="396">
        <f>+C89+C71+C14</f>
        <v>1518579.6740711113</v>
      </c>
      <c r="E92" s="396">
        <f>+E89+E71+E14</f>
        <v>45613</v>
      </c>
      <c r="F92" s="396">
        <f>+F89+F71+F14</f>
        <v>45613</v>
      </c>
    </row>
    <row r="93" spans="2:9" s="370" customFormat="1">
      <c r="C93" s="371"/>
      <c r="E93" s="371"/>
      <c r="F93" s="371"/>
    </row>
    <row r="94" spans="2:9" s="370" customFormat="1">
      <c r="B94" s="2"/>
      <c r="C94" s="371"/>
      <c r="E94" s="371"/>
      <c r="F94" s="371"/>
      <c r="H94" s="342">
        <f>COUNTIFS(H3:H92,"Please*")</f>
        <v>0</v>
      </c>
      <c r="I94" s="342">
        <f>COUNTIFS(I3:I92,"Please*")</f>
        <v>0</v>
      </c>
    </row>
    <row r="95" spans="2:9" s="370" customFormat="1">
      <c r="C95" s="371"/>
      <c r="E95" s="371"/>
      <c r="F95" s="371"/>
    </row>
    <row r="96" spans="2:9" s="370" customFormat="1">
      <c r="C96" s="371"/>
      <c r="E96" s="371"/>
      <c r="F96" s="371"/>
    </row>
    <row r="97" spans="2:14" s="370" customFormat="1">
      <c r="C97" s="371"/>
      <c r="E97" s="371"/>
      <c r="F97" s="371"/>
    </row>
    <row r="98" spans="2:14" s="370" customFormat="1">
      <c r="C98" s="371"/>
      <c r="E98" s="371"/>
      <c r="F98" s="371"/>
    </row>
    <row r="99" spans="2:14" s="370" customFormat="1">
      <c r="C99" s="371"/>
      <c r="E99" s="371"/>
      <c r="F99" s="371"/>
    </row>
    <row r="100" spans="2:14" s="370" customFormat="1">
      <c r="C100" s="371"/>
      <c r="E100" s="371"/>
      <c r="F100" s="371"/>
    </row>
    <row r="101" spans="2:14" s="370" customFormat="1">
      <c r="C101" s="371"/>
      <c r="E101" s="371"/>
      <c r="F101" s="371"/>
    </row>
    <row r="102" spans="2:14" s="370" customFormat="1">
      <c r="C102" s="371"/>
      <c r="E102" s="371"/>
      <c r="F102" s="371"/>
    </row>
    <row r="103" spans="2:14" s="370" customFormat="1">
      <c r="C103" s="371"/>
      <c r="E103" s="371"/>
      <c r="F103" s="371"/>
    </row>
    <row r="104" spans="2:14" s="370" customFormat="1">
      <c r="C104" s="371"/>
      <c r="E104" s="371"/>
      <c r="F104" s="371"/>
    </row>
    <row r="105" spans="2:14" s="370" customFormat="1">
      <c r="C105" s="371"/>
      <c r="E105" s="371"/>
      <c r="F105" s="371"/>
    </row>
    <row r="106" spans="2:14">
      <c r="B106" s="370"/>
      <c r="C106" s="371"/>
      <c r="D106" s="370"/>
      <c r="E106" s="371"/>
      <c r="F106" s="371"/>
      <c r="G106" s="370"/>
      <c r="H106" s="370"/>
      <c r="I106" s="370"/>
      <c r="J106" s="370"/>
      <c r="K106" s="370"/>
      <c r="L106" s="370"/>
      <c r="M106" s="370"/>
      <c r="N106" s="370"/>
    </row>
    <row r="107" spans="2:14">
      <c r="B107" s="370"/>
      <c r="C107" s="371"/>
      <c r="D107" s="370"/>
      <c r="E107" s="371"/>
      <c r="F107" s="371"/>
      <c r="G107" s="370"/>
      <c r="H107" s="370"/>
      <c r="I107" s="370"/>
      <c r="J107" s="370"/>
      <c r="K107" s="370"/>
      <c r="L107" s="370"/>
      <c r="M107" s="370"/>
      <c r="N107" s="370"/>
    </row>
    <row r="108" spans="2:14">
      <c r="B108" s="370"/>
      <c r="C108" s="371"/>
      <c r="D108" s="370"/>
      <c r="E108" s="371"/>
      <c r="F108" s="371"/>
      <c r="G108" s="370"/>
      <c r="H108" s="370"/>
      <c r="I108" s="370"/>
      <c r="J108" s="370"/>
      <c r="K108" s="370"/>
      <c r="L108" s="370"/>
      <c r="M108" s="370"/>
      <c r="N108" s="370"/>
    </row>
    <row r="109" spans="2:14">
      <c r="B109" s="370"/>
      <c r="C109" s="371"/>
      <c r="D109" s="370"/>
      <c r="E109" s="371"/>
      <c r="F109" s="371"/>
      <c r="G109" s="370"/>
      <c r="H109" s="370"/>
      <c r="I109" s="370"/>
      <c r="J109" s="370"/>
      <c r="K109" s="370"/>
      <c r="L109" s="370"/>
      <c r="M109" s="370"/>
      <c r="N109" s="370"/>
    </row>
    <row r="110" spans="2:14">
      <c r="B110" s="370"/>
      <c r="C110" s="371"/>
      <c r="D110" s="370"/>
      <c r="E110" s="371"/>
      <c r="F110" s="371"/>
      <c r="G110" s="370"/>
      <c r="H110" s="370"/>
      <c r="I110" s="370"/>
      <c r="J110" s="370"/>
      <c r="K110" s="370"/>
      <c r="L110" s="370"/>
      <c r="M110" s="370"/>
      <c r="N110" s="370"/>
    </row>
    <row r="111" spans="2:14">
      <c r="B111" s="370"/>
      <c r="C111" s="371"/>
      <c r="D111" s="370"/>
      <c r="E111" s="371"/>
      <c r="F111" s="371"/>
      <c r="G111" s="370"/>
      <c r="H111" s="370"/>
      <c r="I111" s="370"/>
      <c r="J111" s="370"/>
      <c r="K111" s="370"/>
      <c r="L111" s="370"/>
      <c r="M111" s="370"/>
      <c r="N111" s="370"/>
    </row>
    <row r="112" spans="2:14">
      <c r="B112" s="370"/>
      <c r="C112" s="371"/>
      <c r="D112" s="370"/>
      <c r="E112" s="371"/>
      <c r="F112" s="371"/>
      <c r="G112" s="370"/>
      <c r="H112" s="370"/>
      <c r="I112" s="370"/>
      <c r="J112" s="370"/>
      <c r="K112" s="370"/>
      <c r="L112" s="370"/>
      <c r="M112" s="370"/>
      <c r="N112" s="370"/>
    </row>
    <row r="113" spans="2:14">
      <c r="B113" s="370"/>
      <c r="C113" s="371"/>
      <c r="D113" s="370"/>
      <c r="E113" s="371"/>
      <c r="F113" s="371"/>
      <c r="G113" s="370"/>
      <c r="H113" s="370"/>
      <c r="I113" s="370"/>
      <c r="J113" s="370"/>
      <c r="K113" s="370"/>
      <c r="L113" s="370"/>
      <c r="M113" s="370"/>
      <c r="N113" s="370"/>
    </row>
    <row r="114" spans="2:14">
      <c r="B114" s="370"/>
      <c r="C114" s="371"/>
      <c r="D114" s="370"/>
      <c r="E114" s="371"/>
      <c r="F114" s="371"/>
      <c r="G114" s="370"/>
      <c r="H114" s="370"/>
      <c r="I114" s="370"/>
      <c r="J114" s="370"/>
      <c r="K114" s="370"/>
      <c r="L114" s="370"/>
      <c r="M114" s="370"/>
      <c r="N114" s="370"/>
    </row>
    <row r="115" spans="2:14">
      <c r="B115" s="370"/>
      <c r="C115" s="371"/>
      <c r="D115" s="370"/>
      <c r="E115" s="371"/>
      <c r="F115" s="371"/>
      <c r="G115" s="370"/>
      <c r="H115" s="370"/>
      <c r="I115" s="370"/>
      <c r="J115" s="370"/>
      <c r="K115" s="370"/>
      <c r="L115" s="370"/>
      <c r="M115" s="370"/>
      <c r="N115" s="370"/>
    </row>
    <row r="116" spans="2:14">
      <c r="B116" s="370"/>
      <c r="C116" s="371"/>
      <c r="D116" s="370"/>
      <c r="E116" s="371"/>
      <c r="F116" s="371"/>
      <c r="G116" s="370"/>
      <c r="H116" s="370"/>
      <c r="I116" s="370"/>
      <c r="J116" s="370"/>
      <c r="K116" s="370"/>
      <c r="L116" s="370"/>
      <c r="M116" s="370"/>
      <c r="N116" s="370"/>
    </row>
    <row r="117" spans="2:14">
      <c r="B117" s="370"/>
      <c r="C117" s="371"/>
      <c r="D117" s="370"/>
      <c r="E117" s="371"/>
      <c r="F117" s="371"/>
      <c r="G117" s="370"/>
      <c r="H117" s="370"/>
      <c r="I117" s="370"/>
      <c r="J117" s="370"/>
      <c r="K117" s="370"/>
      <c r="L117" s="370"/>
      <c r="M117" s="370"/>
      <c r="N117" s="370"/>
    </row>
    <row r="118" spans="2:14">
      <c r="B118" s="370"/>
      <c r="C118" s="371"/>
      <c r="D118" s="370"/>
      <c r="E118" s="371"/>
      <c r="F118" s="371"/>
      <c r="G118" s="370"/>
      <c r="H118" s="370"/>
      <c r="I118" s="370"/>
      <c r="J118" s="370"/>
      <c r="K118" s="370"/>
      <c r="L118" s="370"/>
      <c r="M118" s="370"/>
      <c r="N118" s="370"/>
    </row>
    <row r="119" spans="2:14">
      <c r="B119" s="370"/>
      <c r="C119" s="371"/>
      <c r="D119" s="370"/>
      <c r="E119" s="371"/>
      <c r="F119" s="371"/>
      <c r="G119" s="370"/>
      <c r="H119" s="370"/>
      <c r="I119" s="370"/>
      <c r="J119" s="370"/>
      <c r="K119" s="370"/>
    </row>
    <row r="120" spans="2:14">
      <c r="B120" s="370"/>
      <c r="C120" s="371"/>
      <c r="D120" s="370"/>
      <c r="E120" s="371"/>
      <c r="F120" s="371"/>
      <c r="G120" s="370"/>
      <c r="H120" s="370"/>
      <c r="I120" s="370"/>
      <c r="J120" s="370"/>
      <c r="K120" s="370"/>
    </row>
    <row r="121" spans="2:14">
      <c r="B121" s="370"/>
      <c r="C121" s="371"/>
      <c r="D121" s="370"/>
      <c r="E121" s="371"/>
      <c r="F121" s="371"/>
      <c r="G121" s="370"/>
      <c r="H121" s="370"/>
      <c r="I121" s="370"/>
      <c r="J121" s="370"/>
      <c r="K121" s="370"/>
    </row>
    <row r="122" spans="2:14">
      <c r="B122" s="370"/>
      <c r="C122" s="371"/>
      <c r="D122" s="370"/>
      <c r="E122" s="371"/>
      <c r="F122" s="371"/>
      <c r="G122" s="370"/>
      <c r="H122" s="370"/>
      <c r="I122" s="370"/>
      <c r="J122" s="370"/>
      <c r="K122" s="370"/>
    </row>
    <row r="123" spans="2:14">
      <c r="B123" s="370"/>
      <c r="C123" s="371"/>
      <c r="D123" s="370"/>
      <c r="E123" s="371"/>
      <c r="F123" s="371"/>
      <c r="G123" s="370"/>
      <c r="H123" s="370"/>
      <c r="I123" s="370"/>
      <c r="J123" s="370"/>
      <c r="K123" s="370"/>
    </row>
    <row r="124" spans="2:14">
      <c r="B124" s="370"/>
      <c r="C124" s="371"/>
      <c r="D124" s="370"/>
      <c r="E124" s="371"/>
      <c r="F124" s="371"/>
      <c r="G124" s="370"/>
      <c r="H124" s="370"/>
      <c r="I124" s="370"/>
      <c r="J124" s="370"/>
      <c r="K124" s="370"/>
    </row>
    <row r="125" spans="2:14">
      <c r="B125" s="370"/>
      <c r="C125" s="371"/>
      <c r="D125" s="370"/>
      <c r="E125" s="371"/>
      <c r="F125" s="371"/>
      <c r="G125" s="370"/>
      <c r="H125" s="370"/>
      <c r="I125" s="370"/>
      <c r="J125" s="370"/>
      <c r="K125" s="370"/>
    </row>
  </sheetData>
  <sheetProtection sheet="1" objects="1" scenarios="1"/>
  <customSheetViews>
    <customSheetView guid="{95B84344-25FE-4A71-9083-825DAB5E8F01}" fitToPage="1">
      <selection activeCell="C15" sqref="C15"/>
      <pageMargins left="0" right="0" top="0" bottom="0" header="0" footer="0"/>
      <printOptions horizontalCentered="1"/>
      <pageSetup paperSize="9" scale="16" orientation="portrait" blackAndWhite="1" horizontalDpi="300" verticalDpi="300" r:id="rId1"/>
      <headerFooter>
        <oddFooter>&amp;L&amp;F&amp;R&amp;A</oddFooter>
      </headerFooter>
    </customSheetView>
  </customSheetViews>
  <mergeCells count="4">
    <mergeCell ref="F1:F2"/>
    <mergeCell ref="E1:E2"/>
    <mergeCell ref="B1:B2"/>
    <mergeCell ref="C1:C2"/>
  </mergeCells>
  <printOptions horizontalCentered="1"/>
  <pageMargins left="0.23622047244094491" right="0.23622047244094491" top="0.74803149606299213" bottom="0.74803149606299213" header="0.31496062992125984" footer="0.31496062992125984"/>
  <pageSetup paperSize="9" fitToHeight="0" orientation="landscape" horizontalDpi="300" verticalDpi="300" r:id="rId2"/>
  <headerFooter>
    <oddHeader>&amp;C&amp;A</oddHeader>
  </headerFooter>
  <rowBreaks count="1" manualBreakCount="1">
    <brk id="29"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79998168889431442"/>
    <pageSetUpPr fitToPage="1"/>
  </sheetPr>
  <dimension ref="A1:AF100"/>
  <sheetViews>
    <sheetView zoomScale="80" zoomScaleNormal="80" workbookViewId="0">
      <pane xSplit="4" ySplit="3" topLeftCell="E48" activePane="bottomRight" state="frozenSplit"/>
      <selection pane="topRight"/>
      <selection pane="bottomLeft"/>
      <selection pane="bottomRight" activeCell="H65" sqref="H65"/>
    </sheetView>
  </sheetViews>
  <sheetFormatPr defaultColWidth="8.84375" defaultRowHeight="15.5"/>
  <cols>
    <col min="1" max="1" width="2.84375" style="33" customWidth="1"/>
    <col min="2" max="2" width="46.53515625" style="123" customWidth="1"/>
    <col min="3" max="3" width="23.07421875" style="123" customWidth="1"/>
    <col min="4" max="4" width="30.4609375" style="123" hidden="1" customWidth="1"/>
    <col min="5" max="6" width="12.23046875" style="33" customWidth="1"/>
    <col min="7" max="7" width="2.69140625" style="33" customWidth="1"/>
    <col min="8" max="29" width="13.3046875" style="33" customWidth="1"/>
    <col min="30" max="30" width="5.3046875" style="33" customWidth="1"/>
    <col min="31" max="16384" width="8.84375" style="33"/>
  </cols>
  <sheetData>
    <row r="1" spans="1:32" ht="46" customHeight="1">
      <c r="A1" s="10"/>
      <c r="B1" s="362" t="s">
        <v>545</v>
      </c>
      <c r="C1" s="362" t="s">
        <v>546</v>
      </c>
      <c r="D1" s="362" t="s">
        <v>547</v>
      </c>
      <c r="E1" s="34" t="s">
        <v>248</v>
      </c>
      <c r="F1" s="34" t="s">
        <v>248</v>
      </c>
      <c r="G1" s="34"/>
      <c r="H1" s="363" t="s">
        <v>548</v>
      </c>
      <c r="I1" s="363"/>
      <c r="J1" s="363" t="s">
        <v>549</v>
      </c>
      <c r="K1" s="363"/>
      <c r="L1" s="363" t="s">
        <v>550</v>
      </c>
      <c r="M1" s="363"/>
      <c r="N1" s="363" t="s">
        <v>551</v>
      </c>
      <c r="O1" s="363"/>
      <c r="P1" s="363" t="s">
        <v>379</v>
      </c>
      <c r="Q1" s="363"/>
      <c r="R1" s="363" t="s">
        <v>552</v>
      </c>
      <c r="S1" s="363"/>
      <c r="T1" s="363" t="s">
        <v>553</v>
      </c>
      <c r="U1" s="363"/>
      <c r="V1" s="363" t="s">
        <v>554</v>
      </c>
      <c r="W1" s="363"/>
      <c r="X1" s="363" t="s">
        <v>449</v>
      </c>
      <c r="Y1" s="363"/>
      <c r="Z1" s="363" t="s">
        <v>555</v>
      </c>
      <c r="AA1" s="363"/>
      <c r="AB1" s="363" t="s">
        <v>385</v>
      </c>
      <c r="AC1" s="363"/>
      <c r="AD1" s="10"/>
    </row>
    <row r="2" spans="1:32" ht="29.15" customHeight="1">
      <c r="A2" s="10"/>
      <c r="B2" s="362"/>
      <c r="C2" s="362"/>
      <c r="D2" s="362"/>
      <c r="E2" s="112" t="s">
        <v>396</v>
      </c>
      <c r="F2" s="112" t="s">
        <v>556</v>
      </c>
      <c r="G2" s="111"/>
      <c r="H2" s="34" t="s">
        <v>396</v>
      </c>
      <c r="I2" s="34" t="s">
        <v>397</v>
      </c>
      <c r="J2" s="34" t="s">
        <v>396</v>
      </c>
      <c r="K2" s="34" t="s">
        <v>397</v>
      </c>
      <c r="L2" s="34" t="s">
        <v>396</v>
      </c>
      <c r="M2" s="34" t="s">
        <v>397</v>
      </c>
      <c r="N2" s="34" t="s">
        <v>396</v>
      </c>
      <c r="O2" s="34" t="s">
        <v>397</v>
      </c>
      <c r="P2" s="34" t="s">
        <v>396</v>
      </c>
      <c r="Q2" s="34" t="s">
        <v>397</v>
      </c>
      <c r="R2" s="34" t="s">
        <v>396</v>
      </c>
      <c r="S2" s="34" t="s">
        <v>397</v>
      </c>
      <c r="T2" s="34" t="s">
        <v>396</v>
      </c>
      <c r="U2" s="34" t="s">
        <v>397</v>
      </c>
      <c r="V2" s="34" t="s">
        <v>396</v>
      </c>
      <c r="W2" s="34" t="s">
        <v>397</v>
      </c>
      <c r="X2" s="34" t="s">
        <v>396</v>
      </c>
      <c r="Y2" s="34" t="s">
        <v>397</v>
      </c>
      <c r="Z2" s="34" t="s">
        <v>396</v>
      </c>
      <c r="AA2" s="34" t="s">
        <v>397</v>
      </c>
      <c r="AB2" s="34" t="s">
        <v>396</v>
      </c>
      <c r="AC2" s="34" t="s">
        <v>397</v>
      </c>
      <c r="AD2" s="11"/>
    </row>
    <row r="3" spans="1:32" ht="33" customHeight="1">
      <c r="A3" s="364"/>
      <c r="B3" s="31" t="s">
        <v>557</v>
      </c>
      <c r="C3" s="31" t="s">
        <v>546</v>
      </c>
      <c r="D3" s="31" t="s">
        <v>547</v>
      </c>
      <c r="E3" s="82" t="s">
        <v>398</v>
      </c>
      <c r="F3" s="82" t="s">
        <v>398</v>
      </c>
      <c r="G3" s="115"/>
      <c r="H3" s="82" t="s">
        <v>398</v>
      </c>
      <c r="I3" s="82" t="s">
        <v>398</v>
      </c>
      <c r="J3" s="82" t="s">
        <v>398</v>
      </c>
      <c r="K3" s="82" t="s">
        <v>398</v>
      </c>
      <c r="L3" s="82" t="s">
        <v>398</v>
      </c>
      <c r="M3" s="82" t="s">
        <v>398</v>
      </c>
      <c r="N3" s="82" t="s">
        <v>398</v>
      </c>
      <c r="O3" s="82" t="s">
        <v>398</v>
      </c>
      <c r="P3" s="82" t="s">
        <v>398</v>
      </c>
      <c r="Q3" s="82" t="s">
        <v>398</v>
      </c>
      <c r="R3" s="82" t="s">
        <v>398</v>
      </c>
      <c r="S3" s="82" t="s">
        <v>398</v>
      </c>
      <c r="T3" s="82" t="s">
        <v>398</v>
      </c>
      <c r="U3" s="82" t="s">
        <v>398</v>
      </c>
      <c r="V3" s="82" t="s">
        <v>398</v>
      </c>
      <c r="W3" s="82" t="s">
        <v>398</v>
      </c>
      <c r="X3" s="82" t="s">
        <v>398</v>
      </c>
      <c r="Y3" s="82" t="s">
        <v>398</v>
      </c>
      <c r="Z3" s="82" t="s">
        <v>398</v>
      </c>
      <c r="AA3" s="82" t="s">
        <v>398</v>
      </c>
      <c r="AB3" s="82" t="s">
        <v>398</v>
      </c>
      <c r="AC3" s="82" t="s">
        <v>398</v>
      </c>
      <c r="AD3" s="11"/>
    </row>
    <row r="4" spans="1:32" ht="20.149999999999999" customHeight="1">
      <c r="A4" s="365" t="str">
        <f>IF(AND(SUM(E4:F4)&lt;&gt;0,B4=""),"Please ensure all items are labelled","")</f>
        <v/>
      </c>
      <c r="B4" s="320" t="s">
        <v>558</v>
      </c>
      <c r="C4" s="366" t="s">
        <v>408</v>
      </c>
      <c r="D4" s="366" t="s">
        <v>559</v>
      </c>
      <c r="E4" s="21">
        <f>H4+J4+L4+N4+P4+R4+T4+V4+X4+Z4+AB4</f>
        <v>0</v>
      </c>
      <c r="F4" s="21">
        <f>I4+K4+M4+O4+Q4+S4+U4+W4+Y4+AA4+AC4</f>
        <v>0</v>
      </c>
      <c r="G4" s="367"/>
      <c r="H4" s="228"/>
      <c r="I4" s="228"/>
      <c r="J4" s="228"/>
      <c r="K4" s="228"/>
      <c r="L4" s="228"/>
      <c r="M4" s="228"/>
      <c r="N4" s="228"/>
      <c r="O4" s="228"/>
      <c r="P4" s="228"/>
      <c r="Q4" s="228"/>
      <c r="R4" s="228"/>
      <c r="S4" s="228"/>
      <c r="T4" s="228"/>
      <c r="U4" s="228"/>
      <c r="V4" s="228"/>
      <c r="W4" s="228"/>
      <c r="X4" s="228"/>
      <c r="Y4" s="228"/>
      <c r="Z4" s="228"/>
      <c r="AA4" s="228"/>
      <c r="AB4" s="228"/>
      <c r="AC4" s="228"/>
      <c r="AD4" s="10"/>
      <c r="AE4" s="14" t="str">
        <f>IF(COUNTA(H4:AD4)&lt;&gt;COUNT(H4:AD4),"Please remove any text entries, enter numeric values only","")</f>
        <v/>
      </c>
      <c r="AF4" s="33" t="str">
        <f>IF(AND(B4="",OR(E4&lt;&gt;0,F4&lt;&gt;0)),"Please label all entries","")</f>
        <v/>
      </c>
    </row>
    <row r="5" spans="1:32" ht="20.149999999999999" customHeight="1">
      <c r="A5" s="365" t="e">
        <f>IF(AND(SUM(#REF!)&lt;&gt;0,B5=""),"Please ensure all items are labelled","")</f>
        <v>#REF!</v>
      </c>
      <c r="B5" s="320" t="s">
        <v>560</v>
      </c>
      <c r="C5" s="366" t="s">
        <v>408</v>
      </c>
      <c r="D5" s="366" t="s">
        <v>561</v>
      </c>
      <c r="E5" s="21">
        <f t="shared" ref="E5:E64" si="0">H5+J5+L5+N5+P5+R5+T5+V5+X5+Z5+AB5</f>
        <v>0</v>
      </c>
      <c r="F5" s="21">
        <f t="shared" ref="F5:F64" si="1">I5+K5+M5+O5+Q5+S5+U5+W5+Y5+AA5+AC5</f>
        <v>0</v>
      </c>
      <c r="G5" s="367"/>
      <c r="H5" s="228"/>
      <c r="I5" s="228"/>
      <c r="J5" s="228"/>
      <c r="K5" s="228"/>
      <c r="L5" s="228"/>
      <c r="M5" s="228"/>
      <c r="N5" s="228"/>
      <c r="O5" s="228"/>
      <c r="P5" s="228"/>
      <c r="Q5" s="228"/>
      <c r="R5" s="228"/>
      <c r="S5" s="228"/>
      <c r="T5" s="228"/>
      <c r="U5" s="228"/>
      <c r="V5" s="228"/>
      <c r="W5" s="228"/>
      <c r="X5" s="228"/>
      <c r="Y5" s="228"/>
      <c r="Z5" s="228"/>
      <c r="AA5" s="228"/>
      <c r="AB5" s="228"/>
      <c r="AC5" s="228"/>
      <c r="AD5" s="10"/>
      <c r="AE5" s="14" t="str">
        <f t="shared" ref="AE5:AE64" si="2">IF(COUNTA(H5:AD5)&lt;&gt;COUNT(H5:AD5),"Please remove any text entries, enter numeric values only","")</f>
        <v/>
      </c>
      <c r="AF5" s="33" t="str">
        <f t="shared" ref="AF5:AF64" si="3">IF(AND(B5="",OR(E5&lt;&gt;0,F5&lt;&gt;0)),"Please label all entries","")</f>
        <v/>
      </c>
    </row>
    <row r="6" spans="1:32" ht="20.149999999999999" customHeight="1">
      <c r="A6" s="365" t="e">
        <f>IF(AND(SUM(#REF!)&lt;&gt;0,#REF!=""),"Please ensure all items are labelled","")</f>
        <v>#REF!</v>
      </c>
      <c r="B6" s="320" t="s">
        <v>562</v>
      </c>
      <c r="C6" s="366" t="s">
        <v>411</v>
      </c>
      <c r="D6" s="366" t="s">
        <v>563</v>
      </c>
      <c r="E6" s="21">
        <f t="shared" si="0"/>
        <v>0</v>
      </c>
      <c r="F6" s="21">
        <f t="shared" si="1"/>
        <v>0</v>
      </c>
      <c r="G6" s="367"/>
      <c r="H6" s="228"/>
      <c r="I6" s="228"/>
      <c r="J6" s="228"/>
      <c r="K6" s="228"/>
      <c r="L6" s="228"/>
      <c r="M6" s="228"/>
      <c r="N6" s="228"/>
      <c r="O6" s="228"/>
      <c r="P6" s="228"/>
      <c r="Q6" s="228"/>
      <c r="R6" s="228"/>
      <c r="S6" s="228"/>
      <c r="T6" s="228"/>
      <c r="U6" s="228"/>
      <c r="V6" s="228"/>
      <c r="W6" s="228"/>
      <c r="X6" s="228"/>
      <c r="Y6" s="228"/>
      <c r="Z6" s="228"/>
      <c r="AA6" s="228"/>
      <c r="AB6" s="228"/>
      <c r="AC6" s="228"/>
      <c r="AD6" s="10"/>
      <c r="AE6" s="14" t="str">
        <f t="shared" si="2"/>
        <v/>
      </c>
      <c r="AF6" s="33" t="str">
        <f t="shared" si="3"/>
        <v/>
      </c>
    </row>
    <row r="7" spans="1:32" ht="20.149999999999999" customHeight="1">
      <c r="A7" s="365" t="e">
        <f>IF(AND(SUM(#REF!)&lt;&gt;0,#REF!=""),"Please ensure all items are labelled","")</f>
        <v>#REF!</v>
      </c>
      <c r="B7" s="320" t="s">
        <v>564</v>
      </c>
      <c r="C7" s="366" t="s">
        <v>411</v>
      </c>
      <c r="D7" s="366" t="s">
        <v>565</v>
      </c>
      <c r="E7" s="21">
        <f t="shared" si="0"/>
        <v>0</v>
      </c>
      <c r="F7" s="21">
        <f t="shared" si="1"/>
        <v>0</v>
      </c>
      <c r="G7" s="367"/>
      <c r="H7" s="228"/>
      <c r="I7" s="228"/>
      <c r="J7" s="228"/>
      <c r="K7" s="228"/>
      <c r="L7" s="228"/>
      <c r="M7" s="228"/>
      <c r="N7" s="228"/>
      <c r="O7" s="228"/>
      <c r="P7" s="228"/>
      <c r="Q7" s="228"/>
      <c r="R7" s="228"/>
      <c r="S7" s="228"/>
      <c r="T7" s="228"/>
      <c r="U7" s="228"/>
      <c r="V7" s="228"/>
      <c r="W7" s="228"/>
      <c r="X7" s="228"/>
      <c r="Y7" s="228"/>
      <c r="Z7" s="228"/>
      <c r="AA7" s="228"/>
      <c r="AB7" s="228"/>
      <c r="AC7" s="228"/>
      <c r="AD7" s="10"/>
      <c r="AE7" s="14" t="str">
        <f t="shared" si="2"/>
        <v/>
      </c>
      <c r="AF7" s="33" t="str">
        <f t="shared" si="3"/>
        <v/>
      </c>
    </row>
    <row r="8" spans="1:32" ht="20.149999999999999" customHeight="1">
      <c r="A8" s="365" t="e">
        <f>IF(AND(SUM(#REF!)&lt;&gt;0,B8=""),"Please ensure all items are labelled","")</f>
        <v>#REF!</v>
      </c>
      <c r="B8" s="229" t="s">
        <v>566</v>
      </c>
      <c r="C8" s="229" t="s">
        <v>411</v>
      </c>
      <c r="D8" s="366" t="s">
        <v>567</v>
      </c>
      <c r="E8" s="21">
        <f t="shared" si="0"/>
        <v>394.99</v>
      </c>
      <c r="F8" s="21">
        <f t="shared" si="1"/>
        <v>394.99</v>
      </c>
      <c r="G8" s="367"/>
      <c r="H8" s="228"/>
      <c r="I8" s="228"/>
      <c r="J8" s="228">
        <v>394.99</v>
      </c>
      <c r="K8" s="228">
        <f>J8</f>
        <v>394.99</v>
      </c>
      <c r="L8" s="228"/>
      <c r="M8" s="228"/>
      <c r="N8" s="228"/>
      <c r="O8" s="228"/>
      <c r="P8" s="228"/>
      <c r="Q8" s="228"/>
      <c r="R8" s="228"/>
      <c r="S8" s="228"/>
      <c r="T8" s="228"/>
      <c r="U8" s="228"/>
      <c r="V8" s="228"/>
      <c r="W8" s="228"/>
      <c r="X8" s="228"/>
      <c r="Y8" s="228"/>
      <c r="Z8" s="228"/>
      <c r="AA8" s="228"/>
      <c r="AB8" s="228"/>
      <c r="AC8" s="228"/>
      <c r="AD8" s="10"/>
      <c r="AE8" s="14" t="str">
        <f t="shared" si="2"/>
        <v/>
      </c>
      <c r="AF8" s="33" t="str">
        <f t="shared" si="3"/>
        <v/>
      </c>
    </row>
    <row r="9" spans="1:32" ht="20.149999999999999" customHeight="1">
      <c r="A9" s="365" t="e">
        <f>IF(AND(SUM(#REF!)&lt;&gt;0,B9=""),"Please ensure all items are labelled","")</f>
        <v>#REF!</v>
      </c>
      <c r="B9" s="229" t="s">
        <v>568</v>
      </c>
      <c r="C9" s="229" t="s">
        <v>411</v>
      </c>
      <c r="D9" s="366" t="s">
        <v>567</v>
      </c>
      <c r="E9" s="21">
        <f t="shared" si="0"/>
        <v>500</v>
      </c>
      <c r="F9" s="21">
        <f t="shared" si="1"/>
        <v>500</v>
      </c>
      <c r="G9" s="367"/>
      <c r="H9" s="228"/>
      <c r="I9" s="228"/>
      <c r="J9" s="228">
        <v>500</v>
      </c>
      <c r="K9" s="228">
        <f t="shared" ref="K9:K20" si="4">J9</f>
        <v>500</v>
      </c>
      <c r="L9" s="228"/>
      <c r="M9" s="228"/>
      <c r="N9" s="228"/>
      <c r="O9" s="228"/>
      <c r="P9" s="228"/>
      <c r="Q9" s="228"/>
      <c r="R9" s="228"/>
      <c r="S9" s="228"/>
      <c r="T9" s="228"/>
      <c r="U9" s="228"/>
      <c r="V9" s="228"/>
      <c r="W9" s="228"/>
      <c r="X9" s="228"/>
      <c r="Y9" s="228"/>
      <c r="Z9" s="228"/>
      <c r="AA9" s="228"/>
      <c r="AB9" s="228"/>
      <c r="AC9" s="228"/>
      <c r="AD9" s="10"/>
      <c r="AE9" s="14" t="str">
        <f t="shared" si="2"/>
        <v/>
      </c>
      <c r="AF9" s="33" t="str">
        <f t="shared" si="3"/>
        <v/>
      </c>
    </row>
    <row r="10" spans="1:32" ht="20.149999999999999" customHeight="1">
      <c r="A10" s="365" t="e">
        <f>IF(AND(SUM(#REF!)&lt;&gt;0,B10=""),"Please ensure all items are labelled","")</f>
        <v>#REF!</v>
      </c>
      <c r="B10" s="229" t="s">
        <v>569</v>
      </c>
      <c r="C10" s="229" t="s">
        <v>411</v>
      </c>
      <c r="D10" s="366" t="s">
        <v>565</v>
      </c>
      <c r="E10" s="21">
        <f t="shared" si="0"/>
        <v>57.999999999999993</v>
      </c>
      <c r="F10" s="21">
        <f t="shared" si="1"/>
        <v>57.999999999999993</v>
      </c>
      <c r="G10" s="367"/>
      <c r="H10" s="228"/>
      <c r="I10" s="228"/>
      <c r="J10" s="228">
        <v>57.999999999999993</v>
      </c>
      <c r="K10" s="228">
        <f t="shared" si="4"/>
        <v>57.999999999999993</v>
      </c>
      <c r="L10" s="228"/>
      <c r="M10" s="228"/>
      <c r="N10" s="228"/>
      <c r="O10" s="228"/>
      <c r="P10" s="228"/>
      <c r="Q10" s="228"/>
      <c r="R10" s="228"/>
      <c r="S10" s="228"/>
      <c r="T10" s="228"/>
      <c r="U10" s="228"/>
      <c r="V10" s="228"/>
      <c r="W10" s="228"/>
      <c r="X10" s="228"/>
      <c r="Y10" s="228"/>
      <c r="Z10" s="228"/>
      <c r="AA10" s="228"/>
      <c r="AB10" s="228"/>
      <c r="AC10" s="228"/>
      <c r="AD10" s="10"/>
      <c r="AE10" s="14" t="str">
        <f t="shared" si="2"/>
        <v/>
      </c>
      <c r="AF10" s="33" t="str">
        <f t="shared" si="3"/>
        <v/>
      </c>
    </row>
    <row r="11" spans="1:32" ht="20.149999999999999" customHeight="1">
      <c r="A11" s="365" t="e">
        <f>IF(AND(SUM(#REF!)&lt;&gt;0,B11=""),"Please ensure all items are labelled","")</f>
        <v>#REF!</v>
      </c>
      <c r="B11" s="229" t="s">
        <v>570</v>
      </c>
      <c r="C11" s="229" t="s">
        <v>411</v>
      </c>
      <c r="D11" s="368"/>
      <c r="E11" s="21">
        <f t="shared" si="0"/>
        <v>134.85900000000001</v>
      </c>
      <c r="F11" s="21">
        <f t="shared" si="1"/>
        <v>134.85900000000001</v>
      </c>
      <c r="G11" s="367"/>
      <c r="H11" s="228"/>
      <c r="I11" s="228"/>
      <c r="J11" s="228">
        <v>134.85900000000001</v>
      </c>
      <c r="K11" s="228">
        <f t="shared" si="4"/>
        <v>134.85900000000001</v>
      </c>
      <c r="L11" s="228"/>
      <c r="M11" s="228"/>
      <c r="N11" s="228"/>
      <c r="O11" s="228"/>
      <c r="P11" s="228"/>
      <c r="Q11" s="228"/>
      <c r="R11" s="228"/>
      <c r="S11" s="228"/>
      <c r="T11" s="228"/>
      <c r="U11" s="228"/>
      <c r="V11" s="228"/>
      <c r="W11" s="228"/>
      <c r="X11" s="228"/>
      <c r="Y11" s="228"/>
      <c r="Z11" s="228"/>
      <c r="AA11" s="228"/>
      <c r="AB11" s="228"/>
      <c r="AC11" s="228"/>
      <c r="AD11" s="10"/>
      <c r="AE11" s="14" t="str">
        <f t="shared" si="2"/>
        <v/>
      </c>
      <c r="AF11" s="33" t="str">
        <f t="shared" si="3"/>
        <v/>
      </c>
    </row>
    <row r="12" spans="1:32" ht="20.149999999999999" customHeight="1">
      <c r="A12" s="365" t="e">
        <f>IF(AND(SUM(#REF!)&lt;&gt;0,B12=""),"Please ensure all items are labelled","")</f>
        <v>#REF!</v>
      </c>
      <c r="B12" s="229" t="s">
        <v>571</v>
      </c>
      <c r="C12" s="229" t="s">
        <v>411</v>
      </c>
      <c r="D12" s="368"/>
      <c r="E12" s="21">
        <f t="shared" si="0"/>
        <v>79.805000000000007</v>
      </c>
      <c r="F12" s="21">
        <f t="shared" si="1"/>
        <v>79.805000000000007</v>
      </c>
      <c r="G12" s="367"/>
      <c r="H12" s="228"/>
      <c r="I12" s="228"/>
      <c r="J12" s="228">
        <v>79.805000000000007</v>
      </c>
      <c r="K12" s="228">
        <f t="shared" si="4"/>
        <v>79.805000000000007</v>
      </c>
      <c r="L12" s="228"/>
      <c r="M12" s="228"/>
      <c r="N12" s="228"/>
      <c r="O12" s="228"/>
      <c r="P12" s="228"/>
      <c r="Q12" s="228"/>
      <c r="R12" s="228"/>
      <c r="S12" s="228"/>
      <c r="T12" s="228"/>
      <c r="U12" s="228"/>
      <c r="V12" s="228"/>
      <c r="W12" s="228"/>
      <c r="X12" s="228"/>
      <c r="Y12" s="228"/>
      <c r="Z12" s="228"/>
      <c r="AA12" s="228"/>
      <c r="AB12" s="228"/>
      <c r="AC12" s="228"/>
      <c r="AD12" s="10"/>
      <c r="AE12" s="14" t="str">
        <f t="shared" si="2"/>
        <v/>
      </c>
      <c r="AF12" s="33" t="str">
        <f t="shared" si="3"/>
        <v/>
      </c>
    </row>
    <row r="13" spans="1:32" ht="20.149999999999999" customHeight="1">
      <c r="A13" s="365" t="e">
        <f>IF(AND(SUM(#REF!)&lt;&gt;0,B13=""),"Please ensure all items are labelled","")</f>
        <v>#REF!</v>
      </c>
      <c r="B13" s="229" t="s">
        <v>572</v>
      </c>
      <c r="C13" s="229" t="s">
        <v>411</v>
      </c>
      <c r="D13" s="368"/>
      <c r="E13" s="21">
        <f t="shared" si="0"/>
        <v>-341.00000000000017</v>
      </c>
      <c r="F13" s="21">
        <f t="shared" si="1"/>
        <v>-341.00000000000017</v>
      </c>
      <c r="G13" s="367"/>
      <c r="H13" s="228"/>
      <c r="I13" s="228"/>
      <c r="J13" s="228">
        <v>-341.00000000000017</v>
      </c>
      <c r="K13" s="228">
        <f t="shared" si="4"/>
        <v>-341.00000000000017</v>
      </c>
      <c r="L13" s="228"/>
      <c r="M13" s="228"/>
      <c r="N13" s="228"/>
      <c r="O13" s="228"/>
      <c r="P13" s="228"/>
      <c r="Q13" s="228"/>
      <c r="R13" s="228"/>
      <c r="S13" s="228"/>
      <c r="T13" s="228"/>
      <c r="U13" s="228"/>
      <c r="V13" s="228"/>
      <c r="W13" s="228"/>
      <c r="X13" s="228"/>
      <c r="Y13" s="228"/>
      <c r="Z13" s="228"/>
      <c r="AA13" s="228"/>
      <c r="AB13" s="228"/>
      <c r="AC13" s="228"/>
      <c r="AD13" s="10"/>
      <c r="AE13" s="14" t="str">
        <f t="shared" si="2"/>
        <v/>
      </c>
      <c r="AF13" s="33" t="str">
        <f t="shared" si="3"/>
        <v/>
      </c>
    </row>
    <row r="14" spans="1:32" ht="20.149999999999999" customHeight="1">
      <c r="A14" s="365" t="e">
        <f>IF(AND(SUM(#REF!)&lt;&gt;0,B14=""),"Please ensure all items are labelled","")</f>
        <v>#REF!</v>
      </c>
      <c r="B14" s="229" t="s">
        <v>573</v>
      </c>
      <c r="C14" s="229" t="s">
        <v>411</v>
      </c>
      <c r="D14" s="368"/>
      <c r="E14" s="21">
        <f t="shared" si="0"/>
        <v>3.609</v>
      </c>
      <c r="F14" s="21">
        <f t="shared" si="1"/>
        <v>3.609</v>
      </c>
      <c r="G14" s="367"/>
      <c r="H14" s="228"/>
      <c r="I14" s="228"/>
      <c r="J14" s="228">
        <v>3.609</v>
      </c>
      <c r="K14" s="228">
        <f t="shared" si="4"/>
        <v>3.609</v>
      </c>
      <c r="L14" s="228"/>
      <c r="M14" s="228"/>
      <c r="N14" s="228"/>
      <c r="O14" s="228"/>
      <c r="P14" s="228"/>
      <c r="Q14" s="228"/>
      <c r="R14" s="228"/>
      <c r="S14" s="228"/>
      <c r="T14" s="228"/>
      <c r="U14" s="228"/>
      <c r="V14" s="228"/>
      <c r="W14" s="228"/>
      <c r="X14" s="228"/>
      <c r="Y14" s="228"/>
      <c r="Z14" s="228"/>
      <c r="AA14" s="228"/>
      <c r="AB14" s="228"/>
      <c r="AC14" s="228"/>
      <c r="AD14" s="10"/>
      <c r="AE14" s="14" t="str">
        <f t="shared" si="2"/>
        <v/>
      </c>
      <c r="AF14" s="33" t="str">
        <f t="shared" si="3"/>
        <v/>
      </c>
    </row>
    <row r="15" spans="1:32" ht="20.149999999999999" customHeight="1">
      <c r="A15" s="365" t="e">
        <f>IF(AND(SUM(#REF!)&lt;&gt;0,B15=""),"Please ensure all items are labelled","")</f>
        <v>#REF!</v>
      </c>
      <c r="B15" s="229" t="s">
        <v>574</v>
      </c>
      <c r="C15" s="229" t="s">
        <v>411</v>
      </c>
      <c r="D15" s="368"/>
      <c r="E15" s="21">
        <f t="shared" si="0"/>
        <v>100</v>
      </c>
      <c r="F15" s="21">
        <f t="shared" si="1"/>
        <v>100</v>
      </c>
      <c r="G15" s="367"/>
      <c r="H15" s="228"/>
      <c r="I15" s="228"/>
      <c r="J15" s="228">
        <v>100</v>
      </c>
      <c r="K15" s="228">
        <f t="shared" si="4"/>
        <v>100</v>
      </c>
      <c r="L15" s="228"/>
      <c r="M15" s="228"/>
      <c r="N15" s="228"/>
      <c r="O15" s="228"/>
      <c r="P15" s="228"/>
      <c r="Q15" s="228"/>
      <c r="R15" s="228"/>
      <c r="S15" s="228"/>
      <c r="T15" s="228"/>
      <c r="U15" s="228"/>
      <c r="V15" s="228"/>
      <c r="W15" s="228"/>
      <c r="X15" s="228"/>
      <c r="Y15" s="228"/>
      <c r="Z15" s="228"/>
      <c r="AA15" s="228"/>
      <c r="AB15" s="228"/>
      <c r="AC15" s="228"/>
      <c r="AD15" s="10"/>
      <c r="AE15" s="14" t="str">
        <f t="shared" si="2"/>
        <v/>
      </c>
      <c r="AF15" s="33" t="str">
        <f t="shared" si="3"/>
        <v/>
      </c>
    </row>
    <row r="16" spans="1:32" ht="20.149999999999999" customHeight="1">
      <c r="A16" s="365" t="e">
        <f>IF(AND(SUM(#REF!)&lt;&gt;0,B16=""),"Please ensure all items are labelled","")</f>
        <v>#REF!</v>
      </c>
      <c r="B16" s="229" t="s">
        <v>575</v>
      </c>
      <c r="C16" s="229" t="s">
        <v>411</v>
      </c>
      <c r="D16" s="368"/>
      <c r="E16" s="21">
        <f t="shared" si="0"/>
        <v>248</v>
      </c>
      <c r="F16" s="21">
        <f t="shared" si="1"/>
        <v>248</v>
      </c>
      <c r="G16" s="367"/>
      <c r="H16" s="228"/>
      <c r="I16" s="228"/>
      <c r="J16" s="228">
        <v>248</v>
      </c>
      <c r="K16" s="228">
        <f t="shared" si="4"/>
        <v>248</v>
      </c>
      <c r="L16" s="228"/>
      <c r="M16" s="228"/>
      <c r="N16" s="228"/>
      <c r="O16" s="228"/>
      <c r="P16" s="228"/>
      <c r="Q16" s="228"/>
      <c r="R16" s="228"/>
      <c r="S16" s="228"/>
      <c r="T16" s="228"/>
      <c r="U16" s="228"/>
      <c r="V16" s="228"/>
      <c r="W16" s="228"/>
      <c r="X16" s="228"/>
      <c r="Y16" s="228"/>
      <c r="Z16" s="228"/>
      <c r="AA16" s="228"/>
      <c r="AB16" s="228"/>
      <c r="AC16" s="228"/>
      <c r="AD16" s="10"/>
      <c r="AE16" s="14" t="str">
        <f t="shared" si="2"/>
        <v/>
      </c>
      <c r="AF16" s="33" t="str">
        <f t="shared" si="3"/>
        <v/>
      </c>
    </row>
    <row r="17" spans="1:32" ht="20.149999999999999" customHeight="1">
      <c r="A17" s="365" t="e">
        <f>IF(AND(SUM(#REF!)&lt;&gt;0,B17=""),"Please ensure all items are labelled","")</f>
        <v>#REF!</v>
      </c>
      <c r="B17" s="229" t="s">
        <v>576</v>
      </c>
      <c r="C17" s="229" t="s">
        <v>411</v>
      </c>
      <c r="D17" s="368"/>
      <c r="E17" s="21">
        <f t="shared" si="0"/>
        <v>481</v>
      </c>
      <c r="F17" s="21">
        <f t="shared" si="1"/>
        <v>481</v>
      </c>
      <c r="G17" s="367"/>
      <c r="H17" s="228">
        <v>275</v>
      </c>
      <c r="I17" s="228">
        <f>H17</f>
        <v>275</v>
      </c>
      <c r="J17" s="228">
        <v>206</v>
      </c>
      <c r="K17" s="228">
        <f t="shared" si="4"/>
        <v>206</v>
      </c>
      <c r="L17" s="228"/>
      <c r="M17" s="228"/>
      <c r="N17" s="228"/>
      <c r="O17" s="228"/>
      <c r="P17" s="228"/>
      <c r="Q17" s="228"/>
      <c r="R17" s="228"/>
      <c r="S17" s="228"/>
      <c r="T17" s="228"/>
      <c r="U17" s="228"/>
      <c r="V17" s="228"/>
      <c r="W17" s="228"/>
      <c r="X17" s="228"/>
      <c r="Y17" s="228"/>
      <c r="Z17" s="228"/>
      <c r="AA17" s="228"/>
      <c r="AB17" s="228"/>
      <c r="AC17" s="228"/>
      <c r="AD17" s="10"/>
      <c r="AE17" s="14" t="str">
        <f t="shared" si="2"/>
        <v/>
      </c>
      <c r="AF17" s="33" t="str">
        <f t="shared" si="3"/>
        <v/>
      </c>
    </row>
    <row r="18" spans="1:32" ht="20.149999999999999" customHeight="1">
      <c r="A18" s="365" t="e">
        <f>IF(AND(SUM(#REF!)&lt;&gt;0,B18=""),"Please ensure all items are labelled","")</f>
        <v>#REF!</v>
      </c>
      <c r="B18" s="229" t="s">
        <v>577</v>
      </c>
      <c r="C18" s="229" t="s">
        <v>411</v>
      </c>
      <c r="D18" s="368"/>
      <c r="E18" s="21">
        <f t="shared" si="0"/>
        <v>438</v>
      </c>
      <c r="F18" s="21">
        <f t="shared" si="1"/>
        <v>438</v>
      </c>
      <c r="G18" s="367"/>
      <c r="H18" s="228"/>
      <c r="I18" s="228"/>
      <c r="J18" s="228">
        <v>438</v>
      </c>
      <c r="K18" s="228">
        <f t="shared" si="4"/>
        <v>438</v>
      </c>
      <c r="L18" s="228"/>
      <c r="M18" s="228"/>
      <c r="N18" s="228"/>
      <c r="O18" s="228"/>
      <c r="P18" s="228"/>
      <c r="Q18" s="228"/>
      <c r="R18" s="228"/>
      <c r="S18" s="228"/>
      <c r="T18" s="228"/>
      <c r="U18" s="228"/>
      <c r="V18" s="228"/>
      <c r="W18" s="228"/>
      <c r="X18" s="228"/>
      <c r="Y18" s="228"/>
      <c r="Z18" s="228"/>
      <c r="AA18" s="228"/>
      <c r="AB18" s="228"/>
      <c r="AC18" s="228"/>
      <c r="AD18" s="10"/>
      <c r="AE18" s="14" t="str">
        <f t="shared" si="2"/>
        <v/>
      </c>
      <c r="AF18" s="33" t="str">
        <f t="shared" si="3"/>
        <v/>
      </c>
    </row>
    <row r="19" spans="1:32" ht="20.149999999999999" customHeight="1">
      <c r="A19" s="365" t="e">
        <f>IF(AND(SUM(#REF!)&lt;&gt;0,B19=""),"Please ensure all items are labelled","")</f>
        <v>#REF!</v>
      </c>
      <c r="B19" s="229" t="s">
        <v>578</v>
      </c>
      <c r="C19" s="229" t="s">
        <v>411</v>
      </c>
      <c r="D19" s="368"/>
      <c r="E19" s="21">
        <f t="shared" si="0"/>
        <v>350</v>
      </c>
      <c r="F19" s="21">
        <f t="shared" si="1"/>
        <v>350</v>
      </c>
      <c r="G19" s="367"/>
      <c r="H19" s="228"/>
      <c r="I19" s="228"/>
      <c r="J19" s="228">
        <v>350</v>
      </c>
      <c r="K19" s="228">
        <f t="shared" si="4"/>
        <v>350</v>
      </c>
      <c r="L19" s="228"/>
      <c r="M19" s="228"/>
      <c r="N19" s="228"/>
      <c r="O19" s="228"/>
      <c r="P19" s="228"/>
      <c r="Q19" s="228"/>
      <c r="R19" s="228"/>
      <c r="S19" s="228"/>
      <c r="T19" s="228"/>
      <c r="U19" s="228"/>
      <c r="V19" s="228"/>
      <c r="W19" s="228"/>
      <c r="X19" s="228"/>
      <c r="Y19" s="228"/>
      <c r="Z19" s="228"/>
      <c r="AA19" s="228"/>
      <c r="AB19" s="228"/>
      <c r="AC19" s="228"/>
      <c r="AD19" s="10"/>
      <c r="AE19" s="14" t="str">
        <f t="shared" si="2"/>
        <v/>
      </c>
      <c r="AF19" s="33" t="str">
        <f t="shared" si="3"/>
        <v/>
      </c>
    </row>
    <row r="20" spans="1:32" ht="20.149999999999999" customHeight="1">
      <c r="A20" s="365" t="e">
        <f>IF(AND(SUM(#REF!)&lt;&gt;0,B20=""),"Please ensure all items are labelled","")</f>
        <v>#REF!</v>
      </c>
      <c r="B20" s="229" t="s">
        <v>579</v>
      </c>
      <c r="C20" s="229" t="s">
        <v>408</v>
      </c>
      <c r="D20" s="368"/>
      <c r="E20" s="21">
        <f t="shared" si="0"/>
        <v>5618</v>
      </c>
      <c r="F20" s="21">
        <f t="shared" si="1"/>
        <v>5618</v>
      </c>
      <c r="G20" s="367"/>
      <c r="H20" s="228"/>
      <c r="I20" s="228"/>
      <c r="J20" s="228">
        <v>5618</v>
      </c>
      <c r="K20" s="228">
        <f t="shared" si="4"/>
        <v>5618</v>
      </c>
      <c r="L20" s="228"/>
      <c r="M20" s="228"/>
      <c r="N20" s="228"/>
      <c r="O20" s="228"/>
      <c r="P20" s="228"/>
      <c r="Q20" s="228"/>
      <c r="R20" s="228"/>
      <c r="S20" s="228"/>
      <c r="T20" s="228"/>
      <c r="U20" s="228"/>
      <c r="V20" s="228"/>
      <c r="W20" s="228"/>
      <c r="X20" s="228"/>
      <c r="Y20" s="228"/>
      <c r="Z20" s="228"/>
      <c r="AA20" s="228"/>
      <c r="AB20" s="228"/>
      <c r="AC20" s="228"/>
      <c r="AD20" s="10"/>
      <c r="AE20" s="14" t="str">
        <f t="shared" si="2"/>
        <v/>
      </c>
      <c r="AF20" s="33" t="str">
        <f t="shared" si="3"/>
        <v/>
      </c>
    </row>
    <row r="21" spans="1:32" ht="20.149999999999999" customHeight="1">
      <c r="A21" s="365" t="e">
        <f>IF(AND(SUM(#REF!)&lt;&gt;0,B21=""),"Please ensure all items are labelled","")</f>
        <v>#REF!</v>
      </c>
      <c r="B21" s="229" t="s">
        <v>580</v>
      </c>
      <c r="C21" s="229" t="s">
        <v>408</v>
      </c>
      <c r="D21" s="368"/>
      <c r="E21" s="21">
        <f t="shared" si="0"/>
        <v>2000</v>
      </c>
      <c r="F21" s="21">
        <f t="shared" si="1"/>
        <v>2000</v>
      </c>
      <c r="G21" s="367"/>
      <c r="H21" s="228"/>
      <c r="I21" s="228"/>
      <c r="J21" s="228"/>
      <c r="K21" s="228"/>
      <c r="L21" s="228">
        <v>2000</v>
      </c>
      <c r="M21" s="228">
        <f>L21</f>
        <v>2000</v>
      </c>
      <c r="N21" s="228"/>
      <c r="O21" s="228"/>
      <c r="P21" s="228"/>
      <c r="Q21" s="228"/>
      <c r="R21" s="228"/>
      <c r="S21" s="228"/>
      <c r="T21" s="228"/>
      <c r="U21" s="228"/>
      <c r="V21" s="228"/>
      <c r="W21" s="228"/>
      <c r="X21" s="228"/>
      <c r="Y21" s="228"/>
      <c r="Z21" s="228"/>
      <c r="AA21" s="228"/>
      <c r="AB21" s="228"/>
      <c r="AC21" s="228"/>
      <c r="AD21" s="10"/>
      <c r="AE21" s="14" t="str">
        <f t="shared" si="2"/>
        <v/>
      </c>
      <c r="AF21" s="33" t="str">
        <f t="shared" si="3"/>
        <v/>
      </c>
    </row>
    <row r="22" spans="1:32" ht="20.149999999999999" customHeight="1">
      <c r="A22" s="365" t="e">
        <f>IF(AND(SUM(#REF!)&lt;&gt;0,B22=""),"Please ensure all items are labelled","")</f>
        <v>#REF!</v>
      </c>
      <c r="B22" s="229" t="s">
        <v>581</v>
      </c>
      <c r="C22" s="229" t="s">
        <v>408</v>
      </c>
      <c r="D22" s="368"/>
      <c r="E22" s="21">
        <f t="shared" si="0"/>
        <v>1000</v>
      </c>
      <c r="F22" s="21">
        <f t="shared" si="1"/>
        <v>1000</v>
      </c>
      <c r="G22" s="367"/>
      <c r="H22" s="228"/>
      <c r="I22" s="228"/>
      <c r="J22" s="228"/>
      <c r="K22" s="228"/>
      <c r="L22" s="228"/>
      <c r="M22" s="228"/>
      <c r="N22" s="228">
        <v>1000</v>
      </c>
      <c r="O22" s="228">
        <f>N22</f>
        <v>1000</v>
      </c>
      <c r="P22" s="228"/>
      <c r="Q22" s="228"/>
      <c r="R22" s="228"/>
      <c r="S22" s="228"/>
      <c r="T22" s="228"/>
      <c r="U22" s="228"/>
      <c r="V22" s="228"/>
      <c r="W22" s="228"/>
      <c r="X22" s="228"/>
      <c r="Y22" s="228"/>
      <c r="Z22" s="228"/>
      <c r="AA22" s="228"/>
      <c r="AB22" s="228"/>
      <c r="AC22" s="228"/>
      <c r="AD22" s="10"/>
      <c r="AE22" s="14" t="str">
        <f t="shared" si="2"/>
        <v/>
      </c>
      <c r="AF22" s="33" t="str">
        <f t="shared" si="3"/>
        <v/>
      </c>
    </row>
    <row r="23" spans="1:32" ht="20.149999999999999" customHeight="1">
      <c r="A23" s="365" t="e">
        <f>IF(AND(SUM(#REF!)&lt;&gt;0,B23=""),"Please ensure all items are labelled","")</f>
        <v>#REF!</v>
      </c>
      <c r="B23" s="229" t="s">
        <v>582</v>
      </c>
      <c r="C23" s="229" t="s">
        <v>408</v>
      </c>
      <c r="D23" s="368"/>
      <c r="E23" s="21">
        <f t="shared" si="0"/>
        <v>1000</v>
      </c>
      <c r="F23" s="21">
        <f t="shared" si="1"/>
        <v>1000</v>
      </c>
      <c r="G23" s="367"/>
      <c r="H23" s="228"/>
      <c r="I23" s="228"/>
      <c r="J23" s="228"/>
      <c r="K23" s="228"/>
      <c r="L23" s="228"/>
      <c r="M23" s="228"/>
      <c r="N23" s="228">
        <v>1000</v>
      </c>
      <c r="O23" s="228">
        <f>N23</f>
        <v>1000</v>
      </c>
      <c r="P23" s="228"/>
      <c r="Q23" s="228"/>
      <c r="R23" s="228"/>
      <c r="S23" s="228"/>
      <c r="T23" s="228"/>
      <c r="U23" s="228"/>
      <c r="V23" s="228"/>
      <c r="W23" s="228"/>
      <c r="X23" s="228"/>
      <c r="Y23" s="228"/>
      <c r="Z23" s="228"/>
      <c r="AA23" s="228"/>
      <c r="AB23" s="228"/>
      <c r="AC23" s="228"/>
      <c r="AD23" s="10"/>
      <c r="AE23" s="14" t="str">
        <f t="shared" si="2"/>
        <v/>
      </c>
      <c r="AF23" s="33" t="str">
        <f t="shared" si="3"/>
        <v/>
      </c>
    </row>
    <row r="24" spans="1:32" ht="20.149999999999999" customHeight="1">
      <c r="A24" s="365" t="e">
        <f>IF(AND(SUM(#REF!)&lt;&gt;0,B24=""),"Please ensure all items are labelled","")</f>
        <v>#REF!</v>
      </c>
      <c r="B24" s="229" t="s">
        <v>583</v>
      </c>
      <c r="C24" s="229" t="s">
        <v>408</v>
      </c>
      <c r="D24" s="368"/>
      <c r="E24" s="21">
        <f t="shared" si="0"/>
        <v>3644</v>
      </c>
      <c r="F24" s="21">
        <f t="shared" si="1"/>
        <v>3644</v>
      </c>
      <c r="G24" s="367"/>
      <c r="H24" s="228"/>
      <c r="I24" s="228"/>
      <c r="J24" s="228"/>
      <c r="K24" s="228"/>
      <c r="L24" s="228"/>
      <c r="M24" s="228"/>
      <c r="N24" s="228"/>
      <c r="O24" s="228"/>
      <c r="P24" s="228">
        <v>3644</v>
      </c>
      <c r="Q24" s="228">
        <f>P24</f>
        <v>3644</v>
      </c>
      <c r="R24" s="228"/>
      <c r="S24" s="228"/>
      <c r="T24" s="228"/>
      <c r="U24" s="228"/>
      <c r="V24" s="228"/>
      <c r="W24" s="228"/>
      <c r="X24" s="228"/>
      <c r="Y24" s="228"/>
      <c r="Z24" s="228"/>
      <c r="AA24" s="228"/>
      <c r="AB24" s="228"/>
      <c r="AC24" s="228"/>
      <c r="AD24" s="10"/>
      <c r="AE24" s="14" t="str">
        <f t="shared" si="2"/>
        <v/>
      </c>
      <c r="AF24" s="33" t="str">
        <f t="shared" si="3"/>
        <v/>
      </c>
    </row>
    <row r="25" spans="1:32" ht="20.149999999999999" customHeight="1">
      <c r="A25" s="365" t="e">
        <f>IF(AND(SUM(#REF!)&lt;&gt;0,B25=""),"Please ensure all items are labelled","")</f>
        <v>#REF!</v>
      </c>
      <c r="B25" s="229" t="s">
        <v>584</v>
      </c>
      <c r="C25" s="229" t="s">
        <v>408</v>
      </c>
      <c r="D25" s="368"/>
      <c r="E25" s="21">
        <f t="shared" si="0"/>
        <v>4260</v>
      </c>
      <c r="F25" s="21">
        <f t="shared" si="1"/>
        <v>4260</v>
      </c>
      <c r="G25" s="367"/>
      <c r="H25" s="228"/>
      <c r="I25" s="228"/>
      <c r="J25" s="228"/>
      <c r="K25" s="228"/>
      <c r="L25" s="228"/>
      <c r="M25" s="228"/>
      <c r="N25" s="228"/>
      <c r="O25" s="228"/>
      <c r="P25" s="228">
        <v>4260</v>
      </c>
      <c r="Q25" s="228">
        <f>P25</f>
        <v>4260</v>
      </c>
      <c r="R25" s="228"/>
      <c r="S25" s="228"/>
      <c r="T25" s="228"/>
      <c r="U25" s="228"/>
      <c r="V25" s="228"/>
      <c r="W25" s="228"/>
      <c r="X25" s="228"/>
      <c r="Y25" s="228"/>
      <c r="Z25" s="228"/>
      <c r="AA25" s="228"/>
      <c r="AB25" s="228"/>
      <c r="AC25" s="228"/>
      <c r="AD25" s="10"/>
      <c r="AE25" s="14" t="str">
        <f t="shared" si="2"/>
        <v/>
      </c>
      <c r="AF25" s="33" t="str">
        <f t="shared" si="3"/>
        <v/>
      </c>
    </row>
    <row r="26" spans="1:32" ht="20.149999999999999" customHeight="1">
      <c r="A26" s="365" t="e">
        <f>IF(AND(SUM(#REF!)&lt;&gt;0,B26=""),"Please ensure all items are labelled","")</f>
        <v>#REF!</v>
      </c>
      <c r="B26" s="229" t="s">
        <v>585</v>
      </c>
      <c r="C26" s="229" t="s">
        <v>408</v>
      </c>
      <c r="D26" s="368"/>
      <c r="E26" s="21">
        <f t="shared" si="0"/>
        <v>3200</v>
      </c>
      <c r="F26" s="21">
        <f t="shared" si="1"/>
        <v>3200</v>
      </c>
      <c r="G26" s="367"/>
      <c r="H26" s="228"/>
      <c r="I26" s="228"/>
      <c r="J26" s="228"/>
      <c r="K26" s="228"/>
      <c r="L26" s="228"/>
      <c r="M26" s="228"/>
      <c r="N26" s="228"/>
      <c r="O26" s="228"/>
      <c r="P26" s="228"/>
      <c r="Q26" s="228"/>
      <c r="R26" s="228"/>
      <c r="S26" s="228"/>
      <c r="T26" s="228">
        <v>3200</v>
      </c>
      <c r="U26" s="228">
        <f>T26</f>
        <v>3200</v>
      </c>
      <c r="V26" s="228"/>
      <c r="W26" s="228"/>
      <c r="X26" s="228"/>
      <c r="Y26" s="228"/>
      <c r="Z26" s="228"/>
      <c r="AA26" s="228"/>
      <c r="AB26" s="228"/>
      <c r="AC26" s="228"/>
      <c r="AD26" s="10"/>
      <c r="AE26" s="14" t="str">
        <f t="shared" si="2"/>
        <v/>
      </c>
      <c r="AF26" s="33" t="str">
        <f t="shared" si="3"/>
        <v/>
      </c>
    </row>
    <row r="27" spans="1:32" ht="20.149999999999999" customHeight="1">
      <c r="A27" s="365" t="e">
        <f>IF(AND(SUM(#REF!)&lt;&gt;0,B27=""),"Please ensure all items are labelled","")</f>
        <v>#REF!</v>
      </c>
      <c r="B27" s="229" t="s">
        <v>586</v>
      </c>
      <c r="C27" s="229" t="s">
        <v>408</v>
      </c>
      <c r="D27" s="368"/>
      <c r="E27" s="21">
        <f t="shared" si="0"/>
        <v>1223.3333333333333</v>
      </c>
      <c r="F27" s="21">
        <f t="shared" si="1"/>
        <v>1223.3333333333333</v>
      </c>
      <c r="G27" s="367"/>
      <c r="H27" s="228"/>
      <c r="I27" s="228"/>
      <c r="J27" s="228"/>
      <c r="K27" s="228"/>
      <c r="L27" s="228"/>
      <c r="M27" s="228"/>
      <c r="N27" s="228"/>
      <c r="O27" s="228"/>
      <c r="P27" s="228"/>
      <c r="Q27" s="228"/>
      <c r="R27" s="228"/>
      <c r="S27" s="228"/>
      <c r="T27" s="228">
        <v>1223.3333333333333</v>
      </c>
      <c r="U27" s="228">
        <f>T27</f>
        <v>1223.3333333333333</v>
      </c>
      <c r="V27" s="228"/>
      <c r="W27" s="228"/>
      <c r="X27" s="228"/>
      <c r="Y27" s="228"/>
      <c r="Z27" s="228"/>
      <c r="AA27" s="228"/>
      <c r="AB27" s="228"/>
      <c r="AC27" s="228"/>
      <c r="AD27" s="10"/>
      <c r="AE27" s="14" t="str">
        <f t="shared" si="2"/>
        <v/>
      </c>
      <c r="AF27" s="33" t="str">
        <f t="shared" si="3"/>
        <v/>
      </c>
    </row>
    <row r="28" spans="1:32" ht="20.149999999999999" customHeight="1">
      <c r="A28" s="365" t="e">
        <f>IF(AND(SUM(#REF!)&lt;&gt;0,B28=""),"Please ensure all items are labelled","")</f>
        <v>#REF!</v>
      </c>
      <c r="B28" s="229" t="s">
        <v>580</v>
      </c>
      <c r="C28" s="229" t="s">
        <v>408</v>
      </c>
      <c r="D28" s="368"/>
      <c r="E28" s="21">
        <f t="shared" si="0"/>
        <v>4986.9996553860965</v>
      </c>
      <c r="F28" s="21">
        <f t="shared" si="1"/>
        <v>4986.9996553860965</v>
      </c>
      <c r="G28" s="367"/>
      <c r="H28" s="228"/>
      <c r="I28" s="228"/>
      <c r="J28" s="228"/>
      <c r="K28" s="228"/>
      <c r="L28" s="228">
        <v>4986.9996553860965</v>
      </c>
      <c r="M28" s="228">
        <f>L28</f>
        <v>4986.9996553860965</v>
      </c>
      <c r="N28" s="228"/>
      <c r="O28" s="228"/>
      <c r="P28" s="228"/>
      <c r="Q28" s="228"/>
      <c r="R28" s="228"/>
      <c r="S28" s="228"/>
      <c r="T28" s="228"/>
      <c r="U28" s="228"/>
      <c r="V28" s="228"/>
      <c r="W28" s="228"/>
      <c r="X28" s="228"/>
      <c r="Y28" s="228"/>
      <c r="Z28" s="228"/>
      <c r="AA28" s="228"/>
      <c r="AB28" s="228"/>
      <c r="AC28" s="228"/>
      <c r="AD28" s="10"/>
      <c r="AE28" s="14" t="str">
        <f t="shared" si="2"/>
        <v/>
      </c>
      <c r="AF28" s="33" t="str">
        <f t="shared" si="3"/>
        <v/>
      </c>
    </row>
    <row r="29" spans="1:32" ht="20.149999999999999" customHeight="1">
      <c r="A29" s="365" t="e">
        <f>IF(AND(SUM(#REF!)&lt;&gt;0,B29=""),"Please ensure all items are labelled","")</f>
        <v>#REF!</v>
      </c>
      <c r="B29" s="229" t="s">
        <v>587</v>
      </c>
      <c r="C29" s="229" t="s">
        <v>408</v>
      </c>
      <c r="D29" s="368"/>
      <c r="E29" s="21">
        <f t="shared" si="0"/>
        <v>2700</v>
      </c>
      <c r="F29" s="21">
        <f t="shared" si="1"/>
        <v>2700</v>
      </c>
      <c r="G29" s="367"/>
      <c r="H29" s="228"/>
      <c r="I29" s="228"/>
      <c r="J29" s="228"/>
      <c r="K29" s="228"/>
      <c r="L29" s="228"/>
      <c r="M29" s="228"/>
      <c r="N29" s="228">
        <v>2700</v>
      </c>
      <c r="O29" s="228">
        <f>N29</f>
        <v>2700</v>
      </c>
      <c r="P29" s="228"/>
      <c r="Q29" s="228"/>
      <c r="R29" s="228"/>
      <c r="S29" s="228"/>
      <c r="T29" s="228"/>
      <c r="U29" s="228"/>
      <c r="V29" s="228"/>
      <c r="W29" s="228"/>
      <c r="X29" s="228"/>
      <c r="Y29" s="228"/>
      <c r="Z29" s="228"/>
      <c r="AA29" s="228"/>
      <c r="AB29" s="228"/>
      <c r="AC29" s="228"/>
      <c r="AD29" s="10"/>
      <c r="AE29" s="14" t="str">
        <f t="shared" si="2"/>
        <v/>
      </c>
      <c r="AF29" s="33" t="str">
        <f t="shared" si="3"/>
        <v/>
      </c>
    </row>
    <row r="30" spans="1:32" ht="20.149999999999999" customHeight="1">
      <c r="A30" s="365" t="e">
        <f>IF(AND(SUM(#REF!)&lt;&gt;0,B30=""),"Please ensure all items are labelled","")</f>
        <v>#REF!</v>
      </c>
      <c r="B30" s="229" t="s">
        <v>583</v>
      </c>
      <c r="C30" s="229" t="s">
        <v>408</v>
      </c>
      <c r="D30" s="368"/>
      <c r="E30" s="21">
        <f t="shared" si="0"/>
        <v>1200</v>
      </c>
      <c r="F30" s="21">
        <f t="shared" si="1"/>
        <v>1200</v>
      </c>
      <c r="G30" s="367"/>
      <c r="H30" s="228"/>
      <c r="I30" s="228"/>
      <c r="J30" s="228"/>
      <c r="K30" s="228"/>
      <c r="L30" s="228"/>
      <c r="M30" s="228"/>
      <c r="N30" s="228"/>
      <c r="O30" s="228"/>
      <c r="P30" s="228">
        <v>1200</v>
      </c>
      <c r="Q30" s="228">
        <f>P30</f>
        <v>1200</v>
      </c>
      <c r="R30" s="228"/>
      <c r="S30" s="228"/>
      <c r="T30" s="228"/>
      <c r="U30" s="228"/>
      <c r="V30" s="228"/>
      <c r="W30" s="228"/>
      <c r="X30" s="228"/>
      <c r="Y30" s="228"/>
      <c r="Z30" s="228"/>
      <c r="AA30" s="228"/>
      <c r="AB30" s="228"/>
      <c r="AC30" s="228"/>
      <c r="AD30" s="10"/>
      <c r="AE30" s="14" t="str">
        <f t="shared" si="2"/>
        <v/>
      </c>
      <c r="AF30" s="33" t="str">
        <f t="shared" si="3"/>
        <v/>
      </c>
    </row>
    <row r="31" spans="1:32" ht="20.149999999999999" customHeight="1">
      <c r="A31" s="365" t="e">
        <f>IF(AND(SUM(#REF!)&lt;&gt;0,B31=""),"Please ensure all items are labelled","")</f>
        <v>#REF!</v>
      </c>
      <c r="B31" s="229" t="s">
        <v>588</v>
      </c>
      <c r="C31" s="229" t="s">
        <v>408</v>
      </c>
      <c r="D31" s="368"/>
      <c r="E31" s="21">
        <f t="shared" si="0"/>
        <v>1675</v>
      </c>
      <c r="F31" s="21">
        <f t="shared" si="1"/>
        <v>1675</v>
      </c>
      <c r="G31" s="367"/>
      <c r="H31" s="228"/>
      <c r="I31" s="228"/>
      <c r="J31" s="228"/>
      <c r="K31" s="228"/>
      <c r="L31" s="228"/>
      <c r="M31" s="228"/>
      <c r="N31" s="228"/>
      <c r="O31" s="228"/>
      <c r="P31" s="228">
        <v>1675</v>
      </c>
      <c r="Q31" s="228">
        <f>P31</f>
        <v>1675</v>
      </c>
      <c r="R31" s="228"/>
      <c r="S31" s="228"/>
      <c r="T31" s="228"/>
      <c r="U31" s="228"/>
      <c r="V31" s="228"/>
      <c r="W31" s="228"/>
      <c r="X31" s="228"/>
      <c r="Y31" s="228"/>
      <c r="Z31" s="228"/>
      <c r="AA31" s="228"/>
      <c r="AB31" s="228"/>
      <c r="AC31" s="228"/>
      <c r="AD31" s="10"/>
      <c r="AE31" s="14" t="str">
        <f t="shared" si="2"/>
        <v/>
      </c>
      <c r="AF31" s="33" t="str">
        <f t="shared" si="3"/>
        <v/>
      </c>
    </row>
    <row r="32" spans="1:32" ht="20.149999999999999" customHeight="1">
      <c r="A32" s="365" t="e">
        <f>IF(AND(SUM(#REF!)&lt;&gt;0,B32=""),"Please ensure all items are labelled","")</f>
        <v>#REF!</v>
      </c>
      <c r="B32" s="229" t="s">
        <v>589</v>
      </c>
      <c r="C32" s="229" t="s">
        <v>410</v>
      </c>
      <c r="D32" s="368"/>
      <c r="E32" s="21">
        <f t="shared" si="0"/>
        <v>2800</v>
      </c>
      <c r="F32" s="21">
        <f t="shared" si="1"/>
        <v>2800</v>
      </c>
      <c r="G32" s="367"/>
      <c r="H32" s="228"/>
      <c r="I32" s="228"/>
      <c r="J32" s="228"/>
      <c r="K32" s="228"/>
      <c r="L32" s="228"/>
      <c r="M32" s="228"/>
      <c r="N32" s="228"/>
      <c r="O32" s="228"/>
      <c r="P32" s="228"/>
      <c r="Q32" s="228"/>
      <c r="R32" s="228"/>
      <c r="S32" s="228"/>
      <c r="T32" s="228">
        <v>2800</v>
      </c>
      <c r="U32" s="228">
        <f>T32</f>
        <v>2800</v>
      </c>
      <c r="V32" s="228"/>
      <c r="W32" s="228"/>
      <c r="X32" s="228"/>
      <c r="Y32" s="228"/>
      <c r="Z32" s="228"/>
      <c r="AA32" s="228"/>
      <c r="AB32" s="228"/>
      <c r="AC32" s="228"/>
      <c r="AD32" s="10"/>
      <c r="AE32" s="14" t="str">
        <f t="shared" si="2"/>
        <v/>
      </c>
      <c r="AF32" s="33" t="str">
        <f t="shared" si="3"/>
        <v/>
      </c>
    </row>
    <row r="33" spans="1:32" ht="20.149999999999999" customHeight="1">
      <c r="A33" s="365" t="e">
        <f>IF(AND(SUM(#REF!)&lt;&gt;0,B33=""),"Please ensure all items are labelled","")</f>
        <v>#REF!</v>
      </c>
      <c r="B33" s="229" t="s">
        <v>590</v>
      </c>
      <c r="C33" s="229" t="s">
        <v>410</v>
      </c>
      <c r="D33" s="368"/>
      <c r="E33" s="21">
        <f t="shared" si="0"/>
        <v>500</v>
      </c>
      <c r="F33" s="21">
        <f t="shared" si="1"/>
        <v>500</v>
      </c>
      <c r="G33" s="367"/>
      <c r="H33" s="228"/>
      <c r="I33" s="228"/>
      <c r="J33" s="228"/>
      <c r="K33" s="228"/>
      <c r="L33" s="228"/>
      <c r="M33" s="228"/>
      <c r="N33" s="228"/>
      <c r="O33" s="228"/>
      <c r="P33" s="228"/>
      <c r="Q33" s="228"/>
      <c r="R33" s="228"/>
      <c r="S33" s="228"/>
      <c r="T33" s="228">
        <v>500</v>
      </c>
      <c r="U33" s="228">
        <f>T33</f>
        <v>500</v>
      </c>
      <c r="V33" s="228"/>
      <c r="W33" s="228"/>
      <c r="X33" s="228"/>
      <c r="Y33" s="228"/>
      <c r="Z33" s="228"/>
      <c r="AA33" s="228"/>
      <c r="AB33" s="228"/>
      <c r="AC33" s="228"/>
      <c r="AD33" s="10"/>
      <c r="AE33" s="14" t="str">
        <f t="shared" si="2"/>
        <v/>
      </c>
      <c r="AF33" s="33" t="str">
        <f t="shared" si="3"/>
        <v/>
      </c>
    </row>
    <row r="34" spans="1:32" ht="20.149999999999999" customHeight="1">
      <c r="A34" s="365" t="e">
        <f>IF(AND(SUM(#REF!)&lt;&gt;0,B34=""),"Please ensure all items are labelled","")</f>
        <v>#REF!</v>
      </c>
      <c r="B34" s="229" t="s">
        <v>591</v>
      </c>
      <c r="C34" s="229"/>
      <c r="D34" s="368"/>
      <c r="E34" s="21">
        <f t="shared" si="0"/>
        <v>0</v>
      </c>
      <c r="F34" s="21">
        <f t="shared" si="1"/>
        <v>0</v>
      </c>
      <c r="G34" s="367"/>
      <c r="H34" s="228"/>
      <c r="I34" s="228"/>
      <c r="J34" s="228"/>
      <c r="K34" s="228"/>
      <c r="L34" s="228"/>
      <c r="M34" s="228"/>
      <c r="N34" s="228"/>
      <c r="O34" s="228"/>
      <c r="P34" s="228"/>
      <c r="Q34" s="228"/>
      <c r="R34" s="228"/>
      <c r="S34" s="228"/>
      <c r="T34" s="228"/>
      <c r="U34" s="228"/>
      <c r="V34" s="228"/>
      <c r="W34" s="228"/>
      <c r="X34" s="228"/>
      <c r="Y34" s="228"/>
      <c r="Z34" s="228"/>
      <c r="AA34" s="228"/>
      <c r="AB34" s="228"/>
      <c r="AC34" s="228"/>
      <c r="AD34" s="10"/>
      <c r="AE34" s="14" t="str">
        <f t="shared" si="2"/>
        <v/>
      </c>
      <c r="AF34" s="33" t="str">
        <f t="shared" si="3"/>
        <v/>
      </c>
    </row>
    <row r="35" spans="1:32" ht="20.149999999999999" customHeight="1">
      <c r="A35" s="365" t="e">
        <f>IF(AND(SUM(#REF!)&lt;&gt;0,B35=""),"Please ensure all items are labelled","")</f>
        <v>#REF!</v>
      </c>
      <c r="B35" s="229" t="s">
        <v>592</v>
      </c>
      <c r="C35" s="229"/>
      <c r="D35" s="368"/>
      <c r="E35" s="21">
        <f t="shared" si="0"/>
        <v>0</v>
      </c>
      <c r="F35" s="21">
        <f t="shared" si="1"/>
        <v>0</v>
      </c>
      <c r="G35" s="367"/>
      <c r="H35" s="228"/>
      <c r="I35" s="228"/>
      <c r="J35" s="228"/>
      <c r="K35" s="228"/>
      <c r="L35" s="228"/>
      <c r="M35" s="228"/>
      <c r="N35" s="228"/>
      <c r="O35" s="228"/>
      <c r="P35" s="228"/>
      <c r="Q35" s="228"/>
      <c r="R35" s="228"/>
      <c r="S35" s="228"/>
      <c r="T35" s="228"/>
      <c r="U35" s="228"/>
      <c r="V35" s="228"/>
      <c r="W35" s="228"/>
      <c r="X35" s="228"/>
      <c r="Y35" s="228"/>
      <c r="Z35" s="228"/>
      <c r="AA35" s="228"/>
      <c r="AB35" s="228"/>
      <c r="AC35" s="228"/>
      <c r="AD35" s="10"/>
      <c r="AE35" s="14" t="str">
        <f t="shared" si="2"/>
        <v/>
      </c>
      <c r="AF35" s="33" t="str">
        <f t="shared" si="3"/>
        <v/>
      </c>
    </row>
    <row r="36" spans="1:32" ht="20.149999999999999" customHeight="1">
      <c r="A36" s="365" t="e">
        <f>IF(AND(SUM(#REF!)&lt;&gt;0,B36=""),"Please ensure all items are labelled","")</f>
        <v>#REF!</v>
      </c>
      <c r="B36" s="229" t="s">
        <v>593</v>
      </c>
      <c r="C36" s="229"/>
      <c r="D36" s="368"/>
      <c r="E36" s="21">
        <f t="shared" si="0"/>
        <v>0</v>
      </c>
      <c r="F36" s="21">
        <f t="shared" si="1"/>
        <v>0</v>
      </c>
      <c r="G36" s="367"/>
      <c r="H36" s="228"/>
      <c r="I36" s="228"/>
      <c r="J36" s="228">
        <v>0</v>
      </c>
      <c r="K36" s="228">
        <f>J36</f>
        <v>0</v>
      </c>
      <c r="L36" s="228"/>
      <c r="M36" s="228"/>
      <c r="N36" s="228"/>
      <c r="O36" s="228"/>
      <c r="P36" s="228"/>
      <c r="Q36" s="228"/>
      <c r="R36" s="228"/>
      <c r="S36" s="228"/>
      <c r="T36" s="228"/>
      <c r="U36" s="228"/>
      <c r="V36" s="228"/>
      <c r="W36" s="228"/>
      <c r="X36" s="228"/>
      <c r="Y36" s="228"/>
      <c r="Z36" s="228"/>
      <c r="AA36" s="228"/>
      <c r="AB36" s="228"/>
      <c r="AC36" s="228"/>
      <c r="AD36" s="10"/>
      <c r="AE36" s="14" t="str">
        <f t="shared" si="2"/>
        <v/>
      </c>
      <c r="AF36" s="33" t="str">
        <f t="shared" si="3"/>
        <v/>
      </c>
    </row>
    <row r="37" spans="1:32" ht="20.149999999999999" customHeight="1">
      <c r="A37" s="365" t="e">
        <f>IF(AND(SUM(#REF!)&lt;&gt;0,B37=""),"Please ensure all items are labelled","")</f>
        <v>#REF!</v>
      </c>
      <c r="B37" s="229" t="s">
        <v>594</v>
      </c>
      <c r="C37" s="229" t="s">
        <v>408</v>
      </c>
      <c r="D37" s="368"/>
      <c r="E37" s="21">
        <f t="shared" si="0"/>
        <v>3600</v>
      </c>
      <c r="F37" s="21">
        <f t="shared" si="1"/>
        <v>3600</v>
      </c>
      <c r="G37" s="367"/>
      <c r="H37" s="228"/>
      <c r="I37" s="228"/>
      <c r="J37" s="228">
        <v>3600</v>
      </c>
      <c r="K37" s="228">
        <f>J37</f>
        <v>3600</v>
      </c>
      <c r="L37" s="228"/>
      <c r="M37" s="228"/>
      <c r="N37" s="228"/>
      <c r="O37" s="228"/>
      <c r="P37" s="228"/>
      <c r="Q37" s="228"/>
      <c r="R37" s="228"/>
      <c r="S37" s="228"/>
      <c r="T37" s="228"/>
      <c r="U37" s="228"/>
      <c r="V37" s="228"/>
      <c r="W37" s="228"/>
      <c r="X37" s="228"/>
      <c r="Y37" s="228"/>
      <c r="Z37" s="228"/>
      <c r="AA37" s="228"/>
      <c r="AB37" s="228"/>
      <c r="AC37" s="228"/>
      <c r="AD37" s="10"/>
      <c r="AE37" s="14" t="str">
        <f t="shared" si="2"/>
        <v/>
      </c>
      <c r="AF37" s="33" t="str">
        <f t="shared" si="3"/>
        <v/>
      </c>
    </row>
    <row r="38" spans="1:32" ht="20.149999999999999" customHeight="1">
      <c r="A38" s="365" t="e">
        <f>IF(AND(SUM(#REF!)&lt;&gt;0,B38=""),"Please ensure all items are labelled","")</f>
        <v>#REF!</v>
      </c>
      <c r="B38" s="229" t="s">
        <v>595</v>
      </c>
      <c r="C38" s="229" t="s">
        <v>408</v>
      </c>
      <c r="D38" s="368"/>
      <c r="E38" s="21">
        <f t="shared" si="0"/>
        <v>200</v>
      </c>
      <c r="F38" s="21">
        <f t="shared" si="1"/>
        <v>200</v>
      </c>
      <c r="G38" s="367"/>
      <c r="H38" s="228"/>
      <c r="I38" s="228"/>
      <c r="J38" s="228">
        <v>200</v>
      </c>
      <c r="K38" s="228">
        <f>J38</f>
        <v>200</v>
      </c>
      <c r="L38" s="228"/>
      <c r="M38" s="228"/>
      <c r="N38" s="228"/>
      <c r="O38" s="228"/>
      <c r="P38" s="228"/>
      <c r="Q38" s="228"/>
      <c r="R38" s="228"/>
      <c r="S38" s="228"/>
      <c r="T38" s="228"/>
      <c r="U38" s="228"/>
      <c r="V38" s="228"/>
      <c r="W38" s="228"/>
      <c r="X38" s="228"/>
      <c r="Y38" s="228"/>
      <c r="Z38" s="228"/>
      <c r="AA38" s="228"/>
      <c r="AB38" s="228"/>
      <c r="AC38" s="228"/>
      <c r="AD38" s="10"/>
      <c r="AE38" s="14" t="str">
        <f t="shared" si="2"/>
        <v/>
      </c>
      <c r="AF38" s="33" t="str">
        <f t="shared" si="3"/>
        <v/>
      </c>
    </row>
    <row r="39" spans="1:32" ht="20.149999999999999" customHeight="1">
      <c r="A39" s="365" t="e">
        <f>IF(AND(SUM(#REF!)&lt;&gt;0,B39=""),"Please ensure all items are labelled","")</f>
        <v>#REF!</v>
      </c>
      <c r="B39" s="229" t="s">
        <v>596</v>
      </c>
      <c r="C39" s="229" t="s">
        <v>408</v>
      </c>
      <c r="D39" s="368"/>
      <c r="E39" s="21">
        <f t="shared" si="0"/>
        <v>3000</v>
      </c>
      <c r="F39" s="21">
        <f t="shared" si="1"/>
        <v>3000</v>
      </c>
      <c r="G39" s="367"/>
      <c r="H39" s="228"/>
      <c r="I39" s="228"/>
      <c r="J39" s="228"/>
      <c r="K39" s="228"/>
      <c r="L39" s="228"/>
      <c r="M39" s="228"/>
      <c r="N39" s="228"/>
      <c r="O39" s="228"/>
      <c r="P39" s="228">
        <v>3000</v>
      </c>
      <c r="Q39" s="228">
        <f>P39</f>
        <v>3000</v>
      </c>
      <c r="R39" s="228"/>
      <c r="S39" s="228"/>
      <c r="T39" s="228"/>
      <c r="U39" s="228"/>
      <c r="V39" s="228"/>
      <c r="W39" s="228"/>
      <c r="X39" s="228"/>
      <c r="Y39" s="228"/>
      <c r="Z39" s="228"/>
      <c r="AA39" s="228"/>
      <c r="AB39" s="228"/>
      <c r="AC39" s="228"/>
      <c r="AD39" s="10"/>
      <c r="AE39" s="14" t="str">
        <f t="shared" si="2"/>
        <v/>
      </c>
      <c r="AF39" s="33" t="str">
        <f t="shared" si="3"/>
        <v/>
      </c>
    </row>
    <row r="40" spans="1:32" ht="20.149999999999999" customHeight="1">
      <c r="A40" s="365" t="e">
        <f>IF(AND(SUM(#REF!)&lt;&gt;0,B40=""),"Please ensure all items are labelled","")</f>
        <v>#REF!</v>
      </c>
      <c r="B40" s="229" t="s">
        <v>597</v>
      </c>
      <c r="C40" s="229" t="s">
        <v>408</v>
      </c>
      <c r="D40" s="368"/>
      <c r="E40" s="21">
        <f t="shared" si="0"/>
        <v>4600</v>
      </c>
      <c r="F40" s="21">
        <f t="shared" si="1"/>
        <v>4600</v>
      </c>
      <c r="G40" s="367"/>
      <c r="H40" s="228"/>
      <c r="I40" s="228"/>
      <c r="J40" s="228"/>
      <c r="K40" s="228"/>
      <c r="L40" s="228"/>
      <c r="M40" s="228"/>
      <c r="N40" s="228"/>
      <c r="O40" s="228"/>
      <c r="P40" s="228">
        <v>4600</v>
      </c>
      <c r="Q40" s="228">
        <f>P40</f>
        <v>4600</v>
      </c>
      <c r="R40" s="228"/>
      <c r="S40" s="228"/>
      <c r="T40" s="228"/>
      <c r="U40" s="228"/>
      <c r="V40" s="228"/>
      <c r="W40" s="228"/>
      <c r="X40" s="228"/>
      <c r="Y40" s="228"/>
      <c r="Z40" s="228"/>
      <c r="AA40" s="228"/>
      <c r="AB40" s="228"/>
      <c r="AC40" s="228"/>
      <c r="AD40" s="10"/>
      <c r="AE40" s="14" t="str">
        <f t="shared" si="2"/>
        <v/>
      </c>
      <c r="AF40" s="33" t="str">
        <f t="shared" si="3"/>
        <v/>
      </c>
    </row>
    <row r="41" spans="1:32" ht="20.149999999999999" customHeight="1">
      <c r="A41" s="365" t="e">
        <f>IF(AND(SUM(#REF!)&lt;&gt;0,B41=""),"Please ensure all items are labelled","")</f>
        <v>#REF!</v>
      </c>
      <c r="B41" s="229" t="s">
        <v>1170</v>
      </c>
      <c r="C41" s="229" t="s">
        <v>412</v>
      </c>
      <c r="D41" s="368"/>
      <c r="E41" s="21">
        <f t="shared" si="0"/>
        <v>23600</v>
      </c>
      <c r="F41" s="21">
        <f t="shared" si="1"/>
        <v>23600</v>
      </c>
      <c r="G41" s="367"/>
      <c r="H41" s="228">
        <v>15734</v>
      </c>
      <c r="I41" s="228">
        <f t="shared" ref="I41:I47" si="5">H41</f>
        <v>15734</v>
      </c>
      <c r="J41" s="228">
        <v>7866</v>
      </c>
      <c r="K41" s="228">
        <f>J41</f>
        <v>7866</v>
      </c>
      <c r="L41" s="228"/>
      <c r="M41" s="228"/>
      <c r="N41" s="228"/>
      <c r="O41" s="228"/>
      <c r="P41" s="228"/>
      <c r="Q41" s="228"/>
      <c r="R41" s="228"/>
      <c r="S41" s="228"/>
      <c r="T41" s="228"/>
      <c r="U41" s="228"/>
      <c r="V41" s="228"/>
      <c r="W41" s="228"/>
      <c r="X41" s="228"/>
      <c r="Y41" s="228"/>
      <c r="Z41" s="228"/>
      <c r="AA41" s="228"/>
      <c r="AB41" s="228"/>
      <c r="AC41" s="228"/>
      <c r="AD41" s="10"/>
      <c r="AE41" s="14" t="str">
        <f t="shared" si="2"/>
        <v/>
      </c>
      <c r="AF41" s="33" t="str">
        <f t="shared" si="3"/>
        <v/>
      </c>
    </row>
    <row r="42" spans="1:32" ht="20.149999999999999" customHeight="1">
      <c r="A42" s="365" t="e">
        <f>IF(AND(SUM(#REF!)&lt;&gt;0,B42=""),"Please ensure all items are labelled","")</f>
        <v>#REF!</v>
      </c>
      <c r="B42" s="229" t="s">
        <v>1171</v>
      </c>
      <c r="C42" s="229" t="s">
        <v>412</v>
      </c>
      <c r="D42" s="368"/>
      <c r="E42" s="21">
        <f t="shared" si="0"/>
        <v>600</v>
      </c>
      <c r="F42" s="21">
        <f t="shared" si="1"/>
        <v>600</v>
      </c>
      <c r="G42" s="367"/>
      <c r="H42" s="228">
        <v>600</v>
      </c>
      <c r="I42" s="228">
        <f t="shared" si="5"/>
        <v>600</v>
      </c>
      <c r="J42" s="228"/>
      <c r="K42" s="228"/>
      <c r="L42" s="228"/>
      <c r="M42" s="228"/>
      <c r="N42" s="228"/>
      <c r="O42" s="228"/>
      <c r="P42" s="228"/>
      <c r="Q42" s="228"/>
      <c r="R42" s="228"/>
      <c r="S42" s="228"/>
      <c r="T42" s="228"/>
      <c r="U42" s="228"/>
      <c r="V42" s="228"/>
      <c r="W42" s="228"/>
      <c r="X42" s="228"/>
      <c r="Y42" s="228"/>
      <c r="Z42" s="228"/>
      <c r="AA42" s="228"/>
      <c r="AB42" s="228"/>
      <c r="AC42" s="228"/>
      <c r="AD42" s="10"/>
      <c r="AE42" s="14" t="str">
        <f t="shared" si="2"/>
        <v/>
      </c>
      <c r="AF42" s="33" t="str">
        <f t="shared" si="3"/>
        <v/>
      </c>
    </row>
    <row r="43" spans="1:32" ht="20.149999999999999" customHeight="1">
      <c r="A43" s="365" t="e">
        <f>IF(AND(SUM(#REF!)&lt;&gt;0,B43=""),"Please ensure all items are labelled","")</f>
        <v>#REF!</v>
      </c>
      <c r="B43" s="229" t="s">
        <v>1172</v>
      </c>
      <c r="C43" s="229" t="s">
        <v>412</v>
      </c>
      <c r="D43" s="368"/>
      <c r="E43" s="21">
        <f t="shared" si="0"/>
        <v>150</v>
      </c>
      <c r="F43" s="21">
        <f t="shared" si="1"/>
        <v>150</v>
      </c>
      <c r="G43" s="367"/>
      <c r="H43" s="228">
        <v>150</v>
      </c>
      <c r="I43" s="228">
        <f t="shared" si="5"/>
        <v>150</v>
      </c>
      <c r="J43" s="228"/>
      <c r="K43" s="228"/>
      <c r="L43" s="228"/>
      <c r="M43" s="228"/>
      <c r="N43" s="228"/>
      <c r="O43" s="228"/>
      <c r="P43" s="228"/>
      <c r="Q43" s="228"/>
      <c r="R43" s="228"/>
      <c r="S43" s="228"/>
      <c r="T43" s="228"/>
      <c r="U43" s="228"/>
      <c r="V43" s="228"/>
      <c r="W43" s="228"/>
      <c r="X43" s="228"/>
      <c r="Y43" s="228"/>
      <c r="Z43" s="228"/>
      <c r="AA43" s="228"/>
      <c r="AB43" s="228"/>
      <c r="AC43" s="228"/>
      <c r="AD43" s="10"/>
      <c r="AE43" s="14" t="str">
        <f t="shared" si="2"/>
        <v/>
      </c>
      <c r="AF43" s="33" t="str">
        <f t="shared" si="3"/>
        <v/>
      </c>
    </row>
    <row r="44" spans="1:32" ht="20.149999999999999" customHeight="1">
      <c r="A44" s="365" t="e">
        <f>IF(AND(SUM(#REF!)&lt;&gt;0,B44=""),"Please ensure all items are labelled","")</f>
        <v>#REF!</v>
      </c>
      <c r="B44" s="229" t="s">
        <v>1173</v>
      </c>
      <c r="C44" s="229" t="s">
        <v>412</v>
      </c>
      <c r="D44" s="368"/>
      <c r="E44" s="21">
        <f t="shared" si="0"/>
        <v>40</v>
      </c>
      <c r="F44" s="21">
        <f t="shared" si="1"/>
        <v>40</v>
      </c>
      <c r="G44" s="367"/>
      <c r="H44" s="228">
        <v>40</v>
      </c>
      <c r="I44" s="228">
        <f t="shared" si="5"/>
        <v>40</v>
      </c>
      <c r="J44" s="228"/>
      <c r="K44" s="228"/>
      <c r="L44" s="228"/>
      <c r="M44" s="228"/>
      <c r="N44" s="228"/>
      <c r="O44" s="228"/>
      <c r="P44" s="228"/>
      <c r="Q44" s="228"/>
      <c r="R44" s="228"/>
      <c r="S44" s="228"/>
      <c r="T44" s="228"/>
      <c r="U44" s="228"/>
      <c r="V44" s="228"/>
      <c r="W44" s="228"/>
      <c r="X44" s="228"/>
      <c r="Y44" s="228"/>
      <c r="Z44" s="228"/>
      <c r="AA44" s="228"/>
      <c r="AB44" s="228"/>
      <c r="AC44" s="228"/>
      <c r="AD44" s="10"/>
      <c r="AE44" s="14" t="str">
        <f t="shared" si="2"/>
        <v/>
      </c>
      <c r="AF44" s="33" t="str">
        <f t="shared" si="3"/>
        <v/>
      </c>
    </row>
    <row r="45" spans="1:32" ht="20.149999999999999" customHeight="1">
      <c r="A45" s="365" t="e">
        <f>IF(AND(SUM(#REF!)&lt;&gt;0,B45=""),"Please ensure all items are labelled","")</f>
        <v>#REF!</v>
      </c>
      <c r="B45" s="229" t="s">
        <v>1174</v>
      </c>
      <c r="C45" s="229" t="s">
        <v>412</v>
      </c>
      <c r="D45" s="368"/>
      <c r="E45" s="21">
        <f t="shared" si="0"/>
        <v>50</v>
      </c>
      <c r="F45" s="21">
        <f t="shared" si="1"/>
        <v>50</v>
      </c>
      <c r="G45" s="367"/>
      <c r="H45" s="228">
        <v>50</v>
      </c>
      <c r="I45" s="228">
        <f t="shared" si="5"/>
        <v>50</v>
      </c>
      <c r="J45" s="228"/>
      <c r="K45" s="228"/>
      <c r="L45" s="228"/>
      <c r="M45" s="228"/>
      <c r="N45" s="228"/>
      <c r="O45" s="228"/>
      <c r="P45" s="228"/>
      <c r="Q45" s="228"/>
      <c r="R45" s="228"/>
      <c r="S45" s="228"/>
      <c r="T45" s="228"/>
      <c r="U45" s="228"/>
      <c r="V45" s="228"/>
      <c r="W45" s="228"/>
      <c r="X45" s="228"/>
      <c r="Y45" s="228"/>
      <c r="Z45" s="228"/>
      <c r="AA45" s="228"/>
      <c r="AB45" s="228"/>
      <c r="AC45" s="228"/>
      <c r="AD45" s="10"/>
      <c r="AE45" s="14" t="str">
        <f t="shared" si="2"/>
        <v/>
      </c>
      <c r="AF45" s="33" t="str">
        <f t="shared" si="3"/>
        <v/>
      </c>
    </row>
    <row r="46" spans="1:32" ht="20.149999999999999" customHeight="1">
      <c r="A46" s="365" t="e">
        <f>IF(AND(SUM(#REF!)&lt;&gt;0,B46=""),"Please ensure all items are labelled","")</f>
        <v>#REF!</v>
      </c>
      <c r="B46" s="229" t="s">
        <v>1175</v>
      </c>
      <c r="C46" s="229" t="s">
        <v>412</v>
      </c>
      <c r="D46" s="368"/>
      <c r="E46" s="21">
        <f t="shared" si="0"/>
        <v>300</v>
      </c>
      <c r="F46" s="21">
        <f t="shared" si="1"/>
        <v>300</v>
      </c>
      <c r="G46" s="367"/>
      <c r="H46" s="228">
        <v>225</v>
      </c>
      <c r="I46" s="228">
        <f t="shared" si="5"/>
        <v>225</v>
      </c>
      <c r="J46" s="228">
        <v>75</v>
      </c>
      <c r="K46" s="228">
        <f>J46</f>
        <v>75</v>
      </c>
      <c r="L46" s="228"/>
      <c r="M46" s="228"/>
      <c r="N46" s="228"/>
      <c r="O46" s="228"/>
      <c r="P46" s="228"/>
      <c r="Q46" s="228"/>
      <c r="R46" s="228"/>
      <c r="S46" s="228"/>
      <c r="T46" s="228"/>
      <c r="U46" s="228"/>
      <c r="V46" s="228"/>
      <c r="W46" s="228"/>
      <c r="X46" s="228"/>
      <c r="Y46" s="228"/>
      <c r="Z46" s="228"/>
      <c r="AA46" s="228"/>
      <c r="AB46" s="228"/>
      <c r="AC46" s="228"/>
      <c r="AD46" s="10"/>
      <c r="AE46" s="14" t="str">
        <f t="shared" si="2"/>
        <v/>
      </c>
      <c r="AF46" s="33" t="str">
        <f t="shared" si="3"/>
        <v/>
      </c>
    </row>
    <row r="47" spans="1:32" ht="20.149999999999999" customHeight="1">
      <c r="A47" s="365" t="e">
        <f>IF(AND(SUM(#REF!)&lt;&gt;0,B47=""),"Please ensure all items are labelled","")</f>
        <v>#REF!</v>
      </c>
      <c r="B47" s="229" t="s">
        <v>1176</v>
      </c>
      <c r="C47" s="229" t="s">
        <v>412</v>
      </c>
      <c r="D47" s="368"/>
      <c r="E47" s="21">
        <f t="shared" si="0"/>
        <v>250</v>
      </c>
      <c r="F47" s="21">
        <f t="shared" si="1"/>
        <v>250</v>
      </c>
      <c r="G47" s="367"/>
      <c r="H47" s="228">
        <v>250</v>
      </c>
      <c r="I47" s="228">
        <f t="shared" si="5"/>
        <v>250</v>
      </c>
      <c r="J47" s="228"/>
      <c r="K47" s="228"/>
      <c r="L47" s="228"/>
      <c r="M47" s="228"/>
      <c r="N47" s="228"/>
      <c r="O47" s="228"/>
      <c r="P47" s="228"/>
      <c r="Q47" s="228"/>
      <c r="R47" s="228"/>
      <c r="S47" s="228"/>
      <c r="T47" s="228"/>
      <c r="U47" s="228"/>
      <c r="V47" s="228"/>
      <c r="W47" s="228"/>
      <c r="X47" s="228"/>
      <c r="Y47" s="228"/>
      <c r="Z47" s="228"/>
      <c r="AA47" s="228"/>
      <c r="AB47" s="228"/>
      <c r="AC47" s="228"/>
      <c r="AD47" s="10"/>
      <c r="AE47" s="14" t="str">
        <f t="shared" si="2"/>
        <v/>
      </c>
      <c r="AF47" s="33" t="str">
        <f t="shared" si="3"/>
        <v/>
      </c>
    </row>
    <row r="48" spans="1:32" ht="20.149999999999999" customHeight="1">
      <c r="A48" s="365" t="e">
        <f>IF(AND(SUM(#REF!)&lt;&gt;0,B48=""),"Please ensure all items are labelled","")</f>
        <v>#REF!</v>
      </c>
      <c r="B48" s="229" t="s">
        <v>1177</v>
      </c>
      <c r="C48" s="229" t="s">
        <v>412</v>
      </c>
      <c r="D48" s="368"/>
      <c r="E48" s="21">
        <f t="shared" si="0"/>
        <v>200</v>
      </c>
      <c r="F48" s="21">
        <f t="shared" si="1"/>
        <v>200</v>
      </c>
      <c r="G48" s="367"/>
      <c r="H48" s="228"/>
      <c r="I48" s="228"/>
      <c r="J48" s="228">
        <v>200</v>
      </c>
      <c r="K48" s="228">
        <f>J48</f>
        <v>200</v>
      </c>
      <c r="L48" s="228"/>
      <c r="M48" s="228"/>
      <c r="N48" s="228"/>
      <c r="O48" s="228"/>
      <c r="P48" s="228"/>
      <c r="Q48" s="228"/>
      <c r="R48" s="228"/>
      <c r="S48" s="228"/>
      <c r="T48" s="228"/>
      <c r="U48" s="228"/>
      <c r="V48" s="228"/>
      <c r="W48" s="228"/>
      <c r="X48" s="228"/>
      <c r="Y48" s="228"/>
      <c r="Z48" s="228"/>
      <c r="AA48" s="228"/>
      <c r="AB48" s="228"/>
      <c r="AC48" s="228"/>
      <c r="AD48" s="10"/>
      <c r="AE48" s="14" t="str">
        <f t="shared" si="2"/>
        <v/>
      </c>
      <c r="AF48" s="33" t="str">
        <f t="shared" si="3"/>
        <v/>
      </c>
    </row>
    <row r="49" spans="1:32" ht="20.149999999999999" customHeight="1">
      <c r="A49" s="365" t="e">
        <f>IF(AND(SUM(#REF!)&lt;&gt;0,B49=""),"Please ensure all items are labelled","")</f>
        <v>#REF!</v>
      </c>
      <c r="B49" s="229" t="s">
        <v>1178</v>
      </c>
      <c r="C49" s="229" t="s">
        <v>412</v>
      </c>
      <c r="D49" s="368"/>
      <c r="E49" s="21">
        <f t="shared" si="0"/>
        <v>200</v>
      </c>
      <c r="F49" s="21">
        <f t="shared" si="1"/>
        <v>200</v>
      </c>
      <c r="G49" s="367"/>
      <c r="H49" s="228">
        <v>200</v>
      </c>
      <c r="I49" s="228">
        <f>H49</f>
        <v>200</v>
      </c>
      <c r="J49" s="228"/>
      <c r="K49" s="228"/>
      <c r="L49" s="228"/>
      <c r="M49" s="228"/>
      <c r="N49" s="228"/>
      <c r="O49" s="228"/>
      <c r="P49" s="228"/>
      <c r="Q49" s="228"/>
      <c r="R49" s="228"/>
      <c r="S49" s="228"/>
      <c r="T49" s="228"/>
      <c r="U49" s="228"/>
      <c r="V49" s="228"/>
      <c r="W49" s="228"/>
      <c r="X49" s="228"/>
      <c r="Y49" s="228"/>
      <c r="Z49" s="228"/>
      <c r="AA49" s="228"/>
      <c r="AB49" s="228"/>
      <c r="AC49" s="228"/>
      <c r="AD49" s="10"/>
      <c r="AE49" s="14" t="str">
        <f t="shared" si="2"/>
        <v/>
      </c>
      <c r="AF49" s="33" t="str">
        <f t="shared" si="3"/>
        <v/>
      </c>
    </row>
    <row r="50" spans="1:32" ht="20.149999999999999" customHeight="1">
      <c r="A50" s="365" t="e">
        <f>IF(AND(SUM(#REF!)&lt;&gt;0,B50=""),"Please ensure all items are labelled","")</f>
        <v>#REF!</v>
      </c>
      <c r="B50" s="229" t="s">
        <v>1179</v>
      </c>
      <c r="C50" s="229" t="s">
        <v>412</v>
      </c>
      <c r="D50" s="368"/>
      <c r="E50" s="21">
        <f t="shared" si="0"/>
        <v>150</v>
      </c>
      <c r="F50" s="21">
        <f t="shared" si="1"/>
        <v>150</v>
      </c>
      <c r="G50" s="367"/>
      <c r="H50" s="228">
        <v>150</v>
      </c>
      <c r="I50" s="228">
        <f>H50</f>
        <v>150</v>
      </c>
      <c r="J50" s="228"/>
      <c r="K50" s="228"/>
      <c r="L50" s="228"/>
      <c r="M50" s="228"/>
      <c r="N50" s="228"/>
      <c r="O50" s="228"/>
      <c r="P50" s="228"/>
      <c r="Q50" s="228"/>
      <c r="R50" s="228"/>
      <c r="S50" s="228"/>
      <c r="T50" s="228"/>
      <c r="U50" s="228"/>
      <c r="V50" s="228"/>
      <c r="W50" s="228"/>
      <c r="X50" s="228"/>
      <c r="Y50" s="228"/>
      <c r="Z50" s="228"/>
      <c r="AA50" s="228"/>
      <c r="AB50" s="228"/>
      <c r="AC50" s="228"/>
      <c r="AD50" s="10"/>
      <c r="AE50" s="14" t="str">
        <f t="shared" si="2"/>
        <v/>
      </c>
      <c r="AF50" s="33" t="str">
        <f t="shared" si="3"/>
        <v/>
      </c>
    </row>
    <row r="51" spans="1:32" ht="20.149999999999999" customHeight="1">
      <c r="A51" s="365" t="e">
        <f>IF(AND(SUM(#REF!)&lt;&gt;0,B51=""),"Please ensure all items are labelled","")</f>
        <v>#REF!</v>
      </c>
      <c r="B51" s="229" t="s">
        <v>1190</v>
      </c>
      <c r="C51" s="229" t="s">
        <v>410</v>
      </c>
      <c r="D51" s="368"/>
      <c r="E51" s="21">
        <f t="shared" si="0"/>
        <v>125</v>
      </c>
      <c r="F51" s="21">
        <f t="shared" si="1"/>
        <v>125</v>
      </c>
      <c r="G51" s="367"/>
      <c r="H51" s="228"/>
      <c r="I51" s="228"/>
      <c r="J51" s="228"/>
      <c r="K51" s="228"/>
      <c r="L51" s="228"/>
      <c r="M51" s="228"/>
      <c r="N51" s="228"/>
      <c r="O51" s="228"/>
      <c r="P51" s="228"/>
      <c r="Q51" s="228"/>
      <c r="R51" s="228"/>
      <c r="S51" s="228"/>
      <c r="T51" s="228">
        <v>125</v>
      </c>
      <c r="U51" s="228">
        <f>T51</f>
        <v>125</v>
      </c>
      <c r="V51" s="228"/>
      <c r="W51" s="228"/>
      <c r="X51" s="228"/>
      <c r="Y51" s="228"/>
      <c r="Z51" s="228"/>
      <c r="AA51" s="228"/>
      <c r="AB51" s="228"/>
      <c r="AC51" s="228"/>
      <c r="AD51" s="10"/>
      <c r="AE51" s="14" t="str">
        <f t="shared" si="2"/>
        <v/>
      </c>
      <c r="AF51" s="33" t="str">
        <f t="shared" si="3"/>
        <v/>
      </c>
    </row>
    <row r="52" spans="1:32" ht="20.149999999999999" customHeight="1">
      <c r="A52" s="365" t="e">
        <f>IF(AND(SUM(#REF!)&lt;&gt;0,B52=""),"Please ensure all items are labelled","")</f>
        <v>#REF!</v>
      </c>
      <c r="B52" s="229"/>
      <c r="C52" s="229"/>
      <c r="D52" s="368"/>
      <c r="E52" s="21">
        <f t="shared" si="0"/>
        <v>0</v>
      </c>
      <c r="F52" s="21">
        <f t="shared" si="1"/>
        <v>0</v>
      </c>
      <c r="G52" s="367"/>
      <c r="H52" s="228"/>
      <c r="I52" s="228"/>
      <c r="J52" s="228"/>
      <c r="K52" s="228"/>
      <c r="L52" s="228"/>
      <c r="M52" s="228"/>
      <c r="N52" s="228"/>
      <c r="O52" s="228"/>
      <c r="P52" s="228"/>
      <c r="Q52" s="228"/>
      <c r="R52" s="228"/>
      <c r="S52" s="228"/>
      <c r="T52" s="228"/>
      <c r="U52" s="228"/>
      <c r="V52" s="228"/>
      <c r="W52" s="228"/>
      <c r="X52" s="228"/>
      <c r="Y52" s="228"/>
      <c r="Z52" s="228"/>
      <c r="AA52" s="228"/>
      <c r="AB52" s="228"/>
      <c r="AC52" s="228"/>
      <c r="AD52" s="10"/>
      <c r="AE52" s="14" t="str">
        <f t="shared" si="2"/>
        <v/>
      </c>
      <c r="AF52" s="33" t="str">
        <f t="shared" si="3"/>
        <v/>
      </c>
    </row>
    <row r="53" spans="1:32" ht="20.149999999999999" customHeight="1">
      <c r="A53" s="365" t="e">
        <f>IF(AND(SUM(#REF!)&lt;&gt;0,B53=""),"Please ensure all items are labelled","")</f>
        <v>#REF!</v>
      </c>
      <c r="B53" s="229"/>
      <c r="C53" s="229"/>
      <c r="D53" s="368"/>
      <c r="E53" s="21">
        <f t="shared" si="0"/>
        <v>0</v>
      </c>
      <c r="F53" s="21">
        <f t="shared" si="1"/>
        <v>0</v>
      </c>
      <c r="G53" s="367"/>
      <c r="H53" s="228"/>
      <c r="I53" s="228"/>
      <c r="J53" s="228"/>
      <c r="K53" s="228"/>
      <c r="L53" s="228"/>
      <c r="M53" s="228"/>
      <c r="N53" s="228"/>
      <c r="O53" s="228"/>
      <c r="P53" s="228"/>
      <c r="Q53" s="228"/>
      <c r="R53" s="228"/>
      <c r="S53" s="228"/>
      <c r="T53" s="228"/>
      <c r="U53" s="228"/>
      <c r="V53" s="228"/>
      <c r="W53" s="228"/>
      <c r="X53" s="228"/>
      <c r="Y53" s="228"/>
      <c r="Z53" s="228"/>
      <c r="AA53" s="228"/>
      <c r="AB53" s="228"/>
      <c r="AC53" s="228"/>
      <c r="AD53" s="10"/>
      <c r="AE53" s="14" t="str">
        <f t="shared" si="2"/>
        <v/>
      </c>
      <c r="AF53" s="33" t="str">
        <f t="shared" si="3"/>
        <v/>
      </c>
    </row>
    <row r="54" spans="1:32" ht="20.149999999999999" customHeight="1">
      <c r="A54" s="365" t="e">
        <f>IF(AND(SUM(#REF!)&lt;&gt;0,B54=""),"Please ensure all items are labelled","")</f>
        <v>#REF!</v>
      </c>
      <c r="B54" s="229"/>
      <c r="C54" s="229"/>
      <c r="D54" s="368"/>
      <c r="E54" s="21">
        <f t="shared" si="0"/>
        <v>0</v>
      </c>
      <c r="F54" s="21">
        <f t="shared" si="1"/>
        <v>0</v>
      </c>
      <c r="G54" s="367"/>
      <c r="H54" s="228"/>
      <c r="I54" s="228"/>
      <c r="J54" s="228"/>
      <c r="K54" s="228"/>
      <c r="L54" s="228"/>
      <c r="M54" s="228"/>
      <c r="N54" s="228"/>
      <c r="O54" s="228"/>
      <c r="P54" s="228"/>
      <c r="Q54" s="228"/>
      <c r="R54" s="228"/>
      <c r="S54" s="228"/>
      <c r="T54" s="228"/>
      <c r="U54" s="228"/>
      <c r="V54" s="228"/>
      <c r="W54" s="228"/>
      <c r="X54" s="228"/>
      <c r="Y54" s="228"/>
      <c r="Z54" s="228"/>
      <c r="AA54" s="228"/>
      <c r="AB54" s="228"/>
      <c r="AC54" s="228"/>
      <c r="AD54" s="10"/>
      <c r="AE54" s="14" t="str">
        <f t="shared" si="2"/>
        <v/>
      </c>
      <c r="AF54" s="33" t="str">
        <f t="shared" si="3"/>
        <v/>
      </c>
    </row>
    <row r="55" spans="1:32" ht="20.149999999999999" customHeight="1">
      <c r="A55" s="365" t="e">
        <f>IF(AND(SUM(#REF!)&lt;&gt;0,B55=""),"Please ensure all items are labelled","")</f>
        <v>#REF!</v>
      </c>
      <c r="B55" s="229"/>
      <c r="C55" s="229"/>
      <c r="D55" s="368"/>
      <c r="E55" s="21">
        <f t="shared" si="0"/>
        <v>0</v>
      </c>
      <c r="F55" s="21">
        <f t="shared" si="1"/>
        <v>0</v>
      </c>
      <c r="G55" s="367"/>
      <c r="H55" s="228"/>
      <c r="I55" s="228"/>
      <c r="J55" s="228"/>
      <c r="K55" s="228"/>
      <c r="L55" s="228"/>
      <c r="M55" s="228"/>
      <c r="N55" s="228"/>
      <c r="O55" s="228"/>
      <c r="P55" s="228"/>
      <c r="Q55" s="228"/>
      <c r="R55" s="228"/>
      <c r="S55" s="228"/>
      <c r="T55" s="228"/>
      <c r="U55" s="228"/>
      <c r="V55" s="228"/>
      <c r="W55" s="228"/>
      <c r="X55" s="228"/>
      <c r="Y55" s="228"/>
      <c r="Z55" s="228"/>
      <c r="AA55" s="228"/>
      <c r="AB55" s="228"/>
      <c r="AC55" s="228"/>
      <c r="AD55" s="10"/>
      <c r="AE55" s="14" t="str">
        <f t="shared" si="2"/>
        <v/>
      </c>
      <c r="AF55" s="33" t="str">
        <f t="shared" si="3"/>
        <v/>
      </c>
    </row>
    <row r="56" spans="1:32" ht="20.149999999999999" customHeight="1">
      <c r="A56" s="365" t="e">
        <f>IF(AND(SUM(#REF!)&lt;&gt;0,B56=""),"Please ensure all items are labelled","")</f>
        <v>#REF!</v>
      </c>
      <c r="B56" s="229"/>
      <c r="C56" s="229"/>
      <c r="D56" s="368"/>
      <c r="E56" s="21">
        <f t="shared" si="0"/>
        <v>0</v>
      </c>
      <c r="F56" s="21">
        <f t="shared" si="1"/>
        <v>0</v>
      </c>
      <c r="G56" s="367"/>
      <c r="H56" s="228"/>
      <c r="I56" s="228"/>
      <c r="J56" s="228"/>
      <c r="K56" s="228"/>
      <c r="L56" s="228"/>
      <c r="M56" s="228"/>
      <c r="N56" s="228"/>
      <c r="O56" s="228"/>
      <c r="P56" s="228"/>
      <c r="Q56" s="228"/>
      <c r="R56" s="228"/>
      <c r="S56" s="228"/>
      <c r="T56" s="228"/>
      <c r="U56" s="228"/>
      <c r="V56" s="228"/>
      <c r="W56" s="228"/>
      <c r="X56" s="228"/>
      <c r="Y56" s="228"/>
      <c r="Z56" s="228"/>
      <c r="AA56" s="228"/>
      <c r="AB56" s="228"/>
      <c r="AC56" s="228"/>
      <c r="AD56" s="10"/>
      <c r="AE56" s="14" t="str">
        <f t="shared" si="2"/>
        <v/>
      </c>
      <c r="AF56" s="33" t="str">
        <f t="shared" si="3"/>
        <v/>
      </c>
    </row>
    <row r="57" spans="1:32" ht="20.149999999999999" customHeight="1">
      <c r="A57" s="365" t="e">
        <f>IF(AND(SUM(#REF!)&lt;&gt;0,B57=""),"Please ensure all items are labelled","")</f>
        <v>#REF!</v>
      </c>
      <c r="B57" s="229"/>
      <c r="C57" s="229"/>
      <c r="D57" s="368"/>
      <c r="E57" s="21">
        <f t="shared" si="0"/>
        <v>0</v>
      </c>
      <c r="F57" s="21">
        <f t="shared" si="1"/>
        <v>0</v>
      </c>
      <c r="G57" s="367"/>
      <c r="H57" s="228"/>
      <c r="I57" s="228"/>
      <c r="J57" s="228"/>
      <c r="K57" s="228"/>
      <c r="L57" s="228"/>
      <c r="M57" s="228"/>
      <c r="N57" s="228"/>
      <c r="O57" s="228"/>
      <c r="P57" s="228"/>
      <c r="Q57" s="228"/>
      <c r="R57" s="228"/>
      <c r="S57" s="228"/>
      <c r="T57" s="228"/>
      <c r="U57" s="228"/>
      <c r="V57" s="228"/>
      <c r="W57" s="228"/>
      <c r="X57" s="228"/>
      <c r="Y57" s="228"/>
      <c r="Z57" s="228"/>
      <c r="AA57" s="228"/>
      <c r="AB57" s="228"/>
      <c r="AC57" s="228"/>
      <c r="AD57" s="10"/>
      <c r="AE57" s="14" t="str">
        <f t="shared" si="2"/>
        <v/>
      </c>
      <c r="AF57" s="33" t="str">
        <f t="shared" si="3"/>
        <v/>
      </c>
    </row>
    <row r="58" spans="1:32" ht="20.149999999999999" customHeight="1">
      <c r="A58" s="365" t="e">
        <f>IF(AND(SUM(#REF!)&lt;&gt;0,B58=""),"Please ensure all items are labelled","")</f>
        <v>#REF!</v>
      </c>
      <c r="B58" s="229"/>
      <c r="C58" s="229"/>
      <c r="D58" s="368"/>
      <c r="E58" s="21">
        <f t="shared" si="0"/>
        <v>0</v>
      </c>
      <c r="F58" s="21">
        <f t="shared" si="1"/>
        <v>0</v>
      </c>
      <c r="G58" s="367"/>
      <c r="H58" s="228"/>
      <c r="I58" s="228"/>
      <c r="J58" s="228"/>
      <c r="K58" s="228"/>
      <c r="L58" s="228"/>
      <c r="M58" s="228"/>
      <c r="N58" s="228"/>
      <c r="O58" s="228"/>
      <c r="P58" s="228"/>
      <c r="Q58" s="228"/>
      <c r="R58" s="228"/>
      <c r="S58" s="228"/>
      <c r="T58" s="228"/>
      <c r="U58" s="228"/>
      <c r="V58" s="228"/>
      <c r="W58" s="228"/>
      <c r="X58" s="228"/>
      <c r="Y58" s="228"/>
      <c r="Z58" s="228"/>
      <c r="AA58" s="228"/>
      <c r="AB58" s="228"/>
      <c r="AC58" s="228"/>
      <c r="AD58" s="10"/>
      <c r="AE58" s="14" t="str">
        <f t="shared" si="2"/>
        <v/>
      </c>
      <c r="AF58" s="33" t="str">
        <f t="shared" si="3"/>
        <v/>
      </c>
    </row>
    <row r="59" spans="1:32" ht="20.149999999999999" customHeight="1">
      <c r="A59" s="365" t="e">
        <f>IF(AND(SUM(#REF!)&lt;&gt;0,B59=""),"Please ensure all items are labelled","")</f>
        <v>#REF!</v>
      </c>
      <c r="B59" s="229"/>
      <c r="C59" s="229"/>
      <c r="D59" s="368"/>
      <c r="E59" s="21">
        <f t="shared" si="0"/>
        <v>0</v>
      </c>
      <c r="F59" s="21">
        <f t="shared" si="1"/>
        <v>0</v>
      </c>
      <c r="G59" s="367"/>
      <c r="H59" s="228"/>
      <c r="I59" s="228"/>
      <c r="J59" s="228"/>
      <c r="K59" s="228"/>
      <c r="L59" s="228"/>
      <c r="M59" s="228"/>
      <c r="N59" s="228"/>
      <c r="O59" s="228"/>
      <c r="P59" s="228"/>
      <c r="Q59" s="228"/>
      <c r="R59" s="228"/>
      <c r="S59" s="228"/>
      <c r="T59" s="228"/>
      <c r="U59" s="228"/>
      <c r="V59" s="228"/>
      <c r="W59" s="228"/>
      <c r="X59" s="228"/>
      <c r="Y59" s="228"/>
      <c r="Z59" s="228"/>
      <c r="AA59" s="228"/>
      <c r="AB59" s="228"/>
      <c r="AC59" s="228"/>
      <c r="AD59" s="10"/>
      <c r="AE59" s="14" t="str">
        <f t="shared" si="2"/>
        <v/>
      </c>
      <c r="AF59" s="33" t="str">
        <f t="shared" si="3"/>
        <v/>
      </c>
    </row>
    <row r="60" spans="1:32" ht="20.149999999999999" customHeight="1">
      <c r="A60" s="365" t="e">
        <f>IF(AND(SUM(#REF!)&lt;&gt;0,B60=""),"Please ensure all items are labelled","")</f>
        <v>#REF!</v>
      </c>
      <c r="B60" s="229"/>
      <c r="C60" s="229"/>
      <c r="D60" s="368"/>
      <c r="E60" s="21">
        <f t="shared" si="0"/>
        <v>0</v>
      </c>
      <c r="F60" s="21">
        <f t="shared" si="1"/>
        <v>0</v>
      </c>
      <c r="G60" s="367"/>
      <c r="H60" s="228"/>
      <c r="I60" s="228"/>
      <c r="J60" s="228"/>
      <c r="K60" s="228"/>
      <c r="L60" s="228"/>
      <c r="M60" s="228"/>
      <c r="N60" s="228"/>
      <c r="O60" s="228"/>
      <c r="P60" s="228"/>
      <c r="Q60" s="228"/>
      <c r="R60" s="228"/>
      <c r="S60" s="228"/>
      <c r="T60" s="228"/>
      <c r="U60" s="228"/>
      <c r="V60" s="228"/>
      <c r="W60" s="228"/>
      <c r="X60" s="228"/>
      <c r="Y60" s="228"/>
      <c r="Z60" s="228"/>
      <c r="AA60" s="228"/>
      <c r="AB60" s="228"/>
      <c r="AC60" s="228"/>
      <c r="AD60" s="10"/>
      <c r="AE60" s="14" t="str">
        <f t="shared" si="2"/>
        <v/>
      </c>
      <c r="AF60" s="33" t="str">
        <f t="shared" si="3"/>
        <v/>
      </c>
    </row>
    <row r="61" spans="1:32" ht="20.149999999999999" customHeight="1">
      <c r="A61" s="365" t="e">
        <f>IF(AND(SUM(#REF!)&lt;&gt;0,B61=""),"Please ensure all items are labelled","")</f>
        <v>#REF!</v>
      </c>
      <c r="B61" s="229"/>
      <c r="C61" s="229"/>
      <c r="D61" s="368"/>
      <c r="E61" s="21">
        <f t="shared" si="0"/>
        <v>0</v>
      </c>
      <c r="F61" s="21">
        <f t="shared" si="1"/>
        <v>0</v>
      </c>
      <c r="G61" s="367"/>
      <c r="H61" s="228"/>
      <c r="I61" s="228"/>
      <c r="J61" s="228"/>
      <c r="K61" s="228"/>
      <c r="L61" s="228"/>
      <c r="M61" s="228"/>
      <c r="N61" s="228"/>
      <c r="O61" s="228"/>
      <c r="P61" s="228"/>
      <c r="Q61" s="228"/>
      <c r="R61" s="228"/>
      <c r="S61" s="228"/>
      <c r="T61" s="228"/>
      <c r="U61" s="228"/>
      <c r="V61" s="228"/>
      <c r="W61" s="228"/>
      <c r="X61" s="228"/>
      <c r="Y61" s="228"/>
      <c r="Z61" s="228"/>
      <c r="AA61" s="228"/>
      <c r="AB61" s="228"/>
      <c r="AC61" s="228"/>
      <c r="AD61" s="10"/>
      <c r="AE61" s="14" t="str">
        <f t="shared" si="2"/>
        <v/>
      </c>
      <c r="AF61" s="33" t="str">
        <f t="shared" si="3"/>
        <v/>
      </c>
    </row>
    <row r="62" spans="1:32" ht="20.149999999999999" customHeight="1">
      <c r="A62" s="365" t="e">
        <f>IF(AND(SUM(#REF!)&lt;&gt;0,B62=""),"Please ensure all items are labelled","")</f>
        <v>#REF!</v>
      </c>
      <c r="B62" s="229"/>
      <c r="C62" s="229"/>
      <c r="D62" s="368"/>
      <c r="E62" s="21">
        <f t="shared" si="0"/>
        <v>0</v>
      </c>
      <c r="F62" s="21">
        <f t="shared" si="1"/>
        <v>0</v>
      </c>
      <c r="G62" s="367"/>
      <c r="H62" s="228"/>
      <c r="I62" s="228"/>
      <c r="J62" s="228"/>
      <c r="K62" s="228"/>
      <c r="L62" s="228"/>
      <c r="M62" s="228"/>
      <c r="N62" s="228"/>
      <c r="O62" s="228"/>
      <c r="P62" s="228"/>
      <c r="Q62" s="228"/>
      <c r="R62" s="228"/>
      <c r="S62" s="228"/>
      <c r="T62" s="228"/>
      <c r="U62" s="228"/>
      <c r="V62" s="228"/>
      <c r="W62" s="228"/>
      <c r="X62" s="228"/>
      <c r="Y62" s="228"/>
      <c r="Z62" s="228"/>
      <c r="AA62" s="228"/>
      <c r="AB62" s="228"/>
      <c r="AC62" s="228"/>
      <c r="AD62" s="10"/>
      <c r="AE62" s="14" t="str">
        <f t="shared" si="2"/>
        <v/>
      </c>
      <c r="AF62" s="33" t="str">
        <f t="shared" si="3"/>
        <v/>
      </c>
    </row>
    <row r="63" spans="1:32" ht="20.149999999999999" customHeight="1">
      <c r="A63" s="365" t="e">
        <f>IF(AND(SUM(#REF!)&lt;&gt;0,B63=""),"Please ensure all items are labelled","")</f>
        <v>#REF!</v>
      </c>
      <c r="B63" s="229"/>
      <c r="C63" s="229"/>
      <c r="D63" s="368"/>
      <c r="E63" s="21">
        <f t="shared" si="0"/>
        <v>0</v>
      </c>
      <c r="F63" s="21">
        <f t="shared" si="1"/>
        <v>0</v>
      </c>
      <c r="G63" s="367"/>
      <c r="H63" s="228"/>
      <c r="I63" s="228"/>
      <c r="J63" s="228"/>
      <c r="K63" s="228"/>
      <c r="L63" s="228"/>
      <c r="M63" s="228"/>
      <c r="N63" s="228"/>
      <c r="O63" s="228"/>
      <c r="P63" s="228"/>
      <c r="Q63" s="228"/>
      <c r="R63" s="228"/>
      <c r="S63" s="228"/>
      <c r="T63" s="228"/>
      <c r="U63" s="228"/>
      <c r="V63" s="228"/>
      <c r="W63" s="228"/>
      <c r="X63" s="228"/>
      <c r="Y63" s="228"/>
      <c r="Z63" s="228"/>
      <c r="AA63" s="228"/>
      <c r="AB63" s="228"/>
      <c r="AC63" s="228"/>
      <c r="AD63" s="10"/>
      <c r="AE63" s="14" t="str">
        <f t="shared" si="2"/>
        <v/>
      </c>
      <c r="AF63" s="33" t="str">
        <f t="shared" si="3"/>
        <v/>
      </c>
    </row>
    <row r="64" spans="1:32" ht="20.149999999999999" customHeight="1">
      <c r="A64" s="365" t="e">
        <f>IF(AND(SUM(#REF!)&lt;&gt;0,B64=""),"Please ensure all items are labelled","")</f>
        <v>#REF!</v>
      </c>
      <c r="B64" s="229"/>
      <c r="C64" s="229"/>
      <c r="D64" s="368"/>
      <c r="E64" s="21">
        <f t="shared" si="0"/>
        <v>0</v>
      </c>
      <c r="F64" s="21">
        <f t="shared" si="1"/>
        <v>0</v>
      </c>
      <c r="G64" s="367"/>
      <c r="H64" s="228"/>
      <c r="I64" s="228"/>
      <c r="J64" s="228"/>
      <c r="K64" s="228"/>
      <c r="L64" s="228"/>
      <c r="M64" s="228"/>
      <c r="N64" s="228"/>
      <c r="O64" s="228"/>
      <c r="P64" s="228"/>
      <c r="Q64" s="228"/>
      <c r="R64" s="228"/>
      <c r="S64" s="228"/>
      <c r="T64" s="228"/>
      <c r="U64" s="228"/>
      <c r="V64" s="228"/>
      <c r="W64" s="228"/>
      <c r="X64" s="228"/>
      <c r="Y64" s="228"/>
      <c r="Z64" s="228"/>
      <c r="AA64" s="228"/>
      <c r="AB64" s="228"/>
      <c r="AC64" s="228"/>
      <c r="AD64" s="10"/>
      <c r="AE64" s="14" t="str">
        <f t="shared" si="2"/>
        <v/>
      </c>
      <c r="AF64" s="33" t="str">
        <f t="shared" si="3"/>
        <v/>
      </c>
    </row>
    <row r="65" spans="1:32" ht="20.149999999999999" customHeight="1">
      <c r="A65" s="365"/>
      <c r="B65" s="369" t="s">
        <v>415</v>
      </c>
      <c r="C65" s="369"/>
      <c r="D65" s="369"/>
      <c r="E65" s="20">
        <f>SUM(E4:E64)</f>
        <v>75319.595988719433</v>
      </c>
      <c r="F65" s="20">
        <f>SUM(F4:F64)</f>
        <v>75319.595988719433</v>
      </c>
      <c r="G65" s="367"/>
      <c r="H65" s="20">
        <f t="shared" ref="H65:AA65" si="6">SUM(H4:H64)</f>
        <v>17674</v>
      </c>
      <c r="I65" s="20">
        <f t="shared" si="6"/>
        <v>17674</v>
      </c>
      <c r="J65" s="20">
        <f t="shared" si="6"/>
        <v>19731.262999999999</v>
      </c>
      <c r="K65" s="20">
        <f t="shared" si="6"/>
        <v>19731.262999999999</v>
      </c>
      <c r="L65" s="20">
        <f t="shared" si="6"/>
        <v>6986.9996553860965</v>
      </c>
      <c r="M65" s="20">
        <f t="shared" si="6"/>
        <v>6986.9996553860965</v>
      </c>
      <c r="N65" s="20">
        <f t="shared" si="6"/>
        <v>4700</v>
      </c>
      <c r="O65" s="20">
        <f t="shared" si="6"/>
        <v>4700</v>
      </c>
      <c r="P65" s="20">
        <f t="shared" si="6"/>
        <v>18379</v>
      </c>
      <c r="Q65" s="20">
        <f t="shared" si="6"/>
        <v>18379</v>
      </c>
      <c r="R65" s="20">
        <f t="shared" si="6"/>
        <v>0</v>
      </c>
      <c r="S65" s="20">
        <f t="shared" si="6"/>
        <v>0</v>
      </c>
      <c r="T65" s="20">
        <f t="shared" si="6"/>
        <v>7848.333333333333</v>
      </c>
      <c r="U65" s="20">
        <f t="shared" si="6"/>
        <v>7848.333333333333</v>
      </c>
      <c r="V65" s="20">
        <f t="shared" si="6"/>
        <v>0</v>
      </c>
      <c r="W65" s="20">
        <f t="shared" si="6"/>
        <v>0</v>
      </c>
      <c r="X65" s="20">
        <f t="shared" si="6"/>
        <v>0</v>
      </c>
      <c r="Y65" s="20">
        <f t="shared" si="6"/>
        <v>0</v>
      </c>
      <c r="Z65" s="20">
        <f t="shared" si="6"/>
        <v>0</v>
      </c>
      <c r="AA65" s="20">
        <f t="shared" si="6"/>
        <v>0</v>
      </c>
      <c r="AB65" s="20">
        <f t="shared" ref="AB65:AC65" si="7">SUM(AB4:AB64)</f>
        <v>0</v>
      </c>
      <c r="AC65" s="20">
        <f t="shared" si="7"/>
        <v>0</v>
      </c>
      <c r="AD65" s="10"/>
      <c r="AE65" s="14" t="str">
        <f t="shared" ref="AE65" si="8">IF(COUNTA(H65:AD65)&lt;&gt;COUNT(H65:AD65),"Please remove any text entries, enter numeric values only","")</f>
        <v/>
      </c>
    </row>
    <row r="66" spans="1:32">
      <c r="A66" s="10"/>
      <c r="B66" s="122"/>
      <c r="C66" s="122"/>
      <c r="D66" s="122"/>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9">
        <f>COUNTIFS(AE3:AE65,"Please*")</f>
        <v>0</v>
      </c>
      <c r="AF66" s="109">
        <f>COUNTIFS(AF3:AF65,"Please*")</f>
        <v>0</v>
      </c>
    </row>
    <row r="67" spans="1:32">
      <c r="A67" s="10"/>
      <c r="B67" s="122"/>
      <c r="C67" s="122"/>
      <c r="D67" s="122"/>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9"/>
    </row>
    <row r="68" spans="1:32">
      <c r="A68" s="10"/>
      <c r="B68" s="122"/>
      <c r="C68" s="122"/>
      <c r="D68" s="122"/>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9"/>
    </row>
    <row r="69" spans="1:32">
      <c r="A69" s="10"/>
      <c r="B69" s="122"/>
      <c r="C69" s="122"/>
      <c r="D69" s="122"/>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9"/>
    </row>
    <row r="70" spans="1:32">
      <c r="A70" s="10"/>
      <c r="B70" s="122"/>
      <c r="C70" s="122"/>
      <c r="D70" s="122"/>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9"/>
    </row>
    <row r="71" spans="1:32">
      <c r="A71" s="10"/>
      <c r="B71" s="122"/>
      <c r="C71" s="122"/>
      <c r="D71" s="122"/>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9"/>
    </row>
    <row r="72" spans="1:32">
      <c r="A72" s="10"/>
      <c r="B72" s="122"/>
      <c r="C72" s="122"/>
      <c r="D72" s="122"/>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9"/>
    </row>
    <row r="73" spans="1:32">
      <c r="A73" s="10"/>
      <c r="B73" s="122"/>
      <c r="C73" s="122"/>
      <c r="D73" s="122"/>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9"/>
    </row>
    <row r="74" spans="1:32">
      <c r="A74" s="10"/>
      <c r="B74" s="122"/>
      <c r="C74" s="122"/>
      <c r="D74" s="122"/>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9"/>
    </row>
    <row r="75" spans="1:32">
      <c r="A75" s="10"/>
      <c r="B75" s="122"/>
      <c r="C75" s="122"/>
      <c r="D75" s="122"/>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9"/>
    </row>
    <row r="76" spans="1:32">
      <c r="A76" s="10"/>
      <c r="B76" s="122"/>
      <c r="C76" s="122"/>
      <c r="D76" s="122"/>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9"/>
    </row>
    <row r="77" spans="1:32">
      <c r="A77" s="10"/>
      <c r="B77" s="122"/>
      <c r="C77" s="122"/>
      <c r="D77" s="122"/>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9"/>
    </row>
    <row r="78" spans="1:32">
      <c r="A78" s="10"/>
      <c r="B78" s="122"/>
      <c r="C78" s="122"/>
      <c r="D78" s="122"/>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9"/>
    </row>
    <row r="79" spans="1:32">
      <c r="A79" s="10"/>
      <c r="B79" s="122"/>
      <c r="C79" s="122"/>
      <c r="D79" s="122"/>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9"/>
    </row>
    <row r="80" spans="1:32">
      <c r="A80" s="10"/>
      <c r="B80" s="122"/>
      <c r="C80" s="122"/>
      <c r="D80" s="122"/>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9"/>
    </row>
    <row r="81" spans="1:31">
      <c r="A81" s="10"/>
      <c r="B81" s="122"/>
      <c r="C81" s="122"/>
      <c r="D81" s="122"/>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9"/>
    </row>
    <row r="82" spans="1:31">
      <c r="A82" s="10"/>
      <c r="B82" s="122"/>
      <c r="C82" s="122"/>
      <c r="D82" s="122"/>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9"/>
    </row>
    <row r="83" spans="1:31">
      <c r="A83" s="10"/>
      <c r="B83" s="122"/>
      <c r="C83" s="122"/>
      <c r="D83" s="122"/>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9"/>
    </row>
    <row r="84" spans="1:31">
      <c r="A84" s="10"/>
      <c r="B84" s="122"/>
      <c r="C84" s="122"/>
      <c r="D84" s="122"/>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9"/>
    </row>
    <row r="85" spans="1:31">
      <c r="A85" s="10"/>
      <c r="B85" s="122"/>
      <c r="C85" s="122"/>
      <c r="D85" s="122"/>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9"/>
    </row>
    <row r="86" spans="1:31">
      <c r="A86" s="10"/>
      <c r="B86" s="122"/>
      <c r="C86" s="122"/>
      <c r="D86" s="122"/>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9"/>
    </row>
    <row r="87" spans="1:31">
      <c r="A87" s="10"/>
      <c r="B87" s="122"/>
      <c r="C87" s="122"/>
      <c r="D87" s="122"/>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9"/>
    </row>
    <row r="88" spans="1:31">
      <c r="A88" s="10"/>
      <c r="B88" s="122"/>
      <c r="C88" s="122"/>
      <c r="D88" s="122"/>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9"/>
    </row>
    <row r="89" spans="1:31">
      <c r="A89" s="10"/>
      <c r="B89" s="122"/>
      <c r="C89" s="122"/>
      <c r="D89" s="122"/>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9"/>
    </row>
    <row r="90" spans="1:31">
      <c r="A90" s="10"/>
      <c r="B90" s="122"/>
      <c r="C90" s="122"/>
      <c r="D90" s="122"/>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9"/>
    </row>
    <row r="91" spans="1:31">
      <c r="A91" s="10"/>
      <c r="B91" s="122"/>
      <c r="C91" s="122"/>
      <c r="D91" s="122"/>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9"/>
    </row>
    <row r="92" spans="1:31">
      <c r="A92" s="10"/>
      <c r="B92" s="122"/>
      <c r="C92" s="122"/>
      <c r="D92" s="122"/>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row>
    <row r="93" spans="1:31">
      <c r="A93" s="10"/>
      <c r="B93" s="122"/>
      <c r="C93" s="122"/>
      <c r="D93" s="122"/>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row>
    <row r="94" spans="1:31">
      <c r="A94" s="10"/>
      <c r="B94" s="122"/>
      <c r="C94" s="122"/>
      <c r="D94" s="122"/>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row>
    <row r="95" spans="1:31">
      <c r="A95" s="10"/>
      <c r="B95" s="122"/>
      <c r="C95" s="122"/>
      <c r="D95" s="122"/>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row>
    <row r="96" spans="1:31">
      <c r="A96" s="10"/>
      <c r="B96" s="122"/>
      <c r="C96" s="122"/>
      <c r="D96" s="122"/>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row>
    <row r="97" spans="1:30">
      <c r="A97" s="10"/>
      <c r="B97" s="122"/>
      <c r="C97" s="122"/>
      <c r="D97" s="122"/>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row>
    <row r="98" spans="1:30">
      <c r="A98" s="10"/>
      <c r="B98" s="122"/>
      <c r="C98" s="122"/>
      <c r="D98" s="122"/>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row>
    <row r="99" spans="1:30">
      <c r="A99" s="10"/>
      <c r="B99" s="122"/>
      <c r="C99" s="122"/>
      <c r="D99" s="122"/>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row>
    <row r="100" spans="1:30">
      <c r="A100" s="10"/>
      <c r="B100" s="122"/>
      <c r="C100" s="122"/>
      <c r="D100" s="122"/>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row>
  </sheetData>
  <sheetProtection sheet="1" objects="1" scenarios="1"/>
  <customSheetViews>
    <customSheetView guid="{95B84344-25FE-4A71-9083-825DAB5E8F01}" scale="70" hiddenRows="1" hiddenColumns="1">
      <pane xSplit="1" ySplit="8" topLeftCell="B9" activePane="bottomRight" state="frozen"/>
      <selection pane="bottomRight" activeCell="H12" sqref="H12"/>
      <pageMargins left="0" right="0" top="0" bottom="0" header="0" footer="0"/>
      <pageSetup paperSize="9" orientation="portrait" r:id="rId1"/>
    </customSheetView>
  </customSheetViews>
  <pageMargins left="0.70866141732283472" right="0.70866141732283472" top="0.74803149606299213" bottom="0.74803149606299213" header="0.31496062992125984" footer="0.31496062992125984"/>
  <pageSetup paperSize="9" scale="26" fitToHeight="0" orientation="landscape"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700-000000000000}">
          <x14:formula1>
            <xm:f>'A3 Cost Pressures Summary'!$B$5:$B$10</xm:f>
          </x14:formula1>
          <xm:sqref>C4:C6 C9</xm:sqref>
        </x14:dataValidation>
        <x14:dataValidation type="list" allowBlank="1" showInputMessage="1" showErrorMessage="1" xr:uid="{00000000-0002-0000-1700-000001000000}">
          <x14:formula1>
            <xm:f>'A3 Cost Pressures Summary'!$B$34:$B$43</xm:f>
          </x14:formula1>
          <xm:sqref>D4:D64</xm:sqref>
        </x14:dataValidation>
        <x14:dataValidation type="list" allowBlank="1" showInputMessage="1" showErrorMessage="1" xr:uid="{00000000-0002-0000-1700-000002000000}">
          <x14:formula1>
            <xm:f>'F1 - Revenue Plan'!$A$17:$A$23</xm:f>
          </x14:formula1>
          <xm:sqref>C7:C8 C10:C64</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A7"/>
  <sheetViews>
    <sheetView topLeftCell="G1" workbookViewId="0">
      <selection activeCell="Q16" sqref="Q16"/>
    </sheetView>
  </sheetViews>
  <sheetFormatPr defaultRowHeight="15.5"/>
  <cols>
    <col min="1" max="1" width="13.69140625" customWidth="1"/>
    <col min="2" max="2" width="10.53515625" customWidth="1"/>
    <col min="21" max="21" width="14.84375" customWidth="1"/>
    <col min="22" max="22" width="16.53515625" customWidth="1"/>
  </cols>
  <sheetData>
    <row r="1" spans="1:105" s="113" customFormat="1" ht="84.75" customHeight="1">
      <c r="A1" s="113" t="s">
        <v>598</v>
      </c>
      <c r="B1" s="156" t="s">
        <v>2</v>
      </c>
      <c r="C1" s="156"/>
      <c r="D1" s="155" t="s">
        <v>599</v>
      </c>
      <c r="E1" s="155" t="s">
        <v>600</v>
      </c>
      <c r="F1" s="155" t="s">
        <v>601</v>
      </c>
      <c r="G1" s="155" t="s">
        <v>602</v>
      </c>
      <c r="H1" s="157" t="s">
        <v>603</v>
      </c>
      <c r="I1" s="158" t="s">
        <v>604</v>
      </c>
      <c r="J1" s="158" t="s">
        <v>605</v>
      </c>
      <c r="K1" s="158" t="s">
        <v>606</v>
      </c>
      <c r="L1" s="158" t="s">
        <v>607</v>
      </c>
      <c r="M1" s="158" t="s">
        <v>608</v>
      </c>
      <c r="N1" s="158" t="s">
        <v>609</v>
      </c>
      <c r="O1" s="159" t="s">
        <v>610</v>
      </c>
      <c r="P1" s="155" t="s">
        <v>611</v>
      </c>
      <c r="Q1" s="159" t="s">
        <v>612</v>
      </c>
      <c r="R1" s="160" t="s">
        <v>547</v>
      </c>
      <c r="S1" s="160" t="s">
        <v>613</v>
      </c>
      <c r="T1" s="160" t="s">
        <v>614</v>
      </c>
      <c r="U1" s="160" t="s">
        <v>615</v>
      </c>
      <c r="V1" s="160" t="s">
        <v>616</v>
      </c>
      <c r="W1" s="160" t="s">
        <v>617</v>
      </c>
      <c r="X1" s="161" t="s">
        <v>618</v>
      </c>
      <c r="Y1" s="161" t="s">
        <v>619</v>
      </c>
      <c r="Z1" s="161" t="s">
        <v>620</v>
      </c>
      <c r="AA1" s="161" t="s">
        <v>621</v>
      </c>
      <c r="AB1" s="161" t="s">
        <v>622</v>
      </c>
      <c r="AC1" s="161" t="s">
        <v>623</v>
      </c>
      <c r="AD1" s="161" t="s">
        <v>624</v>
      </c>
      <c r="AE1" s="161" t="s">
        <v>625</v>
      </c>
      <c r="AF1" s="161" t="s">
        <v>626</v>
      </c>
      <c r="AG1" s="161" t="s">
        <v>627</v>
      </c>
      <c r="AH1" s="161" t="s">
        <v>628</v>
      </c>
      <c r="AI1" s="161" t="s">
        <v>629</v>
      </c>
      <c r="AJ1" s="161" t="s">
        <v>630</v>
      </c>
      <c r="AK1" s="161" t="s">
        <v>631</v>
      </c>
      <c r="AL1" s="161" t="s">
        <v>632</v>
      </c>
      <c r="AM1" s="161" t="s">
        <v>633</v>
      </c>
      <c r="AN1" s="161" t="s">
        <v>634</v>
      </c>
      <c r="AO1" s="161" t="s">
        <v>635</v>
      </c>
      <c r="AP1" s="161" t="s">
        <v>636</v>
      </c>
      <c r="AQ1" s="161" t="s">
        <v>637</v>
      </c>
      <c r="AR1" s="161" t="s">
        <v>638</v>
      </c>
      <c r="AS1" s="161" t="s">
        <v>639</v>
      </c>
      <c r="AT1" s="161" t="s">
        <v>640</v>
      </c>
      <c r="AU1" s="161" t="s">
        <v>641</v>
      </c>
      <c r="AV1" s="161" t="s">
        <v>642</v>
      </c>
      <c r="AW1" s="160" t="s">
        <v>643</v>
      </c>
      <c r="AX1" s="160" t="s">
        <v>644</v>
      </c>
      <c r="AY1" s="162" t="s">
        <v>645</v>
      </c>
      <c r="AZ1" s="162" t="s">
        <v>646</v>
      </c>
      <c r="BA1" s="162" t="s">
        <v>647</v>
      </c>
      <c r="BB1" s="162" t="s">
        <v>648</v>
      </c>
      <c r="BC1" s="162" t="s">
        <v>649</v>
      </c>
      <c r="BD1" s="162" t="s">
        <v>650</v>
      </c>
      <c r="BE1" s="162" t="s">
        <v>651</v>
      </c>
      <c r="BF1" s="162" t="s">
        <v>652</v>
      </c>
      <c r="BG1" s="162" t="s">
        <v>653</v>
      </c>
      <c r="BH1" s="162" t="s">
        <v>654</v>
      </c>
      <c r="BI1" s="162" t="s">
        <v>655</v>
      </c>
      <c r="BJ1" s="162" t="s">
        <v>656</v>
      </c>
      <c r="BK1" s="160" t="s">
        <v>657</v>
      </c>
      <c r="BL1" s="160" t="s">
        <v>658</v>
      </c>
      <c r="BM1" s="160" t="s">
        <v>659</v>
      </c>
      <c r="BN1" s="160" t="s">
        <v>660</v>
      </c>
      <c r="BO1" s="160" t="s">
        <v>661</v>
      </c>
      <c r="BP1" s="160" t="s">
        <v>662</v>
      </c>
      <c r="BQ1" s="160" t="s">
        <v>663</v>
      </c>
      <c r="BR1" s="160" t="s">
        <v>163</v>
      </c>
      <c r="BS1" s="160" t="s">
        <v>664</v>
      </c>
      <c r="BT1" s="160" t="s">
        <v>164</v>
      </c>
      <c r="BU1" s="160" t="s">
        <v>665</v>
      </c>
      <c r="BV1" s="160" t="s">
        <v>666</v>
      </c>
      <c r="BW1" s="160" t="s">
        <v>667</v>
      </c>
      <c r="BX1" s="160" t="s">
        <v>668</v>
      </c>
      <c r="CK1" s="163"/>
      <c r="DA1" s="6"/>
    </row>
    <row r="2" spans="1:105" s="163" customFormat="1" ht="17.149999999999999" customHeight="1"/>
    <row r="3" spans="1:105" s="163" customFormat="1" ht="65">
      <c r="A3" s="113" t="s">
        <v>669</v>
      </c>
      <c r="B3" s="35" t="s">
        <v>2</v>
      </c>
      <c r="C3" s="35"/>
      <c r="D3" s="35" t="s">
        <v>599</v>
      </c>
      <c r="E3" s="35" t="s">
        <v>600</v>
      </c>
      <c r="F3" s="35" t="s">
        <v>601</v>
      </c>
      <c r="G3" s="35" t="s">
        <v>602</v>
      </c>
      <c r="H3" s="52" t="s">
        <v>670</v>
      </c>
      <c r="I3" s="53" t="s">
        <v>604</v>
      </c>
      <c r="J3" s="53" t="s">
        <v>605</v>
      </c>
      <c r="O3" s="54" t="s">
        <v>610</v>
      </c>
      <c r="P3" s="35" t="s">
        <v>611</v>
      </c>
      <c r="Q3" s="54" t="s">
        <v>671</v>
      </c>
      <c r="R3" s="35" t="s">
        <v>547</v>
      </c>
      <c r="S3" s="35" t="s">
        <v>672</v>
      </c>
      <c r="T3" s="35" t="s">
        <v>614</v>
      </c>
      <c r="U3" s="35" t="s">
        <v>673</v>
      </c>
      <c r="X3" s="53" t="s">
        <v>674</v>
      </c>
      <c r="Y3" s="53" t="s">
        <v>675</v>
      </c>
      <c r="Z3" s="53" t="s">
        <v>676</v>
      </c>
      <c r="AA3" s="53" t="s">
        <v>677</v>
      </c>
      <c r="AB3" s="53" t="s">
        <v>678</v>
      </c>
      <c r="AC3" s="53" t="s">
        <v>679</v>
      </c>
      <c r="AD3" s="53" t="s">
        <v>680</v>
      </c>
      <c r="AE3" s="53" t="s">
        <v>681</v>
      </c>
      <c r="AF3" s="53" t="s">
        <v>682</v>
      </c>
      <c r="AG3" s="53" t="s">
        <v>683</v>
      </c>
      <c r="AH3" s="53" t="s">
        <v>684</v>
      </c>
      <c r="AI3" s="53" t="s">
        <v>685</v>
      </c>
      <c r="AJ3" s="53" t="s">
        <v>686</v>
      </c>
      <c r="BL3" s="53" t="s">
        <v>658</v>
      </c>
      <c r="BM3" s="53" t="s">
        <v>659</v>
      </c>
      <c r="BN3" s="53" t="s">
        <v>687</v>
      </c>
      <c r="BO3" s="53" t="s">
        <v>688</v>
      </c>
      <c r="BR3" s="53" t="s">
        <v>163</v>
      </c>
      <c r="BT3" s="53" t="s">
        <v>164</v>
      </c>
      <c r="BY3" s="54" t="s">
        <v>689</v>
      </c>
      <c r="BZ3" s="35" t="s">
        <v>690</v>
      </c>
    </row>
    <row r="4" spans="1:105" s="163" customFormat="1"/>
    <row r="5" spans="1:105" s="163" customFormat="1"/>
    <row r="6" spans="1:105" s="113" customFormat="1" ht="84.75" customHeight="1">
      <c r="A6" s="113" t="s">
        <v>691</v>
      </c>
      <c r="B6" s="155" t="s">
        <v>2</v>
      </c>
      <c r="C6" s="156"/>
      <c r="D6" s="155" t="s">
        <v>599</v>
      </c>
      <c r="E6" s="155" t="s">
        <v>600</v>
      </c>
      <c r="F6" s="155" t="s">
        <v>601</v>
      </c>
      <c r="G6" s="155" t="s">
        <v>602</v>
      </c>
      <c r="H6" s="157" t="s">
        <v>603</v>
      </c>
      <c r="I6" s="158" t="s">
        <v>604</v>
      </c>
      <c r="J6" s="158" t="s">
        <v>605</v>
      </c>
      <c r="K6" s="158" t="s">
        <v>606</v>
      </c>
      <c r="L6" s="158" t="s">
        <v>607</v>
      </c>
      <c r="M6" s="158" t="s">
        <v>608</v>
      </c>
      <c r="N6" s="158" t="s">
        <v>609</v>
      </c>
      <c r="O6" s="159" t="s">
        <v>610</v>
      </c>
      <c r="P6" s="155" t="s">
        <v>611</v>
      </c>
      <c r="Q6" s="159" t="s">
        <v>612</v>
      </c>
      <c r="R6" s="160" t="s">
        <v>547</v>
      </c>
      <c r="S6" s="165"/>
      <c r="T6" s="160" t="s">
        <v>614</v>
      </c>
      <c r="U6" s="160" t="s">
        <v>615</v>
      </c>
      <c r="V6" s="165" t="s">
        <v>613</v>
      </c>
      <c r="W6" s="165" t="s">
        <v>617</v>
      </c>
      <c r="X6" s="161" t="s">
        <v>618</v>
      </c>
      <c r="Y6" s="161" t="s">
        <v>619</v>
      </c>
      <c r="Z6" s="161" t="s">
        <v>620</v>
      </c>
      <c r="AA6" s="161" t="s">
        <v>621</v>
      </c>
      <c r="AB6" s="161" t="s">
        <v>622</v>
      </c>
      <c r="AC6" s="161" t="s">
        <v>623</v>
      </c>
      <c r="AD6" s="161" t="s">
        <v>624</v>
      </c>
      <c r="AE6" s="161" t="s">
        <v>625</v>
      </c>
      <c r="AF6" s="161" t="s">
        <v>626</v>
      </c>
      <c r="AG6" s="161" t="s">
        <v>627</v>
      </c>
      <c r="AH6" s="161" t="s">
        <v>628</v>
      </c>
      <c r="AI6" s="161" t="s">
        <v>629</v>
      </c>
      <c r="AJ6" s="161" t="s">
        <v>630</v>
      </c>
      <c r="AK6" s="161" t="s">
        <v>631</v>
      </c>
      <c r="AL6" s="161" t="s">
        <v>632</v>
      </c>
      <c r="AM6" s="161" t="s">
        <v>633</v>
      </c>
      <c r="AN6" s="161" t="s">
        <v>634</v>
      </c>
      <c r="AO6" s="161" t="s">
        <v>635</v>
      </c>
      <c r="AP6" s="161" t="s">
        <v>636</v>
      </c>
      <c r="AQ6" s="161" t="s">
        <v>637</v>
      </c>
      <c r="AR6" s="161" t="s">
        <v>638</v>
      </c>
      <c r="AS6" s="161" t="s">
        <v>639</v>
      </c>
      <c r="AT6" s="161" t="s">
        <v>640</v>
      </c>
      <c r="AU6" s="161" t="s">
        <v>641</v>
      </c>
      <c r="AV6" s="161" t="s">
        <v>642</v>
      </c>
      <c r="AW6" s="160" t="s">
        <v>643</v>
      </c>
      <c r="AX6" s="160" t="s">
        <v>644</v>
      </c>
      <c r="AY6" s="162" t="s">
        <v>645</v>
      </c>
      <c r="AZ6" s="162" t="s">
        <v>646</v>
      </c>
      <c r="BA6" s="162" t="s">
        <v>647</v>
      </c>
      <c r="BB6" s="162" t="s">
        <v>648</v>
      </c>
      <c r="BC6" s="162" t="s">
        <v>649</v>
      </c>
      <c r="BD6" s="162" t="s">
        <v>650</v>
      </c>
      <c r="BE6" s="162" t="s">
        <v>651</v>
      </c>
      <c r="BF6" s="162" t="s">
        <v>652</v>
      </c>
      <c r="BG6" s="162" t="s">
        <v>653</v>
      </c>
      <c r="BH6" s="162" t="s">
        <v>654</v>
      </c>
      <c r="BI6" s="162" t="s">
        <v>655</v>
      </c>
      <c r="BJ6" s="162" t="s">
        <v>656</v>
      </c>
      <c r="BK6" s="160" t="s">
        <v>657</v>
      </c>
      <c r="BL6" s="160" t="s">
        <v>658</v>
      </c>
      <c r="BM6" s="160" t="s">
        <v>659</v>
      </c>
      <c r="BN6" s="160" t="s">
        <v>660</v>
      </c>
      <c r="BO6" s="160" t="s">
        <v>661</v>
      </c>
      <c r="BP6" s="160" t="s">
        <v>662</v>
      </c>
      <c r="BQ6" s="160" t="s">
        <v>663</v>
      </c>
      <c r="BR6" s="160" t="s">
        <v>163</v>
      </c>
      <c r="BS6" s="160" t="s">
        <v>664</v>
      </c>
      <c r="BT6" s="160" t="s">
        <v>164</v>
      </c>
      <c r="BU6" s="160" t="s">
        <v>665</v>
      </c>
      <c r="BV6" s="160" t="s">
        <v>666</v>
      </c>
      <c r="BW6" s="160" t="s">
        <v>667</v>
      </c>
      <c r="BX6" s="160" t="s">
        <v>668</v>
      </c>
      <c r="CK6" s="163"/>
      <c r="DA6" s="6"/>
    </row>
    <row r="7" spans="1:105" s="163" customFormat="1" ht="65">
      <c r="A7" s="113" t="s">
        <v>692</v>
      </c>
      <c r="B7" s="35" t="s">
        <v>2</v>
      </c>
      <c r="C7" s="35" t="s">
        <v>693</v>
      </c>
      <c r="D7" s="35" t="s">
        <v>599</v>
      </c>
      <c r="E7" s="35" t="s">
        <v>600</v>
      </c>
      <c r="F7" s="35" t="s">
        <v>601</v>
      </c>
      <c r="G7" s="35" t="s">
        <v>602</v>
      </c>
      <c r="H7" s="52" t="s">
        <v>670</v>
      </c>
      <c r="I7" s="53" t="s">
        <v>604</v>
      </c>
      <c r="J7" s="53" t="s">
        <v>605</v>
      </c>
      <c r="O7" s="54" t="s">
        <v>610</v>
      </c>
      <c r="P7" s="35" t="s">
        <v>611</v>
      </c>
      <c r="Q7" s="54" t="s">
        <v>671</v>
      </c>
      <c r="R7" s="35" t="s">
        <v>547</v>
      </c>
      <c r="S7" s="164"/>
      <c r="T7" s="35" t="s">
        <v>614</v>
      </c>
      <c r="U7" s="35" t="s">
        <v>673</v>
      </c>
      <c r="V7" s="164" t="s">
        <v>613</v>
      </c>
      <c r="W7" s="164" t="s">
        <v>694</v>
      </c>
      <c r="X7" s="53" t="s">
        <v>674</v>
      </c>
      <c r="Y7" s="53" t="s">
        <v>675</v>
      </c>
      <c r="Z7" s="53" t="s">
        <v>676</v>
      </c>
      <c r="AA7" s="53" t="s">
        <v>677</v>
      </c>
      <c r="AB7" s="53" t="s">
        <v>678</v>
      </c>
      <c r="AC7" s="53" t="s">
        <v>679</v>
      </c>
      <c r="AD7" s="53" t="s">
        <v>680</v>
      </c>
      <c r="AE7" s="53" t="s">
        <v>681</v>
      </c>
      <c r="AF7" s="53" t="s">
        <v>682</v>
      </c>
      <c r="AG7" s="53" t="s">
        <v>683</v>
      </c>
      <c r="AH7" s="53" t="s">
        <v>684</v>
      </c>
      <c r="AI7" s="53" t="s">
        <v>685</v>
      </c>
      <c r="AJ7" s="53" t="s">
        <v>686</v>
      </c>
    </row>
  </sheetData>
  <conditionalFormatting sqref="R1:W1 R6:W6">
    <cfRule type="cellIs" dxfId="2" priority="4" stopIfTrue="1" operator="equal">
      <formula>"Green"</formula>
    </cfRule>
    <cfRule type="cellIs" dxfId="1" priority="5" stopIfTrue="1" operator="equal">
      <formula>"Amber"</formula>
    </cfRule>
    <cfRule type="cellIs" dxfId="0" priority="6" stopIfTrue="1" operator="equal">
      <formula>"Red"</formula>
    </cfRule>
  </conditionalFormatting>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79998168889431442"/>
    <pageSetUpPr fitToPage="1"/>
  </sheetPr>
  <dimension ref="A1:CZ1001"/>
  <sheetViews>
    <sheetView showGridLines="0" zoomScale="90" zoomScaleNormal="90" workbookViewId="0">
      <pane xSplit="3" ySplit="1" topLeftCell="F2" activePane="bottomRight" state="frozenSplit"/>
      <selection pane="topRight"/>
      <selection pane="bottomLeft"/>
      <selection pane="bottomRight" activeCell="K12" sqref="K12"/>
    </sheetView>
  </sheetViews>
  <sheetFormatPr defaultColWidth="9.07421875" defaultRowHeight="15.5"/>
  <cols>
    <col min="1" max="1" width="4.53515625" customWidth="1"/>
    <col min="2" max="2" width="20.3046875" customWidth="1"/>
    <col min="3" max="3" width="36.53515625" customWidth="1"/>
    <col min="4" max="7" width="15.765625" customWidth="1"/>
    <col min="8" max="8" width="30.53515625" customWidth="1"/>
    <col min="9" max="14" width="15.765625" customWidth="1"/>
    <col min="15" max="15" width="35.23046875" customWidth="1"/>
    <col min="16" max="16" width="13.53515625" customWidth="1"/>
    <col min="17" max="17" width="23" customWidth="1"/>
    <col min="18" max="33" width="15.765625" customWidth="1"/>
    <col min="34" max="34" width="15.765625" hidden="1" customWidth="1"/>
    <col min="35" max="39" width="15.765625" customWidth="1"/>
    <col min="40" max="41" width="24.07421875" customWidth="1"/>
    <col min="42" max="47" width="15.765625" customWidth="1"/>
  </cols>
  <sheetData>
    <row r="1" spans="1:104" s="357" customFormat="1" ht="117.5">
      <c r="A1" s="111" t="s">
        <v>695</v>
      </c>
      <c r="B1" s="111" t="s">
        <v>2</v>
      </c>
      <c r="C1" s="111" t="s">
        <v>602</v>
      </c>
      <c r="D1" s="111" t="s">
        <v>599</v>
      </c>
      <c r="E1" s="111" t="s">
        <v>600</v>
      </c>
      <c r="F1" s="111" t="s">
        <v>601</v>
      </c>
      <c r="G1" s="351" t="s">
        <v>670</v>
      </c>
      <c r="H1" s="111" t="s">
        <v>696</v>
      </c>
      <c r="I1" s="352" t="s">
        <v>604</v>
      </c>
      <c r="J1" s="352" t="s">
        <v>605</v>
      </c>
      <c r="K1" s="353" t="s">
        <v>610</v>
      </c>
      <c r="L1" s="111" t="s">
        <v>611</v>
      </c>
      <c r="M1" s="353" t="s">
        <v>671</v>
      </c>
      <c r="N1" s="111" t="s">
        <v>547</v>
      </c>
      <c r="O1" s="111" t="s">
        <v>697</v>
      </c>
      <c r="P1" s="111" t="s">
        <v>698</v>
      </c>
      <c r="Q1" s="111" t="s">
        <v>699</v>
      </c>
      <c r="R1" s="352" t="s">
        <v>674</v>
      </c>
      <c r="S1" s="352" t="s">
        <v>675</v>
      </c>
      <c r="T1" s="352" t="s">
        <v>676</v>
      </c>
      <c r="U1" s="352" t="s">
        <v>677</v>
      </c>
      <c r="V1" s="352" t="s">
        <v>678</v>
      </c>
      <c r="W1" s="352" t="s">
        <v>679</v>
      </c>
      <c r="X1" s="352" t="s">
        <v>680</v>
      </c>
      <c r="Y1" s="352" t="s">
        <v>681</v>
      </c>
      <c r="Z1" s="352" t="s">
        <v>682</v>
      </c>
      <c r="AA1" s="352" t="s">
        <v>683</v>
      </c>
      <c r="AB1" s="352" t="s">
        <v>684</v>
      </c>
      <c r="AC1" s="352" t="s">
        <v>685</v>
      </c>
      <c r="AD1" s="352" t="s">
        <v>686</v>
      </c>
      <c r="AE1" s="352" t="s">
        <v>658</v>
      </c>
      <c r="AF1" s="352" t="s">
        <v>659</v>
      </c>
      <c r="AG1" s="352" t="s">
        <v>687</v>
      </c>
      <c r="AH1" s="352" t="s">
        <v>688</v>
      </c>
      <c r="AI1" s="352" t="s">
        <v>163</v>
      </c>
      <c r="AJ1" s="352" t="s">
        <v>164</v>
      </c>
      <c r="AK1" s="353" t="s">
        <v>689</v>
      </c>
      <c r="AL1" s="111" t="s">
        <v>690</v>
      </c>
      <c r="AM1" s="111" t="s">
        <v>700</v>
      </c>
      <c r="AN1" s="354" t="s">
        <v>701</v>
      </c>
      <c r="AO1" s="354" t="s">
        <v>702</v>
      </c>
      <c r="AP1" s="355"/>
      <c r="AQ1" s="355" t="s">
        <v>703</v>
      </c>
      <c r="AR1" s="355"/>
      <c r="AS1" s="355"/>
      <c r="AT1" s="355"/>
      <c r="AU1" s="355"/>
      <c r="AV1" s="355"/>
      <c r="AW1" s="355"/>
      <c r="AX1" s="355"/>
      <c r="AY1" s="355"/>
      <c r="AZ1" s="355"/>
      <c r="BA1" s="355"/>
      <c r="BB1" s="355"/>
      <c r="BC1" s="355"/>
      <c r="BD1" s="355"/>
      <c r="BE1" s="355"/>
      <c r="BF1" s="355"/>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6"/>
      <c r="CH1" s="356"/>
      <c r="CI1" s="356"/>
      <c r="CJ1" s="356"/>
      <c r="CK1" s="356"/>
      <c r="CL1" s="356"/>
      <c r="CM1" s="356"/>
      <c r="CN1" s="356"/>
      <c r="CO1" s="356"/>
      <c r="CP1" s="356"/>
      <c r="CQ1" s="356"/>
      <c r="CR1" s="356"/>
      <c r="CS1" s="356"/>
      <c r="CT1" s="356"/>
      <c r="CU1" s="356"/>
      <c r="CV1" s="356"/>
      <c r="CW1" s="356"/>
      <c r="CX1" s="356"/>
      <c r="CY1" s="356"/>
      <c r="CZ1" s="356"/>
    </row>
    <row r="2" spans="1:104" s="40" customFormat="1" ht="20.149999999999999" customHeight="1">
      <c r="A2" s="358">
        <v>1</v>
      </c>
      <c r="B2" s="359" t="str">
        <f>'Front Sheet and Checklist'!$C$5</f>
        <v>Swansea Bay UHB</v>
      </c>
      <c r="C2" s="360" t="s">
        <v>250</v>
      </c>
      <c r="D2" s="360" t="s">
        <v>250</v>
      </c>
      <c r="E2" s="360" t="s">
        <v>250</v>
      </c>
      <c r="F2" s="360" t="s">
        <v>250</v>
      </c>
      <c r="G2" s="360" t="s">
        <v>250</v>
      </c>
      <c r="H2" s="359" t="s">
        <v>420</v>
      </c>
      <c r="I2" s="361">
        <f>AD2</f>
        <v>12719.999999999998</v>
      </c>
      <c r="J2" s="24">
        <f>I2</f>
        <v>12719.999999999998</v>
      </c>
      <c r="K2" s="360" t="s">
        <v>250</v>
      </c>
      <c r="L2" s="360" t="s">
        <v>250</v>
      </c>
      <c r="M2" s="360" t="s">
        <v>704</v>
      </c>
      <c r="N2" s="360" t="s">
        <v>250</v>
      </c>
      <c r="O2" s="17" t="s">
        <v>705</v>
      </c>
      <c r="P2" s="360" t="s">
        <v>250</v>
      </c>
      <c r="Q2" s="360" t="s">
        <v>250</v>
      </c>
      <c r="R2" s="24">
        <f>26100/12-R4-R5-R6-R7-R8-R9-R10-R11-R13-R14-R15</f>
        <v>1059.9999999999995</v>
      </c>
      <c r="S2" s="24">
        <f t="shared" ref="S2:AC2" si="0">26100/12-S4-S5-S6-S7-S8-S9-S10-S11-S13-S14-S15</f>
        <v>1059.9999999999995</v>
      </c>
      <c r="T2" s="24">
        <f t="shared" si="0"/>
        <v>1059.9999999999995</v>
      </c>
      <c r="U2" s="24">
        <f t="shared" si="0"/>
        <v>1059.9999999999995</v>
      </c>
      <c r="V2" s="24">
        <f t="shared" si="0"/>
        <v>1059.9999999999995</v>
      </c>
      <c r="W2" s="24">
        <f t="shared" si="0"/>
        <v>1059.9999999999995</v>
      </c>
      <c r="X2" s="24">
        <f t="shared" si="0"/>
        <v>1059.9999999999995</v>
      </c>
      <c r="Y2" s="24">
        <f t="shared" si="0"/>
        <v>1059.9999999999995</v>
      </c>
      <c r="Z2" s="24">
        <f t="shared" si="0"/>
        <v>1059.9999999999995</v>
      </c>
      <c r="AA2" s="24">
        <f t="shared" si="0"/>
        <v>1059.9999999999995</v>
      </c>
      <c r="AB2" s="24">
        <f t="shared" si="0"/>
        <v>1059.9999999999995</v>
      </c>
      <c r="AC2" s="24">
        <f t="shared" si="0"/>
        <v>1059.9999999999995</v>
      </c>
      <c r="AD2" s="361">
        <f t="shared" ref="AD2:AD57" si="1">SUM(R2:AC2)</f>
        <v>12719.999999999998</v>
      </c>
      <c r="AE2" s="359" t="str">
        <f t="shared" ref="AE2:AE65" si="2">IF(AND(I2&gt;0,H2&lt;&gt;"Income Generation"),IF(AND(H2&lt;&gt;"",D2&lt;&gt;"",E2&lt;&gt;"",F2&lt;&gt;"",C2&lt;&gt;"",G2&lt;&gt;"",K2&lt;&gt;"",L2&lt;&gt;"",M2&lt;&gt;"",N2&lt;&gt;"",P2&lt;&gt;"",Q2&lt;&gt;"",O2&lt;&gt;""),"","ERROR"),"")</f>
        <v/>
      </c>
      <c r="AF2" s="359"/>
      <c r="AG2" s="359" t="str">
        <f t="shared" ref="AG2:AG65" si="3">IF(AND(I2&gt;0,O2=""),"ERROR","")</f>
        <v/>
      </c>
      <c r="AH2" s="359" t="str">
        <f t="shared" ref="AH2:AH65" si="4">IF(AND(OR(H2="Income Generation"),O2&lt;&gt;""),"ERROR","")</f>
        <v/>
      </c>
      <c r="AI2" s="359" t="str">
        <f t="shared" ref="AI2:AI65" si="5">IF(AND(G2="R",I2&gt;J2),"ERROR","")</f>
        <v/>
      </c>
      <c r="AJ2" s="359" t="str">
        <f t="shared" ref="AJ2:AJ65" si="6">IF(AND(G2="NR",J2&gt;0),"ERROR","")</f>
        <v/>
      </c>
      <c r="AK2" s="359" t="str">
        <f>IF(OR(K2="",K2="N/a"),"",IF(OR(K2&lt;DATEVALUE("01/04/24"),K2&gt;DATEVALUE("31/03/25")),"ERROR",""))</f>
        <v/>
      </c>
      <c r="AL2" s="359" t="str">
        <f t="shared" ref="AL2:AL65" si="7">IF(OR(L2="",L2="N/A"),"",IF(OR(L2&lt;DATEVALUE("01/04/24"),L2&gt;DATEVALUE("31/03/25")),"ERROR",""))</f>
        <v/>
      </c>
      <c r="AM2" s="359" t="str">
        <f>IF(COUNTA(T2:AC2)&lt;&gt;COUNT(T2:AC2),"ERROR","")</f>
        <v/>
      </c>
      <c r="AN2" s="360" t="s">
        <v>250</v>
      </c>
      <c r="AO2" s="360"/>
      <c r="AP2" s="38"/>
      <c r="AQ2" s="38">
        <f>COUNTIFS(AE2:AL2,"Error")</f>
        <v>0</v>
      </c>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row>
    <row r="3" spans="1:104" s="40" customFormat="1" ht="20.149999999999999" customHeight="1">
      <c r="A3" s="358">
        <f>+A2+1</f>
        <v>2</v>
      </c>
      <c r="B3" s="359" t="str">
        <f>'Front Sheet and Checklist'!$C$5</f>
        <v>Swansea Bay UHB</v>
      </c>
      <c r="C3" s="360" t="s">
        <v>250</v>
      </c>
      <c r="D3" s="360" t="s">
        <v>250</v>
      </c>
      <c r="E3" s="360" t="s">
        <v>250</v>
      </c>
      <c r="F3" s="360" t="s">
        <v>250</v>
      </c>
      <c r="G3" s="360" t="s">
        <v>250</v>
      </c>
      <c r="H3" s="359" t="s">
        <v>420</v>
      </c>
      <c r="I3" s="361">
        <f>AD3</f>
        <v>0</v>
      </c>
      <c r="J3" s="24">
        <f>I3</f>
        <v>0</v>
      </c>
      <c r="K3" s="360" t="s">
        <v>250</v>
      </c>
      <c r="L3" s="360" t="s">
        <v>250</v>
      </c>
      <c r="M3" s="360" t="s">
        <v>704</v>
      </c>
      <c r="N3" s="360" t="s">
        <v>250</v>
      </c>
      <c r="O3" s="17" t="s">
        <v>706</v>
      </c>
      <c r="P3" s="360" t="s">
        <v>250</v>
      </c>
      <c r="Q3" s="360" t="s">
        <v>250</v>
      </c>
      <c r="R3" s="24"/>
      <c r="S3" s="24"/>
      <c r="T3" s="24"/>
      <c r="U3" s="24"/>
      <c r="V3" s="24"/>
      <c r="W3" s="24"/>
      <c r="X3" s="24"/>
      <c r="Y3" s="24"/>
      <c r="Z3" s="24"/>
      <c r="AA3" s="24"/>
      <c r="AB3" s="24"/>
      <c r="AC3" s="24"/>
      <c r="AD3" s="361">
        <f t="shared" si="1"/>
        <v>0</v>
      </c>
      <c r="AE3" s="359" t="str">
        <f t="shared" si="2"/>
        <v/>
      </c>
      <c r="AF3" s="359"/>
      <c r="AG3" s="359" t="str">
        <f t="shared" si="3"/>
        <v/>
      </c>
      <c r="AH3" s="359" t="str">
        <f t="shared" si="4"/>
        <v/>
      </c>
      <c r="AI3" s="359" t="str">
        <f t="shared" si="5"/>
        <v/>
      </c>
      <c r="AJ3" s="359" t="str">
        <f t="shared" si="6"/>
        <v/>
      </c>
      <c r="AK3" s="359" t="str">
        <f t="shared" ref="AK3:AK66" si="8">IF(OR(K3="",K3="N/a"),"",IF(OR(K3&lt;DATEVALUE("01/04/24"),K3&gt;DATEVALUE("31/03/25")),"ERROR",""))</f>
        <v/>
      </c>
      <c r="AL3" s="359" t="str">
        <f t="shared" si="7"/>
        <v/>
      </c>
      <c r="AM3" s="359" t="str">
        <f t="shared" ref="AM3:AM66" si="9">IF(COUNTA(T3:AC3)&lt;&gt;COUNT(T3:AC3),"ERROR","")</f>
        <v/>
      </c>
      <c r="AN3" s="360" t="s">
        <v>250</v>
      </c>
      <c r="AO3" s="360"/>
      <c r="AP3" s="38"/>
      <c r="AQ3" s="38">
        <f t="shared" ref="AQ3:AQ58" si="10">COUNTIFS(AE3:AL3,"Error")</f>
        <v>0</v>
      </c>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row>
    <row r="4" spans="1:104" s="40" customFormat="1">
      <c r="A4" s="358">
        <f t="shared" ref="A4:A67" si="11">+A3+1</f>
        <v>3</v>
      </c>
      <c r="B4" s="359" t="str">
        <f>'Front Sheet and Checklist'!$C$5</f>
        <v>Swansea Bay UHB</v>
      </c>
      <c r="C4" s="17" t="s">
        <v>707</v>
      </c>
      <c r="D4" s="17" t="s">
        <v>708</v>
      </c>
      <c r="E4" s="17" t="s">
        <v>709</v>
      </c>
      <c r="F4" s="17">
        <v>1</v>
      </c>
      <c r="G4" s="17" t="s">
        <v>710</v>
      </c>
      <c r="H4" s="17" t="s">
        <v>711</v>
      </c>
      <c r="I4" s="361">
        <f t="shared" ref="I4:I35" si="12">AD4</f>
        <v>3379.9999999999995</v>
      </c>
      <c r="J4" s="24">
        <f>I4</f>
        <v>3379.9999999999995</v>
      </c>
      <c r="K4" s="18">
        <v>45383</v>
      </c>
      <c r="L4" s="18">
        <v>45474</v>
      </c>
      <c r="M4" s="17" t="s">
        <v>1271</v>
      </c>
      <c r="N4" s="17" t="s">
        <v>712</v>
      </c>
      <c r="O4" s="17" t="s">
        <v>450</v>
      </c>
      <c r="P4" s="17" t="s">
        <v>713</v>
      </c>
      <c r="Q4" s="169" t="s">
        <v>855</v>
      </c>
      <c r="R4" s="24">
        <f t="shared" ref="R4:AC4" si="13">(26000*0.13)/12</f>
        <v>281.66666666666669</v>
      </c>
      <c r="S4" s="24">
        <f t="shared" si="13"/>
        <v>281.66666666666669</v>
      </c>
      <c r="T4" s="24">
        <f t="shared" si="13"/>
        <v>281.66666666666669</v>
      </c>
      <c r="U4" s="24">
        <f t="shared" si="13"/>
        <v>281.66666666666669</v>
      </c>
      <c r="V4" s="24">
        <f t="shared" si="13"/>
        <v>281.66666666666669</v>
      </c>
      <c r="W4" s="24">
        <f t="shared" si="13"/>
        <v>281.66666666666669</v>
      </c>
      <c r="X4" s="24">
        <f t="shared" si="13"/>
        <v>281.66666666666669</v>
      </c>
      <c r="Y4" s="24">
        <f t="shared" si="13"/>
        <v>281.66666666666669</v>
      </c>
      <c r="Z4" s="24">
        <f t="shared" si="13"/>
        <v>281.66666666666669</v>
      </c>
      <c r="AA4" s="24">
        <f t="shared" si="13"/>
        <v>281.66666666666669</v>
      </c>
      <c r="AB4" s="24">
        <f t="shared" si="13"/>
        <v>281.66666666666669</v>
      </c>
      <c r="AC4" s="24">
        <f t="shared" si="13"/>
        <v>281.66666666666669</v>
      </c>
      <c r="AD4" s="361">
        <f t="shared" si="1"/>
        <v>3379.9999999999995</v>
      </c>
      <c r="AE4" s="359" t="str">
        <f t="shared" si="2"/>
        <v/>
      </c>
      <c r="AF4" s="359" t="str">
        <f t="shared" ref="AF4:AF67" si="14">IF(COUNTIF($F$2:$F$1001,F4)&gt;1,"ERROR","")</f>
        <v/>
      </c>
      <c r="AG4" s="359" t="str">
        <f t="shared" si="3"/>
        <v/>
      </c>
      <c r="AH4" s="359" t="str">
        <f t="shared" si="4"/>
        <v/>
      </c>
      <c r="AI4" s="359" t="str">
        <f t="shared" si="5"/>
        <v/>
      </c>
      <c r="AJ4" s="359" t="str">
        <f t="shared" si="6"/>
        <v/>
      </c>
      <c r="AK4" s="359" t="str">
        <f t="shared" si="8"/>
        <v/>
      </c>
      <c r="AL4" s="359" t="str">
        <f t="shared" si="7"/>
        <v/>
      </c>
      <c r="AM4" s="359" t="str">
        <f t="shared" si="9"/>
        <v/>
      </c>
      <c r="AN4" s="262" t="str">
        <f>IF(P4="1) Workforce",_xlfn.CONCAT(P4,O4),IF(P4="5) Pathway",_xlfn.CONCAT(P4,N4),P4))</f>
        <v>2) Medicines Management</v>
      </c>
      <c r="AO4" s="262" t="str">
        <f>IFERROR(HLOOKUP(AN4,'Ref Lists'!Q$1:AL$2,2,FALSE),'Ref Lists'!$AK$2)</f>
        <v>Savings04</v>
      </c>
      <c r="AP4" s="38"/>
      <c r="AQ4" s="38">
        <f t="shared" si="10"/>
        <v>0</v>
      </c>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row>
    <row r="5" spans="1:104" s="40" customFormat="1" ht="20.149999999999999" customHeight="1">
      <c r="A5" s="358">
        <f t="shared" si="11"/>
        <v>4</v>
      </c>
      <c r="B5" s="359" t="str">
        <f>'Front Sheet and Checklist'!$C$5</f>
        <v>Swansea Bay UHB</v>
      </c>
      <c r="C5" s="17" t="s">
        <v>714</v>
      </c>
      <c r="D5" s="17" t="s">
        <v>715</v>
      </c>
      <c r="E5" s="17" t="s">
        <v>715</v>
      </c>
      <c r="F5" s="17">
        <v>2</v>
      </c>
      <c r="G5" s="17" t="s">
        <v>710</v>
      </c>
      <c r="H5" s="17" t="s">
        <v>711</v>
      </c>
      <c r="I5" s="361">
        <f t="shared" si="12"/>
        <v>2199.9999999999995</v>
      </c>
      <c r="J5" s="24">
        <f>I5</f>
        <v>2199.9999999999995</v>
      </c>
      <c r="K5" s="18">
        <v>45383</v>
      </c>
      <c r="L5" s="18">
        <v>45474</v>
      </c>
      <c r="M5" s="17" t="s">
        <v>1271</v>
      </c>
      <c r="N5" s="17" t="s">
        <v>716</v>
      </c>
      <c r="O5" s="17" t="s">
        <v>706</v>
      </c>
      <c r="P5" s="17" t="s">
        <v>717</v>
      </c>
      <c r="Q5" s="169" t="s">
        <v>846</v>
      </c>
      <c r="R5" s="24">
        <v>183.33333333333334</v>
      </c>
      <c r="S5" s="24">
        <v>183.33333333333334</v>
      </c>
      <c r="T5" s="24">
        <v>183.33333333333334</v>
      </c>
      <c r="U5" s="24">
        <v>183.33333333333334</v>
      </c>
      <c r="V5" s="24">
        <v>183.33333333333334</v>
      </c>
      <c r="W5" s="24">
        <v>183.33333333333334</v>
      </c>
      <c r="X5" s="24">
        <v>183.33333333333334</v>
      </c>
      <c r="Y5" s="24">
        <v>183.33333333333334</v>
      </c>
      <c r="Z5" s="24">
        <v>183.33333333333334</v>
      </c>
      <c r="AA5" s="24">
        <v>183.33333333333334</v>
      </c>
      <c r="AB5" s="24">
        <v>183.33333333333334</v>
      </c>
      <c r="AC5" s="24">
        <v>183.33333333333334</v>
      </c>
      <c r="AD5" s="361">
        <f t="shared" si="1"/>
        <v>2199.9999999999995</v>
      </c>
      <c r="AE5" s="359" t="str">
        <f t="shared" si="2"/>
        <v/>
      </c>
      <c r="AF5" s="359" t="str">
        <f t="shared" si="14"/>
        <v/>
      </c>
      <c r="AG5" s="359" t="str">
        <f t="shared" si="3"/>
        <v/>
      </c>
      <c r="AH5" s="359" t="str">
        <f t="shared" si="4"/>
        <v/>
      </c>
      <c r="AI5" s="359" t="str">
        <f t="shared" si="5"/>
        <v/>
      </c>
      <c r="AJ5" s="359" t="str">
        <f t="shared" si="6"/>
        <v/>
      </c>
      <c r="AK5" s="359" t="str">
        <f t="shared" si="8"/>
        <v/>
      </c>
      <c r="AL5" s="359" t="str">
        <f t="shared" si="7"/>
        <v/>
      </c>
      <c r="AM5" s="359" t="str">
        <f t="shared" si="9"/>
        <v/>
      </c>
      <c r="AN5" s="262" t="str">
        <f t="shared" ref="AN5:AN68" si="15">IF(P5="1) Workforce",_xlfn.CONCAT(P5,O5),IF(P5="5) Pathway",_xlfn.CONCAT(P5,N5),P5))</f>
        <v>3) Procurement &amp; Non-pay</v>
      </c>
      <c r="AO5" s="262" t="str">
        <f>IFERROR(HLOOKUP(AN5,'Ref Lists'!Q$1:AL$2,2,FALSE),'Ref Lists'!$AK$2)</f>
        <v>Savings05</v>
      </c>
      <c r="AP5" s="38"/>
      <c r="AQ5" s="38">
        <f t="shared" si="10"/>
        <v>0</v>
      </c>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row>
    <row r="6" spans="1:104" s="40" customFormat="1" ht="20.149999999999999" customHeight="1">
      <c r="A6" s="358">
        <f t="shared" si="11"/>
        <v>5</v>
      </c>
      <c r="B6" s="359" t="str">
        <f>'Front Sheet and Checklist'!$C$5</f>
        <v>Swansea Bay UHB</v>
      </c>
      <c r="C6" s="17" t="s">
        <v>718</v>
      </c>
      <c r="D6" s="17" t="s">
        <v>715</v>
      </c>
      <c r="E6" s="17" t="s">
        <v>715</v>
      </c>
      <c r="F6" s="17">
        <v>3</v>
      </c>
      <c r="G6" s="17" t="s">
        <v>710</v>
      </c>
      <c r="H6" s="17" t="s">
        <v>711</v>
      </c>
      <c r="I6" s="361">
        <f t="shared" si="12"/>
        <v>500.00000000000006</v>
      </c>
      <c r="J6" s="24">
        <f t="shared" ref="J6:J15" si="16">I6</f>
        <v>500.00000000000006</v>
      </c>
      <c r="K6" s="18">
        <v>45383</v>
      </c>
      <c r="L6" s="18">
        <v>45474</v>
      </c>
      <c r="M6" s="17" t="s">
        <v>1271</v>
      </c>
      <c r="N6" s="17" t="s">
        <v>716</v>
      </c>
      <c r="O6" s="17" t="s">
        <v>719</v>
      </c>
      <c r="P6" s="17" t="s">
        <v>720</v>
      </c>
      <c r="Q6" s="169" t="s">
        <v>843</v>
      </c>
      <c r="R6" s="24">
        <v>41.666666666666664</v>
      </c>
      <c r="S6" s="24">
        <v>41.666666666666664</v>
      </c>
      <c r="T6" s="24">
        <v>41.666666666666664</v>
      </c>
      <c r="U6" s="24">
        <v>41.666666666666664</v>
      </c>
      <c r="V6" s="24">
        <v>41.666666666666664</v>
      </c>
      <c r="W6" s="24">
        <v>41.666666666666664</v>
      </c>
      <c r="X6" s="24">
        <v>41.666666666666664</v>
      </c>
      <c r="Y6" s="24">
        <v>41.666666666666664</v>
      </c>
      <c r="Z6" s="24">
        <v>41.666666666666664</v>
      </c>
      <c r="AA6" s="24">
        <v>41.666666666666664</v>
      </c>
      <c r="AB6" s="24">
        <v>41.666666666666664</v>
      </c>
      <c r="AC6" s="24">
        <v>41.666666666666664</v>
      </c>
      <c r="AD6" s="361">
        <f t="shared" si="1"/>
        <v>500.00000000000006</v>
      </c>
      <c r="AE6" s="359" t="str">
        <f t="shared" si="2"/>
        <v/>
      </c>
      <c r="AF6" s="359" t="str">
        <f t="shared" si="14"/>
        <v/>
      </c>
      <c r="AG6" s="359" t="str">
        <f t="shared" si="3"/>
        <v/>
      </c>
      <c r="AH6" s="359" t="str">
        <f t="shared" si="4"/>
        <v/>
      </c>
      <c r="AI6" s="359" t="str">
        <f t="shared" si="5"/>
        <v/>
      </c>
      <c r="AJ6" s="359" t="str">
        <f t="shared" si="6"/>
        <v/>
      </c>
      <c r="AK6" s="359" t="str">
        <f t="shared" si="8"/>
        <v/>
      </c>
      <c r="AL6" s="359" t="str">
        <f t="shared" si="7"/>
        <v/>
      </c>
      <c r="AM6" s="359" t="str">
        <f t="shared" si="9"/>
        <v/>
      </c>
      <c r="AN6" s="262" t="str">
        <f t="shared" si="15"/>
        <v>1) WorkforcePay - Variable</v>
      </c>
      <c r="AO6" s="262" t="str">
        <f>IFERROR(HLOOKUP(AN6,'Ref Lists'!Q$1:AL$2,2,FALSE),'Ref Lists'!$AK$2)</f>
        <v>Savings02</v>
      </c>
      <c r="AP6" s="38"/>
      <c r="AQ6" s="38">
        <f t="shared" si="10"/>
        <v>0</v>
      </c>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row>
    <row r="7" spans="1:104" s="40" customFormat="1" ht="20.149999999999999" customHeight="1">
      <c r="A7" s="358">
        <f t="shared" si="11"/>
        <v>6</v>
      </c>
      <c r="B7" s="359" t="str">
        <f>'Front Sheet and Checklist'!$C$5</f>
        <v>Swansea Bay UHB</v>
      </c>
      <c r="C7" s="17" t="s">
        <v>721</v>
      </c>
      <c r="D7" s="17" t="s">
        <v>722</v>
      </c>
      <c r="E7" s="17" t="s">
        <v>723</v>
      </c>
      <c r="F7" s="17">
        <v>4</v>
      </c>
      <c r="G7" s="17" t="s">
        <v>710</v>
      </c>
      <c r="H7" s="17" t="s">
        <v>711</v>
      </c>
      <c r="I7" s="361">
        <f t="shared" si="12"/>
        <v>500.00000000000006</v>
      </c>
      <c r="J7" s="24">
        <f t="shared" si="16"/>
        <v>500.00000000000006</v>
      </c>
      <c r="K7" s="18">
        <v>45383</v>
      </c>
      <c r="L7" s="18">
        <v>45474</v>
      </c>
      <c r="M7" s="17" t="s">
        <v>1271</v>
      </c>
      <c r="N7" s="17" t="s">
        <v>716</v>
      </c>
      <c r="O7" s="17" t="s">
        <v>705</v>
      </c>
      <c r="P7" s="17" t="s">
        <v>720</v>
      </c>
      <c r="Q7" s="169" t="s">
        <v>267</v>
      </c>
      <c r="R7" s="24">
        <v>41.666666666666664</v>
      </c>
      <c r="S7" s="24">
        <v>41.666666666666664</v>
      </c>
      <c r="T7" s="24">
        <v>41.666666666666664</v>
      </c>
      <c r="U7" s="24">
        <v>41.666666666666664</v>
      </c>
      <c r="V7" s="24">
        <v>41.666666666666664</v>
      </c>
      <c r="W7" s="24">
        <v>41.666666666666664</v>
      </c>
      <c r="X7" s="24">
        <v>41.666666666666664</v>
      </c>
      <c r="Y7" s="24">
        <v>41.666666666666664</v>
      </c>
      <c r="Z7" s="24">
        <v>41.666666666666664</v>
      </c>
      <c r="AA7" s="24">
        <v>41.666666666666664</v>
      </c>
      <c r="AB7" s="24">
        <v>41.666666666666664</v>
      </c>
      <c r="AC7" s="24">
        <v>41.666666666666664</v>
      </c>
      <c r="AD7" s="361">
        <f t="shared" si="1"/>
        <v>500.00000000000006</v>
      </c>
      <c r="AE7" s="359" t="str">
        <f t="shared" si="2"/>
        <v/>
      </c>
      <c r="AF7" s="359" t="str">
        <f t="shared" si="14"/>
        <v/>
      </c>
      <c r="AG7" s="359" t="str">
        <f t="shared" si="3"/>
        <v/>
      </c>
      <c r="AH7" s="359" t="str">
        <f t="shared" si="4"/>
        <v/>
      </c>
      <c r="AI7" s="359" t="str">
        <f t="shared" si="5"/>
        <v/>
      </c>
      <c r="AJ7" s="359" t="str">
        <f t="shared" si="6"/>
        <v/>
      </c>
      <c r="AK7" s="359" t="str">
        <f t="shared" si="8"/>
        <v/>
      </c>
      <c r="AL7" s="359" t="str">
        <f t="shared" si="7"/>
        <v/>
      </c>
      <c r="AM7" s="359" t="str">
        <f t="shared" si="9"/>
        <v/>
      </c>
      <c r="AN7" s="262" t="str">
        <f t="shared" si="15"/>
        <v>1) WorkforcePay - General &amp; Substantive</v>
      </c>
      <c r="AO7" s="262" t="str">
        <f>IFERROR(HLOOKUP(AN7,'Ref Lists'!Q$1:AL$2,2,FALSE),'Ref Lists'!$AK$2)</f>
        <v>Savings01</v>
      </c>
      <c r="AP7" s="38"/>
      <c r="AQ7" s="38">
        <f t="shared" si="10"/>
        <v>0</v>
      </c>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row>
    <row r="8" spans="1:104" s="40" customFormat="1" ht="20.149999999999999" customHeight="1">
      <c r="A8" s="358">
        <f t="shared" si="11"/>
        <v>7</v>
      </c>
      <c r="B8" s="359" t="str">
        <f>'Front Sheet and Checklist'!$C$5</f>
        <v>Swansea Bay UHB</v>
      </c>
      <c r="C8" s="17" t="s">
        <v>724</v>
      </c>
      <c r="D8" s="17" t="s">
        <v>722</v>
      </c>
      <c r="E8" s="17" t="s">
        <v>715</v>
      </c>
      <c r="F8" s="17">
        <v>5</v>
      </c>
      <c r="G8" s="17" t="s">
        <v>710</v>
      </c>
      <c r="H8" s="17" t="s">
        <v>711</v>
      </c>
      <c r="I8" s="361">
        <f t="shared" si="12"/>
        <v>500.00000000000006</v>
      </c>
      <c r="J8" s="24">
        <f t="shared" si="16"/>
        <v>500.00000000000006</v>
      </c>
      <c r="K8" s="18">
        <v>45383</v>
      </c>
      <c r="L8" s="18">
        <v>45474</v>
      </c>
      <c r="M8" s="17" t="s">
        <v>1271</v>
      </c>
      <c r="N8" s="17" t="s">
        <v>716</v>
      </c>
      <c r="O8" s="17" t="s">
        <v>706</v>
      </c>
      <c r="P8" s="17" t="s">
        <v>717</v>
      </c>
      <c r="Q8" s="169" t="s">
        <v>846</v>
      </c>
      <c r="R8" s="24">
        <v>41.666666666666664</v>
      </c>
      <c r="S8" s="24">
        <v>41.666666666666664</v>
      </c>
      <c r="T8" s="24">
        <v>41.666666666666664</v>
      </c>
      <c r="U8" s="24">
        <v>41.666666666666664</v>
      </c>
      <c r="V8" s="24">
        <v>41.666666666666664</v>
      </c>
      <c r="W8" s="24">
        <v>41.666666666666664</v>
      </c>
      <c r="X8" s="24">
        <v>41.666666666666664</v>
      </c>
      <c r="Y8" s="24">
        <v>41.666666666666664</v>
      </c>
      <c r="Z8" s="24">
        <v>41.666666666666664</v>
      </c>
      <c r="AA8" s="24">
        <v>41.666666666666664</v>
      </c>
      <c r="AB8" s="24">
        <v>41.666666666666664</v>
      </c>
      <c r="AC8" s="24">
        <v>41.666666666666664</v>
      </c>
      <c r="AD8" s="361">
        <f t="shared" si="1"/>
        <v>500.00000000000006</v>
      </c>
      <c r="AE8" s="359" t="str">
        <f t="shared" si="2"/>
        <v/>
      </c>
      <c r="AF8" s="359" t="str">
        <f t="shared" si="14"/>
        <v/>
      </c>
      <c r="AG8" s="359" t="str">
        <f t="shared" si="3"/>
        <v/>
      </c>
      <c r="AH8" s="359" t="str">
        <f t="shared" si="4"/>
        <v/>
      </c>
      <c r="AI8" s="359" t="str">
        <f t="shared" si="5"/>
        <v/>
      </c>
      <c r="AJ8" s="359" t="str">
        <f t="shared" si="6"/>
        <v/>
      </c>
      <c r="AK8" s="359" t="str">
        <f t="shared" si="8"/>
        <v/>
      </c>
      <c r="AL8" s="359" t="str">
        <f t="shared" si="7"/>
        <v/>
      </c>
      <c r="AM8" s="359" t="str">
        <f t="shared" si="9"/>
        <v/>
      </c>
      <c r="AN8" s="262" t="str">
        <f t="shared" si="15"/>
        <v>3) Procurement &amp; Non-pay</v>
      </c>
      <c r="AO8" s="262" t="str">
        <f>IFERROR(HLOOKUP(AN8,'Ref Lists'!Q$1:AL$2,2,FALSE),'Ref Lists'!$AK$2)</f>
        <v>Savings05</v>
      </c>
      <c r="AP8" s="38"/>
      <c r="AQ8" s="38">
        <f t="shared" si="10"/>
        <v>0</v>
      </c>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row>
    <row r="9" spans="1:104" s="40" customFormat="1" ht="20.149999999999999" customHeight="1">
      <c r="A9" s="358">
        <f t="shared" si="11"/>
        <v>8</v>
      </c>
      <c r="B9" s="359" t="str">
        <f>'Front Sheet and Checklist'!$C$5</f>
        <v>Swansea Bay UHB</v>
      </c>
      <c r="C9" s="17" t="s">
        <v>725</v>
      </c>
      <c r="D9" s="17" t="s">
        <v>722</v>
      </c>
      <c r="E9" s="17" t="s">
        <v>715</v>
      </c>
      <c r="F9" s="17">
        <v>6</v>
      </c>
      <c r="G9" s="17" t="s">
        <v>710</v>
      </c>
      <c r="H9" s="17" t="s">
        <v>711</v>
      </c>
      <c r="I9" s="361">
        <f t="shared" si="12"/>
        <v>2000.0000000000002</v>
      </c>
      <c r="J9" s="24">
        <f t="shared" si="16"/>
        <v>2000.0000000000002</v>
      </c>
      <c r="K9" s="18">
        <v>45383</v>
      </c>
      <c r="L9" s="18">
        <v>45474</v>
      </c>
      <c r="M9" s="17" t="s">
        <v>1271</v>
      </c>
      <c r="N9" s="17" t="s">
        <v>716</v>
      </c>
      <c r="O9" s="17" t="s">
        <v>705</v>
      </c>
      <c r="P9" s="17" t="s">
        <v>720</v>
      </c>
      <c r="Q9" s="169" t="s">
        <v>267</v>
      </c>
      <c r="R9" s="24">
        <v>166.66666666666666</v>
      </c>
      <c r="S9" s="24">
        <v>166.66666666666666</v>
      </c>
      <c r="T9" s="24">
        <v>166.66666666666666</v>
      </c>
      <c r="U9" s="24">
        <v>166.66666666666666</v>
      </c>
      <c r="V9" s="24">
        <v>166.66666666666666</v>
      </c>
      <c r="W9" s="24">
        <v>166.66666666666666</v>
      </c>
      <c r="X9" s="24">
        <v>166.66666666666666</v>
      </c>
      <c r="Y9" s="24">
        <v>166.66666666666666</v>
      </c>
      <c r="Z9" s="24">
        <v>166.66666666666666</v>
      </c>
      <c r="AA9" s="24">
        <v>166.66666666666666</v>
      </c>
      <c r="AB9" s="24">
        <v>166.66666666666666</v>
      </c>
      <c r="AC9" s="24">
        <v>166.66666666666666</v>
      </c>
      <c r="AD9" s="361">
        <f t="shared" si="1"/>
        <v>2000.0000000000002</v>
      </c>
      <c r="AE9" s="359" t="str">
        <f t="shared" si="2"/>
        <v/>
      </c>
      <c r="AF9" s="359" t="str">
        <f t="shared" si="14"/>
        <v/>
      </c>
      <c r="AG9" s="359" t="str">
        <f t="shared" si="3"/>
        <v/>
      </c>
      <c r="AH9" s="359" t="str">
        <f t="shared" si="4"/>
        <v/>
      </c>
      <c r="AI9" s="359" t="str">
        <f t="shared" si="5"/>
        <v/>
      </c>
      <c r="AJ9" s="359" t="str">
        <f t="shared" si="6"/>
        <v/>
      </c>
      <c r="AK9" s="359" t="str">
        <f t="shared" si="8"/>
        <v/>
      </c>
      <c r="AL9" s="359" t="str">
        <f t="shared" si="7"/>
        <v/>
      </c>
      <c r="AM9" s="359" t="str">
        <f t="shared" si="9"/>
        <v/>
      </c>
      <c r="AN9" s="262" t="str">
        <f t="shared" si="15"/>
        <v>1) WorkforcePay - General &amp; Substantive</v>
      </c>
      <c r="AO9" s="262" t="str">
        <f>IFERROR(HLOOKUP(AN9,'Ref Lists'!Q$1:AL$2,2,FALSE),'Ref Lists'!$AK$2)</f>
        <v>Savings01</v>
      </c>
      <c r="AP9" s="38"/>
      <c r="AQ9" s="38">
        <f t="shared" si="10"/>
        <v>0</v>
      </c>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row>
    <row r="10" spans="1:104" s="40" customFormat="1" ht="20.149999999999999" customHeight="1">
      <c r="A10" s="358">
        <f t="shared" si="11"/>
        <v>9</v>
      </c>
      <c r="B10" s="359" t="str">
        <f>'Front Sheet and Checklist'!$C$5</f>
        <v>Swansea Bay UHB</v>
      </c>
      <c r="C10" s="17" t="s">
        <v>726</v>
      </c>
      <c r="D10" s="17" t="s">
        <v>727</v>
      </c>
      <c r="E10" s="17" t="s">
        <v>728</v>
      </c>
      <c r="F10" s="17">
        <v>7</v>
      </c>
      <c r="G10" s="17" t="s">
        <v>710</v>
      </c>
      <c r="H10" s="17" t="s">
        <v>711</v>
      </c>
      <c r="I10" s="361">
        <f t="shared" si="12"/>
        <v>49.999999999999993</v>
      </c>
      <c r="J10" s="24">
        <f t="shared" si="16"/>
        <v>49.999999999999993</v>
      </c>
      <c r="K10" s="18">
        <v>45383</v>
      </c>
      <c r="L10" s="18">
        <v>45474</v>
      </c>
      <c r="M10" s="17" t="s">
        <v>1271</v>
      </c>
      <c r="N10" s="17" t="s">
        <v>729</v>
      </c>
      <c r="O10" s="17" t="s">
        <v>705</v>
      </c>
      <c r="P10" s="17" t="s">
        <v>720</v>
      </c>
      <c r="Q10" s="169" t="s">
        <v>267</v>
      </c>
      <c r="R10" s="24">
        <v>4.166666666666667</v>
      </c>
      <c r="S10" s="24">
        <v>4.166666666666667</v>
      </c>
      <c r="T10" s="24">
        <v>4.166666666666667</v>
      </c>
      <c r="U10" s="24">
        <v>4.166666666666667</v>
      </c>
      <c r="V10" s="24">
        <v>4.166666666666667</v>
      </c>
      <c r="W10" s="24">
        <v>4.166666666666667</v>
      </c>
      <c r="X10" s="24">
        <v>4.166666666666667</v>
      </c>
      <c r="Y10" s="24">
        <v>4.166666666666667</v>
      </c>
      <c r="Z10" s="24">
        <v>4.166666666666667</v>
      </c>
      <c r="AA10" s="24">
        <v>4.166666666666667</v>
      </c>
      <c r="AB10" s="24">
        <v>4.166666666666667</v>
      </c>
      <c r="AC10" s="24">
        <v>4.166666666666667</v>
      </c>
      <c r="AD10" s="361">
        <f t="shared" si="1"/>
        <v>49.999999999999993</v>
      </c>
      <c r="AE10" s="359" t="str">
        <f t="shared" si="2"/>
        <v/>
      </c>
      <c r="AF10" s="359" t="str">
        <f t="shared" si="14"/>
        <v/>
      </c>
      <c r="AG10" s="359" t="str">
        <f t="shared" si="3"/>
        <v/>
      </c>
      <c r="AH10" s="359" t="str">
        <f t="shared" si="4"/>
        <v/>
      </c>
      <c r="AI10" s="359" t="str">
        <f t="shared" si="5"/>
        <v/>
      </c>
      <c r="AJ10" s="359" t="str">
        <f t="shared" si="6"/>
        <v/>
      </c>
      <c r="AK10" s="359" t="str">
        <f t="shared" si="8"/>
        <v/>
      </c>
      <c r="AL10" s="359" t="str">
        <f t="shared" si="7"/>
        <v/>
      </c>
      <c r="AM10" s="359" t="str">
        <f t="shared" si="9"/>
        <v/>
      </c>
      <c r="AN10" s="262" t="str">
        <f t="shared" si="15"/>
        <v>1) WorkforcePay - General &amp; Substantive</v>
      </c>
      <c r="AO10" s="262" t="str">
        <f>IFERROR(HLOOKUP(AN10,'Ref Lists'!Q$1:AL$2,2,FALSE),'Ref Lists'!$AK$2)</f>
        <v>Savings01</v>
      </c>
      <c r="AP10" s="38"/>
      <c r="AQ10" s="38">
        <f t="shared" si="10"/>
        <v>0</v>
      </c>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row>
    <row r="11" spans="1:104" s="40" customFormat="1" ht="20.149999999999999" customHeight="1">
      <c r="A11" s="358">
        <f t="shared" si="11"/>
        <v>10</v>
      </c>
      <c r="B11" s="359" t="str">
        <f>'Front Sheet and Checklist'!$C$5</f>
        <v>Swansea Bay UHB</v>
      </c>
      <c r="C11" s="17" t="s">
        <v>730</v>
      </c>
      <c r="D11" s="17" t="s">
        <v>715</v>
      </c>
      <c r="E11" s="17" t="s">
        <v>715</v>
      </c>
      <c r="F11" s="17">
        <v>8</v>
      </c>
      <c r="G11" s="17" t="s">
        <v>710</v>
      </c>
      <c r="H11" s="17" t="s">
        <v>711</v>
      </c>
      <c r="I11" s="361">
        <f t="shared" si="12"/>
        <v>250.00000000000003</v>
      </c>
      <c r="J11" s="24">
        <f t="shared" si="16"/>
        <v>250.00000000000003</v>
      </c>
      <c r="K11" s="18">
        <v>45383</v>
      </c>
      <c r="L11" s="18">
        <v>45474</v>
      </c>
      <c r="M11" s="17" t="s">
        <v>1271</v>
      </c>
      <c r="N11" s="17" t="s">
        <v>716</v>
      </c>
      <c r="O11" s="17" t="s">
        <v>705</v>
      </c>
      <c r="P11" s="17" t="s">
        <v>720</v>
      </c>
      <c r="Q11" s="169" t="s">
        <v>267</v>
      </c>
      <c r="R11" s="24">
        <v>20.833333333333332</v>
      </c>
      <c r="S11" s="24">
        <v>20.833333333333332</v>
      </c>
      <c r="T11" s="24">
        <v>20.833333333333332</v>
      </c>
      <c r="U11" s="24">
        <v>20.833333333333332</v>
      </c>
      <c r="V11" s="24">
        <v>20.833333333333332</v>
      </c>
      <c r="W11" s="24">
        <v>20.833333333333332</v>
      </c>
      <c r="X11" s="24">
        <v>20.833333333333332</v>
      </c>
      <c r="Y11" s="24">
        <v>20.833333333333332</v>
      </c>
      <c r="Z11" s="24">
        <v>20.833333333333332</v>
      </c>
      <c r="AA11" s="24">
        <v>20.833333333333332</v>
      </c>
      <c r="AB11" s="24">
        <v>20.833333333333332</v>
      </c>
      <c r="AC11" s="24">
        <v>20.833333333333332</v>
      </c>
      <c r="AD11" s="361">
        <f t="shared" si="1"/>
        <v>250.00000000000003</v>
      </c>
      <c r="AE11" s="359" t="str">
        <f t="shared" si="2"/>
        <v/>
      </c>
      <c r="AF11" s="359" t="str">
        <f t="shared" si="14"/>
        <v/>
      </c>
      <c r="AG11" s="359" t="str">
        <f t="shared" si="3"/>
        <v/>
      </c>
      <c r="AH11" s="359" t="str">
        <f t="shared" si="4"/>
        <v/>
      </c>
      <c r="AI11" s="359" t="str">
        <f t="shared" si="5"/>
        <v/>
      </c>
      <c r="AJ11" s="359" t="str">
        <f t="shared" si="6"/>
        <v/>
      </c>
      <c r="AK11" s="359" t="str">
        <f t="shared" si="8"/>
        <v/>
      </c>
      <c r="AL11" s="359" t="str">
        <f t="shared" si="7"/>
        <v/>
      </c>
      <c r="AM11" s="359" t="str">
        <f t="shared" si="9"/>
        <v/>
      </c>
      <c r="AN11" s="262" t="str">
        <f t="shared" si="15"/>
        <v>1) WorkforcePay - General &amp; Substantive</v>
      </c>
      <c r="AO11" s="262" t="str">
        <f>IFERROR(HLOOKUP(AN11,'Ref Lists'!Q$1:AL$2,2,FALSE),'Ref Lists'!$AK$2)</f>
        <v>Savings01</v>
      </c>
      <c r="AP11" s="38"/>
      <c r="AQ11" s="38">
        <f t="shared" si="10"/>
        <v>0</v>
      </c>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row>
    <row r="12" spans="1:104" s="40" customFormat="1" ht="20.149999999999999" customHeight="1">
      <c r="A12" s="358">
        <f t="shared" si="11"/>
        <v>11</v>
      </c>
      <c r="B12" s="359" t="str">
        <f>'Front Sheet and Checklist'!$C$5</f>
        <v>Swansea Bay UHB</v>
      </c>
      <c r="C12" s="17" t="s">
        <v>731</v>
      </c>
      <c r="D12" s="17" t="s">
        <v>715</v>
      </c>
      <c r="E12" s="17" t="s">
        <v>715</v>
      </c>
      <c r="F12" s="17">
        <v>9</v>
      </c>
      <c r="G12" s="17" t="s">
        <v>710</v>
      </c>
      <c r="H12" s="17" t="s">
        <v>711</v>
      </c>
      <c r="I12" s="361">
        <f t="shared" si="12"/>
        <v>0</v>
      </c>
      <c r="J12" s="24">
        <f t="shared" si="16"/>
        <v>0</v>
      </c>
      <c r="K12" s="18">
        <v>45383</v>
      </c>
      <c r="L12" s="18">
        <v>45474</v>
      </c>
      <c r="M12" s="17" t="s">
        <v>1271</v>
      </c>
      <c r="N12" s="17" t="s">
        <v>716</v>
      </c>
      <c r="O12" s="17" t="s">
        <v>705</v>
      </c>
      <c r="P12" s="17" t="s">
        <v>720</v>
      </c>
      <c r="Q12" s="169" t="s">
        <v>267</v>
      </c>
      <c r="R12" s="24">
        <v>0</v>
      </c>
      <c r="S12" s="24">
        <v>0</v>
      </c>
      <c r="T12" s="24">
        <v>0</v>
      </c>
      <c r="U12" s="24">
        <v>0</v>
      </c>
      <c r="V12" s="24">
        <v>0</v>
      </c>
      <c r="W12" s="24">
        <v>0</v>
      </c>
      <c r="X12" s="24">
        <v>0</v>
      </c>
      <c r="Y12" s="24">
        <v>0</v>
      </c>
      <c r="Z12" s="24">
        <v>0</v>
      </c>
      <c r="AA12" s="24">
        <v>0</v>
      </c>
      <c r="AB12" s="24">
        <v>0</v>
      </c>
      <c r="AC12" s="24">
        <v>0</v>
      </c>
      <c r="AD12" s="361">
        <f t="shared" si="1"/>
        <v>0</v>
      </c>
      <c r="AE12" s="359" t="str">
        <f t="shared" si="2"/>
        <v/>
      </c>
      <c r="AF12" s="359" t="str">
        <f t="shared" si="14"/>
        <v/>
      </c>
      <c r="AG12" s="359" t="str">
        <f t="shared" si="3"/>
        <v/>
      </c>
      <c r="AH12" s="359" t="str">
        <f t="shared" si="4"/>
        <v/>
      </c>
      <c r="AI12" s="359" t="str">
        <f t="shared" si="5"/>
        <v/>
      </c>
      <c r="AJ12" s="359" t="str">
        <f t="shared" si="6"/>
        <v/>
      </c>
      <c r="AK12" s="359" t="str">
        <f t="shared" si="8"/>
        <v/>
      </c>
      <c r="AL12" s="359" t="str">
        <f t="shared" si="7"/>
        <v/>
      </c>
      <c r="AM12" s="359" t="str">
        <f t="shared" si="9"/>
        <v/>
      </c>
      <c r="AN12" s="262" t="str">
        <f t="shared" si="15"/>
        <v>1) WorkforcePay - General &amp; Substantive</v>
      </c>
      <c r="AO12" s="262" t="str">
        <f>IFERROR(HLOOKUP(AN12,'Ref Lists'!Q$1:AL$2,2,FALSE),'Ref Lists'!$AK$2)</f>
        <v>Savings01</v>
      </c>
      <c r="AP12" s="38"/>
      <c r="AQ12" s="38">
        <f t="shared" si="10"/>
        <v>0</v>
      </c>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row>
    <row r="13" spans="1:104" s="40" customFormat="1" ht="20.149999999999999" customHeight="1">
      <c r="A13" s="358">
        <f t="shared" si="11"/>
        <v>12</v>
      </c>
      <c r="B13" s="359" t="str">
        <f>'Front Sheet and Checklist'!$C$5</f>
        <v>Swansea Bay UHB</v>
      </c>
      <c r="C13" s="17" t="s">
        <v>732</v>
      </c>
      <c r="D13" s="17" t="s">
        <v>715</v>
      </c>
      <c r="E13" s="17" t="s">
        <v>715</v>
      </c>
      <c r="F13" s="17">
        <v>10</v>
      </c>
      <c r="G13" s="17" t="s">
        <v>710</v>
      </c>
      <c r="H13" s="17" t="s">
        <v>711</v>
      </c>
      <c r="I13" s="361">
        <f t="shared" si="12"/>
        <v>500.00000000000006</v>
      </c>
      <c r="J13" s="24">
        <f t="shared" si="16"/>
        <v>500.00000000000006</v>
      </c>
      <c r="K13" s="18">
        <v>45383</v>
      </c>
      <c r="L13" s="18">
        <v>45474</v>
      </c>
      <c r="M13" s="17" t="s">
        <v>1271</v>
      </c>
      <c r="N13" s="17" t="s">
        <v>716</v>
      </c>
      <c r="O13" s="17" t="s">
        <v>733</v>
      </c>
      <c r="P13" s="17" t="s">
        <v>369</v>
      </c>
      <c r="Q13" s="169" t="s">
        <v>448</v>
      </c>
      <c r="R13" s="24">
        <v>41.666666666666664</v>
      </c>
      <c r="S13" s="24">
        <v>41.666666666666664</v>
      </c>
      <c r="T13" s="24">
        <v>41.666666666666664</v>
      </c>
      <c r="U13" s="24">
        <v>41.666666666666664</v>
      </c>
      <c r="V13" s="24">
        <v>41.666666666666664</v>
      </c>
      <c r="W13" s="24">
        <v>41.666666666666664</v>
      </c>
      <c r="X13" s="24">
        <v>41.666666666666664</v>
      </c>
      <c r="Y13" s="24">
        <v>41.666666666666664</v>
      </c>
      <c r="Z13" s="24">
        <v>41.666666666666664</v>
      </c>
      <c r="AA13" s="24">
        <v>41.666666666666664</v>
      </c>
      <c r="AB13" s="24">
        <v>41.666666666666664</v>
      </c>
      <c r="AC13" s="24">
        <v>41.666666666666664</v>
      </c>
      <c r="AD13" s="361">
        <f>SUM(R13:AC13)</f>
        <v>500.00000000000006</v>
      </c>
      <c r="AE13" s="359" t="str">
        <f t="shared" si="2"/>
        <v/>
      </c>
      <c r="AF13" s="359" t="str">
        <f t="shared" si="14"/>
        <v/>
      </c>
      <c r="AG13" s="359" t="str">
        <f t="shared" si="3"/>
        <v/>
      </c>
      <c r="AH13" s="359" t="str">
        <f t="shared" si="4"/>
        <v/>
      </c>
      <c r="AI13" s="359" t="str">
        <f t="shared" si="5"/>
        <v/>
      </c>
      <c r="AJ13" s="359" t="str">
        <f t="shared" si="6"/>
        <v/>
      </c>
      <c r="AK13" s="359" t="str">
        <f t="shared" si="8"/>
        <v/>
      </c>
      <c r="AL13" s="359" t="str">
        <f t="shared" si="7"/>
        <v/>
      </c>
      <c r="AM13" s="359" t="str">
        <f>IF(COUNTA(T13:AC13)&lt;&gt;COUNT(T13:AC13),"ERROR","")</f>
        <v/>
      </c>
      <c r="AN13" s="262" t="str">
        <f t="shared" si="15"/>
        <v>Income</v>
      </c>
      <c r="AO13" s="262" t="str">
        <f>IFERROR(HLOOKUP(AN13,'Ref Lists'!Q$1:AL$2,2,FALSE),'Ref Lists'!$AK$2)</f>
        <v>Savings22</v>
      </c>
      <c r="AP13" s="38"/>
      <c r="AQ13" s="38">
        <f t="shared" si="10"/>
        <v>0</v>
      </c>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row>
    <row r="14" spans="1:104" s="40" customFormat="1" ht="20.149999999999999" customHeight="1">
      <c r="A14" s="358">
        <f t="shared" si="11"/>
        <v>13</v>
      </c>
      <c r="B14" s="359" t="str">
        <f>'Front Sheet and Checklist'!$C$5</f>
        <v>Swansea Bay UHB</v>
      </c>
      <c r="C14" s="17" t="s">
        <v>734</v>
      </c>
      <c r="D14" s="17" t="s">
        <v>715</v>
      </c>
      <c r="E14" s="17" t="s">
        <v>715</v>
      </c>
      <c r="F14" s="17">
        <v>11</v>
      </c>
      <c r="G14" s="17" t="s">
        <v>710</v>
      </c>
      <c r="H14" s="17" t="s">
        <v>711</v>
      </c>
      <c r="I14" s="361">
        <f t="shared" si="12"/>
        <v>500.00000000000006</v>
      </c>
      <c r="J14" s="24">
        <f t="shared" si="16"/>
        <v>500.00000000000006</v>
      </c>
      <c r="K14" s="18">
        <v>45383</v>
      </c>
      <c r="L14" s="18">
        <v>45474</v>
      </c>
      <c r="M14" s="17" t="s">
        <v>1271</v>
      </c>
      <c r="N14" s="17" t="s">
        <v>716</v>
      </c>
      <c r="O14" s="17" t="s">
        <v>706</v>
      </c>
      <c r="P14" s="17" t="s">
        <v>717</v>
      </c>
      <c r="Q14" s="169" t="s">
        <v>846</v>
      </c>
      <c r="R14" s="24">
        <v>41.666666666666664</v>
      </c>
      <c r="S14" s="24">
        <v>41.666666666666664</v>
      </c>
      <c r="T14" s="24">
        <v>41.666666666666664</v>
      </c>
      <c r="U14" s="24">
        <v>41.666666666666664</v>
      </c>
      <c r="V14" s="24">
        <v>41.666666666666664</v>
      </c>
      <c r="W14" s="24">
        <v>41.666666666666664</v>
      </c>
      <c r="X14" s="24">
        <v>41.666666666666664</v>
      </c>
      <c r="Y14" s="24">
        <v>41.666666666666664</v>
      </c>
      <c r="Z14" s="24">
        <v>41.666666666666664</v>
      </c>
      <c r="AA14" s="24">
        <v>41.666666666666664</v>
      </c>
      <c r="AB14" s="24">
        <v>41.666666666666664</v>
      </c>
      <c r="AC14" s="24">
        <v>41.666666666666664</v>
      </c>
      <c r="AD14" s="361">
        <f>SUM(R14:AC14)</f>
        <v>500.00000000000006</v>
      </c>
      <c r="AE14" s="359" t="str">
        <f t="shared" si="2"/>
        <v/>
      </c>
      <c r="AF14" s="359" t="str">
        <f t="shared" si="14"/>
        <v/>
      </c>
      <c r="AG14" s="359" t="str">
        <f t="shared" si="3"/>
        <v/>
      </c>
      <c r="AH14" s="359" t="str">
        <f t="shared" si="4"/>
        <v/>
      </c>
      <c r="AI14" s="359" t="str">
        <f t="shared" si="5"/>
        <v/>
      </c>
      <c r="AJ14" s="359" t="str">
        <f t="shared" si="6"/>
        <v/>
      </c>
      <c r="AK14" s="359" t="str">
        <f t="shared" si="8"/>
        <v/>
      </c>
      <c r="AL14" s="359" t="str">
        <f t="shared" si="7"/>
        <v/>
      </c>
      <c r="AM14" s="359" t="str">
        <f>IF(COUNTA(T14:AC14)&lt;&gt;COUNT(T14:AC14),"ERROR","")</f>
        <v/>
      </c>
      <c r="AN14" s="262" t="str">
        <f t="shared" si="15"/>
        <v>3) Procurement &amp; Non-pay</v>
      </c>
      <c r="AO14" s="262" t="str">
        <f>IFERROR(HLOOKUP(AN14,'Ref Lists'!Q$1:AL$2,2,FALSE),'Ref Lists'!$AK$2)</f>
        <v>Savings05</v>
      </c>
      <c r="AP14" s="38"/>
      <c r="AQ14" s="38">
        <f t="shared" si="10"/>
        <v>0</v>
      </c>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row>
    <row r="15" spans="1:104" s="40" customFormat="1" ht="20.149999999999999" customHeight="1">
      <c r="A15" s="358">
        <f t="shared" si="11"/>
        <v>14</v>
      </c>
      <c r="B15" s="359" t="str">
        <f>'Front Sheet and Checklist'!$C$5</f>
        <v>Swansea Bay UHB</v>
      </c>
      <c r="C15" s="17" t="s">
        <v>735</v>
      </c>
      <c r="D15" s="17" t="s">
        <v>715</v>
      </c>
      <c r="E15" s="17" t="s">
        <v>715</v>
      </c>
      <c r="F15" s="17">
        <v>12</v>
      </c>
      <c r="G15" s="17" t="s">
        <v>710</v>
      </c>
      <c r="H15" s="17" t="s">
        <v>711</v>
      </c>
      <c r="I15" s="361">
        <f t="shared" si="12"/>
        <v>3000</v>
      </c>
      <c r="J15" s="24">
        <f t="shared" si="16"/>
        <v>3000</v>
      </c>
      <c r="K15" s="18">
        <v>45383</v>
      </c>
      <c r="L15" s="18">
        <v>45474</v>
      </c>
      <c r="M15" s="17" t="s">
        <v>1271</v>
      </c>
      <c r="N15" s="17" t="s">
        <v>716</v>
      </c>
      <c r="O15" s="17" t="s">
        <v>719</v>
      </c>
      <c r="P15" s="17" t="s">
        <v>720</v>
      </c>
      <c r="Q15" s="169" t="s">
        <v>843</v>
      </c>
      <c r="R15" s="24">
        <f>3000/12</f>
        <v>250</v>
      </c>
      <c r="S15" s="24">
        <f t="shared" ref="S15:AC15" si="17">3000/12</f>
        <v>250</v>
      </c>
      <c r="T15" s="24">
        <f t="shared" si="17"/>
        <v>250</v>
      </c>
      <c r="U15" s="24">
        <f t="shared" si="17"/>
        <v>250</v>
      </c>
      <c r="V15" s="24">
        <f t="shared" si="17"/>
        <v>250</v>
      </c>
      <c r="W15" s="24">
        <f t="shared" si="17"/>
        <v>250</v>
      </c>
      <c r="X15" s="24">
        <f t="shared" si="17"/>
        <v>250</v>
      </c>
      <c r="Y15" s="24">
        <f t="shared" si="17"/>
        <v>250</v>
      </c>
      <c r="Z15" s="24">
        <f t="shared" si="17"/>
        <v>250</v>
      </c>
      <c r="AA15" s="24">
        <f t="shared" si="17"/>
        <v>250</v>
      </c>
      <c r="AB15" s="24">
        <f t="shared" si="17"/>
        <v>250</v>
      </c>
      <c r="AC15" s="24">
        <f t="shared" si="17"/>
        <v>250</v>
      </c>
      <c r="AD15" s="361">
        <f t="shared" si="1"/>
        <v>3000</v>
      </c>
      <c r="AE15" s="359" t="str">
        <f t="shared" si="2"/>
        <v/>
      </c>
      <c r="AF15" s="359" t="str">
        <f t="shared" si="14"/>
        <v/>
      </c>
      <c r="AG15" s="359" t="str">
        <f t="shared" si="3"/>
        <v/>
      </c>
      <c r="AH15" s="359" t="str">
        <f t="shared" si="4"/>
        <v/>
      </c>
      <c r="AI15" s="359" t="str">
        <f t="shared" si="5"/>
        <v/>
      </c>
      <c r="AJ15" s="359" t="str">
        <f t="shared" si="6"/>
        <v/>
      </c>
      <c r="AK15" s="359" t="str">
        <f t="shared" si="8"/>
        <v/>
      </c>
      <c r="AL15" s="359" t="str">
        <f t="shared" si="7"/>
        <v/>
      </c>
      <c r="AM15" s="359" t="str">
        <f t="shared" si="9"/>
        <v/>
      </c>
      <c r="AN15" s="262" t="str">
        <f t="shared" si="15"/>
        <v>1) WorkforcePay - Variable</v>
      </c>
      <c r="AO15" s="262" t="str">
        <f>IFERROR(HLOOKUP(AN15,'Ref Lists'!Q$1:AL$2,2,FALSE),'Ref Lists'!$AK$2)</f>
        <v>Savings02</v>
      </c>
      <c r="AP15" s="38"/>
      <c r="AQ15" s="38">
        <f t="shared" si="10"/>
        <v>0</v>
      </c>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row>
    <row r="16" spans="1:104" s="40" customFormat="1" ht="20.149999999999999" customHeight="1">
      <c r="A16" s="358">
        <f t="shared" si="11"/>
        <v>15</v>
      </c>
      <c r="B16" s="359" t="str">
        <f>'Front Sheet and Checklist'!$C$5</f>
        <v>Swansea Bay UHB</v>
      </c>
      <c r="C16" s="17" t="s">
        <v>1269</v>
      </c>
      <c r="D16" s="17" t="s">
        <v>715</v>
      </c>
      <c r="E16" s="17" t="s">
        <v>715</v>
      </c>
      <c r="F16" s="17">
        <v>13</v>
      </c>
      <c r="G16" s="17" t="s">
        <v>710</v>
      </c>
      <c r="H16" s="17" t="s">
        <v>711</v>
      </c>
      <c r="I16" s="361">
        <f t="shared" si="12"/>
        <v>8400</v>
      </c>
      <c r="J16" s="24">
        <f>I16</f>
        <v>8400</v>
      </c>
      <c r="K16" s="18">
        <v>45383</v>
      </c>
      <c r="L16" s="18">
        <v>45383</v>
      </c>
      <c r="M16" s="17" t="s">
        <v>1270</v>
      </c>
      <c r="N16" s="17" t="s">
        <v>716</v>
      </c>
      <c r="O16" s="17" t="s">
        <v>706</v>
      </c>
      <c r="P16" s="17" t="s">
        <v>717</v>
      </c>
      <c r="Q16" s="169" t="s">
        <v>846</v>
      </c>
      <c r="R16" s="24">
        <f t="shared" ref="R16:AC16" si="18">8400/12</f>
        <v>700</v>
      </c>
      <c r="S16" s="24">
        <f t="shared" si="18"/>
        <v>700</v>
      </c>
      <c r="T16" s="24">
        <f t="shared" si="18"/>
        <v>700</v>
      </c>
      <c r="U16" s="24">
        <f t="shared" si="18"/>
        <v>700</v>
      </c>
      <c r="V16" s="24">
        <f t="shared" si="18"/>
        <v>700</v>
      </c>
      <c r="W16" s="24">
        <f t="shared" si="18"/>
        <v>700</v>
      </c>
      <c r="X16" s="24">
        <f t="shared" si="18"/>
        <v>700</v>
      </c>
      <c r="Y16" s="24">
        <f t="shared" si="18"/>
        <v>700</v>
      </c>
      <c r="Z16" s="24">
        <f t="shared" si="18"/>
        <v>700</v>
      </c>
      <c r="AA16" s="24">
        <f t="shared" si="18"/>
        <v>700</v>
      </c>
      <c r="AB16" s="24">
        <f t="shared" si="18"/>
        <v>700</v>
      </c>
      <c r="AC16" s="24">
        <f t="shared" si="18"/>
        <v>700</v>
      </c>
      <c r="AD16" s="361">
        <f t="shared" si="1"/>
        <v>8400</v>
      </c>
      <c r="AE16" s="359" t="str">
        <f t="shared" si="2"/>
        <v/>
      </c>
      <c r="AF16" s="359" t="str">
        <f t="shared" si="14"/>
        <v/>
      </c>
      <c r="AG16" s="359" t="str">
        <f t="shared" si="3"/>
        <v/>
      </c>
      <c r="AH16" s="359" t="str">
        <f t="shared" si="4"/>
        <v/>
      </c>
      <c r="AI16" s="359" t="str">
        <f t="shared" si="5"/>
        <v/>
      </c>
      <c r="AJ16" s="359" t="str">
        <f t="shared" si="6"/>
        <v/>
      </c>
      <c r="AK16" s="359" t="str">
        <f t="shared" si="8"/>
        <v/>
      </c>
      <c r="AL16" s="359" t="str">
        <f t="shared" si="7"/>
        <v/>
      </c>
      <c r="AM16" s="359" t="str">
        <f t="shared" si="9"/>
        <v/>
      </c>
      <c r="AN16" s="262" t="str">
        <f t="shared" si="15"/>
        <v>3) Procurement &amp; Non-pay</v>
      </c>
      <c r="AO16" s="262" t="str">
        <f>IFERROR(HLOOKUP(AN16,'Ref Lists'!Q$1:AL$2,2,FALSE),'Ref Lists'!$AK$2)</f>
        <v>Savings05</v>
      </c>
      <c r="AP16" s="38"/>
      <c r="AQ16" s="38">
        <f t="shared" si="10"/>
        <v>0</v>
      </c>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row>
    <row r="17" spans="1:104" s="40" customFormat="1" ht="20.149999999999999" customHeight="1">
      <c r="A17" s="358">
        <f t="shared" si="11"/>
        <v>16</v>
      </c>
      <c r="B17" s="359" t="str">
        <f>'Front Sheet and Checklist'!$C$5</f>
        <v>Swansea Bay UHB</v>
      </c>
      <c r="C17" s="17"/>
      <c r="D17" s="17"/>
      <c r="E17" s="17"/>
      <c r="F17" s="17"/>
      <c r="G17" s="17"/>
      <c r="H17" s="17"/>
      <c r="I17" s="361">
        <f t="shared" si="12"/>
        <v>0</v>
      </c>
      <c r="J17" s="17"/>
      <c r="K17" s="18"/>
      <c r="L17" s="18"/>
      <c r="M17" s="17"/>
      <c r="N17" s="17"/>
      <c r="O17" s="17"/>
      <c r="P17" s="17"/>
      <c r="Q17" s="169"/>
      <c r="R17" s="24"/>
      <c r="S17" s="24"/>
      <c r="T17" s="24"/>
      <c r="U17" s="24"/>
      <c r="V17" s="24"/>
      <c r="W17" s="24"/>
      <c r="X17" s="24"/>
      <c r="Y17" s="24"/>
      <c r="Z17" s="24"/>
      <c r="AA17" s="24"/>
      <c r="AB17" s="24"/>
      <c r="AC17" s="24"/>
      <c r="AD17" s="361">
        <f t="shared" si="1"/>
        <v>0</v>
      </c>
      <c r="AE17" s="359" t="str">
        <f t="shared" si="2"/>
        <v/>
      </c>
      <c r="AF17" s="359" t="str">
        <f t="shared" si="14"/>
        <v/>
      </c>
      <c r="AG17" s="359" t="str">
        <f t="shared" si="3"/>
        <v/>
      </c>
      <c r="AH17" s="359" t="str">
        <f t="shared" si="4"/>
        <v/>
      </c>
      <c r="AI17" s="359" t="str">
        <f t="shared" si="5"/>
        <v/>
      </c>
      <c r="AJ17" s="359" t="str">
        <f t="shared" si="6"/>
        <v/>
      </c>
      <c r="AK17" s="359" t="str">
        <f t="shared" si="8"/>
        <v/>
      </c>
      <c r="AL17" s="359" t="str">
        <f t="shared" si="7"/>
        <v/>
      </c>
      <c r="AM17" s="359" t="str">
        <f t="shared" si="9"/>
        <v/>
      </c>
      <c r="AN17" s="262">
        <f t="shared" si="15"/>
        <v>0</v>
      </c>
      <c r="AO17" s="262" t="str">
        <f>IFERROR(HLOOKUP(AN17,'Ref Lists'!Q$1:AL$2,2,FALSE),'Ref Lists'!$AK$2)</f>
        <v>Savings21</v>
      </c>
      <c r="AP17" s="38"/>
      <c r="AQ17" s="38">
        <f t="shared" si="10"/>
        <v>0</v>
      </c>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row>
    <row r="18" spans="1:104" s="40" customFormat="1" ht="20.149999999999999" customHeight="1">
      <c r="A18" s="358">
        <f t="shared" si="11"/>
        <v>17</v>
      </c>
      <c r="B18" s="359" t="str">
        <f>'Front Sheet and Checklist'!$C$5</f>
        <v>Swansea Bay UHB</v>
      </c>
      <c r="C18" s="17"/>
      <c r="D18" s="17"/>
      <c r="E18" s="17"/>
      <c r="F18" s="17"/>
      <c r="G18" s="17"/>
      <c r="H18" s="17"/>
      <c r="I18" s="361">
        <f t="shared" si="12"/>
        <v>0</v>
      </c>
      <c r="J18" s="17"/>
      <c r="K18" s="18"/>
      <c r="L18" s="18"/>
      <c r="M18" s="17"/>
      <c r="N18" s="17"/>
      <c r="O18" s="17"/>
      <c r="P18" s="17"/>
      <c r="Q18" s="169"/>
      <c r="R18" s="24"/>
      <c r="S18" s="24"/>
      <c r="T18" s="24"/>
      <c r="U18" s="24"/>
      <c r="V18" s="24"/>
      <c r="W18" s="24"/>
      <c r="X18" s="24"/>
      <c r="Y18" s="24"/>
      <c r="Z18" s="24"/>
      <c r="AA18" s="24"/>
      <c r="AB18" s="24"/>
      <c r="AC18" s="24"/>
      <c r="AD18" s="361">
        <f t="shared" si="1"/>
        <v>0</v>
      </c>
      <c r="AE18" s="359" t="str">
        <f t="shared" si="2"/>
        <v/>
      </c>
      <c r="AF18" s="359" t="str">
        <f t="shared" si="14"/>
        <v/>
      </c>
      <c r="AG18" s="359" t="str">
        <f t="shared" si="3"/>
        <v/>
      </c>
      <c r="AH18" s="359" t="str">
        <f t="shared" si="4"/>
        <v/>
      </c>
      <c r="AI18" s="359" t="str">
        <f t="shared" si="5"/>
        <v/>
      </c>
      <c r="AJ18" s="359" t="str">
        <f t="shared" si="6"/>
        <v/>
      </c>
      <c r="AK18" s="359" t="str">
        <f t="shared" si="8"/>
        <v/>
      </c>
      <c r="AL18" s="359" t="str">
        <f t="shared" si="7"/>
        <v/>
      </c>
      <c r="AM18" s="359" t="str">
        <f t="shared" si="9"/>
        <v/>
      </c>
      <c r="AN18" s="262">
        <f t="shared" si="15"/>
        <v>0</v>
      </c>
      <c r="AO18" s="262" t="str">
        <f>IFERROR(HLOOKUP(AN18,'Ref Lists'!Q$1:AL$2,2,FALSE),'Ref Lists'!$AK$2)</f>
        <v>Savings21</v>
      </c>
      <c r="AP18" s="38"/>
      <c r="AQ18" s="38">
        <f t="shared" si="10"/>
        <v>0</v>
      </c>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row>
    <row r="19" spans="1:104" s="40" customFormat="1" ht="20.149999999999999" customHeight="1">
      <c r="A19" s="358">
        <f t="shared" si="11"/>
        <v>18</v>
      </c>
      <c r="B19" s="359" t="str">
        <f>'Front Sheet and Checklist'!$C$5</f>
        <v>Swansea Bay UHB</v>
      </c>
      <c r="C19" s="17"/>
      <c r="D19" s="17"/>
      <c r="E19" s="17"/>
      <c r="F19" s="17"/>
      <c r="G19" s="17"/>
      <c r="H19" s="17"/>
      <c r="I19" s="361">
        <f t="shared" si="12"/>
        <v>0</v>
      </c>
      <c r="J19" s="17"/>
      <c r="K19" s="18"/>
      <c r="L19" s="18"/>
      <c r="M19" s="17"/>
      <c r="N19" s="17"/>
      <c r="O19" s="17"/>
      <c r="P19" s="17"/>
      <c r="Q19" s="169"/>
      <c r="R19" s="24"/>
      <c r="S19" s="24"/>
      <c r="T19" s="24"/>
      <c r="U19" s="25"/>
      <c r="V19" s="25"/>
      <c r="W19" s="25"/>
      <c r="X19" s="24"/>
      <c r="Y19" s="24"/>
      <c r="Z19" s="24"/>
      <c r="AA19" s="24"/>
      <c r="AB19" s="24"/>
      <c r="AC19" s="24"/>
      <c r="AD19" s="361">
        <f t="shared" si="1"/>
        <v>0</v>
      </c>
      <c r="AE19" s="359" t="str">
        <f t="shared" si="2"/>
        <v/>
      </c>
      <c r="AF19" s="359" t="str">
        <f t="shared" si="14"/>
        <v/>
      </c>
      <c r="AG19" s="359" t="str">
        <f t="shared" si="3"/>
        <v/>
      </c>
      <c r="AH19" s="359" t="str">
        <f t="shared" si="4"/>
        <v/>
      </c>
      <c r="AI19" s="359" t="str">
        <f t="shared" si="5"/>
        <v/>
      </c>
      <c r="AJ19" s="359" t="str">
        <f t="shared" si="6"/>
        <v/>
      </c>
      <c r="AK19" s="359" t="str">
        <f t="shared" si="8"/>
        <v/>
      </c>
      <c r="AL19" s="359" t="str">
        <f t="shared" si="7"/>
        <v/>
      </c>
      <c r="AM19" s="359" t="str">
        <f t="shared" si="9"/>
        <v/>
      </c>
      <c r="AN19" s="262">
        <f t="shared" si="15"/>
        <v>0</v>
      </c>
      <c r="AO19" s="262" t="str">
        <f>IFERROR(HLOOKUP(AN19,'Ref Lists'!Q$1:AL$2,2,FALSE),'Ref Lists'!$AK$2)</f>
        <v>Savings21</v>
      </c>
      <c r="AP19" s="38"/>
      <c r="AQ19" s="38">
        <f t="shared" si="10"/>
        <v>0</v>
      </c>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row>
    <row r="20" spans="1:104" s="40" customFormat="1" ht="20.149999999999999" customHeight="1">
      <c r="A20" s="358">
        <f t="shared" si="11"/>
        <v>19</v>
      </c>
      <c r="B20" s="359" t="str">
        <f>'Front Sheet and Checklist'!$C$5</f>
        <v>Swansea Bay UHB</v>
      </c>
      <c r="C20" s="17"/>
      <c r="D20" s="17"/>
      <c r="E20" s="17"/>
      <c r="F20" s="17"/>
      <c r="G20" s="17"/>
      <c r="H20" s="17"/>
      <c r="I20" s="361">
        <f t="shared" si="12"/>
        <v>0</v>
      </c>
      <c r="J20" s="17"/>
      <c r="K20" s="18"/>
      <c r="L20" s="18"/>
      <c r="M20" s="17"/>
      <c r="N20" s="17"/>
      <c r="O20" s="17"/>
      <c r="P20" s="17"/>
      <c r="Q20" s="169"/>
      <c r="R20" s="24"/>
      <c r="S20" s="24"/>
      <c r="T20" s="24"/>
      <c r="U20" s="25"/>
      <c r="V20" s="25"/>
      <c r="W20" s="25"/>
      <c r="X20" s="24"/>
      <c r="Y20" s="24"/>
      <c r="Z20" s="24"/>
      <c r="AA20" s="24"/>
      <c r="AB20" s="24"/>
      <c r="AC20" s="24"/>
      <c r="AD20" s="361">
        <f t="shared" si="1"/>
        <v>0</v>
      </c>
      <c r="AE20" s="359" t="str">
        <f t="shared" si="2"/>
        <v/>
      </c>
      <c r="AF20" s="359" t="str">
        <f t="shared" si="14"/>
        <v/>
      </c>
      <c r="AG20" s="359" t="str">
        <f t="shared" si="3"/>
        <v/>
      </c>
      <c r="AH20" s="359" t="str">
        <f t="shared" si="4"/>
        <v/>
      </c>
      <c r="AI20" s="359" t="str">
        <f t="shared" si="5"/>
        <v/>
      </c>
      <c r="AJ20" s="359" t="str">
        <f t="shared" si="6"/>
        <v/>
      </c>
      <c r="AK20" s="359" t="str">
        <f t="shared" si="8"/>
        <v/>
      </c>
      <c r="AL20" s="359" t="str">
        <f t="shared" si="7"/>
        <v/>
      </c>
      <c r="AM20" s="359" t="str">
        <f t="shared" si="9"/>
        <v/>
      </c>
      <c r="AN20" s="262">
        <f t="shared" si="15"/>
        <v>0</v>
      </c>
      <c r="AO20" s="262" t="str">
        <f>IFERROR(HLOOKUP(AN20,'Ref Lists'!Q$1:AL$2,2,FALSE),'Ref Lists'!$AK$2)</f>
        <v>Savings21</v>
      </c>
      <c r="AP20" s="38"/>
      <c r="AQ20" s="38">
        <f t="shared" si="10"/>
        <v>0</v>
      </c>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row>
    <row r="21" spans="1:104" s="40" customFormat="1" ht="20.149999999999999" customHeight="1">
      <c r="A21" s="358">
        <f t="shared" si="11"/>
        <v>20</v>
      </c>
      <c r="B21" s="359" t="str">
        <f>'Front Sheet and Checklist'!$C$5</f>
        <v>Swansea Bay UHB</v>
      </c>
      <c r="C21" s="17"/>
      <c r="D21" s="17"/>
      <c r="E21" s="17"/>
      <c r="F21" s="17"/>
      <c r="G21" s="17"/>
      <c r="H21" s="17"/>
      <c r="I21" s="361">
        <f t="shared" si="12"/>
        <v>0</v>
      </c>
      <c r="J21" s="17"/>
      <c r="K21" s="18"/>
      <c r="L21" s="18"/>
      <c r="M21" s="17"/>
      <c r="N21" s="17"/>
      <c r="O21" s="17"/>
      <c r="P21" s="17"/>
      <c r="Q21" s="169"/>
      <c r="R21" s="24"/>
      <c r="S21" s="24"/>
      <c r="T21" s="24"/>
      <c r="U21" s="25"/>
      <c r="V21" s="25"/>
      <c r="W21" s="25"/>
      <c r="X21" s="24"/>
      <c r="Y21" s="24"/>
      <c r="Z21" s="24"/>
      <c r="AA21" s="24"/>
      <c r="AB21" s="24"/>
      <c r="AC21" s="24"/>
      <c r="AD21" s="361">
        <f t="shared" si="1"/>
        <v>0</v>
      </c>
      <c r="AE21" s="359" t="str">
        <f t="shared" si="2"/>
        <v/>
      </c>
      <c r="AF21" s="359" t="str">
        <f t="shared" si="14"/>
        <v/>
      </c>
      <c r="AG21" s="359" t="str">
        <f t="shared" si="3"/>
        <v/>
      </c>
      <c r="AH21" s="359" t="str">
        <f t="shared" si="4"/>
        <v/>
      </c>
      <c r="AI21" s="359" t="str">
        <f t="shared" si="5"/>
        <v/>
      </c>
      <c r="AJ21" s="359" t="str">
        <f t="shared" si="6"/>
        <v/>
      </c>
      <c r="AK21" s="359" t="str">
        <f t="shared" si="8"/>
        <v/>
      </c>
      <c r="AL21" s="359" t="str">
        <f t="shared" si="7"/>
        <v/>
      </c>
      <c r="AM21" s="359" t="str">
        <f t="shared" si="9"/>
        <v/>
      </c>
      <c r="AN21" s="262">
        <f t="shared" si="15"/>
        <v>0</v>
      </c>
      <c r="AO21" s="262" t="str">
        <f>IFERROR(HLOOKUP(AN21,'Ref Lists'!Q$1:AL$2,2,FALSE),'Ref Lists'!$AK$2)</f>
        <v>Savings21</v>
      </c>
      <c r="AP21" s="38"/>
      <c r="AQ21" s="38">
        <f t="shared" si="10"/>
        <v>0</v>
      </c>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row>
    <row r="22" spans="1:104" s="40" customFormat="1" ht="20.149999999999999" customHeight="1">
      <c r="A22" s="358">
        <f t="shared" si="11"/>
        <v>21</v>
      </c>
      <c r="B22" s="359" t="str">
        <f>'Front Sheet and Checklist'!$C$5</f>
        <v>Swansea Bay UHB</v>
      </c>
      <c r="C22" s="17"/>
      <c r="D22" s="17"/>
      <c r="E22" s="17"/>
      <c r="F22" s="17"/>
      <c r="G22" s="17"/>
      <c r="H22" s="17"/>
      <c r="I22" s="361">
        <f t="shared" si="12"/>
        <v>0</v>
      </c>
      <c r="J22" s="17"/>
      <c r="K22" s="18"/>
      <c r="L22" s="18"/>
      <c r="M22" s="17"/>
      <c r="N22" s="17"/>
      <c r="O22" s="17"/>
      <c r="P22" s="17"/>
      <c r="Q22" s="169"/>
      <c r="R22" s="24"/>
      <c r="S22" s="24"/>
      <c r="T22" s="24"/>
      <c r="U22" s="25"/>
      <c r="V22" s="25"/>
      <c r="W22" s="25"/>
      <c r="X22" s="24"/>
      <c r="Y22" s="24"/>
      <c r="Z22" s="24"/>
      <c r="AA22" s="24"/>
      <c r="AB22" s="24"/>
      <c r="AC22" s="24"/>
      <c r="AD22" s="361">
        <f t="shared" si="1"/>
        <v>0</v>
      </c>
      <c r="AE22" s="359" t="str">
        <f t="shared" si="2"/>
        <v/>
      </c>
      <c r="AF22" s="359" t="str">
        <f t="shared" si="14"/>
        <v/>
      </c>
      <c r="AG22" s="359" t="str">
        <f t="shared" si="3"/>
        <v/>
      </c>
      <c r="AH22" s="359" t="str">
        <f t="shared" si="4"/>
        <v/>
      </c>
      <c r="AI22" s="359" t="str">
        <f t="shared" si="5"/>
        <v/>
      </c>
      <c r="AJ22" s="359" t="str">
        <f t="shared" si="6"/>
        <v/>
      </c>
      <c r="AK22" s="359" t="str">
        <f t="shared" si="8"/>
        <v/>
      </c>
      <c r="AL22" s="359" t="str">
        <f t="shared" si="7"/>
        <v/>
      </c>
      <c r="AM22" s="359" t="str">
        <f t="shared" si="9"/>
        <v/>
      </c>
      <c r="AN22" s="262">
        <f t="shared" si="15"/>
        <v>0</v>
      </c>
      <c r="AO22" s="262" t="str">
        <f>IFERROR(HLOOKUP(AN22,'Ref Lists'!Q$1:AL$2,2,FALSE),'Ref Lists'!$AK$2)</f>
        <v>Savings21</v>
      </c>
      <c r="AP22" s="38"/>
      <c r="AQ22" s="38">
        <f t="shared" si="10"/>
        <v>0</v>
      </c>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row>
    <row r="23" spans="1:104" s="40" customFormat="1" ht="20.149999999999999" customHeight="1">
      <c r="A23" s="358">
        <f t="shared" si="11"/>
        <v>22</v>
      </c>
      <c r="B23" s="359" t="str">
        <f>'Front Sheet and Checklist'!$C$5</f>
        <v>Swansea Bay UHB</v>
      </c>
      <c r="C23" s="17"/>
      <c r="D23" s="17"/>
      <c r="E23" s="17"/>
      <c r="F23" s="17"/>
      <c r="G23" s="17"/>
      <c r="H23" s="17"/>
      <c r="I23" s="361">
        <f t="shared" si="12"/>
        <v>0</v>
      </c>
      <c r="J23" s="17"/>
      <c r="K23" s="18"/>
      <c r="L23" s="18"/>
      <c r="M23" s="17"/>
      <c r="N23" s="17"/>
      <c r="O23" s="17"/>
      <c r="P23" s="17"/>
      <c r="Q23" s="169"/>
      <c r="R23" s="24"/>
      <c r="S23" s="24"/>
      <c r="T23" s="24"/>
      <c r="U23" s="25"/>
      <c r="V23" s="25"/>
      <c r="W23" s="25"/>
      <c r="X23" s="24"/>
      <c r="Y23" s="24"/>
      <c r="Z23" s="24"/>
      <c r="AA23" s="24"/>
      <c r="AB23" s="24"/>
      <c r="AC23" s="24"/>
      <c r="AD23" s="361">
        <f t="shared" si="1"/>
        <v>0</v>
      </c>
      <c r="AE23" s="359" t="str">
        <f t="shared" si="2"/>
        <v/>
      </c>
      <c r="AF23" s="359" t="str">
        <f t="shared" si="14"/>
        <v/>
      </c>
      <c r="AG23" s="359" t="str">
        <f t="shared" si="3"/>
        <v/>
      </c>
      <c r="AH23" s="359" t="str">
        <f t="shared" si="4"/>
        <v/>
      </c>
      <c r="AI23" s="359" t="str">
        <f t="shared" si="5"/>
        <v/>
      </c>
      <c r="AJ23" s="359" t="str">
        <f t="shared" si="6"/>
        <v/>
      </c>
      <c r="AK23" s="359" t="str">
        <f t="shared" si="8"/>
        <v/>
      </c>
      <c r="AL23" s="359" t="str">
        <f t="shared" si="7"/>
        <v/>
      </c>
      <c r="AM23" s="359" t="str">
        <f t="shared" si="9"/>
        <v/>
      </c>
      <c r="AN23" s="262">
        <f t="shared" si="15"/>
        <v>0</v>
      </c>
      <c r="AO23" s="262" t="str">
        <f>IFERROR(HLOOKUP(AN23,'Ref Lists'!Q$1:AL$2,2,FALSE),'Ref Lists'!$AK$2)</f>
        <v>Savings21</v>
      </c>
      <c r="AP23" s="38"/>
      <c r="AQ23" s="38">
        <f t="shared" si="10"/>
        <v>0</v>
      </c>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row>
    <row r="24" spans="1:104" s="40" customFormat="1" ht="20.149999999999999" customHeight="1">
      <c r="A24" s="358">
        <f t="shared" si="11"/>
        <v>23</v>
      </c>
      <c r="B24" s="359" t="str">
        <f>'Front Sheet and Checklist'!$C$5</f>
        <v>Swansea Bay UHB</v>
      </c>
      <c r="C24" s="17"/>
      <c r="D24" s="17"/>
      <c r="E24" s="17"/>
      <c r="F24" s="17"/>
      <c r="G24" s="17"/>
      <c r="H24" s="17"/>
      <c r="I24" s="361">
        <f t="shared" si="12"/>
        <v>0</v>
      </c>
      <c r="J24" s="17"/>
      <c r="K24" s="18"/>
      <c r="L24" s="18"/>
      <c r="M24" s="17"/>
      <c r="N24" s="17"/>
      <c r="O24" s="17"/>
      <c r="P24" s="17"/>
      <c r="Q24" s="169"/>
      <c r="R24" s="24"/>
      <c r="S24" s="24"/>
      <c r="T24" s="24"/>
      <c r="U24" s="25"/>
      <c r="V24" s="25"/>
      <c r="W24" s="25"/>
      <c r="X24" s="24"/>
      <c r="Y24" s="24"/>
      <c r="Z24" s="24"/>
      <c r="AA24" s="24"/>
      <c r="AB24" s="24"/>
      <c r="AC24" s="24"/>
      <c r="AD24" s="361">
        <f t="shared" si="1"/>
        <v>0</v>
      </c>
      <c r="AE24" s="359" t="str">
        <f t="shared" si="2"/>
        <v/>
      </c>
      <c r="AF24" s="359" t="str">
        <f t="shared" si="14"/>
        <v/>
      </c>
      <c r="AG24" s="359" t="str">
        <f t="shared" si="3"/>
        <v/>
      </c>
      <c r="AH24" s="359" t="str">
        <f t="shared" si="4"/>
        <v/>
      </c>
      <c r="AI24" s="359" t="str">
        <f t="shared" si="5"/>
        <v/>
      </c>
      <c r="AJ24" s="359" t="str">
        <f t="shared" si="6"/>
        <v/>
      </c>
      <c r="AK24" s="359" t="str">
        <f t="shared" si="8"/>
        <v/>
      </c>
      <c r="AL24" s="359" t="str">
        <f t="shared" si="7"/>
        <v/>
      </c>
      <c r="AM24" s="359" t="str">
        <f t="shared" si="9"/>
        <v/>
      </c>
      <c r="AN24" s="262">
        <f t="shared" si="15"/>
        <v>0</v>
      </c>
      <c r="AO24" s="262" t="str">
        <f>IFERROR(HLOOKUP(AN24,'Ref Lists'!Q$1:AL$2,2,FALSE),'Ref Lists'!$AK$2)</f>
        <v>Savings21</v>
      </c>
      <c r="AP24" s="38"/>
      <c r="AQ24" s="38">
        <f t="shared" si="10"/>
        <v>0</v>
      </c>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row>
    <row r="25" spans="1:104" s="40" customFormat="1" ht="20.149999999999999" customHeight="1">
      <c r="A25" s="358">
        <f t="shared" si="11"/>
        <v>24</v>
      </c>
      <c r="B25" s="359" t="str">
        <f>'Front Sheet and Checklist'!$C$5</f>
        <v>Swansea Bay UHB</v>
      </c>
      <c r="C25" s="17"/>
      <c r="D25" s="17"/>
      <c r="E25" s="17"/>
      <c r="F25" s="17"/>
      <c r="G25" s="17"/>
      <c r="H25" s="17"/>
      <c r="I25" s="361">
        <f t="shared" si="12"/>
        <v>0</v>
      </c>
      <c r="J25" s="17"/>
      <c r="K25" s="18"/>
      <c r="L25" s="18"/>
      <c r="M25" s="17"/>
      <c r="N25" s="17"/>
      <c r="O25" s="17"/>
      <c r="P25" s="17"/>
      <c r="Q25" s="169"/>
      <c r="R25" s="24"/>
      <c r="S25" s="24"/>
      <c r="T25" s="24"/>
      <c r="U25" s="25"/>
      <c r="V25" s="25"/>
      <c r="W25" s="25"/>
      <c r="X25" s="24"/>
      <c r="Y25" s="24"/>
      <c r="Z25" s="24"/>
      <c r="AA25" s="24"/>
      <c r="AB25" s="24"/>
      <c r="AC25" s="24"/>
      <c r="AD25" s="361">
        <f t="shared" si="1"/>
        <v>0</v>
      </c>
      <c r="AE25" s="359" t="str">
        <f t="shared" si="2"/>
        <v/>
      </c>
      <c r="AF25" s="359" t="str">
        <f t="shared" si="14"/>
        <v/>
      </c>
      <c r="AG25" s="359" t="str">
        <f t="shared" si="3"/>
        <v/>
      </c>
      <c r="AH25" s="359" t="str">
        <f t="shared" si="4"/>
        <v/>
      </c>
      <c r="AI25" s="359" t="str">
        <f t="shared" si="5"/>
        <v/>
      </c>
      <c r="AJ25" s="359" t="str">
        <f t="shared" si="6"/>
        <v/>
      </c>
      <c r="AK25" s="359" t="str">
        <f t="shared" si="8"/>
        <v/>
      </c>
      <c r="AL25" s="359" t="str">
        <f t="shared" si="7"/>
        <v/>
      </c>
      <c r="AM25" s="359" t="str">
        <f t="shared" si="9"/>
        <v/>
      </c>
      <c r="AN25" s="262">
        <f t="shared" si="15"/>
        <v>0</v>
      </c>
      <c r="AO25" s="262" t="str">
        <f>IFERROR(HLOOKUP(AN25,'Ref Lists'!Q$1:AL$2,2,FALSE),'Ref Lists'!$AK$2)</f>
        <v>Savings21</v>
      </c>
      <c r="AP25" s="38"/>
      <c r="AQ25" s="38">
        <f t="shared" si="10"/>
        <v>0</v>
      </c>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row>
    <row r="26" spans="1:104" s="40" customFormat="1" ht="20.149999999999999" customHeight="1">
      <c r="A26" s="358">
        <f t="shared" si="11"/>
        <v>25</v>
      </c>
      <c r="B26" s="359" t="str">
        <f>'Front Sheet and Checklist'!$C$5</f>
        <v>Swansea Bay UHB</v>
      </c>
      <c r="C26" s="17"/>
      <c r="D26" s="17"/>
      <c r="E26" s="17"/>
      <c r="F26" s="17"/>
      <c r="G26" s="17"/>
      <c r="H26" s="17"/>
      <c r="I26" s="361">
        <f t="shared" si="12"/>
        <v>0</v>
      </c>
      <c r="J26" s="17"/>
      <c r="K26" s="18"/>
      <c r="L26" s="18"/>
      <c r="M26" s="17"/>
      <c r="N26" s="17"/>
      <c r="O26" s="17"/>
      <c r="P26" s="17"/>
      <c r="Q26" s="169"/>
      <c r="R26" s="24"/>
      <c r="S26" s="24"/>
      <c r="T26" s="24"/>
      <c r="U26" s="25"/>
      <c r="V26" s="25"/>
      <c r="W26" s="25"/>
      <c r="X26" s="24"/>
      <c r="Y26" s="24"/>
      <c r="Z26" s="24"/>
      <c r="AA26" s="24"/>
      <c r="AB26" s="24"/>
      <c r="AC26" s="24"/>
      <c r="AD26" s="361">
        <f t="shared" si="1"/>
        <v>0</v>
      </c>
      <c r="AE26" s="359" t="str">
        <f t="shared" si="2"/>
        <v/>
      </c>
      <c r="AF26" s="359" t="str">
        <f t="shared" si="14"/>
        <v/>
      </c>
      <c r="AG26" s="359" t="str">
        <f t="shared" si="3"/>
        <v/>
      </c>
      <c r="AH26" s="359" t="str">
        <f t="shared" si="4"/>
        <v/>
      </c>
      <c r="AI26" s="359" t="str">
        <f t="shared" si="5"/>
        <v/>
      </c>
      <c r="AJ26" s="359" t="str">
        <f t="shared" si="6"/>
        <v/>
      </c>
      <c r="AK26" s="359" t="str">
        <f t="shared" si="8"/>
        <v/>
      </c>
      <c r="AL26" s="359" t="str">
        <f t="shared" si="7"/>
        <v/>
      </c>
      <c r="AM26" s="359" t="str">
        <f t="shared" si="9"/>
        <v/>
      </c>
      <c r="AN26" s="262">
        <f t="shared" si="15"/>
        <v>0</v>
      </c>
      <c r="AO26" s="262" t="str">
        <f>IFERROR(HLOOKUP(AN26,'Ref Lists'!Q$1:AL$2,2,FALSE),'Ref Lists'!$AK$2)</f>
        <v>Savings21</v>
      </c>
      <c r="AP26" s="38"/>
      <c r="AQ26" s="38">
        <f t="shared" si="10"/>
        <v>0</v>
      </c>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row>
    <row r="27" spans="1:104" s="40" customFormat="1" ht="20.149999999999999" customHeight="1">
      <c r="A27" s="358">
        <f t="shared" si="11"/>
        <v>26</v>
      </c>
      <c r="B27" s="359" t="str">
        <f>'Front Sheet and Checklist'!$C$5</f>
        <v>Swansea Bay UHB</v>
      </c>
      <c r="C27" s="17"/>
      <c r="D27" s="17"/>
      <c r="E27" s="17"/>
      <c r="F27" s="17"/>
      <c r="G27" s="17"/>
      <c r="H27" s="17"/>
      <c r="I27" s="361">
        <f t="shared" si="12"/>
        <v>0</v>
      </c>
      <c r="J27" s="17"/>
      <c r="K27" s="18"/>
      <c r="L27" s="18"/>
      <c r="M27" s="17"/>
      <c r="N27" s="17"/>
      <c r="O27" s="17"/>
      <c r="P27" s="17"/>
      <c r="Q27" s="169"/>
      <c r="R27" s="24"/>
      <c r="S27" s="24"/>
      <c r="T27" s="24"/>
      <c r="U27" s="25"/>
      <c r="V27" s="25"/>
      <c r="W27" s="25"/>
      <c r="X27" s="24"/>
      <c r="Y27" s="24"/>
      <c r="Z27" s="24"/>
      <c r="AA27" s="24"/>
      <c r="AB27" s="24"/>
      <c r="AC27" s="24"/>
      <c r="AD27" s="361">
        <f t="shared" si="1"/>
        <v>0</v>
      </c>
      <c r="AE27" s="359" t="str">
        <f t="shared" si="2"/>
        <v/>
      </c>
      <c r="AF27" s="359" t="str">
        <f t="shared" si="14"/>
        <v/>
      </c>
      <c r="AG27" s="359" t="str">
        <f t="shared" si="3"/>
        <v/>
      </c>
      <c r="AH27" s="359" t="str">
        <f t="shared" si="4"/>
        <v/>
      </c>
      <c r="AI27" s="359" t="str">
        <f t="shared" si="5"/>
        <v/>
      </c>
      <c r="AJ27" s="359" t="str">
        <f t="shared" si="6"/>
        <v/>
      </c>
      <c r="AK27" s="359" t="str">
        <f t="shared" si="8"/>
        <v/>
      </c>
      <c r="AL27" s="359" t="str">
        <f t="shared" si="7"/>
        <v/>
      </c>
      <c r="AM27" s="359" t="str">
        <f t="shared" si="9"/>
        <v/>
      </c>
      <c r="AN27" s="262">
        <f t="shared" si="15"/>
        <v>0</v>
      </c>
      <c r="AO27" s="262" t="str">
        <f>IFERROR(HLOOKUP(AN27,'Ref Lists'!Q$1:AL$2,2,FALSE),'Ref Lists'!$AK$2)</f>
        <v>Savings21</v>
      </c>
      <c r="AP27" s="38"/>
      <c r="AQ27" s="38">
        <f t="shared" si="10"/>
        <v>0</v>
      </c>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row>
    <row r="28" spans="1:104" s="40" customFormat="1" ht="20.149999999999999" customHeight="1">
      <c r="A28" s="358">
        <f t="shared" si="11"/>
        <v>27</v>
      </c>
      <c r="B28" s="359" t="str">
        <f>'Front Sheet and Checklist'!$C$5</f>
        <v>Swansea Bay UHB</v>
      </c>
      <c r="C28" s="17"/>
      <c r="D28" s="17"/>
      <c r="E28" s="17"/>
      <c r="F28" s="17"/>
      <c r="G28" s="17"/>
      <c r="H28" s="17"/>
      <c r="I28" s="361">
        <f t="shared" si="12"/>
        <v>0</v>
      </c>
      <c r="J28" s="17"/>
      <c r="K28" s="18"/>
      <c r="L28" s="18"/>
      <c r="M28" s="17"/>
      <c r="N28" s="17"/>
      <c r="O28" s="17"/>
      <c r="P28" s="17"/>
      <c r="Q28" s="169"/>
      <c r="R28" s="24"/>
      <c r="S28" s="24"/>
      <c r="T28" s="24"/>
      <c r="U28" s="25"/>
      <c r="V28" s="25"/>
      <c r="W28" s="25"/>
      <c r="X28" s="24"/>
      <c r="Y28" s="24"/>
      <c r="Z28" s="24"/>
      <c r="AA28" s="24"/>
      <c r="AB28" s="24"/>
      <c r="AC28" s="24"/>
      <c r="AD28" s="361">
        <f t="shared" si="1"/>
        <v>0</v>
      </c>
      <c r="AE28" s="359" t="str">
        <f t="shared" si="2"/>
        <v/>
      </c>
      <c r="AF28" s="359" t="str">
        <f t="shared" si="14"/>
        <v/>
      </c>
      <c r="AG28" s="359" t="str">
        <f t="shared" si="3"/>
        <v/>
      </c>
      <c r="AH28" s="359" t="str">
        <f t="shared" si="4"/>
        <v/>
      </c>
      <c r="AI28" s="359" t="str">
        <f t="shared" si="5"/>
        <v/>
      </c>
      <c r="AJ28" s="359" t="str">
        <f t="shared" si="6"/>
        <v/>
      </c>
      <c r="AK28" s="359" t="str">
        <f t="shared" si="8"/>
        <v/>
      </c>
      <c r="AL28" s="359" t="str">
        <f t="shared" si="7"/>
        <v/>
      </c>
      <c r="AM28" s="359" t="str">
        <f t="shared" si="9"/>
        <v/>
      </c>
      <c r="AN28" s="262">
        <f t="shared" si="15"/>
        <v>0</v>
      </c>
      <c r="AO28" s="262" t="str">
        <f>IFERROR(HLOOKUP(AN28,'Ref Lists'!Q$1:AL$2,2,FALSE),'Ref Lists'!$AK$2)</f>
        <v>Savings21</v>
      </c>
      <c r="AP28" s="38"/>
      <c r="AQ28" s="38">
        <f t="shared" si="10"/>
        <v>0</v>
      </c>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row>
    <row r="29" spans="1:104" s="40" customFormat="1" ht="20.149999999999999" customHeight="1">
      <c r="A29" s="358">
        <f t="shared" si="11"/>
        <v>28</v>
      </c>
      <c r="B29" s="359" t="str">
        <f>'Front Sheet and Checklist'!$C$5</f>
        <v>Swansea Bay UHB</v>
      </c>
      <c r="C29" s="17"/>
      <c r="D29" s="17"/>
      <c r="E29" s="17"/>
      <c r="F29" s="17"/>
      <c r="G29" s="17"/>
      <c r="H29" s="17"/>
      <c r="I29" s="361">
        <f t="shared" si="12"/>
        <v>0</v>
      </c>
      <c r="J29" s="17"/>
      <c r="K29" s="18"/>
      <c r="L29" s="18"/>
      <c r="M29" s="17"/>
      <c r="N29" s="17"/>
      <c r="O29" s="17"/>
      <c r="P29" s="17"/>
      <c r="Q29" s="169"/>
      <c r="R29" s="24"/>
      <c r="S29" s="24"/>
      <c r="T29" s="24"/>
      <c r="U29" s="25"/>
      <c r="V29" s="25"/>
      <c r="W29" s="25"/>
      <c r="X29" s="24"/>
      <c r="Y29" s="24"/>
      <c r="Z29" s="24"/>
      <c r="AA29" s="24"/>
      <c r="AB29" s="24"/>
      <c r="AC29" s="24"/>
      <c r="AD29" s="361">
        <f t="shared" si="1"/>
        <v>0</v>
      </c>
      <c r="AE29" s="359" t="str">
        <f t="shared" si="2"/>
        <v/>
      </c>
      <c r="AF29" s="359" t="str">
        <f t="shared" si="14"/>
        <v/>
      </c>
      <c r="AG29" s="359" t="str">
        <f t="shared" si="3"/>
        <v/>
      </c>
      <c r="AH29" s="359" t="str">
        <f t="shared" si="4"/>
        <v/>
      </c>
      <c r="AI29" s="359" t="str">
        <f t="shared" si="5"/>
        <v/>
      </c>
      <c r="AJ29" s="359" t="str">
        <f t="shared" si="6"/>
        <v/>
      </c>
      <c r="AK29" s="359" t="str">
        <f t="shared" si="8"/>
        <v/>
      </c>
      <c r="AL29" s="359" t="str">
        <f t="shared" si="7"/>
        <v/>
      </c>
      <c r="AM29" s="359" t="str">
        <f t="shared" si="9"/>
        <v/>
      </c>
      <c r="AN29" s="262">
        <f t="shared" si="15"/>
        <v>0</v>
      </c>
      <c r="AO29" s="262" t="str">
        <f>IFERROR(HLOOKUP(AN29,'Ref Lists'!Q$1:AL$2,2,FALSE),'Ref Lists'!$AK$2)</f>
        <v>Savings21</v>
      </c>
      <c r="AP29" s="38"/>
      <c r="AQ29" s="38">
        <f t="shared" si="10"/>
        <v>0</v>
      </c>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row>
    <row r="30" spans="1:104" s="40" customFormat="1" ht="20.149999999999999" customHeight="1">
      <c r="A30" s="358">
        <f t="shared" si="11"/>
        <v>29</v>
      </c>
      <c r="B30" s="359" t="str">
        <f>'Front Sheet and Checklist'!$C$5</f>
        <v>Swansea Bay UHB</v>
      </c>
      <c r="C30" s="17"/>
      <c r="D30" s="17"/>
      <c r="E30" s="17"/>
      <c r="F30" s="17"/>
      <c r="G30" s="17"/>
      <c r="H30" s="17"/>
      <c r="I30" s="361">
        <f t="shared" si="12"/>
        <v>0</v>
      </c>
      <c r="J30" s="17"/>
      <c r="K30" s="18"/>
      <c r="L30" s="18"/>
      <c r="M30" s="17"/>
      <c r="N30" s="17"/>
      <c r="O30" s="17"/>
      <c r="P30" s="17"/>
      <c r="Q30" s="169"/>
      <c r="R30" s="24"/>
      <c r="S30" s="24"/>
      <c r="T30" s="24"/>
      <c r="U30" s="25"/>
      <c r="V30" s="25"/>
      <c r="W30" s="25"/>
      <c r="X30" s="24"/>
      <c r="Y30" s="24"/>
      <c r="Z30" s="24"/>
      <c r="AA30" s="24"/>
      <c r="AB30" s="24"/>
      <c r="AC30" s="24"/>
      <c r="AD30" s="361">
        <f t="shared" si="1"/>
        <v>0</v>
      </c>
      <c r="AE30" s="359" t="str">
        <f t="shared" si="2"/>
        <v/>
      </c>
      <c r="AF30" s="359" t="str">
        <f t="shared" si="14"/>
        <v/>
      </c>
      <c r="AG30" s="359" t="str">
        <f t="shared" si="3"/>
        <v/>
      </c>
      <c r="AH30" s="359" t="str">
        <f t="shared" si="4"/>
        <v/>
      </c>
      <c r="AI30" s="359" t="str">
        <f t="shared" si="5"/>
        <v/>
      </c>
      <c r="AJ30" s="359" t="str">
        <f t="shared" si="6"/>
        <v/>
      </c>
      <c r="AK30" s="359" t="str">
        <f t="shared" si="8"/>
        <v/>
      </c>
      <c r="AL30" s="359" t="str">
        <f t="shared" si="7"/>
        <v/>
      </c>
      <c r="AM30" s="359" t="str">
        <f t="shared" si="9"/>
        <v/>
      </c>
      <c r="AN30" s="262">
        <f t="shared" si="15"/>
        <v>0</v>
      </c>
      <c r="AO30" s="262" t="str">
        <f>IFERROR(HLOOKUP(AN30,'Ref Lists'!Q$1:AL$2,2,FALSE),'Ref Lists'!$AK$2)</f>
        <v>Savings21</v>
      </c>
      <c r="AP30" s="38"/>
      <c r="AQ30" s="38">
        <f t="shared" si="10"/>
        <v>0</v>
      </c>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row>
    <row r="31" spans="1:104" s="40" customFormat="1" ht="20.149999999999999" customHeight="1">
      <c r="A31" s="358">
        <f t="shared" si="11"/>
        <v>30</v>
      </c>
      <c r="B31" s="359" t="str">
        <f>'Front Sheet and Checklist'!$C$5</f>
        <v>Swansea Bay UHB</v>
      </c>
      <c r="C31" s="17"/>
      <c r="D31" s="17"/>
      <c r="E31" s="17"/>
      <c r="F31" s="17"/>
      <c r="G31" s="17"/>
      <c r="H31" s="17"/>
      <c r="I31" s="361">
        <f t="shared" si="12"/>
        <v>0</v>
      </c>
      <c r="J31" s="17"/>
      <c r="K31" s="18"/>
      <c r="L31" s="18"/>
      <c r="M31" s="17"/>
      <c r="N31" s="17"/>
      <c r="O31" s="17"/>
      <c r="P31" s="17"/>
      <c r="Q31" s="169"/>
      <c r="R31" s="24"/>
      <c r="S31" s="24"/>
      <c r="T31" s="24"/>
      <c r="U31" s="25"/>
      <c r="V31" s="25"/>
      <c r="W31" s="25"/>
      <c r="X31" s="24"/>
      <c r="Y31" s="24"/>
      <c r="Z31" s="24"/>
      <c r="AA31" s="24"/>
      <c r="AB31" s="24"/>
      <c r="AC31" s="24"/>
      <c r="AD31" s="361">
        <f t="shared" si="1"/>
        <v>0</v>
      </c>
      <c r="AE31" s="359" t="str">
        <f t="shared" si="2"/>
        <v/>
      </c>
      <c r="AF31" s="359" t="str">
        <f t="shared" si="14"/>
        <v/>
      </c>
      <c r="AG31" s="359" t="str">
        <f t="shared" si="3"/>
        <v/>
      </c>
      <c r="AH31" s="359" t="str">
        <f t="shared" si="4"/>
        <v/>
      </c>
      <c r="AI31" s="359" t="str">
        <f t="shared" si="5"/>
        <v/>
      </c>
      <c r="AJ31" s="359" t="str">
        <f t="shared" si="6"/>
        <v/>
      </c>
      <c r="AK31" s="359" t="str">
        <f t="shared" si="8"/>
        <v/>
      </c>
      <c r="AL31" s="359" t="str">
        <f t="shared" si="7"/>
        <v/>
      </c>
      <c r="AM31" s="359" t="str">
        <f t="shared" si="9"/>
        <v/>
      </c>
      <c r="AN31" s="262">
        <f t="shared" si="15"/>
        <v>0</v>
      </c>
      <c r="AO31" s="262" t="str">
        <f>IFERROR(HLOOKUP(AN31,'Ref Lists'!Q$1:AL$2,2,FALSE),'Ref Lists'!$AK$2)</f>
        <v>Savings21</v>
      </c>
      <c r="AP31" s="38"/>
      <c r="AQ31" s="38">
        <f t="shared" si="10"/>
        <v>0</v>
      </c>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row>
    <row r="32" spans="1:104" s="40" customFormat="1" ht="20.149999999999999" customHeight="1">
      <c r="A32" s="358">
        <f t="shared" si="11"/>
        <v>31</v>
      </c>
      <c r="B32" s="359" t="str">
        <f>'Front Sheet and Checklist'!$C$5</f>
        <v>Swansea Bay UHB</v>
      </c>
      <c r="C32" s="17"/>
      <c r="D32" s="17"/>
      <c r="E32" s="17"/>
      <c r="F32" s="17"/>
      <c r="G32" s="17"/>
      <c r="H32" s="17"/>
      <c r="I32" s="361">
        <f t="shared" si="12"/>
        <v>0</v>
      </c>
      <c r="J32" s="17"/>
      <c r="K32" s="18"/>
      <c r="L32" s="18"/>
      <c r="M32" s="17"/>
      <c r="N32" s="17"/>
      <c r="O32" s="17"/>
      <c r="P32" s="17"/>
      <c r="Q32" s="169"/>
      <c r="R32" s="24"/>
      <c r="S32" s="24"/>
      <c r="T32" s="24"/>
      <c r="U32" s="25"/>
      <c r="V32" s="25"/>
      <c r="W32" s="25"/>
      <c r="X32" s="24"/>
      <c r="Y32" s="24"/>
      <c r="Z32" s="24"/>
      <c r="AA32" s="24"/>
      <c r="AB32" s="24"/>
      <c r="AC32" s="24"/>
      <c r="AD32" s="361">
        <f t="shared" si="1"/>
        <v>0</v>
      </c>
      <c r="AE32" s="359" t="str">
        <f t="shared" si="2"/>
        <v/>
      </c>
      <c r="AF32" s="359" t="str">
        <f t="shared" si="14"/>
        <v/>
      </c>
      <c r="AG32" s="359" t="str">
        <f t="shared" si="3"/>
        <v/>
      </c>
      <c r="AH32" s="359" t="str">
        <f t="shared" si="4"/>
        <v/>
      </c>
      <c r="AI32" s="359" t="str">
        <f t="shared" si="5"/>
        <v/>
      </c>
      <c r="AJ32" s="359" t="str">
        <f t="shared" si="6"/>
        <v/>
      </c>
      <c r="AK32" s="359" t="str">
        <f t="shared" si="8"/>
        <v/>
      </c>
      <c r="AL32" s="359" t="str">
        <f t="shared" si="7"/>
        <v/>
      </c>
      <c r="AM32" s="359" t="str">
        <f t="shared" si="9"/>
        <v/>
      </c>
      <c r="AN32" s="262">
        <f t="shared" si="15"/>
        <v>0</v>
      </c>
      <c r="AO32" s="262" t="str">
        <f>IFERROR(HLOOKUP(AN32,'Ref Lists'!Q$1:AL$2,2,FALSE),'Ref Lists'!$AK$2)</f>
        <v>Savings21</v>
      </c>
      <c r="AP32" s="38"/>
      <c r="AQ32" s="38">
        <f t="shared" si="10"/>
        <v>0</v>
      </c>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row>
    <row r="33" spans="1:104" s="40" customFormat="1" ht="20.149999999999999" customHeight="1">
      <c r="A33" s="358">
        <f t="shared" si="11"/>
        <v>32</v>
      </c>
      <c r="B33" s="359" t="str">
        <f>'Front Sheet and Checklist'!$C$5</f>
        <v>Swansea Bay UHB</v>
      </c>
      <c r="C33" s="17"/>
      <c r="D33" s="17"/>
      <c r="E33" s="17"/>
      <c r="F33" s="17"/>
      <c r="G33" s="17"/>
      <c r="H33" s="17"/>
      <c r="I33" s="361">
        <f t="shared" si="12"/>
        <v>0</v>
      </c>
      <c r="J33" s="17"/>
      <c r="K33" s="18"/>
      <c r="L33" s="18"/>
      <c r="M33" s="17"/>
      <c r="N33" s="17"/>
      <c r="O33" s="17"/>
      <c r="P33" s="17"/>
      <c r="Q33" s="169"/>
      <c r="R33" s="24"/>
      <c r="S33" s="24"/>
      <c r="T33" s="24"/>
      <c r="U33" s="25"/>
      <c r="V33" s="25"/>
      <c r="W33" s="25"/>
      <c r="X33" s="24"/>
      <c r="Y33" s="24"/>
      <c r="Z33" s="24"/>
      <c r="AA33" s="24"/>
      <c r="AB33" s="24"/>
      <c r="AC33" s="24"/>
      <c r="AD33" s="361">
        <f t="shared" si="1"/>
        <v>0</v>
      </c>
      <c r="AE33" s="359" t="str">
        <f t="shared" si="2"/>
        <v/>
      </c>
      <c r="AF33" s="359" t="str">
        <f t="shared" si="14"/>
        <v/>
      </c>
      <c r="AG33" s="359" t="str">
        <f t="shared" si="3"/>
        <v/>
      </c>
      <c r="AH33" s="359" t="str">
        <f t="shared" si="4"/>
        <v/>
      </c>
      <c r="AI33" s="359" t="str">
        <f t="shared" si="5"/>
        <v/>
      </c>
      <c r="AJ33" s="359" t="str">
        <f t="shared" si="6"/>
        <v/>
      </c>
      <c r="AK33" s="359" t="str">
        <f t="shared" si="8"/>
        <v/>
      </c>
      <c r="AL33" s="359" t="str">
        <f t="shared" si="7"/>
        <v/>
      </c>
      <c r="AM33" s="359" t="str">
        <f t="shared" si="9"/>
        <v/>
      </c>
      <c r="AN33" s="262">
        <f t="shared" si="15"/>
        <v>0</v>
      </c>
      <c r="AO33" s="262" t="str">
        <f>IFERROR(HLOOKUP(AN33,'Ref Lists'!Q$1:AL$2,2,FALSE),'Ref Lists'!$AK$2)</f>
        <v>Savings21</v>
      </c>
      <c r="AP33" s="38"/>
      <c r="AQ33" s="38">
        <f t="shared" si="10"/>
        <v>0</v>
      </c>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row>
    <row r="34" spans="1:104" s="40" customFormat="1" ht="20.149999999999999" customHeight="1">
      <c r="A34" s="358">
        <f t="shared" si="11"/>
        <v>33</v>
      </c>
      <c r="B34" s="359" t="str">
        <f>'Front Sheet and Checklist'!$C$5</f>
        <v>Swansea Bay UHB</v>
      </c>
      <c r="C34" s="17"/>
      <c r="D34" s="17"/>
      <c r="E34" s="17"/>
      <c r="F34" s="17"/>
      <c r="G34" s="17"/>
      <c r="H34" s="17"/>
      <c r="I34" s="361">
        <f t="shared" si="12"/>
        <v>0</v>
      </c>
      <c r="J34" s="17"/>
      <c r="K34" s="18"/>
      <c r="L34" s="18"/>
      <c r="M34" s="17"/>
      <c r="N34" s="17"/>
      <c r="O34" s="17"/>
      <c r="P34" s="17"/>
      <c r="Q34" s="169"/>
      <c r="R34" s="24"/>
      <c r="S34" s="24"/>
      <c r="T34" s="24"/>
      <c r="U34" s="25"/>
      <c r="V34" s="25"/>
      <c r="W34" s="25"/>
      <c r="X34" s="24"/>
      <c r="Y34" s="24"/>
      <c r="Z34" s="24"/>
      <c r="AA34" s="24"/>
      <c r="AB34" s="24"/>
      <c r="AC34" s="24"/>
      <c r="AD34" s="361">
        <f t="shared" si="1"/>
        <v>0</v>
      </c>
      <c r="AE34" s="359" t="str">
        <f t="shared" si="2"/>
        <v/>
      </c>
      <c r="AF34" s="359" t="str">
        <f t="shared" si="14"/>
        <v/>
      </c>
      <c r="AG34" s="359" t="str">
        <f t="shared" si="3"/>
        <v/>
      </c>
      <c r="AH34" s="359" t="str">
        <f t="shared" si="4"/>
        <v/>
      </c>
      <c r="AI34" s="359" t="str">
        <f t="shared" si="5"/>
        <v/>
      </c>
      <c r="AJ34" s="359" t="str">
        <f t="shared" si="6"/>
        <v/>
      </c>
      <c r="AK34" s="359" t="str">
        <f t="shared" si="8"/>
        <v/>
      </c>
      <c r="AL34" s="359" t="str">
        <f t="shared" si="7"/>
        <v/>
      </c>
      <c r="AM34" s="359" t="str">
        <f t="shared" si="9"/>
        <v/>
      </c>
      <c r="AN34" s="262">
        <f t="shared" si="15"/>
        <v>0</v>
      </c>
      <c r="AO34" s="262" t="str">
        <f>IFERROR(HLOOKUP(AN34,'Ref Lists'!Q$1:AL$2,2,FALSE),'Ref Lists'!$AK$2)</f>
        <v>Savings21</v>
      </c>
      <c r="AP34" s="38"/>
      <c r="AQ34" s="38">
        <f t="shared" si="10"/>
        <v>0</v>
      </c>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row>
    <row r="35" spans="1:104" s="40" customFormat="1" ht="20.149999999999999" customHeight="1">
      <c r="A35" s="358">
        <f t="shared" si="11"/>
        <v>34</v>
      </c>
      <c r="B35" s="359" t="str">
        <f>'Front Sheet and Checklist'!$C$5</f>
        <v>Swansea Bay UHB</v>
      </c>
      <c r="C35" s="17"/>
      <c r="D35" s="17"/>
      <c r="E35" s="17"/>
      <c r="F35" s="17"/>
      <c r="G35" s="17"/>
      <c r="H35" s="17"/>
      <c r="I35" s="361">
        <f t="shared" si="12"/>
        <v>0</v>
      </c>
      <c r="J35" s="17"/>
      <c r="K35" s="18"/>
      <c r="L35" s="18"/>
      <c r="M35" s="17"/>
      <c r="N35" s="17"/>
      <c r="O35" s="17"/>
      <c r="P35" s="17"/>
      <c r="Q35" s="169"/>
      <c r="R35" s="24"/>
      <c r="S35" s="24"/>
      <c r="T35" s="24"/>
      <c r="U35" s="25"/>
      <c r="V35" s="25"/>
      <c r="W35" s="25"/>
      <c r="X35" s="24"/>
      <c r="Y35" s="24"/>
      <c r="Z35" s="24"/>
      <c r="AA35" s="24"/>
      <c r="AB35" s="24"/>
      <c r="AC35" s="24"/>
      <c r="AD35" s="361">
        <f t="shared" si="1"/>
        <v>0</v>
      </c>
      <c r="AE35" s="359" t="str">
        <f t="shared" si="2"/>
        <v/>
      </c>
      <c r="AF35" s="359" t="str">
        <f t="shared" si="14"/>
        <v/>
      </c>
      <c r="AG35" s="359" t="str">
        <f t="shared" si="3"/>
        <v/>
      </c>
      <c r="AH35" s="359" t="str">
        <f t="shared" si="4"/>
        <v/>
      </c>
      <c r="AI35" s="359" t="str">
        <f t="shared" si="5"/>
        <v/>
      </c>
      <c r="AJ35" s="359" t="str">
        <f t="shared" si="6"/>
        <v/>
      </c>
      <c r="AK35" s="359" t="str">
        <f t="shared" si="8"/>
        <v/>
      </c>
      <c r="AL35" s="359" t="str">
        <f t="shared" si="7"/>
        <v/>
      </c>
      <c r="AM35" s="359" t="str">
        <f t="shared" si="9"/>
        <v/>
      </c>
      <c r="AN35" s="262">
        <f t="shared" si="15"/>
        <v>0</v>
      </c>
      <c r="AO35" s="262" t="str">
        <f>IFERROR(HLOOKUP(AN35,'Ref Lists'!Q$1:AL$2,2,FALSE),'Ref Lists'!$AK$2)</f>
        <v>Savings21</v>
      </c>
      <c r="AP35" s="38"/>
      <c r="AQ35" s="38">
        <f t="shared" si="10"/>
        <v>0</v>
      </c>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row>
    <row r="36" spans="1:104" s="40" customFormat="1" ht="20.149999999999999" customHeight="1">
      <c r="A36" s="358">
        <f t="shared" si="11"/>
        <v>35</v>
      </c>
      <c r="B36" s="359" t="str">
        <f>'Front Sheet and Checklist'!$C$5</f>
        <v>Swansea Bay UHB</v>
      </c>
      <c r="C36" s="17"/>
      <c r="D36" s="17"/>
      <c r="E36" s="17"/>
      <c r="F36" s="17"/>
      <c r="G36" s="17"/>
      <c r="H36" s="17"/>
      <c r="I36" s="361">
        <f t="shared" ref="I36:I58" si="19">AD36</f>
        <v>0</v>
      </c>
      <c r="J36" s="17"/>
      <c r="K36" s="18"/>
      <c r="L36" s="18"/>
      <c r="M36" s="17"/>
      <c r="N36" s="17"/>
      <c r="O36" s="17"/>
      <c r="P36" s="17"/>
      <c r="Q36" s="169"/>
      <c r="R36" s="24"/>
      <c r="S36" s="24"/>
      <c r="T36" s="24"/>
      <c r="U36" s="25"/>
      <c r="V36" s="25"/>
      <c r="W36" s="25"/>
      <c r="X36" s="24"/>
      <c r="Y36" s="24"/>
      <c r="Z36" s="24"/>
      <c r="AA36" s="24"/>
      <c r="AB36" s="24"/>
      <c r="AC36" s="24"/>
      <c r="AD36" s="361">
        <f t="shared" si="1"/>
        <v>0</v>
      </c>
      <c r="AE36" s="359" t="str">
        <f t="shared" si="2"/>
        <v/>
      </c>
      <c r="AF36" s="359" t="str">
        <f t="shared" si="14"/>
        <v/>
      </c>
      <c r="AG36" s="359" t="str">
        <f t="shared" si="3"/>
        <v/>
      </c>
      <c r="AH36" s="359" t="str">
        <f t="shared" si="4"/>
        <v/>
      </c>
      <c r="AI36" s="359" t="str">
        <f t="shared" si="5"/>
        <v/>
      </c>
      <c r="AJ36" s="359" t="str">
        <f t="shared" si="6"/>
        <v/>
      </c>
      <c r="AK36" s="359" t="str">
        <f t="shared" si="8"/>
        <v/>
      </c>
      <c r="AL36" s="359" t="str">
        <f t="shared" si="7"/>
        <v/>
      </c>
      <c r="AM36" s="359" t="str">
        <f t="shared" si="9"/>
        <v/>
      </c>
      <c r="AN36" s="262">
        <f t="shared" si="15"/>
        <v>0</v>
      </c>
      <c r="AO36" s="262" t="str">
        <f>IFERROR(HLOOKUP(AN36,'Ref Lists'!Q$1:AL$2,2,FALSE),'Ref Lists'!$AK$2)</f>
        <v>Savings21</v>
      </c>
      <c r="AP36" s="38"/>
      <c r="AQ36" s="38">
        <f t="shared" si="10"/>
        <v>0</v>
      </c>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row>
    <row r="37" spans="1:104" s="40" customFormat="1" ht="20.149999999999999" customHeight="1">
      <c r="A37" s="358">
        <f t="shared" si="11"/>
        <v>36</v>
      </c>
      <c r="B37" s="359" t="str">
        <f>'Front Sheet and Checklist'!$C$5</f>
        <v>Swansea Bay UHB</v>
      </c>
      <c r="C37" s="17"/>
      <c r="D37" s="17"/>
      <c r="E37" s="17"/>
      <c r="F37" s="17"/>
      <c r="G37" s="17"/>
      <c r="H37" s="17"/>
      <c r="I37" s="361">
        <f t="shared" si="19"/>
        <v>0</v>
      </c>
      <c r="J37" s="17"/>
      <c r="K37" s="18"/>
      <c r="L37" s="18"/>
      <c r="M37" s="17"/>
      <c r="N37" s="17"/>
      <c r="O37" s="17"/>
      <c r="P37" s="17"/>
      <c r="Q37" s="169"/>
      <c r="R37" s="24"/>
      <c r="S37" s="24"/>
      <c r="T37" s="24"/>
      <c r="U37" s="25"/>
      <c r="V37" s="25"/>
      <c r="W37" s="25"/>
      <c r="X37" s="24"/>
      <c r="Y37" s="24"/>
      <c r="Z37" s="24"/>
      <c r="AA37" s="24"/>
      <c r="AB37" s="24"/>
      <c r="AC37" s="24"/>
      <c r="AD37" s="361">
        <f t="shared" si="1"/>
        <v>0</v>
      </c>
      <c r="AE37" s="359" t="str">
        <f t="shared" si="2"/>
        <v/>
      </c>
      <c r="AF37" s="359" t="str">
        <f t="shared" si="14"/>
        <v/>
      </c>
      <c r="AG37" s="359" t="str">
        <f t="shared" si="3"/>
        <v/>
      </c>
      <c r="AH37" s="359" t="str">
        <f t="shared" si="4"/>
        <v/>
      </c>
      <c r="AI37" s="359" t="str">
        <f t="shared" si="5"/>
        <v/>
      </c>
      <c r="AJ37" s="359" t="str">
        <f t="shared" si="6"/>
        <v/>
      </c>
      <c r="AK37" s="359" t="str">
        <f t="shared" si="8"/>
        <v/>
      </c>
      <c r="AL37" s="359" t="str">
        <f t="shared" si="7"/>
        <v/>
      </c>
      <c r="AM37" s="359" t="str">
        <f t="shared" si="9"/>
        <v/>
      </c>
      <c r="AN37" s="262">
        <f t="shared" si="15"/>
        <v>0</v>
      </c>
      <c r="AO37" s="262" t="str">
        <f>IFERROR(HLOOKUP(AN37,'Ref Lists'!Q$1:AL$2,2,FALSE),'Ref Lists'!$AK$2)</f>
        <v>Savings21</v>
      </c>
      <c r="AP37" s="38"/>
      <c r="AQ37" s="38">
        <f t="shared" si="10"/>
        <v>0</v>
      </c>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row>
    <row r="38" spans="1:104" s="40" customFormat="1" ht="20.149999999999999" customHeight="1">
      <c r="A38" s="358">
        <f t="shared" si="11"/>
        <v>37</v>
      </c>
      <c r="B38" s="359" t="str">
        <f>'Front Sheet and Checklist'!$C$5</f>
        <v>Swansea Bay UHB</v>
      </c>
      <c r="C38" s="17"/>
      <c r="D38" s="17"/>
      <c r="E38" s="17"/>
      <c r="F38" s="17"/>
      <c r="G38" s="17"/>
      <c r="H38" s="17"/>
      <c r="I38" s="361">
        <f t="shared" si="19"/>
        <v>0</v>
      </c>
      <c r="J38" s="17"/>
      <c r="K38" s="18"/>
      <c r="L38" s="18"/>
      <c r="M38" s="17"/>
      <c r="N38" s="17"/>
      <c r="O38" s="17"/>
      <c r="P38" s="17"/>
      <c r="Q38" s="169"/>
      <c r="R38" s="24"/>
      <c r="S38" s="24"/>
      <c r="T38" s="24"/>
      <c r="U38" s="25"/>
      <c r="V38" s="25"/>
      <c r="W38" s="25"/>
      <c r="X38" s="24"/>
      <c r="Y38" s="24"/>
      <c r="Z38" s="24"/>
      <c r="AA38" s="24"/>
      <c r="AB38" s="24"/>
      <c r="AC38" s="24"/>
      <c r="AD38" s="361">
        <f t="shared" si="1"/>
        <v>0</v>
      </c>
      <c r="AE38" s="359" t="str">
        <f t="shared" si="2"/>
        <v/>
      </c>
      <c r="AF38" s="359" t="str">
        <f t="shared" si="14"/>
        <v/>
      </c>
      <c r="AG38" s="359" t="str">
        <f t="shared" si="3"/>
        <v/>
      </c>
      <c r="AH38" s="359" t="str">
        <f t="shared" si="4"/>
        <v/>
      </c>
      <c r="AI38" s="359" t="str">
        <f t="shared" si="5"/>
        <v/>
      </c>
      <c r="AJ38" s="359" t="str">
        <f t="shared" si="6"/>
        <v/>
      </c>
      <c r="AK38" s="359" t="str">
        <f t="shared" si="8"/>
        <v/>
      </c>
      <c r="AL38" s="359" t="str">
        <f t="shared" si="7"/>
        <v/>
      </c>
      <c r="AM38" s="359" t="str">
        <f t="shared" si="9"/>
        <v/>
      </c>
      <c r="AN38" s="262">
        <f t="shared" si="15"/>
        <v>0</v>
      </c>
      <c r="AO38" s="262" t="str">
        <f>IFERROR(HLOOKUP(AN38,'Ref Lists'!Q$1:AL$2,2,FALSE),'Ref Lists'!$AK$2)</f>
        <v>Savings21</v>
      </c>
      <c r="AP38" s="38"/>
      <c r="AQ38" s="38">
        <f t="shared" si="10"/>
        <v>0</v>
      </c>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row>
    <row r="39" spans="1:104" s="40" customFormat="1" ht="20.149999999999999" customHeight="1">
      <c r="A39" s="358">
        <f t="shared" si="11"/>
        <v>38</v>
      </c>
      <c r="B39" s="359" t="str">
        <f>'Front Sheet and Checklist'!$C$5</f>
        <v>Swansea Bay UHB</v>
      </c>
      <c r="C39" s="17"/>
      <c r="D39" s="17"/>
      <c r="E39" s="17"/>
      <c r="F39" s="17"/>
      <c r="G39" s="17"/>
      <c r="H39" s="17"/>
      <c r="I39" s="361">
        <f t="shared" si="19"/>
        <v>0</v>
      </c>
      <c r="J39" s="17"/>
      <c r="K39" s="18"/>
      <c r="L39" s="18"/>
      <c r="M39" s="17"/>
      <c r="N39" s="17"/>
      <c r="O39" s="17"/>
      <c r="P39" s="17"/>
      <c r="Q39" s="169"/>
      <c r="R39" s="24"/>
      <c r="S39" s="24"/>
      <c r="T39" s="24"/>
      <c r="U39" s="25"/>
      <c r="V39" s="25"/>
      <c r="W39" s="25"/>
      <c r="X39" s="24"/>
      <c r="Y39" s="24"/>
      <c r="Z39" s="24"/>
      <c r="AA39" s="24"/>
      <c r="AB39" s="24"/>
      <c r="AC39" s="24"/>
      <c r="AD39" s="361">
        <f t="shared" si="1"/>
        <v>0</v>
      </c>
      <c r="AE39" s="359" t="str">
        <f t="shared" si="2"/>
        <v/>
      </c>
      <c r="AF39" s="359" t="str">
        <f t="shared" si="14"/>
        <v/>
      </c>
      <c r="AG39" s="359" t="str">
        <f t="shared" si="3"/>
        <v/>
      </c>
      <c r="AH39" s="359" t="str">
        <f t="shared" si="4"/>
        <v/>
      </c>
      <c r="AI39" s="359" t="str">
        <f t="shared" si="5"/>
        <v/>
      </c>
      <c r="AJ39" s="359" t="str">
        <f t="shared" si="6"/>
        <v/>
      </c>
      <c r="AK39" s="359" t="str">
        <f t="shared" si="8"/>
        <v/>
      </c>
      <c r="AL39" s="359" t="str">
        <f t="shared" si="7"/>
        <v/>
      </c>
      <c r="AM39" s="359" t="str">
        <f t="shared" si="9"/>
        <v/>
      </c>
      <c r="AN39" s="262">
        <f t="shared" si="15"/>
        <v>0</v>
      </c>
      <c r="AO39" s="262" t="str">
        <f>IFERROR(HLOOKUP(AN39,'Ref Lists'!Q$1:AL$2,2,FALSE),'Ref Lists'!$AK$2)</f>
        <v>Savings21</v>
      </c>
      <c r="AP39" s="38"/>
      <c r="AQ39" s="38">
        <f t="shared" si="10"/>
        <v>0</v>
      </c>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row>
    <row r="40" spans="1:104" s="40" customFormat="1" ht="20.149999999999999" customHeight="1">
      <c r="A40" s="358">
        <f t="shared" si="11"/>
        <v>39</v>
      </c>
      <c r="B40" s="359" t="str">
        <f>'Front Sheet and Checklist'!$C$5</f>
        <v>Swansea Bay UHB</v>
      </c>
      <c r="C40" s="17"/>
      <c r="D40" s="17"/>
      <c r="E40" s="17"/>
      <c r="F40" s="17"/>
      <c r="G40" s="17"/>
      <c r="H40" s="17"/>
      <c r="I40" s="361">
        <f t="shared" si="19"/>
        <v>0</v>
      </c>
      <c r="J40" s="17"/>
      <c r="K40" s="18"/>
      <c r="L40" s="18"/>
      <c r="M40" s="17"/>
      <c r="N40" s="17"/>
      <c r="O40" s="17"/>
      <c r="P40" s="17"/>
      <c r="Q40" s="169"/>
      <c r="R40" s="24"/>
      <c r="S40" s="24"/>
      <c r="T40" s="24"/>
      <c r="U40" s="25"/>
      <c r="V40" s="25"/>
      <c r="W40" s="25"/>
      <c r="X40" s="24"/>
      <c r="Y40" s="24"/>
      <c r="Z40" s="24"/>
      <c r="AA40" s="24"/>
      <c r="AB40" s="24"/>
      <c r="AC40" s="24"/>
      <c r="AD40" s="361">
        <f t="shared" si="1"/>
        <v>0</v>
      </c>
      <c r="AE40" s="359" t="str">
        <f t="shared" si="2"/>
        <v/>
      </c>
      <c r="AF40" s="359" t="str">
        <f t="shared" si="14"/>
        <v/>
      </c>
      <c r="AG40" s="359" t="str">
        <f t="shared" si="3"/>
        <v/>
      </c>
      <c r="AH40" s="359" t="str">
        <f t="shared" si="4"/>
        <v/>
      </c>
      <c r="AI40" s="359" t="str">
        <f t="shared" si="5"/>
        <v/>
      </c>
      <c r="AJ40" s="359" t="str">
        <f t="shared" si="6"/>
        <v/>
      </c>
      <c r="AK40" s="359" t="str">
        <f t="shared" si="8"/>
        <v/>
      </c>
      <c r="AL40" s="359" t="str">
        <f t="shared" si="7"/>
        <v/>
      </c>
      <c r="AM40" s="359" t="str">
        <f t="shared" si="9"/>
        <v/>
      </c>
      <c r="AN40" s="262">
        <f t="shared" si="15"/>
        <v>0</v>
      </c>
      <c r="AO40" s="262" t="str">
        <f>IFERROR(HLOOKUP(AN40,'Ref Lists'!Q$1:AL$2,2,FALSE),'Ref Lists'!$AK$2)</f>
        <v>Savings21</v>
      </c>
      <c r="AP40" s="38"/>
      <c r="AQ40" s="38">
        <f t="shared" si="10"/>
        <v>0</v>
      </c>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row>
    <row r="41" spans="1:104" s="40" customFormat="1" ht="20.149999999999999" customHeight="1">
      <c r="A41" s="358">
        <f t="shared" si="11"/>
        <v>40</v>
      </c>
      <c r="B41" s="359" t="str">
        <f>'Front Sheet and Checklist'!$C$5</f>
        <v>Swansea Bay UHB</v>
      </c>
      <c r="C41" s="17"/>
      <c r="D41" s="17"/>
      <c r="E41" s="17"/>
      <c r="F41" s="17"/>
      <c r="G41" s="17"/>
      <c r="H41" s="17"/>
      <c r="I41" s="361">
        <f t="shared" si="19"/>
        <v>0</v>
      </c>
      <c r="J41" s="17"/>
      <c r="K41" s="18"/>
      <c r="L41" s="18"/>
      <c r="M41" s="17"/>
      <c r="N41" s="17"/>
      <c r="O41" s="17"/>
      <c r="P41" s="17"/>
      <c r="Q41" s="169"/>
      <c r="R41" s="24"/>
      <c r="S41" s="24"/>
      <c r="T41" s="24"/>
      <c r="U41" s="25"/>
      <c r="V41" s="25"/>
      <c r="W41" s="25"/>
      <c r="X41" s="24"/>
      <c r="Y41" s="24"/>
      <c r="Z41" s="24"/>
      <c r="AA41" s="24"/>
      <c r="AB41" s="24"/>
      <c r="AC41" s="24"/>
      <c r="AD41" s="361">
        <f t="shared" si="1"/>
        <v>0</v>
      </c>
      <c r="AE41" s="359" t="str">
        <f t="shared" si="2"/>
        <v/>
      </c>
      <c r="AF41" s="359" t="str">
        <f t="shared" si="14"/>
        <v/>
      </c>
      <c r="AG41" s="359" t="str">
        <f t="shared" si="3"/>
        <v/>
      </c>
      <c r="AH41" s="359" t="str">
        <f t="shared" si="4"/>
        <v/>
      </c>
      <c r="AI41" s="359" t="str">
        <f t="shared" si="5"/>
        <v/>
      </c>
      <c r="AJ41" s="359" t="str">
        <f t="shared" si="6"/>
        <v/>
      </c>
      <c r="AK41" s="359" t="str">
        <f t="shared" si="8"/>
        <v/>
      </c>
      <c r="AL41" s="359" t="str">
        <f t="shared" si="7"/>
        <v/>
      </c>
      <c r="AM41" s="359" t="str">
        <f t="shared" si="9"/>
        <v/>
      </c>
      <c r="AN41" s="262">
        <f t="shared" si="15"/>
        <v>0</v>
      </c>
      <c r="AO41" s="262" t="str">
        <f>IFERROR(HLOOKUP(AN41,'Ref Lists'!Q$1:AL$2,2,FALSE),'Ref Lists'!$AK$2)</f>
        <v>Savings21</v>
      </c>
      <c r="AP41" s="38"/>
      <c r="AQ41" s="38">
        <f t="shared" si="10"/>
        <v>0</v>
      </c>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row>
    <row r="42" spans="1:104" s="40" customFormat="1" ht="20.149999999999999" customHeight="1">
      <c r="A42" s="358">
        <f t="shared" si="11"/>
        <v>41</v>
      </c>
      <c r="B42" s="359" t="str">
        <f>'Front Sheet and Checklist'!$C$5</f>
        <v>Swansea Bay UHB</v>
      </c>
      <c r="C42" s="17"/>
      <c r="D42" s="17"/>
      <c r="E42" s="17"/>
      <c r="F42" s="17"/>
      <c r="G42" s="17"/>
      <c r="H42" s="17"/>
      <c r="I42" s="361">
        <f t="shared" si="19"/>
        <v>0</v>
      </c>
      <c r="J42" s="17"/>
      <c r="K42" s="18"/>
      <c r="L42" s="18"/>
      <c r="M42" s="17"/>
      <c r="N42" s="17"/>
      <c r="O42" s="17"/>
      <c r="P42" s="17"/>
      <c r="Q42" s="169"/>
      <c r="R42" s="24"/>
      <c r="S42" s="24"/>
      <c r="T42" s="24"/>
      <c r="U42" s="25"/>
      <c r="V42" s="25"/>
      <c r="W42" s="25"/>
      <c r="X42" s="24"/>
      <c r="Y42" s="24"/>
      <c r="Z42" s="24"/>
      <c r="AA42" s="24"/>
      <c r="AB42" s="24"/>
      <c r="AC42" s="24"/>
      <c r="AD42" s="361">
        <f t="shared" si="1"/>
        <v>0</v>
      </c>
      <c r="AE42" s="359" t="str">
        <f t="shared" si="2"/>
        <v/>
      </c>
      <c r="AF42" s="359" t="str">
        <f t="shared" si="14"/>
        <v/>
      </c>
      <c r="AG42" s="359" t="str">
        <f t="shared" si="3"/>
        <v/>
      </c>
      <c r="AH42" s="359" t="str">
        <f t="shared" si="4"/>
        <v/>
      </c>
      <c r="AI42" s="359" t="str">
        <f t="shared" si="5"/>
        <v/>
      </c>
      <c r="AJ42" s="359" t="str">
        <f t="shared" si="6"/>
        <v/>
      </c>
      <c r="AK42" s="359" t="str">
        <f t="shared" si="8"/>
        <v/>
      </c>
      <c r="AL42" s="359" t="str">
        <f t="shared" si="7"/>
        <v/>
      </c>
      <c r="AM42" s="359" t="str">
        <f t="shared" si="9"/>
        <v/>
      </c>
      <c r="AN42" s="262">
        <f t="shared" si="15"/>
        <v>0</v>
      </c>
      <c r="AO42" s="262" t="str">
        <f>IFERROR(HLOOKUP(AN42,'Ref Lists'!Q$1:AL$2,2,FALSE),'Ref Lists'!$AK$2)</f>
        <v>Savings21</v>
      </c>
      <c r="AP42" s="38"/>
      <c r="AQ42" s="38">
        <f t="shared" si="10"/>
        <v>0</v>
      </c>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row>
    <row r="43" spans="1:104" s="40" customFormat="1" ht="20.149999999999999" customHeight="1">
      <c r="A43" s="358">
        <f t="shared" si="11"/>
        <v>42</v>
      </c>
      <c r="B43" s="359" t="str">
        <f>'Front Sheet and Checklist'!$C$5</f>
        <v>Swansea Bay UHB</v>
      </c>
      <c r="C43" s="17"/>
      <c r="D43" s="17"/>
      <c r="E43" s="17"/>
      <c r="F43" s="17"/>
      <c r="G43" s="17"/>
      <c r="H43" s="17"/>
      <c r="I43" s="361">
        <f t="shared" si="19"/>
        <v>0</v>
      </c>
      <c r="J43" s="17"/>
      <c r="K43" s="18"/>
      <c r="L43" s="18"/>
      <c r="M43" s="17"/>
      <c r="N43" s="17"/>
      <c r="O43" s="17"/>
      <c r="P43" s="17"/>
      <c r="Q43" s="169"/>
      <c r="R43" s="24"/>
      <c r="S43" s="24"/>
      <c r="T43" s="24"/>
      <c r="U43" s="25"/>
      <c r="V43" s="25"/>
      <c r="W43" s="25"/>
      <c r="X43" s="24"/>
      <c r="Y43" s="24"/>
      <c r="Z43" s="24"/>
      <c r="AA43" s="24"/>
      <c r="AB43" s="24"/>
      <c r="AC43" s="24"/>
      <c r="AD43" s="361">
        <f t="shared" si="1"/>
        <v>0</v>
      </c>
      <c r="AE43" s="359" t="str">
        <f t="shared" si="2"/>
        <v/>
      </c>
      <c r="AF43" s="359" t="str">
        <f t="shared" si="14"/>
        <v/>
      </c>
      <c r="AG43" s="359" t="str">
        <f t="shared" si="3"/>
        <v/>
      </c>
      <c r="AH43" s="359" t="str">
        <f t="shared" si="4"/>
        <v/>
      </c>
      <c r="AI43" s="359" t="str">
        <f t="shared" si="5"/>
        <v/>
      </c>
      <c r="AJ43" s="359" t="str">
        <f t="shared" si="6"/>
        <v/>
      </c>
      <c r="AK43" s="359" t="str">
        <f t="shared" si="8"/>
        <v/>
      </c>
      <c r="AL43" s="359" t="str">
        <f t="shared" si="7"/>
        <v/>
      </c>
      <c r="AM43" s="359" t="str">
        <f t="shared" si="9"/>
        <v/>
      </c>
      <c r="AN43" s="262">
        <f t="shared" si="15"/>
        <v>0</v>
      </c>
      <c r="AO43" s="262" t="str">
        <f>IFERROR(HLOOKUP(AN43,'Ref Lists'!Q$1:AL$2,2,FALSE),'Ref Lists'!$AK$2)</f>
        <v>Savings21</v>
      </c>
      <c r="AP43" s="38"/>
      <c r="AQ43" s="38">
        <f t="shared" si="10"/>
        <v>0</v>
      </c>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row>
    <row r="44" spans="1:104" s="40" customFormat="1" ht="20.149999999999999" customHeight="1">
      <c r="A44" s="358">
        <f t="shared" si="11"/>
        <v>43</v>
      </c>
      <c r="B44" s="359" t="str">
        <f>'Front Sheet and Checklist'!$C$5</f>
        <v>Swansea Bay UHB</v>
      </c>
      <c r="C44" s="17"/>
      <c r="D44" s="17"/>
      <c r="E44" s="17"/>
      <c r="F44" s="17"/>
      <c r="G44" s="17"/>
      <c r="H44" s="17"/>
      <c r="I44" s="361">
        <f t="shared" si="19"/>
        <v>0</v>
      </c>
      <c r="J44" s="17"/>
      <c r="K44" s="18"/>
      <c r="L44" s="18"/>
      <c r="M44" s="17"/>
      <c r="N44" s="17"/>
      <c r="O44" s="17"/>
      <c r="P44" s="17"/>
      <c r="Q44" s="169"/>
      <c r="R44" s="24"/>
      <c r="S44" s="24"/>
      <c r="T44" s="24"/>
      <c r="U44" s="25"/>
      <c r="V44" s="25"/>
      <c r="W44" s="25"/>
      <c r="X44" s="24"/>
      <c r="Y44" s="24"/>
      <c r="Z44" s="24"/>
      <c r="AA44" s="24"/>
      <c r="AB44" s="24"/>
      <c r="AC44" s="24"/>
      <c r="AD44" s="361">
        <f t="shared" si="1"/>
        <v>0</v>
      </c>
      <c r="AE44" s="359" t="str">
        <f t="shared" si="2"/>
        <v/>
      </c>
      <c r="AF44" s="359" t="str">
        <f t="shared" si="14"/>
        <v/>
      </c>
      <c r="AG44" s="359" t="str">
        <f t="shared" si="3"/>
        <v/>
      </c>
      <c r="AH44" s="359" t="str">
        <f t="shared" si="4"/>
        <v/>
      </c>
      <c r="AI44" s="359" t="str">
        <f t="shared" si="5"/>
        <v/>
      </c>
      <c r="AJ44" s="359" t="str">
        <f t="shared" si="6"/>
        <v/>
      </c>
      <c r="AK44" s="359" t="str">
        <f t="shared" si="8"/>
        <v/>
      </c>
      <c r="AL44" s="359" t="str">
        <f t="shared" si="7"/>
        <v/>
      </c>
      <c r="AM44" s="359" t="str">
        <f t="shared" si="9"/>
        <v/>
      </c>
      <c r="AN44" s="262">
        <f t="shared" si="15"/>
        <v>0</v>
      </c>
      <c r="AO44" s="262" t="str">
        <f>IFERROR(HLOOKUP(AN44,'Ref Lists'!Q$1:AL$2,2,FALSE),'Ref Lists'!$AK$2)</f>
        <v>Savings21</v>
      </c>
      <c r="AP44" s="38"/>
      <c r="AQ44" s="38">
        <f t="shared" si="10"/>
        <v>0</v>
      </c>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row>
    <row r="45" spans="1:104" s="40" customFormat="1" ht="20.149999999999999" customHeight="1">
      <c r="A45" s="358">
        <f t="shared" si="11"/>
        <v>44</v>
      </c>
      <c r="B45" s="359" t="str">
        <f>'Front Sheet and Checklist'!$C$5</f>
        <v>Swansea Bay UHB</v>
      </c>
      <c r="C45" s="17"/>
      <c r="D45" s="17"/>
      <c r="E45" s="17"/>
      <c r="F45" s="17"/>
      <c r="G45" s="17"/>
      <c r="H45" s="17"/>
      <c r="I45" s="361">
        <f t="shared" si="19"/>
        <v>0</v>
      </c>
      <c r="J45" s="17"/>
      <c r="K45" s="18"/>
      <c r="L45" s="18"/>
      <c r="M45" s="17"/>
      <c r="N45" s="17"/>
      <c r="O45" s="17"/>
      <c r="P45" s="17"/>
      <c r="Q45" s="169"/>
      <c r="R45" s="24"/>
      <c r="S45" s="24"/>
      <c r="T45" s="24"/>
      <c r="U45" s="25"/>
      <c r="V45" s="25"/>
      <c r="W45" s="25"/>
      <c r="X45" s="24"/>
      <c r="Y45" s="24"/>
      <c r="Z45" s="24"/>
      <c r="AA45" s="24"/>
      <c r="AB45" s="24"/>
      <c r="AC45" s="24"/>
      <c r="AD45" s="361">
        <f t="shared" si="1"/>
        <v>0</v>
      </c>
      <c r="AE45" s="359" t="str">
        <f t="shared" si="2"/>
        <v/>
      </c>
      <c r="AF45" s="359" t="str">
        <f t="shared" si="14"/>
        <v/>
      </c>
      <c r="AG45" s="359" t="str">
        <f t="shared" si="3"/>
        <v/>
      </c>
      <c r="AH45" s="359" t="str">
        <f t="shared" si="4"/>
        <v/>
      </c>
      <c r="AI45" s="359" t="str">
        <f t="shared" si="5"/>
        <v/>
      </c>
      <c r="AJ45" s="359" t="str">
        <f t="shared" si="6"/>
        <v/>
      </c>
      <c r="AK45" s="359" t="str">
        <f t="shared" si="8"/>
        <v/>
      </c>
      <c r="AL45" s="359" t="str">
        <f t="shared" si="7"/>
        <v/>
      </c>
      <c r="AM45" s="359" t="str">
        <f t="shared" si="9"/>
        <v/>
      </c>
      <c r="AN45" s="262">
        <f t="shared" si="15"/>
        <v>0</v>
      </c>
      <c r="AO45" s="262" t="str">
        <f>IFERROR(HLOOKUP(AN45,'Ref Lists'!Q$1:AL$2,2,FALSE),'Ref Lists'!$AK$2)</f>
        <v>Savings21</v>
      </c>
      <c r="AP45" s="38"/>
      <c r="AQ45" s="38">
        <f t="shared" si="10"/>
        <v>0</v>
      </c>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row>
    <row r="46" spans="1:104" s="40" customFormat="1" ht="20.149999999999999" customHeight="1">
      <c r="A46" s="358">
        <f t="shared" si="11"/>
        <v>45</v>
      </c>
      <c r="B46" s="359" t="str">
        <f>'Front Sheet and Checklist'!$C$5</f>
        <v>Swansea Bay UHB</v>
      </c>
      <c r="C46" s="17"/>
      <c r="D46" s="17"/>
      <c r="E46" s="17"/>
      <c r="F46" s="17"/>
      <c r="G46" s="17"/>
      <c r="H46" s="17"/>
      <c r="I46" s="361">
        <f t="shared" si="19"/>
        <v>0</v>
      </c>
      <c r="J46" s="17"/>
      <c r="K46" s="18"/>
      <c r="L46" s="18"/>
      <c r="M46" s="17"/>
      <c r="N46" s="17"/>
      <c r="O46" s="17"/>
      <c r="P46" s="17"/>
      <c r="Q46" s="169"/>
      <c r="R46" s="24"/>
      <c r="S46" s="24"/>
      <c r="T46" s="24"/>
      <c r="U46" s="25"/>
      <c r="V46" s="25"/>
      <c r="W46" s="25"/>
      <c r="X46" s="24"/>
      <c r="Y46" s="24"/>
      <c r="Z46" s="24"/>
      <c r="AA46" s="24"/>
      <c r="AB46" s="24"/>
      <c r="AC46" s="24"/>
      <c r="AD46" s="361">
        <f t="shared" si="1"/>
        <v>0</v>
      </c>
      <c r="AE46" s="359" t="str">
        <f t="shared" si="2"/>
        <v/>
      </c>
      <c r="AF46" s="359" t="str">
        <f t="shared" si="14"/>
        <v/>
      </c>
      <c r="AG46" s="359" t="str">
        <f t="shared" si="3"/>
        <v/>
      </c>
      <c r="AH46" s="359" t="str">
        <f t="shared" si="4"/>
        <v/>
      </c>
      <c r="AI46" s="359" t="str">
        <f t="shared" si="5"/>
        <v/>
      </c>
      <c r="AJ46" s="359" t="str">
        <f t="shared" si="6"/>
        <v/>
      </c>
      <c r="AK46" s="359" t="str">
        <f t="shared" si="8"/>
        <v/>
      </c>
      <c r="AL46" s="359" t="str">
        <f t="shared" si="7"/>
        <v/>
      </c>
      <c r="AM46" s="359" t="str">
        <f t="shared" si="9"/>
        <v/>
      </c>
      <c r="AN46" s="262">
        <f t="shared" si="15"/>
        <v>0</v>
      </c>
      <c r="AO46" s="262" t="str">
        <f>IFERROR(HLOOKUP(AN46,'Ref Lists'!Q$1:AL$2,2,FALSE),'Ref Lists'!$AK$2)</f>
        <v>Savings21</v>
      </c>
      <c r="AP46" s="38"/>
      <c r="AQ46" s="38">
        <f t="shared" si="10"/>
        <v>0</v>
      </c>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row>
    <row r="47" spans="1:104" s="40" customFormat="1" ht="20.149999999999999" customHeight="1">
      <c r="A47" s="358">
        <f t="shared" si="11"/>
        <v>46</v>
      </c>
      <c r="B47" s="359" t="str">
        <f>'Front Sheet and Checklist'!$C$5</f>
        <v>Swansea Bay UHB</v>
      </c>
      <c r="C47" s="17"/>
      <c r="D47" s="17"/>
      <c r="E47" s="17"/>
      <c r="F47" s="17"/>
      <c r="G47" s="17"/>
      <c r="H47" s="17"/>
      <c r="I47" s="361">
        <f t="shared" si="19"/>
        <v>0</v>
      </c>
      <c r="J47" s="17"/>
      <c r="K47" s="18"/>
      <c r="L47" s="18"/>
      <c r="M47" s="17"/>
      <c r="N47" s="17"/>
      <c r="O47" s="17"/>
      <c r="P47" s="17"/>
      <c r="Q47" s="169"/>
      <c r="R47" s="24"/>
      <c r="S47" s="24"/>
      <c r="T47" s="24"/>
      <c r="U47" s="25"/>
      <c r="V47" s="25"/>
      <c r="W47" s="25"/>
      <c r="X47" s="24"/>
      <c r="Y47" s="24"/>
      <c r="Z47" s="24"/>
      <c r="AA47" s="24"/>
      <c r="AB47" s="24"/>
      <c r="AC47" s="24"/>
      <c r="AD47" s="361">
        <f t="shared" si="1"/>
        <v>0</v>
      </c>
      <c r="AE47" s="359" t="str">
        <f t="shared" si="2"/>
        <v/>
      </c>
      <c r="AF47" s="359" t="str">
        <f t="shared" si="14"/>
        <v/>
      </c>
      <c r="AG47" s="359" t="str">
        <f t="shared" si="3"/>
        <v/>
      </c>
      <c r="AH47" s="359" t="str">
        <f t="shared" si="4"/>
        <v/>
      </c>
      <c r="AI47" s="359" t="str">
        <f t="shared" si="5"/>
        <v/>
      </c>
      <c r="AJ47" s="359" t="str">
        <f t="shared" si="6"/>
        <v/>
      </c>
      <c r="AK47" s="359" t="str">
        <f t="shared" si="8"/>
        <v/>
      </c>
      <c r="AL47" s="359" t="str">
        <f t="shared" si="7"/>
        <v/>
      </c>
      <c r="AM47" s="359" t="str">
        <f t="shared" si="9"/>
        <v/>
      </c>
      <c r="AN47" s="262">
        <f t="shared" si="15"/>
        <v>0</v>
      </c>
      <c r="AO47" s="262" t="str">
        <f>IFERROR(HLOOKUP(AN47,'Ref Lists'!Q$1:AL$2,2,FALSE),'Ref Lists'!$AK$2)</f>
        <v>Savings21</v>
      </c>
      <c r="AP47" s="38"/>
      <c r="AQ47" s="38">
        <f t="shared" si="10"/>
        <v>0</v>
      </c>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row>
    <row r="48" spans="1:104" s="40" customFormat="1" ht="20.149999999999999" customHeight="1">
      <c r="A48" s="358">
        <f t="shared" si="11"/>
        <v>47</v>
      </c>
      <c r="B48" s="359" t="str">
        <f>'Front Sheet and Checklist'!$C$5</f>
        <v>Swansea Bay UHB</v>
      </c>
      <c r="C48" s="17"/>
      <c r="D48" s="17"/>
      <c r="E48" s="17"/>
      <c r="F48" s="17"/>
      <c r="G48" s="17"/>
      <c r="H48" s="17"/>
      <c r="I48" s="361">
        <f t="shared" si="19"/>
        <v>0</v>
      </c>
      <c r="J48" s="17"/>
      <c r="K48" s="18"/>
      <c r="L48" s="18"/>
      <c r="M48" s="17"/>
      <c r="N48" s="17"/>
      <c r="O48" s="17"/>
      <c r="P48" s="17"/>
      <c r="Q48" s="169"/>
      <c r="R48" s="24"/>
      <c r="S48" s="24"/>
      <c r="T48" s="24"/>
      <c r="U48" s="25"/>
      <c r="V48" s="25"/>
      <c r="W48" s="25"/>
      <c r="X48" s="24"/>
      <c r="Y48" s="24"/>
      <c r="Z48" s="24"/>
      <c r="AA48" s="24"/>
      <c r="AB48" s="24"/>
      <c r="AC48" s="24"/>
      <c r="AD48" s="361">
        <f t="shared" si="1"/>
        <v>0</v>
      </c>
      <c r="AE48" s="359" t="str">
        <f t="shared" si="2"/>
        <v/>
      </c>
      <c r="AF48" s="359" t="str">
        <f t="shared" si="14"/>
        <v/>
      </c>
      <c r="AG48" s="359" t="str">
        <f t="shared" si="3"/>
        <v/>
      </c>
      <c r="AH48" s="359" t="str">
        <f t="shared" si="4"/>
        <v/>
      </c>
      <c r="AI48" s="359" t="str">
        <f t="shared" si="5"/>
        <v/>
      </c>
      <c r="AJ48" s="359" t="str">
        <f t="shared" si="6"/>
        <v/>
      </c>
      <c r="AK48" s="359" t="str">
        <f t="shared" si="8"/>
        <v/>
      </c>
      <c r="AL48" s="359" t="str">
        <f t="shared" si="7"/>
        <v/>
      </c>
      <c r="AM48" s="359" t="str">
        <f t="shared" si="9"/>
        <v/>
      </c>
      <c r="AN48" s="262">
        <f t="shared" si="15"/>
        <v>0</v>
      </c>
      <c r="AO48" s="262" t="str">
        <f>IFERROR(HLOOKUP(AN48,'Ref Lists'!Q$1:AL$2,2,FALSE),'Ref Lists'!$AK$2)</f>
        <v>Savings21</v>
      </c>
      <c r="AP48" s="38"/>
      <c r="AQ48" s="38">
        <f t="shared" si="10"/>
        <v>0</v>
      </c>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row>
    <row r="49" spans="1:104" s="40" customFormat="1" ht="20.149999999999999" customHeight="1">
      <c r="A49" s="358">
        <f t="shared" si="11"/>
        <v>48</v>
      </c>
      <c r="B49" s="359" t="str">
        <f>'Front Sheet and Checklist'!$C$5</f>
        <v>Swansea Bay UHB</v>
      </c>
      <c r="C49" s="17"/>
      <c r="D49" s="17"/>
      <c r="E49" s="17"/>
      <c r="F49" s="17"/>
      <c r="G49" s="17"/>
      <c r="H49" s="17"/>
      <c r="I49" s="361">
        <f t="shared" si="19"/>
        <v>0</v>
      </c>
      <c r="J49" s="17"/>
      <c r="K49" s="18"/>
      <c r="L49" s="18"/>
      <c r="M49" s="17"/>
      <c r="N49" s="17"/>
      <c r="O49" s="17"/>
      <c r="P49" s="17"/>
      <c r="Q49" s="169"/>
      <c r="R49" s="24"/>
      <c r="S49" s="24"/>
      <c r="T49" s="24"/>
      <c r="U49" s="25"/>
      <c r="V49" s="25"/>
      <c r="W49" s="25"/>
      <c r="X49" s="24"/>
      <c r="Y49" s="24"/>
      <c r="Z49" s="24"/>
      <c r="AA49" s="24"/>
      <c r="AB49" s="24"/>
      <c r="AC49" s="24"/>
      <c r="AD49" s="361">
        <f t="shared" si="1"/>
        <v>0</v>
      </c>
      <c r="AE49" s="359" t="str">
        <f t="shared" si="2"/>
        <v/>
      </c>
      <c r="AF49" s="359" t="str">
        <f t="shared" si="14"/>
        <v/>
      </c>
      <c r="AG49" s="359" t="str">
        <f t="shared" si="3"/>
        <v/>
      </c>
      <c r="AH49" s="359" t="str">
        <f t="shared" si="4"/>
        <v/>
      </c>
      <c r="AI49" s="359" t="str">
        <f t="shared" si="5"/>
        <v/>
      </c>
      <c r="AJ49" s="359" t="str">
        <f t="shared" si="6"/>
        <v/>
      </c>
      <c r="AK49" s="359" t="str">
        <f t="shared" si="8"/>
        <v/>
      </c>
      <c r="AL49" s="359" t="str">
        <f t="shared" si="7"/>
        <v/>
      </c>
      <c r="AM49" s="359" t="str">
        <f t="shared" si="9"/>
        <v/>
      </c>
      <c r="AN49" s="262">
        <f t="shared" si="15"/>
        <v>0</v>
      </c>
      <c r="AO49" s="262" t="str">
        <f>IFERROR(HLOOKUP(AN49,'Ref Lists'!Q$1:AL$2,2,FALSE),'Ref Lists'!$AK$2)</f>
        <v>Savings21</v>
      </c>
      <c r="AP49" s="38"/>
      <c r="AQ49" s="38">
        <f t="shared" si="10"/>
        <v>0</v>
      </c>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row>
    <row r="50" spans="1:104" s="40" customFormat="1" ht="20.149999999999999" customHeight="1">
      <c r="A50" s="358">
        <f t="shared" si="11"/>
        <v>49</v>
      </c>
      <c r="B50" s="359" t="str">
        <f>'Front Sheet and Checklist'!$C$5</f>
        <v>Swansea Bay UHB</v>
      </c>
      <c r="C50" s="17"/>
      <c r="D50" s="17"/>
      <c r="E50" s="17"/>
      <c r="F50" s="17"/>
      <c r="G50" s="17"/>
      <c r="H50" s="17"/>
      <c r="I50" s="361">
        <f t="shared" si="19"/>
        <v>0</v>
      </c>
      <c r="J50" s="17"/>
      <c r="K50" s="18"/>
      <c r="L50" s="18"/>
      <c r="M50" s="17"/>
      <c r="N50" s="17"/>
      <c r="O50" s="17"/>
      <c r="P50" s="17"/>
      <c r="Q50" s="169"/>
      <c r="R50" s="24"/>
      <c r="S50" s="24"/>
      <c r="T50" s="24"/>
      <c r="U50" s="25"/>
      <c r="V50" s="25"/>
      <c r="W50" s="25"/>
      <c r="X50" s="24"/>
      <c r="Y50" s="24"/>
      <c r="Z50" s="24"/>
      <c r="AA50" s="24"/>
      <c r="AB50" s="24"/>
      <c r="AC50" s="24"/>
      <c r="AD50" s="361">
        <f t="shared" si="1"/>
        <v>0</v>
      </c>
      <c r="AE50" s="359" t="str">
        <f t="shared" si="2"/>
        <v/>
      </c>
      <c r="AF50" s="359" t="str">
        <f t="shared" si="14"/>
        <v/>
      </c>
      <c r="AG50" s="359" t="str">
        <f t="shared" si="3"/>
        <v/>
      </c>
      <c r="AH50" s="359" t="str">
        <f t="shared" si="4"/>
        <v/>
      </c>
      <c r="AI50" s="359" t="str">
        <f t="shared" si="5"/>
        <v/>
      </c>
      <c r="AJ50" s="359" t="str">
        <f t="shared" si="6"/>
        <v/>
      </c>
      <c r="AK50" s="359" t="str">
        <f t="shared" si="8"/>
        <v/>
      </c>
      <c r="AL50" s="359" t="str">
        <f t="shared" si="7"/>
        <v/>
      </c>
      <c r="AM50" s="359" t="str">
        <f t="shared" si="9"/>
        <v/>
      </c>
      <c r="AN50" s="262">
        <f t="shared" si="15"/>
        <v>0</v>
      </c>
      <c r="AO50" s="262" t="str">
        <f>IFERROR(HLOOKUP(AN50,'Ref Lists'!Q$1:AL$2,2,FALSE),'Ref Lists'!$AK$2)</f>
        <v>Savings21</v>
      </c>
      <c r="AP50" s="38"/>
      <c r="AQ50" s="38">
        <f t="shared" si="10"/>
        <v>0</v>
      </c>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row>
    <row r="51" spans="1:104" s="40" customFormat="1" ht="20.149999999999999" customHeight="1">
      <c r="A51" s="358">
        <f t="shared" si="11"/>
        <v>50</v>
      </c>
      <c r="B51" s="359" t="str">
        <f>'Front Sheet and Checklist'!$C$5</f>
        <v>Swansea Bay UHB</v>
      </c>
      <c r="C51" s="17"/>
      <c r="D51" s="17"/>
      <c r="E51" s="17"/>
      <c r="F51" s="17"/>
      <c r="G51" s="17"/>
      <c r="H51" s="17"/>
      <c r="I51" s="361">
        <f t="shared" si="19"/>
        <v>0</v>
      </c>
      <c r="J51" s="17"/>
      <c r="K51" s="18"/>
      <c r="L51" s="18"/>
      <c r="M51" s="17"/>
      <c r="N51" s="17"/>
      <c r="O51" s="17"/>
      <c r="P51" s="17"/>
      <c r="Q51" s="169"/>
      <c r="R51" s="24"/>
      <c r="S51" s="24"/>
      <c r="T51" s="24"/>
      <c r="U51" s="25"/>
      <c r="V51" s="25"/>
      <c r="W51" s="25"/>
      <c r="X51" s="24"/>
      <c r="Y51" s="24"/>
      <c r="Z51" s="24"/>
      <c r="AA51" s="24"/>
      <c r="AB51" s="24"/>
      <c r="AC51" s="24"/>
      <c r="AD51" s="361">
        <f t="shared" si="1"/>
        <v>0</v>
      </c>
      <c r="AE51" s="359" t="str">
        <f t="shared" si="2"/>
        <v/>
      </c>
      <c r="AF51" s="359" t="str">
        <f t="shared" si="14"/>
        <v/>
      </c>
      <c r="AG51" s="359" t="str">
        <f t="shared" si="3"/>
        <v/>
      </c>
      <c r="AH51" s="359" t="str">
        <f t="shared" si="4"/>
        <v/>
      </c>
      <c r="AI51" s="359" t="str">
        <f t="shared" si="5"/>
        <v/>
      </c>
      <c r="AJ51" s="359" t="str">
        <f t="shared" si="6"/>
        <v/>
      </c>
      <c r="AK51" s="359" t="str">
        <f t="shared" si="8"/>
        <v/>
      </c>
      <c r="AL51" s="359" t="str">
        <f t="shared" si="7"/>
        <v/>
      </c>
      <c r="AM51" s="359" t="str">
        <f t="shared" si="9"/>
        <v/>
      </c>
      <c r="AN51" s="262">
        <f t="shared" si="15"/>
        <v>0</v>
      </c>
      <c r="AO51" s="262" t="str">
        <f>IFERROR(HLOOKUP(AN51,'Ref Lists'!Q$1:AL$2,2,FALSE),'Ref Lists'!$AK$2)</f>
        <v>Savings21</v>
      </c>
      <c r="AP51" s="38"/>
      <c r="AQ51" s="38">
        <f t="shared" si="10"/>
        <v>0</v>
      </c>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row>
    <row r="52" spans="1:104" s="40" customFormat="1" ht="20.149999999999999" customHeight="1">
      <c r="A52" s="358">
        <f t="shared" si="11"/>
        <v>51</v>
      </c>
      <c r="B52" s="359" t="str">
        <f>'Front Sheet and Checklist'!$C$5</f>
        <v>Swansea Bay UHB</v>
      </c>
      <c r="C52" s="17"/>
      <c r="D52" s="17"/>
      <c r="E52" s="17"/>
      <c r="F52" s="17"/>
      <c r="G52" s="17"/>
      <c r="H52" s="17"/>
      <c r="I52" s="361">
        <f t="shared" si="19"/>
        <v>0</v>
      </c>
      <c r="J52" s="17"/>
      <c r="K52" s="18"/>
      <c r="L52" s="18"/>
      <c r="M52" s="17"/>
      <c r="N52" s="17"/>
      <c r="O52" s="17"/>
      <c r="P52" s="17"/>
      <c r="Q52" s="169"/>
      <c r="R52" s="24"/>
      <c r="S52" s="24"/>
      <c r="T52" s="24"/>
      <c r="U52" s="25"/>
      <c r="V52" s="25"/>
      <c r="W52" s="25"/>
      <c r="X52" s="24"/>
      <c r="Y52" s="24"/>
      <c r="Z52" s="24"/>
      <c r="AA52" s="24"/>
      <c r="AB52" s="24"/>
      <c r="AC52" s="24"/>
      <c r="AD52" s="361">
        <f t="shared" si="1"/>
        <v>0</v>
      </c>
      <c r="AE52" s="359" t="str">
        <f t="shared" si="2"/>
        <v/>
      </c>
      <c r="AF52" s="359" t="str">
        <f t="shared" si="14"/>
        <v/>
      </c>
      <c r="AG52" s="359" t="str">
        <f t="shared" si="3"/>
        <v/>
      </c>
      <c r="AH52" s="359" t="str">
        <f t="shared" si="4"/>
        <v/>
      </c>
      <c r="AI52" s="359" t="str">
        <f t="shared" si="5"/>
        <v/>
      </c>
      <c r="AJ52" s="359" t="str">
        <f t="shared" si="6"/>
        <v/>
      </c>
      <c r="AK52" s="359" t="str">
        <f t="shared" si="8"/>
        <v/>
      </c>
      <c r="AL52" s="359" t="str">
        <f t="shared" si="7"/>
        <v/>
      </c>
      <c r="AM52" s="359" t="str">
        <f t="shared" si="9"/>
        <v/>
      </c>
      <c r="AN52" s="262">
        <f t="shared" si="15"/>
        <v>0</v>
      </c>
      <c r="AO52" s="262" t="str">
        <f>IFERROR(HLOOKUP(AN52,'Ref Lists'!Q$1:AL$2,2,FALSE),'Ref Lists'!$AK$2)</f>
        <v>Savings21</v>
      </c>
      <c r="AP52" s="38"/>
      <c r="AQ52" s="38">
        <f t="shared" si="10"/>
        <v>0</v>
      </c>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row>
    <row r="53" spans="1:104" s="40" customFormat="1" ht="20.149999999999999" customHeight="1">
      <c r="A53" s="358">
        <f t="shared" si="11"/>
        <v>52</v>
      </c>
      <c r="B53" s="359" t="str">
        <f>'Front Sheet and Checklist'!$C$5</f>
        <v>Swansea Bay UHB</v>
      </c>
      <c r="C53" s="17"/>
      <c r="D53" s="17"/>
      <c r="E53" s="17"/>
      <c r="F53" s="17"/>
      <c r="G53" s="17"/>
      <c r="H53" s="17"/>
      <c r="I53" s="361">
        <f t="shared" si="19"/>
        <v>0</v>
      </c>
      <c r="J53" s="17"/>
      <c r="K53" s="18"/>
      <c r="L53" s="18"/>
      <c r="M53" s="17"/>
      <c r="N53" s="17"/>
      <c r="O53" s="17"/>
      <c r="P53" s="17"/>
      <c r="Q53" s="169"/>
      <c r="R53" s="24"/>
      <c r="S53" s="24"/>
      <c r="T53" s="24"/>
      <c r="U53" s="25"/>
      <c r="V53" s="25"/>
      <c r="W53" s="25"/>
      <c r="X53" s="24"/>
      <c r="Y53" s="24"/>
      <c r="Z53" s="24"/>
      <c r="AA53" s="24"/>
      <c r="AB53" s="24"/>
      <c r="AC53" s="24"/>
      <c r="AD53" s="361">
        <f t="shared" si="1"/>
        <v>0</v>
      </c>
      <c r="AE53" s="359" t="str">
        <f t="shared" si="2"/>
        <v/>
      </c>
      <c r="AF53" s="359" t="str">
        <f t="shared" si="14"/>
        <v/>
      </c>
      <c r="AG53" s="359" t="str">
        <f t="shared" si="3"/>
        <v/>
      </c>
      <c r="AH53" s="359" t="str">
        <f t="shared" si="4"/>
        <v/>
      </c>
      <c r="AI53" s="359" t="str">
        <f t="shared" si="5"/>
        <v/>
      </c>
      <c r="AJ53" s="359" t="str">
        <f t="shared" si="6"/>
        <v/>
      </c>
      <c r="AK53" s="359" t="str">
        <f t="shared" si="8"/>
        <v/>
      </c>
      <c r="AL53" s="359" t="str">
        <f t="shared" si="7"/>
        <v/>
      </c>
      <c r="AM53" s="359" t="str">
        <f t="shared" si="9"/>
        <v/>
      </c>
      <c r="AN53" s="262">
        <f t="shared" si="15"/>
        <v>0</v>
      </c>
      <c r="AO53" s="262" t="str">
        <f>IFERROR(HLOOKUP(AN53,'Ref Lists'!Q$1:AL$2,2,FALSE),'Ref Lists'!$AK$2)</f>
        <v>Savings21</v>
      </c>
      <c r="AP53" s="38"/>
      <c r="AQ53" s="38">
        <f t="shared" si="10"/>
        <v>0</v>
      </c>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row>
    <row r="54" spans="1:104" s="40" customFormat="1" ht="20.149999999999999" customHeight="1">
      <c r="A54" s="358">
        <f t="shared" si="11"/>
        <v>53</v>
      </c>
      <c r="B54" s="359" t="str">
        <f>'Front Sheet and Checklist'!$C$5</f>
        <v>Swansea Bay UHB</v>
      </c>
      <c r="C54" s="17"/>
      <c r="D54" s="17"/>
      <c r="E54" s="17"/>
      <c r="F54" s="17"/>
      <c r="G54" s="17"/>
      <c r="H54" s="17"/>
      <c r="I54" s="361">
        <f t="shared" si="19"/>
        <v>0</v>
      </c>
      <c r="J54" s="17"/>
      <c r="K54" s="18"/>
      <c r="L54" s="18"/>
      <c r="M54" s="17"/>
      <c r="N54" s="17"/>
      <c r="O54" s="17"/>
      <c r="P54" s="17"/>
      <c r="Q54" s="169"/>
      <c r="R54" s="24"/>
      <c r="S54" s="24"/>
      <c r="T54" s="24"/>
      <c r="U54" s="25"/>
      <c r="V54" s="25"/>
      <c r="W54" s="25"/>
      <c r="X54" s="24"/>
      <c r="Y54" s="24"/>
      <c r="Z54" s="24"/>
      <c r="AA54" s="24"/>
      <c r="AB54" s="24"/>
      <c r="AC54" s="24"/>
      <c r="AD54" s="361">
        <f t="shared" si="1"/>
        <v>0</v>
      </c>
      <c r="AE54" s="359" t="str">
        <f t="shared" si="2"/>
        <v/>
      </c>
      <c r="AF54" s="359" t="str">
        <f t="shared" si="14"/>
        <v/>
      </c>
      <c r="AG54" s="359" t="str">
        <f t="shared" si="3"/>
        <v/>
      </c>
      <c r="AH54" s="359" t="str">
        <f t="shared" si="4"/>
        <v/>
      </c>
      <c r="AI54" s="359" t="str">
        <f t="shared" si="5"/>
        <v/>
      </c>
      <c r="AJ54" s="359" t="str">
        <f t="shared" si="6"/>
        <v/>
      </c>
      <c r="AK54" s="359" t="str">
        <f t="shared" si="8"/>
        <v/>
      </c>
      <c r="AL54" s="359" t="str">
        <f t="shared" si="7"/>
        <v/>
      </c>
      <c r="AM54" s="359" t="str">
        <f t="shared" si="9"/>
        <v/>
      </c>
      <c r="AN54" s="262">
        <f t="shared" si="15"/>
        <v>0</v>
      </c>
      <c r="AO54" s="262" t="str">
        <f>IFERROR(HLOOKUP(AN54,'Ref Lists'!Q$1:AL$2,2,FALSE),'Ref Lists'!$AK$2)</f>
        <v>Savings21</v>
      </c>
      <c r="AP54" s="38"/>
      <c r="AQ54" s="38">
        <f t="shared" si="10"/>
        <v>0</v>
      </c>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row>
    <row r="55" spans="1:104" s="40" customFormat="1" ht="20.149999999999999" customHeight="1">
      <c r="A55" s="358">
        <f t="shared" si="11"/>
        <v>54</v>
      </c>
      <c r="B55" s="359" t="str">
        <f>'Front Sheet and Checklist'!$C$5</f>
        <v>Swansea Bay UHB</v>
      </c>
      <c r="C55" s="17"/>
      <c r="D55" s="17"/>
      <c r="E55" s="17"/>
      <c r="F55" s="17"/>
      <c r="G55" s="17"/>
      <c r="H55" s="17"/>
      <c r="I55" s="361">
        <f t="shared" si="19"/>
        <v>0</v>
      </c>
      <c r="J55" s="17"/>
      <c r="K55" s="18"/>
      <c r="L55" s="18"/>
      <c r="M55" s="17"/>
      <c r="N55" s="17"/>
      <c r="O55" s="17"/>
      <c r="P55" s="17"/>
      <c r="Q55" s="169"/>
      <c r="R55" s="24"/>
      <c r="S55" s="24"/>
      <c r="T55" s="24"/>
      <c r="U55" s="25"/>
      <c r="V55" s="25"/>
      <c r="W55" s="25"/>
      <c r="X55" s="24"/>
      <c r="Y55" s="24"/>
      <c r="Z55" s="24"/>
      <c r="AA55" s="24"/>
      <c r="AB55" s="24"/>
      <c r="AC55" s="24"/>
      <c r="AD55" s="361">
        <f t="shared" si="1"/>
        <v>0</v>
      </c>
      <c r="AE55" s="359" t="str">
        <f t="shared" si="2"/>
        <v/>
      </c>
      <c r="AF55" s="359" t="str">
        <f t="shared" si="14"/>
        <v/>
      </c>
      <c r="AG55" s="359" t="str">
        <f t="shared" si="3"/>
        <v/>
      </c>
      <c r="AH55" s="359" t="str">
        <f t="shared" si="4"/>
        <v/>
      </c>
      <c r="AI55" s="359" t="str">
        <f t="shared" si="5"/>
        <v/>
      </c>
      <c r="AJ55" s="359" t="str">
        <f t="shared" si="6"/>
        <v/>
      </c>
      <c r="AK55" s="359" t="str">
        <f t="shared" si="8"/>
        <v/>
      </c>
      <c r="AL55" s="359" t="str">
        <f t="shared" si="7"/>
        <v/>
      </c>
      <c r="AM55" s="359" t="str">
        <f t="shared" si="9"/>
        <v/>
      </c>
      <c r="AN55" s="262">
        <f t="shared" si="15"/>
        <v>0</v>
      </c>
      <c r="AO55" s="262" t="str">
        <f>IFERROR(HLOOKUP(AN55,'Ref Lists'!Q$1:AL$2,2,FALSE),'Ref Lists'!$AK$2)</f>
        <v>Savings21</v>
      </c>
      <c r="AP55" s="38"/>
      <c r="AQ55" s="38">
        <f t="shared" si="10"/>
        <v>0</v>
      </c>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row>
    <row r="56" spans="1:104" s="40" customFormat="1" ht="20.149999999999999" customHeight="1">
      <c r="A56" s="358">
        <f t="shared" si="11"/>
        <v>55</v>
      </c>
      <c r="B56" s="359" t="str">
        <f>'Front Sheet and Checklist'!$C$5</f>
        <v>Swansea Bay UHB</v>
      </c>
      <c r="C56" s="17"/>
      <c r="D56" s="17"/>
      <c r="E56" s="17"/>
      <c r="F56" s="17"/>
      <c r="G56" s="17"/>
      <c r="H56" s="17"/>
      <c r="I56" s="361">
        <f t="shared" si="19"/>
        <v>0</v>
      </c>
      <c r="J56" s="17"/>
      <c r="K56" s="18"/>
      <c r="L56" s="18"/>
      <c r="M56" s="17"/>
      <c r="N56" s="17"/>
      <c r="O56" s="17"/>
      <c r="P56" s="17"/>
      <c r="Q56" s="169"/>
      <c r="R56" s="24"/>
      <c r="S56" s="24"/>
      <c r="T56" s="24"/>
      <c r="U56" s="25"/>
      <c r="V56" s="25"/>
      <c r="W56" s="25"/>
      <c r="X56" s="24"/>
      <c r="Y56" s="24"/>
      <c r="Z56" s="24"/>
      <c r="AA56" s="24"/>
      <c r="AB56" s="24"/>
      <c r="AC56" s="24"/>
      <c r="AD56" s="361">
        <f t="shared" si="1"/>
        <v>0</v>
      </c>
      <c r="AE56" s="359" t="str">
        <f t="shared" si="2"/>
        <v/>
      </c>
      <c r="AF56" s="359" t="str">
        <f t="shared" si="14"/>
        <v/>
      </c>
      <c r="AG56" s="359" t="str">
        <f t="shared" si="3"/>
        <v/>
      </c>
      <c r="AH56" s="359" t="str">
        <f t="shared" si="4"/>
        <v/>
      </c>
      <c r="AI56" s="359" t="str">
        <f t="shared" si="5"/>
        <v/>
      </c>
      <c r="AJ56" s="359" t="str">
        <f t="shared" si="6"/>
        <v/>
      </c>
      <c r="AK56" s="359" t="str">
        <f t="shared" si="8"/>
        <v/>
      </c>
      <c r="AL56" s="359" t="str">
        <f t="shared" si="7"/>
        <v/>
      </c>
      <c r="AM56" s="359" t="str">
        <f t="shared" si="9"/>
        <v/>
      </c>
      <c r="AN56" s="262">
        <f t="shared" si="15"/>
        <v>0</v>
      </c>
      <c r="AO56" s="262" t="str">
        <f>IFERROR(HLOOKUP(AN56,'Ref Lists'!Q$1:AL$2,2,FALSE),'Ref Lists'!$AK$2)</f>
        <v>Savings21</v>
      </c>
      <c r="AP56" s="38"/>
      <c r="AQ56" s="38">
        <f t="shared" si="10"/>
        <v>0</v>
      </c>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row>
    <row r="57" spans="1:104" s="40" customFormat="1" ht="20.149999999999999" customHeight="1">
      <c r="A57" s="358">
        <f t="shared" si="11"/>
        <v>56</v>
      </c>
      <c r="B57" s="359" t="str">
        <f>'Front Sheet and Checklist'!$C$5</f>
        <v>Swansea Bay UHB</v>
      </c>
      <c r="C57" s="17"/>
      <c r="D57" s="17"/>
      <c r="E57" s="17"/>
      <c r="F57" s="17"/>
      <c r="G57" s="17"/>
      <c r="H57" s="17"/>
      <c r="I57" s="361">
        <f t="shared" si="19"/>
        <v>0</v>
      </c>
      <c r="J57" s="17"/>
      <c r="K57" s="18"/>
      <c r="L57" s="18"/>
      <c r="M57" s="17"/>
      <c r="N57" s="17"/>
      <c r="O57" s="17"/>
      <c r="P57" s="17"/>
      <c r="Q57" s="169"/>
      <c r="R57" s="24"/>
      <c r="S57" s="24"/>
      <c r="T57" s="24"/>
      <c r="U57" s="25"/>
      <c r="V57" s="25"/>
      <c r="W57" s="25"/>
      <c r="X57" s="24"/>
      <c r="Y57" s="24"/>
      <c r="Z57" s="24"/>
      <c r="AA57" s="24"/>
      <c r="AB57" s="24"/>
      <c r="AC57" s="24"/>
      <c r="AD57" s="361">
        <f t="shared" si="1"/>
        <v>0</v>
      </c>
      <c r="AE57" s="359" t="str">
        <f t="shared" si="2"/>
        <v/>
      </c>
      <c r="AF57" s="359" t="str">
        <f t="shared" si="14"/>
        <v/>
      </c>
      <c r="AG57" s="359" t="str">
        <f t="shared" si="3"/>
        <v/>
      </c>
      <c r="AH57" s="359" t="str">
        <f t="shared" si="4"/>
        <v/>
      </c>
      <c r="AI57" s="359" t="str">
        <f t="shared" si="5"/>
        <v/>
      </c>
      <c r="AJ57" s="359" t="str">
        <f t="shared" si="6"/>
        <v/>
      </c>
      <c r="AK57" s="359" t="str">
        <f t="shared" si="8"/>
        <v/>
      </c>
      <c r="AL57" s="359" t="str">
        <f t="shared" si="7"/>
        <v/>
      </c>
      <c r="AM57" s="359" t="str">
        <f t="shared" si="9"/>
        <v/>
      </c>
      <c r="AN57" s="262">
        <f t="shared" si="15"/>
        <v>0</v>
      </c>
      <c r="AO57" s="262" t="str">
        <f>IFERROR(HLOOKUP(AN57,'Ref Lists'!Q$1:AL$2,2,FALSE),'Ref Lists'!$AK$2)</f>
        <v>Savings21</v>
      </c>
      <c r="AP57" s="38"/>
      <c r="AQ57" s="38">
        <f t="shared" si="10"/>
        <v>0</v>
      </c>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row>
    <row r="58" spans="1:104" s="40" customFormat="1" ht="20.149999999999999" customHeight="1">
      <c r="A58" s="358">
        <f t="shared" si="11"/>
        <v>57</v>
      </c>
      <c r="B58" s="359" t="str">
        <f>'Front Sheet and Checklist'!$C$5</f>
        <v>Swansea Bay UHB</v>
      </c>
      <c r="C58" s="17"/>
      <c r="D58" s="17"/>
      <c r="E58" s="17"/>
      <c r="F58" s="17"/>
      <c r="G58" s="17"/>
      <c r="H58" s="17"/>
      <c r="I58" s="361">
        <f t="shared" si="19"/>
        <v>0</v>
      </c>
      <c r="J58" s="17"/>
      <c r="K58" s="18"/>
      <c r="L58" s="18"/>
      <c r="M58" s="17"/>
      <c r="N58" s="17"/>
      <c r="O58" s="17"/>
      <c r="P58" s="17"/>
      <c r="Q58" s="169"/>
      <c r="R58" s="24"/>
      <c r="S58" s="24"/>
      <c r="T58" s="24"/>
      <c r="U58" s="25"/>
      <c r="V58" s="25"/>
      <c r="W58" s="25"/>
      <c r="X58" s="24"/>
      <c r="Y58" s="24"/>
      <c r="Z58" s="24"/>
      <c r="AA58" s="24"/>
      <c r="AB58" s="24"/>
      <c r="AC58" s="24"/>
      <c r="AD58" s="361">
        <f t="shared" ref="AD58:AD121" si="20">SUM(R58:AC58)</f>
        <v>0</v>
      </c>
      <c r="AE58" s="359" t="str">
        <f t="shared" si="2"/>
        <v/>
      </c>
      <c r="AF58" s="359" t="str">
        <f t="shared" si="14"/>
        <v/>
      </c>
      <c r="AG58" s="359" t="str">
        <f t="shared" si="3"/>
        <v/>
      </c>
      <c r="AH58" s="359" t="str">
        <f t="shared" si="4"/>
        <v/>
      </c>
      <c r="AI58" s="359" t="str">
        <f t="shared" si="5"/>
        <v/>
      </c>
      <c r="AJ58" s="359" t="str">
        <f t="shared" si="6"/>
        <v/>
      </c>
      <c r="AK58" s="359" t="str">
        <f t="shared" si="8"/>
        <v/>
      </c>
      <c r="AL58" s="359" t="str">
        <f t="shared" si="7"/>
        <v/>
      </c>
      <c r="AM58" s="359" t="str">
        <f t="shared" si="9"/>
        <v/>
      </c>
      <c r="AN58" s="262">
        <f t="shared" si="15"/>
        <v>0</v>
      </c>
      <c r="AO58" s="262" t="str">
        <f>IFERROR(HLOOKUP(AN58,'Ref Lists'!Q$1:AL$2,2,FALSE),'Ref Lists'!$AK$2)</f>
        <v>Savings21</v>
      </c>
      <c r="AP58" s="38"/>
      <c r="AQ58" s="38">
        <f t="shared" si="10"/>
        <v>0</v>
      </c>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row>
    <row r="59" spans="1:104" s="40" customFormat="1" ht="20.149999999999999" customHeight="1">
      <c r="A59" s="358">
        <f t="shared" si="11"/>
        <v>58</v>
      </c>
      <c r="B59" s="359" t="str">
        <f>'Front Sheet and Checklist'!$C$5</f>
        <v>Swansea Bay UHB</v>
      </c>
      <c r="C59" s="17"/>
      <c r="D59" s="17"/>
      <c r="E59" s="17"/>
      <c r="F59" s="17"/>
      <c r="G59" s="17"/>
      <c r="H59" s="17"/>
      <c r="I59" s="361">
        <f t="shared" ref="I59:I122" si="21">AD59</f>
        <v>0</v>
      </c>
      <c r="J59" s="17"/>
      <c r="K59" s="18"/>
      <c r="L59" s="18"/>
      <c r="M59" s="17"/>
      <c r="N59" s="17"/>
      <c r="O59" s="17"/>
      <c r="P59" s="17"/>
      <c r="Q59" s="169"/>
      <c r="R59" s="24"/>
      <c r="S59" s="24"/>
      <c r="T59" s="24"/>
      <c r="U59" s="25"/>
      <c r="V59" s="25"/>
      <c r="W59" s="25"/>
      <c r="X59" s="24"/>
      <c r="Y59" s="24"/>
      <c r="Z59" s="24"/>
      <c r="AA59" s="24"/>
      <c r="AB59" s="24"/>
      <c r="AC59" s="24"/>
      <c r="AD59" s="361">
        <f t="shared" si="20"/>
        <v>0</v>
      </c>
      <c r="AE59" s="359" t="str">
        <f t="shared" si="2"/>
        <v/>
      </c>
      <c r="AF59" s="359" t="str">
        <f t="shared" si="14"/>
        <v/>
      </c>
      <c r="AG59" s="359" t="str">
        <f t="shared" si="3"/>
        <v/>
      </c>
      <c r="AH59" s="359" t="str">
        <f t="shared" si="4"/>
        <v/>
      </c>
      <c r="AI59" s="359" t="str">
        <f t="shared" si="5"/>
        <v/>
      </c>
      <c r="AJ59" s="359" t="str">
        <f t="shared" si="6"/>
        <v/>
      </c>
      <c r="AK59" s="359" t="str">
        <f t="shared" si="8"/>
        <v/>
      </c>
      <c r="AL59" s="359" t="str">
        <f t="shared" si="7"/>
        <v/>
      </c>
      <c r="AM59" s="359" t="str">
        <f t="shared" si="9"/>
        <v/>
      </c>
      <c r="AN59" s="262">
        <f t="shared" si="15"/>
        <v>0</v>
      </c>
      <c r="AO59" s="262" t="str">
        <f>IFERROR(HLOOKUP(AN59,'Ref Lists'!Q$1:AL$2,2,FALSE),'Ref Lists'!$AK$2)</f>
        <v>Savings21</v>
      </c>
      <c r="AP59" s="38"/>
      <c r="AQ59" s="38">
        <f t="shared" ref="AQ59:AQ122" si="22">COUNTIFS(AE59:AL59,"Error")</f>
        <v>0</v>
      </c>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row>
    <row r="60" spans="1:104" s="40" customFormat="1" ht="20.149999999999999" customHeight="1">
      <c r="A60" s="358">
        <f t="shared" si="11"/>
        <v>59</v>
      </c>
      <c r="B60" s="359" t="str">
        <f>'Front Sheet and Checklist'!$C$5</f>
        <v>Swansea Bay UHB</v>
      </c>
      <c r="C60" s="17"/>
      <c r="D60" s="17"/>
      <c r="E60" s="17"/>
      <c r="F60" s="17"/>
      <c r="G60" s="17"/>
      <c r="H60" s="17"/>
      <c r="I60" s="361">
        <f t="shared" si="21"/>
        <v>0</v>
      </c>
      <c r="J60" s="17"/>
      <c r="K60" s="18"/>
      <c r="L60" s="18"/>
      <c r="M60" s="17"/>
      <c r="N60" s="17"/>
      <c r="O60" s="17"/>
      <c r="P60" s="17"/>
      <c r="Q60" s="169"/>
      <c r="R60" s="24"/>
      <c r="S60" s="24"/>
      <c r="T60" s="24"/>
      <c r="U60" s="25"/>
      <c r="V60" s="25"/>
      <c r="W60" s="25"/>
      <c r="X60" s="24"/>
      <c r="Y60" s="24"/>
      <c r="Z60" s="24"/>
      <c r="AA60" s="24"/>
      <c r="AB60" s="24"/>
      <c r="AC60" s="24"/>
      <c r="AD60" s="361">
        <f t="shared" si="20"/>
        <v>0</v>
      </c>
      <c r="AE60" s="359" t="str">
        <f t="shared" si="2"/>
        <v/>
      </c>
      <c r="AF60" s="359" t="str">
        <f t="shared" si="14"/>
        <v/>
      </c>
      <c r="AG60" s="359" t="str">
        <f t="shared" si="3"/>
        <v/>
      </c>
      <c r="AH60" s="359" t="str">
        <f t="shared" si="4"/>
        <v/>
      </c>
      <c r="AI60" s="359" t="str">
        <f t="shared" si="5"/>
        <v/>
      </c>
      <c r="AJ60" s="359" t="str">
        <f t="shared" si="6"/>
        <v/>
      </c>
      <c r="AK60" s="359" t="str">
        <f t="shared" si="8"/>
        <v/>
      </c>
      <c r="AL60" s="359" t="str">
        <f t="shared" si="7"/>
        <v/>
      </c>
      <c r="AM60" s="359" t="str">
        <f t="shared" si="9"/>
        <v/>
      </c>
      <c r="AN60" s="262">
        <f t="shared" si="15"/>
        <v>0</v>
      </c>
      <c r="AO60" s="262" t="str">
        <f>IFERROR(HLOOKUP(AN60,'Ref Lists'!Q$1:AL$2,2,FALSE),'Ref Lists'!$AK$2)</f>
        <v>Savings21</v>
      </c>
      <c r="AP60" s="38"/>
      <c r="AQ60" s="38">
        <f t="shared" si="22"/>
        <v>0</v>
      </c>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row>
    <row r="61" spans="1:104" s="40" customFormat="1" ht="20.149999999999999" customHeight="1">
      <c r="A61" s="358">
        <f t="shared" si="11"/>
        <v>60</v>
      </c>
      <c r="B61" s="359" t="str">
        <f>'Front Sheet and Checklist'!$C$5</f>
        <v>Swansea Bay UHB</v>
      </c>
      <c r="C61" s="17"/>
      <c r="D61" s="17"/>
      <c r="E61" s="17"/>
      <c r="F61" s="17"/>
      <c r="G61" s="17"/>
      <c r="H61" s="17"/>
      <c r="I61" s="361">
        <f t="shared" si="21"/>
        <v>0</v>
      </c>
      <c r="J61" s="17"/>
      <c r="K61" s="18"/>
      <c r="L61" s="18"/>
      <c r="M61" s="17"/>
      <c r="N61" s="17"/>
      <c r="O61" s="17"/>
      <c r="P61" s="17"/>
      <c r="Q61" s="169"/>
      <c r="R61" s="24"/>
      <c r="S61" s="24"/>
      <c r="T61" s="24"/>
      <c r="U61" s="25"/>
      <c r="V61" s="25"/>
      <c r="W61" s="25"/>
      <c r="X61" s="24"/>
      <c r="Y61" s="24"/>
      <c r="Z61" s="24"/>
      <c r="AA61" s="24"/>
      <c r="AB61" s="24"/>
      <c r="AC61" s="24"/>
      <c r="AD61" s="361">
        <f t="shared" si="20"/>
        <v>0</v>
      </c>
      <c r="AE61" s="359" t="str">
        <f t="shared" si="2"/>
        <v/>
      </c>
      <c r="AF61" s="359" t="str">
        <f t="shared" si="14"/>
        <v/>
      </c>
      <c r="AG61" s="359" t="str">
        <f t="shared" si="3"/>
        <v/>
      </c>
      <c r="AH61" s="359" t="str">
        <f t="shared" si="4"/>
        <v/>
      </c>
      <c r="AI61" s="359" t="str">
        <f t="shared" si="5"/>
        <v/>
      </c>
      <c r="AJ61" s="359" t="str">
        <f t="shared" si="6"/>
        <v/>
      </c>
      <c r="AK61" s="359" t="str">
        <f t="shared" si="8"/>
        <v/>
      </c>
      <c r="AL61" s="359" t="str">
        <f t="shared" si="7"/>
        <v/>
      </c>
      <c r="AM61" s="359" t="str">
        <f t="shared" si="9"/>
        <v/>
      </c>
      <c r="AN61" s="262">
        <f t="shared" si="15"/>
        <v>0</v>
      </c>
      <c r="AO61" s="262" t="str">
        <f>IFERROR(HLOOKUP(AN61,'Ref Lists'!Q$1:AL$2,2,FALSE),'Ref Lists'!$AK$2)</f>
        <v>Savings21</v>
      </c>
      <c r="AP61" s="38"/>
      <c r="AQ61" s="38">
        <f t="shared" si="22"/>
        <v>0</v>
      </c>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row>
    <row r="62" spans="1:104" s="40" customFormat="1" ht="20.149999999999999" customHeight="1">
      <c r="A62" s="358">
        <f t="shared" si="11"/>
        <v>61</v>
      </c>
      <c r="B62" s="359" t="str">
        <f>'Front Sheet and Checklist'!$C$5</f>
        <v>Swansea Bay UHB</v>
      </c>
      <c r="C62" s="17"/>
      <c r="D62" s="17"/>
      <c r="E62" s="17"/>
      <c r="F62" s="17"/>
      <c r="G62" s="17"/>
      <c r="H62" s="17"/>
      <c r="I62" s="361">
        <f t="shared" si="21"/>
        <v>0</v>
      </c>
      <c r="J62" s="17"/>
      <c r="K62" s="18"/>
      <c r="L62" s="18"/>
      <c r="M62" s="17"/>
      <c r="N62" s="17"/>
      <c r="O62" s="17"/>
      <c r="P62" s="17"/>
      <c r="Q62" s="169"/>
      <c r="R62" s="24"/>
      <c r="S62" s="24"/>
      <c r="T62" s="24"/>
      <c r="U62" s="25"/>
      <c r="V62" s="25"/>
      <c r="W62" s="25"/>
      <c r="X62" s="24"/>
      <c r="Y62" s="24"/>
      <c r="Z62" s="24"/>
      <c r="AA62" s="24"/>
      <c r="AB62" s="24"/>
      <c r="AC62" s="24"/>
      <c r="AD62" s="361">
        <f t="shared" si="20"/>
        <v>0</v>
      </c>
      <c r="AE62" s="359" t="str">
        <f t="shared" si="2"/>
        <v/>
      </c>
      <c r="AF62" s="359" t="str">
        <f t="shared" si="14"/>
        <v/>
      </c>
      <c r="AG62" s="359" t="str">
        <f t="shared" si="3"/>
        <v/>
      </c>
      <c r="AH62" s="359" t="str">
        <f t="shared" si="4"/>
        <v/>
      </c>
      <c r="AI62" s="359" t="str">
        <f t="shared" si="5"/>
        <v/>
      </c>
      <c r="AJ62" s="359" t="str">
        <f t="shared" si="6"/>
        <v/>
      </c>
      <c r="AK62" s="359" t="str">
        <f t="shared" si="8"/>
        <v/>
      </c>
      <c r="AL62" s="359" t="str">
        <f t="shared" si="7"/>
        <v/>
      </c>
      <c r="AM62" s="359" t="str">
        <f t="shared" si="9"/>
        <v/>
      </c>
      <c r="AN62" s="262">
        <f t="shared" si="15"/>
        <v>0</v>
      </c>
      <c r="AO62" s="262" t="str">
        <f>IFERROR(HLOOKUP(AN62,'Ref Lists'!Q$1:AL$2,2,FALSE),'Ref Lists'!$AK$2)</f>
        <v>Savings21</v>
      </c>
      <c r="AP62" s="38"/>
      <c r="AQ62" s="38">
        <f t="shared" si="22"/>
        <v>0</v>
      </c>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row>
    <row r="63" spans="1:104" s="40" customFormat="1" ht="20.149999999999999" customHeight="1">
      <c r="A63" s="358">
        <f t="shared" si="11"/>
        <v>62</v>
      </c>
      <c r="B63" s="359" t="str">
        <f>'Front Sheet and Checklist'!$C$5</f>
        <v>Swansea Bay UHB</v>
      </c>
      <c r="C63" s="17"/>
      <c r="D63" s="17"/>
      <c r="E63" s="17"/>
      <c r="F63" s="17"/>
      <c r="G63" s="17"/>
      <c r="H63" s="17"/>
      <c r="I63" s="361">
        <f t="shared" si="21"/>
        <v>0</v>
      </c>
      <c r="J63" s="17"/>
      <c r="K63" s="18"/>
      <c r="L63" s="18"/>
      <c r="M63" s="17"/>
      <c r="N63" s="17"/>
      <c r="O63" s="17"/>
      <c r="P63" s="17"/>
      <c r="Q63" s="169"/>
      <c r="R63" s="24"/>
      <c r="S63" s="24"/>
      <c r="T63" s="24"/>
      <c r="U63" s="25"/>
      <c r="V63" s="25"/>
      <c r="W63" s="25"/>
      <c r="X63" s="24"/>
      <c r="Y63" s="24"/>
      <c r="Z63" s="24"/>
      <c r="AA63" s="24"/>
      <c r="AB63" s="24"/>
      <c r="AC63" s="24"/>
      <c r="AD63" s="361">
        <f t="shared" si="20"/>
        <v>0</v>
      </c>
      <c r="AE63" s="359" t="str">
        <f t="shared" si="2"/>
        <v/>
      </c>
      <c r="AF63" s="359" t="str">
        <f t="shared" si="14"/>
        <v/>
      </c>
      <c r="AG63" s="359" t="str">
        <f t="shared" si="3"/>
        <v/>
      </c>
      <c r="AH63" s="359" t="str">
        <f t="shared" si="4"/>
        <v/>
      </c>
      <c r="AI63" s="359" t="str">
        <f t="shared" si="5"/>
        <v/>
      </c>
      <c r="AJ63" s="359" t="str">
        <f t="shared" si="6"/>
        <v/>
      </c>
      <c r="AK63" s="359" t="str">
        <f t="shared" si="8"/>
        <v/>
      </c>
      <c r="AL63" s="359" t="str">
        <f t="shared" si="7"/>
        <v/>
      </c>
      <c r="AM63" s="359" t="str">
        <f t="shared" si="9"/>
        <v/>
      </c>
      <c r="AN63" s="262">
        <f t="shared" si="15"/>
        <v>0</v>
      </c>
      <c r="AO63" s="262" t="str">
        <f>IFERROR(HLOOKUP(AN63,'Ref Lists'!Q$1:AL$2,2,FALSE),'Ref Lists'!$AK$2)</f>
        <v>Savings21</v>
      </c>
      <c r="AP63" s="38"/>
      <c r="AQ63" s="38">
        <f t="shared" si="22"/>
        <v>0</v>
      </c>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row>
    <row r="64" spans="1:104" s="40" customFormat="1" ht="20.149999999999999" customHeight="1">
      <c r="A64" s="358">
        <f t="shared" si="11"/>
        <v>63</v>
      </c>
      <c r="B64" s="359" t="str">
        <f>'Front Sheet and Checklist'!$C$5</f>
        <v>Swansea Bay UHB</v>
      </c>
      <c r="C64" s="17"/>
      <c r="D64" s="17"/>
      <c r="E64" s="17"/>
      <c r="F64" s="17"/>
      <c r="G64" s="17"/>
      <c r="H64" s="17"/>
      <c r="I64" s="361">
        <f t="shared" si="21"/>
        <v>0</v>
      </c>
      <c r="J64" s="17"/>
      <c r="K64" s="18"/>
      <c r="L64" s="18"/>
      <c r="M64" s="17"/>
      <c r="N64" s="17"/>
      <c r="O64" s="17"/>
      <c r="P64" s="17"/>
      <c r="Q64" s="169"/>
      <c r="R64" s="24"/>
      <c r="S64" s="24"/>
      <c r="T64" s="24"/>
      <c r="U64" s="25"/>
      <c r="V64" s="25"/>
      <c r="W64" s="25"/>
      <c r="X64" s="24"/>
      <c r="Y64" s="24"/>
      <c r="Z64" s="24"/>
      <c r="AA64" s="24"/>
      <c r="AB64" s="24"/>
      <c r="AC64" s="24"/>
      <c r="AD64" s="361">
        <f t="shared" si="20"/>
        <v>0</v>
      </c>
      <c r="AE64" s="359" t="str">
        <f t="shared" si="2"/>
        <v/>
      </c>
      <c r="AF64" s="359" t="str">
        <f t="shared" si="14"/>
        <v/>
      </c>
      <c r="AG64" s="359" t="str">
        <f t="shared" si="3"/>
        <v/>
      </c>
      <c r="AH64" s="359" t="str">
        <f t="shared" si="4"/>
        <v/>
      </c>
      <c r="AI64" s="359" t="str">
        <f t="shared" si="5"/>
        <v/>
      </c>
      <c r="AJ64" s="359" t="str">
        <f t="shared" si="6"/>
        <v/>
      </c>
      <c r="AK64" s="359" t="str">
        <f t="shared" si="8"/>
        <v/>
      </c>
      <c r="AL64" s="359" t="str">
        <f t="shared" si="7"/>
        <v/>
      </c>
      <c r="AM64" s="359" t="str">
        <f t="shared" si="9"/>
        <v/>
      </c>
      <c r="AN64" s="262">
        <f t="shared" si="15"/>
        <v>0</v>
      </c>
      <c r="AO64" s="262" t="str">
        <f>IFERROR(HLOOKUP(AN64,'Ref Lists'!Q$1:AL$2,2,FALSE),'Ref Lists'!$AK$2)</f>
        <v>Savings21</v>
      </c>
      <c r="AP64" s="38"/>
      <c r="AQ64" s="38">
        <f t="shared" si="22"/>
        <v>0</v>
      </c>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c r="CR64" s="38"/>
      <c r="CS64" s="38"/>
      <c r="CT64" s="38"/>
      <c r="CU64" s="38"/>
      <c r="CV64" s="38"/>
      <c r="CW64" s="38"/>
      <c r="CX64" s="38"/>
      <c r="CY64" s="38"/>
      <c r="CZ64" s="38"/>
    </row>
    <row r="65" spans="1:104" s="40" customFormat="1" ht="20.149999999999999" customHeight="1">
      <c r="A65" s="358">
        <f t="shared" si="11"/>
        <v>64</v>
      </c>
      <c r="B65" s="359" t="str">
        <f>'Front Sheet and Checklist'!$C$5</f>
        <v>Swansea Bay UHB</v>
      </c>
      <c r="C65" s="17"/>
      <c r="D65" s="17"/>
      <c r="E65" s="17"/>
      <c r="F65" s="17"/>
      <c r="G65" s="17"/>
      <c r="H65" s="17"/>
      <c r="I65" s="361">
        <f t="shared" si="21"/>
        <v>0</v>
      </c>
      <c r="J65" s="17"/>
      <c r="K65" s="18"/>
      <c r="L65" s="18"/>
      <c r="M65" s="17"/>
      <c r="N65" s="17"/>
      <c r="O65" s="17"/>
      <c r="P65" s="17"/>
      <c r="Q65" s="169"/>
      <c r="R65" s="24"/>
      <c r="S65" s="24"/>
      <c r="T65" s="24"/>
      <c r="U65" s="25"/>
      <c r="V65" s="25"/>
      <c r="W65" s="25"/>
      <c r="X65" s="24"/>
      <c r="Y65" s="24"/>
      <c r="Z65" s="24"/>
      <c r="AA65" s="24"/>
      <c r="AB65" s="24"/>
      <c r="AC65" s="24"/>
      <c r="AD65" s="361">
        <f t="shared" si="20"/>
        <v>0</v>
      </c>
      <c r="AE65" s="359" t="str">
        <f t="shared" si="2"/>
        <v/>
      </c>
      <c r="AF65" s="359" t="str">
        <f t="shared" si="14"/>
        <v/>
      </c>
      <c r="AG65" s="359" t="str">
        <f t="shared" si="3"/>
        <v/>
      </c>
      <c r="AH65" s="359" t="str">
        <f t="shared" si="4"/>
        <v/>
      </c>
      <c r="AI65" s="359" t="str">
        <f t="shared" si="5"/>
        <v/>
      </c>
      <c r="AJ65" s="359" t="str">
        <f t="shared" si="6"/>
        <v/>
      </c>
      <c r="AK65" s="359" t="str">
        <f t="shared" si="8"/>
        <v/>
      </c>
      <c r="AL65" s="359" t="str">
        <f t="shared" si="7"/>
        <v/>
      </c>
      <c r="AM65" s="359" t="str">
        <f t="shared" si="9"/>
        <v/>
      </c>
      <c r="AN65" s="262">
        <f t="shared" si="15"/>
        <v>0</v>
      </c>
      <c r="AO65" s="262" t="str">
        <f>IFERROR(HLOOKUP(AN65,'Ref Lists'!Q$1:AL$2,2,FALSE),'Ref Lists'!$AK$2)</f>
        <v>Savings21</v>
      </c>
      <c r="AP65" s="38"/>
      <c r="AQ65" s="38">
        <f t="shared" si="22"/>
        <v>0</v>
      </c>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row>
    <row r="66" spans="1:104" s="40" customFormat="1" ht="20.149999999999999" customHeight="1">
      <c r="A66" s="358">
        <f t="shared" si="11"/>
        <v>65</v>
      </c>
      <c r="B66" s="359" t="str">
        <f>'Front Sheet and Checklist'!$C$5</f>
        <v>Swansea Bay UHB</v>
      </c>
      <c r="C66" s="17"/>
      <c r="D66" s="17"/>
      <c r="E66" s="17"/>
      <c r="F66" s="17"/>
      <c r="G66" s="17"/>
      <c r="H66" s="17"/>
      <c r="I66" s="361">
        <f t="shared" si="21"/>
        <v>0</v>
      </c>
      <c r="J66" s="17"/>
      <c r="K66" s="18"/>
      <c r="L66" s="18"/>
      <c r="M66" s="17"/>
      <c r="N66" s="17"/>
      <c r="O66" s="17"/>
      <c r="P66" s="17"/>
      <c r="Q66" s="169"/>
      <c r="R66" s="24"/>
      <c r="S66" s="24"/>
      <c r="T66" s="24"/>
      <c r="U66" s="25"/>
      <c r="V66" s="25"/>
      <c r="W66" s="25"/>
      <c r="X66" s="24"/>
      <c r="Y66" s="24"/>
      <c r="Z66" s="24"/>
      <c r="AA66" s="24"/>
      <c r="AB66" s="24"/>
      <c r="AC66" s="24"/>
      <c r="AD66" s="361">
        <f t="shared" si="20"/>
        <v>0</v>
      </c>
      <c r="AE66" s="359" t="str">
        <f t="shared" ref="AE66:AE129" si="23">IF(AND(I66&gt;0,H66&lt;&gt;"Income Generation"),IF(AND(H66&lt;&gt;"",D66&lt;&gt;"",E66&lt;&gt;"",F66&lt;&gt;"",C66&lt;&gt;"",G66&lt;&gt;"",K66&lt;&gt;"",L66&lt;&gt;"",M66&lt;&gt;"",N66&lt;&gt;"",P66&lt;&gt;"",Q66&lt;&gt;"",O66&lt;&gt;""),"","ERROR"),"")</f>
        <v/>
      </c>
      <c r="AF66" s="359" t="str">
        <f t="shared" si="14"/>
        <v/>
      </c>
      <c r="AG66" s="359" t="str">
        <f t="shared" ref="AG66:AG129" si="24">IF(AND(I66&gt;0,O66=""),"ERROR","")</f>
        <v/>
      </c>
      <c r="AH66" s="359" t="str">
        <f t="shared" ref="AH66:AH129" si="25">IF(AND(OR(H66="Income Generation"),O66&lt;&gt;""),"ERROR","")</f>
        <v/>
      </c>
      <c r="AI66" s="359" t="str">
        <f t="shared" ref="AI66:AI129" si="26">IF(AND(G66="R",I66&gt;J66),"ERROR","")</f>
        <v/>
      </c>
      <c r="AJ66" s="359" t="str">
        <f t="shared" ref="AJ66:AJ129" si="27">IF(AND(G66="NR",J66&gt;0),"ERROR","")</f>
        <v/>
      </c>
      <c r="AK66" s="359" t="str">
        <f t="shared" si="8"/>
        <v/>
      </c>
      <c r="AL66" s="359" t="str">
        <f t="shared" ref="AL66:AL129" si="28">IF(OR(L66="",L66="N/A"),"",IF(OR(L66&lt;DATEVALUE("01/04/24"),L66&gt;DATEVALUE("31/03/25")),"ERROR",""))</f>
        <v/>
      </c>
      <c r="AM66" s="359" t="str">
        <f t="shared" si="9"/>
        <v/>
      </c>
      <c r="AN66" s="262">
        <f t="shared" si="15"/>
        <v>0</v>
      </c>
      <c r="AO66" s="262" t="str">
        <f>IFERROR(HLOOKUP(AN66,'Ref Lists'!Q$1:AL$2,2,FALSE),'Ref Lists'!$AK$2)</f>
        <v>Savings21</v>
      </c>
      <c r="AP66" s="38"/>
      <c r="AQ66" s="38">
        <f t="shared" si="22"/>
        <v>0</v>
      </c>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row>
    <row r="67" spans="1:104" s="40" customFormat="1" ht="20.149999999999999" customHeight="1">
      <c r="A67" s="358">
        <f t="shared" si="11"/>
        <v>66</v>
      </c>
      <c r="B67" s="359" t="str">
        <f>'Front Sheet and Checklist'!$C$5</f>
        <v>Swansea Bay UHB</v>
      </c>
      <c r="C67" s="17"/>
      <c r="D67" s="17"/>
      <c r="E67" s="17"/>
      <c r="F67" s="17"/>
      <c r="G67" s="17"/>
      <c r="H67" s="17"/>
      <c r="I67" s="361">
        <f t="shared" si="21"/>
        <v>0</v>
      </c>
      <c r="J67" s="17"/>
      <c r="K67" s="18"/>
      <c r="L67" s="18"/>
      <c r="M67" s="17"/>
      <c r="N67" s="17"/>
      <c r="O67" s="17"/>
      <c r="P67" s="17"/>
      <c r="Q67" s="169"/>
      <c r="R67" s="24"/>
      <c r="S67" s="24"/>
      <c r="T67" s="24"/>
      <c r="U67" s="25"/>
      <c r="V67" s="25"/>
      <c r="W67" s="25"/>
      <c r="X67" s="24"/>
      <c r="Y67" s="24"/>
      <c r="Z67" s="24"/>
      <c r="AA67" s="24"/>
      <c r="AB67" s="24"/>
      <c r="AC67" s="24"/>
      <c r="AD67" s="361">
        <f t="shared" si="20"/>
        <v>0</v>
      </c>
      <c r="AE67" s="359" t="str">
        <f t="shared" si="23"/>
        <v/>
      </c>
      <c r="AF67" s="359" t="str">
        <f t="shared" si="14"/>
        <v/>
      </c>
      <c r="AG67" s="359" t="str">
        <f t="shared" si="24"/>
        <v/>
      </c>
      <c r="AH67" s="359" t="str">
        <f t="shared" si="25"/>
        <v/>
      </c>
      <c r="AI67" s="359" t="str">
        <f t="shared" si="26"/>
        <v/>
      </c>
      <c r="AJ67" s="359" t="str">
        <f t="shared" si="27"/>
        <v/>
      </c>
      <c r="AK67" s="359" t="str">
        <f t="shared" ref="AK67:AK130" si="29">IF(OR(K67="",K67="N/a"),"",IF(OR(K67&lt;DATEVALUE("01/04/24"),K67&gt;DATEVALUE("31/03/25")),"ERROR",""))</f>
        <v/>
      </c>
      <c r="AL67" s="359" t="str">
        <f t="shared" si="28"/>
        <v/>
      </c>
      <c r="AM67" s="359" t="str">
        <f t="shared" ref="AM67:AM130" si="30">IF(COUNTA(T67:AC67)&lt;&gt;COUNT(T67:AC67),"ERROR","")</f>
        <v/>
      </c>
      <c r="AN67" s="262">
        <f t="shared" si="15"/>
        <v>0</v>
      </c>
      <c r="AO67" s="262" t="str">
        <f>IFERROR(HLOOKUP(AN67,'Ref Lists'!Q$1:AL$2,2,FALSE),'Ref Lists'!$AK$2)</f>
        <v>Savings21</v>
      </c>
      <c r="AP67" s="38"/>
      <c r="AQ67" s="38">
        <f t="shared" si="22"/>
        <v>0</v>
      </c>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row>
    <row r="68" spans="1:104" s="40" customFormat="1" ht="20.149999999999999" customHeight="1">
      <c r="A68" s="358">
        <f t="shared" ref="A68:A131" si="31">+A67+1</f>
        <v>67</v>
      </c>
      <c r="B68" s="359" t="str">
        <f>'Front Sheet and Checklist'!$C$5</f>
        <v>Swansea Bay UHB</v>
      </c>
      <c r="C68" s="17"/>
      <c r="D68" s="17"/>
      <c r="E68" s="17"/>
      <c r="F68" s="17"/>
      <c r="G68" s="17"/>
      <c r="H68" s="17"/>
      <c r="I68" s="361">
        <f t="shared" si="21"/>
        <v>0</v>
      </c>
      <c r="J68" s="17"/>
      <c r="K68" s="18"/>
      <c r="L68" s="18"/>
      <c r="M68" s="17"/>
      <c r="N68" s="17"/>
      <c r="O68" s="17"/>
      <c r="P68" s="17"/>
      <c r="Q68" s="169"/>
      <c r="R68" s="24"/>
      <c r="S68" s="24"/>
      <c r="T68" s="24"/>
      <c r="U68" s="25"/>
      <c r="V68" s="25"/>
      <c r="W68" s="25"/>
      <c r="X68" s="24"/>
      <c r="Y68" s="24"/>
      <c r="Z68" s="24"/>
      <c r="AA68" s="24"/>
      <c r="AB68" s="24"/>
      <c r="AC68" s="24"/>
      <c r="AD68" s="361">
        <f t="shared" si="20"/>
        <v>0</v>
      </c>
      <c r="AE68" s="359" t="str">
        <f t="shared" si="23"/>
        <v/>
      </c>
      <c r="AF68" s="359" t="str">
        <f t="shared" ref="AF68:AF131" si="32">IF(COUNTIF($F$2:$F$1001,F68)&gt;1,"ERROR","")</f>
        <v/>
      </c>
      <c r="AG68" s="359" t="str">
        <f t="shared" si="24"/>
        <v/>
      </c>
      <c r="AH68" s="359" t="str">
        <f t="shared" si="25"/>
        <v/>
      </c>
      <c r="AI68" s="359" t="str">
        <f t="shared" si="26"/>
        <v/>
      </c>
      <c r="AJ68" s="359" t="str">
        <f t="shared" si="27"/>
        <v/>
      </c>
      <c r="AK68" s="359" t="str">
        <f t="shared" si="29"/>
        <v/>
      </c>
      <c r="AL68" s="359" t="str">
        <f t="shared" si="28"/>
        <v/>
      </c>
      <c r="AM68" s="359" t="str">
        <f t="shared" si="30"/>
        <v/>
      </c>
      <c r="AN68" s="262">
        <f t="shared" si="15"/>
        <v>0</v>
      </c>
      <c r="AO68" s="262" t="str">
        <f>IFERROR(HLOOKUP(AN68,'Ref Lists'!Q$1:AL$2,2,FALSE),'Ref Lists'!$AK$2)</f>
        <v>Savings21</v>
      </c>
      <c r="AP68" s="38"/>
      <c r="AQ68" s="38">
        <f t="shared" si="22"/>
        <v>0</v>
      </c>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row>
    <row r="69" spans="1:104" s="40" customFormat="1" ht="20.149999999999999" customHeight="1">
      <c r="A69" s="358">
        <f t="shared" si="31"/>
        <v>68</v>
      </c>
      <c r="B69" s="359" t="str">
        <f>'Front Sheet and Checklist'!$C$5</f>
        <v>Swansea Bay UHB</v>
      </c>
      <c r="C69" s="17"/>
      <c r="D69" s="17"/>
      <c r="E69" s="17"/>
      <c r="F69" s="17"/>
      <c r="G69" s="17"/>
      <c r="H69" s="17"/>
      <c r="I69" s="361">
        <f t="shared" si="21"/>
        <v>0</v>
      </c>
      <c r="J69" s="17"/>
      <c r="K69" s="18"/>
      <c r="L69" s="18"/>
      <c r="M69" s="17"/>
      <c r="N69" s="17"/>
      <c r="O69" s="17"/>
      <c r="P69" s="17"/>
      <c r="Q69" s="169"/>
      <c r="R69" s="24"/>
      <c r="S69" s="24"/>
      <c r="T69" s="24"/>
      <c r="U69" s="25"/>
      <c r="V69" s="25"/>
      <c r="W69" s="25"/>
      <c r="X69" s="24"/>
      <c r="Y69" s="24"/>
      <c r="Z69" s="24"/>
      <c r="AA69" s="24"/>
      <c r="AB69" s="24"/>
      <c r="AC69" s="24"/>
      <c r="AD69" s="361">
        <f t="shared" si="20"/>
        <v>0</v>
      </c>
      <c r="AE69" s="359" t="str">
        <f t="shared" si="23"/>
        <v/>
      </c>
      <c r="AF69" s="359" t="str">
        <f t="shared" si="32"/>
        <v/>
      </c>
      <c r="AG69" s="359" t="str">
        <f t="shared" si="24"/>
        <v/>
      </c>
      <c r="AH69" s="359" t="str">
        <f t="shared" si="25"/>
        <v/>
      </c>
      <c r="AI69" s="359" t="str">
        <f t="shared" si="26"/>
        <v/>
      </c>
      <c r="AJ69" s="359" t="str">
        <f t="shared" si="27"/>
        <v/>
      </c>
      <c r="AK69" s="359" t="str">
        <f t="shared" si="29"/>
        <v/>
      </c>
      <c r="AL69" s="359" t="str">
        <f t="shared" si="28"/>
        <v/>
      </c>
      <c r="AM69" s="359" t="str">
        <f t="shared" si="30"/>
        <v/>
      </c>
      <c r="AN69" s="262">
        <f t="shared" ref="AN69:AN132" si="33">IF(P69="1) Workforce",_xlfn.CONCAT(P69,O69),IF(P69="5) Pathway",_xlfn.CONCAT(P69,N69),P69))</f>
        <v>0</v>
      </c>
      <c r="AO69" s="262" t="str">
        <f>IFERROR(HLOOKUP(AN69,'Ref Lists'!Q$1:AL$2,2,FALSE),'Ref Lists'!$AK$2)</f>
        <v>Savings21</v>
      </c>
      <c r="AP69" s="38"/>
      <c r="AQ69" s="38">
        <f t="shared" si="22"/>
        <v>0</v>
      </c>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row>
    <row r="70" spans="1:104" s="40" customFormat="1" ht="20.149999999999999" customHeight="1">
      <c r="A70" s="358">
        <f t="shared" si="31"/>
        <v>69</v>
      </c>
      <c r="B70" s="359" t="str">
        <f>'Front Sheet and Checklist'!$C$5</f>
        <v>Swansea Bay UHB</v>
      </c>
      <c r="C70" s="17"/>
      <c r="D70" s="17"/>
      <c r="E70" s="17"/>
      <c r="F70" s="17"/>
      <c r="G70" s="17"/>
      <c r="H70" s="17"/>
      <c r="I70" s="361">
        <f t="shared" si="21"/>
        <v>0</v>
      </c>
      <c r="J70" s="17"/>
      <c r="K70" s="18"/>
      <c r="L70" s="18"/>
      <c r="M70" s="17"/>
      <c r="N70" s="17"/>
      <c r="O70" s="17"/>
      <c r="P70" s="17"/>
      <c r="Q70" s="169"/>
      <c r="R70" s="24"/>
      <c r="S70" s="24"/>
      <c r="T70" s="24"/>
      <c r="U70" s="25"/>
      <c r="V70" s="25"/>
      <c r="W70" s="25"/>
      <c r="X70" s="24"/>
      <c r="Y70" s="24"/>
      <c r="Z70" s="24"/>
      <c r="AA70" s="24"/>
      <c r="AB70" s="24"/>
      <c r="AC70" s="24"/>
      <c r="AD70" s="361">
        <f t="shared" si="20"/>
        <v>0</v>
      </c>
      <c r="AE70" s="359" t="str">
        <f t="shared" si="23"/>
        <v/>
      </c>
      <c r="AF70" s="359" t="str">
        <f t="shared" si="32"/>
        <v/>
      </c>
      <c r="AG70" s="359" t="str">
        <f t="shared" si="24"/>
        <v/>
      </c>
      <c r="AH70" s="359" t="str">
        <f t="shared" si="25"/>
        <v/>
      </c>
      <c r="AI70" s="359" t="str">
        <f t="shared" si="26"/>
        <v/>
      </c>
      <c r="AJ70" s="359" t="str">
        <f t="shared" si="27"/>
        <v/>
      </c>
      <c r="AK70" s="359" t="str">
        <f t="shared" si="29"/>
        <v/>
      </c>
      <c r="AL70" s="359" t="str">
        <f t="shared" si="28"/>
        <v/>
      </c>
      <c r="AM70" s="359" t="str">
        <f t="shared" si="30"/>
        <v/>
      </c>
      <c r="AN70" s="262">
        <f t="shared" si="33"/>
        <v>0</v>
      </c>
      <c r="AO70" s="262" t="str">
        <f>IFERROR(HLOOKUP(AN70,'Ref Lists'!Q$1:AL$2,2,FALSE),'Ref Lists'!$AK$2)</f>
        <v>Savings21</v>
      </c>
      <c r="AP70" s="38"/>
      <c r="AQ70" s="38">
        <f t="shared" si="22"/>
        <v>0</v>
      </c>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row>
    <row r="71" spans="1:104" s="40" customFormat="1" ht="20.149999999999999" customHeight="1">
      <c r="A71" s="358">
        <f t="shared" si="31"/>
        <v>70</v>
      </c>
      <c r="B71" s="359" t="str">
        <f>'Front Sheet and Checklist'!$C$5</f>
        <v>Swansea Bay UHB</v>
      </c>
      <c r="C71" s="17"/>
      <c r="D71" s="17"/>
      <c r="E71" s="17"/>
      <c r="F71" s="17"/>
      <c r="G71" s="17"/>
      <c r="H71" s="17"/>
      <c r="I71" s="361">
        <f t="shared" si="21"/>
        <v>0</v>
      </c>
      <c r="J71" s="17"/>
      <c r="K71" s="18"/>
      <c r="L71" s="18"/>
      <c r="M71" s="17"/>
      <c r="N71" s="17"/>
      <c r="O71" s="17"/>
      <c r="P71" s="17"/>
      <c r="Q71" s="169"/>
      <c r="R71" s="24"/>
      <c r="S71" s="24"/>
      <c r="T71" s="24"/>
      <c r="U71" s="25"/>
      <c r="V71" s="25"/>
      <c r="W71" s="25"/>
      <c r="X71" s="24"/>
      <c r="Y71" s="24"/>
      <c r="Z71" s="24"/>
      <c r="AA71" s="24"/>
      <c r="AB71" s="24"/>
      <c r="AC71" s="24"/>
      <c r="AD71" s="361">
        <f t="shared" si="20"/>
        <v>0</v>
      </c>
      <c r="AE71" s="359" t="str">
        <f t="shared" si="23"/>
        <v/>
      </c>
      <c r="AF71" s="359" t="str">
        <f t="shared" si="32"/>
        <v/>
      </c>
      <c r="AG71" s="359" t="str">
        <f t="shared" si="24"/>
        <v/>
      </c>
      <c r="AH71" s="359" t="str">
        <f t="shared" si="25"/>
        <v/>
      </c>
      <c r="AI71" s="359" t="str">
        <f t="shared" si="26"/>
        <v/>
      </c>
      <c r="AJ71" s="359" t="str">
        <f t="shared" si="27"/>
        <v/>
      </c>
      <c r="AK71" s="359" t="str">
        <f t="shared" si="29"/>
        <v/>
      </c>
      <c r="AL71" s="359" t="str">
        <f t="shared" si="28"/>
        <v/>
      </c>
      <c r="AM71" s="359" t="str">
        <f t="shared" si="30"/>
        <v/>
      </c>
      <c r="AN71" s="262">
        <f t="shared" si="33"/>
        <v>0</v>
      </c>
      <c r="AO71" s="262" t="str">
        <f>IFERROR(HLOOKUP(AN71,'Ref Lists'!Q$1:AL$2,2,FALSE),'Ref Lists'!$AK$2)</f>
        <v>Savings21</v>
      </c>
      <c r="AP71" s="38"/>
      <c r="AQ71" s="38">
        <f t="shared" si="22"/>
        <v>0</v>
      </c>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row>
    <row r="72" spans="1:104" s="40" customFormat="1" ht="20.149999999999999" customHeight="1">
      <c r="A72" s="358">
        <f t="shared" si="31"/>
        <v>71</v>
      </c>
      <c r="B72" s="359" t="str">
        <f>'Front Sheet and Checklist'!$C$5</f>
        <v>Swansea Bay UHB</v>
      </c>
      <c r="C72" s="17"/>
      <c r="D72" s="17"/>
      <c r="E72" s="17"/>
      <c r="F72" s="17"/>
      <c r="G72" s="17"/>
      <c r="H72" s="17"/>
      <c r="I72" s="361">
        <f t="shared" si="21"/>
        <v>0</v>
      </c>
      <c r="J72" s="17"/>
      <c r="K72" s="18"/>
      <c r="L72" s="18"/>
      <c r="M72" s="17"/>
      <c r="N72" s="17"/>
      <c r="O72" s="17"/>
      <c r="P72" s="17"/>
      <c r="Q72" s="169"/>
      <c r="R72" s="24"/>
      <c r="S72" s="24"/>
      <c r="T72" s="24"/>
      <c r="U72" s="25"/>
      <c r="V72" s="25"/>
      <c r="W72" s="25"/>
      <c r="X72" s="24"/>
      <c r="Y72" s="24"/>
      <c r="Z72" s="24"/>
      <c r="AA72" s="24"/>
      <c r="AB72" s="24"/>
      <c r="AC72" s="24"/>
      <c r="AD72" s="361">
        <f t="shared" si="20"/>
        <v>0</v>
      </c>
      <c r="AE72" s="359" t="str">
        <f t="shared" si="23"/>
        <v/>
      </c>
      <c r="AF72" s="359" t="str">
        <f t="shared" si="32"/>
        <v/>
      </c>
      <c r="AG72" s="359" t="str">
        <f t="shared" si="24"/>
        <v/>
      </c>
      <c r="AH72" s="359" t="str">
        <f t="shared" si="25"/>
        <v/>
      </c>
      <c r="AI72" s="359" t="str">
        <f t="shared" si="26"/>
        <v/>
      </c>
      <c r="AJ72" s="359" t="str">
        <f t="shared" si="27"/>
        <v/>
      </c>
      <c r="AK72" s="359" t="str">
        <f t="shared" si="29"/>
        <v/>
      </c>
      <c r="AL72" s="359" t="str">
        <f t="shared" si="28"/>
        <v/>
      </c>
      <c r="AM72" s="359" t="str">
        <f t="shared" si="30"/>
        <v/>
      </c>
      <c r="AN72" s="262">
        <f t="shared" si="33"/>
        <v>0</v>
      </c>
      <c r="AO72" s="262" t="str">
        <f>IFERROR(HLOOKUP(AN72,'Ref Lists'!Q$1:AL$2,2,FALSE),'Ref Lists'!$AK$2)</f>
        <v>Savings21</v>
      </c>
      <c r="AP72" s="38"/>
      <c r="AQ72" s="38">
        <f t="shared" si="22"/>
        <v>0</v>
      </c>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row>
    <row r="73" spans="1:104" s="40" customFormat="1" ht="20.149999999999999" customHeight="1">
      <c r="A73" s="358">
        <f t="shared" si="31"/>
        <v>72</v>
      </c>
      <c r="B73" s="359" t="str">
        <f>'Front Sheet and Checklist'!$C$5</f>
        <v>Swansea Bay UHB</v>
      </c>
      <c r="C73" s="17"/>
      <c r="D73" s="17"/>
      <c r="E73" s="17"/>
      <c r="F73" s="17"/>
      <c r="G73" s="17"/>
      <c r="H73" s="17"/>
      <c r="I73" s="361">
        <f t="shared" si="21"/>
        <v>0</v>
      </c>
      <c r="J73" s="17"/>
      <c r="K73" s="18"/>
      <c r="L73" s="18"/>
      <c r="M73" s="17"/>
      <c r="N73" s="17"/>
      <c r="O73" s="17"/>
      <c r="P73" s="17"/>
      <c r="Q73" s="169"/>
      <c r="R73" s="24"/>
      <c r="S73" s="24"/>
      <c r="T73" s="24"/>
      <c r="U73" s="25"/>
      <c r="V73" s="25"/>
      <c r="W73" s="25"/>
      <c r="X73" s="24"/>
      <c r="Y73" s="24"/>
      <c r="Z73" s="24"/>
      <c r="AA73" s="24"/>
      <c r="AB73" s="24"/>
      <c r="AC73" s="24"/>
      <c r="AD73" s="361">
        <f t="shared" si="20"/>
        <v>0</v>
      </c>
      <c r="AE73" s="359" t="str">
        <f t="shared" si="23"/>
        <v/>
      </c>
      <c r="AF73" s="359" t="str">
        <f t="shared" si="32"/>
        <v/>
      </c>
      <c r="AG73" s="359" t="str">
        <f t="shared" si="24"/>
        <v/>
      </c>
      <c r="AH73" s="359" t="str">
        <f t="shared" si="25"/>
        <v/>
      </c>
      <c r="AI73" s="359" t="str">
        <f t="shared" si="26"/>
        <v/>
      </c>
      <c r="AJ73" s="359" t="str">
        <f t="shared" si="27"/>
        <v/>
      </c>
      <c r="AK73" s="359" t="str">
        <f t="shared" si="29"/>
        <v/>
      </c>
      <c r="AL73" s="359" t="str">
        <f t="shared" si="28"/>
        <v/>
      </c>
      <c r="AM73" s="359" t="str">
        <f t="shared" si="30"/>
        <v/>
      </c>
      <c r="AN73" s="262">
        <f t="shared" si="33"/>
        <v>0</v>
      </c>
      <c r="AO73" s="262" t="str">
        <f>IFERROR(HLOOKUP(AN73,'Ref Lists'!Q$1:AL$2,2,FALSE),'Ref Lists'!$AK$2)</f>
        <v>Savings21</v>
      </c>
      <c r="AP73" s="38"/>
      <c r="AQ73" s="38">
        <f t="shared" si="22"/>
        <v>0</v>
      </c>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row>
    <row r="74" spans="1:104" s="40" customFormat="1" ht="20.149999999999999" customHeight="1">
      <c r="A74" s="358">
        <f t="shared" si="31"/>
        <v>73</v>
      </c>
      <c r="B74" s="359" t="str">
        <f>'Front Sheet and Checklist'!$C$5</f>
        <v>Swansea Bay UHB</v>
      </c>
      <c r="C74" s="17"/>
      <c r="D74" s="17"/>
      <c r="E74" s="17"/>
      <c r="F74" s="17"/>
      <c r="G74" s="17"/>
      <c r="H74" s="17"/>
      <c r="I74" s="361">
        <f t="shared" si="21"/>
        <v>0</v>
      </c>
      <c r="J74" s="17"/>
      <c r="K74" s="18"/>
      <c r="L74" s="18"/>
      <c r="M74" s="17"/>
      <c r="N74" s="17"/>
      <c r="O74" s="17"/>
      <c r="P74" s="17"/>
      <c r="Q74" s="169"/>
      <c r="R74" s="24"/>
      <c r="S74" s="24"/>
      <c r="T74" s="24"/>
      <c r="U74" s="25"/>
      <c r="V74" s="25"/>
      <c r="W74" s="25"/>
      <c r="X74" s="24"/>
      <c r="Y74" s="24"/>
      <c r="Z74" s="24"/>
      <c r="AA74" s="24"/>
      <c r="AB74" s="24"/>
      <c r="AC74" s="24"/>
      <c r="AD74" s="361">
        <f t="shared" si="20"/>
        <v>0</v>
      </c>
      <c r="AE74" s="359" t="str">
        <f t="shared" si="23"/>
        <v/>
      </c>
      <c r="AF74" s="359" t="str">
        <f t="shared" si="32"/>
        <v/>
      </c>
      <c r="AG74" s="359" t="str">
        <f t="shared" si="24"/>
        <v/>
      </c>
      <c r="AH74" s="359" t="str">
        <f t="shared" si="25"/>
        <v/>
      </c>
      <c r="AI74" s="359" t="str">
        <f t="shared" si="26"/>
        <v/>
      </c>
      <c r="AJ74" s="359" t="str">
        <f t="shared" si="27"/>
        <v/>
      </c>
      <c r="AK74" s="359" t="str">
        <f t="shared" si="29"/>
        <v/>
      </c>
      <c r="AL74" s="359" t="str">
        <f t="shared" si="28"/>
        <v/>
      </c>
      <c r="AM74" s="359" t="str">
        <f t="shared" si="30"/>
        <v/>
      </c>
      <c r="AN74" s="262">
        <f t="shared" si="33"/>
        <v>0</v>
      </c>
      <c r="AO74" s="262" t="str">
        <f>IFERROR(HLOOKUP(AN74,'Ref Lists'!Q$1:AL$2,2,FALSE),'Ref Lists'!$AK$2)</f>
        <v>Savings21</v>
      </c>
      <c r="AP74" s="38"/>
      <c r="AQ74" s="38">
        <f t="shared" si="22"/>
        <v>0</v>
      </c>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row>
    <row r="75" spans="1:104" s="40" customFormat="1" ht="20.149999999999999" customHeight="1">
      <c r="A75" s="358">
        <f t="shared" si="31"/>
        <v>74</v>
      </c>
      <c r="B75" s="359" t="str">
        <f>'Front Sheet and Checklist'!$C$5</f>
        <v>Swansea Bay UHB</v>
      </c>
      <c r="C75" s="17"/>
      <c r="D75" s="17"/>
      <c r="E75" s="17"/>
      <c r="F75" s="17"/>
      <c r="G75" s="17"/>
      <c r="H75" s="17"/>
      <c r="I75" s="361">
        <f t="shared" si="21"/>
        <v>0</v>
      </c>
      <c r="J75" s="17"/>
      <c r="K75" s="18"/>
      <c r="L75" s="18"/>
      <c r="M75" s="17"/>
      <c r="N75" s="17"/>
      <c r="O75" s="17"/>
      <c r="P75" s="17"/>
      <c r="Q75" s="169"/>
      <c r="R75" s="24"/>
      <c r="S75" s="24"/>
      <c r="T75" s="24"/>
      <c r="U75" s="25"/>
      <c r="V75" s="25"/>
      <c r="W75" s="25"/>
      <c r="X75" s="24"/>
      <c r="Y75" s="24"/>
      <c r="Z75" s="24"/>
      <c r="AA75" s="24"/>
      <c r="AB75" s="24"/>
      <c r="AC75" s="24"/>
      <c r="AD75" s="361">
        <f t="shared" si="20"/>
        <v>0</v>
      </c>
      <c r="AE75" s="359" t="str">
        <f t="shared" si="23"/>
        <v/>
      </c>
      <c r="AF75" s="359" t="str">
        <f t="shared" si="32"/>
        <v/>
      </c>
      <c r="AG75" s="359" t="str">
        <f t="shared" si="24"/>
        <v/>
      </c>
      <c r="AH75" s="359" t="str">
        <f t="shared" si="25"/>
        <v/>
      </c>
      <c r="AI75" s="359" t="str">
        <f t="shared" si="26"/>
        <v/>
      </c>
      <c r="AJ75" s="359" t="str">
        <f t="shared" si="27"/>
        <v/>
      </c>
      <c r="AK75" s="359" t="str">
        <f t="shared" si="29"/>
        <v/>
      </c>
      <c r="AL75" s="359" t="str">
        <f t="shared" si="28"/>
        <v/>
      </c>
      <c r="AM75" s="359" t="str">
        <f t="shared" si="30"/>
        <v/>
      </c>
      <c r="AN75" s="262">
        <f t="shared" si="33"/>
        <v>0</v>
      </c>
      <c r="AO75" s="262" t="str">
        <f>IFERROR(HLOOKUP(AN75,'Ref Lists'!Q$1:AL$2,2,FALSE),'Ref Lists'!$AK$2)</f>
        <v>Savings21</v>
      </c>
      <c r="AP75" s="38"/>
      <c r="AQ75" s="38">
        <f t="shared" si="22"/>
        <v>0</v>
      </c>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row>
    <row r="76" spans="1:104" s="40" customFormat="1" ht="20.149999999999999" customHeight="1">
      <c r="A76" s="358">
        <f t="shared" si="31"/>
        <v>75</v>
      </c>
      <c r="B76" s="359" t="str">
        <f>'Front Sheet and Checklist'!$C$5</f>
        <v>Swansea Bay UHB</v>
      </c>
      <c r="C76" s="17"/>
      <c r="D76" s="17"/>
      <c r="E76" s="17"/>
      <c r="F76" s="17"/>
      <c r="G76" s="17"/>
      <c r="H76" s="17"/>
      <c r="I76" s="361">
        <f t="shared" si="21"/>
        <v>0</v>
      </c>
      <c r="J76" s="17"/>
      <c r="K76" s="18"/>
      <c r="L76" s="18"/>
      <c r="M76" s="17"/>
      <c r="N76" s="17"/>
      <c r="O76" s="17"/>
      <c r="P76" s="17"/>
      <c r="Q76" s="169"/>
      <c r="R76" s="24"/>
      <c r="S76" s="24"/>
      <c r="T76" s="24"/>
      <c r="U76" s="25"/>
      <c r="V76" s="25"/>
      <c r="W76" s="25"/>
      <c r="X76" s="24"/>
      <c r="Y76" s="24"/>
      <c r="Z76" s="24"/>
      <c r="AA76" s="24"/>
      <c r="AB76" s="24"/>
      <c r="AC76" s="24"/>
      <c r="AD76" s="361">
        <f t="shared" si="20"/>
        <v>0</v>
      </c>
      <c r="AE76" s="359" t="str">
        <f t="shared" si="23"/>
        <v/>
      </c>
      <c r="AF76" s="359" t="str">
        <f t="shared" si="32"/>
        <v/>
      </c>
      <c r="AG76" s="359" t="str">
        <f t="shared" si="24"/>
        <v/>
      </c>
      <c r="AH76" s="359" t="str">
        <f t="shared" si="25"/>
        <v/>
      </c>
      <c r="AI76" s="359" t="str">
        <f t="shared" si="26"/>
        <v/>
      </c>
      <c r="AJ76" s="359" t="str">
        <f t="shared" si="27"/>
        <v/>
      </c>
      <c r="AK76" s="359" t="str">
        <f t="shared" si="29"/>
        <v/>
      </c>
      <c r="AL76" s="359" t="str">
        <f t="shared" si="28"/>
        <v/>
      </c>
      <c r="AM76" s="359" t="str">
        <f t="shared" si="30"/>
        <v/>
      </c>
      <c r="AN76" s="262">
        <f t="shared" si="33"/>
        <v>0</v>
      </c>
      <c r="AO76" s="262" t="str">
        <f>IFERROR(HLOOKUP(AN76,'Ref Lists'!Q$1:AL$2,2,FALSE),'Ref Lists'!$AK$2)</f>
        <v>Savings21</v>
      </c>
      <c r="AP76" s="38"/>
      <c r="AQ76" s="38">
        <f t="shared" si="22"/>
        <v>0</v>
      </c>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row>
    <row r="77" spans="1:104" s="40" customFormat="1" ht="20.149999999999999" customHeight="1">
      <c r="A77" s="358">
        <f t="shared" si="31"/>
        <v>76</v>
      </c>
      <c r="B77" s="359" t="str">
        <f>'Front Sheet and Checklist'!$C$5</f>
        <v>Swansea Bay UHB</v>
      </c>
      <c r="C77" s="17"/>
      <c r="D77" s="17"/>
      <c r="E77" s="17"/>
      <c r="F77" s="17"/>
      <c r="G77" s="17"/>
      <c r="H77" s="17"/>
      <c r="I77" s="361">
        <f t="shared" si="21"/>
        <v>0</v>
      </c>
      <c r="J77" s="17"/>
      <c r="K77" s="18"/>
      <c r="L77" s="18"/>
      <c r="M77" s="17"/>
      <c r="N77" s="17"/>
      <c r="O77" s="17"/>
      <c r="P77" s="17"/>
      <c r="Q77" s="169"/>
      <c r="R77" s="24"/>
      <c r="S77" s="24"/>
      <c r="T77" s="24"/>
      <c r="U77" s="25"/>
      <c r="V77" s="25"/>
      <c r="W77" s="25"/>
      <c r="X77" s="24"/>
      <c r="Y77" s="24"/>
      <c r="Z77" s="24"/>
      <c r="AA77" s="24"/>
      <c r="AB77" s="24"/>
      <c r="AC77" s="24"/>
      <c r="AD77" s="361">
        <f t="shared" si="20"/>
        <v>0</v>
      </c>
      <c r="AE77" s="359" t="str">
        <f t="shared" si="23"/>
        <v/>
      </c>
      <c r="AF77" s="359" t="str">
        <f t="shared" si="32"/>
        <v/>
      </c>
      <c r="AG77" s="359" t="str">
        <f t="shared" si="24"/>
        <v/>
      </c>
      <c r="AH77" s="359" t="str">
        <f t="shared" si="25"/>
        <v/>
      </c>
      <c r="AI77" s="359" t="str">
        <f t="shared" si="26"/>
        <v/>
      </c>
      <c r="AJ77" s="359" t="str">
        <f t="shared" si="27"/>
        <v/>
      </c>
      <c r="AK77" s="359" t="str">
        <f t="shared" si="29"/>
        <v/>
      </c>
      <c r="AL77" s="359" t="str">
        <f t="shared" si="28"/>
        <v/>
      </c>
      <c r="AM77" s="359" t="str">
        <f t="shared" si="30"/>
        <v/>
      </c>
      <c r="AN77" s="262">
        <f t="shared" si="33"/>
        <v>0</v>
      </c>
      <c r="AO77" s="262" t="str">
        <f>IFERROR(HLOOKUP(AN77,'Ref Lists'!Q$1:AL$2,2,FALSE),'Ref Lists'!$AK$2)</f>
        <v>Savings21</v>
      </c>
      <c r="AP77" s="38"/>
      <c r="AQ77" s="38">
        <f t="shared" si="22"/>
        <v>0</v>
      </c>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row>
    <row r="78" spans="1:104" s="40" customFormat="1" ht="20.149999999999999" customHeight="1">
      <c r="A78" s="358">
        <f t="shared" si="31"/>
        <v>77</v>
      </c>
      <c r="B78" s="359" t="str">
        <f>'Front Sheet and Checklist'!$C$5</f>
        <v>Swansea Bay UHB</v>
      </c>
      <c r="C78" s="17"/>
      <c r="D78" s="17"/>
      <c r="E78" s="17"/>
      <c r="F78" s="17"/>
      <c r="G78" s="17"/>
      <c r="H78" s="17"/>
      <c r="I78" s="361">
        <f t="shared" si="21"/>
        <v>0</v>
      </c>
      <c r="J78" s="17"/>
      <c r="K78" s="18"/>
      <c r="L78" s="18"/>
      <c r="M78" s="17"/>
      <c r="N78" s="17"/>
      <c r="O78" s="17"/>
      <c r="P78" s="17"/>
      <c r="Q78" s="169"/>
      <c r="R78" s="24"/>
      <c r="S78" s="24"/>
      <c r="T78" s="24"/>
      <c r="U78" s="25"/>
      <c r="V78" s="25"/>
      <c r="W78" s="25"/>
      <c r="X78" s="24"/>
      <c r="Y78" s="24"/>
      <c r="Z78" s="24"/>
      <c r="AA78" s="24"/>
      <c r="AB78" s="24"/>
      <c r="AC78" s="24"/>
      <c r="AD78" s="361">
        <f t="shared" si="20"/>
        <v>0</v>
      </c>
      <c r="AE78" s="359" t="str">
        <f t="shared" si="23"/>
        <v/>
      </c>
      <c r="AF78" s="359" t="str">
        <f t="shared" si="32"/>
        <v/>
      </c>
      <c r="AG78" s="359" t="str">
        <f t="shared" si="24"/>
        <v/>
      </c>
      <c r="AH78" s="359" t="str">
        <f t="shared" si="25"/>
        <v/>
      </c>
      <c r="AI78" s="359" t="str">
        <f t="shared" si="26"/>
        <v/>
      </c>
      <c r="AJ78" s="359" t="str">
        <f t="shared" si="27"/>
        <v/>
      </c>
      <c r="AK78" s="359" t="str">
        <f t="shared" si="29"/>
        <v/>
      </c>
      <c r="AL78" s="359" t="str">
        <f t="shared" si="28"/>
        <v/>
      </c>
      <c r="AM78" s="359" t="str">
        <f t="shared" si="30"/>
        <v/>
      </c>
      <c r="AN78" s="262">
        <f t="shared" si="33"/>
        <v>0</v>
      </c>
      <c r="AO78" s="262" t="str">
        <f>IFERROR(HLOOKUP(AN78,'Ref Lists'!Q$1:AL$2,2,FALSE),'Ref Lists'!$AK$2)</f>
        <v>Savings21</v>
      </c>
      <c r="AP78" s="38"/>
      <c r="AQ78" s="38">
        <f t="shared" si="22"/>
        <v>0</v>
      </c>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row>
    <row r="79" spans="1:104" s="40" customFormat="1" ht="20.149999999999999" customHeight="1">
      <c r="A79" s="358">
        <f t="shared" si="31"/>
        <v>78</v>
      </c>
      <c r="B79" s="359" t="str">
        <f>'Front Sheet and Checklist'!$C$5</f>
        <v>Swansea Bay UHB</v>
      </c>
      <c r="C79" s="17"/>
      <c r="D79" s="17"/>
      <c r="E79" s="17"/>
      <c r="F79" s="17"/>
      <c r="G79" s="17"/>
      <c r="H79" s="17"/>
      <c r="I79" s="361">
        <f t="shared" si="21"/>
        <v>0</v>
      </c>
      <c r="J79" s="17"/>
      <c r="K79" s="18"/>
      <c r="L79" s="18"/>
      <c r="M79" s="17"/>
      <c r="N79" s="17"/>
      <c r="O79" s="17"/>
      <c r="P79" s="17"/>
      <c r="Q79" s="169"/>
      <c r="R79" s="24"/>
      <c r="S79" s="24"/>
      <c r="T79" s="24"/>
      <c r="U79" s="25"/>
      <c r="V79" s="25"/>
      <c r="W79" s="25"/>
      <c r="X79" s="24"/>
      <c r="Y79" s="24"/>
      <c r="Z79" s="24"/>
      <c r="AA79" s="24"/>
      <c r="AB79" s="24"/>
      <c r="AC79" s="24"/>
      <c r="AD79" s="361">
        <f t="shared" si="20"/>
        <v>0</v>
      </c>
      <c r="AE79" s="359" t="str">
        <f t="shared" si="23"/>
        <v/>
      </c>
      <c r="AF79" s="359" t="str">
        <f t="shared" si="32"/>
        <v/>
      </c>
      <c r="AG79" s="359" t="str">
        <f t="shared" si="24"/>
        <v/>
      </c>
      <c r="AH79" s="359" t="str">
        <f t="shared" si="25"/>
        <v/>
      </c>
      <c r="AI79" s="359" t="str">
        <f t="shared" si="26"/>
        <v/>
      </c>
      <c r="AJ79" s="359" t="str">
        <f t="shared" si="27"/>
        <v/>
      </c>
      <c r="AK79" s="359" t="str">
        <f t="shared" si="29"/>
        <v/>
      </c>
      <c r="AL79" s="359" t="str">
        <f t="shared" si="28"/>
        <v/>
      </c>
      <c r="AM79" s="359" t="str">
        <f t="shared" si="30"/>
        <v/>
      </c>
      <c r="AN79" s="262">
        <f t="shared" si="33"/>
        <v>0</v>
      </c>
      <c r="AO79" s="262" t="str">
        <f>IFERROR(HLOOKUP(AN79,'Ref Lists'!Q$1:AL$2,2,FALSE),'Ref Lists'!$AK$2)</f>
        <v>Savings21</v>
      </c>
      <c r="AP79" s="38"/>
      <c r="AQ79" s="38">
        <f t="shared" si="22"/>
        <v>0</v>
      </c>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row>
    <row r="80" spans="1:104" s="40" customFormat="1" ht="20.149999999999999" customHeight="1">
      <c r="A80" s="358">
        <f t="shared" si="31"/>
        <v>79</v>
      </c>
      <c r="B80" s="359" t="str">
        <f>'Front Sheet and Checklist'!$C$5</f>
        <v>Swansea Bay UHB</v>
      </c>
      <c r="C80" s="17"/>
      <c r="D80" s="17"/>
      <c r="E80" s="17"/>
      <c r="F80" s="17"/>
      <c r="G80" s="17"/>
      <c r="H80" s="17"/>
      <c r="I80" s="361">
        <f t="shared" si="21"/>
        <v>0</v>
      </c>
      <c r="J80" s="17"/>
      <c r="K80" s="18"/>
      <c r="L80" s="18"/>
      <c r="M80" s="17"/>
      <c r="N80" s="17"/>
      <c r="O80" s="17"/>
      <c r="P80" s="17"/>
      <c r="Q80" s="169"/>
      <c r="R80" s="24"/>
      <c r="S80" s="24"/>
      <c r="T80" s="24"/>
      <c r="U80" s="25"/>
      <c r="V80" s="25"/>
      <c r="W80" s="25"/>
      <c r="X80" s="24"/>
      <c r="Y80" s="24"/>
      <c r="Z80" s="24"/>
      <c r="AA80" s="24"/>
      <c r="AB80" s="24"/>
      <c r="AC80" s="24"/>
      <c r="AD80" s="361">
        <f t="shared" si="20"/>
        <v>0</v>
      </c>
      <c r="AE80" s="359" t="str">
        <f t="shared" si="23"/>
        <v/>
      </c>
      <c r="AF80" s="359" t="str">
        <f t="shared" si="32"/>
        <v/>
      </c>
      <c r="AG80" s="359" t="str">
        <f t="shared" si="24"/>
        <v/>
      </c>
      <c r="AH80" s="359" t="str">
        <f t="shared" si="25"/>
        <v/>
      </c>
      <c r="AI80" s="359" t="str">
        <f t="shared" si="26"/>
        <v/>
      </c>
      <c r="AJ80" s="359" t="str">
        <f t="shared" si="27"/>
        <v/>
      </c>
      <c r="AK80" s="359" t="str">
        <f t="shared" si="29"/>
        <v/>
      </c>
      <c r="AL80" s="359" t="str">
        <f t="shared" si="28"/>
        <v/>
      </c>
      <c r="AM80" s="359" t="str">
        <f t="shared" si="30"/>
        <v/>
      </c>
      <c r="AN80" s="262">
        <f t="shared" si="33"/>
        <v>0</v>
      </c>
      <c r="AO80" s="262" t="str">
        <f>IFERROR(HLOOKUP(AN80,'Ref Lists'!Q$1:AL$2,2,FALSE),'Ref Lists'!$AK$2)</f>
        <v>Savings21</v>
      </c>
      <c r="AP80" s="38"/>
      <c r="AQ80" s="38">
        <f t="shared" si="22"/>
        <v>0</v>
      </c>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row>
    <row r="81" spans="1:104" s="40" customFormat="1" ht="20.149999999999999" customHeight="1">
      <c r="A81" s="358">
        <f t="shared" si="31"/>
        <v>80</v>
      </c>
      <c r="B81" s="359" t="str">
        <f>'Front Sheet and Checklist'!$C$5</f>
        <v>Swansea Bay UHB</v>
      </c>
      <c r="C81" s="17"/>
      <c r="D81" s="17"/>
      <c r="E81" s="17"/>
      <c r="F81" s="17"/>
      <c r="G81" s="17"/>
      <c r="H81" s="17"/>
      <c r="I81" s="361">
        <f t="shared" si="21"/>
        <v>0</v>
      </c>
      <c r="J81" s="17"/>
      <c r="K81" s="18"/>
      <c r="L81" s="18"/>
      <c r="M81" s="17"/>
      <c r="N81" s="17"/>
      <c r="O81" s="17"/>
      <c r="P81" s="17"/>
      <c r="Q81" s="169"/>
      <c r="R81" s="24"/>
      <c r="S81" s="24"/>
      <c r="T81" s="24"/>
      <c r="U81" s="25"/>
      <c r="V81" s="25"/>
      <c r="W81" s="25"/>
      <c r="X81" s="24"/>
      <c r="Y81" s="24"/>
      <c r="Z81" s="24"/>
      <c r="AA81" s="24"/>
      <c r="AB81" s="24"/>
      <c r="AC81" s="24"/>
      <c r="AD81" s="361">
        <f t="shared" si="20"/>
        <v>0</v>
      </c>
      <c r="AE81" s="359" t="str">
        <f t="shared" si="23"/>
        <v/>
      </c>
      <c r="AF81" s="359" t="str">
        <f t="shared" si="32"/>
        <v/>
      </c>
      <c r="AG81" s="359" t="str">
        <f t="shared" si="24"/>
        <v/>
      </c>
      <c r="AH81" s="359" t="str">
        <f t="shared" si="25"/>
        <v/>
      </c>
      <c r="AI81" s="359" t="str">
        <f t="shared" si="26"/>
        <v/>
      </c>
      <c r="AJ81" s="359" t="str">
        <f t="shared" si="27"/>
        <v/>
      </c>
      <c r="AK81" s="359" t="str">
        <f t="shared" si="29"/>
        <v/>
      </c>
      <c r="AL81" s="359" t="str">
        <f t="shared" si="28"/>
        <v/>
      </c>
      <c r="AM81" s="359" t="str">
        <f t="shared" si="30"/>
        <v/>
      </c>
      <c r="AN81" s="262">
        <f t="shared" si="33"/>
        <v>0</v>
      </c>
      <c r="AO81" s="262" t="str">
        <f>IFERROR(HLOOKUP(AN81,'Ref Lists'!Q$1:AL$2,2,FALSE),'Ref Lists'!$AK$2)</f>
        <v>Savings21</v>
      </c>
      <c r="AP81" s="38"/>
      <c r="AQ81" s="38">
        <f t="shared" si="22"/>
        <v>0</v>
      </c>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row>
    <row r="82" spans="1:104" s="40" customFormat="1" ht="20.149999999999999" customHeight="1">
      <c r="A82" s="358">
        <f t="shared" si="31"/>
        <v>81</v>
      </c>
      <c r="B82" s="359" t="str">
        <f>'Front Sheet and Checklist'!$C$5</f>
        <v>Swansea Bay UHB</v>
      </c>
      <c r="C82" s="17"/>
      <c r="D82" s="17"/>
      <c r="E82" s="17"/>
      <c r="F82" s="17"/>
      <c r="G82" s="17"/>
      <c r="H82" s="17"/>
      <c r="I82" s="361">
        <f t="shared" si="21"/>
        <v>0</v>
      </c>
      <c r="J82" s="17"/>
      <c r="K82" s="18"/>
      <c r="L82" s="18"/>
      <c r="M82" s="17"/>
      <c r="N82" s="17"/>
      <c r="O82" s="17"/>
      <c r="P82" s="17"/>
      <c r="Q82" s="169"/>
      <c r="R82" s="24"/>
      <c r="S82" s="24"/>
      <c r="T82" s="24"/>
      <c r="U82" s="25"/>
      <c r="V82" s="25"/>
      <c r="W82" s="25"/>
      <c r="X82" s="24"/>
      <c r="Y82" s="24"/>
      <c r="Z82" s="24"/>
      <c r="AA82" s="24"/>
      <c r="AB82" s="24"/>
      <c r="AC82" s="24"/>
      <c r="AD82" s="361">
        <f t="shared" si="20"/>
        <v>0</v>
      </c>
      <c r="AE82" s="359" t="str">
        <f t="shared" si="23"/>
        <v/>
      </c>
      <c r="AF82" s="359" t="str">
        <f t="shared" si="32"/>
        <v/>
      </c>
      <c r="AG82" s="359" t="str">
        <f t="shared" si="24"/>
        <v/>
      </c>
      <c r="AH82" s="359" t="str">
        <f t="shared" si="25"/>
        <v/>
      </c>
      <c r="AI82" s="359" t="str">
        <f t="shared" si="26"/>
        <v/>
      </c>
      <c r="AJ82" s="359" t="str">
        <f t="shared" si="27"/>
        <v/>
      </c>
      <c r="AK82" s="359" t="str">
        <f t="shared" si="29"/>
        <v/>
      </c>
      <c r="AL82" s="359" t="str">
        <f t="shared" si="28"/>
        <v/>
      </c>
      <c r="AM82" s="359" t="str">
        <f t="shared" si="30"/>
        <v/>
      </c>
      <c r="AN82" s="262">
        <f t="shared" si="33"/>
        <v>0</v>
      </c>
      <c r="AO82" s="262" t="str">
        <f>IFERROR(HLOOKUP(AN82,'Ref Lists'!Q$1:AL$2,2,FALSE),'Ref Lists'!$AK$2)</f>
        <v>Savings21</v>
      </c>
      <c r="AP82" s="38"/>
      <c r="AQ82" s="38">
        <f t="shared" si="22"/>
        <v>0</v>
      </c>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row>
    <row r="83" spans="1:104" s="40" customFormat="1" ht="20.149999999999999" customHeight="1">
      <c r="A83" s="358">
        <f t="shared" si="31"/>
        <v>82</v>
      </c>
      <c r="B83" s="359" t="str">
        <f>'Front Sheet and Checklist'!$C$5</f>
        <v>Swansea Bay UHB</v>
      </c>
      <c r="C83" s="17"/>
      <c r="D83" s="17"/>
      <c r="E83" s="17"/>
      <c r="F83" s="17"/>
      <c r="G83" s="17"/>
      <c r="H83" s="17"/>
      <c r="I83" s="361">
        <f t="shared" si="21"/>
        <v>0</v>
      </c>
      <c r="J83" s="17"/>
      <c r="K83" s="18"/>
      <c r="L83" s="18"/>
      <c r="M83" s="17"/>
      <c r="N83" s="17"/>
      <c r="O83" s="17"/>
      <c r="P83" s="17"/>
      <c r="Q83" s="169"/>
      <c r="R83" s="24"/>
      <c r="S83" s="24"/>
      <c r="T83" s="24"/>
      <c r="U83" s="25"/>
      <c r="V83" s="25"/>
      <c r="W83" s="25"/>
      <c r="X83" s="24"/>
      <c r="Y83" s="24"/>
      <c r="Z83" s="24"/>
      <c r="AA83" s="24"/>
      <c r="AB83" s="24"/>
      <c r="AC83" s="24"/>
      <c r="AD83" s="361">
        <f t="shared" si="20"/>
        <v>0</v>
      </c>
      <c r="AE83" s="359" t="str">
        <f t="shared" si="23"/>
        <v/>
      </c>
      <c r="AF83" s="359" t="str">
        <f t="shared" si="32"/>
        <v/>
      </c>
      <c r="AG83" s="359" t="str">
        <f t="shared" si="24"/>
        <v/>
      </c>
      <c r="AH83" s="359" t="str">
        <f t="shared" si="25"/>
        <v/>
      </c>
      <c r="AI83" s="359" t="str">
        <f t="shared" si="26"/>
        <v/>
      </c>
      <c r="AJ83" s="359" t="str">
        <f t="shared" si="27"/>
        <v/>
      </c>
      <c r="AK83" s="359" t="str">
        <f t="shared" si="29"/>
        <v/>
      </c>
      <c r="AL83" s="359" t="str">
        <f t="shared" si="28"/>
        <v/>
      </c>
      <c r="AM83" s="359" t="str">
        <f t="shared" si="30"/>
        <v/>
      </c>
      <c r="AN83" s="262">
        <f t="shared" si="33"/>
        <v>0</v>
      </c>
      <c r="AO83" s="262" t="str">
        <f>IFERROR(HLOOKUP(AN83,'Ref Lists'!Q$1:AL$2,2,FALSE),'Ref Lists'!$AK$2)</f>
        <v>Savings21</v>
      </c>
      <c r="AP83" s="38"/>
      <c r="AQ83" s="38">
        <f t="shared" si="22"/>
        <v>0</v>
      </c>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row>
    <row r="84" spans="1:104" s="40" customFormat="1" ht="20.149999999999999" customHeight="1">
      <c r="A84" s="358">
        <f t="shared" si="31"/>
        <v>83</v>
      </c>
      <c r="B84" s="359" t="str">
        <f>'Front Sheet and Checklist'!$C$5</f>
        <v>Swansea Bay UHB</v>
      </c>
      <c r="C84" s="17"/>
      <c r="D84" s="17"/>
      <c r="E84" s="17"/>
      <c r="F84" s="17"/>
      <c r="G84" s="17"/>
      <c r="H84" s="17"/>
      <c r="I84" s="361">
        <f t="shared" si="21"/>
        <v>0</v>
      </c>
      <c r="J84" s="17"/>
      <c r="K84" s="18"/>
      <c r="L84" s="18"/>
      <c r="M84" s="17"/>
      <c r="N84" s="17"/>
      <c r="O84" s="17"/>
      <c r="P84" s="17"/>
      <c r="Q84" s="169"/>
      <c r="R84" s="24"/>
      <c r="S84" s="24"/>
      <c r="T84" s="24"/>
      <c r="U84" s="25"/>
      <c r="V84" s="25"/>
      <c r="W84" s="25"/>
      <c r="X84" s="24"/>
      <c r="Y84" s="24"/>
      <c r="Z84" s="24"/>
      <c r="AA84" s="24"/>
      <c r="AB84" s="24"/>
      <c r="AC84" s="24"/>
      <c r="AD84" s="361">
        <f t="shared" si="20"/>
        <v>0</v>
      </c>
      <c r="AE84" s="359" t="str">
        <f t="shared" si="23"/>
        <v/>
      </c>
      <c r="AF84" s="359" t="str">
        <f t="shared" si="32"/>
        <v/>
      </c>
      <c r="AG84" s="359" t="str">
        <f t="shared" si="24"/>
        <v/>
      </c>
      <c r="AH84" s="359" t="str">
        <f t="shared" si="25"/>
        <v/>
      </c>
      <c r="AI84" s="359" t="str">
        <f t="shared" si="26"/>
        <v/>
      </c>
      <c r="AJ84" s="359" t="str">
        <f t="shared" si="27"/>
        <v/>
      </c>
      <c r="AK84" s="359" t="str">
        <f t="shared" si="29"/>
        <v/>
      </c>
      <c r="AL84" s="359" t="str">
        <f t="shared" si="28"/>
        <v/>
      </c>
      <c r="AM84" s="359" t="str">
        <f t="shared" si="30"/>
        <v/>
      </c>
      <c r="AN84" s="262">
        <f t="shared" si="33"/>
        <v>0</v>
      </c>
      <c r="AO84" s="262" t="str">
        <f>IFERROR(HLOOKUP(AN84,'Ref Lists'!Q$1:AL$2,2,FALSE),'Ref Lists'!$AK$2)</f>
        <v>Savings21</v>
      </c>
      <c r="AP84" s="38"/>
      <c r="AQ84" s="38">
        <f t="shared" si="22"/>
        <v>0</v>
      </c>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row>
    <row r="85" spans="1:104" s="40" customFormat="1" ht="20.149999999999999" customHeight="1">
      <c r="A85" s="358">
        <f t="shared" si="31"/>
        <v>84</v>
      </c>
      <c r="B85" s="359" t="str">
        <f>'Front Sheet and Checklist'!$C$5</f>
        <v>Swansea Bay UHB</v>
      </c>
      <c r="C85" s="17"/>
      <c r="D85" s="17"/>
      <c r="E85" s="17"/>
      <c r="F85" s="17"/>
      <c r="G85" s="17"/>
      <c r="H85" s="17"/>
      <c r="I85" s="361">
        <f t="shared" si="21"/>
        <v>0</v>
      </c>
      <c r="J85" s="17"/>
      <c r="K85" s="18"/>
      <c r="L85" s="18"/>
      <c r="M85" s="17"/>
      <c r="N85" s="17"/>
      <c r="O85" s="17"/>
      <c r="P85" s="17"/>
      <c r="Q85" s="169"/>
      <c r="R85" s="24"/>
      <c r="S85" s="24"/>
      <c r="T85" s="24"/>
      <c r="U85" s="25"/>
      <c r="V85" s="25"/>
      <c r="W85" s="25"/>
      <c r="X85" s="24"/>
      <c r="Y85" s="24"/>
      <c r="Z85" s="24"/>
      <c r="AA85" s="24"/>
      <c r="AB85" s="24"/>
      <c r="AC85" s="24"/>
      <c r="AD85" s="361">
        <f t="shared" si="20"/>
        <v>0</v>
      </c>
      <c r="AE85" s="359" t="str">
        <f t="shared" si="23"/>
        <v/>
      </c>
      <c r="AF85" s="359" t="str">
        <f t="shared" si="32"/>
        <v/>
      </c>
      <c r="AG85" s="359" t="str">
        <f t="shared" si="24"/>
        <v/>
      </c>
      <c r="AH85" s="359" t="str">
        <f t="shared" si="25"/>
        <v/>
      </c>
      <c r="AI85" s="359" t="str">
        <f t="shared" si="26"/>
        <v/>
      </c>
      <c r="AJ85" s="359" t="str">
        <f t="shared" si="27"/>
        <v/>
      </c>
      <c r="AK85" s="359" t="str">
        <f t="shared" si="29"/>
        <v/>
      </c>
      <c r="AL85" s="359" t="str">
        <f t="shared" si="28"/>
        <v/>
      </c>
      <c r="AM85" s="359" t="str">
        <f t="shared" si="30"/>
        <v/>
      </c>
      <c r="AN85" s="262">
        <f t="shared" si="33"/>
        <v>0</v>
      </c>
      <c r="AO85" s="262" t="str">
        <f>IFERROR(HLOOKUP(AN85,'Ref Lists'!Q$1:AL$2,2,FALSE),'Ref Lists'!$AK$2)</f>
        <v>Savings21</v>
      </c>
      <c r="AP85" s="38"/>
      <c r="AQ85" s="38">
        <f t="shared" si="22"/>
        <v>0</v>
      </c>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row>
    <row r="86" spans="1:104" s="40" customFormat="1" ht="20.149999999999999" customHeight="1">
      <c r="A86" s="358">
        <f t="shared" si="31"/>
        <v>85</v>
      </c>
      <c r="B86" s="359" t="str">
        <f>'Front Sheet and Checklist'!$C$5</f>
        <v>Swansea Bay UHB</v>
      </c>
      <c r="C86" s="17"/>
      <c r="D86" s="17"/>
      <c r="E86" s="17"/>
      <c r="F86" s="17"/>
      <c r="G86" s="17"/>
      <c r="H86" s="17"/>
      <c r="I86" s="361">
        <f t="shared" si="21"/>
        <v>0</v>
      </c>
      <c r="J86" s="17"/>
      <c r="K86" s="18"/>
      <c r="L86" s="18"/>
      <c r="M86" s="17"/>
      <c r="N86" s="17"/>
      <c r="O86" s="17"/>
      <c r="P86" s="17"/>
      <c r="Q86" s="169"/>
      <c r="R86" s="24"/>
      <c r="S86" s="24"/>
      <c r="T86" s="24"/>
      <c r="U86" s="25"/>
      <c r="V86" s="25"/>
      <c r="W86" s="25"/>
      <c r="X86" s="24"/>
      <c r="Y86" s="24"/>
      <c r="Z86" s="24"/>
      <c r="AA86" s="24"/>
      <c r="AB86" s="24"/>
      <c r="AC86" s="24"/>
      <c r="AD86" s="361">
        <f t="shared" si="20"/>
        <v>0</v>
      </c>
      <c r="AE86" s="359" t="str">
        <f t="shared" si="23"/>
        <v/>
      </c>
      <c r="AF86" s="359" t="str">
        <f t="shared" si="32"/>
        <v/>
      </c>
      <c r="AG86" s="359" t="str">
        <f t="shared" si="24"/>
        <v/>
      </c>
      <c r="AH86" s="359" t="str">
        <f t="shared" si="25"/>
        <v/>
      </c>
      <c r="AI86" s="359" t="str">
        <f t="shared" si="26"/>
        <v/>
      </c>
      <c r="AJ86" s="359" t="str">
        <f t="shared" si="27"/>
        <v/>
      </c>
      <c r="AK86" s="359" t="str">
        <f t="shared" si="29"/>
        <v/>
      </c>
      <c r="AL86" s="359" t="str">
        <f t="shared" si="28"/>
        <v/>
      </c>
      <c r="AM86" s="359" t="str">
        <f t="shared" si="30"/>
        <v/>
      </c>
      <c r="AN86" s="262">
        <f t="shared" si="33"/>
        <v>0</v>
      </c>
      <c r="AO86" s="262" t="str">
        <f>IFERROR(HLOOKUP(AN86,'Ref Lists'!Q$1:AL$2,2,FALSE),'Ref Lists'!$AK$2)</f>
        <v>Savings21</v>
      </c>
      <c r="AP86" s="38"/>
      <c r="AQ86" s="38">
        <f t="shared" si="22"/>
        <v>0</v>
      </c>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row>
    <row r="87" spans="1:104" s="40" customFormat="1" ht="20.149999999999999" customHeight="1">
      <c r="A87" s="358">
        <f t="shared" si="31"/>
        <v>86</v>
      </c>
      <c r="B87" s="359" t="str">
        <f>'Front Sheet and Checklist'!$C$5</f>
        <v>Swansea Bay UHB</v>
      </c>
      <c r="C87" s="17"/>
      <c r="D87" s="17"/>
      <c r="E87" s="17"/>
      <c r="F87" s="17"/>
      <c r="G87" s="17"/>
      <c r="H87" s="17"/>
      <c r="I87" s="361">
        <f t="shared" si="21"/>
        <v>0</v>
      </c>
      <c r="J87" s="17"/>
      <c r="K87" s="18"/>
      <c r="L87" s="18"/>
      <c r="M87" s="17"/>
      <c r="N87" s="17"/>
      <c r="O87" s="17"/>
      <c r="P87" s="17"/>
      <c r="Q87" s="169"/>
      <c r="R87" s="24"/>
      <c r="S87" s="24"/>
      <c r="T87" s="24"/>
      <c r="U87" s="25"/>
      <c r="V87" s="25"/>
      <c r="W87" s="25"/>
      <c r="X87" s="24"/>
      <c r="Y87" s="24"/>
      <c r="Z87" s="24"/>
      <c r="AA87" s="24"/>
      <c r="AB87" s="24"/>
      <c r="AC87" s="24"/>
      <c r="AD87" s="361">
        <f t="shared" si="20"/>
        <v>0</v>
      </c>
      <c r="AE87" s="359" t="str">
        <f t="shared" si="23"/>
        <v/>
      </c>
      <c r="AF87" s="359" t="str">
        <f t="shared" si="32"/>
        <v/>
      </c>
      <c r="AG87" s="359" t="str">
        <f t="shared" si="24"/>
        <v/>
      </c>
      <c r="AH87" s="359" t="str">
        <f t="shared" si="25"/>
        <v/>
      </c>
      <c r="AI87" s="359" t="str">
        <f t="shared" si="26"/>
        <v/>
      </c>
      <c r="AJ87" s="359" t="str">
        <f t="shared" si="27"/>
        <v/>
      </c>
      <c r="AK87" s="359" t="str">
        <f t="shared" si="29"/>
        <v/>
      </c>
      <c r="AL87" s="359" t="str">
        <f t="shared" si="28"/>
        <v/>
      </c>
      <c r="AM87" s="359" t="str">
        <f t="shared" si="30"/>
        <v/>
      </c>
      <c r="AN87" s="262">
        <f t="shared" si="33"/>
        <v>0</v>
      </c>
      <c r="AO87" s="262" t="str">
        <f>IFERROR(HLOOKUP(AN87,'Ref Lists'!Q$1:AL$2,2,FALSE),'Ref Lists'!$AK$2)</f>
        <v>Savings21</v>
      </c>
      <c r="AP87" s="38"/>
      <c r="AQ87" s="38">
        <f t="shared" si="22"/>
        <v>0</v>
      </c>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row>
    <row r="88" spans="1:104" s="40" customFormat="1" ht="20.149999999999999" customHeight="1">
      <c r="A88" s="358">
        <f t="shared" si="31"/>
        <v>87</v>
      </c>
      <c r="B88" s="359" t="str">
        <f>'Front Sheet and Checklist'!$C$5</f>
        <v>Swansea Bay UHB</v>
      </c>
      <c r="C88" s="17"/>
      <c r="D88" s="17"/>
      <c r="E88" s="17"/>
      <c r="F88" s="17"/>
      <c r="G88" s="17"/>
      <c r="H88" s="17"/>
      <c r="I88" s="361">
        <f t="shared" si="21"/>
        <v>0</v>
      </c>
      <c r="J88" s="17"/>
      <c r="K88" s="18"/>
      <c r="L88" s="18"/>
      <c r="M88" s="17"/>
      <c r="N88" s="17"/>
      <c r="O88" s="17"/>
      <c r="P88" s="17"/>
      <c r="Q88" s="169"/>
      <c r="R88" s="24"/>
      <c r="S88" s="24"/>
      <c r="T88" s="24"/>
      <c r="U88" s="25"/>
      <c r="V88" s="25"/>
      <c r="W88" s="25"/>
      <c r="X88" s="24"/>
      <c r="Y88" s="24"/>
      <c r="Z88" s="24"/>
      <c r="AA88" s="24"/>
      <c r="AB88" s="24"/>
      <c r="AC88" s="24"/>
      <c r="AD88" s="361">
        <f t="shared" si="20"/>
        <v>0</v>
      </c>
      <c r="AE88" s="359" t="str">
        <f t="shared" si="23"/>
        <v/>
      </c>
      <c r="AF88" s="359" t="str">
        <f t="shared" si="32"/>
        <v/>
      </c>
      <c r="AG88" s="359" t="str">
        <f t="shared" si="24"/>
        <v/>
      </c>
      <c r="AH88" s="359" t="str">
        <f t="shared" si="25"/>
        <v/>
      </c>
      <c r="AI88" s="359" t="str">
        <f t="shared" si="26"/>
        <v/>
      </c>
      <c r="AJ88" s="359" t="str">
        <f t="shared" si="27"/>
        <v/>
      </c>
      <c r="AK88" s="359" t="str">
        <f t="shared" si="29"/>
        <v/>
      </c>
      <c r="AL88" s="359" t="str">
        <f t="shared" si="28"/>
        <v/>
      </c>
      <c r="AM88" s="359" t="str">
        <f t="shared" si="30"/>
        <v/>
      </c>
      <c r="AN88" s="262">
        <f t="shared" si="33"/>
        <v>0</v>
      </c>
      <c r="AO88" s="262" t="str">
        <f>IFERROR(HLOOKUP(AN88,'Ref Lists'!Q$1:AL$2,2,FALSE),'Ref Lists'!$AK$2)</f>
        <v>Savings21</v>
      </c>
      <c r="AP88" s="38"/>
      <c r="AQ88" s="38">
        <f t="shared" si="22"/>
        <v>0</v>
      </c>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row>
    <row r="89" spans="1:104" s="40" customFormat="1" ht="20.149999999999999" customHeight="1">
      <c r="A89" s="358">
        <f t="shared" si="31"/>
        <v>88</v>
      </c>
      <c r="B89" s="359" t="str">
        <f>'Front Sheet and Checklist'!$C$5</f>
        <v>Swansea Bay UHB</v>
      </c>
      <c r="C89" s="17"/>
      <c r="D89" s="17"/>
      <c r="E89" s="17"/>
      <c r="F89" s="17"/>
      <c r="G89" s="17"/>
      <c r="H89" s="17"/>
      <c r="I89" s="361">
        <f t="shared" si="21"/>
        <v>0</v>
      </c>
      <c r="J89" s="17"/>
      <c r="K89" s="18"/>
      <c r="L89" s="18"/>
      <c r="M89" s="17"/>
      <c r="N89" s="17"/>
      <c r="O89" s="17"/>
      <c r="P89" s="17"/>
      <c r="Q89" s="169"/>
      <c r="R89" s="24"/>
      <c r="S89" s="24"/>
      <c r="T89" s="24"/>
      <c r="U89" s="25"/>
      <c r="V89" s="25"/>
      <c r="W89" s="25"/>
      <c r="X89" s="24"/>
      <c r="Y89" s="24"/>
      <c r="Z89" s="24"/>
      <c r="AA89" s="24"/>
      <c r="AB89" s="24"/>
      <c r="AC89" s="24"/>
      <c r="AD89" s="361">
        <f t="shared" si="20"/>
        <v>0</v>
      </c>
      <c r="AE89" s="359" t="str">
        <f t="shared" si="23"/>
        <v/>
      </c>
      <c r="AF89" s="359" t="str">
        <f t="shared" si="32"/>
        <v/>
      </c>
      <c r="AG89" s="359" t="str">
        <f t="shared" si="24"/>
        <v/>
      </c>
      <c r="AH89" s="359" t="str">
        <f t="shared" si="25"/>
        <v/>
      </c>
      <c r="AI89" s="359" t="str">
        <f t="shared" si="26"/>
        <v/>
      </c>
      <c r="AJ89" s="359" t="str">
        <f t="shared" si="27"/>
        <v/>
      </c>
      <c r="AK89" s="359" t="str">
        <f t="shared" si="29"/>
        <v/>
      </c>
      <c r="AL89" s="359" t="str">
        <f t="shared" si="28"/>
        <v/>
      </c>
      <c r="AM89" s="359" t="str">
        <f t="shared" si="30"/>
        <v/>
      </c>
      <c r="AN89" s="262">
        <f t="shared" si="33"/>
        <v>0</v>
      </c>
      <c r="AO89" s="262" t="str">
        <f>IFERROR(HLOOKUP(AN89,'Ref Lists'!Q$1:AL$2,2,FALSE),'Ref Lists'!$AK$2)</f>
        <v>Savings21</v>
      </c>
      <c r="AP89" s="38"/>
      <c r="AQ89" s="38">
        <f t="shared" si="22"/>
        <v>0</v>
      </c>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row>
    <row r="90" spans="1:104" s="40" customFormat="1" ht="20.149999999999999" customHeight="1">
      <c r="A90" s="358">
        <f t="shared" si="31"/>
        <v>89</v>
      </c>
      <c r="B90" s="359" t="str">
        <f>'Front Sheet and Checklist'!$C$5</f>
        <v>Swansea Bay UHB</v>
      </c>
      <c r="C90" s="17"/>
      <c r="D90" s="17"/>
      <c r="E90" s="17"/>
      <c r="F90" s="17"/>
      <c r="G90" s="17"/>
      <c r="H90" s="17"/>
      <c r="I90" s="361">
        <f t="shared" si="21"/>
        <v>0</v>
      </c>
      <c r="J90" s="17"/>
      <c r="K90" s="18"/>
      <c r="L90" s="18"/>
      <c r="M90" s="17"/>
      <c r="N90" s="17"/>
      <c r="O90" s="17"/>
      <c r="P90" s="17"/>
      <c r="Q90" s="169"/>
      <c r="R90" s="24"/>
      <c r="S90" s="24"/>
      <c r="T90" s="24"/>
      <c r="U90" s="25"/>
      <c r="V90" s="25"/>
      <c r="W90" s="25"/>
      <c r="X90" s="24"/>
      <c r="Y90" s="24"/>
      <c r="Z90" s="24"/>
      <c r="AA90" s="24"/>
      <c r="AB90" s="24"/>
      <c r="AC90" s="24"/>
      <c r="AD90" s="361">
        <f t="shared" si="20"/>
        <v>0</v>
      </c>
      <c r="AE90" s="359" t="str">
        <f t="shared" si="23"/>
        <v/>
      </c>
      <c r="AF90" s="359" t="str">
        <f t="shared" si="32"/>
        <v/>
      </c>
      <c r="AG90" s="359" t="str">
        <f t="shared" si="24"/>
        <v/>
      </c>
      <c r="AH90" s="359" t="str">
        <f t="shared" si="25"/>
        <v/>
      </c>
      <c r="AI90" s="359" t="str">
        <f t="shared" si="26"/>
        <v/>
      </c>
      <c r="AJ90" s="359" t="str">
        <f t="shared" si="27"/>
        <v/>
      </c>
      <c r="AK90" s="359" t="str">
        <f t="shared" si="29"/>
        <v/>
      </c>
      <c r="AL90" s="359" t="str">
        <f t="shared" si="28"/>
        <v/>
      </c>
      <c r="AM90" s="359" t="str">
        <f t="shared" si="30"/>
        <v/>
      </c>
      <c r="AN90" s="262">
        <f t="shared" si="33"/>
        <v>0</v>
      </c>
      <c r="AO90" s="262" t="str">
        <f>IFERROR(HLOOKUP(AN90,'Ref Lists'!Q$1:AL$2,2,FALSE),'Ref Lists'!$AK$2)</f>
        <v>Savings21</v>
      </c>
      <c r="AP90" s="38"/>
      <c r="AQ90" s="38">
        <f t="shared" si="22"/>
        <v>0</v>
      </c>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8"/>
      <c r="CY90" s="38"/>
      <c r="CZ90" s="38"/>
    </row>
    <row r="91" spans="1:104" s="40" customFormat="1" ht="20.149999999999999" customHeight="1">
      <c r="A91" s="358">
        <f t="shared" si="31"/>
        <v>90</v>
      </c>
      <c r="B91" s="359" t="str">
        <f>'Front Sheet and Checklist'!$C$5</f>
        <v>Swansea Bay UHB</v>
      </c>
      <c r="C91" s="17"/>
      <c r="D91" s="17"/>
      <c r="E91" s="17"/>
      <c r="F91" s="17"/>
      <c r="G91" s="17"/>
      <c r="H91" s="17"/>
      <c r="I91" s="361">
        <f t="shared" si="21"/>
        <v>0</v>
      </c>
      <c r="J91" s="17"/>
      <c r="K91" s="18"/>
      <c r="L91" s="18"/>
      <c r="M91" s="17"/>
      <c r="N91" s="17"/>
      <c r="O91" s="17"/>
      <c r="P91" s="17"/>
      <c r="Q91" s="169"/>
      <c r="R91" s="24"/>
      <c r="S91" s="24"/>
      <c r="T91" s="24"/>
      <c r="U91" s="25"/>
      <c r="V91" s="25"/>
      <c r="W91" s="25"/>
      <c r="X91" s="24"/>
      <c r="Y91" s="24"/>
      <c r="Z91" s="24"/>
      <c r="AA91" s="24"/>
      <c r="AB91" s="24"/>
      <c r="AC91" s="24"/>
      <c r="AD91" s="361">
        <f t="shared" si="20"/>
        <v>0</v>
      </c>
      <c r="AE91" s="359" t="str">
        <f t="shared" si="23"/>
        <v/>
      </c>
      <c r="AF91" s="359" t="str">
        <f t="shared" si="32"/>
        <v/>
      </c>
      <c r="AG91" s="359" t="str">
        <f t="shared" si="24"/>
        <v/>
      </c>
      <c r="AH91" s="359" t="str">
        <f t="shared" si="25"/>
        <v/>
      </c>
      <c r="AI91" s="359" t="str">
        <f t="shared" si="26"/>
        <v/>
      </c>
      <c r="AJ91" s="359" t="str">
        <f t="shared" si="27"/>
        <v/>
      </c>
      <c r="AK91" s="359" t="str">
        <f t="shared" si="29"/>
        <v/>
      </c>
      <c r="AL91" s="359" t="str">
        <f t="shared" si="28"/>
        <v/>
      </c>
      <c r="AM91" s="359" t="str">
        <f t="shared" si="30"/>
        <v/>
      </c>
      <c r="AN91" s="262">
        <f t="shared" si="33"/>
        <v>0</v>
      </c>
      <c r="AO91" s="262" t="str">
        <f>IFERROR(HLOOKUP(AN91,'Ref Lists'!Q$1:AL$2,2,FALSE),'Ref Lists'!$AK$2)</f>
        <v>Savings21</v>
      </c>
      <c r="AP91" s="38"/>
      <c r="AQ91" s="38">
        <f t="shared" si="22"/>
        <v>0</v>
      </c>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c r="CB91" s="38"/>
      <c r="CC91" s="38"/>
      <c r="CD91" s="38"/>
      <c r="CE91" s="38"/>
      <c r="CF91" s="38"/>
      <c r="CG91" s="38"/>
      <c r="CH91" s="38"/>
      <c r="CI91" s="38"/>
      <c r="CJ91" s="38"/>
      <c r="CK91" s="38"/>
      <c r="CL91" s="38"/>
      <c r="CM91" s="38"/>
      <c r="CN91" s="38"/>
      <c r="CO91" s="38"/>
      <c r="CP91" s="38"/>
      <c r="CQ91" s="38"/>
      <c r="CR91" s="38"/>
      <c r="CS91" s="38"/>
      <c r="CT91" s="38"/>
      <c r="CU91" s="38"/>
      <c r="CV91" s="38"/>
      <c r="CW91" s="38"/>
      <c r="CX91" s="38"/>
      <c r="CY91" s="38"/>
      <c r="CZ91" s="38"/>
    </row>
    <row r="92" spans="1:104" s="40" customFormat="1" ht="20.149999999999999" customHeight="1">
      <c r="A92" s="358">
        <f t="shared" si="31"/>
        <v>91</v>
      </c>
      <c r="B92" s="359" t="str">
        <f>'Front Sheet and Checklist'!$C$5</f>
        <v>Swansea Bay UHB</v>
      </c>
      <c r="C92" s="17"/>
      <c r="D92" s="17"/>
      <c r="E92" s="17"/>
      <c r="F92" s="17"/>
      <c r="G92" s="17"/>
      <c r="H92" s="17"/>
      <c r="I92" s="361">
        <f t="shared" si="21"/>
        <v>0</v>
      </c>
      <c r="J92" s="17"/>
      <c r="K92" s="18"/>
      <c r="L92" s="18"/>
      <c r="M92" s="17"/>
      <c r="N92" s="17"/>
      <c r="O92" s="17"/>
      <c r="P92" s="17"/>
      <c r="Q92" s="169"/>
      <c r="R92" s="24"/>
      <c r="S92" s="24"/>
      <c r="T92" s="24"/>
      <c r="U92" s="25"/>
      <c r="V92" s="25"/>
      <c r="W92" s="25"/>
      <c r="X92" s="24"/>
      <c r="Y92" s="24"/>
      <c r="Z92" s="24"/>
      <c r="AA92" s="24"/>
      <c r="AB92" s="24"/>
      <c r="AC92" s="24"/>
      <c r="AD92" s="361">
        <f t="shared" si="20"/>
        <v>0</v>
      </c>
      <c r="AE92" s="359" t="str">
        <f t="shared" si="23"/>
        <v/>
      </c>
      <c r="AF92" s="359" t="str">
        <f t="shared" si="32"/>
        <v/>
      </c>
      <c r="AG92" s="359" t="str">
        <f t="shared" si="24"/>
        <v/>
      </c>
      <c r="AH92" s="359" t="str">
        <f t="shared" si="25"/>
        <v/>
      </c>
      <c r="AI92" s="359" t="str">
        <f t="shared" si="26"/>
        <v/>
      </c>
      <c r="AJ92" s="359" t="str">
        <f t="shared" si="27"/>
        <v/>
      </c>
      <c r="AK92" s="359" t="str">
        <f t="shared" si="29"/>
        <v/>
      </c>
      <c r="AL92" s="359" t="str">
        <f t="shared" si="28"/>
        <v/>
      </c>
      <c r="AM92" s="359" t="str">
        <f t="shared" si="30"/>
        <v/>
      </c>
      <c r="AN92" s="262">
        <f t="shared" si="33"/>
        <v>0</v>
      </c>
      <c r="AO92" s="262" t="str">
        <f>IFERROR(HLOOKUP(AN92,'Ref Lists'!Q$1:AL$2,2,FALSE),'Ref Lists'!$AK$2)</f>
        <v>Savings21</v>
      </c>
      <c r="AP92" s="38"/>
      <c r="AQ92" s="38">
        <f t="shared" si="22"/>
        <v>0</v>
      </c>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row>
    <row r="93" spans="1:104" s="40" customFormat="1" ht="20.149999999999999" customHeight="1">
      <c r="A93" s="358">
        <f t="shared" si="31"/>
        <v>92</v>
      </c>
      <c r="B93" s="359" t="str">
        <f>'Front Sheet and Checklist'!$C$5</f>
        <v>Swansea Bay UHB</v>
      </c>
      <c r="C93" s="17"/>
      <c r="D93" s="17"/>
      <c r="E93" s="17"/>
      <c r="F93" s="17"/>
      <c r="G93" s="17"/>
      <c r="H93" s="17"/>
      <c r="I93" s="361">
        <f t="shared" si="21"/>
        <v>0</v>
      </c>
      <c r="J93" s="17"/>
      <c r="K93" s="18"/>
      <c r="L93" s="18"/>
      <c r="M93" s="17"/>
      <c r="N93" s="17"/>
      <c r="O93" s="17"/>
      <c r="P93" s="17"/>
      <c r="Q93" s="169"/>
      <c r="R93" s="24"/>
      <c r="S93" s="24"/>
      <c r="T93" s="24"/>
      <c r="U93" s="25"/>
      <c r="V93" s="25"/>
      <c r="W93" s="25"/>
      <c r="X93" s="24"/>
      <c r="Y93" s="24"/>
      <c r="Z93" s="24"/>
      <c r="AA93" s="24"/>
      <c r="AB93" s="24"/>
      <c r="AC93" s="24"/>
      <c r="AD93" s="361">
        <f t="shared" si="20"/>
        <v>0</v>
      </c>
      <c r="AE93" s="359" t="str">
        <f t="shared" si="23"/>
        <v/>
      </c>
      <c r="AF93" s="359" t="str">
        <f t="shared" si="32"/>
        <v/>
      </c>
      <c r="AG93" s="359" t="str">
        <f t="shared" si="24"/>
        <v/>
      </c>
      <c r="AH93" s="359" t="str">
        <f t="shared" si="25"/>
        <v/>
      </c>
      <c r="AI93" s="359" t="str">
        <f t="shared" si="26"/>
        <v/>
      </c>
      <c r="AJ93" s="359" t="str">
        <f t="shared" si="27"/>
        <v/>
      </c>
      <c r="AK93" s="359" t="str">
        <f t="shared" si="29"/>
        <v/>
      </c>
      <c r="AL93" s="359" t="str">
        <f t="shared" si="28"/>
        <v/>
      </c>
      <c r="AM93" s="359" t="str">
        <f t="shared" si="30"/>
        <v/>
      </c>
      <c r="AN93" s="262">
        <f t="shared" si="33"/>
        <v>0</v>
      </c>
      <c r="AO93" s="262" t="str">
        <f>IFERROR(HLOOKUP(AN93,'Ref Lists'!Q$1:AL$2,2,FALSE),'Ref Lists'!$AK$2)</f>
        <v>Savings21</v>
      </c>
      <c r="AP93" s="38"/>
      <c r="AQ93" s="38">
        <f t="shared" si="22"/>
        <v>0</v>
      </c>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row>
    <row r="94" spans="1:104" s="40" customFormat="1" ht="20.149999999999999" customHeight="1">
      <c r="A94" s="358">
        <f t="shared" si="31"/>
        <v>93</v>
      </c>
      <c r="B94" s="359" t="str">
        <f>'Front Sheet and Checklist'!$C$5</f>
        <v>Swansea Bay UHB</v>
      </c>
      <c r="C94" s="17"/>
      <c r="D94" s="17"/>
      <c r="E94" s="17"/>
      <c r="F94" s="17"/>
      <c r="G94" s="17"/>
      <c r="H94" s="17"/>
      <c r="I94" s="361">
        <f t="shared" si="21"/>
        <v>0</v>
      </c>
      <c r="J94" s="17"/>
      <c r="K94" s="18"/>
      <c r="L94" s="18"/>
      <c r="M94" s="17"/>
      <c r="N94" s="17"/>
      <c r="O94" s="17"/>
      <c r="P94" s="17"/>
      <c r="Q94" s="169"/>
      <c r="R94" s="24"/>
      <c r="S94" s="24"/>
      <c r="T94" s="24"/>
      <c r="U94" s="25"/>
      <c r="V94" s="25"/>
      <c r="W94" s="25"/>
      <c r="X94" s="24"/>
      <c r="Y94" s="24"/>
      <c r="Z94" s="24"/>
      <c r="AA94" s="24"/>
      <c r="AB94" s="24"/>
      <c r="AC94" s="24"/>
      <c r="AD94" s="361">
        <f t="shared" si="20"/>
        <v>0</v>
      </c>
      <c r="AE94" s="359" t="str">
        <f t="shared" si="23"/>
        <v/>
      </c>
      <c r="AF94" s="359" t="str">
        <f t="shared" si="32"/>
        <v/>
      </c>
      <c r="AG94" s="359" t="str">
        <f t="shared" si="24"/>
        <v/>
      </c>
      <c r="AH94" s="359" t="str">
        <f t="shared" si="25"/>
        <v/>
      </c>
      <c r="AI94" s="359" t="str">
        <f t="shared" si="26"/>
        <v/>
      </c>
      <c r="AJ94" s="359" t="str">
        <f t="shared" si="27"/>
        <v/>
      </c>
      <c r="AK94" s="359" t="str">
        <f t="shared" si="29"/>
        <v/>
      </c>
      <c r="AL94" s="359" t="str">
        <f t="shared" si="28"/>
        <v/>
      </c>
      <c r="AM94" s="359" t="str">
        <f t="shared" si="30"/>
        <v/>
      </c>
      <c r="AN94" s="262">
        <f t="shared" si="33"/>
        <v>0</v>
      </c>
      <c r="AO94" s="262" t="str">
        <f>IFERROR(HLOOKUP(AN94,'Ref Lists'!Q$1:AL$2,2,FALSE),'Ref Lists'!$AK$2)</f>
        <v>Savings21</v>
      </c>
      <c r="AP94" s="38"/>
      <c r="AQ94" s="38">
        <f t="shared" si="22"/>
        <v>0</v>
      </c>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row>
    <row r="95" spans="1:104" s="40" customFormat="1" ht="20.149999999999999" customHeight="1">
      <c r="A95" s="358">
        <f t="shared" si="31"/>
        <v>94</v>
      </c>
      <c r="B95" s="359" t="str">
        <f>'Front Sheet and Checklist'!$C$5</f>
        <v>Swansea Bay UHB</v>
      </c>
      <c r="C95" s="17"/>
      <c r="D95" s="17"/>
      <c r="E95" s="17"/>
      <c r="F95" s="17"/>
      <c r="G95" s="17"/>
      <c r="H95" s="17"/>
      <c r="I95" s="361">
        <f t="shared" si="21"/>
        <v>0</v>
      </c>
      <c r="J95" s="17"/>
      <c r="K95" s="18"/>
      <c r="L95" s="18"/>
      <c r="M95" s="17"/>
      <c r="N95" s="17"/>
      <c r="O95" s="17"/>
      <c r="P95" s="17"/>
      <c r="Q95" s="169"/>
      <c r="R95" s="24"/>
      <c r="S95" s="24"/>
      <c r="T95" s="24"/>
      <c r="U95" s="25"/>
      <c r="V95" s="25"/>
      <c r="W95" s="25"/>
      <c r="X95" s="24"/>
      <c r="Y95" s="24"/>
      <c r="Z95" s="24"/>
      <c r="AA95" s="24"/>
      <c r="AB95" s="24"/>
      <c r="AC95" s="24"/>
      <c r="AD95" s="361">
        <f t="shared" si="20"/>
        <v>0</v>
      </c>
      <c r="AE95" s="359" t="str">
        <f t="shared" si="23"/>
        <v/>
      </c>
      <c r="AF95" s="359" t="str">
        <f t="shared" si="32"/>
        <v/>
      </c>
      <c r="AG95" s="359" t="str">
        <f t="shared" si="24"/>
        <v/>
      </c>
      <c r="AH95" s="359" t="str">
        <f t="shared" si="25"/>
        <v/>
      </c>
      <c r="AI95" s="359" t="str">
        <f t="shared" si="26"/>
        <v/>
      </c>
      <c r="AJ95" s="359" t="str">
        <f t="shared" si="27"/>
        <v/>
      </c>
      <c r="AK95" s="359" t="str">
        <f t="shared" si="29"/>
        <v/>
      </c>
      <c r="AL95" s="359" t="str">
        <f t="shared" si="28"/>
        <v/>
      </c>
      <c r="AM95" s="359" t="str">
        <f t="shared" si="30"/>
        <v/>
      </c>
      <c r="AN95" s="262">
        <f t="shared" si="33"/>
        <v>0</v>
      </c>
      <c r="AO95" s="262" t="str">
        <f>IFERROR(HLOOKUP(AN95,'Ref Lists'!Q$1:AL$2,2,FALSE),'Ref Lists'!$AK$2)</f>
        <v>Savings21</v>
      </c>
      <c r="AP95" s="38"/>
      <c r="AQ95" s="38">
        <f t="shared" si="22"/>
        <v>0</v>
      </c>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c r="CD95" s="38"/>
      <c r="CE95" s="38"/>
      <c r="CF95" s="38"/>
      <c r="CG95" s="38"/>
      <c r="CH95" s="38"/>
      <c r="CI95" s="38"/>
      <c r="CJ95" s="38"/>
      <c r="CK95" s="38"/>
      <c r="CL95" s="38"/>
      <c r="CM95" s="38"/>
      <c r="CN95" s="38"/>
      <c r="CO95" s="38"/>
      <c r="CP95" s="38"/>
      <c r="CQ95" s="38"/>
      <c r="CR95" s="38"/>
      <c r="CS95" s="38"/>
      <c r="CT95" s="38"/>
      <c r="CU95" s="38"/>
      <c r="CV95" s="38"/>
      <c r="CW95" s="38"/>
      <c r="CX95" s="38"/>
      <c r="CY95" s="38"/>
      <c r="CZ95" s="38"/>
    </row>
    <row r="96" spans="1:104" s="40" customFormat="1" ht="20.149999999999999" customHeight="1">
      <c r="A96" s="358">
        <f t="shared" si="31"/>
        <v>95</v>
      </c>
      <c r="B96" s="359" t="str">
        <f>'Front Sheet and Checklist'!$C$5</f>
        <v>Swansea Bay UHB</v>
      </c>
      <c r="C96" s="17"/>
      <c r="D96" s="17"/>
      <c r="E96" s="17"/>
      <c r="F96" s="17"/>
      <c r="G96" s="17"/>
      <c r="H96" s="17"/>
      <c r="I96" s="361">
        <f t="shared" si="21"/>
        <v>0</v>
      </c>
      <c r="J96" s="17"/>
      <c r="K96" s="18"/>
      <c r="L96" s="18"/>
      <c r="M96" s="17"/>
      <c r="N96" s="17"/>
      <c r="O96" s="17"/>
      <c r="P96" s="17"/>
      <c r="Q96" s="169"/>
      <c r="R96" s="24"/>
      <c r="S96" s="24"/>
      <c r="T96" s="24"/>
      <c r="U96" s="25"/>
      <c r="V96" s="25"/>
      <c r="W96" s="25"/>
      <c r="X96" s="24"/>
      <c r="Y96" s="24"/>
      <c r="Z96" s="24"/>
      <c r="AA96" s="24"/>
      <c r="AB96" s="24"/>
      <c r="AC96" s="24"/>
      <c r="AD96" s="361">
        <f t="shared" si="20"/>
        <v>0</v>
      </c>
      <c r="AE96" s="359" t="str">
        <f t="shared" si="23"/>
        <v/>
      </c>
      <c r="AF96" s="359" t="str">
        <f t="shared" si="32"/>
        <v/>
      </c>
      <c r="AG96" s="359" t="str">
        <f t="shared" si="24"/>
        <v/>
      </c>
      <c r="AH96" s="359" t="str">
        <f t="shared" si="25"/>
        <v/>
      </c>
      <c r="AI96" s="359" t="str">
        <f t="shared" si="26"/>
        <v/>
      </c>
      <c r="AJ96" s="359" t="str">
        <f t="shared" si="27"/>
        <v/>
      </c>
      <c r="AK96" s="359" t="str">
        <f t="shared" si="29"/>
        <v/>
      </c>
      <c r="AL96" s="359" t="str">
        <f t="shared" si="28"/>
        <v/>
      </c>
      <c r="AM96" s="359" t="str">
        <f t="shared" si="30"/>
        <v/>
      </c>
      <c r="AN96" s="262">
        <f t="shared" si="33"/>
        <v>0</v>
      </c>
      <c r="AO96" s="262" t="str">
        <f>IFERROR(HLOOKUP(AN96,'Ref Lists'!Q$1:AL$2,2,FALSE),'Ref Lists'!$AK$2)</f>
        <v>Savings21</v>
      </c>
      <c r="AP96" s="38"/>
      <c r="AQ96" s="38">
        <f t="shared" si="22"/>
        <v>0</v>
      </c>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row>
    <row r="97" spans="1:104" s="40" customFormat="1" ht="20.149999999999999" customHeight="1">
      <c r="A97" s="358">
        <f t="shared" si="31"/>
        <v>96</v>
      </c>
      <c r="B97" s="359" t="str">
        <f>'Front Sheet and Checklist'!$C$5</f>
        <v>Swansea Bay UHB</v>
      </c>
      <c r="C97" s="17"/>
      <c r="D97" s="17"/>
      <c r="E97" s="17"/>
      <c r="F97" s="17"/>
      <c r="G97" s="17"/>
      <c r="H97" s="17"/>
      <c r="I97" s="361">
        <f t="shared" si="21"/>
        <v>0</v>
      </c>
      <c r="J97" s="17"/>
      <c r="K97" s="18"/>
      <c r="L97" s="18"/>
      <c r="M97" s="17"/>
      <c r="N97" s="17"/>
      <c r="O97" s="17"/>
      <c r="P97" s="17"/>
      <c r="Q97" s="169"/>
      <c r="R97" s="24"/>
      <c r="S97" s="24"/>
      <c r="T97" s="24"/>
      <c r="U97" s="25"/>
      <c r="V97" s="25"/>
      <c r="W97" s="25"/>
      <c r="X97" s="24"/>
      <c r="Y97" s="24"/>
      <c r="Z97" s="24"/>
      <c r="AA97" s="24"/>
      <c r="AB97" s="24"/>
      <c r="AC97" s="24"/>
      <c r="AD97" s="361">
        <f t="shared" si="20"/>
        <v>0</v>
      </c>
      <c r="AE97" s="359" t="str">
        <f t="shared" si="23"/>
        <v/>
      </c>
      <c r="AF97" s="359" t="str">
        <f t="shared" si="32"/>
        <v/>
      </c>
      <c r="AG97" s="359" t="str">
        <f t="shared" si="24"/>
        <v/>
      </c>
      <c r="AH97" s="359" t="str">
        <f t="shared" si="25"/>
        <v/>
      </c>
      <c r="AI97" s="359" t="str">
        <f t="shared" si="26"/>
        <v/>
      </c>
      <c r="AJ97" s="359" t="str">
        <f t="shared" si="27"/>
        <v/>
      </c>
      <c r="AK97" s="359" t="str">
        <f t="shared" si="29"/>
        <v/>
      </c>
      <c r="AL97" s="359" t="str">
        <f t="shared" si="28"/>
        <v/>
      </c>
      <c r="AM97" s="359" t="str">
        <f t="shared" si="30"/>
        <v/>
      </c>
      <c r="AN97" s="262">
        <f t="shared" si="33"/>
        <v>0</v>
      </c>
      <c r="AO97" s="262" t="str">
        <f>IFERROR(HLOOKUP(AN97,'Ref Lists'!Q$1:AL$2,2,FALSE),'Ref Lists'!$AK$2)</f>
        <v>Savings21</v>
      </c>
      <c r="AP97" s="38"/>
      <c r="AQ97" s="38">
        <f t="shared" si="22"/>
        <v>0</v>
      </c>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38"/>
      <c r="CR97" s="38"/>
      <c r="CS97" s="38"/>
      <c r="CT97" s="38"/>
      <c r="CU97" s="38"/>
      <c r="CV97" s="38"/>
      <c r="CW97" s="38"/>
      <c r="CX97" s="38"/>
      <c r="CY97" s="38"/>
      <c r="CZ97" s="38"/>
    </row>
    <row r="98" spans="1:104" s="40" customFormat="1" ht="20.149999999999999" customHeight="1">
      <c r="A98" s="358">
        <f t="shared" si="31"/>
        <v>97</v>
      </c>
      <c r="B98" s="359" t="str">
        <f>'Front Sheet and Checklist'!$C$5</f>
        <v>Swansea Bay UHB</v>
      </c>
      <c r="C98" s="17"/>
      <c r="D98" s="17"/>
      <c r="E98" s="17"/>
      <c r="F98" s="17"/>
      <c r="G98" s="17"/>
      <c r="H98" s="17"/>
      <c r="I98" s="361">
        <f t="shared" si="21"/>
        <v>0</v>
      </c>
      <c r="J98" s="17"/>
      <c r="K98" s="18"/>
      <c r="L98" s="18"/>
      <c r="M98" s="17"/>
      <c r="N98" s="17"/>
      <c r="O98" s="17"/>
      <c r="P98" s="17"/>
      <c r="Q98" s="169"/>
      <c r="R98" s="24"/>
      <c r="S98" s="24"/>
      <c r="T98" s="24"/>
      <c r="U98" s="25"/>
      <c r="V98" s="25"/>
      <c r="W98" s="25"/>
      <c r="X98" s="24"/>
      <c r="Y98" s="24"/>
      <c r="Z98" s="24"/>
      <c r="AA98" s="24"/>
      <c r="AB98" s="24"/>
      <c r="AC98" s="24"/>
      <c r="AD98" s="361">
        <f t="shared" si="20"/>
        <v>0</v>
      </c>
      <c r="AE98" s="359" t="str">
        <f t="shared" si="23"/>
        <v/>
      </c>
      <c r="AF98" s="359" t="str">
        <f t="shared" si="32"/>
        <v/>
      </c>
      <c r="AG98" s="359" t="str">
        <f t="shared" si="24"/>
        <v/>
      </c>
      <c r="AH98" s="359" t="str">
        <f t="shared" si="25"/>
        <v/>
      </c>
      <c r="AI98" s="359" t="str">
        <f t="shared" si="26"/>
        <v/>
      </c>
      <c r="AJ98" s="359" t="str">
        <f t="shared" si="27"/>
        <v/>
      </c>
      <c r="AK98" s="359" t="str">
        <f t="shared" si="29"/>
        <v/>
      </c>
      <c r="AL98" s="359" t="str">
        <f t="shared" si="28"/>
        <v/>
      </c>
      <c r="AM98" s="359" t="str">
        <f t="shared" si="30"/>
        <v/>
      </c>
      <c r="AN98" s="262">
        <f t="shared" si="33"/>
        <v>0</v>
      </c>
      <c r="AO98" s="262" t="str">
        <f>IFERROR(HLOOKUP(AN98,'Ref Lists'!Q$1:AL$2,2,FALSE),'Ref Lists'!$AK$2)</f>
        <v>Savings21</v>
      </c>
      <c r="AP98" s="38"/>
      <c r="AQ98" s="38">
        <f t="shared" si="22"/>
        <v>0</v>
      </c>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38"/>
      <c r="BZ98" s="38"/>
      <c r="CA98" s="38"/>
      <c r="CB98" s="38"/>
      <c r="CC98" s="38"/>
      <c r="CD98" s="38"/>
      <c r="CE98" s="38"/>
      <c r="CF98" s="38"/>
      <c r="CG98" s="38"/>
      <c r="CH98" s="38"/>
      <c r="CI98" s="38"/>
      <c r="CJ98" s="38"/>
      <c r="CK98" s="38"/>
      <c r="CL98" s="38"/>
      <c r="CM98" s="38"/>
      <c r="CN98" s="38"/>
      <c r="CO98" s="38"/>
      <c r="CP98" s="38"/>
      <c r="CQ98" s="38"/>
      <c r="CR98" s="38"/>
      <c r="CS98" s="38"/>
      <c r="CT98" s="38"/>
      <c r="CU98" s="38"/>
      <c r="CV98" s="38"/>
      <c r="CW98" s="38"/>
      <c r="CX98" s="38"/>
      <c r="CY98" s="38"/>
      <c r="CZ98" s="38"/>
    </row>
    <row r="99" spans="1:104" s="40" customFormat="1" ht="20.149999999999999" customHeight="1">
      <c r="A99" s="358">
        <f t="shared" si="31"/>
        <v>98</v>
      </c>
      <c r="B99" s="359" t="str">
        <f>'Front Sheet and Checklist'!$C$5</f>
        <v>Swansea Bay UHB</v>
      </c>
      <c r="C99" s="17"/>
      <c r="D99" s="17"/>
      <c r="E99" s="17"/>
      <c r="F99" s="17"/>
      <c r="G99" s="17"/>
      <c r="H99" s="17"/>
      <c r="I99" s="361">
        <f t="shared" si="21"/>
        <v>0</v>
      </c>
      <c r="J99" s="17"/>
      <c r="K99" s="18"/>
      <c r="L99" s="18"/>
      <c r="M99" s="17"/>
      <c r="N99" s="17"/>
      <c r="O99" s="17"/>
      <c r="P99" s="17"/>
      <c r="Q99" s="169"/>
      <c r="R99" s="24"/>
      <c r="S99" s="24"/>
      <c r="T99" s="24"/>
      <c r="U99" s="25"/>
      <c r="V99" s="25"/>
      <c r="W99" s="25"/>
      <c r="X99" s="24"/>
      <c r="Y99" s="24"/>
      <c r="Z99" s="24"/>
      <c r="AA99" s="24"/>
      <c r="AB99" s="24"/>
      <c r="AC99" s="24"/>
      <c r="AD99" s="361">
        <f t="shared" si="20"/>
        <v>0</v>
      </c>
      <c r="AE99" s="359" t="str">
        <f t="shared" si="23"/>
        <v/>
      </c>
      <c r="AF99" s="359" t="str">
        <f t="shared" si="32"/>
        <v/>
      </c>
      <c r="AG99" s="359" t="str">
        <f t="shared" si="24"/>
        <v/>
      </c>
      <c r="AH99" s="359" t="str">
        <f t="shared" si="25"/>
        <v/>
      </c>
      <c r="AI99" s="359" t="str">
        <f t="shared" si="26"/>
        <v/>
      </c>
      <c r="AJ99" s="359" t="str">
        <f t="shared" si="27"/>
        <v/>
      </c>
      <c r="AK99" s="359" t="str">
        <f t="shared" si="29"/>
        <v/>
      </c>
      <c r="AL99" s="359" t="str">
        <f t="shared" si="28"/>
        <v/>
      </c>
      <c r="AM99" s="359" t="str">
        <f t="shared" si="30"/>
        <v/>
      </c>
      <c r="AN99" s="262">
        <f t="shared" si="33"/>
        <v>0</v>
      </c>
      <c r="AO99" s="262" t="str">
        <f>IFERROR(HLOOKUP(AN99,'Ref Lists'!Q$1:AL$2,2,FALSE),'Ref Lists'!$AK$2)</f>
        <v>Savings21</v>
      </c>
      <c r="AP99" s="38"/>
      <c r="AQ99" s="38">
        <f t="shared" si="22"/>
        <v>0</v>
      </c>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row>
    <row r="100" spans="1:104" s="40" customFormat="1" ht="20.149999999999999" customHeight="1">
      <c r="A100" s="358">
        <f t="shared" si="31"/>
        <v>99</v>
      </c>
      <c r="B100" s="359" t="str">
        <f>'Front Sheet and Checklist'!$C$5</f>
        <v>Swansea Bay UHB</v>
      </c>
      <c r="C100" s="17"/>
      <c r="D100" s="17"/>
      <c r="E100" s="17"/>
      <c r="F100" s="17"/>
      <c r="G100" s="17"/>
      <c r="H100" s="17"/>
      <c r="I100" s="361">
        <f t="shared" si="21"/>
        <v>0</v>
      </c>
      <c r="J100" s="17"/>
      <c r="K100" s="18"/>
      <c r="L100" s="18"/>
      <c r="M100" s="17"/>
      <c r="N100" s="17"/>
      <c r="O100" s="17"/>
      <c r="P100" s="17"/>
      <c r="Q100" s="169"/>
      <c r="R100" s="24"/>
      <c r="S100" s="24"/>
      <c r="T100" s="24"/>
      <c r="U100" s="25"/>
      <c r="V100" s="25"/>
      <c r="W100" s="25"/>
      <c r="X100" s="24"/>
      <c r="Y100" s="24"/>
      <c r="Z100" s="24"/>
      <c r="AA100" s="24"/>
      <c r="AB100" s="24"/>
      <c r="AC100" s="24"/>
      <c r="AD100" s="361">
        <f t="shared" si="20"/>
        <v>0</v>
      </c>
      <c r="AE100" s="359" t="str">
        <f t="shared" si="23"/>
        <v/>
      </c>
      <c r="AF100" s="359" t="str">
        <f t="shared" si="32"/>
        <v/>
      </c>
      <c r="AG100" s="359" t="str">
        <f t="shared" si="24"/>
        <v/>
      </c>
      <c r="AH100" s="359" t="str">
        <f t="shared" si="25"/>
        <v/>
      </c>
      <c r="AI100" s="359" t="str">
        <f t="shared" si="26"/>
        <v/>
      </c>
      <c r="AJ100" s="359" t="str">
        <f t="shared" si="27"/>
        <v/>
      </c>
      <c r="AK100" s="359" t="str">
        <f t="shared" si="29"/>
        <v/>
      </c>
      <c r="AL100" s="359" t="str">
        <f t="shared" si="28"/>
        <v/>
      </c>
      <c r="AM100" s="359" t="str">
        <f t="shared" si="30"/>
        <v/>
      </c>
      <c r="AN100" s="262">
        <f t="shared" si="33"/>
        <v>0</v>
      </c>
      <c r="AO100" s="262" t="str">
        <f>IFERROR(HLOOKUP(AN100,'Ref Lists'!Q$1:AL$2,2,FALSE),'Ref Lists'!$AK$2)</f>
        <v>Savings21</v>
      </c>
      <c r="AP100" s="38"/>
      <c r="AQ100" s="38">
        <f t="shared" si="22"/>
        <v>0</v>
      </c>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38"/>
      <c r="BZ100" s="38"/>
      <c r="CA100" s="38"/>
      <c r="CB100" s="38"/>
      <c r="CC100" s="38"/>
      <c r="CD100" s="38"/>
      <c r="CE100" s="38"/>
      <c r="CF100" s="38"/>
      <c r="CG100" s="38"/>
      <c r="CH100" s="38"/>
      <c r="CI100" s="38"/>
      <c r="CJ100" s="38"/>
      <c r="CK100" s="38"/>
      <c r="CL100" s="38"/>
      <c r="CM100" s="38"/>
      <c r="CN100" s="38"/>
      <c r="CO100" s="38"/>
      <c r="CP100" s="38"/>
      <c r="CQ100" s="38"/>
      <c r="CR100" s="38"/>
      <c r="CS100" s="38"/>
      <c r="CT100" s="38"/>
      <c r="CU100" s="38"/>
      <c r="CV100" s="38"/>
      <c r="CW100" s="38"/>
      <c r="CX100" s="38"/>
      <c r="CY100" s="38"/>
      <c r="CZ100" s="38"/>
    </row>
    <row r="101" spans="1:104" s="40" customFormat="1" ht="20.149999999999999" customHeight="1">
      <c r="A101" s="358">
        <f t="shared" si="31"/>
        <v>100</v>
      </c>
      <c r="B101" s="359" t="str">
        <f>'Front Sheet and Checklist'!$C$5</f>
        <v>Swansea Bay UHB</v>
      </c>
      <c r="C101" s="17"/>
      <c r="D101" s="17"/>
      <c r="E101" s="17"/>
      <c r="F101" s="17"/>
      <c r="G101" s="17"/>
      <c r="H101" s="17"/>
      <c r="I101" s="361">
        <f t="shared" si="21"/>
        <v>0</v>
      </c>
      <c r="J101" s="17"/>
      <c r="K101" s="18"/>
      <c r="L101" s="18"/>
      <c r="M101" s="17"/>
      <c r="N101" s="17"/>
      <c r="O101" s="17"/>
      <c r="P101" s="17"/>
      <c r="Q101" s="169"/>
      <c r="R101" s="24"/>
      <c r="S101" s="24"/>
      <c r="T101" s="24"/>
      <c r="U101" s="25"/>
      <c r="V101" s="25"/>
      <c r="W101" s="25"/>
      <c r="X101" s="24"/>
      <c r="Y101" s="24"/>
      <c r="Z101" s="24"/>
      <c r="AA101" s="24"/>
      <c r="AB101" s="24"/>
      <c r="AC101" s="24"/>
      <c r="AD101" s="361">
        <f t="shared" si="20"/>
        <v>0</v>
      </c>
      <c r="AE101" s="359" t="str">
        <f t="shared" si="23"/>
        <v/>
      </c>
      <c r="AF101" s="359" t="str">
        <f t="shared" si="32"/>
        <v/>
      </c>
      <c r="AG101" s="359" t="str">
        <f t="shared" si="24"/>
        <v/>
      </c>
      <c r="AH101" s="359" t="str">
        <f t="shared" si="25"/>
        <v/>
      </c>
      <c r="AI101" s="359" t="str">
        <f t="shared" si="26"/>
        <v/>
      </c>
      <c r="AJ101" s="359" t="str">
        <f t="shared" si="27"/>
        <v/>
      </c>
      <c r="AK101" s="359" t="str">
        <f t="shared" si="29"/>
        <v/>
      </c>
      <c r="AL101" s="359" t="str">
        <f t="shared" si="28"/>
        <v/>
      </c>
      <c r="AM101" s="359" t="str">
        <f t="shared" si="30"/>
        <v/>
      </c>
      <c r="AN101" s="262">
        <f t="shared" si="33"/>
        <v>0</v>
      </c>
      <c r="AO101" s="262" t="str">
        <f>IFERROR(HLOOKUP(AN101,'Ref Lists'!Q$1:AL$2,2,FALSE),'Ref Lists'!$AK$2)</f>
        <v>Savings21</v>
      </c>
      <c r="AP101" s="38"/>
      <c r="AQ101" s="38">
        <f t="shared" si="22"/>
        <v>0</v>
      </c>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38"/>
      <c r="BZ101" s="38"/>
      <c r="CA101" s="38"/>
      <c r="CB101" s="38"/>
      <c r="CC101" s="38"/>
      <c r="CD101" s="38"/>
      <c r="CE101" s="38"/>
      <c r="CF101" s="38"/>
      <c r="CG101" s="38"/>
      <c r="CH101" s="38"/>
      <c r="CI101" s="38"/>
      <c r="CJ101" s="38"/>
      <c r="CK101" s="38"/>
      <c r="CL101" s="38"/>
      <c r="CM101" s="38"/>
      <c r="CN101" s="38"/>
      <c r="CO101" s="38"/>
      <c r="CP101" s="38"/>
      <c r="CQ101" s="38"/>
      <c r="CR101" s="38"/>
      <c r="CS101" s="38"/>
      <c r="CT101" s="38"/>
      <c r="CU101" s="38"/>
      <c r="CV101" s="38"/>
      <c r="CW101" s="38"/>
      <c r="CX101" s="38"/>
      <c r="CY101" s="38"/>
      <c r="CZ101" s="38"/>
    </row>
    <row r="102" spans="1:104" s="40" customFormat="1" ht="20.149999999999999" customHeight="1">
      <c r="A102" s="358">
        <f t="shared" si="31"/>
        <v>101</v>
      </c>
      <c r="B102" s="359" t="str">
        <f>'Front Sheet and Checklist'!$C$5</f>
        <v>Swansea Bay UHB</v>
      </c>
      <c r="C102" s="17"/>
      <c r="D102" s="17"/>
      <c r="E102" s="17"/>
      <c r="F102" s="17"/>
      <c r="G102" s="17"/>
      <c r="H102" s="17"/>
      <c r="I102" s="361">
        <f t="shared" si="21"/>
        <v>0</v>
      </c>
      <c r="J102" s="17"/>
      <c r="K102" s="18"/>
      <c r="L102" s="18"/>
      <c r="M102" s="17"/>
      <c r="N102" s="17"/>
      <c r="O102" s="17"/>
      <c r="P102" s="17"/>
      <c r="Q102" s="169"/>
      <c r="R102" s="24"/>
      <c r="S102" s="24"/>
      <c r="T102" s="24"/>
      <c r="U102" s="25"/>
      <c r="V102" s="25"/>
      <c r="W102" s="25"/>
      <c r="X102" s="24"/>
      <c r="Y102" s="24"/>
      <c r="Z102" s="24"/>
      <c r="AA102" s="24"/>
      <c r="AB102" s="24"/>
      <c r="AC102" s="24"/>
      <c r="AD102" s="361">
        <f t="shared" si="20"/>
        <v>0</v>
      </c>
      <c r="AE102" s="359" t="str">
        <f t="shared" si="23"/>
        <v/>
      </c>
      <c r="AF102" s="359" t="str">
        <f t="shared" si="32"/>
        <v/>
      </c>
      <c r="AG102" s="359" t="str">
        <f t="shared" si="24"/>
        <v/>
      </c>
      <c r="AH102" s="359" t="str">
        <f t="shared" si="25"/>
        <v/>
      </c>
      <c r="AI102" s="359" t="str">
        <f t="shared" si="26"/>
        <v/>
      </c>
      <c r="AJ102" s="359" t="str">
        <f t="shared" si="27"/>
        <v/>
      </c>
      <c r="AK102" s="359" t="str">
        <f t="shared" si="29"/>
        <v/>
      </c>
      <c r="AL102" s="359" t="str">
        <f t="shared" si="28"/>
        <v/>
      </c>
      <c r="AM102" s="359" t="str">
        <f t="shared" si="30"/>
        <v/>
      </c>
      <c r="AN102" s="262">
        <f t="shared" si="33"/>
        <v>0</v>
      </c>
      <c r="AO102" s="262" t="str">
        <f>IFERROR(HLOOKUP(AN102,'Ref Lists'!Q$1:AL$2,2,FALSE),'Ref Lists'!$AK$2)</f>
        <v>Savings21</v>
      </c>
      <c r="AP102" s="38"/>
      <c r="AQ102" s="38">
        <f t="shared" si="22"/>
        <v>0</v>
      </c>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38"/>
      <c r="BZ102" s="38"/>
      <c r="CA102" s="38"/>
      <c r="CB102" s="38"/>
      <c r="CC102" s="38"/>
      <c r="CD102" s="38"/>
      <c r="CE102" s="38"/>
      <c r="CF102" s="38"/>
      <c r="CG102" s="38"/>
      <c r="CH102" s="38"/>
      <c r="CI102" s="38"/>
      <c r="CJ102" s="38"/>
      <c r="CK102" s="38"/>
      <c r="CL102" s="38"/>
      <c r="CM102" s="38"/>
      <c r="CN102" s="38"/>
      <c r="CO102" s="38"/>
      <c r="CP102" s="38"/>
      <c r="CQ102" s="38"/>
      <c r="CR102" s="38"/>
      <c r="CS102" s="38"/>
      <c r="CT102" s="38"/>
      <c r="CU102" s="38"/>
      <c r="CV102" s="38"/>
      <c r="CW102" s="38"/>
      <c r="CX102" s="38"/>
      <c r="CY102" s="38"/>
      <c r="CZ102" s="38"/>
    </row>
    <row r="103" spans="1:104" s="40" customFormat="1" ht="20.149999999999999" customHeight="1">
      <c r="A103" s="358">
        <f t="shared" si="31"/>
        <v>102</v>
      </c>
      <c r="B103" s="359" t="str">
        <f>'Front Sheet and Checklist'!$C$5</f>
        <v>Swansea Bay UHB</v>
      </c>
      <c r="C103" s="17"/>
      <c r="D103" s="17"/>
      <c r="E103" s="17"/>
      <c r="F103" s="17"/>
      <c r="G103" s="17"/>
      <c r="H103" s="17"/>
      <c r="I103" s="361">
        <f t="shared" si="21"/>
        <v>0</v>
      </c>
      <c r="J103" s="17"/>
      <c r="K103" s="18"/>
      <c r="L103" s="18"/>
      <c r="M103" s="17"/>
      <c r="N103" s="17"/>
      <c r="O103" s="17"/>
      <c r="P103" s="17"/>
      <c r="Q103" s="169"/>
      <c r="R103" s="24"/>
      <c r="S103" s="24"/>
      <c r="T103" s="24"/>
      <c r="U103" s="25"/>
      <c r="V103" s="25"/>
      <c r="W103" s="25"/>
      <c r="X103" s="24"/>
      <c r="Y103" s="24"/>
      <c r="Z103" s="24"/>
      <c r="AA103" s="24"/>
      <c r="AB103" s="24"/>
      <c r="AC103" s="24"/>
      <c r="AD103" s="361">
        <f t="shared" si="20"/>
        <v>0</v>
      </c>
      <c r="AE103" s="359" t="str">
        <f t="shared" si="23"/>
        <v/>
      </c>
      <c r="AF103" s="359" t="str">
        <f t="shared" si="32"/>
        <v/>
      </c>
      <c r="AG103" s="359" t="str">
        <f t="shared" si="24"/>
        <v/>
      </c>
      <c r="AH103" s="359" t="str">
        <f t="shared" si="25"/>
        <v/>
      </c>
      <c r="AI103" s="359" t="str">
        <f t="shared" si="26"/>
        <v/>
      </c>
      <c r="AJ103" s="359" t="str">
        <f t="shared" si="27"/>
        <v/>
      </c>
      <c r="AK103" s="359" t="str">
        <f t="shared" si="29"/>
        <v/>
      </c>
      <c r="AL103" s="359" t="str">
        <f t="shared" si="28"/>
        <v/>
      </c>
      <c r="AM103" s="359" t="str">
        <f t="shared" si="30"/>
        <v/>
      </c>
      <c r="AN103" s="262">
        <f t="shared" si="33"/>
        <v>0</v>
      </c>
      <c r="AO103" s="262" t="str">
        <f>IFERROR(HLOOKUP(AN103,'Ref Lists'!Q$1:AL$2,2,FALSE),'Ref Lists'!$AK$2)</f>
        <v>Savings21</v>
      </c>
      <c r="AP103" s="38"/>
      <c r="AQ103" s="38">
        <f t="shared" si="22"/>
        <v>0</v>
      </c>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row>
    <row r="104" spans="1:104" s="40" customFormat="1" ht="20.149999999999999" customHeight="1">
      <c r="A104" s="358">
        <f t="shared" si="31"/>
        <v>103</v>
      </c>
      <c r="B104" s="359" t="str">
        <f>'Front Sheet and Checklist'!$C$5</f>
        <v>Swansea Bay UHB</v>
      </c>
      <c r="C104" s="17"/>
      <c r="D104" s="17"/>
      <c r="E104" s="17"/>
      <c r="F104" s="17"/>
      <c r="G104" s="17"/>
      <c r="H104" s="17"/>
      <c r="I104" s="361">
        <f t="shared" si="21"/>
        <v>0</v>
      </c>
      <c r="J104" s="17"/>
      <c r="K104" s="18"/>
      <c r="L104" s="18"/>
      <c r="M104" s="17"/>
      <c r="N104" s="17"/>
      <c r="O104" s="17"/>
      <c r="P104" s="17"/>
      <c r="Q104" s="169"/>
      <c r="R104" s="24"/>
      <c r="S104" s="24"/>
      <c r="T104" s="24"/>
      <c r="U104" s="25"/>
      <c r="V104" s="25"/>
      <c r="W104" s="25"/>
      <c r="X104" s="24"/>
      <c r="Y104" s="24"/>
      <c r="Z104" s="24"/>
      <c r="AA104" s="24"/>
      <c r="AB104" s="24"/>
      <c r="AC104" s="24"/>
      <c r="AD104" s="361">
        <f t="shared" si="20"/>
        <v>0</v>
      </c>
      <c r="AE104" s="359" t="str">
        <f t="shared" si="23"/>
        <v/>
      </c>
      <c r="AF104" s="359" t="str">
        <f t="shared" si="32"/>
        <v/>
      </c>
      <c r="AG104" s="359" t="str">
        <f t="shared" si="24"/>
        <v/>
      </c>
      <c r="AH104" s="359" t="str">
        <f t="shared" si="25"/>
        <v/>
      </c>
      <c r="AI104" s="359" t="str">
        <f t="shared" si="26"/>
        <v/>
      </c>
      <c r="AJ104" s="359" t="str">
        <f t="shared" si="27"/>
        <v/>
      </c>
      <c r="AK104" s="359" t="str">
        <f t="shared" si="29"/>
        <v/>
      </c>
      <c r="AL104" s="359" t="str">
        <f t="shared" si="28"/>
        <v/>
      </c>
      <c r="AM104" s="359" t="str">
        <f t="shared" si="30"/>
        <v/>
      </c>
      <c r="AN104" s="262">
        <f t="shared" si="33"/>
        <v>0</v>
      </c>
      <c r="AO104" s="262" t="str">
        <f>IFERROR(HLOOKUP(AN104,'Ref Lists'!Q$1:AL$2,2,FALSE),'Ref Lists'!$AK$2)</f>
        <v>Savings21</v>
      </c>
      <c r="AP104" s="38"/>
      <c r="AQ104" s="38">
        <f t="shared" si="22"/>
        <v>0</v>
      </c>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row>
    <row r="105" spans="1:104" s="40" customFormat="1" ht="20.149999999999999" customHeight="1">
      <c r="A105" s="358">
        <f t="shared" si="31"/>
        <v>104</v>
      </c>
      <c r="B105" s="359" t="str">
        <f>'Front Sheet and Checklist'!$C$5</f>
        <v>Swansea Bay UHB</v>
      </c>
      <c r="C105" s="17"/>
      <c r="D105" s="17"/>
      <c r="E105" s="17"/>
      <c r="F105" s="17"/>
      <c r="G105" s="17"/>
      <c r="H105" s="17"/>
      <c r="I105" s="361">
        <f t="shared" si="21"/>
        <v>0</v>
      </c>
      <c r="J105" s="17"/>
      <c r="K105" s="18"/>
      <c r="L105" s="18"/>
      <c r="M105" s="17"/>
      <c r="N105" s="17"/>
      <c r="O105" s="17"/>
      <c r="P105" s="17"/>
      <c r="Q105" s="169"/>
      <c r="R105" s="24"/>
      <c r="S105" s="24"/>
      <c r="T105" s="24"/>
      <c r="U105" s="25"/>
      <c r="V105" s="25"/>
      <c r="W105" s="25"/>
      <c r="X105" s="24"/>
      <c r="Y105" s="24"/>
      <c r="Z105" s="24"/>
      <c r="AA105" s="24"/>
      <c r="AB105" s="24"/>
      <c r="AC105" s="24"/>
      <c r="AD105" s="361">
        <f t="shared" si="20"/>
        <v>0</v>
      </c>
      <c r="AE105" s="359" t="str">
        <f t="shared" si="23"/>
        <v/>
      </c>
      <c r="AF105" s="359" t="str">
        <f t="shared" si="32"/>
        <v/>
      </c>
      <c r="AG105" s="359" t="str">
        <f t="shared" si="24"/>
        <v/>
      </c>
      <c r="AH105" s="359" t="str">
        <f t="shared" si="25"/>
        <v/>
      </c>
      <c r="AI105" s="359" t="str">
        <f t="shared" si="26"/>
        <v/>
      </c>
      <c r="AJ105" s="359" t="str">
        <f t="shared" si="27"/>
        <v/>
      </c>
      <c r="AK105" s="359" t="str">
        <f t="shared" si="29"/>
        <v/>
      </c>
      <c r="AL105" s="359" t="str">
        <f t="shared" si="28"/>
        <v/>
      </c>
      <c r="AM105" s="359" t="str">
        <f t="shared" si="30"/>
        <v/>
      </c>
      <c r="AN105" s="262">
        <f t="shared" si="33"/>
        <v>0</v>
      </c>
      <c r="AO105" s="262" t="str">
        <f>IFERROR(HLOOKUP(AN105,'Ref Lists'!Q$1:AL$2,2,FALSE),'Ref Lists'!$AK$2)</f>
        <v>Savings21</v>
      </c>
      <c r="AP105" s="38"/>
      <c r="AQ105" s="38">
        <f t="shared" si="22"/>
        <v>0</v>
      </c>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row>
    <row r="106" spans="1:104" s="40" customFormat="1" ht="20.149999999999999" customHeight="1">
      <c r="A106" s="358">
        <f t="shared" si="31"/>
        <v>105</v>
      </c>
      <c r="B106" s="359" t="str">
        <f>'Front Sheet and Checklist'!$C$5</f>
        <v>Swansea Bay UHB</v>
      </c>
      <c r="C106" s="17"/>
      <c r="D106" s="17"/>
      <c r="E106" s="17"/>
      <c r="F106" s="17"/>
      <c r="G106" s="17"/>
      <c r="H106" s="17"/>
      <c r="I106" s="361">
        <f t="shared" si="21"/>
        <v>0</v>
      </c>
      <c r="J106" s="17"/>
      <c r="K106" s="18"/>
      <c r="L106" s="18"/>
      <c r="M106" s="17"/>
      <c r="N106" s="17"/>
      <c r="O106" s="17"/>
      <c r="P106" s="17"/>
      <c r="Q106" s="169"/>
      <c r="R106" s="24"/>
      <c r="S106" s="24"/>
      <c r="T106" s="24"/>
      <c r="U106" s="25"/>
      <c r="V106" s="25"/>
      <c r="W106" s="25"/>
      <c r="X106" s="24"/>
      <c r="Y106" s="24"/>
      <c r="Z106" s="24"/>
      <c r="AA106" s="24"/>
      <c r="AB106" s="24"/>
      <c r="AC106" s="24"/>
      <c r="AD106" s="361">
        <f t="shared" si="20"/>
        <v>0</v>
      </c>
      <c r="AE106" s="359" t="str">
        <f t="shared" si="23"/>
        <v/>
      </c>
      <c r="AF106" s="359" t="str">
        <f t="shared" si="32"/>
        <v/>
      </c>
      <c r="AG106" s="359" t="str">
        <f t="shared" si="24"/>
        <v/>
      </c>
      <c r="AH106" s="359" t="str">
        <f t="shared" si="25"/>
        <v/>
      </c>
      <c r="AI106" s="359" t="str">
        <f t="shared" si="26"/>
        <v/>
      </c>
      <c r="AJ106" s="359" t="str">
        <f t="shared" si="27"/>
        <v/>
      </c>
      <c r="AK106" s="359" t="str">
        <f t="shared" si="29"/>
        <v/>
      </c>
      <c r="AL106" s="359" t="str">
        <f t="shared" si="28"/>
        <v/>
      </c>
      <c r="AM106" s="359" t="str">
        <f t="shared" si="30"/>
        <v/>
      </c>
      <c r="AN106" s="262">
        <f t="shared" si="33"/>
        <v>0</v>
      </c>
      <c r="AO106" s="262" t="str">
        <f>IFERROR(HLOOKUP(AN106,'Ref Lists'!Q$1:AL$2,2,FALSE),'Ref Lists'!$AK$2)</f>
        <v>Savings21</v>
      </c>
      <c r="AP106" s="38"/>
      <c r="AQ106" s="38">
        <f t="shared" si="22"/>
        <v>0</v>
      </c>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row>
    <row r="107" spans="1:104" s="40" customFormat="1" ht="20.149999999999999" customHeight="1">
      <c r="A107" s="358">
        <f t="shared" si="31"/>
        <v>106</v>
      </c>
      <c r="B107" s="359" t="str">
        <f>'Front Sheet and Checklist'!$C$5</f>
        <v>Swansea Bay UHB</v>
      </c>
      <c r="C107" s="17"/>
      <c r="D107" s="17"/>
      <c r="E107" s="17"/>
      <c r="F107" s="17"/>
      <c r="G107" s="17"/>
      <c r="H107" s="17"/>
      <c r="I107" s="361">
        <f t="shared" si="21"/>
        <v>0</v>
      </c>
      <c r="J107" s="17"/>
      <c r="K107" s="18"/>
      <c r="L107" s="18"/>
      <c r="M107" s="17"/>
      <c r="N107" s="17"/>
      <c r="O107" s="17"/>
      <c r="P107" s="17"/>
      <c r="Q107" s="169"/>
      <c r="R107" s="24"/>
      <c r="S107" s="24"/>
      <c r="T107" s="24"/>
      <c r="U107" s="25"/>
      <c r="V107" s="25"/>
      <c r="W107" s="25"/>
      <c r="X107" s="24"/>
      <c r="Y107" s="24"/>
      <c r="Z107" s="24"/>
      <c r="AA107" s="24"/>
      <c r="AB107" s="24"/>
      <c r="AC107" s="24"/>
      <c r="AD107" s="361">
        <f t="shared" si="20"/>
        <v>0</v>
      </c>
      <c r="AE107" s="359" t="str">
        <f t="shared" si="23"/>
        <v/>
      </c>
      <c r="AF107" s="359" t="str">
        <f t="shared" si="32"/>
        <v/>
      </c>
      <c r="AG107" s="359" t="str">
        <f t="shared" si="24"/>
        <v/>
      </c>
      <c r="AH107" s="359" t="str">
        <f t="shared" si="25"/>
        <v/>
      </c>
      <c r="AI107" s="359" t="str">
        <f t="shared" si="26"/>
        <v/>
      </c>
      <c r="AJ107" s="359" t="str">
        <f t="shared" si="27"/>
        <v/>
      </c>
      <c r="AK107" s="359" t="str">
        <f t="shared" si="29"/>
        <v/>
      </c>
      <c r="AL107" s="359" t="str">
        <f t="shared" si="28"/>
        <v/>
      </c>
      <c r="AM107" s="359" t="str">
        <f t="shared" si="30"/>
        <v/>
      </c>
      <c r="AN107" s="262">
        <f t="shared" si="33"/>
        <v>0</v>
      </c>
      <c r="AO107" s="262" t="str">
        <f>IFERROR(HLOOKUP(AN107,'Ref Lists'!Q$1:AL$2,2,FALSE),'Ref Lists'!$AK$2)</f>
        <v>Savings21</v>
      </c>
      <c r="AP107" s="38"/>
      <c r="AQ107" s="38">
        <f t="shared" si="22"/>
        <v>0</v>
      </c>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row>
    <row r="108" spans="1:104" s="40" customFormat="1" ht="20.149999999999999" customHeight="1">
      <c r="A108" s="358">
        <f t="shared" si="31"/>
        <v>107</v>
      </c>
      <c r="B108" s="359" t="str">
        <f>'Front Sheet and Checklist'!$C$5</f>
        <v>Swansea Bay UHB</v>
      </c>
      <c r="C108" s="17"/>
      <c r="D108" s="17"/>
      <c r="E108" s="17"/>
      <c r="F108" s="17"/>
      <c r="G108" s="17"/>
      <c r="H108" s="17"/>
      <c r="I108" s="361">
        <f t="shared" si="21"/>
        <v>0</v>
      </c>
      <c r="J108" s="17"/>
      <c r="K108" s="18"/>
      <c r="L108" s="18"/>
      <c r="M108" s="17"/>
      <c r="N108" s="17"/>
      <c r="O108" s="17"/>
      <c r="P108" s="17"/>
      <c r="Q108" s="169"/>
      <c r="R108" s="24"/>
      <c r="S108" s="24"/>
      <c r="T108" s="24"/>
      <c r="U108" s="25"/>
      <c r="V108" s="25"/>
      <c r="W108" s="25"/>
      <c r="X108" s="24"/>
      <c r="Y108" s="24"/>
      <c r="Z108" s="24"/>
      <c r="AA108" s="24"/>
      <c r="AB108" s="24"/>
      <c r="AC108" s="24"/>
      <c r="AD108" s="361">
        <f t="shared" si="20"/>
        <v>0</v>
      </c>
      <c r="AE108" s="359" t="str">
        <f t="shared" si="23"/>
        <v/>
      </c>
      <c r="AF108" s="359" t="str">
        <f t="shared" si="32"/>
        <v/>
      </c>
      <c r="AG108" s="359" t="str">
        <f t="shared" si="24"/>
        <v/>
      </c>
      <c r="AH108" s="359" t="str">
        <f t="shared" si="25"/>
        <v/>
      </c>
      <c r="AI108" s="359" t="str">
        <f t="shared" si="26"/>
        <v/>
      </c>
      <c r="AJ108" s="359" t="str">
        <f t="shared" si="27"/>
        <v/>
      </c>
      <c r="AK108" s="359" t="str">
        <f t="shared" si="29"/>
        <v/>
      </c>
      <c r="AL108" s="359" t="str">
        <f t="shared" si="28"/>
        <v/>
      </c>
      <c r="AM108" s="359" t="str">
        <f t="shared" si="30"/>
        <v/>
      </c>
      <c r="AN108" s="262">
        <f t="shared" si="33"/>
        <v>0</v>
      </c>
      <c r="AO108" s="262" t="str">
        <f>IFERROR(HLOOKUP(AN108,'Ref Lists'!Q$1:AL$2,2,FALSE),'Ref Lists'!$AK$2)</f>
        <v>Savings21</v>
      </c>
      <c r="AP108" s="38"/>
      <c r="AQ108" s="38">
        <f t="shared" si="22"/>
        <v>0</v>
      </c>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row>
    <row r="109" spans="1:104" s="40" customFormat="1" ht="20.149999999999999" customHeight="1">
      <c r="A109" s="358">
        <f t="shared" si="31"/>
        <v>108</v>
      </c>
      <c r="B109" s="359" t="str">
        <f>'Front Sheet and Checklist'!$C$5</f>
        <v>Swansea Bay UHB</v>
      </c>
      <c r="C109" s="17"/>
      <c r="D109" s="17"/>
      <c r="E109" s="17"/>
      <c r="F109" s="17"/>
      <c r="G109" s="17"/>
      <c r="H109" s="17"/>
      <c r="I109" s="361">
        <f t="shared" si="21"/>
        <v>0</v>
      </c>
      <c r="J109" s="17"/>
      <c r="K109" s="18"/>
      <c r="L109" s="18"/>
      <c r="M109" s="17"/>
      <c r="N109" s="17"/>
      <c r="O109" s="17"/>
      <c r="P109" s="17"/>
      <c r="Q109" s="169"/>
      <c r="R109" s="24"/>
      <c r="S109" s="24"/>
      <c r="T109" s="24"/>
      <c r="U109" s="25"/>
      <c r="V109" s="25"/>
      <c r="W109" s="25"/>
      <c r="X109" s="24"/>
      <c r="Y109" s="24"/>
      <c r="Z109" s="24"/>
      <c r="AA109" s="24"/>
      <c r="AB109" s="24"/>
      <c r="AC109" s="24"/>
      <c r="AD109" s="361">
        <f t="shared" si="20"/>
        <v>0</v>
      </c>
      <c r="AE109" s="359" t="str">
        <f t="shared" si="23"/>
        <v/>
      </c>
      <c r="AF109" s="359" t="str">
        <f t="shared" si="32"/>
        <v/>
      </c>
      <c r="AG109" s="359" t="str">
        <f t="shared" si="24"/>
        <v/>
      </c>
      <c r="AH109" s="359" t="str">
        <f t="shared" si="25"/>
        <v/>
      </c>
      <c r="AI109" s="359" t="str">
        <f t="shared" si="26"/>
        <v/>
      </c>
      <c r="AJ109" s="359" t="str">
        <f t="shared" si="27"/>
        <v/>
      </c>
      <c r="AK109" s="359" t="str">
        <f t="shared" si="29"/>
        <v/>
      </c>
      <c r="AL109" s="359" t="str">
        <f t="shared" si="28"/>
        <v/>
      </c>
      <c r="AM109" s="359" t="str">
        <f t="shared" si="30"/>
        <v/>
      </c>
      <c r="AN109" s="262">
        <f t="shared" si="33"/>
        <v>0</v>
      </c>
      <c r="AO109" s="262" t="str">
        <f>IFERROR(HLOOKUP(AN109,'Ref Lists'!Q$1:AL$2,2,FALSE),'Ref Lists'!$AK$2)</f>
        <v>Savings21</v>
      </c>
      <c r="AP109" s="38"/>
      <c r="AQ109" s="38">
        <f t="shared" si="22"/>
        <v>0</v>
      </c>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row>
    <row r="110" spans="1:104" s="40" customFormat="1" ht="20.149999999999999" customHeight="1">
      <c r="A110" s="358">
        <f t="shared" si="31"/>
        <v>109</v>
      </c>
      <c r="B110" s="359" t="str">
        <f>'Front Sheet and Checklist'!$C$5</f>
        <v>Swansea Bay UHB</v>
      </c>
      <c r="C110" s="17"/>
      <c r="D110" s="17"/>
      <c r="E110" s="17"/>
      <c r="F110" s="17"/>
      <c r="G110" s="17"/>
      <c r="H110" s="17"/>
      <c r="I110" s="361">
        <f t="shared" si="21"/>
        <v>0</v>
      </c>
      <c r="J110" s="17"/>
      <c r="K110" s="18"/>
      <c r="L110" s="18"/>
      <c r="M110" s="17"/>
      <c r="N110" s="17"/>
      <c r="O110" s="17"/>
      <c r="P110" s="17"/>
      <c r="Q110" s="169"/>
      <c r="R110" s="24"/>
      <c r="S110" s="24"/>
      <c r="T110" s="24"/>
      <c r="U110" s="25"/>
      <c r="V110" s="25"/>
      <c r="W110" s="25"/>
      <c r="X110" s="24"/>
      <c r="Y110" s="24"/>
      <c r="Z110" s="24"/>
      <c r="AA110" s="24"/>
      <c r="AB110" s="24"/>
      <c r="AC110" s="24"/>
      <c r="AD110" s="361">
        <f t="shared" si="20"/>
        <v>0</v>
      </c>
      <c r="AE110" s="359" t="str">
        <f t="shared" si="23"/>
        <v/>
      </c>
      <c r="AF110" s="359" t="str">
        <f t="shared" si="32"/>
        <v/>
      </c>
      <c r="AG110" s="359" t="str">
        <f t="shared" si="24"/>
        <v/>
      </c>
      <c r="AH110" s="359" t="str">
        <f t="shared" si="25"/>
        <v/>
      </c>
      <c r="AI110" s="359" t="str">
        <f t="shared" si="26"/>
        <v/>
      </c>
      <c r="AJ110" s="359" t="str">
        <f t="shared" si="27"/>
        <v/>
      </c>
      <c r="AK110" s="359" t="str">
        <f t="shared" si="29"/>
        <v/>
      </c>
      <c r="AL110" s="359" t="str">
        <f t="shared" si="28"/>
        <v/>
      </c>
      <c r="AM110" s="359" t="str">
        <f t="shared" si="30"/>
        <v/>
      </c>
      <c r="AN110" s="262">
        <f t="shared" si="33"/>
        <v>0</v>
      </c>
      <c r="AO110" s="262" t="str">
        <f>IFERROR(HLOOKUP(AN110,'Ref Lists'!Q$1:AL$2,2,FALSE),'Ref Lists'!$AK$2)</f>
        <v>Savings21</v>
      </c>
      <c r="AP110" s="38"/>
      <c r="AQ110" s="38">
        <f t="shared" si="22"/>
        <v>0</v>
      </c>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row>
    <row r="111" spans="1:104" s="40" customFormat="1" ht="20.149999999999999" customHeight="1">
      <c r="A111" s="358">
        <f t="shared" si="31"/>
        <v>110</v>
      </c>
      <c r="B111" s="359" t="str">
        <f>'Front Sheet and Checklist'!$C$5</f>
        <v>Swansea Bay UHB</v>
      </c>
      <c r="C111" s="17"/>
      <c r="D111" s="17"/>
      <c r="E111" s="17"/>
      <c r="F111" s="17"/>
      <c r="G111" s="17"/>
      <c r="H111" s="17"/>
      <c r="I111" s="361">
        <f t="shared" si="21"/>
        <v>0</v>
      </c>
      <c r="J111" s="17"/>
      <c r="K111" s="18"/>
      <c r="L111" s="18"/>
      <c r="M111" s="17"/>
      <c r="N111" s="17"/>
      <c r="O111" s="17"/>
      <c r="P111" s="17"/>
      <c r="Q111" s="169"/>
      <c r="R111" s="24"/>
      <c r="S111" s="24"/>
      <c r="T111" s="24"/>
      <c r="U111" s="25"/>
      <c r="V111" s="25"/>
      <c r="W111" s="25"/>
      <c r="X111" s="24"/>
      <c r="Y111" s="24"/>
      <c r="Z111" s="24"/>
      <c r="AA111" s="24"/>
      <c r="AB111" s="24"/>
      <c r="AC111" s="24"/>
      <c r="AD111" s="361">
        <f t="shared" si="20"/>
        <v>0</v>
      </c>
      <c r="AE111" s="359" t="str">
        <f t="shared" si="23"/>
        <v/>
      </c>
      <c r="AF111" s="359" t="str">
        <f t="shared" si="32"/>
        <v/>
      </c>
      <c r="AG111" s="359" t="str">
        <f t="shared" si="24"/>
        <v/>
      </c>
      <c r="AH111" s="359" t="str">
        <f t="shared" si="25"/>
        <v/>
      </c>
      <c r="AI111" s="359" t="str">
        <f t="shared" si="26"/>
        <v/>
      </c>
      <c r="AJ111" s="359" t="str">
        <f t="shared" si="27"/>
        <v/>
      </c>
      <c r="AK111" s="359" t="str">
        <f t="shared" si="29"/>
        <v/>
      </c>
      <c r="AL111" s="359" t="str">
        <f t="shared" si="28"/>
        <v/>
      </c>
      <c r="AM111" s="359" t="str">
        <f t="shared" si="30"/>
        <v/>
      </c>
      <c r="AN111" s="262">
        <f t="shared" si="33"/>
        <v>0</v>
      </c>
      <c r="AO111" s="262" t="str">
        <f>IFERROR(HLOOKUP(AN111,'Ref Lists'!Q$1:AL$2,2,FALSE),'Ref Lists'!$AK$2)</f>
        <v>Savings21</v>
      </c>
      <c r="AP111" s="38"/>
      <c r="AQ111" s="38">
        <f t="shared" si="22"/>
        <v>0</v>
      </c>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row>
    <row r="112" spans="1:104" s="40" customFormat="1" ht="20.149999999999999" customHeight="1">
      <c r="A112" s="358">
        <f t="shared" si="31"/>
        <v>111</v>
      </c>
      <c r="B112" s="359" t="str">
        <f>'Front Sheet and Checklist'!$C$5</f>
        <v>Swansea Bay UHB</v>
      </c>
      <c r="C112" s="17"/>
      <c r="D112" s="17"/>
      <c r="E112" s="17"/>
      <c r="F112" s="17"/>
      <c r="G112" s="17"/>
      <c r="H112" s="17"/>
      <c r="I112" s="361">
        <f t="shared" si="21"/>
        <v>0</v>
      </c>
      <c r="J112" s="17"/>
      <c r="K112" s="18"/>
      <c r="L112" s="18"/>
      <c r="M112" s="17"/>
      <c r="N112" s="17"/>
      <c r="O112" s="17"/>
      <c r="P112" s="17"/>
      <c r="Q112" s="169"/>
      <c r="R112" s="24"/>
      <c r="S112" s="24"/>
      <c r="T112" s="24"/>
      <c r="U112" s="25"/>
      <c r="V112" s="25"/>
      <c r="W112" s="25"/>
      <c r="X112" s="24"/>
      <c r="Y112" s="24"/>
      <c r="Z112" s="24"/>
      <c r="AA112" s="24"/>
      <c r="AB112" s="24"/>
      <c r="AC112" s="24"/>
      <c r="AD112" s="361">
        <f t="shared" si="20"/>
        <v>0</v>
      </c>
      <c r="AE112" s="359" t="str">
        <f t="shared" si="23"/>
        <v/>
      </c>
      <c r="AF112" s="359" t="str">
        <f t="shared" si="32"/>
        <v/>
      </c>
      <c r="AG112" s="359" t="str">
        <f t="shared" si="24"/>
        <v/>
      </c>
      <c r="AH112" s="359" t="str">
        <f t="shared" si="25"/>
        <v/>
      </c>
      <c r="AI112" s="359" t="str">
        <f t="shared" si="26"/>
        <v/>
      </c>
      <c r="AJ112" s="359" t="str">
        <f t="shared" si="27"/>
        <v/>
      </c>
      <c r="AK112" s="359" t="str">
        <f t="shared" si="29"/>
        <v/>
      </c>
      <c r="AL112" s="359" t="str">
        <f t="shared" si="28"/>
        <v/>
      </c>
      <c r="AM112" s="359" t="str">
        <f t="shared" si="30"/>
        <v/>
      </c>
      <c r="AN112" s="262">
        <f t="shared" si="33"/>
        <v>0</v>
      </c>
      <c r="AO112" s="262" t="str">
        <f>IFERROR(HLOOKUP(AN112,'Ref Lists'!Q$1:AL$2,2,FALSE),'Ref Lists'!$AK$2)</f>
        <v>Savings21</v>
      </c>
      <c r="AP112" s="38"/>
      <c r="AQ112" s="38">
        <f t="shared" si="22"/>
        <v>0</v>
      </c>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8"/>
      <c r="CF112" s="38"/>
      <c r="CG112" s="38"/>
      <c r="CH112" s="38"/>
      <c r="CI112" s="38"/>
      <c r="CJ112" s="38"/>
      <c r="CK112" s="38"/>
      <c r="CL112" s="38"/>
      <c r="CM112" s="38"/>
      <c r="CN112" s="38"/>
      <c r="CO112" s="38"/>
      <c r="CP112" s="38"/>
      <c r="CQ112" s="38"/>
      <c r="CR112" s="38"/>
      <c r="CS112" s="38"/>
      <c r="CT112" s="38"/>
      <c r="CU112" s="38"/>
      <c r="CV112" s="38"/>
      <c r="CW112" s="38"/>
      <c r="CX112" s="38"/>
      <c r="CY112" s="38"/>
      <c r="CZ112" s="38"/>
    </row>
    <row r="113" spans="1:104" s="40" customFormat="1" ht="20.149999999999999" customHeight="1">
      <c r="A113" s="358">
        <f t="shared" si="31"/>
        <v>112</v>
      </c>
      <c r="B113" s="359" t="str">
        <f>'Front Sheet and Checklist'!$C$5</f>
        <v>Swansea Bay UHB</v>
      </c>
      <c r="C113" s="17"/>
      <c r="D113" s="17"/>
      <c r="E113" s="17"/>
      <c r="F113" s="17"/>
      <c r="G113" s="17"/>
      <c r="H113" s="17"/>
      <c r="I113" s="361">
        <f t="shared" si="21"/>
        <v>0</v>
      </c>
      <c r="J113" s="17"/>
      <c r="K113" s="18"/>
      <c r="L113" s="18"/>
      <c r="M113" s="17"/>
      <c r="N113" s="17"/>
      <c r="O113" s="17"/>
      <c r="P113" s="17"/>
      <c r="Q113" s="169"/>
      <c r="R113" s="24"/>
      <c r="S113" s="24"/>
      <c r="T113" s="24"/>
      <c r="U113" s="25"/>
      <c r="V113" s="25"/>
      <c r="W113" s="25"/>
      <c r="X113" s="24"/>
      <c r="Y113" s="24"/>
      <c r="Z113" s="24"/>
      <c r="AA113" s="24"/>
      <c r="AB113" s="24"/>
      <c r="AC113" s="24"/>
      <c r="AD113" s="361">
        <f t="shared" si="20"/>
        <v>0</v>
      </c>
      <c r="AE113" s="359" t="str">
        <f t="shared" si="23"/>
        <v/>
      </c>
      <c r="AF113" s="359" t="str">
        <f t="shared" si="32"/>
        <v/>
      </c>
      <c r="AG113" s="359" t="str">
        <f t="shared" si="24"/>
        <v/>
      </c>
      <c r="AH113" s="359" t="str">
        <f t="shared" si="25"/>
        <v/>
      </c>
      <c r="AI113" s="359" t="str">
        <f t="shared" si="26"/>
        <v/>
      </c>
      <c r="AJ113" s="359" t="str">
        <f t="shared" si="27"/>
        <v/>
      </c>
      <c r="AK113" s="359" t="str">
        <f t="shared" si="29"/>
        <v/>
      </c>
      <c r="AL113" s="359" t="str">
        <f t="shared" si="28"/>
        <v/>
      </c>
      <c r="AM113" s="359" t="str">
        <f t="shared" si="30"/>
        <v/>
      </c>
      <c r="AN113" s="262">
        <f t="shared" si="33"/>
        <v>0</v>
      </c>
      <c r="AO113" s="262" t="str">
        <f>IFERROR(HLOOKUP(AN113,'Ref Lists'!Q$1:AL$2,2,FALSE),'Ref Lists'!$AK$2)</f>
        <v>Savings21</v>
      </c>
      <c r="AP113" s="38"/>
      <c r="AQ113" s="38">
        <f t="shared" si="22"/>
        <v>0</v>
      </c>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row>
    <row r="114" spans="1:104" s="40" customFormat="1" ht="20.149999999999999" customHeight="1">
      <c r="A114" s="358">
        <f t="shared" si="31"/>
        <v>113</v>
      </c>
      <c r="B114" s="359" t="str">
        <f>'Front Sheet and Checklist'!$C$5</f>
        <v>Swansea Bay UHB</v>
      </c>
      <c r="C114" s="17"/>
      <c r="D114" s="17"/>
      <c r="E114" s="17"/>
      <c r="F114" s="17"/>
      <c r="G114" s="17"/>
      <c r="H114" s="17"/>
      <c r="I114" s="361">
        <f t="shared" si="21"/>
        <v>0</v>
      </c>
      <c r="J114" s="17"/>
      <c r="K114" s="18"/>
      <c r="L114" s="18"/>
      <c r="M114" s="17"/>
      <c r="N114" s="17"/>
      <c r="O114" s="17"/>
      <c r="P114" s="17"/>
      <c r="Q114" s="169"/>
      <c r="R114" s="24"/>
      <c r="S114" s="24"/>
      <c r="T114" s="24"/>
      <c r="U114" s="25"/>
      <c r="V114" s="25"/>
      <c r="W114" s="25"/>
      <c r="X114" s="24"/>
      <c r="Y114" s="24"/>
      <c r="Z114" s="24"/>
      <c r="AA114" s="24"/>
      <c r="AB114" s="24"/>
      <c r="AC114" s="24"/>
      <c r="AD114" s="361">
        <f t="shared" si="20"/>
        <v>0</v>
      </c>
      <c r="AE114" s="359" t="str">
        <f t="shared" si="23"/>
        <v/>
      </c>
      <c r="AF114" s="359" t="str">
        <f t="shared" si="32"/>
        <v/>
      </c>
      <c r="AG114" s="359" t="str">
        <f t="shared" si="24"/>
        <v/>
      </c>
      <c r="AH114" s="359" t="str">
        <f t="shared" si="25"/>
        <v/>
      </c>
      <c r="AI114" s="359" t="str">
        <f t="shared" si="26"/>
        <v/>
      </c>
      <c r="AJ114" s="359" t="str">
        <f t="shared" si="27"/>
        <v/>
      </c>
      <c r="AK114" s="359" t="str">
        <f t="shared" si="29"/>
        <v/>
      </c>
      <c r="AL114" s="359" t="str">
        <f t="shared" si="28"/>
        <v/>
      </c>
      <c r="AM114" s="359" t="str">
        <f t="shared" si="30"/>
        <v/>
      </c>
      <c r="AN114" s="262">
        <f t="shared" si="33"/>
        <v>0</v>
      </c>
      <c r="AO114" s="262" t="str">
        <f>IFERROR(HLOOKUP(AN114,'Ref Lists'!Q$1:AL$2,2,FALSE),'Ref Lists'!$AK$2)</f>
        <v>Savings21</v>
      </c>
      <c r="AP114" s="38"/>
      <c r="AQ114" s="38">
        <f t="shared" si="22"/>
        <v>0</v>
      </c>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row>
    <row r="115" spans="1:104" s="40" customFormat="1" ht="20.149999999999999" customHeight="1">
      <c r="A115" s="358">
        <f t="shared" si="31"/>
        <v>114</v>
      </c>
      <c r="B115" s="359" t="str">
        <f>'Front Sheet and Checklist'!$C$5</f>
        <v>Swansea Bay UHB</v>
      </c>
      <c r="C115" s="17"/>
      <c r="D115" s="17"/>
      <c r="E115" s="17"/>
      <c r="F115" s="17"/>
      <c r="G115" s="17"/>
      <c r="H115" s="17"/>
      <c r="I115" s="361">
        <f t="shared" si="21"/>
        <v>0</v>
      </c>
      <c r="J115" s="17"/>
      <c r="K115" s="18"/>
      <c r="L115" s="18"/>
      <c r="M115" s="17"/>
      <c r="N115" s="17"/>
      <c r="O115" s="17"/>
      <c r="P115" s="17"/>
      <c r="Q115" s="169"/>
      <c r="R115" s="24"/>
      <c r="S115" s="24"/>
      <c r="T115" s="24"/>
      <c r="U115" s="25"/>
      <c r="V115" s="25"/>
      <c r="W115" s="25"/>
      <c r="X115" s="24"/>
      <c r="Y115" s="24"/>
      <c r="Z115" s="24"/>
      <c r="AA115" s="24"/>
      <c r="AB115" s="24"/>
      <c r="AC115" s="24"/>
      <c r="AD115" s="361">
        <f t="shared" si="20"/>
        <v>0</v>
      </c>
      <c r="AE115" s="359" t="str">
        <f t="shared" si="23"/>
        <v/>
      </c>
      <c r="AF115" s="359" t="str">
        <f t="shared" si="32"/>
        <v/>
      </c>
      <c r="AG115" s="359" t="str">
        <f t="shared" si="24"/>
        <v/>
      </c>
      <c r="AH115" s="359" t="str">
        <f t="shared" si="25"/>
        <v/>
      </c>
      <c r="AI115" s="359" t="str">
        <f t="shared" si="26"/>
        <v/>
      </c>
      <c r="AJ115" s="359" t="str">
        <f t="shared" si="27"/>
        <v/>
      </c>
      <c r="AK115" s="359" t="str">
        <f t="shared" si="29"/>
        <v/>
      </c>
      <c r="AL115" s="359" t="str">
        <f t="shared" si="28"/>
        <v/>
      </c>
      <c r="AM115" s="359" t="str">
        <f t="shared" si="30"/>
        <v/>
      </c>
      <c r="AN115" s="262">
        <f t="shared" si="33"/>
        <v>0</v>
      </c>
      <c r="AO115" s="262" t="str">
        <f>IFERROR(HLOOKUP(AN115,'Ref Lists'!Q$1:AL$2,2,FALSE),'Ref Lists'!$AK$2)</f>
        <v>Savings21</v>
      </c>
      <c r="AP115" s="38"/>
      <c r="AQ115" s="38">
        <f t="shared" si="22"/>
        <v>0</v>
      </c>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row>
    <row r="116" spans="1:104" s="40" customFormat="1" ht="20.149999999999999" customHeight="1">
      <c r="A116" s="358">
        <f t="shared" si="31"/>
        <v>115</v>
      </c>
      <c r="B116" s="359" t="str">
        <f>'Front Sheet and Checklist'!$C$5</f>
        <v>Swansea Bay UHB</v>
      </c>
      <c r="C116" s="17"/>
      <c r="D116" s="17"/>
      <c r="E116" s="17"/>
      <c r="F116" s="17"/>
      <c r="G116" s="17"/>
      <c r="H116" s="17"/>
      <c r="I116" s="361">
        <f t="shared" si="21"/>
        <v>0</v>
      </c>
      <c r="J116" s="17"/>
      <c r="K116" s="18"/>
      <c r="L116" s="18"/>
      <c r="M116" s="17"/>
      <c r="N116" s="17"/>
      <c r="O116" s="17"/>
      <c r="P116" s="17"/>
      <c r="Q116" s="169"/>
      <c r="R116" s="24"/>
      <c r="S116" s="24"/>
      <c r="T116" s="24"/>
      <c r="U116" s="25"/>
      <c r="V116" s="25"/>
      <c r="W116" s="25"/>
      <c r="X116" s="24"/>
      <c r="Y116" s="24"/>
      <c r="Z116" s="24"/>
      <c r="AA116" s="24"/>
      <c r="AB116" s="24"/>
      <c r="AC116" s="24"/>
      <c r="AD116" s="361">
        <f t="shared" si="20"/>
        <v>0</v>
      </c>
      <c r="AE116" s="359" t="str">
        <f t="shared" si="23"/>
        <v/>
      </c>
      <c r="AF116" s="359" t="str">
        <f t="shared" si="32"/>
        <v/>
      </c>
      <c r="AG116" s="359" t="str">
        <f t="shared" si="24"/>
        <v/>
      </c>
      <c r="AH116" s="359" t="str">
        <f t="shared" si="25"/>
        <v/>
      </c>
      <c r="AI116" s="359" t="str">
        <f t="shared" si="26"/>
        <v/>
      </c>
      <c r="AJ116" s="359" t="str">
        <f t="shared" si="27"/>
        <v/>
      </c>
      <c r="AK116" s="359" t="str">
        <f t="shared" si="29"/>
        <v/>
      </c>
      <c r="AL116" s="359" t="str">
        <f t="shared" si="28"/>
        <v/>
      </c>
      <c r="AM116" s="359" t="str">
        <f t="shared" si="30"/>
        <v/>
      </c>
      <c r="AN116" s="262">
        <f t="shared" si="33"/>
        <v>0</v>
      </c>
      <c r="AO116" s="262" t="str">
        <f>IFERROR(HLOOKUP(AN116,'Ref Lists'!Q$1:AL$2,2,FALSE),'Ref Lists'!$AK$2)</f>
        <v>Savings21</v>
      </c>
      <c r="AP116" s="38"/>
      <c r="AQ116" s="38">
        <f t="shared" si="22"/>
        <v>0</v>
      </c>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row>
    <row r="117" spans="1:104" s="40" customFormat="1" ht="20.149999999999999" customHeight="1">
      <c r="A117" s="358">
        <f t="shared" si="31"/>
        <v>116</v>
      </c>
      <c r="B117" s="359" t="str">
        <f>'Front Sheet and Checklist'!$C$5</f>
        <v>Swansea Bay UHB</v>
      </c>
      <c r="C117" s="17"/>
      <c r="D117" s="17"/>
      <c r="E117" s="17"/>
      <c r="F117" s="17"/>
      <c r="G117" s="17"/>
      <c r="H117" s="17"/>
      <c r="I117" s="361">
        <f t="shared" si="21"/>
        <v>0</v>
      </c>
      <c r="J117" s="17"/>
      <c r="K117" s="18"/>
      <c r="L117" s="18"/>
      <c r="M117" s="17"/>
      <c r="N117" s="17"/>
      <c r="O117" s="17"/>
      <c r="P117" s="17"/>
      <c r="Q117" s="169"/>
      <c r="R117" s="24"/>
      <c r="S117" s="24"/>
      <c r="T117" s="24"/>
      <c r="U117" s="25"/>
      <c r="V117" s="25"/>
      <c r="W117" s="25"/>
      <c r="X117" s="24"/>
      <c r="Y117" s="24"/>
      <c r="Z117" s="24"/>
      <c r="AA117" s="24"/>
      <c r="AB117" s="24"/>
      <c r="AC117" s="24"/>
      <c r="AD117" s="361">
        <f t="shared" si="20"/>
        <v>0</v>
      </c>
      <c r="AE117" s="359" t="str">
        <f t="shared" si="23"/>
        <v/>
      </c>
      <c r="AF117" s="359" t="str">
        <f t="shared" si="32"/>
        <v/>
      </c>
      <c r="AG117" s="359" t="str">
        <f t="shared" si="24"/>
        <v/>
      </c>
      <c r="AH117" s="359" t="str">
        <f t="shared" si="25"/>
        <v/>
      </c>
      <c r="AI117" s="359" t="str">
        <f t="shared" si="26"/>
        <v/>
      </c>
      <c r="AJ117" s="359" t="str">
        <f t="shared" si="27"/>
        <v/>
      </c>
      <c r="AK117" s="359" t="str">
        <f t="shared" si="29"/>
        <v/>
      </c>
      <c r="AL117" s="359" t="str">
        <f t="shared" si="28"/>
        <v/>
      </c>
      <c r="AM117" s="359" t="str">
        <f t="shared" si="30"/>
        <v/>
      </c>
      <c r="AN117" s="262">
        <f t="shared" si="33"/>
        <v>0</v>
      </c>
      <c r="AO117" s="262" t="str">
        <f>IFERROR(HLOOKUP(AN117,'Ref Lists'!Q$1:AL$2,2,FALSE),'Ref Lists'!$AK$2)</f>
        <v>Savings21</v>
      </c>
      <c r="AP117" s="38"/>
      <c r="AQ117" s="38">
        <f t="shared" si="22"/>
        <v>0</v>
      </c>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row>
    <row r="118" spans="1:104" s="40" customFormat="1" ht="20.149999999999999" customHeight="1">
      <c r="A118" s="358">
        <f t="shared" si="31"/>
        <v>117</v>
      </c>
      <c r="B118" s="359" t="str">
        <f>'Front Sheet and Checklist'!$C$5</f>
        <v>Swansea Bay UHB</v>
      </c>
      <c r="C118" s="17"/>
      <c r="D118" s="17"/>
      <c r="E118" s="17"/>
      <c r="F118" s="17"/>
      <c r="G118" s="17"/>
      <c r="H118" s="17"/>
      <c r="I118" s="361">
        <f t="shared" si="21"/>
        <v>0</v>
      </c>
      <c r="J118" s="17"/>
      <c r="K118" s="18"/>
      <c r="L118" s="18"/>
      <c r="M118" s="17"/>
      <c r="N118" s="17"/>
      <c r="O118" s="17"/>
      <c r="P118" s="17"/>
      <c r="Q118" s="169"/>
      <c r="R118" s="24"/>
      <c r="S118" s="24"/>
      <c r="T118" s="24"/>
      <c r="U118" s="25"/>
      <c r="V118" s="25"/>
      <c r="W118" s="25"/>
      <c r="X118" s="24"/>
      <c r="Y118" s="24"/>
      <c r="Z118" s="24"/>
      <c r="AA118" s="24"/>
      <c r="AB118" s="24"/>
      <c r="AC118" s="24"/>
      <c r="AD118" s="361">
        <f t="shared" si="20"/>
        <v>0</v>
      </c>
      <c r="AE118" s="359" t="str">
        <f t="shared" si="23"/>
        <v/>
      </c>
      <c r="AF118" s="359" t="str">
        <f t="shared" si="32"/>
        <v/>
      </c>
      <c r="AG118" s="359" t="str">
        <f t="shared" si="24"/>
        <v/>
      </c>
      <c r="AH118" s="359" t="str">
        <f t="shared" si="25"/>
        <v/>
      </c>
      <c r="AI118" s="359" t="str">
        <f t="shared" si="26"/>
        <v/>
      </c>
      <c r="AJ118" s="359" t="str">
        <f t="shared" si="27"/>
        <v/>
      </c>
      <c r="AK118" s="359" t="str">
        <f t="shared" si="29"/>
        <v/>
      </c>
      <c r="AL118" s="359" t="str">
        <f t="shared" si="28"/>
        <v/>
      </c>
      <c r="AM118" s="359" t="str">
        <f t="shared" si="30"/>
        <v/>
      </c>
      <c r="AN118" s="262">
        <f t="shared" si="33"/>
        <v>0</v>
      </c>
      <c r="AO118" s="262" t="str">
        <f>IFERROR(HLOOKUP(AN118,'Ref Lists'!Q$1:AL$2,2,FALSE),'Ref Lists'!$AK$2)</f>
        <v>Savings21</v>
      </c>
      <c r="AP118" s="38"/>
      <c r="AQ118" s="38">
        <f t="shared" si="22"/>
        <v>0</v>
      </c>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row>
    <row r="119" spans="1:104" s="40" customFormat="1" ht="20.149999999999999" customHeight="1">
      <c r="A119" s="358">
        <f t="shared" si="31"/>
        <v>118</v>
      </c>
      <c r="B119" s="359" t="str">
        <f>'Front Sheet and Checklist'!$C$5</f>
        <v>Swansea Bay UHB</v>
      </c>
      <c r="C119" s="17"/>
      <c r="D119" s="17"/>
      <c r="E119" s="17"/>
      <c r="F119" s="17"/>
      <c r="G119" s="17"/>
      <c r="H119" s="17"/>
      <c r="I119" s="361">
        <f t="shared" si="21"/>
        <v>0</v>
      </c>
      <c r="J119" s="17"/>
      <c r="K119" s="18"/>
      <c r="L119" s="18"/>
      <c r="M119" s="17"/>
      <c r="N119" s="17"/>
      <c r="O119" s="17"/>
      <c r="P119" s="17"/>
      <c r="Q119" s="169"/>
      <c r="R119" s="24"/>
      <c r="S119" s="24"/>
      <c r="T119" s="24"/>
      <c r="U119" s="25"/>
      <c r="V119" s="25"/>
      <c r="W119" s="25"/>
      <c r="X119" s="24"/>
      <c r="Y119" s="24"/>
      <c r="Z119" s="24"/>
      <c r="AA119" s="24"/>
      <c r="AB119" s="24"/>
      <c r="AC119" s="24"/>
      <c r="AD119" s="361">
        <f t="shared" si="20"/>
        <v>0</v>
      </c>
      <c r="AE119" s="359" t="str">
        <f t="shared" si="23"/>
        <v/>
      </c>
      <c r="AF119" s="359" t="str">
        <f t="shared" si="32"/>
        <v/>
      </c>
      <c r="AG119" s="359" t="str">
        <f t="shared" si="24"/>
        <v/>
      </c>
      <c r="AH119" s="359" t="str">
        <f t="shared" si="25"/>
        <v/>
      </c>
      <c r="AI119" s="359" t="str">
        <f t="shared" si="26"/>
        <v/>
      </c>
      <c r="AJ119" s="359" t="str">
        <f t="shared" si="27"/>
        <v/>
      </c>
      <c r="AK119" s="359" t="str">
        <f t="shared" si="29"/>
        <v/>
      </c>
      <c r="AL119" s="359" t="str">
        <f t="shared" si="28"/>
        <v/>
      </c>
      <c r="AM119" s="359" t="str">
        <f t="shared" si="30"/>
        <v/>
      </c>
      <c r="AN119" s="262">
        <f t="shared" si="33"/>
        <v>0</v>
      </c>
      <c r="AO119" s="262" t="str">
        <f>IFERROR(HLOOKUP(AN119,'Ref Lists'!Q$1:AL$2,2,FALSE),'Ref Lists'!$AK$2)</f>
        <v>Savings21</v>
      </c>
      <c r="AP119" s="38"/>
      <c r="AQ119" s="38">
        <f t="shared" si="22"/>
        <v>0</v>
      </c>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row>
    <row r="120" spans="1:104" s="40" customFormat="1" ht="20.149999999999999" customHeight="1">
      <c r="A120" s="358">
        <f t="shared" si="31"/>
        <v>119</v>
      </c>
      <c r="B120" s="359" t="str">
        <f>'Front Sheet and Checklist'!$C$5</f>
        <v>Swansea Bay UHB</v>
      </c>
      <c r="C120" s="17"/>
      <c r="D120" s="17"/>
      <c r="E120" s="17"/>
      <c r="F120" s="17"/>
      <c r="G120" s="17"/>
      <c r="H120" s="17"/>
      <c r="I120" s="361">
        <f t="shared" si="21"/>
        <v>0</v>
      </c>
      <c r="J120" s="17"/>
      <c r="K120" s="18"/>
      <c r="L120" s="18"/>
      <c r="M120" s="17"/>
      <c r="N120" s="17"/>
      <c r="O120" s="17"/>
      <c r="P120" s="17"/>
      <c r="Q120" s="169"/>
      <c r="R120" s="24"/>
      <c r="S120" s="24"/>
      <c r="T120" s="24"/>
      <c r="U120" s="25"/>
      <c r="V120" s="25"/>
      <c r="W120" s="25"/>
      <c r="X120" s="24"/>
      <c r="Y120" s="24"/>
      <c r="Z120" s="24"/>
      <c r="AA120" s="24"/>
      <c r="AB120" s="24"/>
      <c r="AC120" s="24"/>
      <c r="AD120" s="361">
        <f t="shared" si="20"/>
        <v>0</v>
      </c>
      <c r="AE120" s="359" t="str">
        <f t="shared" si="23"/>
        <v/>
      </c>
      <c r="AF120" s="359" t="str">
        <f t="shared" si="32"/>
        <v/>
      </c>
      <c r="AG120" s="359" t="str">
        <f t="shared" si="24"/>
        <v/>
      </c>
      <c r="AH120" s="359" t="str">
        <f t="shared" si="25"/>
        <v/>
      </c>
      <c r="AI120" s="359" t="str">
        <f t="shared" si="26"/>
        <v/>
      </c>
      <c r="AJ120" s="359" t="str">
        <f t="shared" si="27"/>
        <v/>
      </c>
      <c r="AK120" s="359" t="str">
        <f t="shared" si="29"/>
        <v/>
      </c>
      <c r="AL120" s="359" t="str">
        <f t="shared" si="28"/>
        <v/>
      </c>
      <c r="AM120" s="359" t="str">
        <f t="shared" si="30"/>
        <v/>
      </c>
      <c r="AN120" s="262">
        <f t="shared" si="33"/>
        <v>0</v>
      </c>
      <c r="AO120" s="262" t="str">
        <f>IFERROR(HLOOKUP(AN120,'Ref Lists'!Q$1:AL$2,2,FALSE),'Ref Lists'!$AK$2)</f>
        <v>Savings21</v>
      </c>
      <c r="AP120" s="38"/>
      <c r="AQ120" s="38">
        <f t="shared" si="22"/>
        <v>0</v>
      </c>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8"/>
      <c r="CB120" s="38"/>
      <c r="CC120" s="38"/>
      <c r="CD120" s="38"/>
      <c r="CE120" s="38"/>
      <c r="CF120" s="38"/>
      <c r="CG120" s="38"/>
      <c r="CH120" s="38"/>
      <c r="CI120" s="38"/>
      <c r="CJ120" s="38"/>
      <c r="CK120" s="38"/>
      <c r="CL120" s="38"/>
      <c r="CM120" s="38"/>
      <c r="CN120" s="38"/>
      <c r="CO120" s="38"/>
      <c r="CP120" s="38"/>
      <c r="CQ120" s="38"/>
      <c r="CR120" s="38"/>
      <c r="CS120" s="38"/>
      <c r="CT120" s="38"/>
      <c r="CU120" s="38"/>
      <c r="CV120" s="38"/>
      <c r="CW120" s="38"/>
      <c r="CX120" s="38"/>
      <c r="CY120" s="38"/>
      <c r="CZ120" s="38"/>
    </row>
    <row r="121" spans="1:104" s="40" customFormat="1" ht="20.149999999999999" customHeight="1">
      <c r="A121" s="358">
        <f t="shared" si="31"/>
        <v>120</v>
      </c>
      <c r="B121" s="359" t="str">
        <f>'Front Sheet and Checklist'!$C$5</f>
        <v>Swansea Bay UHB</v>
      </c>
      <c r="C121" s="17"/>
      <c r="D121" s="17"/>
      <c r="E121" s="17"/>
      <c r="F121" s="17"/>
      <c r="G121" s="17"/>
      <c r="H121" s="17"/>
      <c r="I121" s="361">
        <f t="shared" si="21"/>
        <v>0</v>
      </c>
      <c r="J121" s="17"/>
      <c r="K121" s="18"/>
      <c r="L121" s="18"/>
      <c r="M121" s="17"/>
      <c r="N121" s="17"/>
      <c r="O121" s="17"/>
      <c r="P121" s="17"/>
      <c r="Q121" s="169"/>
      <c r="R121" s="24"/>
      <c r="S121" s="24"/>
      <c r="T121" s="24"/>
      <c r="U121" s="25"/>
      <c r="V121" s="25"/>
      <c r="W121" s="25"/>
      <c r="X121" s="24"/>
      <c r="Y121" s="24"/>
      <c r="Z121" s="24"/>
      <c r="AA121" s="24"/>
      <c r="AB121" s="24"/>
      <c r="AC121" s="24"/>
      <c r="AD121" s="361">
        <f t="shared" si="20"/>
        <v>0</v>
      </c>
      <c r="AE121" s="359" t="str">
        <f t="shared" si="23"/>
        <v/>
      </c>
      <c r="AF121" s="359" t="str">
        <f t="shared" si="32"/>
        <v/>
      </c>
      <c r="AG121" s="359" t="str">
        <f t="shared" si="24"/>
        <v/>
      </c>
      <c r="AH121" s="359" t="str">
        <f t="shared" si="25"/>
        <v/>
      </c>
      <c r="AI121" s="359" t="str">
        <f t="shared" si="26"/>
        <v/>
      </c>
      <c r="AJ121" s="359" t="str">
        <f t="shared" si="27"/>
        <v/>
      </c>
      <c r="AK121" s="359" t="str">
        <f t="shared" si="29"/>
        <v/>
      </c>
      <c r="AL121" s="359" t="str">
        <f t="shared" si="28"/>
        <v/>
      </c>
      <c r="AM121" s="359" t="str">
        <f t="shared" si="30"/>
        <v/>
      </c>
      <c r="AN121" s="262">
        <f t="shared" si="33"/>
        <v>0</v>
      </c>
      <c r="AO121" s="262" t="str">
        <f>IFERROR(HLOOKUP(AN121,'Ref Lists'!Q$1:AL$2,2,FALSE),'Ref Lists'!$AK$2)</f>
        <v>Savings21</v>
      </c>
      <c r="AP121" s="38"/>
      <c r="AQ121" s="38">
        <f t="shared" si="22"/>
        <v>0</v>
      </c>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row>
    <row r="122" spans="1:104" s="40" customFormat="1" ht="20.149999999999999" customHeight="1">
      <c r="A122" s="358">
        <f t="shared" si="31"/>
        <v>121</v>
      </c>
      <c r="B122" s="359" t="str">
        <f>'Front Sheet and Checklist'!$C$5</f>
        <v>Swansea Bay UHB</v>
      </c>
      <c r="C122" s="17"/>
      <c r="D122" s="17"/>
      <c r="E122" s="17"/>
      <c r="F122" s="17"/>
      <c r="G122" s="17"/>
      <c r="H122" s="17"/>
      <c r="I122" s="361">
        <f t="shared" si="21"/>
        <v>0</v>
      </c>
      <c r="J122" s="17"/>
      <c r="K122" s="18"/>
      <c r="L122" s="18"/>
      <c r="M122" s="17"/>
      <c r="N122" s="17"/>
      <c r="O122" s="17"/>
      <c r="P122" s="17"/>
      <c r="Q122" s="169"/>
      <c r="R122" s="24"/>
      <c r="S122" s="24"/>
      <c r="T122" s="24"/>
      <c r="U122" s="25"/>
      <c r="V122" s="25"/>
      <c r="W122" s="25"/>
      <c r="X122" s="24"/>
      <c r="Y122" s="24"/>
      <c r="Z122" s="24"/>
      <c r="AA122" s="24"/>
      <c r="AB122" s="24"/>
      <c r="AC122" s="24"/>
      <c r="AD122" s="361">
        <f t="shared" ref="AD122:AD185" si="34">SUM(R122:AC122)</f>
        <v>0</v>
      </c>
      <c r="AE122" s="359" t="str">
        <f t="shared" si="23"/>
        <v/>
      </c>
      <c r="AF122" s="359" t="str">
        <f t="shared" si="32"/>
        <v/>
      </c>
      <c r="AG122" s="359" t="str">
        <f t="shared" si="24"/>
        <v/>
      </c>
      <c r="AH122" s="359" t="str">
        <f t="shared" si="25"/>
        <v/>
      </c>
      <c r="AI122" s="359" t="str">
        <f t="shared" si="26"/>
        <v/>
      </c>
      <c r="AJ122" s="359" t="str">
        <f t="shared" si="27"/>
        <v/>
      </c>
      <c r="AK122" s="359" t="str">
        <f t="shared" si="29"/>
        <v/>
      </c>
      <c r="AL122" s="359" t="str">
        <f t="shared" si="28"/>
        <v/>
      </c>
      <c r="AM122" s="359" t="str">
        <f t="shared" si="30"/>
        <v/>
      </c>
      <c r="AN122" s="262">
        <f t="shared" si="33"/>
        <v>0</v>
      </c>
      <c r="AO122" s="262" t="str">
        <f>IFERROR(HLOOKUP(AN122,'Ref Lists'!Q$1:AL$2,2,FALSE),'Ref Lists'!$AK$2)</f>
        <v>Savings21</v>
      </c>
      <c r="AP122" s="38"/>
      <c r="AQ122" s="38">
        <f t="shared" si="22"/>
        <v>0</v>
      </c>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row>
    <row r="123" spans="1:104" s="40" customFormat="1" ht="20.149999999999999" customHeight="1">
      <c r="A123" s="358">
        <f t="shared" si="31"/>
        <v>122</v>
      </c>
      <c r="B123" s="359" t="str">
        <f>'Front Sheet and Checklist'!$C$5</f>
        <v>Swansea Bay UHB</v>
      </c>
      <c r="C123" s="17"/>
      <c r="D123" s="17"/>
      <c r="E123" s="17"/>
      <c r="F123" s="17"/>
      <c r="G123" s="17"/>
      <c r="H123" s="17"/>
      <c r="I123" s="361">
        <f t="shared" ref="I123:I186" si="35">AD123</f>
        <v>0</v>
      </c>
      <c r="J123" s="17"/>
      <c r="K123" s="18"/>
      <c r="L123" s="18"/>
      <c r="M123" s="17"/>
      <c r="N123" s="17"/>
      <c r="O123" s="17"/>
      <c r="P123" s="17"/>
      <c r="Q123" s="169"/>
      <c r="R123" s="24"/>
      <c r="S123" s="24"/>
      <c r="T123" s="24"/>
      <c r="U123" s="25"/>
      <c r="V123" s="25"/>
      <c r="W123" s="25"/>
      <c r="X123" s="24"/>
      <c r="Y123" s="24"/>
      <c r="Z123" s="24"/>
      <c r="AA123" s="24"/>
      <c r="AB123" s="24"/>
      <c r="AC123" s="24"/>
      <c r="AD123" s="361">
        <f t="shared" si="34"/>
        <v>0</v>
      </c>
      <c r="AE123" s="359" t="str">
        <f t="shared" si="23"/>
        <v/>
      </c>
      <c r="AF123" s="359" t="str">
        <f t="shared" si="32"/>
        <v/>
      </c>
      <c r="AG123" s="359" t="str">
        <f t="shared" si="24"/>
        <v/>
      </c>
      <c r="AH123" s="359" t="str">
        <f t="shared" si="25"/>
        <v/>
      </c>
      <c r="AI123" s="359" t="str">
        <f t="shared" si="26"/>
        <v/>
      </c>
      <c r="AJ123" s="359" t="str">
        <f t="shared" si="27"/>
        <v/>
      </c>
      <c r="AK123" s="359" t="str">
        <f t="shared" si="29"/>
        <v/>
      </c>
      <c r="AL123" s="359" t="str">
        <f t="shared" si="28"/>
        <v/>
      </c>
      <c r="AM123" s="359" t="str">
        <f t="shared" si="30"/>
        <v/>
      </c>
      <c r="AN123" s="262">
        <f t="shared" si="33"/>
        <v>0</v>
      </c>
      <c r="AO123" s="262" t="str">
        <f>IFERROR(HLOOKUP(AN123,'Ref Lists'!Q$1:AL$2,2,FALSE),'Ref Lists'!$AK$2)</f>
        <v>Savings21</v>
      </c>
      <c r="AP123" s="38"/>
      <c r="AQ123" s="38">
        <f t="shared" ref="AQ123:AQ186" si="36">COUNTIFS(AE123:AL123,"Error")</f>
        <v>0</v>
      </c>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row>
    <row r="124" spans="1:104" s="40" customFormat="1" ht="20.149999999999999" customHeight="1">
      <c r="A124" s="358">
        <f t="shared" si="31"/>
        <v>123</v>
      </c>
      <c r="B124" s="359" t="str">
        <f>'Front Sheet and Checklist'!$C$5</f>
        <v>Swansea Bay UHB</v>
      </c>
      <c r="C124" s="17"/>
      <c r="D124" s="17"/>
      <c r="E124" s="17"/>
      <c r="F124" s="17"/>
      <c r="G124" s="17"/>
      <c r="H124" s="17"/>
      <c r="I124" s="361">
        <f t="shared" si="35"/>
        <v>0</v>
      </c>
      <c r="J124" s="17"/>
      <c r="K124" s="18"/>
      <c r="L124" s="18"/>
      <c r="M124" s="17"/>
      <c r="N124" s="17"/>
      <c r="O124" s="17"/>
      <c r="P124" s="17"/>
      <c r="Q124" s="169"/>
      <c r="R124" s="24"/>
      <c r="S124" s="24"/>
      <c r="T124" s="24"/>
      <c r="U124" s="25"/>
      <c r="V124" s="25"/>
      <c r="W124" s="25"/>
      <c r="X124" s="24"/>
      <c r="Y124" s="24"/>
      <c r="Z124" s="24"/>
      <c r="AA124" s="24"/>
      <c r="AB124" s="24"/>
      <c r="AC124" s="24"/>
      <c r="AD124" s="361">
        <f t="shared" si="34"/>
        <v>0</v>
      </c>
      <c r="AE124" s="359" t="str">
        <f t="shared" si="23"/>
        <v/>
      </c>
      <c r="AF124" s="359" t="str">
        <f t="shared" si="32"/>
        <v/>
      </c>
      <c r="AG124" s="359" t="str">
        <f t="shared" si="24"/>
        <v/>
      </c>
      <c r="AH124" s="359" t="str">
        <f t="shared" si="25"/>
        <v/>
      </c>
      <c r="AI124" s="359" t="str">
        <f t="shared" si="26"/>
        <v/>
      </c>
      <c r="AJ124" s="359" t="str">
        <f t="shared" si="27"/>
        <v/>
      </c>
      <c r="AK124" s="359" t="str">
        <f t="shared" si="29"/>
        <v/>
      </c>
      <c r="AL124" s="359" t="str">
        <f t="shared" si="28"/>
        <v/>
      </c>
      <c r="AM124" s="359" t="str">
        <f t="shared" si="30"/>
        <v/>
      </c>
      <c r="AN124" s="262">
        <f t="shared" si="33"/>
        <v>0</v>
      </c>
      <c r="AO124" s="262" t="str">
        <f>IFERROR(HLOOKUP(AN124,'Ref Lists'!Q$1:AL$2,2,FALSE),'Ref Lists'!$AK$2)</f>
        <v>Savings21</v>
      </c>
      <c r="AP124" s="38"/>
      <c r="AQ124" s="38">
        <f t="shared" si="36"/>
        <v>0</v>
      </c>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row>
    <row r="125" spans="1:104" s="40" customFormat="1" ht="20.149999999999999" customHeight="1">
      <c r="A125" s="358">
        <f t="shared" si="31"/>
        <v>124</v>
      </c>
      <c r="B125" s="359" t="str">
        <f>'Front Sheet and Checklist'!$C$5</f>
        <v>Swansea Bay UHB</v>
      </c>
      <c r="C125" s="17"/>
      <c r="D125" s="17"/>
      <c r="E125" s="17"/>
      <c r="F125" s="17"/>
      <c r="G125" s="17"/>
      <c r="H125" s="17"/>
      <c r="I125" s="361">
        <f t="shared" si="35"/>
        <v>0</v>
      </c>
      <c r="J125" s="17"/>
      <c r="K125" s="18"/>
      <c r="L125" s="18"/>
      <c r="M125" s="17"/>
      <c r="N125" s="17"/>
      <c r="O125" s="17"/>
      <c r="P125" s="17"/>
      <c r="Q125" s="169"/>
      <c r="R125" s="24"/>
      <c r="S125" s="24"/>
      <c r="T125" s="24"/>
      <c r="U125" s="25"/>
      <c r="V125" s="25"/>
      <c r="W125" s="25"/>
      <c r="X125" s="24"/>
      <c r="Y125" s="24"/>
      <c r="Z125" s="24"/>
      <c r="AA125" s="24"/>
      <c r="AB125" s="24"/>
      <c r="AC125" s="24"/>
      <c r="AD125" s="361">
        <f t="shared" si="34"/>
        <v>0</v>
      </c>
      <c r="AE125" s="359" t="str">
        <f t="shared" si="23"/>
        <v/>
      </c>
      <c r="AF125" s="359" t="str">
        <f t="shared" si="32"/>
        <v/>
      </c>
      <c r="AG125" s="359" t="str">
        <f t="shared" si="24"/>
        <v/>
      </c>
      <c r="AH125" s="359" t="str">
        <f t="shared" si="25"/>
        <v/>
      </c>
      <c r="AI125" s="359" t="str">
        <f t="shared" si="26"/>
        <v/>
      </c>
      <c r="AJ125" s="359" t="str">
        <f t="shared" si="27"/>
        <v/>
      </c>
      <c r="AK125" s="359" t="str">
        <f t="shared" si="29"/>
        <v/>
      </c>
      <c r="AL125" s="359" t="str">
        <f t="shared" si="28"/>
        <v/>
      </c>
      <c r="AM125" s="359" t="str">
        <f t="shared" si="30"/>
        <v/>
      </c>
      <c r="AN125" s="262">
        <f t="shared" si="33"/>
        <v>0</v>
      </c>
      <c r="AO125" s="262" t="str">
        <f>IFERROR(HLOOKUP(AN125,'Ref Lists'!Q$1:AL$2,2,FALSE),'Ref Lists'!$AK$2)</f>
        <v>Savings21</v>
      </c>
      <c r="AP125" s="38"/>
      <c r="AQ125" s="38">
        <f t="shared" si="36"/>
        <v>0</v>
      </c>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8"/>
      <c r="BS125" s="38"/>
      <c r="BT125" s="38"/>
      <c r="BU125" s="38"/>
      <c r="BV125" s="38"/>
      <c r="BW125" s="38"/>
      <c r="BX125" s="38"/>
      <c r="BY125" s="38"/>
      <c r="BZ125" s="38"/>
      <c r="CA125" s="38"/>
      <c r="CB125" s="38"/>
      <c r="CC125" s="38"/>
      <c r="CD125" s="38"/>
      <c r="CE125" s="38"/>
      <c r="CF125" s="38"/>
      <c r="CG125" s="38"/>
      <c r="CH125" s="38"/>
      <c r="CI125" s="38"/>
      <c r="CJ125" s="38"/>
      <c r="CK125" s="38"/>
      <c r="CL125" s="38"/>
      <c r="CM125" s="38"/>
      <c r="CN125" s="38"/>
      <c r="CO125" s="38"/>
      <c r="CP125" s="38"/>
      <c r="CQ125" s="38"/>
      <c r="CR125" s="38"/>
      <c r="CS125" s="38"/>
      <c r="CT125" s="38"/>
      <c r="CU125" s="38"/>
      <c r="CV125" s="38"/>
      <c r="CW125" s="38"/>
      <c r="CX125" s="38"/>
      <c r="CY125" s="38"/>
      <c r="CZ125" s="38"/>
    </row>
    <row r="126" spans="1:104" s="40" customFormat="1" ht="20.149999999999999" customHeight="1">
      <c r="A126" s="358">
        <f t="shared" si="31"/>
        <v>125</v>
      </c>
      <c r="B126" s="359" t="str">
        <f>'Front Sheet and Checklist'!$C$5</f>
        <v>Swansea Bay UHB</v>
      </c>
      <c r="C126" s="17"/>
      <c r="D126" s="17"/>
      <c r="E126" s="17"/>
      <c r="F126" s="17"/>
      <c r="G126" s="17"/>
      <c r="H126" s="17"/>
      <c r="I126" s="361">
        <f t="shared" si="35"/>
        <v>0</v>
      </c>
      <c r="J126" s="17"/>
      <c r="K126" s="18"/>
      <c r="L126" s="18"/>
      <c r="M126" s="17"/>
      <c r="N126" s="17"/>
      <c r="O126" s="17"/>
      <c r="P126" s="17"/>
      <c r="Q126" s="169"/>
      <c r="R126" s="24"/>
      <c r="S126" s="24"/>
      <c r="T126" s="24"/>
      <c r="U126" s="25"/>
      <c r="V126" s="25"/>
      <c r="W126" s="25"/>
      <c r="X126" s="24"/>
      <c r="Y126" s="24"/>
      <c r="Z126" s="24"/>
      <c r="AA126" s="24"/>
      <c r="AB126" s="24"/>
      <c r="AC126" s="24"/>
      <c r="AD126" s="361">
        <f t="shared" si="34"/>
        <v>0</v>
      </c>
      <c r="AE126" s="359" t="str">
        <f t="shared" si="23"/>
        <v/>
      </c>
      <c r="AF126" s="359" t="str">
        <f t="shared" si="32"/>
        <v/>
      </c>
      <c r="AG126" s="359" t="str">
        <f t="shared" si="24"/>
        <v/>
      </c>
      <c r="AH126" s="359" t="str">
        <f t="shared" si="25"/>
        <v/>
      </c>
      <c r="AI126" s="359" t="str">
        <f t="shared" si="26"/>
        <v/>
      </c>
      <c r="AJ126" s="359" t="str">
        <f t="shared" si="27"/>
        <v/>
      </c>
      <c r="AK126" s="359" t="str">
        <f t="shared" si="29"/>
        <v/>
      </c>
      <c r="AL126" s="359" t="str">
        <f t="shared" si="28"/>
        <v/>
      </c>
      <c r="AM126" s="359" t="str">
        <f t="shared" si="30"/>
        <v/>
      </c>
      <c r="AN126" s="262">
        <f t="shared" si="33"/>
        <v>0</v>
      </c>
      <c r="AO126" s="262" t="str">
        <f>IFERROR(HLOOKUP(AN126,'Ref Lists'!Q$1:AL$2,2,FALSE),'Ref Lists'!$AK$2)</f>
        <v>Savings21</v>
      </c>
      <c r="AP126" s="38"/>
      <c r="AQ126" s="38">
        <f t="shared" si="36"/>
        <v>0</v>
      </c>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row>
    <row r="127" spans="1:104" s="40" customFormat="1" ht="20.149999999999999" customHeight="1">
      <c r="A127" s="358">
        <f t="shared" si="31"/>
        <v>126</v>
      </c>
      <c r="B127" s="359" t="str">
        <f>'Front Sheet and Checklist'!$C$5</f>
        <v>Swansea Bay UHB</v>
      </c>
      <c r="C127" s="17"/>
      <c r="D127" s="17"/>
      <c r="E127" s="17"/>
      <c r="F127" s="17"/>
      <c r="G127" s="17"/>
      <c r="H127" s="17"/>
      <c r="I127" s="361">
        <f t="shared" si="35"/>
        <v>0</v>
      </c>
      <c r="J127" s="17"/>
      <c r="K127" s="18"/>
      <c r="L127" s="18"/>
      <c r="M127" s="17"/>
      <c r="N127" s="17"/>
      <c r="O127" s="17"/>
      <c r="P127" s="17"/>
      <c r="Q127" s="169"/>
      <c r="R127" s="24"/>
      <c r="S127" s="24"/>
      <c r="T127" s="24"/>
      <c r="U127" s="25"/>
      <c r="V127" s="25"/>
      <c r="W127" s="25"/>
      <c r="X127" s="24"/>
      <c r="Y127" s="24"/>
      <c r="Z127" s="24"/>
      <c r="AA127" s="24"/>
      <c r="AB127" s="24"/>
      <c r="AC127" s="24"/>
      <c r="AD127" s="361">
        <f t="shared" si="34"/>
        <v>0</v>
      </c>
      <c r="AE127" s="359" t="str">
        <f t="shared" si="23"/>
        <v/>
      </c>
      <c r="AF127" s="359" t="str">
        <f t="shared" si="32"/>
        <v/>
      </c>
      <c r="AG127" s="359" t="str">
        <f t="shared" si="24"/>
        <v/>
      </c>
      <c r="AH127" s="359" t="str">
        <f t="shared" si="25"/>
        <v/>
      </c>
      <c r="AI127" s="359" t="str">
        <f t="shared" si="26"/>
        <v/>
      </c>
      <c r="AJ127" s="359" t="str">
        <f t="shared" si="27"/>
        <v/>
      </c>
      <c r="AK127" s="359" t="str">
        <f t="shared" si="29"/>
        <v/>
      </c>
      <c r="AL127" s="359" t="str">
        <f t="shared" si="28"/>
        <v/>
      </c>
      <c r="AM127" s="359" t="str">
        <f t="shared" si="30"/>
        <v/>
      </c>
      <c r="AN127" s="262">
        <f t="shared" si="33"/>
        <v>0</v>
      </c>
      <c r="AO127" s="262" t="str">
        <f>IFERROR(HLOOKUP(AN127,'Ref Lists'!Q$1:AL$2,2,FALSE),'Ref Lists'!$AK$2)</f>
        <v>Savings21</v>
      </c>
      <c r="AP127" s="38"/>
      <c r="AQ127" s="38">
        <f t="shared" si="36"/>
        <v>0</v>
      </c>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row>
    <row r="128" spans="1:104" s="40" customFormat="1" ht="20.149999999999999" customHeight="1">
      <c r="A128" s="358">
        <f t="shared" si="31"/>
        <v>127</v>
      </c>
      <c r="B128" s="359" t="str">
        <f>'Front Sheet and Checklist'!$C$5</f>
        <v>Swansea Bay UHB</v>
      </c>
      <c r="C128" s="17"/>
      <c r="D128" s="17"/>
      <c r="E128" s="17"/>
      <c r="F128" s="17"/>
      <c r="G128" s="17"/>
      <c r="H128" s="17"/>
      <c r="I128" s="361">
        <f t="shared" si="35"/>
        <v>0</v>
      </c>
      <c r="J128" s="17"/>
      <c r="K128" s="18"/>
      <c r="L128" s="18"/>
      <c r="M128" s="17"/>
      <c r="N128" s="17"/>
      <c r="O128" s="17"/>
      <c r="P128" s="17"/>
      <c r="Q128" s="169"/>
      <c r="R128" s="24"/>
      <c r="S128" s="24"/>
      <c r="T128" s="24"/>
      <c r="U128" s="25"/>
      <c r="V128" s="25"/>
      <c r="W128" s="25"/>
      <c r="X128" s="24"/>
      <c r="Y128" s="24"/>
      <c r="Z128" s="24"/>
      <c r="AA128" s="24"/>
      <c r="AB128" s="24"/>
      <c r="AC128" s="24"/>
      <c r="AD128" s="361">
        <f t="shared" si="34"/>
        <v>0</v>
      </c>
      <c r="AE128" s="359" t="str">
        <f t="shared" si="23"/>
        <v/>
      </c>
      <c r="AF128" s="359" t="str">
        <f t="shared" si="32"/>
        <v/>
      </c>
      <c r="AG128" s="359" t="str">
        <f t="shared" si="24"/>
        <v/>
      </c>
      <c r="AH128" s="359" t="str">
        <f t="shared" si="25"/>
        <v/>
      </c>
      <c r="AI128" s="359" t="str">
        <f t="shared" si="26"/>
        <v/>
      </c>
      <c r="AJ128" s="359" t="str">
        <f t="shared" si="27"/>
        <v/>
      </c>
      <c r="AK128" s="359" t="str">
        <f t="shared" si="29"/>
        <v/>
      </c>
      <c r="AL128" s="359" t="str">
        <f t="shared" si="28"/>
        <v/>
      </c>
      <c r="AM128" s="359" t="str">
        <f t="shared" si="30"/>
        <v/>
      </c>
      <c r="AN128" s="262">
        <f t="shared" si="33"/>
        <v>0</v>
      </c>
      <c r="AO128" s="262" t="str">
        <f>IFERROR(HLOOKUP(AN128,'Ref Lists'!Q$1:AL$2,2,FALSE),'Ref Lists'!$AK$2)</f>
        <v>Savings21</v>
      </c>
      <c r="AP128" s="38"/>
      <c r="AQ128" s="38">
        <f t="shared" si="36"/>
        <v>0</v>
      </c>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row>
    <row r="129" spans="1:104" s="40" customFormat="1" ht="20.149999999999999" customHeight="1">
      <c r="A129" s="358">
        <f t="shared" si="31"/>
        <v>128</v>
      </c>
      <c r="B129" s="359" t="str">
        <f>'Front Sheet and Checklist'!$C$5</f>
        <v>Swansea Bay UHB</v>
      </c>
      <c r="C129" s="17"/>
      <c r="D129" s="17"/>
      <c r="E129" s="17"/>
      <c r="F129" s="17"/>
      <c r="G129" s="17"/>
      <c r="H129" s="17"/>
      <c r="I129" s="361">
        <f t="shared" si="35"/>
        <v>0</v>
      </c>
      <c r="J129" s="17"/>
      <c r="K129" s="18"/>
      <c r="L129" s="18"/>
      <c r="M129" s="17"/>
      <c r="N129" s="17"/>
      <c r="O129" s="17"/>
      <c r="P129" s="17"/>
      <c r="Q129" s="169"/>
      <c r="R129" s="24"/>
      <c r="S129" s="24"/>
      <c r="T129" s="24"/>
      <c r="U129" s="25"/>
      <c r="V129" s="25"/>
      <c r="W129" s="25"/>
      <c r="X129" s="24"/>
      <c r="Y129" s="24"/>
      <c r="Z129" s="24"/>
      <c r="AA129" s="24"/>
      <c r="AB129" s="24"/>
      <c r="AC129" s="24"/>
      <c r="AD129" s="361">
        <f t="shared" si="34"/>
        <v>0</v>
      </c>
      <c r="AE129" s="359" t="str">
        <f t="shared" si="23"/>
        <v/>
      </c>
      <c r="AF129" s="359" t="str">
        <f t="shared" si="32"/>
        <v/>
      </c>
      <c r="AG129" s="359" t="str">
        <f t="shared" si="24"/>
        <v/>
      </c>
      <c r="AH129" s="359" t="str">
        <f t="shared" si="25"/>
        <v/>
      </c>
      <c r="AI129" s="359" t="str">
        <f t="shared" si="26"/>
        <v/>
      </c>
      <c r="AJ129" s="359" t="str">
        <f t="shared" si="27"/>
        <v/>
      </c>
      <c r="AK129" s="359" t="str">
        <f t="shared" si="29"/>
        <v/>
      </c>
      <c r="AL129" s="359" t="str">
        <f t="shared" si="28"/>
        <v/>
      </c>
      <c r="AM129" s="359" t="str">
        <f t="shared" si="30"/>
        <v/>
      </c>
      <c r="AN129" s="262">
        <f t="shared" si="33"/>
        <v>0</v>
      </c>
      <c r="AO129" s="262" t="str">
        <f>IFERROR(HLOOKUP(AN129,'Ref Lists'!Q$1:AL$2,2,FALSE),'Ref Lists'!$AK$2)</f>
        <v>Savings21</v>
      </c>
      <c r="AP129" s="38"/>
      <c r="AQ129" s="38">
        <f t="shared" si="36"/>
        <v>0</v>
      </c>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row>
    <row r="130" spans="1:104" s="40" customFormat="1" ht="20.149999999999999" customHeight="1">
      <c r="A130" s="358">
        <f t="shared" si="31"/>
        <v>129</v>
      </c>
      <c r="B130" s="359" t="str">
        <f>'Front Sheet and Checklist'!$C$5</f>
        <v>Swansea Bay UHB</v>
      </c>
      <c r="C130" s="17"/>
      <c r="D130" s="17"/>
      <c r="E130" s="17"/>
      <c r="F130" s="17"/>
      <c r="G130" s="17"/>
      <c r="H130" s="17"/>
      <c r="I130" s="361">
        <f t="shared" si="35"/>
        <v>0</v>
      </c>
      <c r="J130" s="17"/>
      <c r="K130" s="18"/>
      <c r="L130" s="18"/>
      <c r="M130" s="17"/>
      <c r="N130" s="17"/>
      <c r="O130" s="17"/>
      <c r="P130" s="17"/>
      <c r="Q130" s="169"/>
      <c r="R130" s="24"/>
      <c r="S130" s="24"/>
      <c r="T130" s="24"/>
      <c r="U130" s="25"/>
      <c r="V130" s="25"/>
      <c r="W130" s="25"/>
      <c r="X130" s="24"/>
      <c r="Y130" s="24"/>
      <c r="Z130" s="24"/>
      <c r="AA130" s="24"/>
      <c r="AB130" s="24"/>
      <c r="AC130" s="24"/>
      <c r="AD130" s="361">
        <f t="shared" si="34"/>
        <v>0</v>
      </c>
      <c r="AE130" s="359" t="str">
        <f t="shared" ref="AE130:AE193" si="37">IF(AND(I130&gt;0,H130&lt;&gt;"Income Generation"),IF(AND(H130&lt;&gt;"",D130&lt;&gt;"",E130&lt;&gt;"",F130&lt;&gt;"",C130&lt;&gt;"",G130&lt;&gt;"",K130&lt;&gt;"",L130&lt;&gt;"",M130&lt;&gt;"",N130&lt;&gt;"",P130&lt;&gt;"",Q130&lt;&gt;"",O130&lt;&gt;""),"","ERROR"),"")</f>
        <v/>
      </c>
      <c r="AF130" s="359" t="str">
        <f t="shared" si="32"/>
        <v/>
      </c>
      <c r="AG130" s="359" t="str">
        <f t="shared" ref="AG130:AG193" si="38">IF(AND(I130&gt;0,O130=""),"ERROR","")</f>
        <v/>
      </c>
      <c r="AH130" s="359" t="str">
        <f t="shared" ref="AH130:AH193" si="39">IF(AND(OR(H130="Income Generation"),O130&lt;&gt;""),"ERROR","")</f>
        <v/>
      </c>
      <c r="AI130" s="359" t="str">
        <f t="shared" ref="AI130:AI193" si="40">IF(AND(G130="R",I130&gt;J130),"ERROR","")</f>
        <v/>
      </c>
      <c r="AJ130" s="359" t="str">
        <f t="shared" ref="AJ130:AJ193" si="41">IF(AND(G130="NR",J130&gt;0),"ERROR","")</f>
        <v/>
      </c>
      <c r="AK130" s="359" t="str">
        <f t="shared" si="29"/>
        <v/>
      </c>
      <c r="AL130" s="359" t="str">
        <f t="shared" ref="AL130:AL193" si="42">IF(OR(L130="",L130="N/A"),"",IF(OR(L130&lt;DATEVALUE("01/04/24"),L130&gt;DATEVALUE("31/03/25")),"ERROR",""))</f>
        <v/>
      </c>
      <c r="AM130" s="359" t="str">
        <f t="shared" si="30"/>
        <v/>
      </c>
      <c r="AN130" s="262">
        <f t="shared" si="33"/>
        <v>0</v>
      </c>
      <c r="AO130" s="262" t="str">
        <f>IFERROR(HLOOKUP(AN130,'Ref Lists'!Q$1:AL$2,2,FALSE),'Ref Lists'!$AK$2)</f>
        <v>Savings21</v>
      </c>
      <c r="AP130" s="38"/>
      <c r="AQ130" s="38">
        <f t="shared" si="36"/>
        <v>0</v>
      </c>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row>
    <row r="131" spans="1:104" s="40" customFormat="1" ht="20.149999999999999" customHeight="1">
      <c r="A131" s="358">
        <f t="shared" si="31"/>
        <v>130</v>
      </c>
      <c r="B131" s="359" t="str">
        <f>'Front Sheet and Checklist'!$C$5</f>
        <v>Swansea Bay UHB</v>
      </c>
      <c r="C131" s="17"/>
      <c r="D131" s="17"/>
      <c r="E131" s="17"/>
      <c r="F131" s="17"/>
      <c r="G131" s="17"/>
      <c r="H131" s="17"/>
      <c r="I131" s="361">
        <f t="shared" si="35"/>
        <v>0</v>
      </c>
      <c r="J131" s="17"/>
      <c r="K131" s="18"/>
      <c r="L131" s="18"/>
      <c r="M131" s="17"/>
      <c r="N131" s="17"/>
      <c r="O131" s="17"/>
      <c r="P131" s="17"/>
      <c r="Q131" s="169"/>
      <c r="R131" s="24"/>
      <c r="S131" s="24"/>
      <c r="T131" s="24"/>
      <c r="U131" s="25"/>
      <c r="V131" s="25"/>
      <c r="W131" s="25"/>
      <c r="X131" s="24"/>
      <c r="Y131" s="24"/>
      <c r="Z131" s="24"/>
      <c r="AA131" s="24"/>
      <c r="AB131" s="24"/>
      <c r="AC131" s="24"/>
      <c r="AD131" s="361">
        <f t="shared" si="34"/>
        <v>0</v>
      </c>
      <c r="AE131" s="359" t="str">
        <f t="shared" si="37"/>
        <v/>
      </c>
      <c r="AF131" s="359" t="str">
        <f t="shared" si="32"/>
        <v/>
      </c>
      <c r="AG131" s="359" t="str">
        <f t="shared" si="38"/>
        <v/>
      </c>
      <c r="AH131" s="359" t="str">
        <f t="shared" si="39"/>
        <v/>
      </c>
      <c r="AI131" s="359" t="str">
        <f t="shared" si="40"/>
        <v/>
      </c>
      <c r="AJ131" s="359" t="str">
        <f t="shared" si="41"/>
        <v/>
      </c>
      <c r="AK131" s="359" t="str">
        <f t="shared" ref="AK131:AK194" si="43">IF(OR(K131="",K131="N/a"),"",IF(OR(K131&lt;DATEVALUE("01/04/24"),K131&gt;DATEVALUE("31/03/25")),"ERROR",""))</f>
        <v/>
      </c>
      <c r="AL131" s="359" t="str">
        <f t="shared" si="42"/>
        <v/>
      </c>
      <c r="AM131" s="359" t="str">
        <f t="shared" ref="AM131:AM194" si="44">IF(COUNTA(T131:AC131)&lt;&gt;COUNT(T131:AC131),"ERROR","")</f>
        <v/>
      </c>
      <c r="AN131" s="262">
        <f t="shared" si="33"/>
        <v>0</v>
      </c>
      <c r="AO131" s="262" t="str">
        <f>IFERROR(HLOOKUP(AN131,'Ref Lists'!Q$1:AL$2,2,FALSE),'Ref Lists'!$AK$2)</f>
        <v>Savings21</v>
      </c>
      <c r="AP131" s="38"/>
      <c r="AQ131" s="38">
        <f t="shared" si="36"/>
        <v>0</v>
      </c>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row>
    <row r="132" spans="1:104" s="40" customFormat="1" ht="20.149999999999999" customHeight="1">
      <c r="A132" s="358">
        <f t="shared" ref="A132:A195" si="45">+A131+1</f>
        <v>131</v>
      </c>
      <c r="B132" s="359" t="str">
        <f>'Front Sheet and Checklist'!$C$5</f>
        <v>Swansea Bay UHB</v>
      </c>
      <c r="C132" s="17"/>
      <c r="D132" s="17"/>
      <c r="E132" s="17"/>
      <c r="F132" s="17"/>
      <c r="G132" s="17"/>
      <c r="H132" s="17"/>
      <c r="I132" s="361">
        <f t="shared" si="35"/>
        <v>0</v>
      </c>
      <c r="J132" s="17"/>
      <c r="K132" s="18"/>
      <c r="L132" s="18"/>
      <c r="M132" s="17"/>
      <c r="N132" s="17"/>
      <c r="O132" s="17"/>
      <c r="P132" s="17"/>
      <c r="Q132" s="169"/>
      <c r="R132" s="24"/>
      <c r="S132" s="24"/>
      <c r="T132" s="24"/>
      <c r="U132" s="25"/>
      <c r="V132" s="25"/>
      <c r="W132" s="25"/>
      <c r="X132" s="24"/>
      <c r="Y132" s="24"/>
      <c r="Z132" s="24"/>
      <c r="AA132" s="24"/>
      <c r="AB132" s="24"/>
      <c r="AC132" s="24"/>
      <c r="AD132" s="361">
        <f t="shared" si="34"/>
        <v>0</v>
      </c>
      <c r="AE132" s="359" t="str">
        <f t="shared" si="37"/>
        <v/>
      </c>
      <c r="AF132" s="359" t="str">
        <f t="shared" ref="AF132:AF195" si="46">IF(COUNTIF($F$2:$F$1001,F132)&gt;1,"ERROR","")</f>
        <v/>
      </c>
      <c r="AG132" s="359" t="str">
        <f t="shared" si="38"/>
        <v/>
      </c>
      <c r="AH132" s="359" t="str">
        <f t="shared" si="39"/>
        <v/>
      </c>
      <c r="AI132" s="359" t="str">
        <f t="shared" si="40"/>
        <v/>
      </c>
      <c r="AJ132" s="359" t="str">
        <f t="shared" si="41"/>
        <v/>
      </c>
      <c r="AK132" s="359" t="str">
        <f t="shared" si="43"/>
        <v/>
      </c>
      <c r="AL132" s="359" t="str">
        <f t="shared" si="42"/>
        <v/>
      </c>
      <c r="AM132" s="359" t="str">
        <f t="shared" si="44"/>
        <v/>
      </c>
      <c r="AN132" s="262">
        <f t="shared" si="33"/>
        <v>0</v>
      </c>
      <c r="AO132" s="262" t="str">
        <f>IFERROR(HLOOKUP(AN132,'Ref Lists'!Q$1:AL$2,2,FALSE),'Ref Lists'!$AK$2)</f>
        <v>Savings21</v>
      </c>
      <c r="AP132" s="38"/>
      <c r="AQ132" s="38">
        <f t="shared" si="36"/>
        <v>0</v>
      </c>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38"/>
      <c r="BZ132" s="38"/>
      <c r="CA132" s="38"/>
      <c r="CB132" s="38"/>
      <c r="CC132" s="38"/>
      <c r="CD132" s="38"/>
      <c r="CE132" s="38"/>
      <c r="CF132" s="38"/>
      <c r="CG132" s="38"/>
      <c r="CH132" s="38"/>
      <c r="CI132" s="38"/>
      <c r="CJ132" s="38"/>
      <c r="CK132" s="38"/>
      <c r="CL132" s="38"/>
      <c r="CM132" s="38"/>
      <c r="CN132" s="38"/>
      <c r="CO132" s="38"/>
      <c r="CP132" s="38"/>
      <c r="CQ132" s="38"/>
      <c r="CR132" s="38"/>
      <c r="CS132" s="38"/>
      <c r="CT132" s="38"/>
      <c r="CU132" s="38"/>
      <c r="CV132" s="38"/>
      <c r="CW132" s="38"/>
      <c r="CX132" s="38"/>
      <c r="CY132" s="38"/>
      <c r="CZ132" s="38"/>
    </row>
    <row r="133" spans="1:104" s="40" customFormat="1" ht="20.149999999999999" customHeight="1">
      <c r="A133" s="358">
        <f t="shared" si="45"/>
        <v>132</v>
      </c>
      <c r="B133" s="359" t="str">
        <f>'Front Sheet and Checklist'!$C$5</f>
        <v>Swansea Bay UHB</v>
      </c>
      <c r="C133" s="17"/>
      <c r="D133" s="17"/>
      <c r="E133" s="17"/>
      <c r="F133" s="17"/>
      <c r="G133" s="17"/>
      <c r="H133" s="17"/>
      <c r="I133" s="361">
        <f t="shared" si="35"/>
        <v>0</v>
      </c>
      <c r="J133" s="17"/>
      <c r="K133" s="18"/>
      <c r="L133" s="18"/>
      <c r="M133" s="17"/>
      <c r="N133" s="17"/>
      <c r="O133" s="17"/>
      <c r="P133" s="17"/>
      <c r="Q133" s="169"/>
      <c r="R133" s="24"/>
      <c r="S133" s="24"/>
      <c r="T133" s="24"/>
      <c r="U133" s="25"/>
      <c r="V133" s="25"/>
      <c r="W133" s="25"/>
      <c r="X133" s="24"/>
      <c r="Y133" s="24"/>
      <c r="Z133" s="24"/>
      <c r="AA133" s="24"/>
      <c r="AB133" s="24"/>
      <c r="AC133" s="24"/>
      <c r="AD133" s="361">
        <f t="shared" si="34"/>
        <v>0</v>
      </c>
      <c r="AE133" s="359" t="str">
        <f t="shared" si="37"/>
        <v/>
      </c>
      <c r="AF133" s="359" t="str">
        <f t="shared" si="46"/>
        <v/>
      </c>
      <c r="AG133" s="359" t="str">
        <f t="shared" si="38"/>
        <v/>
      </c>
      <c r="AH133" s="359" t="str">
        <f t="shared" si="39"/>
        <v/>
      </c>
      <c r="AI133" s="359" t="str">
        <f t="shared" si="40"/>
        <v/>
      </c>
      <c r="AJ133" s="359" t="str">
        <f t="shared" si="41"/>
        <v/>
      </c>
      <c r="AK133" s="359" t="str">
        <f t="shared" si="43"/>
        <v/>
      </c>
      <c r="AL133" s="359" t="str">
        <f t="shared" si="42"/>
        <v/>
      </c>
      <c r="AM133" s="359" t="str">
        <f t="shared" si="44"/>
        <v/>
      </c>
      <c r="AN133" s="262">
        <f t="shared" ref="AN133:AN196" si="47">IF(P133="1) Workforce",_xlfn.CONCAT(P133,O133),IF(P133="5) Pathway",_xlfn.CONCAT(P133,N133),P133))</f>
        <v>0</v>
      </c>
      <c r="AO133" s="262" t="str">
        <f>IFERROR(HLOOKUP(AN133,'Ref Lists'!Q$1:AL$2,2,FALSE),'Ref Lists'!$AK$2)</f>
        <v>Savings21</v>
      </c>
      <c r="AP133" s="38"/>
      <c r="AQ133" s="38">
        <f t="shared" si="36"/>
        <v>0</v>
      </c>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c r="CJ133" s="38"/>
      <c r="CK133" s="38"/>
      <c r="CL133" s="38"/>
      <c r="CM133" s="38"/>
      <c r="CN133" s="38"/>
      <c r="CO133" s="38"/>
      <c r="CP133" s="38"/>
      <c r="CQ133" s="38"/>
      <c r="CR133" s="38"/>
      <c r="CS133" s="38"/>
      <c r="CT133" s="38"/>
      <c r="CU133" s="38"/>
      <c r="CV133" s="38"/>
      <c r="CW133" s="38"/>
      <c r="CX133" s="38"/>
      <c r="CY133" s="38"/>
      <c r="CZ133" s="38"/>
    </row>
    <row r="134" spans="1:104" s="40" customFormat="1" ht="20.149999999999999" customHeight="1">
      <c r="A134" s="358">
        <f t="shared" si="45"/>
        <v>133</v>
      </c>
      <c r="B134" s="359" t="str">
        <f>'Front Sheet and Checklist'!$C$5</f>
        <v>Swansea Bay UHB</v>
      </c>
      <c r="C134" s="17"/>
      <c r="D134" s="17"/>
      <c r="E134" s="17"/>
      <c r="F134" s="17"/>
      <c r="G134" s="17"/>
      <c r="H134" s="17"/>
      <c r="I134" s="361">
        <f t="shared" si="35"/>
        <v>0</v>
      </c>
      <c r="J134" s="17"/>
      <c r="K134" s="18"/>
      <c r="L134" s="18"/>
      <c r="M134" s="17"/>
      <c r="N134" s="17"/>
      <c r="O134" s="17"/>
      <c r="P134" s="17"/>
      <c r="Q134" s="169"/>
      <c r="R134" s="24"/>
      <c r="S134" s="24"/>
      <c r="T134" s="24"/>
      <c r="U134" s="25"/>
      <c r="V134" s="25"/>
      <c r="W134" s="25"/>
      <c r="X134" s="24"/>
      <c r="Y134" s="24"/>
      <c r="Z134" s="24"/>
      <c r="AA134" s="24"/>
      <c r="AB134" s="24"/>
      <c r="AC134" s="24"/>
      <c r="AD134" s="361">
        <f t="shared" si="34"/>
        <v>0</v>
      </c>
      <c r="AE134" s="359" t="str">
        <f t="shared" si="37"/>
        <v/>
      </c>
      <c r="AF134" s="359" t="str">
        <f t="shared" si="46"/>
        <v/>
      </c>
      <c r="AG134" s="359" t="str">
        <f t="shared" si="38"/>
        <v/>
      </c>
      <c r="AH134" s="359" t="str">
        <f t="shared" si="39"/>
        <v/>
      </c>
      <c r="AI134" s="359" t="str">
        <f t="shared" si="40"/>
        <v/>
      </c>
      <c r="AJ134" s="359" t="str">
        <f t="shared" si="41"/>
        <v/>
      </c>
      <c r="AK134" s="359" t="str">
        <f t="shared" si="43"/>
        <v/>
      </c>
      <c r="AL134" s="359" t="str">
        <f t="shared" si="42"/>
        <v/>
      </c>
      <c r="AM134" s="359" t="str">
        <f t="shared" si="44"/>
        <v/>
      </c>
      <c r="AN134" s="262">
        <f t="shared" si="47"/>
        <v>0</v>
      </c>
      <c r="AO134" s="262" t="str">
        <f>IFERROR(HLOOKUP(AN134,'Ref Lists'!Q$1:AL$2,2,FALSE),'Ref Lists'!$AK$2)</f>
        <v>Savings21</v>
      </c>
      <c r="AP134" s="38"/>
      <c r="AQ134" s="38">
        <f t="shared" si="36"/>
        <v>0</v>
      </c>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38"/>
      <c r="BZ134" s="38"/>
      <c r="CA134" s="38"/>
      <c r="CB134" s="38"/>
      <c r="CC134" s="38"/>
      <c r="CD134" s="38"/>
      <c r="CE134" s="38"/>
      <c r="CF134" s="38"/>
      <c r="CG134" s="38"/>
      <c r="CH134" s="38"/>
      <c r="CI134" s="38"/>
      <c r="CJ134" s="38"/>
      <c r="CK134" s="38"/>
      <c r="CL134" s="38"/>
      <c r="CM134" s="38"/>
      <c r="CN134" s="38"/>
      <c r="CO134" s="38"/>
      <c r="CP134" s="38"/>
      <c r="CQ134" s="38"/>
      <c r="CR134" s="38"/>
      <c r="CS134" s="38"/>
      <c r="CT134" s="38"/>
      <c r="CU134" s="38"/>
      <c r="CV134" s="38"/>
      <c r="CW134" s="38"/>
      <c r="CX134" s="38"/>
      <c r="CY134" s="38"/>
      <c r="CZ134" s="38"/>
    </row>
    <row r="135" spans="1:104" s="40" customFormat="1" ht="20.149999999999999" customHeight="1">
      <c r="A135" s="358">
        <f t="shared" si="45"/>
        <v>134</v>
      </c>
      <c r="B135" s="359" t="str">
        <f>'Front Sheet and Checklist'!$C$5</f>
        <v>Swansea Bay UHB</v>
      </c>
      <c r="C135" s="17"/>
      <c r="D135" s="17"/>
      <c r="E135" s="17"/>
      <c r="F135" s="17"/>
      <c r="G135" s="17"/>
      <c r="H135" s="17"/>
      <c r="I135" s="361">
        <f t="shared" si="35"/>
        <v>0</v>
      </c>
      <c r="J135" s="17"/>
      <c r="K135" s="18"/>
      <c r="L135" s="18"/>
      <c r="M135" s="17"/>
      <c r="N135" s="17"/>
      <c r="O135" s="17"/>
      <c r="P135" s="17"/>
      <c r="Q135" s="169"/>
      <c r="R135" s="24"/>
      <c r="S135" s="24"/>
      <c r="T135" s="24"/>
      <c r="U135" s="25"/>
      <c r="V135" s="25"/>
      <c r="W135" s="25"/>
      <c r="X135" s="24"/>
      <c r="Y135" s="24"/>
      <c r="Z135" s="24"/>
      <c r="AA135" s="24"/>
      <c r="AB135" s="24"/>
      <c r="AC135" s="24"/>
      <c r="AD135" s="361">
        <f t="shared" si="34"/>
        <v>0</v>
      </c>
      <c r="AE135" s="359" t="str">
        <f t="shared" si="37"/>
        <v/>
      </c>
      <c r="AF135" s="359" t="str">
        <f t="shared" si="46"/>
        <v/>
      </c>
      <c r="AG135" s="359" t="str">
        <f t="shared" si="38"/>
        <v/>
      </c>
      <c r="AH135" s="359" t="str">
        <f t="shared" si="39"/>
        <v/>
      </c>
      <c r="AI135" s="359" t="str">
        <f t="shared" si="40"/>
        <v/>
      </c>
      <c r="AJ135" s="359" t="str">
        <f t="shared" si="41"/>
        <v/>
      </c>
      <c r="AK135" s="359" t="str">
        <f t="shared" si="43"/>
        <v/>
      </c>
      <c r="AL135" s="359" t="str">
        <f t="shared" si="42"/>
        <v/>
      </c>
      <c r="AM135" s="359" t="str">
        <f t="shared" si="44"/>
        <v/>
      </c>
      <c r="AN135" s="262">
        <f t="shared" si="47"/>
        <v>0</v>
      </c>
      <c r="AO135" s="262" t="str">
        <f>IFERROR(HLOOKUP(AN135,'Ref Lists'!Q$1:AL$2,2,FALSE),'Ref Lists'!$AK$2)</f>
        <v>Savings21</v>
      </c>
      <c r="AP135" s="38"/>
      <c r="AQ135" s="38">
        <f t="shared" si="36"/>
        <v>0</v>
      </c>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8"/>
      <c r="CF135" s="38"/>
      <c r="CG135" s="38"/>
      <c r="CH135" s="38"/>
      <c r="CI135" s="38"/>
      <c r="CJ135" s="38"/>
      <c r="CK135" s="38"/>
      <c r="CL135" s="38"/>
      <c r="CM135" s="38"/>
      <c r="CN135" s="38"/>
      <c r="CO135" s="38"/>
      <c r="CP135" s="38"/>
      <c r="CQ135" s="38"/>
      <c r="CR135" s="38"/>
      <c r="CS135" s="38"/>
      <c r="CT135" s="38"/>
      <c r="CU135" s="38"/>
      <c r="CV135" s="38"/>
      <c r="CW135" s="38"/>
      <c r="CX135" s="38"/>
      <c r="CY135" s="38"/>
      <c r="CZ135" s="38"/>
    </row>
    <row r="136" spans="1:104" s="40" customFormat="1" ht="20.149999999999999" customHeight="1">
      <c r="A136" s="358">
        <f t="shared" si="45"/>
        <v>135</v>
      </c>
      <c r="B136" s="359" t="str">
        <f>'Front Sheet and Checklist'!$C$5</f>
        <v>Swansea Bay UHB</v>
      </c>
      <c r="C136" s="17"/>
      <c r="D136" s="17"/>
      <c r="E136" s="17"/>
      <c r="F136" s="17"/>
      <c r="G136" s="17"/>
      <c r="H136" s="17"/>
      <c r="I136" s="361">
        <f t="shared" si="35"/>
        <v>0</v>
      </c>
      <c r="J136" s="17"/>
      <c r="K136" s="18"/>
      <c r="L136" s="18"/>
      <c r="M136" s="17"/>
      <c r="N136" s="17"/>
      <c r="O136" s="17"/>
      <c r="P136" s="17"/>
      <c r="Q136" s="169"/>
      <c r="R136" s="24"/>
      <c r="S136" s="24"/>
      <c r="T136" s="24"/>
      <c r="U136" s="25"/>
      <c r="V136" s="25"/>
      <c r="W136" s="25"/>
      <c r="X136" s="24"/>
      <c r="Y136" s="24"/>
      <c r="Z136" s="24"/>
      <c r="AA136" s="24"/>
      <c r="AB136" s="24"/>
      <c r="AC136" s="24"/>
      <c r="AD136" s="361">
        <f t="shared" si="34"/>
        <v>0</v>
      </c>
      <c r="AE136" s="359" t="str">
        <f t="shared" si="37"/>
        <v/>
      </c>
      <c r="AF136" s="359" t="str">
        <f t="shared" si="46"/>
        <v/>
      </c>
      <c r="AG136" s="359" t="str">
        <f t="shared" si="38"/>
        <v/>
      </c>
      <c r="AH136" s="359" t="str">
        <f t="shared" si="39"/>
        <v/>
      </c>
      <c r="AI136" s="359" t="str">
        <f t="shared" si="40"/>
        <v/>
      </c>
      <c r="AJ136" s="359" t="str">
        <f t="shared" si="41"/>
        <v/>
      </c>
      <c r="AK136" s="359" t="str">
        <f t="shared" si="43"/>
        <v/>
      </c>
      <c r="AL136" s="359" t="str">
        <f t="shared" si="42"/>
        <v/>
      </c>
      <c r="AM136" s="359" t="str">
        <f t="shared" si="44"/>
        <v/>
      </c>
      <c r="AN136" s="262">
        <f t="shared" si="47"/>
        <v>0</v>
      </c>
      <c r="AO136" s="262" t="str">
        <f>IFERROR(HLOOKUP(AN136,'Ref Lists'!Q$1:AL$2,2,FALSE),'Ref Lists'!$AK$2)</f>
        <v>Savings21</v>
      </c>
      <c r="AP136" s="38"/>
      <c r="AQ136" s="38">
        <f t="shared" si="36"/>
        <v>0</v>
      </c>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row>
    <row r="137" spans="1:104" s="40" customFormat="1" ht="20.149999999999999" customHeight="1">
      <c r="A137" s="358">
        <f t="shared" si="45"/>
        <v>136</v>
      </c>
      <c r="B137" s="359" t="str">
        <f>'Front Sheet and Checklist'!$C$5</f>
        <v>Swansea Bay UHB</v>
      </c>
      <c r="C137" s="17"/>
      <c r="D137" s="17"/>
      <c r="E137" s="17"/>
      <c r="F137" s="17"/>
      <c r="G137" s="17"/>
      <c r="H137" s="17"/>
      <c r="I137" s="361">
        <f t="shared" si="35"/>
        <v>0</v>
      </c>
      <c r="J137" s="17"/>
      <c r="K137" s="18"/>
      <c r="L137" s="18"/>
      <c r="M137" s="17"/>
      <c r="N137" s="17"/>
      <c r="O137" s="17"/>
      <c r="P137" s="17"/>
      <c r="Q137" s="169"/>
      <c r="R137" s="24"/>
      <c r="S137" s="24"/>
      <c r="T137" s="24"/>
      <c r="U137" s="25"/>
      <c r="V137" s="25"/>
      <c r="W137" s="25"/>
      <c r="X137" s="24"/>
      <c r="Y137" s="24"/>
      <c r="Z137" s="24"/>
      <c r="AA137" s="24"/>
      <c r="AB137" s="24"/>
      <c r="AC137" s="24"/>
      <c r="AD137" s="361">
        <f t="shared" si="34"/>
        <v>0</v>
      </c>
      <c r="AE137" s="359" t="str">
        <f t="shared" si="37"/>
        <v/>
      </c>
      <c r="AF137" s="359" t="str">
        <f t="shared" si="46"/>
        <v/>
      </c>
      <c r="AG137" s="359" t="str">
        <f t="shared" si="38"/>
        <v/>
      </c>
      <c r="AH137" s="359" t="str">
        <f t="shared" si="39"/>
        <v/>
      </c>
      <c r="AI137" s="359" t="str">
        <f t="shared" si="40"/>
        <v/>
      </c>
      <c r="AJ137" s="359" t="str">
        <f t="shared" si="41"/>
        <v/>
      </c>
      <c r="AK137" s="359" t="str">
        <f t="shared" si="43"/>
        <v/>
      </c>
      <c r="AL137" s="359" t="str">
        <f t="shared" si="42"/>
        <v/>
      </c>
      <c r="AM137" s="359" t="str">
        <f t="shared" si="44"/>
        <v/>
      </c>
      <c r="AN137" s="262">
        <f t="shared" si="47"/>
        <v>0</v>
      </c>
      <c r="AO137" s="262" t="str">
        <f>IFERROR(HLOOKUP(AN137,'Ref Lists'!Q$1:AL$2,2,FALSE),'Ref Lists'!$AK$2)</f>
        <v>Savings21</v>
      </c>
      <c r="AP137" s="38"/>
      <c r="AQ137" s="38">
        <f t="shared" si="36"/>
        <v>0</v>
      </c>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row>
    <row r="138" spans="1:104" s="40" customFormat="1" ht="20.149999999999999" customHeight="1">
      <c r="A138" s="358">
        <f t="shared" si="45"/>
        <v>137</v>
      </c>
      <c r="B138" s="359" t="str">
        <f>'Front Sheet and Checklist'!$C$5</f>
        <v>Swansea Bay UHB</v>
      </c>
      <c r="C138" s="17"/>
      <c r="D138" s="17"/>
      <c r="E138" s="17"/>
      <c r="F138" s="17"/>
      <c r="G138" s="17"/>
      <c r="H138" s="17"/>
      <c r="I138" s="361">
        <f t="shared" si="35"/>
        <v>0</v>
      </c>
      <c r="J138" s="17"/>
      <c r="K138" s="18"/>
      <c r="L138" s="18"/>
      <c r="M138" s="17"/>
      <c r="N138" s="17"/>
      <c r="O138" s="17"/>
      <c r="P138" s="17"/>
      <c r="Q138" s="169"/>
      <c r="R138" s="24"/>
      <c r="S138" s="24"/>
      <c r="T138" s="24"/>
      <c r="U138" s="25"/>
      <c r="V138" s="25"/>
      <c r="W138" s="25"/>
      <c r="X138" s="24"/>
      <c r="Y138" s="24"/>
      <c r="Z138" s="24"/>
      <c r="AA138" s="24"/>
      <c r="AB138" s="24"/>
      <c r="AC138" s="24"/>
      <c r="AD138" s="361">
        <f t="shared" si="34"/>
        <v>0</v>
      </c>
      <c r="AE138" s="359" t="str">
        <f t="shared" si="37"/>
        <v/>
      </c>
      <c r="AF138" s="359" t="str">
        <f t="shared" si="46"/>
        <v/>
      </c>
      <c r="AG138" s="359" t="str">
        <f t="shared" si="38"/>
        <v/>
      </c>
      <c r="AH138" s="359" t="str">
        <f t="shared" si="39"/>
        <v/>
      </c>
      <c r="AI138" s="359" t="str">
        <f t="shared" si="40"/>
        <v/>
      </c>
      <c r="AJ138" s="359" t="str">
        <f t="shared" si="41"/>
        <v/>
      </c>
      <c r="AK138" s="359" t="str">
        <f t="shared" si="43"/>
        <v/>
      </c>
      <c r="AL138" s="359" t="str">
        <f t="shared" si="42"/>
        <v/>
      </c>
      <c r="AM138" s="359" t="str">
        <f t="shared" si="44"/>
        <v/>
      </c>
      <c r="AN138" s="262">
        <f t="shared" si="47"/>
        <v>0</v>
      </c>
      <c r="AO138" s="262" t="str">
        <f>IFERROR(HLOOKUP(AN138,'Ref Lists'!Q$1:AL$2,2,FALSE),'Ref Lists'!$AK$2)</f>
        <v>Savings21</v>
      </c>
      <c r="AP138" s="38"/>
      <c r="AQ138" s="38">
        <f t="shared" si="36"/>
        <v>0</v>
      </c>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38"/>
      <c r="CG138" s="38"/>
      <c r="CH138" s="38"/>
      <c r="CI138" s="38"/>
      <c r="CJ138" s="38"/>
      <c r="CK138" s="38"/>
      <c r="CL138" s="38"/>
      <c r="CM138" s="38"/>
      <c r="CN138" s="38"/>
      <c r="CO138" s="38"/>
      <c r="CP138" s="38"/>
      <c r="CQ138" s="38"/>
      <c r="CR138" s="38"/>
      <c r="CS138" s="38"/>
      <c r="CT138" s="38"/>
      <c r="CU138" s="38"/>
      <c r="CV138" s="38"/>
      <c r="CW138" s="38"/>
      <c r="CX138" s="38"/>
      <c r="CY138" s="38"/>
      <c r="CZ138" s="38"/>
    </row>
    <row r="139" spans="1:104" s="40" customFormat="1" ht="20.149999999999999" customHeight="1">
      <c r="A139" s="358">
        <f t="shared" si="45"/>
        <v>138</v>
      </c>
      <c r="B139" s="359" t="str">
        <f>'Front Sheet and Checklist'!$C$5</f>
        <v>Swansea Bay UHB</v>
      </c>
      <c r="C139" s="17"/>
      <c r="D139" s="17"/>
      <c r="E139" s="17"/>
      <c r="F139" s="17"/>
      <c r="G139" s="17"/>
      <c r="H139" s="17"/>
      <c r="I139" s="361">
        <f t="shared" si="35"/>
        <v>0</v>
      </c>
      <c r="J139" s="17"/>
      <c r="K139" s="18"/>
      <c r="L139" s="18"/>
      <c r="M139" s="17"/>
      <c r="N139" s="17"/>
      <c r="O139" s="17"/>
      <c r="P139" s="17"/>
      <c r="Q139" s="169"/>
      <c r="R139" s="24"/>
      <c r="S139" s="24"/>
      <c r="T139" s="24"/>
      <c r="U139" s="25"/>
      <c r="V139" s="25"/>
      <c r="W139" s="25"/>
      <c r="X139" s="24"/>
      <c r="Y139" s="24"/>
      <c r="Z139" s="24"/>
      <c r="AA139" s="24"/>
      <c r="AB139" s="24"/>
      <c r="AC139" s="24"/>
      <c r="AD139" s="361">
        <f t="shared" si="34"/>
        <v>0</v>
      </c>
      <c r="AE139" s="359" t="str">
        <f t="shared" si="37"/>
        <v/>
      </c>
      <c r="AF139" s="359" t="str">
        <f t="shared" si="46"/>
        <v/>
      </c>
      <c r="AG139" s="359" t="str">
        <f t="shared" si="38"/>
        <v/>
      </c>
      <c r="AH139" s="359" t="str">
        <f t="shared" si="39"/>
        <v/>
      </c>
      <c r="AI139" s="359" t="str">
        <f t="shared" si="40"/>
        <v/>
      </c>
      <c r="AJ139" s="359" t="str">
        <f t="shared" si="41"/>
        <v/>
      </c>
      <c r="AK139" s="359" t="str">
        <f t="shared" si="43"/>
        <v/>
      </c>
      <c r="AL139" s="359" t="str">
        <f t="shared" si="42"/>
        <v/>
      </c>
      <c r="AM139" s="359" t="str">
        <f t="shared" si="44"/>
        <v/>
      </c>
      <c r="AN139" s="262">
        <f t="shared" si="47"/>
        <v>0</v>
      </c>
      <c r="AO139" s="262" t="str">
        <f>IFERROR(HLOOKUP(AN139,'Ref Lists'!Q$1:AL$2,2,FALSE),'Ref Lists'!$AK$2)</f>
        <v>Savings21</v>
      </c>
      <c r="AP139" s="38"/>
      <c r="AQ139" s="38">
        <f t="shared" si="36"/>
        <v>0</v>
      </c>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row>
    <row r="140" spans="1:104" s="40" customFormat="1" ht="20.149999999999999" customHeight="1">
      <c r="A140" s="358">
        <f t="shared" si="45"/>
        <v>139</v>
      </c>
      <c r="B140" s="359" t="str">
        <f>'Front Sheet and Checklist'!$C$5</f>
        <v>Swansea Bay UHB</v>
      </c>
      <c r="C140" s="17"/>
      <c r="D140" s="17"/>
      <c r="E140" s="17"/>
      <c r="F140" s="17"/>
      <c r="G140" s="17"/>
      <c r="H140" s="17"/>
      <c r="I140" s="361">
        <f t="shared" si="35"/>
        <v>0</v>
      </c>
      <c r="J140" s="17"/>
      <c r="K140" s="18"/>
      <c r="L140" s="18"/>
      <c r="M140" s="17"/>
      <c r="N140" s="17"/>
      <c r="O140" s="17"/>
      <c r="P140" s="17"/>
      <c r="Q140" s="169"/>
      <c r="R140" s="24"/>
      <c r="S140" s="24"/>
      <c r="T140" s="24"/>
      <c r="U140" s="25"/>
      <c r="V140" s="25"/>
      <c r="W140" s="25"/>
      <c r="X140" s="24"/>
      <c r="Y140" s="24"/>
      <c r="Z140" s="24"/>
      <c r="AA140" s="24"/>
      <c r="AB140" s="24"/>
      <c r="AC140" s="24"/>
      <c r="AD140" s="361">
        <f t="shared" si="34"/>
        <v>0</v>
      </c>
      <c r="AE140" s="359" t="str">
        <f t="shared" si="37"/>
        <v/>
      </c>
      <c r="AF140" s="359" t="str">
        <f t="shared" si="46"/>
        <v/>
      </c>
      <c r="AG140" s="359" t="str">
        <f t="shared" si="38"/>
        <v/>
      </c>
      <c r="AH140" s="359" t="str">
        <f t="shared" si="39"/>
        <v/>
      </c>
      <c r="AI140" s="359" t="str">
        <f t="shared" si="40"/>
        <v/>
      </c>
      <c r="AJ140" s="359" t="str">
        <f t="shared" si="41"/>
        <v/>
      </c>
      <c r="AK140" s="359" t="str">
        <f t="shared" si="43"/>
        <v/>
      </c>
      <c r="AL140" s="359" t="str">
        <f t="shared" si="42"/>
        <v/>
      </c>
      <c r="AM140" s="359" t="str">
        <f t="shared" si="44"/>
        <v/>
      </c>
      <c r="AN140" s="262">
        <f t="shared" si="47"/>
        <v>0</v>
      </c>
      <c r="AO140" s="262" t="str">
        <f>IFERROR(HLOOKUP(AN140,'Ref Lists'!Q$1:AL$2,2,FALSE),'Ref Lists'!$AK$2)</f>
        <v>Savings21</v>
      </c>
      <c r="AP140" s="38"/>
      <c r="AQ140" s="38">
        <f t="shared" si="36"/>
        <v>0</v>
      </c>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8"/>
      <c r="CF140" s="38"/>
      <c r="CG140" s="38"/>
      <c r="CH140" s="38"/>
      <c r="CI140" s="38"/>
      <c r="CJ140" s="38"/>
      <c r="CK140" s="38"/>
      <c r="CL140" s="38"/>
      <c r="CM140" s="38"/>
      <c r="CN140" s="38"/>
      <c r="CO140" s="38"/>
      <c r="CP140" s="38"/>
      <c r="CQ140" s="38"/>
      <c r="CR140" s="38"/>
      <c r="CS140" s="38"/>
      <c r="CT140" s="38"/>
      <c r="CU140" s="38"/>
      <c r="CV140" s="38"/>
      <c r="CW140" s="38"/>
      <c r="CX140" s="38"/>
      <c r="CY140" s="38"/>
      <c r="CZ140" s="38"/>
    </row>
    <row r="141" spans="1:104" s="40" customFormat="1" ht="20.149999999999999" customHeight="1">
      <c r="A141" s="358">
        <f t="shared" si="45"/>
        <v>140</v>
      </c>
      <c r="B141" s="359" t="str">
        <f>'Front Sheet and Checklist'!$C$5</f>
        <v>Swansea Bay UHB</v>
      </c>
      <c r="C141" s="17"/>
      <c r="D141" s="17"/>
      <c r="E141" s="17"/>
      <c r="F141" s="17"/>
      <c r="G141" s="17"/>
      <c r="H141" s="17"/>
      <c r="I141" s="361">
        <f t="shared" si="35"/>
        <v>0</v>
      </c>
      <c r="J141" s="17"/>
      <c r="K141" s="18"/>
      <c r="L141" s="18"/>
      <c r="M141" s="17"/>
      <c r="N141" s="17"/>
      <c r="O141" s="17"/>
      <c r="P141" s="17"/>
      <c r="Q141" s="169"/>
      <c r="R141" s="24"/>
      <c r="S141" s="24"/>
      <c r="T141" s="24"/>
      <c r="U141" s="25"/>
      <c r="V141" s="25"/>
      <c r="W141" s="25"/>
      <c r="X141" s="24"/>
      <c r="Y141" s="24"/>
      <c r="Z141" s="24"/>
      <c r="AA141" s="24"/>
      <c r="AB141" s="24"/>
      <c r="AC141" s="24"/>
      <c r="AD141" s="361">
        <f t="shared" si="34"/>
        <v>0</v>
      </c>
      <c r="AE141" s="359" t="str">
        <f t="shared" si="37"/>
        <v/>
      </c>
      <c r="AF141" s="359" t="str">
        <f t="shared" si="46"/>
        <v/>
      </c>
      <c r="AG141" s="359" t="str">
        <f t="shared" si="38"/>
        <v/>
      </c>
      <c r="AH141" s="359" t="str">
        <f t="shared" si="39"/>
        <v/>
      </c>
      <c r="AI141" s="359" t="str">
        <f t="shared" si="40"/>
        <v/>
      </c>
      <c r="AJ141" s="359" t="str">
        <f t="shared" si="41"/>
        <v/>
      </c>
      <c r="AK141" s="359" t="str">
        <f t="shared" si="43"/>
        <v/>
      </c>
      <c r="AL141" s="359" t="str">
        <f t="shared" si="42"/>
        <v/>
      </c>
      <c r="AM141" s="359" t="str">
        <f t="shared" si="44"/>
        <v/>
      </c>
      <c r="AN141" s="262">
        <f t="shared" si="47"/>
        <v>0</v>
      </c>
      <c r="AO141" s="262" t="str">
        <f>IFERROR(HLOOKUP(AN141,'Ref Lists'!Q$1:AL$2,2,FALSE),'Ref Lists'!$AK$2)</f>
        <v>Savings21</v>
      </c>
      <c r="AP141" s="38"/>
      <c r="AQ141" s="38">
        <f t="shared" si="36"/>
        <v>0</v>
      </c>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row>
    <row r="142" spans="1:104" s="40" customFormat="1" ht="20.149999999999999" customHeight="1">
      <c r="A142" s="358">
        <f t="shared" si="45"/>
        <v>141</v>
      </c>
      <c r="B142" s="359" t="str">
        <f>'Front Sheet and Checklist'!$C$5</f>
        <v>Swansea Bay UHB</v>
      </c>
      <c r="C142" s="17"/>
      <c r="D142" s="17"/>
      <c r="E142" s="17"/>
      <c r="F142" s="17"/>
      <c r="G142" s="17"/>
      <c r="H142" s="17"/>
      <c r="I142" s="361">
        <f t="shared" si="35"/>
        <v>0</v>
      </c>
      <c r="J142" s="17"/>
      <c r="K142" s="18"/>
      <c r="L142" s="18"/>
      <c r="M142" s="17"/>
      <c r="N142" s="17"/>
      <c r="O142" s="17"/>
      <c r="P142" s="17"/>
      <c r="Q142" s="169"/>
      <c r="R142" s="24"/>
      <c r="S142" s="24"/>
      <c r="T142" s="24"/>
      <c r="U142" s="25"/>
      <c r="V142" s="25"/>
      <c r="W142" s="25"/>
      <c r="X142" s="24"/>
      <c r="Y142" s="24"/>
      <c r="Z142" s="24"/>
      <c r="AA142" s="24"/>
      <c r="AB142" s="24"/>
      <c r="AC142" s="24"/>
      <c r="AD142" s="361">
        <f t="shared" si="34"/>
        <v>0</v>
      </c>
      <c r="AE142" s="359" t="str">
        <f t="shared" si="37"/>
        <v/>
      </c>
      <c r="AF142" s="359" t="str">
        <f t="shared" si="46"/>
        <v/>
      </c>
      <c r="AG142" s="359" t="str">
        <f t="shared" si="38"/>
        <v/>
      </c>
      <c r="AH142" s="359" t="str">
        <f t="shared" si="39"/>
        <v/>
      </c>
      <c r="AI142" s="359" t="str">
        <f t="shared" si="40"/>
        <v/>
      </c>
      <c r="AJ142" s="359" t="str">
        <f t="shared" si="41"/>
        <v/>
      </c>
      <c r="AK142" s="359" t="str">
        <f t="shared" si="43"/>
        <v/>
      </c>
      <c r="AL142" s="359" t="str">
        <f t="shared" si="42"/>
        <v/>
      </c>
      <c r="AM142" s="359" t="str">
        <f t="shared" si="44"/>
        <v/>
      </c>
      <c r="AN142" s="262">
        <f t="shared" si="47"/>
        <v>0</v>
      </c>
      <c r="AO142" s="262" t="str">
        <f>IFERROR(HLOOKUP(AN142,'Ref Lists'!Q$1:AL$2,2,FALSE),'Ref Lists'!$AK$2)</f>
        <v>Savings21</v>
      </c>
      <c r="AP142" s="38"/>
      <c r="AQ142" s="38">
        <f t="shared" si="36"/>
        <v>0</v>
      </c>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row>
    <row r="143" spans="1:104" s="40" customFormat="1" ht="20.149999999999999" customHeight="1">
      <c r="A143" s="358">
        <f t="shared" si="45"/>
        <v>142</v>
      </c>
      <c r="B143" s="359" t="str">
        <f>'Front Sheet and Checklist'!$C$5</f>
        <v>Swansea Bay UHB</v>
      </c>
      <c r="C143" s="17"/>
      <c r="D143" s="17"/>
      <c r="E143" s="17"/>
      <c r="F143" s="17"/>
      <c r="G143" s="17"/>
      <c r="H143" s="17"/>
      <c r="I143" s="361">
        <f t="shared" si="35"/>
        <v>0</v>
      </c>
      <c r="J143" s="17"/>
      <c r="K143" s="18"/>
      <c r="L143" s="18"/>
      <c r="M143" s="17"/>
      <c r="N143" s="17"/>
      <c r="O143" s="17"/>
      <c r="P143" s="17"/>
      <c r="Q143" s="169"/>
      <c r="R143" s="24"/>
      <c r="S143" s="24"/>
      <c r="T143" s="24"/>
      <c r="U143" s="25"/>
      <c r="V143" s="25"/>
      <c r="W143" s="25"/>
      <c r="X143" s="24"/>
      <c r="Y143" s="24"/>
      <c r="Z143" s="24"/>
      <c r="AA143" s="24"/>
      <c r="AB143" s="24"/>
      <c r="AC143" s="24"/>
      <c r="AD143" s="361">
        <f t="shared" si="34"/>
        <v>0</v>
      </c>
      <c r="AE143" s="359" t="str">
        <f t="shared" si="37"/>
        <v/>
      </c>
      <c r="AF143" s="359" t="str">
        <f t="shared" si="46"/>
        <v/>
      </c>
      <c r="AG143" s="359" t="str">
        <f t="shared" si="38"/>
        <v/>
      </c>
      <c r="AH143" s="359" t="str">
        <f t="shared" si="39"/>
        <v/>
      </c>
      <c r="AI143" s="359" t="str">
        <f t="shared" si="40"/>
        <v/>
      </c>
      <c r="AJ143" s="359" t="str">
        <f t="shared" si="41"/>
        <v/>
      </c>
      <c r="AK143" s="359" t="str">
        <f t="shared" si="43"/>
        <v/>
      </c>
      <c r="AL143" s="359" t="str">
        <f t="shared" si="42"/>
        <v/>
      </c>
      <c r="AM143" s="359" t="str">
        <f t="shared" si="44"/>
        <v/>
      </c>
      <c r="AN143" s="262">
        <f t="shared" si="47"/>
        <v>0</v>
      </c>
      <c r="AO143" s="262" t="str">
        <f>IFERROR(HLOOKUP(AN143,'Ref Lists'!Q$1:AL$2,2,FALSE),'Ref Lists'!$AK$2)</f>
        <v>Savings21</v>
      </c>
      <c r="AP143" s="38"/>
      <c r="AQ143" s="38">
        <f t="shared" si="36"/>
        <v>0</v>
      </c>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row>
    <row r="144" spans="1:104" s="40" customFormat="1" ht="20.149999999999999" customHeight="1">
      <c r="A144" s="358">
        <f t="shared" si="45"/>
        <v>143</v>
      </c>
      <c r="B144" s="359" t="str">
        <f>'Front Sheet and Checklist'!$C$5</f>
        <v>Swansea Bay UHB</v>
      </c>
      <c r="C144" s="17"/>
      <c r="D144" s="17"/>
      <c r="E144" s="17"/>
      <c r="F144" s="17"/>
      <c r="G144" s="17"/>
      <c r="H144" s="17"/>
      <c r="I144" s="361">
        <f t="shared" si="35"/>
        <v>0</v>
      </c>
      <c r="J144" s="17"/>
      <c r="K144" s="18"/>
      <c r="L144" s="18"/>
      <c r="M144" s="17"/>
      <c r="N144" s="17"/>
      <c r="O144" s="17"/>
      <c r="P144" s="17"/>
      <c r="Q144" s="169"/>
      <c r="R144" s="24"/>
      <c r="S144" s="24"/>
      <c r="T144" s="24"/>
      <c r="U144" s="25"/>
      <c r="V144" s="25"/>
      <c r="W144" s="25"/>
      <c r="X144" s="24"/>
      <c r="Y144" s="24"/>
      <c r="Z144" s="24"/>
      <c r="AA144" s="24"/>
      <c r="AB144" s="24"/>
      <c r="AC144" s="24"/>
      <c r="AD144" s="361">
        <f t="shared" si="34"/>
        <v>0</v>
      </c>
      <c r="AE144" s="359" t="str">
        <f t="shared" si="37"/>
        <v/>
      </c>
      <c r="AF144" s="359" t="str">
        <f t="shared" si="46"/>
        <v/>
      </c>
      <c r="AG144" s="359" t="str">
        <f t="shared" si="38"/>
        <v/>
      </c>
      <c r="AH144" s="359" t="str">
        <f t="shared" si="39"/>
        <v/>
      </c>
      <c r="AI144" s="359" t="str">
        <f t="shared" si="40"/>
        <v/>
      </c>
      <c r="AJ144" s="359" t="str">
        <f t="shared" si="41"/>
        <v/>
      </c>
      <c r="AK144" s="359" t="str">
        <f t="shared" si="43"/>
        <v/>
      </c>
      <c r="AL144" s="359" t="str">
        <f t="shared" si="42"/>
        <v/>
      </c>
      <c r="AM144" s="359" t="str">
        <f t="shared" si="44"/>
        <v/>
      </c>
      <c r="AN144" s="262">
        <f t="shared" si="47"/>
        <v>0</v>
      </c>
      <c r="AO144" s="262" t="str">
        <f>IFERROR(HLOOKUP(AN144,'Ref Lists'!Q$1:AL$2,2,FALSE),'Ref Lists'!$AK$2)</f>
        <v>Savings21</v>
      </c>
      <c r="AP144" s="38"/>
      <c r="AQ144" s="38">
        <f t="shared" si="36"/>
        <v>0</v>
      </c>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row>
    <row r="145" spans="1:104" s="40" customFormat="1" ht="20.149999999999999" customHeight="1">
      <c r="A145" s="358">
        <f t="shared" si="45"/>
        <v>144</v>
      </c>
      <c r="B145" s="359" t="str">
        <f>'Front Sheet and Checklist'!$C$5</f>
        <v>Swansea Bay UHB</v>
      </c>
      <c r="C145" s="17"/>
      <c r="D145" s="17"/>
      <c r="E145" s="17"/>
      <c r="F145" s="17"/>
      <c r="G145" s="17"/>
      <c r="H145" s="17"/>
      <c r="I145" s="361">
        <f t="shared" si="35"/>
        <v>0</v>
      </c>
      <c r="J145" s="17"/>
      <c r="K145" s="18"/>
      <c r="L145" s="18"/>
      <c r="M145" s="17"/>
      <c r="N145" s="17"/>
      <c r="O145" s="17"/>
      <c r="P145" s="17"/>
      <c r="Q145" s="169"/>
      <c r="R145" s="24"/>
      <c r="S145" s="24"/>
      <c r="T145" s="24"/>
      <c r="U145" s="25"/>
      <c r="V145" s="25"/>
      <c r="W145" s="25"/>
      <c r="X145" s="24"/>
      <c r="Y145" s="24"/>
      <c r="Z145" s="24"/>
      <c r="AA145" s="24"/>
      <c r="AB145" s="24"/>
      <c r="AC145" s="24"/>
      <c r="AD145" s="361">
        <f t="shared" si="34"/>
        <v>0</v>
      </c>
      <c r="AE145" s="359" t="str">
        <f t="shared" si="37"/>
        <v/>
      </c>
      <c r="AF145" s="359" t="str">
        <f t="shared" si="46"/>
        <v/>
      </c>
      <c r="AG145" s="359" t="str">
        <f t="shared" si="38"/>
        <v/>
      </c>
      <c r="AH145" s="359" t="str">
        <f t="shared" si="39"/>
        <v/>
      </c>
      <c r="AI145" s="359" t="str">
        <f t="shared" si="40"/>
        <v/>
      </c>
      <c r="AJ145" s="359" t="str">
        <f t="shared" si="41"/>
        <v/>
      </c>
      <c r="AK145" s="359" t="str">
        <f t="shared" si="43"/>
        <v/>
      </c>
      <c r="AL145" s="359" t="str">
        <f t="shared" si="42"/>
        <v/>
      </c>
      <c r="AM145" s="359" t="str">
        <f t="shared" si="44"/>
        <v/>
      </c>
      <c r="AN145" s="262">
        <f t="shared" si="47"/>
        <v>0</v>
      </c>
      <c r="AO145" s="262" t="str">
        <f>IFERROR(HLOOKUP(AN145,'Ref Lists'!Q$1:AL$2,2,FALSE),'Ref Lists'!$AK$2)</f>
        <v>Savings21</v>
      </c>
      <c r="AP145" s="38"/>
      <c r="AQ145" s="38">
        <f t="shared" si="36"/>
        <v>0</v>
      </c>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row>
    <row r="146" spans="1:104" s="40" customFormat="1" ht="20.149999999999999" customHeight="1">
      <c r="A146" s="358">
        <f t="shared" si="45"/>
        <v>145</v>
      </c>
      <c r="B146" s="359" t="str">
        <f>'Front Sheet and Checklist'!$C$5</f>
        <v>Swansea Bay UHB</v>
      </c>
      <c r="C146" s="17"/>
      <c r="D146" s="17"/>
      <c r="E146" s="17"/>
      <c r="F146" s="17"/>
      <c r="G146" s="17"/>
      <c r="H146" s="17"/>
      <c r="I146" s="361">
        <f t="shared" si="35"/>
        <v>0</v>
      </c>
      <c r="J146" s="17"/>
      <c r="K146" s="18"/>
      <c r="L146" s="18"/>
      <c r="M146" s="17"/>
      <c r="N146" s="17"/>
      <c r="O146" s="17"/>
      <c r="P146" s="17"/>
      <c r="Q146" s="169"/>
      <c r="R146" s="24"/>
      <c r="S146" s="24"/>
      <c r="T146" s="24"/>
      <c r="U146" s="25"/>
      <c r="V146" s="25"/>
      <c r="W146" s="25"/>
      <c r="X146" s="24"/>
      <c r="Y146" s="24"/>
      <c r="Z146" s="24"/>
      <c r="AA146" s="24"/>
      <c r="AB146" s="24"/>
      <c r="AC146" s="24"/>
      <c r="AD146" s="361">
        <f t="shared" si="34"/>
        <v>0</v>
      </c>
      <c r="AE146" s="359" t="str">
        <f t="shared" si="37"/>
        <v/>
      </c>
      <c r="AF146" s="359" t="str">
        <f t="shared" si="46"/>
        <v/>
      </c>
      <c r="AG146" s="359" t="str">
        <f t="shared" si="38"/>
        <v/>
      </c>
      <c r="AH146" s="359" t="str">
        <f t="shared" si="39"/>
        <v/>
      </c>
      <c r="AI146" s="359" t="str">
        <f t="shared" si="40"/>
        <v/>
      </c>
      <c r="AJ146" s="359" t="str">
        <f t="shared" si="41"/>
        <v/>
      </c>
      <c r="AK146" s="359" t="str">
        <f t="shared" si="43"/>
        <v/>
      </c>
      <c r="AL146" s="359" t="str">
        <f t="shared" si="42"/>
        <v/>
      </c>
      <c r="AM146" s="359" t="str">
        <f t="shared" si="44"/>
        <v/>
      </c>
      <c r="AN146" s="262">
        <f t="shared" si="47"/>
        <v>0</v>
      </c>
      <c r="AO146" s="262" t="str">
        <f>IFERROR(HLOOKUP(AN146,'Ref Lists'!Q$1:AL$2,2,FALSE),'Ref Lists'!$AK$2)</f>
        <v>Savings21</v>
      </c>
      <c r="AP146" s="38"/>
      <c r="AQ146" s="38">
        <f t="shared" si="36"/>
        <v>0</v>
      </c>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row>
    <row r="147" spans="1:104" s="40" customFormat="1" ht="20.149999999999999" customHeight="1">
      <c r="A147" s="358">
        <f t="shared" si="45"/>
        <v>146</v>
      </c>
      <c r="B147" s="359" t="str">
        <f>'Front Sheet and Checklist'!$C$5</f>
        <v>Swansea Bay UHB</v>
      </c>
      <c r="C147" s="17"/>
      <c r="D147" s="17"/>
      <c r="E147" s="17"/>
      <c r="F147" s="17"/>
      <c r="G147" s="17"/>
      <c r="H147" s="17"/>
      <c r="I147" s="361">
        <f t="shared" si="35"/>
        <v>0</v>
      </c>
      <c r="J147" s="17"/>
      <c r="K147" s="18"/>
      <c r="L147" s="18"/>
      <c r="M147" s="17"/>
      <c r="N147" s="17"/>
      <c r="O147" s="17"/>
      <c r="P147" s="17"/>
      <c r="Q147" s="169"/>
      <c r="R147" s="24"/>
      <c r="S147" s="24"/>
      <c r="T147" s="24"/>
      <c r="U147" s="25"/>
      <c r="V147" s="25"/>
      <c r="W147" s="25"/>
      <c r="X147" s="24"/>
      <c r="Y147" s="24"/>
      <c r="Z147" s="24"/>
      <c r="AA147" s="24"/>
      <c r="AB147" s="24"/>
      <c r="AC147" s="24"/>
      <c r="AD147" s="361">
        <f t="shared" si="34"/>
        <v>0</v>
      </c>
      <c r="AE147" s="359" t="str">
        <f t="shared" si="37"/>
        <v/>
      </c>
      <c r="AF147" s="359" t="str">
        <f t="shared" si="46"/>
        <v/>
      </c>
      <c r="AG147" s="359" t="str">
        <f t="shared" si="38"/>
        <v/>
      </c>
      <c r="AH147" s="359" t="str">
        <f t="shared" si="39"/>
        <v/>
      </c>
      <c r="AI147" s="359" t="str">
        <f t="shared" si="40"/>
        <v/>
      </c>
      <c r="AJ147" s="359" t="str">
        <f t="shared" si="41"/>
        <v/>
      </c>
      <c r="AK147" s="359" t="str">
        <f t="shared" si="43"/>
        <v/>
      </c>
      <c r="AL147" s="359" t="str">
        <f t="shared" si="42"/>
        <v/>
      </c>
      <c r="AM147" s="359" t="str">
        <f t="shared" si="44"/>
        <v/>
      </c>
      <c r="AN147" s="262">
        <f t="shared" si="47"/>
        <v>0</v>
      </c>
      <c r="AO147" s="262" t="str">
        <f>IFERROR(HLOOKUP(AN147,'Ref Lists'!Q$1:AL$2,2,FALSE),'Ref Lists'!$AK$2)</f>
        <v>Savings21</v>
      </c>
      <c r="AP147" s="38"/>
      <c r="AQ147" s="38">
        <f t="shared" si="36"/>
        <v>0</v>
      </c>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row>
    <row r="148" spans="1:104" s="40" customFormat="1" ht="20.149999999999999" customHeight="1">
      <c r="A148" s="358">
        <f t="shared" si="45"/>
        <v>147</v>
      </c>
      <c r="B148" s="359" t="str">
        <f>'Front Sheet and Checklist'!$C$5</f>
        <v>Swansea Bay UHB</v>
      </c>
      <c r="C148" s="17"/>
      <c r="D148" s="17"/>
      <c r="E148" s="17"/>
      <c r="F148" s="17"/>
      <c r="G148" s="17"/>
      <c r="H148" s="17"/>
      <c r="I148" s="361">
        <f t="shared" si="35"/>
        <v>0</v>
      </c>
      <c r="J148" s="17"/>
      <c r="K148" s="18"/>
      <c r="L148" s="18"/>
      <c r="M148" s="17"/>
      <c r="N148" s="17"/>
      <c r="O148" s="17"/>
      <c r="P148" s="17"/>
      <c r="Q148" s="169"/>
      <c r="R148" s="24"/>
      <c r="S148" s="24"/>
      <c r="T148" s="24"/>
      <c r="U148" s="25"/>
      <c r="V148" s="25"/>
      <c r="W148" s="25"/>
      <c r="X148" s="24"/>
      <c r="Y148" s="24"/>
      <c r="Z148" s="24"/>
      <c r="AA148" s="24"/>
      <c r="AB148" s="24"/>
      <c r="AC148" s="24"/>
      <c r="AD148" s="361">
        <f t="shared" si="34"/>
        <v>0</v>
      </c>
      <c r="AE148" s="359" t="str">
        <f t="shared" si="37"/>
        <v/>
      </c>
      <c r="AF148" s="359" t="str">
        <f t="shared" si="46"/>
        <v/>
      </c>
      <c r="AG148" s="359" t="str">
        <f t="shared" si="38"/>
        <v/>
      </c>
      <c r="AH148" s="359" t="str">
        <f t="shared" si="39"/>
        <v/>
      </c>
      <c r="AI148" s="359" t="str">
        <f t="shared" si="40"/>
        <v/>
      </c>
      <c r="AJ148" s="359" t="str">
        <f t="shared" si="41"/>
        <v/>
      </c>
      <c r="AK148" s="359" t="str">
        <f t="shared" si="43"/>
        <v/>
      </c>
      <c r="AL148" s="359" t="str">
        <f t="shared" si="42"/>
        <v/>
      </c>
      <c r="AM148" s="359" t="str">
        <f t="shared" si="44"/>
        <v/>
      </c>
      <c r="AN148" s="262">
        <f t="shared" si="47"/>
        <v>0</v>
      </c>
      <c r="AO148" s="262" t="str">
        <f>IFERROR(HLOOKUP(AN148,'Ref Lists'!Q$1:AL$2,2,FALSE),'Ref Lists'!$AK$2)</f>
        <v>Savings21</v>
      </c>
      <c r="AP148" s="38"/>
      <c r="AQ148" s="38">
        <f t="shared" si="36"/>
        <v>0</v>
      </c>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38"/>
      <c r="BZ148" s="38"/>
      <c r="CA148" s="38"/>
      <c r="CB148" s="38"/>
      <c r="CC148" s="38"/>
      <c r="CD148" s="38"/>
      <c r="CE148" s="38"/>
      <c r="CF148" s="38"/>
      <c r="CG148" s="38"/>
      <c r="CH148" s="38"/>
      <c r="CI148" s="38"/>
      <c r="CJ148" s="38"/>
      <c r="CK148" s="38"/>
      <c r="CL148" s="38"/>
      <c r="CM148" s="38"/>
      <c r="CN148" s="38"/>
      <c r="CO148" s="38"/>
      <c r="CP148" s="38"/>
      <c r="CQ148" s="38"/>
      <c r="CR148" s="38"/>
      <c r="CS148" s="38"/>
      <c r="CT148" s="38"/>
      <c r="CU148" s="38"/>
      <c r="CV148" s="38"/>
      <c r="CW148" s="38"/>
      <c r="CX148" s="38"/>
      <c r="CY148" s="38"/>
      <c r="CZ148" s="38"/>
    </row>
    <row r="149" spans="1:104" s="40" customFormat="1" ht="20.149999999999999" customHeight="1">
      <c r="A149" s="358">
        <f t="shared" si="45"/>
        <v>148</v>
      </c>
      <c r="B149" s="359" t="str">
        <f>'Front Sheet and Checklist'!$C$5</f>
        <v>Swansea Bay UHB</v>
      </c>
      <c r="C149" s="17"/>
      <c r="D149" s="17"/>
      <c r="E149" s="17"/>
      <c r="F149" s="17"/>
      <c r="G149" s="17"/>
      <c r="H149" s="17"/>
      <c r="I149" s="361">
        <f t="shared" si="35"/>
        <v>0</v>
      </c>
      <c r="J149" s="17"/>
      <c r="K149" s="18"/>
      <c r="L149" s="18"/>
      <c r="M149" s="17"/>
      <c r="N149" s="17"/>
      <c r="O149" s="17"/>
      <c r="P149" s="17"/>
      <c r="Q149" s="169"/>
      <c r="R149" s="24"/>
      <c r="S149" s="24"/>
      <c r="T149" s="24"/>
      <c r="U149" s="25"/>
      <c r="V149" s="25"/>
      <c r="W149" s="25"/>
      <c r="X149" s="24"/>
      <c r="Y149" s="24"/>
      <c r="Z149" s="24"/>
      <c r="AA149" s="24"/>
      <c r="AB149" s="24"/>
      <c r="AC149" s="24"/>
      <c r="AD149" s="361">
        <f t="shared" si="34"/>
        <v>0</v>
      </c>
      <c r="AE149" s="359" t="str">
        <f t="shared" si="37"/>
        <v/>
      </c>
      <c r="AF149" s="359" t="str">
        <f t="shared" si="46"/>
        <v/>
      </c>
      <c r="AG149" s="359" t="str">
        <f t="shared" si="38"/>
        <v/>
      </c>
      <c r="AH149" s="359" t="str">
        <f t="shared" si="39"/>
        <v/>
      </c>
      <c r="AI149" s="359" t="str">
        <f t="shared" si="40"/>
        <v/>
      </c>
      <c r="AJ149" s="359" t="str">
        <f t="shared" si="41"/>
        <v/>
      </c>
      <c r="AK149" s="359" t="str">
        <f t="shared" si="43"/>
        <v/>
      </c>
      <c r="AL149" s="359" t="str">
        <f t="shared" si="42"/>
        <v/>
      </c>
      <c r="AM149" s="359" t="str">
        <f t="shared" si="44"/>
        <v/>
      </c>
      <c r="AN149" s="262">
        <f t="shared" si="47"/>
        <v>0</v>
      </c>
      <c r="AO149" s="262" t="str">
        <f>IFERROR(HLOOKUP(AN149,'Ref Lists'!Q$1:AL$2,2,FALSE),'Ref Lists'!$AK$2)</f>
        <v>Savings21</v>
      </c>
      <c r="AP149" s="38"/>
      <c r="AQ149" s="38">
        <f t="shared" si="36"/>
        <v>0</v>
      </c>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8"/>
      <c r="CP149" s="38"/>
      <c r="CQ149" s="38"/>
      <c r="CR149" s="38"/>
      <c r="CS149" s="38"/>
      <c r="CT149" s="38"/>
      <c r="CU149" s="38"/>
      <c r="CV149" s="38"/>
      <c r="CW149" s="38"/>
      <c r="CX149" s="38"/>
      <c r="CY149" s="38"/>
      <c r="CZ149" s="38"/>
    </row>
    <row r="150" spans="1:104" s="40" customFormat="1" ht="20.149999999999999" customHeight="1">
      <c r="A150" s="358">
        <f t="shared" si="45"/>
        <v>149</v>
      </c>
      <c r="B150" s="359" t="str">
        <f>'Front Sheet and Checklist'!$C$5</f>
        <v>Swansea Bay UHB</v>
      </c>
      <c r="C150" s="17"/>
      <c r="D150" s="17"/>
      <c r="E150" s="17"/>
      <c r="F150" s="17"/>
      <c r="G150" s="17"/>
      <c r="H150" s="17"/>
      <c r="I150" s="361">
        <f t="shared" si="35"/>
        <v>0</v>
      </c>
      <c r="J150" s="17"/>
      <c r="K150" s="18"/>
      <c r="L150" s="18"/>
      <c r="M150" s="17"/>
      <c r="N150" s="17"/>
      <c r="O150" s="17"/>
      <c r="P150" s="17"/>
      <c r="Q150" s="169"/>
      <c r="R150" s="24"/>
      <c r="S150" s="24"/>
      <c r="T150" s="24"/>
      <c r="U150" s="25"/>
      <c r="V150" s="25"/>
      <c r="W150" s="25"/>
      <c r="X150" s="24"/>
      <c r="Y150" s="24"/>
      <c r="Z150" s="24"/>
      <c r="AA150" s="24"/>
      <c r="AB150" s="24"/>
      <c r="AC150" s="24"/>
      <c r="AD150" s="361">
        <f t="shared" si="34"/>
        <v>0</v>
      </c>
      <c r="AE150" s="359" t="str">
        <f t="shared" si="37"/>
        <v/>
      </c>
      <c r="AF150" s="359" t="str">
        <f t="shared" si="46"/>
        <v/>
      </c>
      <c r="AG150" s="359" t="str">
        <f t="shared" si="38"/>
        <v/>
      </c>
      <c r="AH150" s="359" t="str">
        <f t="shared" si="39"/>
        <v/>
      </c>
      <c r="AI150" s="359" t="str">
        <f t="shared" si="40"/>
        <v/>
      </c>
      <c r="AJ150" s="359" t="str">
        <f t="shared" si="41"/>
        <v/>
      </c>
      <c r="AK150" s="359" t="str">
        <f t="shared" si="43"/>
        <v/>
      </c>
      <c r="AL150" s="359" t="str">
        <f t="shared" si="42"/>
        <v/>
      </c>
      <c r="AM150" s="359" t="str">
        <f t="shared" si="44"/>
        <v/>
      </c>
      <c r="AN150" s="262">
        <f t="shared" si="47"/>
        <v>0</v>
      </c>
      <c r="AO150" s="262" t="str">
        <f>IFERROR(HLOOKUP(AN150,'Ref Lists'!Q$1:AL$2,2,FALSE),'Ref Lists'!$AK$2)</f>
        <v>Savings21</v>
      </c>
      <c r="AP150" s="38"/>
      <c r="AQ150" s="38">
        <f t="shared" si="36"/>
        <v>0</v>
      </c>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8"/>
      <c r="CI150" s="38"/>
      <c r="CJ150" s="38"/>
      <c r="CK150" s="38"/>
      <c r="CL150" s="38"/>
      <c r="CM150" s="38"/>
      <c r="CN150" s="38"/>
      <c r="CO150" s="38"/>
      <c r="CP150" s="38"/>
      <c r="CQ150" s="38"/>
      <c r="CR150" s="38"/>
      <c r="CS150" s="38"/>
      <c r="CT150" s="38"/>
      <c r="CU150" s="38"/>
      <c r="CV150" s="38"/>
      <c r="CW150" s="38"/>
      <c r="CX150" s="38"/>
      <c r="CY150" s="38"/>
      <c r="CZ150" s="38"/>
    </row>
    <row r="151" spans="1:104" s="40" customFormat="1" ht="20.149999999999999" customHeight="1">
      <c r="A151" s="358">
        <f t="shared" si="45"/>
        <v>150</v>
      </c>
      <c r="B151" s="359" t="str">
        <f>'Front Sheet and Checklist'!$C$5</f>
        <v>Swansea Bay UHB</v>
      </c>
      <c r="C151" s="17"/>
      <c r="D151" s="17"/>
      <c r="E151" s="17"/>
      <c r="F151" s="17"/>
      <c r="G151" s="17"/>
      <c r="H151" s="17"/>
      <c r="I151" s="361">
        <f t="shared" si="35"/>
        <v>0</v>
      </c>
      <c r="J151" s="17"/>
      <c r="K151" s="18"/>
      <c r="L151" s="18"/>
      <c r="M151" s="17"/>
      <c r="N151" s="17"/>
      <c r="O151" s="17"/>
      <c r="P151" s="17"/>
      <c r="Q151" s="169"/>
      <c r="R151" s="24"/>
      <c r="S151" s="24"/>
      <c r="T151" s="24"/>
      <c r="U151" s="25"/>
      <c r="V151" s="25"/>
      <c r="W151" s="25"/>
      <c r="X151" s="24"/>
      <c r="Y151" s="24"/>
      <c r="Z151" s="24"/>
      <c r="AA151" s="24"/>
      <c r="AB151" s="24"/>
      <c r="AC151" s="24"/>
      <c r="AD151" s="361">
        <f t="shared" si="34"/>
        <v>0</v>
      </c>
      <c r="AE151" s="359" t="str">
        <f t="shared" si="37"/>
        <v/>
      </c>
      <c r="AF151" s="359" t="str">
        <f t="shared" si="46"/>
        <v/>
      </c>
      <c r="AG151" s="359" t="str">
        <f t="shared" si="38"/>
        <v/>
      </c>
      <c r="AH151" s="359" t="str">
        <f t="shared" si="39"/>
        <v/>
      </c>
      <c r="AI151" s="359" t="str">
        <f t="shared" si="40"/>
        <v/>
      </c>
      <c r="AJ151" s="359" t="str">
        <f t="shared" si="41"/>
        <v/>
      </c>
      <c r="AK151" s="359" t="str">
        <f t="shared" si="43"/>
        <v/>
      </c>
      <c r="AL151" s="359" t="str">
        <f t="shared" si="42"/>
        <v/>
      </c>
      <c r="AM151" s="359" t="str">
        <f t="shared" si="44"/>
        <v/>
      </c>
      <c r="AN151" s="262">
        <f t="shared" si="47"/>
        <v>0</v>
      </c>
      <c r="AO151" s="262" t="str">
        <f>IFERROR(HLOOKUP(AN151,'Ref Lists'!Q$1:AL$2,2,FALSE),'Ref Lists'!$AK$2)</f>
        <v>Savings21</v>
      </c>
      <c r="AP151" s="38"/>
      <c r="AQ151" s="38">
        <f t="shared" si="36"/>
        <v>0</v>
      </c>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38"/>
      <c r="BZ151" s="38"/>
      <c r="CA151" s="38"/>
      <c r="CB151" s="38"/>
      <c r="CC151" s="38"/>
      <c r="CD151" s="38"/>
      <c r="CE151" s="38"/>
      <c r="CF151" s="38"/>
      <c r="CG151" s="38"/>
      <c r="CH151" s="38"/>
      <c r="CI151" s="38"/>
      <c r="CJ151" s="38"/>
      <c r="CK151" s="38"/>
      <c r="CL151" s="38"/>
      <c r="CM151" s="38"/>
      <c r="CN151" s="38"/>
      <c r="CO151" s="38"/>
      <c r="CP151" s="38"/>
      <c r="CQ151" s="38"/>
      <c r="CR151" s="38"/>
      <c r="CS151" s="38"/>
      <c r="CT151" s="38"/>
      <c r="CU151" s="38"/>
      <c r="CV151" s="38"/>
      <c r="CW151" s="38"/>
      <c r="CX151" s="38"/>
      <c r="CY151" s="38"/>
      <c r="CZ151" s="38"/>
    </row>
    <row r="152" spans="1:104" s="40" customFormat="1" ht="20.149999999999999" customHeight="1">
      <c r="A152" s="358">
        <f t="shared" si="45"/>
        <v>151</v>
      </c>
      <c r="B152" s="359" t="str">
        <f>'Front Sheet and Checklist'!$C$5</f>
        <v>Swansea Bay UHB</v>
      </c>
      <c r="C152" s="17"/>
      <c r="D152" s="17"/>
      <c r="E152" s="17"/>
      <c r="F152" s="17"/>
      <c r="G152" s="17"/>
      <c r="H152" s="17"/>
      <c r="I152" s="361">
        <f t="shared" si="35"/>
        <v>0</v>
      </c>
      <c r="J152" s="17"/>
      <c r="K152" s="18"/>
      <c r="L152" s="18"/>
      <c r="M152" s="17"/>
      <c r="N152" s="17"/>
      <c r="O152" s="17"/>
      <c r="P152" s="17"/>
      <c r="Q152" s="169"/>
      <c r="R152" s="24"/>
      <c r="S152" s="24"/>
      <c r="T152" s="24"/>
      <c r="U152" s="25"/>
      <c r="V152" s="25"/>
      <c r="W152" s="25"/>
      <c r="X152" s="24"/>
      <c r="Y152" s="24"/>
      <c r="Z152" s="24"/>
      <c r="AA152" s="24"/>
      <c r="AB152" s="24"/>
      <c r="AC152" s="24"/>
      <c r="AD152" s="361">
        <f t="shared" si="34"/>
        <v>0</v>
      </c>
      <c r="AE152" s="359" t="str">
        <f t="shared" si="37"/>
        <v/>
      </c>
      <c r="AF152" s="359" t="str">
        <f t="shared" si="46"/>
        <v/>
      </c>
      <c r="AG152" s="359" t="str">
        <f t="shared" si="38"/>
        <v/>
      </c>
      <c r="AH152" s="359" t="str">
        <f t="shared" si="39"/>
        <v/>
      </c>
      <c r="AI152" s="359" t="str">
        <f t="shared" si="40"/>
        <v/>
      </c>
      <c r="AJ152" s="359" t="str">
        <f t="shared" si="41"/>
        <v/>
      </c>
      <c r="AK152" s="359" t="str">
        <f t="shared" si="43"/>
        <v/>
      </c>
      <c r="AL152" s="359" t="str">
        <f t="shared" si="42"/>
        <v/>
      </c>
      <c r="AM152" s="359" t="str">
        <f t="shared" si="44"/>
        <v/>
      </c>
      <c r="AN152" s="262">
        <f t="shared" si="47"/>
        <v>0</v>
      </c>
      <c r="AO152" s="262" t="str">
        <f>IFERROR(HLOOKUP(AN152,'Ref Lists'!Q$1:AL$2,2,FALSE),'Ref Lists'!$AK$2)</f>
        <v>Savings21</v>
      </c>
      <c r="AP152" s="38"/>
      <c r="AQ152" s="38">
        <f t="shared" si="36"/>
        <v>0</v>
      </c>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38"/>
      <c r="CZ152" s="38"/>
    </row>
    <row r="153" spans="1:104" s="40" customFormat="1" ht="20.149999999999999" customHeight="1">
      <c r="A153" s="358">
        <f t="shared" si="45"/>
        <v>152</v>
      </c>
      <c r="B153" s="359" t="str">
        <f>'Front Sheet and Checklist'!$C$5</f>
        <v>Swansea Bay UHB</v>
      </c>
      <c r="C153" s="17"/>
      <c r="D153" s="17"/>
      <c r="E153" s="17"/>
      <c r="F153" s="17"/>
      <c r="G153" s="17"/>
      <c r="H153" s="17"/>
      <c r="I153" s="361">
        <f t="shared" si="35"/>
        <v>0</v>
      </c>
      <c r="J153" s="17"/>
      <c r="K153" s="18"/>
      <c r="L153" s="18"/>
      <c r="M153" s="17"/>
      <c r="N153" s="17"/>
      <c r="O153" s="17"/>
      <c r="P153" s="17"/>
      <c r="Q153" s="169"/>
      <c r="R153" s="24"/>
      <c r="S153" s="24"/>
      <c r="T153" s="24"/>
      <c r="U153" s="25"/>
      <c r="V153" s="25"/>
      <c r="W153" s="25"/>
      <c r="X153" s="24"/>
      <c r="Y153" s="24"/>
      <c r="Z153" s="24"/>
      <c r="AA153" s="24"/>
      <c r="AB153" s="24"/>
      <c r="AC153" s="24"/>
      <c r="AD153" s="361">
        <f t="shared" si="34"/>
        <v>0</v>
      </c>
      <c r="AE153" s="359" t="str">
        <f t="shared" si="37"/>
        <v/>
      </c>
      <c r="AF153" s="359" t="str">
        <f t="shared" si="46"/>
        <v/>
      </c>
      <c r="AG153" s="359" t="str">
        <f t="shared" si="38"/>
        <v/>
      </c>
      <c r="AH153" s="359" t="str">
        <f t="shared" si="39"/>
        <v/>
      </c>
      <c r="AI153" s="359" t="str">
        <f t="shared" si="40"/>
        <v/>
      </c>
      <c r="AJ153" s="359" t="str">
        <f t="shared" si="41"/>
        <v/>
      </c>
      <c r="AK153" s="359" t="str">
        <f t="shared" si="43"/>
        <v/>
      </c>
      <c r="AL153" s="359" t="str">
        <f t="shared" si="42"/>
        <v/>
      </c>
      <c r="AM153" s="359" t="str">
        <f t="shared" si="44"/>
        <v/>
      </c>
      <c r="AN153" s="262">
        <f t="shared" si="47"/>
        <v>0</v>
      </c>
      <c r="AO153" s="262" t="str">
        <f>IFERROR(HLOOKUP(AN153,'Ref Lists'!Q$1:AL$2,2,FALSE),'Ref Lists'!$AK$2)</f>
        <v>Savings21</v>
      </c>
      <c r="AP153" s="38"/>
      <c r="AQ153" s="38">
        <f t="shared" si="36"/>
        <v>0</v>
      </c>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8"/>
      <c r="CH153" s="38"/>
      <c r="CI153" s="38"/>
      <c r="CJ153" s="38"/>
      <c r="CK153" s="38"/>
      <c r="CL153" s="38"/>
      <c r="CM153" s="38"/>
      <c r="CN153" s="38"/>
      <c r="CO153" s="38"/>
      <c r="CP153" s="38"/>
      <c r="CQ153" s="38"/>
      <c r="CR153" s="38"/>
      <c r="CS153" s="38"/>
      <c r="CT153" s="38"/>
      <c r="CU153" s="38"/>
      <c r="CV153" s="38"/>
      <c r="CW153" s="38"/>
      <c r="CX153" s="38"/>
      <c r="CY153" s="38"/>
      <c r="CZ153" s="38"/>
    </row>
    <row r="154" spans="1:104" s="40" customFormat="1" ht="20.149999999999999" customHeight="1">
      <c r="A154" s="358">
        <f t="shared" si="45"/>
        <v>153</v>
      </c>
      <c r="B154" s="359" t="str">
        <f>'Front Sheet and Checklist'!$C$5</f>
        <v>Swansea Bay UHB</v>
      </c>
      <c r="C154" s="17"/>
      <c r="D154" s="17"/>
      <c r="E154" s="17"/>
      <c r="F154" s="17"/>
      <c r="G154" s="17"/>
      <c r="H154" s="17"/>
      <c r="I154" s="361">
        <f t="shared" si="35"/>
        <v>0</v>
      </c>
      <c r="J154" s="17"/>
      <c r="K154" s="18"/>
      <c r="L154" s="18"/>
      <c r="M154" s="17"/>
      <c r="N154" s="17"/>
      <c r="O154" s="17"/>
      <c r="P154" s="17"/>
      <c r="Q154" s="169"/>
      <c r="R154" s="24"/>
      <c r="S154" s="24"/>
      <c r="T154" s="24"/>
      <c r="U154" s="25"/>
      <c r="V154" s="25"/>
      <c r="W154" s="25"/>
      <c r="X154" s="24"/>
      <c r="Y154" s="24"/>
      <c r="Z154" s="24"/>
      <c r="AA154" s="24"/>
      <c r="AB154" s="24"/>
      <c r="AC154" s="24"/>
      <c r="AD154" s="361">
        <f t="shared" si="34"/>
        <v>0</v>
      </c>
      <c r="AE154" s="359" t="str">
        <f t="shared" si="37"/>
        <v/>
      </c>
      <c r="AF154" s="359" t="str">
        <f t="shared" si="46"/>
        <v/>
      </c>
      <c r="AG154" s="359" t="str">
        <f t="shared" si="38"/>
        <v/>
      </c>
      <c r="AH154" s="359" t="str">
        <f t="shared" si="39"/>
        <v/>
      </c>
      <c r="AI154" s="359" t="str">
        <f t="shared" si="40"/>
        <v/>
      </c>
      <c r="AJ154" s="359" t="str">
        <f t="shared" si="41"/>
        <v/>
      </c>
      <c r="AK154" s="359" t="str">
        <f t="shared" si="43"/>
        <v/>
      </c>
      <c r="AL154" s="359" t="str">
        <f t="shared" si="42"/>
        <v/>
      </c>
      <c r="AM154" s="359" t="str">
        <f t="shared" si="44"/>
        <v/>
      </c>
      <c r="AN154" s="262">
        <f t="shared" si="47"/>
        <v>0</v>
      </c>
      <c r="AO154" s="262" t="str">
        <f>IFERROR(HLOOKUP(AN154,'Ref Lists'!Q$1:AL$2,2,FALSE),'Ref Lists'!$AK$2)</f>
        <v>Savings21</v>
      </c>
      <c r="AP154" s="38"/>
      <c r="AQ154" s="38">
        <f t="shared" si="36"/>
        <v>0</v>
      </c>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row>
    <row r="155" spans="1:104" s="40" customFormat="1" ht="20.149999999999999" customHeight="1">
      <c r="A155" s="358">
        <f t="shared" si="45"/>
        <v>154</v>
      </c>
      <c r="B155" s="359" t="str">
        <f>'Front Sheet and Checklist'!$C$5</f>
        <v>Swansea Bay UHB</v>
      </c>
      <c r="C155" s="17"/>
      <c r="D155" s="17"/>
      <c r="E155" s="17"/>
      <c r="F155" s="17"/>
      <c r="G155" s="17"/>
      <c r="H155" s="17"/>
      <c r="I155" s="361">
        <f t="shared" si="35"/>
        <v>0</v>
      </c>
      <c r="J155" s="17"/>
      <c r="K155" s="18"/>
      <c r="L155" s="18"/>
      <c r="M155" s="17"/>
      <c r="N155" s="17"/>
      <c r="O155" s="17"/>
      <c r="P155" s="17"/>
      <c r="Q155" s="169"/>
      <c r="R155" s="24"/>
      <c r="S155" s="24"/>
      <c r="T155" s="24"/>
      <c r="U155" s="25"/>
      <c r="V155" s="25"/>
      <c r="W155" s="25"/>
      <c r="X155" s="24"/>
      <c r="Y155" s="24"/>
      <c r="Z155" s="24"/>
      <c r="AA155" s="24"/>
      <c r="AB155" s="24"/>
      <c r="AC155" s="24"/>
      <c r="AD155" s="361">
        <f t="shared" si="34"/>
        <v>0</v>
      </c>
      <c r="AE155" s="359" t="str">
        <f t="shared" si="37"/>
        <v/>
      </c>
      <c r="AF155" s="359" t="str">
        <f t="shared" si="46"/>
        <v/>
      </c>
      <c r="AG155" s="359" t="str">
        <f t="shared" si="38"/>
        <v/>
      </c>
      <c r="AH155" s="359" t="str">
        <f t="shared" si="39"/>
        <v/>
      </c>
      <c r="AI155" s="359" t="str">
        <f t="shared" si="40"/>
        <v/>
      </c>
      <c r="AJ155" s="359" t="str">
        <f t="shared" si="41"/>
        <v/>
      </c>
      <c r="AK155" s="359" t="str">
        <f t="shared" si="43"/>
        <v/>
      </c>
      <c r="AL155" s="359" t="str">
        <f t="shared" si="42"/>
        <v/>
      </c>
      <c r="AM155" s="359" t="str">
        <f t="shared" si="44"/>
        <v/>
      </c>
      <c r="AN155" s="262">
        <f t="shared" si="47"/>
        <v>0</v>
      </c>
      <c r="AO155" s="262" t="str">
        <f>IFERROR(HLOOKUP(AN155,'Ref Lists'!Q$1:AL$2,2,FALSE),'Ref Lists'!$AK$2)</f>
        <v>Savings21</v>
      </c>
      <c r="AP155" s="38"/>
      <c r="AQ155" s="38">
        <f t="shared" si="36"/>
        <v>0</v>
      </c>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c r="CA155" s="38"/>
      <c r="CB155" s="38"/>
      <c r="CC155" s="38"/>
      <c r="CD155" s="38"/>
      <c r="CE155" s="38"/>
      <c r="CF155" s="38"/>
      <c r="CG155" s="38"/>
      <c r="CH155" s="38"/>
      <c r="CI155" s="38"/>
      <c r="CJ155" s="38"/>
      <c r="CK155" s="38"/>
      <c r="CL155" s="38"/>
      <c r="CM155" s="38"/>
      <c r="CN155" s="38"/>
      <c r="CO155" s="38"/>
      <c r="CP155" s="38"/>
      <c r="CQ155" s="38"/>
      <c r="CR155" s="38"/>
      <c r="CS155" s="38"/>
      <c r="CT155" s="38"/>
      <c r="CU155" s="38"/>
      <c r="CV155" s="38"/>
      <c r="CW155" s="38"/>
      <c r="CX155" s="38"/>
      <c r="CY155" s="38"/>
      <c r="CZ155" s="38"/>
    </row>
    <row r="156" spans="1:104" s="40" customFormat="1" ht="20.149999999999999" customHeight="1">
      <c r="A156" s="358">
        <f t="shared" si="45"/>
        <v>155</v>
      </c>
      <c r="B156" s="359" t="str">
        <f>'Front Sheet and Checklist'!$C$5</f>
        <v>Swansea Bay UHB</v>
      </c>
      <c r="C156" s="17"/>
      <c r="D156" s="17"/>
      <c r="E156" s="17"/>
      <c r="F156" s="17"/>
      <c r="G156" s="17"/>
      <c r="H156" s="17"/>
      <c r="I156" s="361">
        <f t="shared" si="35"/>
        <v>0</v>
      </c>
      <c r="J156" s="17"/>
      <c r="K156" s="18"/>
      <c r="L156" s="18"/>
      <c r="M156" s="17"/>
      <c r="N156" s="17"/>
      <c r="O156" s="17"/>
      <c r="P156" s="17"/>
      <c r="Q156" s="169"/>
      <c r="R156" s="24"/>
      <c r="S156" s="24"/>
      <c r="T156" s="24"/>
      <c r="U156" s="25"/>
      <c r="V156" s="25"/>
      <c r="W156" s="25"/>
      <c r="X156" s="24"/>
      <c r="Y156" s="24"/>
      <c r="Z156" s="24"/>
      <c r="AA156" s="24"/>
      <c r="AB156" s="24"/>
      <c r="AC156" s="24"/>
      <c r="AD156" s="361">
        <f t="shared" si="34"/>
        <v>0</v>
      </c>
      <c r="AE156" s="359" t="str">
        <f t="shared" si="37"/>
        <v/>
      </c>
      <c r="AF156" s="359" t="str">
        <f t="shared" si="46"/>
        <v/>
      </c>
      <c r="AG156" s="359" t="str">
        <f t="shared" si="38"/>
        <v/>
      </c>
      <c r="AH156" s="359" t="str">
        <f t="shared" si="39"/>
        <v/>
      </c>
      <c r="AI156" s="359" t="str">
        <f t="shared" si="40"/>
        <v/>
      </c>
      <c r="AJ156" s="359" t="str">
        <f t="shared" si="41"/>
        <v/>
      </c>
      <c r="AK156" s="359" t="str">
        <f t="shared" si="43"/>
        <v/>
      </c>
      <c r="AL156" s="359" t="str">
        <f t="shared" si="42"/>
        <v/>
      </c>
      <c r="AM156" s="359" t="str">
        <f t="shared" si="44"/>
        <v/>
      </c>
      <c r="AN156" s="262">
        <f t="shared" si="47"/>
        <v>0</v>
      </c>
      <c r="AO156" s="262" t="str">
        <f>IFERROR(HLOOKUP(AN156,'Ref Lists'!Q$1:AL$2,2,FALSE),'Ref Lists'!$AK$2)</f>
        <v>Savings21</v>
      </c>
      <c r="AP156" s="38"/>
      <c r="AQ156" s="38">
        <f t="shared" si="36"/>
        <v>0</v>
      </c>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row>
    <row r="157" spans="1:104" s="40" customFormat="1" ht="20.149999999999999" customHeight="1">
      <c r="A157" s="358">
        <f t="shared" si="45"/>
        <v>156</v>
      </c>
      <c r="B157" s="359" t="str">
        <f>'Front Sheet and Checklist'!$C$5</f>
        <v>Swansea Bay UHB</v>
      </c>
      <c r="C157" s="17"/>
      <c r="D157" s="17"/>
      <c r="E157" s="17"/>
      <c r="F157" s="17"/>
      <c r="G157" s="17"/>
      <c r="H157" s="17"/>
      <c r="I157" s="361">
        <f t="shared" si="35"/>
        <v>0</v>
      </c>
      <c r="J157" s="17"/>
      <c r="K157" s="18"/>
      <c r="L157" s="18"/>
      <c r="M157" s="17"/>
      <c r="N157" s="17"/>
      <c r="O157" s="17"/>
      <c r="P157" s="17"/>
      <c r="Q157" s="169"/>
      <c r="R157" s="24"/>
      <c r="S157" s="24"/>
      <c r="T157" s="24"/>
      <c r="U157" s="25"/>
      <c r="V157" s="25"/>
      <c r="W157" s="25"/>
      <c r="X157" s="24"/>
      <c r="Y157" s="24"/>
      <c r="Z157" s="24"/>
      <c r="AA157" s="24"/>
      <c r="AB157" s="24"/>
      <c r="AC157" s="24"/>
      <c r="AD157" s="361">
        <f t="shared" si="34"/>
        <v>0</v>
      </c>
      <c r="AE157" s="359" t="str">
        <f t="shared" si="37"/>
        <v/>
      </c>
      <c r="AF157" s="359" t="str">
        <f t="shared" si="46"/>
        <v/>
      </c>
      <c r="AG157" s="359" t="str">
        <f t="shared" si="38"/>
        <v/>
      </c>
      <c r="AH157" s="359" t="str">
        <f t="shared" si="39"/>
        <v/>
      </c>
      <c r="AI157" s="359" t="str">
        <f t="shared" si="40"/>
        <v/>
      </c>
      <c r="AJ157" s="359" t="str">
        <f t="shared" si="41"/>
        <v/>
      </c>
      <c r="AK157" s="359" t="str">
        <f t="shared" si="43"/>
        <v/>
      </c>
      <c r="AL157" s="359" t="str">
        <f t="shared" si="42"/>
        <v/>
      </c>
      <c r="AM157" s="359" t="str">
        <f t="shared" si="44"/>
        <v/>
      </c>
      <c r="AN157" s="262">
        <f t="shared" si="47"/>
        <v>0</v>
      </c>
      <c r="AO157" s="262" t="str">
        <f>IFERROR(HLOOKUP(AN157,'Ref Lists'!Q$1:AL$2,2,FALSE),'Ref Lists'!$AK$2)</f>
        <v>Savings21</v>
      </c>
      <c r="AP157" s="38"/>
      <c r="AQ157" s="38">
        <f t="shared" si="36"/>
        <v>0</v>
      </c>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row>
    <row r="158" spans="1:104" s="40" customFormat="1" ht="20.149999999999999" customHeight="1">
      <c r="A158" s="358">
        <f t="shared" si="45"/>
        <v>157</v>
      </c>
      <c r="B158" s="359" t="str">
        <f>'Front Sheet and Checklist'!$C$5</f>
        <v>Swansea Bay UHB</v>
      </c>
      <c r="C158" s="17"/>
      <c r="D158" s="17"/>
      <c r="E158" s="17"/>
      <c r="F158" s="17"/>
      <c r="G158" s="17"/>
      <c r="H158" s="17"/>
      <c r="I158" s="361">
        <f t="shared" si="35"/>
        <v>0</v>
      </c>
      <c r="J158" s="17"/>
      <c r="K158" s="18"/>
      <c r="L158" s="18"/>
      <c r="M158" s="17"/>
      <c r="N158" s="17"/>
      <c r="O158" s="17"/>
      <c r="P158" s="17"/>
      <c r="Q158" s="169"/>
      <c r="R158" s="24"/>
      <c r="S158" s="24"/>
      <c r="T158" s="24"/>
      <c r="U158" s="25"/>
      <c r="V158" s="25"/>
      <c r="W158" s="25"/>
      <c r="X158" s="24"/>
      <c r="Y158" s="24"/>
      <c r="Z158" s="24"/>
      <c r="AA158" s="24"/>
      <c r="AB158" s="24"/>
      <c r="AC158" s="24"/>
      <c r="AD158" s="361">
        <f t="shared" si="34"/>
        <v>0</v>
      </c>
      <c r="AE158" s="359" t="str">
        <f t="shared" si="37"/>
        <v/>
      </c>
      <c r="AF158" s="359" t="str">
        <f t="shared" si="46"/>
        <v/>
      </c>
      <c r="AG158" s="359" t="str">
        <f t="shared" si="38"/>
        <v/>
      </c>
      <c r="AH158" s="359" t="str">
        <f t="shared" si="39"/>
        <v/>
      </c>
      <c r="AI158" s="359" t="str">
        <f t="shared" si="40"/>
        <v/>
      </c>
      <c r="AJ158" s="359" t="str">
        <f t="shared" si="41"/>
        <v/>
      </c>
      <c r="AK158" s="359" t="str">
        <f t="shared" si="43"/>
        <v/>
      </c>
      <c r="AL158" s="359" t="str">
        <f t="shared" si="42"/>
        <v/>
      </c>
      <c r="AM158" s="359" t="str">
        <f t="shared" si="44"/>
        <v/>
      </c>
      <c r="AN158" s="262">
        <f t="shared" si="47"/>
        <v>0</v>
      </c>
      <c r="AO158" s="262" t="str">
        <f>IFERROR(HLOOKUP(AN158,'Ref Lists'!Q$1:AL$2,2,FALSE),'Ref Lists'!$AK$2)</f>
        <v>Savings21</v>
      </c>
      <c r="AP158" s="38"/>
      <c r="AQ158" s="38">
        <f t="shared" si="36"/>
        <v>0</v>
      </c>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row>
    <row r="159" spans="1:104" s="40" customFormat="1" ht="20.149999999999999" customHeight="1">
      <c r="A159" s="358">
        <f t="shared" si="45"/>
        <v>158</v>
      </c>
      <c r="B159" s="359" t="str">
        <f>'Front Sheet and Checklist'!$C$5</f>
        <v>Swansea Bay UHB</v>
      </c>
      <c r="C159" s="17"/>
      <c r="D159" s="17"/>
      <c r="E159" s="17"/>
      <c r="F159" s="17"/>
      <c r="G159" s="17"/>
      <c r="H159" s="17"/>
      <c r="I159" s="361">
        <f t="shared" si="35"/>
        <v>0</v>
      </c>
      <c r="J159" s="17"/>
      <c r="K159" s="18"/>
      <c r="L159" s="18"/>
      <c r="M159" s="17"/>
      <c r="N159" s="17"/>
      <c r="O159" s="17"/>
      <c r="P159" s="17"/>
      <c r="Q159" s="169"/>
      <c r="R159" s="24"/>
      <c r="S159" s="24"/>
      <c r="T159" s="24"/>
      <c r="U159" s="25"/>
      <c r="V159" s="25"/>
      <c r="W159" s="25"/>
      <c r="X159" s="24"/>
      <c r="Y159" s="24"/>
      <c r="Z159" s="24"/>
      <c r="AA159" s="24"/>
      <c r="AB159" s="24"/>
      <c r="AC159" s="24"/>
      <c r="AD159" s="361">
        <f t="shared" si="34"/>
        <v>0</v>
      </c>
      <c r="AE159" s="359" t="str">
        <f t="shared" si="37"/>
        <v/>
      </c>
      <c r="AF159" s="359" t="str">
        <f t="shared" si="46"/>
        <v/>
      </c>
      <c r="AG159" s="359" t="str">
        <f t="shared" si="38"/>
        <v/>
      </c>
      <c r="AH159" s="359" t="str">
        <f t="shared" si="39"/>
        <v/>
      </c>
      <c r="AI159" s="359" t="str">
        <f t="shared" si="40"/>
        <v/>
      </c>
      <c r="AJ159" s="359" t="str">
        <f t="shared" si="41"/>
        <v/>
      </c>
      <c r="AK159" s="359" t="str">
        <f t="shared" si="43"/>
        <v/>
      </c>
      <c r="AL159" s="359" t="str">
        <f t="shared" si="42"/>
        <v/>
      </c>
      <c r="AM159" s="359" t="str">
        <f t="shared" si="44"/>
        <v/>
      </c>
      <c r="AN159" s="262">
        <f t="shared" si="47"/>
        <v>0</v>
      </c>
      <c r="AO159" s="262" t="str">
        <f>IFERROR(HLOOKUP(AN159,'Ref Lists'!Q$1:AL$2,2,FALSE),'Ref Lists'!$AK$2)</f>
        <v>Savings21</v>
      </c>
      <c r="AP159" s="38"/>
      <c r="AQ159" s="38">
        <f t="shared" si="36"/>
        <v>0</v>
      </c>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row>
    <row r="160" spans="1:104" s="40" customFormat="1" ht="20.149999999999999" customHeight="1">
      <c r="A160" s="358">
        <f t="shared" si="45"/>
        <v>159</v>
      </c>
      <c r="B160" s="359" t="str">
        <f>'Front Sheet and Checklist'!$C$5</f>
        <v>Swansea Bay UHB</v>
      </c>
      <c r="C160" s="17"/>
      <c r="D160" s="17"/>
      <c r="E160" s="17"/>
      <c r="F160" s="17"/>
      <c r="G160" s="17"/>
      <c r="H160" s="17"/>
      <c r="I160" s="361">
        <f t="shared" si="35"/>
        <v>0</v>
      </c>
      <c r="J160" s="17"/>
      <c r="K160" s="18"/>
      <c r="L160" s="18"/>
      <c r="M160" s="17"/>
      <c r="N160" s="17"/>
      <c r="O160" s="17"/>
      <c r="P160" s="17"/>
      <c r="Q160" s="169"/>
      <c r="R160" s="24"/>
      <c r="S160" s="24"/>
      <c r="T160" s="24"/>
      <c r="U160" s="25"/>
      <c r="V160" s="25"/>
      <c r="W160" s="25"/>
      <c r="X160" s="24"/>
      <c r="Y160" s="24"/>
      <c r="Z160" s="24"/>
      <c r="AA160" s="24"/>
      <c r="AB160" s="24"/>
      <c r="AC160" s="24"/>
      <c r="AD160" s="361">
        <f t="shared" si="34"/>
        <v>0</v>
      </c>
      <c r="AE160" s="359" t="str">
        <f t="shared" si="37"/>
        <v/>
      </c>
      <c r="AF160" s="359" t="str">
        <f t="shared" si="46"/>
        <v/>
      </c>
      <c r="AG160" s="359" t="str">
        <f t="shared" si="38"/>
        <v/>
      </c>
      <c r="AH160" s="359" t="str">
        <f t="shared" si="39"/>
        <v/>
      </c>
      <c r="AI160" s="359" t="str">
        <f t="shared" si="40"/>
        <v/>
      </c>
      <c r="AJ160" s="359" t="str">
        <f t="shared" si="41"/>
        <v/>
      </c>
      <c r="AK160" s="359" t="str">
        <f t="shared" si="43"/>
        <v/>
      </c>
      <c r="AL160" s="359" t="str">
        <f t="shared" si="42"/>
        <v/>
      </c>
      <c r="AM160" s="359" t="str">
        <f t="shared" si="44"/>
        <v/>
      </c>
      <c r="AN160" s="262">
        <f t="shared" si="47"/>
        <v>0</v>
      </c>
      <c r="AO160" s="262" t="str">
        <f>IFERROR(HLOOKUP(AN160,'Ref Lists'!Q$1:AL$2,2,FALSE),'Ref Lists'!$AK$2)</f>
        <v>Savings21</v>
      </c>
      <c r="AP160" s="38"/>
      <c r="AQ160" s="38">
        <f t="shared" si="36"/>
        <v>0</v>
      </c>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row>
    <row r="161" spans="1:104" s="40" customFormat="1" ht="20.149999999999999" customHeight="1">
      <c r="A161" s="358">
        <f t="shared" si="45"/>
        <v>160</v>
      </c>
      <c r="B161" s="359" t="str">
        <f>'Front Sheet and Checklist'!$C$5</f>
        <v>Swansea Bay UHB</v>
      </c>
      <c r="C161" s="17"/>
      <c r="D161" s="17"/>
      <c r="E161" s="17"/>
      <c r="F161" s="17"/>
      <c r="G161" s="17"/>
      <c r="H161" s="17"/>
      <c r="I161" s="361">
        <f t="shared" si="35"/>
        <v>0</v>
      </c>
      <c r="J161" s="17"/>
      <c r="K161" s="18"/>
      <c r="L161" s="18"/>
      <c r="M161" s="17"/>
      <c r="N161" s="17"/>
      <c r="O161" s="17"/>
      <c r="P161" s="17"/>
      <c r="Q161" s="169"/>
      <c r="R161" s="24"/>
      <c r="S161" s="24"/>
      <c r="T161" s="24"/>
      <c r="U161" s="25"/>
      <c r="V161" s="25"/>
      <c r="W161" s="25"/>
      <c r="X161" s="24"/>
      <c r="Y161" s="24"/>
      <c r="Z161" s="24"/>
      <c r="AA161" s="24"/>
      <c r="AB161" s="24"/>
      <c r="AC161" s="24"/>
      <c r="AD161" s="361">
        <f t="shared" si="34"/>
        <v>0</v>
      </c>
      <c r="AE161" s="359" t="str">
        <f t="shared" si="37"/>
        <v/>
      </c>
      <c r="AF161" s="359" t="str">
        <f t="shared" si="46"/>
        <v/>
      </c>
      <c r="AG161" s="359" t="str">
        <f t="shared" si="38"/>
        <v/>
      </c>
      <c r="AH161" s="359" t="str">
        <f t="shared" si="39"/>
        <v/>
      </c>
      <c r="AI161" s="359" t="str">
        <f t="shared" si="40"/>
        <v/>
      </c>
      <c r="AJ161" s="359" t="str">
        <f t="shared" si="41"/>
        <v/>
      </c>
      <c r="AK161" s="359" t="str">
        <f t="shared" si="43"/>
        <v/>
      </c>
      <c r="AL161" s="359" t="str">
        <f t="shared" si="42"/>
        <v/>
      </c>
      <c r="AM161" s="359" t="str">
        <f t="shared" si="44"/>
        <v/>
      </c>
      <c r="AN161" s="262">
        <f t="shared" si="47"/>
        <v>0</v>
      </c>
      <c r="AO161" s="262" t="str">
        <f>IFERROR(HLOOKUP(AN161,'Ref Lists'!Q$1:AL$2,2,FALSE),'Ref Lists'!$AK$2)</f>
        <v>Savings21</v>
      </c>
      <c r="AP161" s="38"/>
      <c r="AQ161" s="38">
        <f t="shared" si="36"/>
        <v>0</v>
      </c>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row>
    <row r="162" spans="1:104" s="40" customFormat="1" ht="20.149999999999999" customHeight="1">
      <c r="A162" s="358">
        <f t="shared" si="45"/>
        <v>161</v>
      </c>
      <c r="B162" s="359" t="str">
        <f>'Front Sheet and Checklist'!$C$5</f>
        <v>Swansea Bay UHB</v>
      </c>
      <c r="C162" s="17"/>
      <c r="D162" s="17"/>
      <c r="E162" s="17"/>
      <c r="F162" s="17"/>
      <c r="G162" s="17"/>
      <c r="H162" s="17"/>
      <c r="I162" s="361">
        <f t="shared" si="35"/>
        <v>0</v>
      </c>
      <c r="J162" s="17"/>
      <c r="K162" s="18"/>
      <c r="L162" s="18"/>
      <c r="M162" s="17"/>
      <c r="N162" s="17"/>
      <c r="O162" s="17"/>
      <c r="P162" s="17"/>
      <c r="Q162" s="169"/>
      <c r="R162" s="24"/>
      <c r="S162" s="24"/>
      <c r="T162" s="24"/>
      <c r="U162" s="25"/>
      <c r="V162" s="25"/>
      <c r="W162" s="25"/>
      <c r="X162" s="24"/>
      <c r="Y162" s="24"/>
      <c r="Z162" s="24"/>
      <c r="AA162" s="24"/>
      <c r="AB162" s="24"/>
      <c r="AC162" s="24"/>
      <c r="AD162" s="361">
        <f t="shared" si="34"/>
        <v>0</v>
      </c>
      <c r="AE162" s="359" t="str">
        <f t="shared" si="37"/>
        <v/>
      </c>
      <c r="AF162" s="359" t="str">
        <f t="shared" si="46"/>
        <v/>
      </c>
      <c r="AG162" s="359" t="str">
        <f t="shared" si="38"/>
        <v/>
      </c>
      <c r="AH162" s="359" t="str">
        <f t="shared" si="39"/>
        <v/>
      </c>
      <c r="AI162" s="359" t="str">
        <f t="shared" si="40"/>
        <v/>
      </c>
      <c r="AJ162" s="359" t="str">
        <f t="shared" si="41"/>
        <v/>
      </c>
      <c r="AK162" s="359" t="str">
        <f t="shared" si="43"/>
        <v/>
      </c>
      <c r="AL162" s="359" t="str">
        <f t="shared" si="42"/>
        <v/>
      </c>
      <c r="AM162" s="359" t="str">
        <f t="shared" si="44"/>
        <v/>
      </c>
      <c r="AN162" s="262">
        <f t="shared" si="47"/>
        <v>0</v>
      </c>
      <c r="AO162" s="262" t="str">
        <f>IFERROR(HLOOKUP(AN162,'Ref Lists'!Q$1:AL$2,2,FALSE),'Ref Lists'!$AK$2)</f>
        <v>Savings21</v>
      </c>
      <c r="AP162" s="38"/>
      <c r="AQ162" s="38">
        <f t="shared" si="36"/>
        <v>0</v>
      </c>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row>
    <row r="163" spans="1:104" s="40" customFormat="1" ht="20.149999999999999" customHeight="1">
      <c r="A163" s="358">
        <f t="shared" si="45"/>
        <v>162</v>
      </c>
      <c r="B163" s="359" t="str">
        <f>'Front Sheet and Checklist'!$C$5</f>
        <v>Swansea Bay UHB</v>
      </c>
      <c r="C163" s="17"/>
      <c r="D163" s="17"/>
      <c r="E163" s="17"/>
      <c r="F163" s="17"/>
      <c r="G163" s="17"/>
      <c r="H163" s="17"/>
      <c r="I163" s="361">
        <f t="shared" si="35"/>
        <v>0</v>
      </c>
      <c r="J163" s="17"/>
      <c r="K163" s="18"/>
      <c r="L163" s="18"/>
      <c r="M163" s="17"/>
      <c r="N163" s="17"/>
      <c r="O163" s="17"/>
      <c r="P163" s="17"/>
      <c r="Q163" s="169"/>
      <c r="R163" s="24"/>
      <c r="S163" s="24"/>
      <c r="T163" s="24"/>
      <c r="U163" s="25"/>
      <c r="V163" s="25"/>
      <c r="W163" s="25"/>
      <c r="X163" s="24"/>
      <c r="Y163" s="24"/>
      <c r="Z163" s="24"/>
      <c r="AA163" s="24"/>
      <c r="AB163" s="24"/>
      <c r="AC163" s="24"/>
      <c r="AD163" s="361">
        <f t="shared" si="34"/>
        <v>0</v>
      </c>
      <c r="AE163" s="359" t="str">
        <f t="shared" si="37"/>
        <v/>
      </c>
      <c r="AF163" s="359" t="str">
        <f t="shared" si="46"/>
        <v/>
      </c>
      <c r="AG163" s="359" t="str">
        <f t="shared" si="38"/>
        <v/>
      </c>
      <c r="AH163" s="359" t="str">
        <f t="shared" si="39"/>
        <v/>
      </c>
      <c r="AI163" s="359" t="str">
        <f t="shared" si="40"/>
        <v/>
      </c>
      <c r="AJ163" s="359" t="str">
        <f t="shared" si="41"/>
        <v/>
      </c>
      <c r="AK163" s="359" t="str">
        <f t="shared" si="43"/>
        <v/>
      </c>
      <c r="AL163" s="359" t="str">
        <f t="shared" si="42"/>
        <v/>
      </c>
      <c r="AM163" s="359" t="str">
        <f t="shared" si="44"/>
        <v/>
      </c>
      <c r="AN163" s="262">
        <f t="shared" si="47"/>
        <v>0</v>
      </c>
      <c r="AO163" s="262" t="str">
        <f>IFERROR(HLOOKUP(AN163,'Ref Lists'!Q$1:AL$2,2,FALSE),'Ref Lists'!$AK$2)</f>
        <v>Savings21</v>
      </c>
      <c r="AP163" s="38"/>
      <c r="AQ163" s="38">
        <f t="shared" si="36"/>
        <v>0</v>
      </c>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row>
    <row r="164" spans="1:104" s="40" customFormat="1" ht="20.149999999999999" customHeight="1">
      <c r="A164" s="358">
        <f t="shared" si="45"/>
        <v>163</v>
      </c>
      <c r="B164" s="359" t="str">
        <f>'Front Sheet and Checklist'!$C$5</f>
        <v>Swansea Bay UHB</v>
      </c>
      <c r="C164" s="17"/>
      <c r="D164" s="17"/>
      <c r="E164" s="17"/>
      <c r="F164" s="17"/>
      <c r="G164" s="17"/>
      <c r="H164" s="17"/>
      <c r="I164" s="361">
        <f t="shared" si="35"/>
        <v>0</v>
      </c>
      <c r="J164" s="17"/>
      <c r="K164" s="18"/>
      <c r="L164" s="18"/>
      <c r="M164" s="17"/>
      <c r="N164" s="17"/>
      <c r="O164" s="17"/>
      <c r="P164" s="17"/>
      <c r="Q164" s="169"/>
      <c r="R164" s="24"/>
      <c r="S164" s="24"/>
      <c r="T164" s="24"/>
      <c r="U164" s="25"/>
      <c r="V164" s="25"/>
      <c r="W164" s="25"/>
      <c r="X164" s="24"/>
      <c r="Y164" s="24"/>
      <c r="Z164" s="24"/>
      <c r="AA164" s="24"/>
      <c r="AB164" s="24"/>
      <c r="AC164" s="24"/>
      <c r="AD164" s="361">
        <f t="shared" si="34"/>
        <v>0</v>
      </c>
      <c r="AE164" s="359" t="str">
        <f t="shared" si="37"/>
        <v/>
      </c>
      <c r="AF164" s="359" t="str">
        <f t="shared" si="46"/>
        <v/>
      </c>
      <c r="AG164" s="359" t="str">
        <f t="shared" si="38"/>
        <v/>
      </c>
      <c r="AH164" s="359" t="str">
        <f t="shared" si="39"/>
        <v/>
      </c>
      <c r="AI164" s="359" t="str">
        <f t="shared" si="40"/>
        <v/>
      </c>
      <c r="AJ164" s="359" t="str">
        <f t="shared" si="41"/>
        <v/>
      </c>
      <c r="AK164" s="359" t="str">
        <f t="shared" si="43"/>
        <v/>
      </c>
      <c r="AL164" s="359" t="str">
        <f t="shared" si="42"/>
        <v/>
      </c>
      <c r="AM164" s="359" t="str">
        <f t="shared" si="44"/>
        <v/>
      </c>
      <c r="AN164" s="262">
        <f t="shared" si="47"/>
        <v>0</v>
      </c>
      <c r="AO164" s="262" t="str">
        <f>IFERROR(HLOOKUP(AN164,'Ref Lists'!Q$1:AL$2,2,FALSE),'Ref Lists'!$AK$2)</f>
        <v>Savings21</v>
      </c>
      <c r="AP164" s="38"/>
      <c r="AQ164" s="38">
        <f t="shared" si="36"/>
        <v>0</v>
      </c>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row>
    <row r="165" spans="1:104" s="40" customFormat="1" ht="20.149999999999999" customHeight="1">
      <c r="A165" s="358">
        <f t="shared" si="45"/>
        <v>164</v>
      </c>
      <c r="B165" s="359" t="str">
        <f>'Front Sheet and Checklist'!$C$5</f>
        <v>Swansea Bay UHB</v>
      </c>
      <c r="C165" s="17"/>
      <c r="D165" s="17"/>
      <c r="E165" s="17"/>
      <c r="F165" s="17"/>
      <c r="G165" s="17"/>
      <c r="H165" s="17"/>
      <c r="I165" s="361">
        <f t="shared" si="35"/>
        <v>0</v>
      </c>
      <c r="J165" s="17"/>
      <c r="K165" s="18"/>
      <c r="L165" s="18"/>
      <c r="M165" s="17"/>
      <c r="N165" s="17"/>
      <c r="O165" s="17"/>
      <c r="P165" s="17"/>
      <c r="Q165" s="169"/>
      <c r="R165" s="24"/>
      <c r="S165" s="24"/>
      <c r="T165" s="24"/>
      <c r="U165" s="25"/>
      <c r="V165" s="25"/>
      <c r="W165" s="25"/>
      <c r="X165" s="24"/>
      <c r="Y165" s="24"/>
      <c r="Z165" s="24"/>
      <c r="AA165" s="24"/>
      <c r="AB165" s="24"/>
      <c r="AC165" s="24"/>
      <c r="AD165" s="361">
        <f t="shared" si="34"/>
        <v>0</v>
      </c>
      <c r="AE165" s="359" t="str">
        <f t="shared" si="37"/>
        <v/>
      </c>
      <c r="AF165" s="359" t="str">
        <f t="shared" si="46"/>
        <v/>
      </c>
      <c r="AG165" s="359" t="str">
        <f t="shared" si="38"/>
        <v/>
      </c>
      <c r="AH165" s="359" t="str">
        <f t="shared" si="39"/>
        <v/>
      </c>
      <c r="AI165" s="359" t="str">
        <f t="shared" si="40"/>
        <v/>
      </c>
      <c r="AJ165" s="359" t="str">
        <f t="shared" si="41"/>
        <v/>
      </c>
      <c r="AK165" s="359" t="str">
        <f t="shared" si="43"/>
        <v/>
      </c>
      <c r="AL165" s="359" t="str">
        <f t="shared" si="42"/>
        <v/>
      </c>
      <c r="AM165" s="359" t="str">
        <f t="shared" si="44"/>
        <v/>
      </c>
      <c r="AN165" s="262">
        <f t="shared" si="47"/>
        <v>0</v>
      </c>
      <c r="AO165" s="262" t="str">
        <f>IFERROR(HLOOKUP(AN165,'Ref Lists'!Q$1:AL$2,2,FALSE),'Ref Lists'!$AK$2)</f>
        <v>Savings21</v>
      </c>
      <c r="AP165" s="38"/>
      <c r="AQ165" s="38">
        <f t="shared" si="36"/>
        <v>0</v>
      </c>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row>
    <row r="166" spans="1:104" s="40" customFormat="1" ht="20.149999999999999" customHeight="1">
      <c r="A166" s="358">
        <f t="shared" si="45"/>
        <v>165</v>
      </c>
      <c r="B166" s="359" t="str">
        <f>'Front Sheet and Checklist'!$C$5</f>
        <v>Swansea Bay UHB</v>
      </c>
      <c r="C166" s="17"/>
      <c r="D166" s="17"/>
      <c r="E166" s="17"/>
      <c r="F166" s="17"/>
      <c r="G166" s="17"/>
      <c r="H166" s="17"/>
      <c r="I166" s="361">
        <f t="shared" si="35"/>
        <v>0</v>
      </c>
      <c r="J166" s="17"/>
      <c r="K166" s="18"/>
      <c r="L166" s="18"/>
      <c r="M166" s="17"/>
      <c r="N166" s="17"/>
      <c r="O166" s="17"/>
      <c r="P166" s="17"/>
      <c r="Q166" s="169"/>
      <c r="R166" s="24"/>
      <c r="S166" s="24"/>
      <c r="T166" s="24"/>
      <c r="U166" s="25"/>
      <c r="V166" s="25"/>
      <c r="W166" s="25"/>
      <c r="X166" s="24"/>
      <c r="Y166" s="24"/>
      <c r="Z166" s="24"/>
      <c r="AA166" s="24"/>
      <c r="AB166" s="24"/>
      <c r="AC166" s="24"/>
      <c r="AD166" s="361">
        <f t="shared" si="34"/>
        <v>0</v>
      </c>
      <c r="AE166" s="359" t="str">
        <f t="shared" si="37"/>
        <v/>
      </c>
      <c r="AF166" s="359" t="str">
        <f t="shared" si="46"/>
        <v/>
      </c>
      <c r="AG166" s="359" t="str">
        <f t="shared" si="38"/>
        <v/>
      </c>
      <c r="AH166" s="359" t="str">
        <f t="shared" si="39"/>
        <v/>
      </c>
      <c r="AI166" s="359" t="str">
        <f t="shared" si="40"/>
        <v/>
      </c>
      <c r="AJ166" s="359" t="str">
        <f t="shared" si="41"/>
        <v/>
      </c>
      <c r="AK166" s="359" t="str">
        <f t="shared" si="43"/>
        <v/>
      </c>
      <c r="AL166" s="359" t="str">
        <f t="shared" si="42"/>
        <v/>
      </c>
      <c r="AM166" s="359" t="str">
        <f t="shared" si="44"/>
        <v/>
      </c>
      <c r="AN166" s="262">
        <f t="shared" si="47"/>
        <v>0</v>
      </c>
      <c r="AO166" s="262" t="str">
        <f>IFERROR(HLOOKUP(AN166,'Ref Lists'!Q$1:AL$2,2,FALSE),'Ref Lists'!$AK$2)</f>
        <v>Savings21</v>
      </c>
      <c r="AP166" s="38"/>
      <c r="AQ166" s="38">
        <f t="shared" si="36"/>
        <v>0</v>
      </c>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38"/>
      <c r="BZ166" s="38"/>
      <c r="CA166" s="38"/>
      <c r="CB166" s="38"/>
      <c r="CC166" s="38"/>
      <c r="CD166" s="38"/>
      <c r="CE166" s="38"/>
      <c r="CF166" s="38"/>
      <c r="CG166" s="38"/>
      <c r="CH166" s="38"/>
      <c r="CI166" s="38"/>
      <c r="CJ166" s="38"/>
      <c r="CK166" s="38"/>
      <c r="CL166" s="38"/>
      <c r="CM166" s="38"/>
      <c r="CN166" s="38"/>
      <c r="CO166" s="38"/>
      <c r="CP166" s="38"/>
      <c r="CQ166" s="38"/>
      <c r="CR166" s="38"/>
      <c r="CS166" s="38"/>
      <c r="CT166" s="38"/>
      <c r="CU166" s="38"/>
      <c r="CV166" s="38"/>
      <c r="CW166" s="38"/>
      <c r="CX166" s="38"/>
      <c r="CY166" s="38"/>
      <c r="CZ166" s="38"/>
    </row>
    <row r="167" spans="1:104" s="40" customFormat="1" ht="20.149999999999999" customHeight="1">
      <c r="A167" s="358">
        <f t="shared" si="45"/>
        <v>166</v>
      </c>
      <c r="B167" s="359" t="str">
        <f>'Front Sheet and Checklist'!$C$5</f>
        <v>Swansea Bay UHB</v>
      </c>
      <c r="C167" s="17"/>
      <c r="D167" s="17"/>
      <c r="E167" s="17"/>
      <c r="F167" s="17"/>
      <c r="G167" s="17"/>
      <c r="H167" s="17"/>
      <c r="I167" s="361">
        <f t="shared" si="35"/>
        <v>0</v>
      </c>
      <c r="J167" s="17"/>
      <c r="K167" s="18"/>
      <c r="L167" s="18"/>
      <c r="M167" s="17"/>
      <c r="N167" s="17"/>
      <c r="O167" s="17"/>
      <c r="P167" s="17"/>
      <c r="Q167" s="169"/>
      <c r="R167" s="24"/>
      <c r="S167" s="24"/>
      <c r="T167" s="24"/>
      <c r="U167" s="25"/>
      <c r="V167" s="25"/>
      <c r="W167" s="25"/>
      <c r="X167" s="24"/>
      <c r="Y167" s="24"/>
      <c r="Z167" s="24"/>
      <c r="AA167" s="24"/>
      <c r="AB167" s="24"/>
      <c r="AC167" s="24"/>
      <c r="AD167" s="361">
        <f t="shared" si="34"/>
        <v>0</v>
      </c>
      <c r="AE167" s="359" t="str">
        <f t="shared" si="37"/>
        <v/>
      </c>
      <c r="AF167" s="359" t="str">
        <f t="shared" si="46"/>
        <v/>
      </c>
      <c r="AG167" s="359" t="str">
        <f t="shared" si="38"/>
        <v/>
      </c>
      <c r="AH167" s="359" t="str">
        <f t="shared" si="39"/>
        <v/>
      </c>
      <c r="AI167" s="359" t="str">
        <f t="shared" si="40"/>
        <v/>
      </c>
      <c r="AJ167" s="359" t="str">
        <f t="shared" si="41"/>
        <v/>
      </c>
      <c r="AK167" s="359" t="str">
        <f t="shared" si="43"/>
        <v/>
      </c>
      <c r="AL167" s="359" t="str">
        <f t="shared" si="42"/>
        <v/>
      </c>
      <c r="AM167" s="359" t="str">
        <f t="shared" si="44"/>
        <v/>
      </c>
      <c r="AN167" s="262">
        <f t="shared" si="47"/>
        <v>0</v>
      </c>
      <c r="AO167" s="262" t="str">
        <f>IFERROR(HLOOKUP(AN167,'Ref Lists'!Q$1:AL$2,2,FALSE),'Ref Lists'!$AK$2)</f>
        <v>Savings21</v>
      </c>
      <c r="AP167" s="38"/>
      <c r="AQ167" s="38">
        <f t="shared" si="36"/>
        <v>0</v>
      </c>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row>
    <row r="168" spans="1:104" s="40" customFormat="1" ht="20.149999999999999" customHeight="1">
      <c r="A168" s="358">
        <f t="shared" si="45"/>
        <v>167</v>
      </c>
      <c r="B168" s="359" t="str">
        <f>'Front Sheet and Checklist'!$C$5</f>
        <v>Swansea Bay UHB</v>
      </c>
      <c r="C168" s="17"/>
      <c r="D168" s="17"/>
      <c r="E168" s="17"/>
      <c r="F168" s="17"/>
      <c r="G168" s="17"/>
      <c r="H168" s="17"/>
      <c r="I168" s="361">
        <f t="shared" si="35"/>
        <v>0</v>
      </c>
      <c r="J168" s="17"/>
      <c r="K168" s="18"/>
      <c r="L168" s="18"/>
      <c r="M168" s="17"/>
      <c r="N168" s="17"/>
      <c r="O168" s="17"/>
      <c r="P168" s="17"/>
      <c r="Q168" s="169"/>
      <c r="R168" s="24"/>
      <c r="S168" s="24"/>
      <c r="T168" s="24"/>
      <c r="U168" s="25"/>
      <c r="V168" s="25"/>
      <c r="W168" s="25"/>
      <c r="X168" s="24"/>
      <c r="Y168" s="24"/>
      <c r="Z168" s="24"/>
      <c r="AA168" s="24"/>
      <c r="AB168" s="24"/>
      <c r="AC168" s="24"/>
      <c r="AD168" s="361">
        <f t="shared" si="34"/>
        <v>0</v>
      </c>
      <c r="AE168" s="359" t="str">
        <f t="shared" si="37"/>
        <v/>
      </c>
      <c r="AF168" s="359" t="str">
        <f t="shared" si="46"/>
        <v/>
      </c>
      <c r="AG168" s="359" t="str">
        <f t="shared" si="38"/>
        <v/>
      </c>
      <c r="AH168" s="359" t="str">
        <f t="shared" si="39"/>
        <v/>
      </c>
      <c r="AI168" s="359" t="str">
        <f t="shared" si="40"/>
        <v/>
      </c>
      <c r="AJ168" s="359" t="str">
        <f t="shared" si="41"/>
        <v/>
      </c>
      <c r="AK168" s="359" t="str">
        <f t="shared" si="43"/>
        <v/>
      </c>
      <c r="AL168" s="359" t="str">
        <f t="shared" si="42"/>
        <v/>
      </c>
      <c r="AM168" s="359" t="str">
        <f t="shared" si="44"/>
        <v/>
      </c>
      <c r="AN168" s="262">
        <f t="shared" si="47"/>
        <v>0</v>
      </c>
      <c r="AO168" s="262" t="str">
        <f>IFERROR(HLOOKUP(AN168,'Ref Lists'!Q$1:AL$2,2,FALSE),'Ref Lists'!$AK$2)</f>
        <v>Savings21</v>
      </c>
      <c r="AP168" s="38"/>
      <c r="AQ168" s="38">
        <f t="shared" si="36"/>
        <v>0</v>
      </c>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c r="BX168" s="38"/>
      <c r="BY168" s="38"/>
      <c r="BZ168" s="38"/>
      <c r="CA168" s="38"/>
      <c r="CB168" s="38"/>
      <c r="CC168" s="38"/>
      <c r="CD168" s="38"/>
      <c r="CE168" s="38"/>
      <c r="CF168" s="38"/>
      <c r="CG168" s="38"/>
      <c r="CH168" s="38"/>
      <c r="CI168" s="38"/>
      <c r="CJ168" s="38"/>
      <c r="CK168" s="38"/>
      <c r="CL168" s="38"/>
      <c r="CM168" s="38"/>
      <c r="CN168" s="38"/>
      <c r="CO168" s="38"/>
      <c r="CP168" s="38"/>
      <c r="CQ168" s="38"/>
      <c r="CR168" s="38"/>
      <c r="CS168" s="38"/>
      <c r="CT168" s="38"/>
      <c r="CU168" s="38"/>
      <c r="CV168" s="38"/>
      <c r="CW168" s="38"/>
      <c r="CX168" s="38"/>
      <c r="CY168" s="38"/>
      <c r="CZ168" s="38"/>
    </row>
    <row r="169" spans="1:104" s="40" customFormat="1" ht="20.149999999999999" customHeight="1">
      <c r="A169" s="358">
        <f t="shared" si="45"/>
        <v>168</v>
      </c>
      <c r="B169" s="359" t="str">
        <f>'Front Sheet and Checklist'!$C$5</f>
        <v>Swansea Bay UHB</v>
      </c>
      <c r="C169" s="17"/>
      <c r="D169" s="17"/>
      <c r="E169" s="17"/>
      <c r="F169" s="17"/>
      <c r="G169" s="17"/>
      <c r="H169" s="17"/>
      <c r="I169" s="361">
        <f t="shared" si="35"/>
        <v>0</v>
      </c>
      <c r="J169" s="17"/>
      <c r="K169" s="18"/>
      <c r="L169" s="18"/>
      <c r="M169" s="17"/>
      <c r="N169" s="17"/>
      <c r="O169" s="17"/>
      <c r="P169" s="17"/>
      <c r="Q169" s="169"/>
      <c r="R169" s="24"/>
      <c r="S169" s="24"/>
      <c r="T169" s="24"/>
      <c r="U169" s="25"/>
      <c r="V169" s="25"/>
      <c r="W169" s="25"/>
      <c r="X169" s="24"/>
      <c r="Y169" s="24"/>
      <c r="Z169" s="24"/>
      <c r="AA169" s="24"/>
      <c r="AB169" s="24"/>
      <c r="AC169" s="24"/>
      <c r="AD169" s="361">
        <f t="shared" si="34"/>
        <v>0</v>
      </c>
      <c r="AE169" s="359" t="str">
        <f t="shared" si="37"/>
        <v/>
      </c>
      <c r="AF169" s="359" t="str">
        <f t="shared" si="46"/>
        <v/>
      </c>
      <c r="AG169" s="359" t="str">
        <f t="shared" si="38"/>
        <v/>
      </c>
      <c r="AH169" s="359" t="str">
        <f t="shared" si="39"/>
        <v/>
      </c>
      <c r="AI169" s="359" t="str">
        <f t="shared" si="40"/>
        <v/>
      </c>
      <c r="AJ169" s="359" t="str">
        <f t="shared" si="41"/>
        <v/>
      </c>
      <c r="AK169" s="359" t="str">
        <f t="shared" si="43"/>
        <v/>
      </c>
      <c r="AL169" s="359" t="str">
        <f t="shared" si="42"/>
        <v/>
      </c>
      <c r="AM169" s="359" t="str">
        <f t="shared" si="44"/>
        <v/>
      </c>
      <c r="AN169" s="262">
        <f t="shared" si="47"/>
        <v>0</v>
      </c>
      <c r="AO169" s="262" t="str">
        <f>IFERROR(HLOOKUP(AN169,'Ref Lists'!Q$1:AL$2,2,FALSE),'Ref Lists'!$AK$2)</f>
        <v>Savings21</v>
      </c>
      <c r="AP169" s="38"/>
      <c r="AQ169" s="38">
        <f t="shared" si="36"/>
        <v>0</v>
      </c>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c r="BX169" s="38"/>
      <c r="BY169" s="38"/>
      <c r="BZ169" s="38"/>
      <c r="CA169" s="38"/>
      <c r="CB169" s="38"/>
      <c r="CC169" s="38"/>
      <c r="CD169" s="38"/>
      <c r="CE169" s="38"/>
      <c r="CF169" s="38"/>
      <c r="CG169" s="38"/>
      <c r="CH169" s="38"/>
      <c r="CI169" s="38"/>
      <c r="CJ169" s="38"/>
      <c r="CK169" s="38"/>
      <c r="CL169" s="38"/>
      <c r="CM169" s="38"/>
      <c r="CN169" s="38"/>
      <c r="CO169" s="38"/>
      <c r="CP169" s="38"/>
      <c r="CQ169" s="38"/>
      <c r="CR169" s="38"/>
      <c r="CS169" s="38"/>
      <c r="CT169" s="38"/>
      <c r="CU169" s="38"/>
      <c r="CV169" s="38"/>
      <c r="CW169" s="38"/>
      <c r="CX169" s="38"/>
      <c r="CY169" s="38"/>
      <c r="CZ169" s="38"/>
    </row>
    <row r="170" spans="1:104" s="40" customFormat="1" ht="20.149999999999999" customHeight="1">
      <c r="A170" s="358">
        <f t="shared" si="45"/>
        <v>169</v>
      </c>
      <c r="B170" s="359" t="str">
        <f>'Front Sheet and Checklist'!$C$5</f>
        <v>Swansea Bay UHB</v>
      </c>
      <c r="C170" s="17"/>
      <c r="D170" s="17"/>
      <c r="E170" s="17"/>
      <c r="F170" s="17"/>
      <c r="G170" s="17"/>
      <c r="H170" s="17"/>
      <c r="I170" s="361">
        <f t="shared" si="35"/>
        <v>0</v>
      </c>
      <c r="J170" s="17"/>
      <c r="K170" s="18"/>
      <c r="L170" s="18"/>
      <c r="M170" s="17"/>
      <c r="N170" s="17"/>
      <c r="O170" s="17"/>
      <c r="P170" s="17"/>
      <c r="Q170" s="169"/>
      <c r="R170" s="24"/>
      <c r="S170" s="24"/>
      <c r="T170" s="24"/>
      <c r="U170" s="25"/>
      <c r="V170" s="25"/>
      <c r="W170" s="25"/>
      <c r="X170" s="24"/>
      <c r="Y170" s="24"/>
      <c r="Z170" s="24"/>
      <c r="AA170" s="24"/>
      <c r="AB170" s="24"/>
      <c r="AC170" s="24"/>
      <c r="AD170" s="361">
        <f t="shared" si="34"/>
        <v>0</v>
      </c>
      <c r="AE170" s="359" t="str">
        <f t="shared" si="37"/>
        <v/>
      </c>
      <c r="AF170" s="359" t="str">
        <f t="shared" si="46"/>
        <v/>
      </c>
      <c r="AG170" s="359" t="str">
        <f t="shared" si="38"/>
        <v/>
      </c>
      <c r="AH170" s="359" t="str">
        <f t="shared" si="39"/>
        <v/>
      </c>
      <c r="AI170" s="359" t="str">
        <f t="shared" si="40"/>
        <v/>
      </c>
      <c r="AJ170" s="359" t="str">
        <f t="shared" si="41"/>
        <v/>
      </c>
      <c r="AK170" s="359" t="str">
        <f t="shared" si="43"/>
        <v/>
      </c>
      <c r="AL170" s="359" t="str">
        <f t="shared" si="42"/>
        <v/>
      </c>
      <c r="AM170" s="359" t="str">
        <f t="shared" si="44"/>
        <v/>
      </c>
      <c r="AN170" s="262">
        <f t="shared" si="47"/>
        <v>0</v>
      </c>
      <c r="AO170" s="262" t="str">
        <f>IFERROR(HLOOKUP(AN170,'Ref Lists'!Q$1:AL$2,2,FALSE),'Ref Lists'!$AK$2)</f>
        <v>Savings21</v>
      </c>
      <c r="AP170" s="38"/>
      <c r="AQ170" s="38">
        <f t="shared" si="36"/>
        <v>0</v>
      </c>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c r="BX170" s="38"/>
      <c r="BY170" s="38"/>
      <c r="BZ170" s="38"/>
      <c r="CA170" s="38"/>
      <c r="CB170" s="38"/>
      <c r="CC170" s="38"/>
      <c r="CD170" s="38"/>
      <c r="CE170" s="38"/>
      <c r="CF170" s="38"/>
      <c r="CG170" s="38"/>
      <c r="CH170" s="38"/>
      <c r="CI170" s="38"/>
      <c r="CJ170" s="38"/>
      <c r="CK170" s="38"/>
      <c r="CL170" s="38"/>
      <c r="CM170" s="38"/>
      <c r="CN170" s="38"/>
      <c r="CO170" s="38"/>
      <c r="CP170" s="38"/>
      <c r="CQ170" s="38"/>
      <c r="CR170" s="38"/>
      <c r="CS170" s="38"/>
      <c r="CT170" s="38"/>
      <c r="CU170" s="38"/>
      <c r="CV170" s="38"/>
      <c r="CW170" s="38"/>
      <c r="CX170" s="38"/>
      <c r="CY170" s="38"/>
      <c r="CZ170" s="38"/>
    </row>
    <row r="171" spans="1:104" s="40" customFormat="1" ht="20.149999999999999" customHeight="1">
      <c r="A171" s="358">
        <f t="shared" si="45"/>
        <v>170</v>
      </c>
      <c r="B171" s="359" t="str">
        <f>'Front Sheet and Checklist'!$C$5</f>
        <v>Swansea Bay UHB</v>
      </c>
      <c r="C171" s="17"/>
      <c r="D171" s="17"/>
      <c r="E171" s="17"/>
      <c r="F171" s="17"/>
      <c r="G171" s="17"/>
      <c r="H171" s="17"/>
      <c r="I171" s="361">
        <f t="shared" si="35"/>
        <v>0</v>
      </c>
      <c r="J171" s="17"/>
      <c r="K171" s="18"/>
      <c r="L171" s="18"/>
      <c r="M171" s="17"/>
      <c r="N171" s="17"/>
      <c r="O171" s="17"/>
      <c r="P171" s="17"/>
      <c r="Q171" s="169"/>
      <c r="R171" s="24"/>
      <c r="S171" s="24"/>
      <c r="T171" s="24"/>
      <c r="U171" s="25"/>
      <c r="V171" s="25"/>
      <c r="W171" s="25"/>
      <c r="X171" s="24"/>
      <c r="Y171" s="24"/>
      <c r="Z171" s="24"/>
      <c r="AA171" s="24"/>
      <c r="AB171" s="24"/>
      <c r="AC171" s="24"/>
      <c r="AD171" s="361">
        <f t="shared" si="34"/>
        <v>0</v>
      </c>
      <c r="AE171" s="359" t="str">
        <f t="shared" si="37"/>
        <v/>
      </c>
      <c r="AF171" s="359" t="str">
        <f t="shared" si="46"/>
        <v/>
      </c>
      <c r="AG171" s="359" t="str">
        <f t="shared" si="38"/>
        <v/>
      </c>
      <c r="AH171" s="359" t="str">
        <f t="shared" si="39"/>
        <v/>
      </c>
      <c r="AI171" s="359" t="str">
        <f t="shared" si="40"/>
        <v/>
      </c>
      <c r="AJ171" s="359" t="str">
        <f t="shared" si="41"/>
        <v/>
      </c>
      <c r="AK171" s="359" t="str">
        <f t="shared" si="43"/>
        <v/>
      </c>
      <c r="AL171" s="359" t="str">
        <f t="shared" si="42"/>
        <v/>
      </c>
      <c r="AM171" s="359" t="str">
        <f t="shared" si="44"/>
        <v/>
      </c>
      <c r="AN171" s="262">
        <f t="shared" si="47"/>
        <v>0</v>
      </c>
      <c r="AO171" s="262" t="str">
        <f>IFERROR(HLOOKUP(AN171,'Ref Lists'!Q$1:AL$2,2,FALSE),'Ref Lists'!$AK$2)</f>
        <v>Savings21</v>
      </c>
      <c r="AP171" s="38"/>
      <c r="AQ171" s="38">
        <f t="shared" si="36"/>
        <v>0</v>
      </c>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row>
    <row r="172" spans="1:104" s="40" customFormat="1" ht="20.149999999999999" customHeight="1">
      <c r="A172" s="358">
        <f t="shared" si="45"/>
        <v>171</v>
      </c>
      <c r="B172" s="359" t="str">
        <f>'Front Sheet and Checklist'!$C$5</f>
        <v>Swansea Bay UHB</v>
      </c>
      <c r="C172" s="17"/>
      <c r="D172" s="17"/>
      <c r="E172" s="17"/>
      <c r="F172" s="17"/>
      <c r="G172" s="17"/>
      <c r="H172" s="17"/>
      <c r="I172" s="361">
        <f t="shared" si="35"/>
        <v>0</v>
      </c>
      <c r="J172" s="17"/>
      <c r="K172" s="18"/>
      <c r="L172" s="18"/>
      <c r="M172" s="17"/>
      <c r="N172" s="17"/>
      <c r="O172" s="17"/>
      <c r="P172" s="17"/>
      <c r="Q172" s="169"/>
      <c r="R172" s="24"/>
      <c r="S172" s="24"/>
      <c r="T172" s="24"/>
      <c r="U172" s="25"/>
      <c r="V172" s="25"/>
      <c r="W172" s="25"/>
      <c r="X172" s="24"/>
      <c r="Y172" s="24"/>
      <c r="Z172" s="24"/>
      <c r="AA172" s="24"/>
      <c r="AB172" s="24"/>
      <c r="AC172" s="24"/>
      <c r="AD172" s="361">
        <f t="shared" si="34"/>
        <v>0</v>
      </c>
      <c r="AE172" s="359" t="str">
        <f t="shared" si="37"/>
        <v/>
      </c>
      <c r="AF172" s="359" t="str">
        <f t="shared" si="46"/>
        <v/>
      </c>
      <c r="AG172" s="359" t="str">
        <f t="shared" si="38"/>
        <v/>
      </c>
      <c r="AH172" s="359" t="str">
        <f t="shared" si="39"/>
        <v/>
      </c>
      <c r="AI172" s="359" t="str">
        <f t="shared" si="40"/>
        <v/>
      </c>
      <c r="AJ172" s="359" t="str">
        <f t="shared" si="41"/>
        <v/>
      </c>
      <c r="AK172" s="359" t="str">
        <f t="shared" si="43"/>
        <v/>
      </c>
      <c r="AL172" s="359" t="str">
        <f t="shared" si="42"/>
        <v/>
      </c>
      <c r="AM172" s="359" t="str">
        <f t="shared" si="44"/>
        <v/>
      </c>
      <c r="AN172" s="262">
        <f t="shared" si="47"/>
        <v>0</v>
      </c>
      <c r="AO172" s="262" t="str">
        <f>IFERROR(HLOOKUP(AN172,'Ref Lists'!Q$1:AL$2,2,FALSE),'Ref Lists'!$AK$2)</f>
        <v>Savings21</v>
      </c>
      <c r="AP172" s="38"/>
      <c r="AQ172" s="38">
        <f t="shared" si="36"/>
        <v>0</v>
      </c>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row>
    <row r="173" spans="1:104" s="40" customFormat="1" ht="20.149999999999999" customHeight="1">
      <c r="A173" s="358">
        <f t="shared" si="45"/>
        <v>172</v>
      </c>
      <c r="B173" s="359" t="str">
        <f>'Front Sheet and Checklist'!$C$5</f>
        <v>Swansea Bay UHB</v>
      </c>
      <c r="C173" s="17"/>
      <c r="D173" s="17"/>
      <c r="E173" s="17"/>
      <c r="F173" s="17"/>
      <c r="G173" s="17"/>
      <c r="H173" s="17"/>
      <c r="I173" s="361">
        <f t="shared" si="35"/>
        <v>0</v>
      </c>
      <c r="J173" s="17"/>
      <c r="K173" s="18"/>
      <c r="L173" s="18"/>
      <c r="M173" s="17"/>
      <c r="N173" s="17"/>
      <c r="O173" s="17"/>
      <c r="P173" s="17"/>
      <c r="Q173" s="169"/>
      <c r="R173" s="24"/>
      <c r="S173" s="24"/>
      <c r="T173" s="24"/>
      <c r="U173" s="25"/>
      <c r="V173" s="25"/>
      <c r="W173" s="25"/>
      <c r="X173" s="24"/>
      <c r="Y173" s="24"/>
      <c r="Z173" s="24"/>
      <c r="AA173" s="24"/>
      <c r="AB173" s="24"/>
      <c r="AC173" s="24"/>
      <c r="AD173" s="361">
        <f t="shared" si="34"/>
        <v>0</v>
      </c>
      <c r="AE173" s="359" t="str">
        <f t="shared" si="37"/>
        <v/>
      </c>
      <c r="AF173" s="359" t="str">
        <f t="shared" si="46"/>
        <v/>
      </c>
      <c r="AG173" s="359" t="str">
        <f t="shared" si="38"/>
        <v/>
      </c>
      <c r="AH173" s="359" t="str">
        <f t="shared" si="39"/>
        <v/>
      </c>
      <c r="AI173" s="359" t="str">
        <f t="shared" si="40"/>
        <v/>
      </c>
      <c r="AJ173" s="359" t="str">
        <f t="shared" si="41"/>
        <v/>
      </c>
      <c r="AK173" s="359" t="str">
        <f t="shared" si="43"/>
        <v/>
      </c>
      <c r="AL173" s="359" t="str">
        <f t="shared" si="42"/>
        <v/>
      </c>
      <c r="AM173" s="359" t="str">
        <f t="shared" si="44"/>
        <v/>
      </c>
      <c r="AN173" s="262">
        <f t="shared" si="47"/>
        <v>0</v>
      </c>
      <c r="AO173" s="262" t="str">
        <f>IFERROR(HLOOKUP(AN173,'Ref Lists'!Q$1:AL$2,2,FALSE),'Ref Lists'!$AK$2)</f>
        <v>Savings21</v>
      </c>
      <c r="AP173" s="38"/>
      <c r="AQ173" s="38">
        <f t="shared" si="36"/>
        <v>0</v>
      </c>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row>
    <row r="174" spans="1:104" s="40" customFormat="1" ht="20.149999999999999" customHeight="1">
      <c r="A174" s="358">
        <f t="shared" si="45"/>
        <v>173</v>
      </c>
      <c r="B174" s="359" t="str">
        <f>'Front Sheet and Checklist'!$C$5</f>
        <v>Swansea Bay UHB</v>
      </c>
      <c r="C174" s="17"/>
      <c r="D174" s="17"/>
      <c r="E174" s="17"/>
      <c r="F174" s="17"/>
      <c r="G174" s="17"/>
      <c r="H174" s="17"/>
      <c r="I174" s="361">
        <f t="shared" si="35"/>
        <v>0</v>
      </c>
      <c r="J174" s="17"/>
      <c r="K174" s="18"/>
      <c r="L174" s="18"/>
      <c r="M174" s="17"/>
      <c r="N174" s="17"/>
      <c r="O174" s="17"/>
      <c r="P174" s="17"/>
      <c r="Q174" s="169"/>
      <c r="R174" s="24"/>
      <c r="S174" s="24"/>
      <c r="T174" s="24"/>
      <c r="U174" s="25"/>
      <c r="V174" s="25"/>
      <c r="W174" s="25"/>
      <c r="X174" s="24"/>
      <c r="Y174" s="24"/>
      <c r="Z174" s="24"/>
      <c r="AA174" s="24"/>
      <c r="AB174" s="24"/>
      <c r="AC174" s="24"/>
      <c r="AD174" s="361">
        <f t="shared" si="34"/>
        <v>0</v>
      </c>
      <c r="AE174" s="359" t="str">
        <f t="shared" si="37"/>
        <v/>
      </c>
      <c r="AF174" s="359" t="str">
        <f t="shared" si="46"/>
        <v/>
      </c>
      <c r="AG174" s="359" t="str">
        <f t="shared" si="38"/>
        <v/>
      </c>
      <c r="AH174" s="359" t="str">
        <f t="shared" si="39"/>
        <v/>
      </c>
      <c r="AI174" s="359" t="str">
        <f t="shared" si="40"/>
        <v/>
      </c>
      <c r="AJ174" s="359" t="str">
        <f t="shared" si="41"/>
        <v/>
      </c>
      <c r="AK174" s="359" t="str">
        <f t="shared" si="43"/>
        <v/>
      </c>
      <c r="AL174" s="359" t="str">
        <f t="shared" si="42"/>
        <v/>
      </c>
      <c r="AM174" s="359" t="str">
        <f t="shared" si="44"/>
        <v/>
      </c>
      <c r="AN174" s="262">
        <f t="shared" si="47"/>
        <v>0</v>
      </c>
      <c r="AO174" s="262" t="str">
        <f>IFERROR(HLOOKUP(AN174,'Ref Lists'!Q$1:AL$2,2,FALSE),'Ref Lists'!$AK$2)</f>
        <v>Savings21</v>
      </c>
      <c r="AP174" s="38"/>
      <c r="AQ174" s="38">
        <f t="shared" si="36"/>
        <v>0</v>
      </c>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38"/>
      <c r="BZ174" s="38"/>
      <c r="CA174" s="38"/>
      <c r="CB174" s="38"/>
      <c r="CC174" s="38"/>
      <c r="CD174" s="38"/>
      <c r="CE174" s="38"/>
      <c r="CF174" s="38"/>
      <c r="CG174" s="38"/>
      <c r="CH174" s="38"/>
      <c r="CI174" s="38"/>
      <c r="CJ174" s="38"/>
      <c r="CK174" s="38"/>
      <c r="CL174" s="38"/>
      <c r="CM174" s="38"/>
      <c r="CN174" s="38"/>
      <c r="CO174" s="38"/>
      <c r="CP174" s="38"/>
      <c r="CQ174" s="38"/>
      <c r="CR174" s="38"/>
      <c r="CS174" s="38"/>
      <c r="CT174" s="38"/>
      <c r="CU174" s="38"/>
      <c r="CV174" s="38"/>
      <c r="CW174" s="38"/>
      <c r="CX174" s="38"/>
      <c r="CY174" s="38"/>
      <c r="CZ174" s="38"/>
    </row>
    <row r="175" spans="1:104" s="40" customFormat="1" ht="20.149999999999999" customHeight="1">
      <c r="A175" s="358">
        <f t="shared" si="45"/>
        <v>174</v>
      </c>
      <c r="B175" s="359" t="str">
        <f>'Front Sheet and Checklist'!$C$5</f>
        <v>Swansea Bay UHB</v>
      </c>
      <c r="C175" s="17"/>
      <c r="D175" s="17"/>
      <c r="E175" s="17"/>
      <c r="F175" s="17"/>
      <c r="G175" s="17"/>
      <c r="H175" s="17"/>
      <c r="I175" s="361">
        <f t="shared" si="35"/>
        <v>0</v>
      </c>
      <c r="J175" s="17"/>
      <c r="K175" s="18"/>
      <c r="L175" s="18"/>
      <c r="M175" s="17"/>
      <c r="N175" s="17"/>
      <c r="O175" s="17"/>
      <c r="P175" s="17"/>
      <c r="Q175" s="169"/>
      <c r="R175" s="24"/>
      <c r="S175" s="24"/>
      <c r="T175" s="24"/>
      <c r="U175" s="25"/>
      <c r="V175" s="25"/>
      <c r="W175" s="25"/>
      <c r="X175" s="24"/>
      <c r="Y175" s="24"/>
      <c r="Z175" s="24"/>
      <c r="AA175" s="24"/>
      <c r="AB175" s="24"/>
      <c r="AC175" s="24"/>
      <c r="AD175" s="361">
        <f t="shared" si="34"/>
        <v>0</v>
      </c>
      <c r="AE175" s="359" t="str">
        <f t="shared" si="37"/>
        <v/>
      </c>
      <c r="AF175" s="359" t="str">
        <f t="shared" si="46"/>
        <v/>
      </c>
      <c r="AG175" s="359" t="str">
        <f t="shared" si="38"/>
        <v/>
      </c>
      <c r="AH175" s="359" t="str">
        <f t="shared" si="39"/>
        <v/>
      </c>
      <c r="AI175" s="359" t="str">
        <f t="shared" si="40"/>
        <v/>
      </c>
      <c r="AJ175" s="359" t="str">
        <f t="shared" si="41"/>
        <v/>
      </c>
      <c r="AK175" s="359" t="str">
        <f t="shared" si="43"/>
        <v/>
      </c>
      <c r="AL175" s="359" t="str">
        <f t="shared" si="42"/>
        <v/>
      </c>
      <c r="AM175" s="359" t="str">
        <f t="shared" si="44"/>
        <v/>
      </c>
      <c r="AN175" s="262">
        <f t="shared" si="47"/>
        <v>0</v>
      </c>
      <c r="AO175" s="262" t="str">
        <f>IFERROR(HLOOKUP(AN175,'Ref Lists'!Q$1:AL$2,2,FALSE),'Ref Lists'!$AK$2)</f>
        <v>Savings21</v>
      </c>
      <c r="AP175" s="38"/>
      <c r="AQ175" s="38">
        <f t="shared" si="36"/>
        <v>0</v>
      </c>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c r="BX175" s="38"/>
      <c r="BY175" s="38"/>
      <c r="BZ175" s="38"/>
      <c r="CA175" s="38"/>
      <c r="CB175" s="38"/>
      <c r="CC175" s="38"/>
      <c r="CD175" s="38"/>
      <c r="CE175" s="38"/>
      <c r="CF175" s="38"/>
      <c r="CG175" s="38"/>
      <c r="CH175" s="38"/>
      <c r="CI175" s="38"/>
      <c r="CJ175" s="38"/>
      <c r="CK175" s="38"/>
      <c r="CL175" s="38"/>
      <c r="CM175" s="38"/>
      <c r="CN175" s="38"/>
      <c r="CO175" s="38"/>
      <c r="CP175" s="38"/>
      <c r="CQ175" s="38"/>
      <c r="CR175" s="38"/>
      <c r="CS175" s="38"/>
      <c r="CT175" s="38"/>
      <c r="CU175" s="38"/>
      <c r="CV175" s="38"/>
      <c r="CW175" s="38"/>
      <c r="CX175" s="38"/>
      <c r="CY175" s="38"/>
      <c r="CZ175" s="38"/>
    </row>
    <row r="176" spans="1:104" s="40" customFormat="1" ht="20.149999999999999" customHeight="1">
      <c r="A176" s="358">
        <f t="shared" si="45"/>
        <v>175</v>
      </c>
      <c r="B176" s="359" t="str">
        <f>'Front Sheet and Checklist'!$C$5</f>
        <v>Swansea Bay UHB</v>
      </c>
      <c r="C176" s="17"/>
      <c r="D176" s="17"/>
      <c r="E176" s="17"/>
      <c r="F176" s="17"/>
      <c r="G176" s="17"/>
      <c r="H176" s="17"/>
      <c r="I176" s="361">
        <f t="shared" si="35"/>
        <v>0</v>
      </c>
      <c r="J176" s="17"/>
      <c r="K176" s="18"/>
      <c r="L176" s="18"/>
      <c r="M176" s="17"/>
      <c r="N176" s="17"/>
      <c r="O176" s="17"/>
      <c r="P176" s="17"/>
      <c r="Q176" s="169"/>
      <c r="R176" s="24"/>
      <c r="S176" s="24"/>
      <c r="T176" s="24"/>
      <c r="U176" s="25"/>
      <c r="V176" s="25"/>
      <c r="W176" s="25"/>
      <c r="X176" s="24"/>
      <c r="Y176" s="24"/>
      <c r="Z176" s="24"/>
      <c r="AA176" s="24"/>
      <c r="AB176" s="24"/>
      <c r="AC176" s="24"/>
      <c r="AD176" s="361">
        <f t="shared" si="34"/>
        <v>0</v>
      </c>
      <c r="AE176" s="359" t="str">
        <f t="shared" si="37"/>
        <v/>
      </c>
      <c r="AF176" s="359" t="str">
        <f t="shared" si="46"/>
        <v/>
      </c>
      <c r="AG176" s="359" t="str">
        <f t="shared" si="38"/>
        <v/>
      </c>
      <c r="AH176" s="359" t="str">
        <f t="shared" si="39"/>
        <v/>
      </c>
      <c r="AI176" s="359" t="str">
        <f t="shared" si="40"/>
        <v/>
      </c>
      <c r="AJ176" s="359" t="str">
        <f t="shared" si="41"/>
        <v/>
      </c>
      <c r="AK176" s="359" t="str">
        <f t="shared" si="43"/>
        <v/>
      </c>
      <c r="AL176" s="359" t="str">
        <f t="shared" si="42"/>
        <v/>
      </c>
      <c r="AM176" s="359" t="str">
        <f t="shared" si="44"/>
        <v/>
      </c>
      <c r="AN176" s="262">
        <f t="shared" si="47"/>
        <v>0</v>
      </c>
      <c r="AO176" s="262" t="str">
        <f>IFERROR(HLOOKUP(AN176,'Ref Lists'!Q$1:AL$2,2,FALSE),'Ref Lists'!$AK$2)</f>
        <v>Savings21</v>
      </c>
      <c r="AP176" s="38"/>
      <c r="AQ176" s="38">
        <f t="shared" si="36"/>
        <v>0</v>
      </c>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row>
    <row r="177" spans="1:104" s="40" customFormat="1" ht="20.149999999999999" customHeight="1">
      <c r="A177" s="358">
        <f t="shared" si="45"/>
        <v>176</v>
      </c>
      <c r="B177" s="359" t="str">
        <f>'Front Sheet and Checklist'!$C$5</f>
        <v>Swansea Bay UHB</v>
      </c>
      <c r="C177" s="17"/>
      <c r="D177" s="17"/>
      <c r="E177" s="17"/>
      <c r="F177" s="17"/>
      <c r="G177" s="17"/>
      <c r="H177" s="17"/>
      <c r="I177" s="361">
        <f t="shared" si="35"/>
        <v>0</v>
      </c>
      <c r="J177" s="17"/>
      <c r="K177" s="18"/>
      <c r="L177" s="18"/>
      <c r="M177" s="17"/>
      <c r="N177" s="17"/>
      <c r="O177" s="17"/>
      <c r="P177" s="17"/>
      <c r="Q177" s="169"/>
      <c r="R177" s="24"/>
      <c r="S177" s="24"/>
      <c r="T177" s="24"/>
      <c r="U177" s="25"/>
      <c r="V177" s="25"/>
      <c r="W177" s="25"/>
      <c r="X177" s="24"/>
      <c r="Y177" s="24"/>
      <c r="Z177" s="24"/>
      <c r="AA177" s="24"/>
      <c r="AB177" s="24"/>
      <c r="AC177" s="24"/>
      <c r="AD177" s="361">
        <f t="shared" si="34"/>
        <v>0</v>
      </c>
      <c r="AE177" s="359" t="str">
        <f t="shared" si="37"/>
        <v/>
      </c>
      <c r="AF177" s="359" t="str">
        <f t="shared" si="46"/>
        <v/>
      </c>
      <c r="AG177" s="359" t="str">
        <f t="shared" si="38"/>
        <v/>
      </c>
      <c r="AH177" s="359" t="str">
        <f t="shared" si="39"/>
        <v/>
      </c>
      <c r="AI177" s="359" t="str">
        <f t="shared" si="40"/>
        <v/>
      </c>
      <c r="AJ177" s="359" t="str">
        <f t="shared" si="41"/>
        <v/>
      </c>
      <c r="AK177" s="359" t="str">
        <f t="shared" si="43"/>
        <v/>
      </c>
      <c r="AL177" s="359" t="str">
        <f t="shared" si="42"/>
        <v/>
      </c>
      <c r="AM177" s="359" t="str">
        <f t="shared" si="44"/>
        <v/>
      </c>
      <c r="AN177" s="262">
        <f t="shared" si="47"/>
        <v>0</v>
      </c>
      <c r="AO177" s="262" t="str">
        <f>IFERROR(HLOOKUP(AN177,'Ref Lists'!Q$1:AL$2,2,FALSE),'Ref Lists'!$AK$2)</f>
        <v>Savings21</v>
      </c>
      <c r="AP177" s="38"/>
      <c r="AQ177" s="38">
        <f t="shared" si="36"/>
        <v>0</v>
      </c>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c r="BX177" s="38"/>
      <c r="BY177" s="38"/>
      <c r="BZ177" s="38"/>
      <c r="CA177" s="38"/>
      <c r="CB177" s="38"/>
      <c r="CC177" s="38"/>
      <c r="CD177" s="38"/>
      <c r="CE177" s="38"/>
      <c r="CF177" s="38"/>
      <c r="CG177" s="38"/>
      <c r="CH177" s="38"/>
      <c r="CI177" s="38"/>
      <c r="CJ177" s="38"/>
      <c r="CK177" s="38"/>
      <c r="CL177" s="38"/>
      <c r="CM177" s="38"/>
      <c r="CN177" s="38"/>
      <c r="CO177" s="38"/>
      <c r="CP177" s="38"/>
      <c r="CQ177" s="38"/>
      <c r="CR177" s="38"/>
      <c r="CS177" s="38"/>
      <c r="CT177" s="38"/>
      <c r="CU177" s="38"/>
      <c r="CV177" s="38"/>
      <c r="CW177" s="38"/>
      <c r="CX177" s="38"/>
      <c r="CY177" s="38"/>
      <c r="CZ177" s="38"/>
    </row>
    <row r="178" spans="1:104" s="40" customFormat="1" ht="20.149999999999999" customHeight="1">
      <c r="A178" s="358">
        <f t="shared" si="45"/>
        <v>177</v>
      </c>
      <c r="B178" s="359" t="str">
        <f>'Front Sheet and Checklist'!$C$5</f>
        <v>Swansea Bay UHB</v>
      </c>
      <c r="C178" s="17"/>
      <c r="D178" s="17"/>
      <c r="E178" s="17"/>
      <c r="F178" s="17"/>
      <c r="G178" s="17"/>
      <c r="H178" s="17"/>
      <c r="I178" s="361">
        <f t="shared" si="35"/>
        <v>0</v>
      </c>
      <c r="J178" s="17"/>
      <c r="K178" s="18"/>
      <c r="L178" s="18"/>
      <c r="M178" s="17"/>
      <c r="N178" s="17"/>
      <c r="O178" s="17"/>
      <c r="P178" s="17"/>
      <c r="Q178" s="169"/>
      <c r="R178" s="24"/>
      <c r="S178" s="24"/>
      <c r="T178" s="24"/>
      <c r="U178" s="25"/>
      <c r="V178" s="25"/>
      <c r="W178" s="25"/>
      <c r="X178" s="24"/>
      <c r="Y178" s="24"/>
      <c r="Z178" s="24"/>
      <c r="AA178" s="24"/>
      <c r="AB178" s="24"/>
      <c r="AC178" s="24"/>
      <c r="AD178" s="361">
        <f t="shared" si="34"/>
        <v>0</v>
      </c>
      <c r="AE178" s="359" t="str">
        <f t="shared" si="37"/>
        <v/>
      </c>
      <c r="AF178" s="359" t="str">
        <f t="shared" si="46"/>
        <v/>
      </c>
      <c r="AG178" s="359" t="str">
        <f t="shared" si="38"/>
        <v/>
      </c>
      <c r="AH178" s="359" t="str">
        <f t="shared" si="39"/>
        <v/>
      </c>
      <c r="AI178" s="359" t="str">
        <f t="shared" si="40"/>
        <v/>
      </c>
      <c r="AJ178" s="359" t="str">
        <f t="shared" si="41"/>
        <v/>
      </c>
      <c r="AK178" s="359" t="str">
        <f t="shared" si="43"/>
        <v/>
      </c>
      <c r="AL178" s="359" t="str">
        <f t="shared" si="42"/>
        <v/>
      </c>
      <c r="AM178" s="359" t="str">
        <f t="shared" si="44"/>
        <v/>
      </c>
      <c r="AN178" s="262">
        <f t="shared" si="47"/>
        <v>0</v>
      </c>
      <c r="AO178" s="262" t="str">
        <f>IFERROR(HLOOKUP(AN178,'Ref Lists'!Q$1:AL$2,2,FALSE),'Ref Lists'!$AK$2)</f>
        <v>Savings21</v>
      </c>
      <c r="AP178" s="38"/>
      <c r="AQ178" s="38">
        <f t="shared" si="36"/>
        <v>0</v>
      </c>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row>
    <row r="179" spans="1:104" s="40" customFormat="1" ht="20.149999999999999" customHeight="1">
      <c r="A179" s="358">
        <f t="shared" si="45"/>
        <v>178</v>
      </c>
      <c r="B179" s="359" t="str">
        <f>'Front Sheet and Checklist'!$C$5</f>
        <v>Swansea Bay UHB</v>
      </c>
      <c r="C179" s="17"/>
      <c r="D179" s="17"/>
      <c r="E179" s="17"/>
      <c r="F179" s="17"/>
      <c r="G179" s="17"/>
      <c r="H179" s="17"/>
      <c r="I179" s="361">
        <f t="shared" si="35"/>
        <v>0</v>
      </c>
      <c r="J179" s="17"/>
      <c r="K179" s="18"/>
      <c r="L179" s="18"/>
      <c r="M179" s="17"/>
      <c r="N179" s="17"/>
      <c r="O179" s="17"/>
      <c r="P179" s="17"/>
      <c r="Q179" s="169"/>
      <c r="R179" s="24"/>
      <c r="S179" s="24"/>
      <c r="T179" s="24"/>
      <c r="U179" s="25"/>
      <c r="V179" s="25"/>
      <c r="W179" s="25"/>
      <c r="X179" s="24"/>
      <c r="Y179" s="24"/>
      <c r="Z179" s="24"/>
      <c r="AA179" s="24"/>
      <c r="AB179" s="24"/>
      <c r="AC179" s="24"/>
      <c r="AD179" s="361">
        <f t="shared" si="34"/>
        <v>0</v>
      </c>
      <c r="AE179" s="359" t="str">
        <f t="shared" si="37"/>
        <v/>
      </c>
      <c r="AF179" s="359" t="str">
        <f t="shared" si="46"/>
        <v/>
      </c>
      <c r="AG179" s="359" t="str">
        <f t="shared" si="38"/>
        <v/>
      </c>
      <c r="AH179" s="359" t="str">
        <f t="shared" si="39"/>
        <v/>
      </c>
      <c r="AI179" s="359" t="str">
        <f t="shared" si="40"/>
        <v/>
      </c>
      <c r="AJ179" s="359" t="str">
        <f t="shared" si="41"/>
        <v/>
      </c>
      <c r="AK179" s="359" t="str">
        <f t="shared" si="43"/>
        <v/>
      </c>
      <c r="AL179" s="359" t="str">
        <f t="shared" si="42"/>
        <v/>
      </c>
      <c r="AM179" s="359" t="str">
        <f t="shared" si="44"/>
        <v/>
      </c>
      <c r="AN179" s="262">
        <f t="shared" si="47"/>
        <v>0</v>
      </c>
      <c r="AO179" s="262" t="str">
        <f>IFERROR(HLOOKUP(AN179,'Ref Lists'!Q$1:AL$2,2,FALSE),'Ref Lists'!$AK$2)</f>
        <v>Savings21</v>
      </c>
      <c r="AP179" s="38"/>
      <c r="AQ179" s="38">
        <f t="shared" si="36"/>
        <v>0</v>
      </c>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38"/>
      <c r="BZ179" s="38"/>
      <c r="CA179" s="38"/>
      <c r="CB179" s="38"/>
      <c r="CC179" s="38"/>
      <c r="CD179" s="38"/>
      <c r="CE179" s="38"/>
      <c r="CF179" s="38"/>
      <c r="CG179" s="38"/>
      <c r="CH179" s="38"/>
      <c r="CI179" s="38"/>
      <c r="CJ179" s="38"/>
      <c r="CK179" s="38"/>
      <c r="CL179" s="38"/>
      <c r="CM179" s="38"/>
      <c r="CN179" s="38"/>
      <c r="CO179" s="38"/>
      <c r="CP179" s="38"/>
      <c r="CQ179" s="38"/>
      <c r="CR179" s="38"/>
      <c r="CS179" s="38"/>
      <c r="CT179" s="38"/>
      <c r="CU179" s="38"/>
      <c r="CV179" s="38"/>
      <c r="CW179" s="38"/>
      <c r="CX179" s="38"/>
      <c r="CY179" s="38"/>
      <c r="CZ179" s="38"/>
    </row>
    <row r="180" spans="1:104" s="40" customFormat="1" ht="20.149999999999999" customHeight="1">
      <c r="A180" s="358">
        <f t="shared" si="45"/>
        <v>179</v>
      </c>
      <c r="B180" s="359" t="str">
        <f>'Front Sheet and Checklist'!$C$5</f>
        <v>Swansea Bay UHB</v>
      </c>
      <c r="C180" s="17"/>
      <c r="D180" s="17"/>
      <c r="E180" s="17"/>
      <c r="F180" s="17"/>
      <c r="G180" s="17"/>
      <c r="H180" s="17"/>
      <c r="I180" s="361">
        <f t="shared" si="35"/>
        <v>0</v>
      </c>
      <c r="J180" s="17"/>
      <c r="K180" s="18"/>
      <c r="L180" s="18"/>
      <c r="M180" s="17"/>
      <c r="N180" s="17"/>
      <c r="O180" s="17"/>
      <c r="P180" s="17"/>
      <c r="Q180" s="169"/>
      <c r="R180" s="24"/>
      <c r="S180" s="24"/>
      <c r="T180" s="24"/>
      <c r="U180" s="25"/>
      <c r="V180" s="25"/>
      <c r="W180" s="25"/>
      <c r="X180" s="24"/>
      <c r="Y180" s="24"/>
      <c r="Z180" s="24"/>
      <c r="AA180" s="24"/>
      <c r="AB180" s="24"/>
      <c r="AC180" s="24"/>
      <c r="AD180" s="361">
        <f t="shared" si="34"/>
        <v>0</v>
      </c>
      <c r="AE180" s="359" t="str">
        <f t="shared" si="37"/>
        <v/>
      </c>
      <c r="AF180" s="359" t="str">
        <f t="shared" si="46"/>
        <v/>
      </c>
      <c r="AG180" s="359" t="str">
        <f t="shared" si="38"/>
        <v/>
      </c>
      <c r="AH180" s="359" t="str">
        <f t="shared" si="39"/>
        <v/>
      </c>
      <c r="AI180" s="359" t="str">
        <f t="shared" si="40"/>
        <v/>
      </c>
      <c r="AJ180" s="359" t="str">
        <f t="shared" si="41"/>
        <v/>
      </c>
      <c r="AK180" s="359" t="str">
        <f t="shared" si="43"/>
        <v/>
      </c>
      <c r="AL180" s="359" t="str">
        <f t="shared" si="42"/>
        <v/>
      </c>
      <c r="AM180" s="359" t="str">
        <f t="shared" si="44"/>
        <v/>
      </c>
      <c r="AN180" s="262">
        <f t="shared" si="47"/>
        <v>0</v>
      </c>
      <c r="AO180" s="262" t="str">
        <f>IFERROR(HLOOKUP(AN180,'Ref Lists'!Q$1:AL$2,2,FALSE),'Ref Lists'!$AK$2)</f>
        <v>Savings21</v>
      </c>
      <c r="AP180" s="38"/>
      <c r="AQ180" s="38">
        <f t="shared" si="36"/>
        <v>0</v>
      </c>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row>
    <row r="181" spans="1:104" s="40" customFormat="1" ht="20.149999999999999" customHeight="1">
      <c r="A181" s="358">
        <f t="shared" si="45"/>
        <v>180</v>
      </c>
      <c r="B181" s="359" t="str">
        <f>'Front Sheet and Checklist'!$C$5</f>
        <v>Swansea Bay UHB</v>
      </c>
      <c r="C181" s="17"/>
      <c r="D181" s="17"/>
      <c r="E181" s="17"/>
      <c r="F181" s="17"/>
      <c r="G181" s="17"/>
      <c r="H181" s="17"/>
      <c r="I181" s="361">
        <f t="shared" si="35"/>
        <v>0</v>
      </c>
      <c r="J181" s="17"/>
      <c r="K181" s="18"/>
      <c r="L181" s="18"/>
      <c r="M181" s="17"/>
      <c r="N181" s="17"/>
      <c r="O181" s="17"/>
      <c r="P181" s="17"/>
      <c r="Q181" s="169"/>
      <c r="R181" s="24"/>
      <c r="S181" s="24"/>
      <c r="T181" s="24"/>
      <c r="U181" s="25"/>
      <c r="V181" s="25"/>
      <c r="W181" s="25"/>
      <c r="X181" s="24"/>
      <c r="Y181" s="24"/>
      <c r="Z181" s="24"/>
      <c r="AA181" s="24"/>
      <c r="AB181" s="24"/>
      <c r="AC181" s="24"/>
      <c r="AD181" s="361">
        <f t="shared" si="34"/>
        <v>0</v>
      </c>
      <c r="AE181" s="359" t="str">
        <f t="shared" si="37"/>
        <v/>
      </c>
      <c r="AF181" s="359" t="str">
        <f t="shared" si="46"/>
        <v/>
      </c>
      <c r="AG181" s="359" t="str">
        <f t="shared" si="38"/>
        <v/>
      </c>
      <c r="AH181" s="359" t="str">
        <f t="shared" si="39"/>
        <v/>
      </c>
      <c r="AI181" s="359" t="str">
        <f t="shared" si="40"/>
        <v/>
      </c>
      <c r="AJ181" s="359" t="str">
        <f t="shared" si="41"/>
        <v/>
      </c>
      <c r="AK181" s="359" t="str">
        <f t="shared" si="43"/>
        <v/>
      </c>
      <c r="AL181" s="359" t="str">
        <f t="shared" si="42"/>
        <v/>
      </c>
      <c r="AM181" s="359" t="str">
        <f t="shared" si="44"/>
        <v/>
      </c>
      <c r="AN181" s="262">
        <f t="shared" si="47"/>
        <v>0</v>
      </c>
      <c r="AO181" s="262" t="str">
        <f>IFERROR(HLOOKUP(AN181,'Ref Lists'!Q$1:AL$2,2,FALSE),'Ref Lists'!$AK$2)</f>
        <v>Savings21</v>
      </c>
      <c r="AP181" s="38"/>
      <c r="AQ181" s="38">
        <f t="shared" si="36"/>
        <v>0</v>
      </c>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row>
    <row r="182" spans="1:104" s="40" customFormat="1" ht="20.149999999999999" customHeight="1">
      <c r="A182" s="358">
        <f t="shared" si="45"/>
        <v>181</v>
      </c>
      <c r="B182" s="359" t="str">
        <f>'Front Sheet and Checklist'!$C$5</f>
        <v>Swansea Bay UHB</v>
      </c>
      <c r="C182" s="17"/>
      <c r="D182" s="17"/>
      <c r="E182" s="17"/>
      <c r="F182" s="17"/>
      <c r="G182" s="17"/>
      <c r="H182" s="17"/>
      <c r="I182" s="361">
        <f t="shared" si="35"/>
        <v>0</v>
      </c>
      <c r="J182" s="17"/>
      <c r="K182" s="18"/>
      <c r="L182" s="18"/>
      <c r="M182" s="17"/>
      <c r="N182" s="17"/>
      <c r="O182" s="17"/>
      <c r="P182" s="17"/>
      <c r="Q182" s="169"/>
      <c r="R182" s="24"/>
      <c r="S182" s="24"/>
      <c r="T182" s="24"/>
      <c r="U182" s="25"/>
      <c r="V182" s="25"/>
      <c r="W182" s="25"/>
      <c r="X182" s="24"/>
      <c r="Y182" s="24"/>
      <c r="Z182" s="24"/>
      <c r="AA182" s="24"/>
      <c r="AB182" s="24"/>
      <c r="AC182" s="24"/>
      <c r="AD182" s="361">
        <f t="shared" si="34"/>
        <v>0</v>
      </c>
      <c r="AE182" s="359" t="str">
        <f t="shared" si="37"/>
        <v/>
      </c>
      <c r="AF182" s="359" t="str">
        <f t="shared" si="46"/>
        <v/>
      </c>
      <c r="AG182" s="359" t="str">
        <f t="shared" si="38"/>
        <v/>
      </c>
      <c r="AH182" s="359" t="str">
        <f t="shared" si="39"/>
        <v/>
      </c>
      <c r="AI182" s="359" t="str">
        <f t="shared" si="40"/>
        <v/>
      </c>
      <c r="AJ182" s="359" t="str">
        <f t="shared" si="41"/>
        <v/>
      </c>
      <c r="AK182" s="359" t="str">
        <f t="shared" si="43"/>
        <v/>
      </c>
      <c r="AL182" s="359" t="str">
        <f t="shared" si="42"/>
        <v/>
      </c>
      <c r="AM182" s="359" t="str">
        <f t="shared" si="44"/>
        <v/>
      </c>
      <c r="AN182" s="262">
        <f t="shared" si="47"/>
        <v>0</v>
      </c>
      <c r="AO182" s="262" t="str">
        <f>IFERROR(HLOOKUP(AN182,'Ref Lists'!Q$1:AL$2,2,FALSE),'Ref Lists'!$AK$2)</f>
        <v>Savings21</v>
      </c>
      <c r="AP182" s="38"/>
      <c r="AQ182" s="38">
        <f t="shared" si="36"/>
        <v>0</v>
      </c>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row>
    <row r="183" spans="1:104" s="40" customFormat="1" ht="20.149999999999999" customHeight="1">
      <c r="A183" s="358">
        <f t="shared" si="45"/>
        <v>182</v>
      </c>
      <c r="B183" s="359" t="str">
        <f>'Front Sheet and Checklist'!$C$5</f>
        <v>Swansea Bay UHB</v>
      </c>
      <c r="C183" s="17"/>
      <c r="D183" s="17"/>
      <c r="E183" s="17"/>
      <c r="F183" s="17"/>
      <c r="G183" s="17"/>
      <c r="H183" s="17"/>
      <c r="I183" s="361">
        <f t="shared" si="35"/>
        <v>0</v>
      </c>
      <c r="J183" s="17"/>
      <c r="K183" s="18"/>
      <c r="L183" s="18"/>
      <c r="M183" s="17"/>
      <c r="N183" s="17"/>
      <c r="O183" s="17"/>
      <c r="P183" s="17"/>
      <c r="Q183" s="169"/>
      <c r="R183" s="24"/>
      <c r="S183" s="24"/>
      <c r="T183" s="24"/>
      <c r="U183" s="25"/>
      <c r="V183" s="25"/>
      <c r="W183" s="25"/>
      <c r="X183" s="24"/>
      <c r="Y183" s="24"/>
      <c r="Z183" s="24"/>
      <c r="AA183" s="24"/>
      <c r="AB183" s="24"/>
      <c r="AC183" s="24"/>
      <c r="AD183" s="361">
        <f t="shared" si="34"/>
        <v>0</v>
      </c>
      <c r="AE183" s="359" t="str">
        <f t="shared" si="37"/>
        <v/>
      </c>
      <c r="AF183" s="359" t="str">
        <f t="shared" si="46"/>
        <v/>
      </c>
      <c r="AG183" s="359" t="str">
        <f t="shared" si="38"/>
        <v/>
      </c>
      <c r="AH183" s="359" t="str">
        <f t="shared" si="39"/>
        <v/>
      </c>
      <c r="AI183" s="359" t="str">
        <f t="shared" si="40"/>
        <v/>
      </c>
      <c r="AJ183" s="359" t="str">
        <f t="shared" si="41"/>
        <v/>
      </c>
      <c r="AK183" s="359" t="str">
        <f t="shared" si="43"/>
        <v/>
      </c>
      <c r="AL183" s="359" t="str">
        <f t="shared" si="42"/>
        <v/>
      </c>
      <c r="AM183" s="359" t="str">
        <f t="shared" si="44"/>
        <v/>
      </c>
      <c r="AN183" s="262">
        <f t="shared" si="47"/>
        <v>0</v>
      </c>
      <c r="AO183" s="262" t="str">
        <f>IFERROR(HLOOKUP(AN183,'Ref Lists'!Q$1:AL$2,2,FALSE),'Ref Lists'!$AK$2)</f>
        <v>Savings21</v>
      </c>
      <c r="AP183" s="38"/>
      <c r="AQ183" s="38">
        <f t="shared" si="36"/>
        <v>0</v>
      </c>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row>
    <row r="184" spans="1:104" s="40" customFormat="1" ht="20.149999999999999" customHeight="1">
      <c r="A184" s="358">
        <f t="shared" si="45"/>
        <v>183</v>
      </c>
      <c r="B184" s="359" t="str">
        <f>'Front Sheet and Checklist'!$C$5</f>
        <v>Swansea Bay UHB</v>
      </c>
      <c r="C184" s="17"/>
      <c r="D184" s="17"/>
      <c r="E184" s="17"/>
      <c r="F184" s="17"/>
      <c r="G184" s="17"/>
      <c r="H184" s="17"/>
      <c r="I184" s="361">
        <f t="shared" si="35"/>
        <v>0</v>
      </c>
      <c r="J184" s="17"/>
      <c r="K184" s="18"/>
      <c r="L184" s="18"/>
      <c r="M184" s="17"/>
      <c r="N184" s="17"/>
      <c r="O184" s="17"/>
      <c r="P184" s="17"/>
      <c r="Q184" s="169"/>
      <c r="R184" s="24"/>
      <c r="S184" s="24"/>
      <c r="T184" s="24"/>
      <c r="U184" s="25"/>
      <c r="V184" s="25"/>
      <c r="W184" s="25"/>
      <c r="X184" s="24"/>
      <c r="Y184" s="24"/>
      <c r="Z184" s="24"/>
      <c r="AA184" s="24"/>
      <c r="AB184" s="24"/>
      <c r="AC184" s="24"/>
      <c r="AD184" s="361">
        <f t="shared" si="34"/>
        <v>0</v>
      </c>
      <c r="AE184" s="359" t="str">
        <f t="shared" si="37"/>
        <v/>
      </c>
      <c r="AF184" s="359" t="str">
        <f t="shared" si="46"/>
        <v/>
      </c>
      <c r="AG184" s="359" t="str">
        <f t="shared" si="38"/>
        <v/>
      </c>
      <c r="AH184" s="359" t="str">
        <f t="shared" si="39"/>
        <v/>
      </c>
      <c r="AI184" s="359" t="str">
        <f t="shared" si="40"/>
        <v/>
      </c>
      <c r="AJ184" s="359" t="str">
        <f t="shared" si="41"/>
        <v/>
      </c>
      <c r="AK184" s="359" t="str">
        <f t="shared" si="43"/>
        <v/>
      </c>
      <c r="AL184" s="359" t="str">
        <f t="shared" si="42"/>
        <v/>
      </c>
      <c r="AM184" s="359" t="str">
        <f t="shared" si="44"/>
        <v/>
      </c>
      <c r="AN184" s="262">
        <f t="shared" si="47"/>
        <v>0</v>
      </c>
      <c r="AO184" s="262" t="str">
        <f>IFERROR(HLOOKUP(AN184,'Ref Lists'!Q$1:AL$2,2,FALSE),'Ref Lists'!$AK$2)</f>
        <v>Savings21</v>
      </c>
      <c r="AP184" s="38"/>
      <c r="AQ184" s="38">
        <f t="shared" si="36"/>
        <v>0</v>
      </c>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row>
    <row r="185" spans="1:104" s="40" customFormat="1" ht="20.149999999999999" customHeight="1">
      <c r="A185" s="358">
        <f t="shared" si="45"/>
        <v>184</v>
      </c>
      <c r="B185" s="359" t="str">
        <f>'Front Sheet and Checklist'!$C$5</f>
        <v>Swansea Bay UHB</v>
      </c>
      <c r="C185" s="17"/>
      <c r="D185" s="17"/>
      <c r="E185" s="17"/>
      <c r="F185" s="17"/>
      <c r="G185" s="17"/>
      <c r="H185" s="17"/>
      <c r="I185" s="361">
        <f t="shared" si="35"/>
        <v>0</v>
      </c>
      <c r="J185" s="17"/>
      <c r="K185" s="18"/>
      <c r="L185" s="18"/>
      <c r="M185" s="17"/>
      <c r="N185" s="17"/>
      <c r="O185" s="17"/>
      <c r="P185" s="17"/>
      <c r="Q185" s="169"/>
      <c r="R185" s="24"/>
      <c r="S185" s="24"/>
      <c r="T185" s="24"/>
      <c r="U185" s="25"/>
      <c r="V185" s="25"/>
      <c r="W185" s="25"/>
      <c r="X185" s="24"/>
      <c r="Y185" s="24"/>
      <c r="Z185" s="24"/>
      <c r="AA185" s="24"/>
      <c r="AB185" s="24"/>
      <c r="AC185" s="24"/>
      <c r="AD185" s="361">
        <f t="shared" si="34"/>
        <v>0</v>
      </c>
      <c r="AE185" s="359" t="str">
        <f t="shared" si="37"/>
        <v/>
      </c>
      <c r="AF185" s="359" t="str">
        <f t="shared" si="46"/>
        <v/>
      </c>
      <c r="AG185" s="359" t="str">
        <f t="shared" si="38"/>
        <v/>
      </c>
      <c r="AH185" s="359" t="str">
        <f t="shared" si="39"/>
        <v/>
      </c>
      <c r="AI185" s="359" t="str">
        <f t="shared" si="40"/>
        <v/>
      </c>
      <c r="AJ185" s="359" t="str">
        <f t="shared" si="41"/>
        <v/>
      </c>
      <c r="AK185" s="359" t="str">
        <f t="shared" si="43"/>
        <v/>
      </c>
      <c r="AL185" s="359" t="str">
        <f t="shared" si="42"/>
        <v/>
      </c>
      <c r="AM185" s="359" t="str">
        <f t="shared" si="44"/>
        <v/>
      </c>
      <c r="AN185" s="262">
        <f t="shared" si="47"/>
        <v>0</v>
      </c>
      <c r="AO185" s="262" t="str">
        <f>IFERROR(HLOOKUP(AN185,'Ref Lists'!Q$1:AL$2,2,FALSE),'Ref Lists'!$AK$2)</f>
        <v>Savings21</v>
      </c>
      <c r="AP185" s="38"/>
      <c r="AQ185" s="38">
        <f t="shared" si="36"/>
        <v>0</v>
      </c>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row>
    <row r="186" spans="1:104" s="40" customFormat="1" ht="20.149999999999999" customHeight="1">
      <c r="A186" s="358">
        <f t="shared" si="45"/>
        <v>185</v>
      </c>
      <c r="B186" s="359" t="str">
        <f>'Front Sheet and Checklist'!$C$5</f>
        <v>Swansea Bay UHB</v>
      </c>
      <c r="C186" s="17"/>
      <c r="D186" s="17"/>
      <c r="E186" s="17"/>
      <c r="F186" s="17"/>
      <c r="G186" s="17"/>
      <c r="H186" s="17"/>
      <c r="I186" s="361">
        <f t="shared" si="35"/>
        <v>0</v>
      </c>
      <c r="J186" s="17"/>
      <c r="K186" s="18"/>
      <c r="L186" s="18"/>
      <c r="M186" s="17"/>
      <c r="N186" s="17"/>
      <c r="O186" s="17"/>
      <c r="P186" s="17"/>
      <c r="Q186" s="169"/>
      <c r="R186" s="24"/>
      <c r="S186" s="24"/>
      <c r="T186" s="24"/>
      <c r="U186" s="25"/>
      <c r="V186" s="25"/>
      <c r="W186" s="25"/>
      <c r="X186" s="24"/>
      <c r="Y186" s="24"/>
      <c r="Z186" s="24"/>
      <c r="AA186" s="24"/>
      <c r="AB186" s="24"/>
      <c r="AC186" s="24"/>
      <c r="AD186" s="361">
        <f t="shared" ref="AD186:AD249" si="48">SUM(R186:AC186)</f>
        <v>0</v>
      </c>
      <c r="AE186" s="359" t="str">
        <f t="shared" si="37"/>
        <v/>
      </c>
      <c r="AF186" s="359" t="str">
        <f t="shared" si="46"/>
        <v/>
      </c>
      <c r="AG186" s="359" t="str">
        <f t="shared" si="38"/>
        <v/>
      </c>
      <c r="AH186" s="359" t="str">
        <f t="shared" si="39"/>
        <v/>
      </c>
      <c r="AI186" s="359" t="str">
        <f t="shared" si="40"/>
        <v/>
      </c>
      <c r="AJ186" s="359" t="str">
        <f t="shared" si="41"/>
        <v/>
      </c>
      <c r="AK186" s="359" t="str">
        <f t="shared" si="43"/>
        <v/>
      </c>
      <c r="AL186" s="359" t="str">
        <f t="shared" si="42"/>
        <v/>
      </c>
      <c r="AM186" s="359" t="str">
        <f t="shared" si="44"/>
        <v/>
      </c>
      <c r="AN186" s="262">
        <f t="shared" si="47"/>
        <v>0</v>
      </c>
      <c r="AO186" s="262" t="str">
        <f>IFERROR(HLOOKUP(AN186,'Ref Lists'!Q$1:AL$2,2,FALSE),'Ref Lists'!$AK$2)</f>
        <v>Savings21</v>
      </c>
      <c r="AP186" s="38"/>
      <c r="AQ186" s="38">
        <f t="shared" si="36"/>
        <v>0</v>
      </c>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row>
    <row r="187" spans="1:104" s="40" customFormat="1" ht="20.149999999999999" customHeight="1">
      <c r="A187" s="358">
        <f t="shared" si="45"/>
        <v>186</v>
      </c>
      <c r="B187" s="359" t="str">
        <f>'Front Sheet and Checklist'!$C$5</f>
        <v>Swansea Bay UHB</v>
      </c>
      <c r="C187" s="17"/>
      <c r="D187" s="17"/>
      <c r="E187" s="17"/>
      <c r="F187" s="17"/>
      <c r="G187" s="17"/>
      <c r="H187" s="17"/>
      <c r="I187" s="361">
        <f t="shared" ref="I187:I250" si="49">AD187</f>
        <v>0</v>
      </c>
      <c r="J187" s="17"/>
      <c r="K187" s="18"/>
      <c r="L187" s="18"/>
      <c r="M187" s="17"/>
      <c r="N187" s="17"/>
      <c r="O187" s="17"/>
      <c r="P187" s="17"/>
      <c r="Q187" s="169"/>
      <c r="R187" s="24"/>
      <c r="S187" s="24"/>
      <c r="T187" s="24"/>
      <c r="U187" s="25"/>
      <c r="V187" s="25"/>
      <c r="W187" s="25"/>
      <c r="X187" s="24"/>
      <c r="Y187" s="24"/>
      <c r="Z187" s="24"/>
      <c r="AA187" s="24"/>
      <c r="AB187" s="24"/>
      <c r="AC187" s="24"/>
      <c r="AD187" s="361">
        <f t="shared" si="48"/>
        <v>0</v>
      </c>
      <c r="AE187" s="359" t="str">
        <f t="shared" si="37"/>
        <v/>
      </c>
      <c r="AF187" s="359" t="str">
        <f t="shared" si="46"/>
        <v/>
      </c>
      <c r="AG187" s="359" t="str">
        <f t="shared" si="38"/>
        <v/>
      </c>
      <c r="AH187" s="359" t="str">
        <f t="shared" si="39"/>
        <v/>
      </c>
      <c r="AI187" s="359" t="str">
        <f t="shared" si="40"/>
        <v/>
      </c>
      <c r="AJ187" s="359" t="str">
        <f t="shared" si="41"/>
        <v/>
      </c>
      <c r="AK187" s="359" t="str">
        <f t="shared" si="43"/>
        <v/>
      </c>
      <c r="AL187" s="359" t="str">
        <f t="shared" si="42"/>
        <v/>
      </c>
      <c r="AM187" s="359" t="str">
        <f t="shared" si="44"/>
        <v/>
      </c>
      <c r="AN187" s="262">
        <f t="shared" si="47"/>
        <v>0</v>
      </c>
      <c r="AO187" s="262" t="str">
        <f>IFERROR(HLOOKUP(AN187,'Ref Lists'!Q$1:AL$2,2,FALSE),'Ref Lists'!$AK$2)</f>
        <v>Savings21</v>
      </c>
      <c r="AP187" s="38"/>
      <c r="AQ187" s="38">
        <f t="shared" ref="AQ187:AQ250" si="50">COUNTIFS(AE187:AL187,"Error")</f>
        <v>0</v>
      </c>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row>
    <row r="188" spans="1:104" s="40" customFormat="1" ht="20.149999999999999" customHeight="1">
      <c r="A188" s="358">
        <f t="shared" si="45"/>
        <v>187</v>
      </c>
      <c r="B188" s="359" t="str">
        <f>'Front Sheet and Checklist'!$C$5</f>
        <v>Swansea Bay UHB</v>
      </c>
      <c r="C188" s="17"/>
      <c r="D188" s="17"/>
      <c r="E188" s="17"/>
      <c r="F188" s="17"/>
      <c r="G188" s="17"/>
      <c r="H188" s="17"/>
      <c r="I188" s="361">
        <f t="shared" si="49"/>
        <v>0</v>
      </c>
      <c r="J188" s="17"/>
      <c r="K188" s="18"/>
      <c r="L188" s="18"/>
      <c r="M188" s="17"/>
      <c r="N188" s="17"/>
      <c r="O188" s="17"/>
      <c r="P188" s="17"/>
      <c r="Q188" s="169"/>
      <c r="R188" s="24"/>
      <c r="S188" s="24"/>
      <c r="T188" s="24"/>
      <c r="U188" s="25"/>
      <c r="V188" s="25"/>
      <c r="W188" s="25"/>
      <c r="X188" s="24"/>
      <c r="Y188" s="24"/>
      <c r="Z188" s="24"/>
      <c r="AA188" s="24"/>
      <c r="AB188" s="24"/>
      <c r="AC188" s="24"/>
      <c r="AD188" s="361">
        <f t="shared" si="48"/>
        <v>0</v>
      </c>
      <c r="AE188" s="359" t="str">
        <f t="shared" si="37"/>
        <v/>
      </c>
      <c r="AF188" s="359" t="str">
        <f t="shared" si="46"/>
        <v/>
      </c>
      <c r="AG188" s="359" t="str">
        <f t="shared" si="38"/>
        <v/>
      </c>
      <c r="AH188" s="359" t="str">
        <f t="shared" si="39"/>
        <v/>
      </c>
      <c r="AI188" s="359" t="str">
        <f t="shared" si="40"/>
        <v/>
      </c>
      <c r="AJ188" s="359" t="str">
        <f t="shared" si="41"/>
        <v/>
      </c>
      <c r="AK188" s="359" t="str">
        <f t="shared" si="43"/>
        <v/>
      </c>
      <c r="AL188" s="359" t="str">
        <f t="shared" si="42"/>
        <v/>
      </c>
      <c r="AM188" s="359" t="str">
        <f t="shared" si="44"/>
        <v/>
      </c>
      <c r="AN188" s="262">
        <f t="shared" si="47"/>
        <v>0</v>
      </c>
      <c r="AO188" s="262" t="str">
        <f>IFERROR(HLOOKUP(AN188,'Ref Lists'!Q$1:AL$2,2,FALSE),'Ref Lists'!$AK$2)</f>
        <v>Savings21</v>
      </c>
      <c r="AP188" s="38"/>
      <c r="AQ188" s="38">
        <f t="shared" si="50"/>
        <v>0</v>
      </c>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c r="BW188" s="38"/>
      <c r="BX188" s="38"/>
      <c r="BY188" s="38"/>
      <c r="BZ188" s="38"/>
      <c r="CA188" s="38"/>
      <c r="CB188" s="38"/>
      <c r="CC188" s="38"/>
      <c r="CD188" s="38"/>
      <c r="CE188" s="38"/>
      <c r="CF188" s="38"/>
      <c r="CG188" s="38"/>
      <c r="CH188" s="38"/>
      <c r="CI188" s="38"/>
      <c r="CJ188" s="38"/>
      <c r="CK188" s="38"/>
      <c r="CL188" s="38"/>
      <c r="CM188" s="38"/>
      <c r="CN188" s="38"/>
      <c r="CO188" s="38"/>
      <c r="CP188" s="38"/>
      <c r="CQ188" s="38"/>
      <c r="CR188" s="38"/>
      <c r="CS188" s="38"/>
      <c r="CT188" s="38"/>
      <c r="CU188" s="38"/>
      <c r="CV188" s="38"/>
      <c r="CW188" s="38"/>
      <c r="CX188" s="38"/>
      <c r="CY188" s="38"/>
      <c r="CZ188" s="38"/>
    </row>
    <row r="189" spans="1:104" s="40" customFormat="1" ht="20.149999999999999" customHeight="1">
      <c r="A189" s="358">
        <f t="shared" si="45"/>
        <v>188</v>
      </c>
      <c r="B189" s="359" t="str">
        <f>'Front Sheet and Checklist'!$C$5</f>
        <v>Swansea Bay UHB</v>
      </c>
      <c r="C189" s="17"/>
      <c r="D189" s="17"/>
      <c r="E189" s="17"/>
      <c r="F189" s="17"/>
      <c r="G189" s="17"/>
      <c r="H189" s="17"/>
      <c r="I189" s="361">
        <f t="shared" si="49"/>
        <v>0</v>
      </c>
      <c r="J189" s="17"/>
      <c r="K189" s="18"/>
      <c r="L189" s="18"/>
      <c r="M189" s="17"/>
      <c r="N189" s="17"/>
      <c r="O189" s="17"/>
      <c r="P189" s="17"/>
      <c r="Q189" s="169"/>
      <c r="R189" s="24"/>
      <c r="S189" s="24"/>
      <c r="T189" s="24"/>
      <c r="U189" s="25"/>
      <c r="V189" s="25"/>
      <c r="W189" s="25"/>
      <c r="X189" s="24"/>
      <c r="Y189" s="24"/>
      <c r="Z189" s="24"/>
      <c r="AA189" s="24"/>
      <c r="AB189" s="24"/>
      <c r="AC189" s="24"/>
      <c r="AD189" s="361">
        <f t="shared" si="48"/>
        <v>0</v>
      </c>
      <c r="AE189" s="359" t="str">
        <f t="shared" si="37"/>
        <v/>
      </c>
      <c r="AF189" s="359" t="str">
        <f t="shared" si="46"/>
        <v/>
      </c>
      <c r="AG189" s="359" t="str">
        <f t="shared" si="38"/>
        <v/>
      </c>
      <c r="AH189" s="359" t="str">
        <f t="shared" si="39"/>
        <v/>
      </c>
      <c r="AI189" s="359" t="str">
        <f t="shared" si="40"/>
        <v/>
      </c>
      <c r="AJ189" s="359" t="str">
        <f t="shared" si="41"/>
        <v/>
      </c>
      <c r="AK189" s="359" t="str">
        <f t="shared" si="43"/>
        <v/>
      </c>
      <c r="AL189" s="359" t="str">
        <f t="shared" si="42"/>
        <v/>
      </c>
      <c r="AM189" s="359" t="str">
        <f t="shared" si="44"/>
        <v/>
      </c>
      <c r="AN189" s="262">
        <f t="shared" si="47"/>
        <v>0</v>
      </c>
      <c r="AO189" s="262" t="str">
        <f>IFERROR(HLOOKUP(AN189,'Ref Lists'!Q$1:AL$2,2,FALSE),'Ref Lists'!$AK$2)</f>
        <v>Savings21</v>
      </c>
      <c r="AP189" s="38"/>
      <c r="AQ189" s="38">
        <f t="shared" si="50"/>
        <v>0</v>
      </c>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row>
    <row r="190" spans="1:104" s="40" customFormat="1" ht="20.149999999999999" customHeight="1">
      <c r="A190" s="358">
        <f t="shared" si="45"/>
        <v>189</v>
      </c>
      <c r="B190" s="359" t="str">
        <f>'Front Sheet and Checklist'!$C$5</f>
        <v>Swansea Bay UHB</v>
      </c>
      <c r="C190" s="17"/>
      <c r="D190" s="17"/>
      <c r="E190" s="17"/>
      <c r="F190" s="17"/>
      <c r="G190" s="17"/>
      <c r="H190" s="17"/>
      <c r="I190" s="361">
        <f t="shared" si="49"/>
        <v>0</v>
      </c>
      <c r="J190" s="17"/>
      <c r="K190" s="18"/>
      <c r="L190" s="18"/>
      <c r="M190" s="17"/>
      <c r="N190" s="17"/>
      <c r="O190" s="17"/>
      <c r="P190" s="17"/>
      <c r="Q190" s="169"/>
      <c r="R190" s="24"/>
      <c r="S190" s="24"/>
      <c r="T190" s="24"/>
      <c r="U190" s="25"/>
      <c r="V190" s="25"/>
      <c r="W190" s="25"/>
      <c r="X190" s="24"/>
      <c r="Y190" s="24"/>
      <c r="Z190" s="24"/>
      <c r="AA190" s="24"/>
      <c r="AB190" s="24"/>
      <c r="AC190" s="24"/>
      <c r="AD190" s="361">
        <f t="shared" si="48"/>
        <v>0</v>
      </c>
      <c r="AE190" s="359" t="str">
        <f t="shared" si="37"/>
        <v/>
      </c>
      <c r="AF190" s="359" t="str">
        <f t="shared" si="46"/>
        <v/>
      </c>
      <c r="AG190" s="359" t="str">
        <f t="shared" si="38"/>
        <v/>
      </c>
      <c r="AH190" s="359" t="str">
        <f t="shared" si="39"/>
        <v/>
      </c>
      <c r="AI190" s="359" t="str">
        <f t="shared" si="40"/>
        <v/>
      </c>
      <c r="AJ190" s="359" t="str">
        <f t="shared" si="41"/>
        <v/>
      </c>
      <c r="AK190" s="359" t="str">
        <f t="shared" si="43"/>
        <v/>
      </c>
      <c r="AL190" s="359" t="str">
        <f t="shared" si="42"/>
        <v/>
      </c>
      <c r="AM190" s="359" t="str">
        <f t="shared" si="44"/>
        <v/>
      </c>
      <c r="AN190" s="262">
        <f t="shared" si="47"/>
        <v>0</v>
      </c>
      <c r="AO190" s="262" t="str">
        <f>IFERROR(HLOOKUP(AN190,'Ref Lists'!Q$1:AL$2,2,FALSE),'Ref Lists'!$AK$2)</f>
        <v>Savings21</v>
      </c>
      <c r="AP190" s="38"/>
      <c r="AQ190" s="38">
        <f t="shared" si="50"/>
        <v>0</v>
      </c>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c r="BX190" s="38"/>
      <c r="BY190" s="38"/>
      <c r="BZ190" s="38"/>
      <c r="CA190" s="38"/>
      <c r="CB190" s="38"/>
      <c r="CC190" s="38"/>
      <c r="CD190" s="38"/>
      <c r="CE190" s="38"/>
      <c r="CF190" s="38"/>
      <c r="CG190" s="38"/>
      <c r="CH190" s="38"/>
      <c r="CI190" s="38"/>
      <c r="CJ190" s="38"/>
      <c r="CK190" s="38"/>
      <c r="CL190" s="38"/>
      <c r="CM190" s="38"/>
      <c r="CN190" s="38"/>
      <c r="CO190" s="38"/>
      <c r="CP190" s="38"/>
      <c r="CQ190" s="38"/>
      <c r="CR190" s="38"/>
      <c r="CS190" s="38"/>
      <c r="CT190" s="38"/>
      <c r="CU190" s="38"/>
      <c r="CV190" s="38"/>
      <c r="CW190" s="38"/>
      <c r="CX190" s="38"/>
      <c r="CY190" s="38"/>
      <c r="CZ190" s="38"/>
    </row>
    <row r="191" spans="1:104" s="40" customFormat="1" ht="20.149999999999999" customHeight="1">
      <c r="A191" s="358">
        <f t="shared" si="45"/>
        <v>190</v>
      </c>
      <c r="B191" s="359" t="str">
        <f>'Front Sheet and Checklist'!$C$5</f>
        <v>Swansea Bay UHB</v>
      </c>
      <c r="C191" s="17"/>
      <c r="D191" s="17"/>
      <c r="E191" s="17"/>
      <c r="F191" s="17"/>
      <c r="G191" s="17"/>
      <c r="H191" s="17"/>
      <c r="I191" s="361">
        <f t="shared" si="49"/>
        <v>0</v>
      </c>
      <c r="J191" s="17"/>
      <c r="K191" s="18"/>
      <c r="L191" s="18"/>
      <c r="M191" s="17"/>
      <c r="N191" s="17"/>
      <c r="O191" s="17"/>
      <c r="P191" s="17"/>
      <c r="Q191" s="169"/>
      <c r="R191" s="24"/>
      <c r="S191" s="24"/>
      <c r="T191" s="24"/>
      <c r="U191" s="25"/>
      <c r="V191" s="25"/>
      <c r="W191" s="25"/>
      <c r="X191" s="24"/>
      <c r="Y191" s="24"/>
      <c r="Z191" s="24"/>
      <c r="AA191" s="24"/>
      <c r="AB191" s="24"/>
      <c r="AC191" s="24"/>
      <c r="AD191" s="361">
        <f t="shared" si="48"/>
        <v>0</v>
      </c>
      <c r="AE191" s="359" t="str">
        <f t="shared" si="37"/>
        <v/>
      </c>
      <c r="AF191" s="359" t="str">
        <f t="shared" si="46"/>
        <v/>
      </c>
      <c r="AG191" s="359" t="str">
        <f t="shared" si="38"/>
        <v/>
      </c>
      <c r="AH191" s="359" t="str">
        <f t="shared" si="39"/>
        <v/>
      </c>
      <c r="AI191" s="359" t="str">
        <f t="shared" si="40"/>
        <v/>
      </c>
      <c r="AJ191" s="359" t="str">
        <f t="shared" si="41"/>
        <v/>
      </c>
      <c r="AK191" s="359" t="str">
        <f t="shared" si="43"/>
        <v/>
      </c>
      <c r="AL191" s="359" t="str">
        <f t="shared" si="42"/>
        <v/>
      </c>
      <c r="AM191" s="359" t="str">
        <f t="shared" si="44"/>
        <v/>
      </c>
      <c r="AN191" s="262">
        <f t="shared" si="47"/>
        <v>0</v>
      </c>
      <c r="AO191" s="262" t="str">
        <f>IFERROR(HLOOKUP(AN191,'Ref Lists'!Q$1:AL$2,2,FALSE),'Ref Lists'!$AK$2)</f>
        <v>Savings21</v>
      </c>
      <c r="AP191" s="38"/>
      <c r="AQ191" s="38">
        <f t="shared" si="50"/>
        <v>0</v>
      </c>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38"/>
      <c r="BZ191" s="38"/>
      <c r="CA191" s="38"/>
      <c r="CB191" s="38"/>
      <c r="CC191" s="38"/>
      <c r="CD191" s="38"/>
      <c r="CE191" s="38"/>
      <c r="CF191" s="38"/>
      <c r="CG191" s="38"/>
      <c r="CH191" s="38"/>
      <c r="CI191" s="38"/>
      <c r="CJ191" s="38"/>
      <c r="CK191" s="38"/>
      <c r="CL191" s="38"/>
      <c r="CM191" s="38"/>
      <c r="CN191" s="38"/>
      <c r="CO191" s="38"/>
      <c r="CP191" s="38"/>
      <c r="CQ191" s="38"/>
      <c r="CR191" s="38"/>
      <c r="CS191" s="38"/>
      <c r="CT191" s="38"/>
      <c r="CU191" s="38"/>
      <c r="CV191" s="38"/>
      <c r="CW191" s="38"/>
      <c r="CX191" s="38"/>
      <c r="CY191" s="38"/>
      <c r="CZ191" s="38"/>
    </row>
    <row r="192" spans="1:104" s="40" customFormat="1" ht="20.149999999999999" customHeight="1">
      <c r="A192" s="358">
        <f t="shared" si="45"/>
        <v>191</v>
      </c>
      <c r="B192" s="359" t="str">
        <f>'Front Sheet and Checklist'!$C$5</f>
        <v>Swansea Bay UHB</v>
      </c>
      <c r="C192" s="17"/>
      <c r="D192" s="17"/>
      <c r="E192" s="17"/>
      <c r="F192" s="17"/>
      <c r="G192" s="17"/>
      <c r="H192" s="17"/>
      <c r="I192" s="361">
        <f t="shared" si="49"/>
        <v>0</v>
      </c>
      <c r="J192" s="17"/>
      <c r="K192" s="18"/>
      <c r="L192" s="18"/>
      <c r="M192" s="17"/>
      <c r="N192" s="17"/>
      <c r="O192" s="17"/>
      <c r="P192" s="17"/>
      <c r="Q192" s="169"/>
      <c r="R192" s="24"/>
      <c r="S192" s="24"/>
      <c r="T192" s="24"/>
      <c r="U192" s="25"/>
      <c r="V192" s="25"/>
      <c r="W192" s="25"/>
      <c r="X192" s="24"/>
      <c r="Y192" s="24"/>
      <c r="Z192" s="24"/>
      <c r="AA192" s="24"/>
      <c r="AB192" s="24"/>
      <c r="AC192" s="24"/>
      <c r="AD192" s="361">
        <f t="shared" si="48"/>
        <v>0</v>
      </c>
      <c r="AE192" s="359" t="str">
        <f t="shared" si="37"/>
        <v/>
      </c>
      <c r="AF192" s="359" t="str">
        <f t="shared" si="46"/>
        <v/>
      </c>
      <c r="AG192" s="359" t="str">
        <f t="shared" si="38"/>
        <v/>
      </c>
      <c r="AH192" s="359" t="str">
        <f t="shared" si="39"/>
        <v/>
      </c>
      <c r="AI192" s="359" t="str">
        <f t="shared" si="40"/>
        <v/>
      </c>
      <c r="AJ192" s="359" t="str">
        <f t="shared" si="41"/>
        <v/>
      </c>
      <c r="AK192" s="359" t="str">
        <f t="shared" si="43"/>
        <v/>
      </c>
      <c r="AL192" s="359" t="str">
        <f t="shared" si="42"/>
        <v/>
      </c>
      <c r="AM192" s="359" t="str">
        <f t="shared" si="44"/>
        <v/>
      </c>
      <c r="AN192" s="262">
        <f t="shared" si="47"/>
        <v>0</v>
      </c>
      <c r="AO192" s="262" t="str">
        <f>IFERROR(HLOOKUP(AN192,'Ref Lists'!Q$1:AL$2,2,FALSE),'Ref Lists'!$AK$2)</f>
        <v>Savings21</v>
      </c>
      <c r="AP192" s="38"/>
      <c r="AQ192" s="38">
        <f t="shared" si="50"/>
        <v>0</v>
      </c>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row>
    <row r="193" spans="1:104" s="40" customFormat="1" ht="20.149999999999999" customHeight="1">
      <c r="A193" s="358">
        <f t="shared" si="45"/>
        <v>192</v>
      </c>
      <c r="B193" s="359" t="str">
        <f>'Front Sheet and Checklist'!$C$5</f>
        <v>Swansea Bay UHB</v>
      </c>
      <c r="C193" s="17"/>
      <c r="D193" s="17"/>
      <c r="E193" s="17"/>
      <c r="F193" s="17"/>
      <c r="G193" s="17"/>
      <c r="H193" s="17"/>
      <c r="I193" s="361">
        <f t="shared" si="49"/>
        <v>0</v>
      </c>
      <c r="J193" s="17"/>
      <c r="K193" s="18"/>
      <c r="L193" s="18"/>
      <c r="M193" s="17"/>
      <c r="N193" s="17"/>
      <c r="O193" s="17"/>
      <c r="P193" s="17"/>
      <c r="Q193" s="169"/>
      <c r="R193" s="24"/>
      <c r="S193" s="24"/>
      <c r="T193" s="24"/>
      <c r="U193" s="25"/>
      <c r="V193" s="25"/>
      <c r="W193" s="25"/>
      <c r="X193" s="24"/>
      <c r="Y193" s="24"/>
      <c r="Z193" s="24"/>
      <c r="AA193" s="24"/>
      <c r="AB193" s="24"/>
      <c r="AC193" s="24"/>
      <c r="AD193" s="361">
        <f t="shared" si="48"/>
        <v>0</v>
      </c>
      <c r="AE193" s="359" t="str">
        <f t="shared" si="37"/>
        <v/>
      </c>
      <c r="AF193" s="359" t="str">
        <f t="shared" si="46"/>
        <v/>
      </c>
      <c r="AG193" s="359" t="str">
        <f t="shared" si="38"/>
        <v/>
      </c>
      <c r="AH193" s="359" t="str">
        <f t="shared" si="39"/>
        <v/>
      </c>
      <c r="AI193" s="359" t="str">
        <f t="shared" si="40"/>
        <v/>
      </c>
      <c r="AJ193" s="359" t="str">
        <f t="shared" si="41"/>
        <v/>
      </c>
      <c r="AK193" s="359" t="str">
        <f t="shared" si="43"/>
        <v/>
      </c>
      <c r="AL193" s="359" t="str">
        <f t="shared" si="42"/>
        <v/>
      </c>
      <c r="AM193" s="359" t="str">
        <f t="shared" si="44"/>
        <v/>
      </c>
      <c r="AN193" s="262">
        <f t="shared" si="47"/>
        <v>0</v>
      </c>
      <c r="AO193" s="262" t="str">
        <f>IFERROR(HLOOKUP(AN193,'Ref Lists'!Q$1:AL$2,2,FALSE),'Ref Lists'!$AK$2)</f>
        <v>Savings21</v>
      </c>
      <c r="AP193" s="38"/>
      <c r="AQ193" s="38">
        <f t="shared" si="50"/>
        <v>0</v>
      </c>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c r="CJ193" s="38"/>
      <c r="CK193" s="38"/>
      <c r="CL193" s="38"/>
      <c r="CM193" s="38"/>
      <c r="CN193" s="38"/>
      <c r="CO193" s="38"/>
      <c r="CP193" s="38"/>
      <c r="CQ193" s="38"/>
      <c r="CR193" s="38"/>
      <c r="CS193" s="38"/>
      <c r="CT193" s="38"/>
      <c r="CU193" s="38"/>
      <c r="CV193" s="38"/>
      <c r="CW193" s="38"/>
      <c r="CX193" s="38"/>
      <c r="CY193" s="38"/>
      <c r="CZ193" s="38"/>
    </row>
    <row r="194" spans="1:104" s="40" customFormat="1" ht="20.149999999999999" customHeight="1">
      <c r="A194" s="358">
        <f t="shared" si="45"/>
        <v>193</v>
      </c>
      <c r="B194" s="359" t="str">
        <f>'Front Sheet and Checklist'!$C$5</f>
        <v>Swansea Bay UHB</v>
      </c>
      <c r="C194" s="17"/>
      <c r="D194" s="17"/>
      <c r="E194" s="17"/>
      <c r="F194" s="17"/>
      <c r="G194" s="17"/>
      <c r="H194" s="17"/>
      <c r="I194" s="361">
        <f t="shared" si="49"/>
        <v>0</v>
      </c>
      <c r="J194" s="17"/>
      <c r="K194" s="18"/>
      <c r="L194" s="18"/>
      <c r="M194" s="17"/>
      <c r="N194" s="17"/>
      <c r="O194" s="17"/>
      <c r="P194" s="17"/>
      <c r="Q194" s="169"/>
      <c r="R194" s="24"/>
      <c r="S194" s="24"/>
      <c r="T194" s="24"/>
      <c r="U194" s="25"/>
      <c r="V194" s="25"/>
      <c r="W194" s="25"/>
      <c r="X194" s="24"/>
      <c r="Y194" s="24"/>
      <c r="Z194" s="24"/>
      <c r="AA194" s="24"/>
      <c r="AB194" s="24"/>
      <c r="AC194" s="24"/>
      <c r="AD194" s="361">
        <f t="shared" si="48"/>
        <v>0</v>
      </c>
      <c r="AE194" s="359" t="str">
        <f t="shared" ref="AE194:AE257" si="51">IF(AND(I194&gt;0,H194&lt;&gt;"Income Generation"),IF(AND(H194&lt;&gt;"",D194&lt;&gt;"",E194&lt;&gt;"",F194&lt;&gt;"",C194&lt;&gt;"",G194&lt;&gt;"",K194&lt;&gt;"",L194&lt;&gt;"",M194&lt;&gt;"",N194&lt;&gt;"",P194&lt;&gt;"",Q194&lt;&gt;"",O194&lt;&gt;""),"","ERROR"),"")</f>
        <v/>
      </c>
      <c r="AF194" s="359" t="str">
        <f t="shared" si="46"/>
        <v/>
      </c>
      <c r="AG194" s="359" t="str">
        <f t="shared" ref="AG194:AG257" si="52">IF(AND(I194&gt;0,O194=""),"ERROR","")</f>
        <v/>
      </c>
      <c r="AH194" s="359" t="str">
        <f t="shared" ref="AH194:AH257" si="53">IF(AND(OR(H194="Income Generation"),O194&lt;&gt;""),"ERROR","")</f>
        <v/>
      </c>
      <c r="AI194" s="359" t="str">
        <f t="shared" ref="AI194:AI257" si="54">IF(AND(G194="R",I194&gt;J194),"ERROR","")</f>
        <v/>
      </c>
      <c r="AJ194" s="359" t="str">
        <f t="shared" ref="AJ194:AJ257" si="55">IF(AND(G194="NR",J194&gt;0),"ERROR","")</f>
        <v/>
      </c>
      <c r="AK194" s="359" t="str">
        <f t="shared" si="43"/>
        <v/>
      </c>
      <c r="AL194" s="359" t="str">
        <f t="shared" ref="AL194:AL257" si="56">IF(OR(L194="",L194="N/A"),"",IF(OR(L194&lt;DATEVALUE("01/04/24"),L194&gt;DATEVALUE("31/03/25")),"ERROR",""))</f>
        <v/>
      </c>
      <c r="AM194" s="359" t="str">
        <f t="shared" si="44"/>
        <v/>
      </c>
      <c r="AN194" s="262">
        <f t="shared" si="47"/>
        <v>0</v>
      </c>
      <c r="AO194" s="262" t="str">
        <f>IFERROR(HLOOKUP(AN194,'Ref Lists'!Q$1:AL$2,2,FALSE),'Ref Lists'!$AK$2)</f>
        <v>Savings21</v>
      </c>
      <c r="AP194" s="38"/>
      <c r="AQ194" s="38">
        <f t="shared" si="50"/>
        <v>0</v>
      </c>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row>
    <row r="195" spans="1:104" s="40" customFormat="1" ht="20.149999999999999" customHeight="1">
      <c r="A195" s="358">
        <f t="shared" si="45"/>
        <v>194</v>
      </c>
      <c r="B195" s="359" t="str">
        <f>'Front Sheet and Checklist'!$C$5</f>
        <v>Swansea Bay UHB</v>
      </c>
      <c r="C195" s="17"/>
      <c r="D195" s="17"/>
      <c r="E195" s="17"/>
      <c r="F195" s="17"/>
      <c r="G195" s="17"/>
      <c r="H195" s="17"/>
      <c r="I195" s="361">
        <f t="shared" si="49"/>
        <v>0</v>
      </c>
      <c r="J195" s="17"/>
      <c r="K195" s="18"/>
      <c r="L195" s="18"/>
      <c r="M195" s="17"/>
      <c r="N195" s="17"/>
      <c r="O195" s="17"/>
      <c r="P195" s="17"/>
      <c r="Q195" s="169"/>
      <c r="R195" s="24"/>
      <c r="S195" s="24"/>
      <c r="T195" s="24"/>
      <c r="U195" s="25"/>
      <c r="V195" s="25"/>
      <c r="W195" s="25"/>
      <c r="X195" s="24"/>
      <c r="Y195" s="24"/>
      <c r="Z195" s="24"/>
      <c r="AA195" s="24"/>
      <c r="AB195" s="24"/>
      <c r="AC195" s="24"/>
      <c r="AD195" s="361">
        <f t="shared" si="48"/>
        <v>0</v>
      </c>
      <c r="AE195" s="359" t="str">
        <f t="shared" si="51"/>
        <v/>
      </c>
      <c r="AF195" s="359" t="str">
        <f t="shared" si="46"/>
        <v/>
      </c>
      <c r="AG195" s="359" t="str">
        <f t="shared" si="52"/>
        <v/>
      </c>
      <c r="AH195" s="359" t="str">
        <f t="shared" si="53"/>
        <v/>
      </c>
      <c r="AI195" s="359" t="str">
        <f t="shared" si="54"/>
        <v/>
      </c>
      <c r="AJ195" s="359" t="str">
        <f t="shared" si="55"/>
        <v/>
      </c>
      <c r="AK195" s="359" t="str">
        <f t="shared" ref="AK195:AK258" si="57">IF(OR(K195="",K195="N/a"),"",IF(OR(K195&lt;DATEVALUE("01/04/24"),K195&gt;DATEVALUE("31/03/25")),"ERROR",""))</f>
        <v/>
      </c>
      <c r="AL195" s="359" t="str">
        <f t="shared" si="56"/>
        <v/>
      </c>
      <c r="AM195" s="359" t="str">
        <f t="shared" ref="AM195:AM258" si="58">IF(COUNTA(T195:AC195)&lt;&gt;COUNT(T195:AC195),"ERROR","")</f>
        <v/>
      </c>
      <c r="AN195" s="262">
        <f t="shared" si="47"/>
        <v>0</v>
      </c>
      <c r="AO195" s="262" t="str">
        <f>IFERROR(HLOOKUP(AN195,'Ref Lists'!Q$1:AL$2,2,FALSE),'Ref Lists'!$AK$2)</f>
        <v>Savings21</v>
      </c>
      <c r="AP195" s="38"/>
      <c r="AQ195" s="38">
        <f t="shared" si="50"/>
        <v>0</v>
      </c>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row>
    <row r="196" spans="1:104" s="40" customFormat="1" ht="20.149999999999999" customHeight="1">
      <c r="A196" s="358">
        <f t="shared" ref="A196:A259" si="59">+A195+1</f>
        <v>195</v>
      </c>
      <c r="B196" s="359" t="str">
        <f>'Front Sheet and Checklist'!$C$5</f>
        <v>Swansea Bay UHB</v>
      </c>
      <c r="C196" s="17"/>
      <c r="D196" s="17"/>
      <c r="E196" s="17"/>
      <c r="F196" s="17"/>
      <c r="G196" s="17"/>
      <c r="H196" s="17"/>
      <c r="I196" s="361">
        <f t="shared" si="49"/>
        <v>0</v>
      </c>
      <c r="J196" s="17"/>
      <c r="K196" s="18"/>
      <c r="L196" s="18"/>
      <c r="M196" s="17"/>
      <c r="N196" s="17"/>
      <c r="O196" s="17"/>
      <c r="P196" s="17"/>
      <c r="Q196" s="169"/>
      <c r="R196" s="24"/>
      <c r="S196" s="24"/>
      <c r="T196" s="24"/>
      <c r="U196" s="25"/>
      <c r="V196" s="25"/>
      <c r="W196" s="25"/>
      <c r="X196" s="24"/>
      <c r="Y196" s="24"/>
      <c r="Z196" s="24"/>
      <c r="AA196" s="24"/>
      <c r="AB196" s="24"/>
      <c r="AC196" s="24"/>
      <c r="AD196" s="361">
        <f t="shared" si="48"/>
        <v>0</v>
      </c>
      <c r="AE196" s="359" t="str">
        <f t="shared" si="51"/>
        <v/>
      </c>
      <c r="AF196" s="359" t="str">
        <f t="shared" ref="AF196:AF259" si="60">IF(COUNTIF($F$2:$F$1001,F196)&gt;1,"ERROR","")</f>
        <v/>
      </c>
      <c r="AG196" s="359" t="str">
        <f t="shared" si="52"/>
        <v/>
      </c>
      <c r="AH196" s="359" t="str">
        <f t="shared" si="53"/>
        <v/>
      </c>
      <c r="AI196" s="359" t="str">
        <f t="shared" si="54"/>
        <v/>
      </c>
      <c r="AJ196" s="359" t="str">
        <f t="shared" si="55"/>
        <v/>
      </c>
      <c r="AK196" s="359" t="str">
        <f t="shared" si="57"/>
        <v/>
      </c>
      <c r="AL196" s="359" t="str">
        <f t="shared" si="56"/>
        <v/>
      </c>
      <c r="AM196" s="359" t="str">
        <f t="shared" si="58"/>
        <v/>
      </c>
      <c r="AN196" s="262">
        <f t="shared" si="47"/>
        <v>0</v>
      </c>
      <c r="AO196" s="262" t="str">
        <f>IFERROR(HLOOKUP(AN196,'Ref Lists'!Q$1:AL$2,2,FALSE),'Ref Lists'!$AK$2)</f>
        <v>Savings21</v>
      </c>
      <c r="AP196" s="38"/>
      <c r="AQ196" s="38">
        <f t="shared" si="50"/>
        <v>0</v>
      </c>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row>
    <row r="197" spans="1:104" s="40" customFormat="1" ht="20.149999999999999" customHeight="1">
      <c r="A197" s="358">
        <f t="shared" si="59"/>
        <v>196</v>
      </c>
      <c r="B197" s="359" t="str">
        <f>'Front Sheet and Checklist'!$C$5</f>
        <v>Swansea Bay UHB</v>
      </c>
      <c r="C197" s="17"/>
      <c r="D197" s="17"/>
      <c r="E197" s="17"/>
      <c r="F197" s="17"/>
      <c r="G197" s="17"/>
      <c r="H197" s="17"/>
      <c r="I197" s="361">
        <f t="shared" si="49"/>
        <v>0</v>
      </c>
      <c r="J197" s="17"/>
      <c r="K197" s="18"/>
      <c r="L197" s="18"/>
      <c r="M197" s="17"/>
      <c r="N197" s="17"/>
      <c r="O197" s="17"/>
      <c r="P197" s="17"/>
      <c r="Q197" s="169"/>
      <c r="R197" s="24"/>
      <c r="S197" s="24"/>
      <c r="T197" s="24"/>
      <c r="U197" s="25"/>
      <c r="V197" s="25"/>
      <c r="W197" s="25"/>
      <c r="X197" s="24"/>
      <c r="Y197" s="24"/>
      <c r="Z197" s="24"/>
      <c r="AA197" s="24"/>
      <c r="AB197" s="24"/>
      <c r="AC197" s="24"/>
      <c r="AD197" s="361">
        <f t="shared" si="48"/>
        <v>0</v>
      </c>
      <c r="AE197" s="359" t="str">
        <f t="shared" si="51"/>
        <v/>
      </c>
      <c r="AF197" s="359" t="str">
        <f t="shared" si="60"/>
        <v/>
      </c>
      <c r="AG197" s="359" t="str">
        <f t="shared" si="52"/>
        <v/>
      </c>
      <c r="AH197" s="359" t="str">
        <f t="shared" si="53"/>
        <v/>
      </c>
      <c r="AI197" s="359" t="str">
        <f t="shared" si="54"/>
        <v/>
      </c>
      <c r="AJ197" s="359" t="str">
        <f t="shared" si="55"/>
        <v/>
      </c>
      <c r="AK197" s="359" t="str">
        <f t="shared" si="57"/>
        <v/>
      </c>
      <c r="AL197" s="359" t="str">
        <f t="shared" si="56"/>
        <v/>
      </c>
      <c r="AM197" s="359" t="str">
        <f t="shared" si="58"/>
        <v/>
      </c>
      <c r="AN197" s="262">
        <f t="shared" ref="AN197:AN260" si="61">IF(P197="1) Workforce",_xlfn.CONCAT(P197,O197),IF(P197="5) Pathway",_xlfn.CONCAT(P197,N197),P197))</f>
        <v>0</v>
      </c>
      <c r="AO197" s="262" t="str">
        <f>IFERROR(HLOOKUP(AN197,'Ref Lists'!Q$1:AL$2,2,FALSE),'Ref Lists'!$AK$2)</f>
        <v>Savings21</v>
      </c>
      <c r="AP197" s="38"/>
      <c r="AQ197" s="38">
        <f t="shared" si="50"/>
        <v>0</v>
      </c>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row>
    <row r="198" spans="1:104" s="40" customFormat="1" ht="20.149999999999999" customHeight="1">
      <c r="A198" s="358">
        <f t="shared" si="59"/>
        <v>197</v>
      </c>
      <c r="B198" s="359" t="str">
        <f>'Front Sheet and Checklist'!$C$5</f>
        <v>Swansea Bay UHB</v>
      </c>
      <c r="C198" s="17"/>
      <c r="D198" s="17"/>
      <c r="E198" s="17"/>
      <c r="F198" s="17"/>
      <c r="G198" s="17"/>
      <c r="H198" s="17"/>
      <c r="I198" s="361">
        <f t="shared" si="49"/>
        <v>0</v>
      </c>
      <c r="J198" s="17"/>
      <c r="K198" s="18"/>
      <c r="L198" s="18"/>
      <c r="M198" s="17"/>
      <c r="N198" s="17"/>
      <c r="O198" s="17"/>
      <c r="P198" s="17"/>
      <c r="Q198" s="169"/>
      <c r="R198" s="24"/>
      <c r="S198" s="24"/>
      <c r="T198" s="24"/>
      <c r="U198" s="25"/>
      <c r="V198" s="25"/>
      <c r="W198" s="25"/>
      <c r="X198" s="24"/>
      <c r="Y198" s="24"/>
      <c r="Z198" s="24"/>
      <c r="AA198" s="24"/>
      <c r="AB198" s="24"/>
      <c r="AC198" s="24"/>
      <c r="AD198" s="361">
        <f t="shared" si="48"/>
        <v>0</v>
      </c>
      <c r="AE198" s="359" t="str">
        <f t="shared" si="51"/>
        <v/>
      </c>
      <c r="AF198" s="359" t="str">
        <f t="shared" si="60"/>
        <v/>
      </c>
      <c r="AG198" s="359" t="str">
        <f t="shared" si="52"/>
        <v/>
      </c>
      <c r="AH198" s="359" t="str">
        <f t="shared" si="53"/>
        <v/>
      </c>
      <c r="AI198" s="359" t="str">
        <f t="shared" si="54"/>
        <v/>
      </c>
      <c r="AJ198" s="359" t="str">
        <f t="shared" si="55"/>
        <v/>
      </c>
      <c r="AK198" s="359" t="str">
        <f t="shared" si="57"/>
        <v/>
      </c>
      <c r="AL198" s="359" t="str">
        <f t="shared" si="56"/>
        <v/>
      </c>
      <c r="AM198" s="359" t="str">
        <f t="shared" si="58"/>
        <v/>
      </c>
      <c r="AN198" s="262">
        <f t="shared" si="61"/>
        <v>0</v>
      </c>
      <c r="AO198" s="262" t="str">
        <f>IFERROR(HLOOKUP(AN198,'Ref Lists'!Q$1:AL$2,2,FALSE),'Ref Lists'!$AK$2)</f>
        <v>Savings21</v>
      </c>
      <c r="AP198" s="38"/>
      <c r="AQ198" s="38">
        <f t="shared" si="50"/>
        <v>0</v>
      </c>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row>
    <row r="199" spans="1:104" s="40" customFormat="1" ht="20.149999999999999" customHeight="1">
      <c r="A199" s="358">
        <f t="shared" si="59"/>
        <v>198</v>
      </c>
      <c r="B199" s="359" t="str">
        <f>'Front Sheet and Checklist'!$C$5</f>
        <v>Swansea Bay UHB</v>
      </c>
      <c r="C199" s="17"/>
      <c r="D199" s="17"/>
      <c r="E199" s="17"/>
      <c r="F199" s="17"/>
      <c r="G199" s="17"/>
      <c r="H199" s="17"/>
      <c r="I199" s="361">
        <f t="shared" si="49"/>
        <v>0</v>
      </c>
      <c r="J199" s="17"/>
      <c r="K199" s="18"/>
      <c r="L199" s="18"/>
      <c r="M199" s="17"/>
      <c r="N199" s="17"/>
      <c r="O199" s="17"/>
      <c r="P199" s="17"/>
      <c r="Q199" s="169"/>
      <c r="R199" s="24"/>
      <c r="S199" s="24"/>
      <c r="T199" s="24"/>
      <c r="U199" s="25"/>
      <c r="V199" s="25"/>
      <c r="W199" s="25"/>
      <c r="X199" s="24"/>
      <c r="Y199" s="24"/>
      <c r="Z199" s="24"/>
      <c r="AA199" s="24"/>
      <c r="AB199" s="24"/>
      <c r="AC199" s="24"/>
      <c r="AD199" s="361">
        <f t="shared" si="48"/>
        <v>0</v>
      </c>
      <c r="AE199" s="359" t="str">
        <f t="shared" si="51"/>
        <v/>
      </c>
      <c r="AF199" s="359" t="str">
        <f t="shared" si="60"/>
        <v/>
      </c>
      <c r="AG199" s="359" t="str">
        <f t="shared" si="52"/>
        <v/>
      </c>
      <c r="AH199" s="359" t="str">
        <f t="shared" si="53"/>
        <v/>
      </c>
      <c r="AI199" s="359" t="str">
        <f t="shared" si="54"/>
        <v/>
      </c>
      <c r="AJ199" s="359" t="str">
        <f t="shared" si="55"/>
        <v/>
      </c>
      <c r="AK199" s="359" t="str">
        <f t="shared" si="57"/>
        <v/>
      </c>
      <c r="AL199" s="359" t="str">
        <f t="shared" si="56"/>
        <v/>
      </c>
      <c r="AM199" s="359" t="str">
        <f t="shared" si="58"/>
        <v/>
      </c>
      <c r="AN199" s="262">
        <f t="shared" si="61"/>
        <v>0</v>
      </c>
      <c r="AO199" s="262" t="str">
        <f>IFERROR(HLOOKUP(AN199,'Ref Lists'!Q$1:AL$2,2,FALSE),'Ref Lists'!$AK$2)</f>
        <v>Savings21</v>
      </c>
      <c r="AP199" s="38"/>
      <c r="AQ199" s="38">
        <f t="shared" si="50"/>
        <v>0</v>
      </c>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row>
    <row r="200" spans="1:104" s="40" customFormat="1" ht="20.149999999999999" customHeight="1">
      <c r="A200" s="358">
        <f t="shared" si="59"/>
        <v>199</v>
      </c>
      <c r="B200" s="359" t="str">
        <f>'Front Sheet and Checklist'!$C$5</f>
        <v>Swansea Bay UHB</v>
      </c>
      <c r="C200" s="17"/>
      <c r="D200" s="17"/>
      <c r="E200" s="17"/>
      <c r="F200" s="17"/>
      <c r="G200" s="17"/>
      <c r="H200" s="17"/>
      <c r="I200" s="361">
        <f t="shared" si="49"/>
        <v>0</v>
      </c>
      <c r="J200" s="17"/>
      <c r="K200" s="18"/>
      <c r="L200" s="18"/>
      <c r="M200" s="17"/>
      <c r="N200" s="17"/>
      <c r="O200" s="17"/>
      <c r="P200" s="17"/>
      <c r="Q200" s="169"/>
      <c r="R200" s="24"/>
      <c r="S200" s="24"/>
      <c r="T200" s="24"/>
      <c r="U200" s="25"/>
      <c r="V200" s="25"/>
      <c r="W200" s="25"/>
      <c r="X200" s="24"/>
      <c r="Y200" s="24"/>
      <c r="Z200" s="24"/>
      <c r="AA200" s="24"/>
      <c r="AB200" s="24"/>
      <c r="AC200" s="24"/>
      <c r="AD200" s="361">
        <f t="shared" si="48"/>
        <v>0</v>
      </c>
      <c r="AE200" s="359" t="str">
        <f t="shared" si="51"/>
        <v/>
      </c>
      <c r="AF200" s="359" t="str">
        <f t="shared" si="60"/>
        <v/>
      </c>
      <c r="AG200" s="359" t="str">
        <f t="shared" si="52"/>
        <v/>
      </c>
      <c r="AH200" s="359" t="str">
        <f t="shared" si="53"/>
        <v/>
      </c>
      <c r="AI200" s="359" t="str">
        <f t="shared" si="54"/>
        <v/>
      </c>
      <c r="AJ200" s="359" t="str">
        <f t="shared" si="55"/>
        <v/>
      </c>
      <c r="AK200" s="359" t="str">
        <f t="shared" si="57"/>
        <v/>
      </c>
      <c r="AL200" s="359" t="str">
        <f t="shared" si="56"/>
        <v/>
      </c>
      <c r="AM200" s="359" t="str">
        <f t="shared" si="58"/>
        <v/>
      </c>
      <c r="AN200" s="262">
        <f t="shared" si="61"/>
        <v>0</v>
      </c>
      <c r="AO200" s="262" t="str">
        <f>IFERROR(HLOOKUP(AN200,'Ref Lists'!Q$1:AL$2,2,FALSE),'Ref Lists'!$AK$2)</f>
        <v>Savings21</v>
      </c>
      <c r="AP200" s="38"/>
      <c r="AQ200" s="38">
        <f t="shared" si="50"/>
        <v>0</v>
      </c>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row>
    <row r="201" spans="1:104" s="40" customFormat="1" ht="20.149999999999999" customHeight="1">
      <c r="A201" s="358">
        <f t="shared" si="59"/>
        <v>200</v>
      </c>
      <c r="B201" s="359" t="str">
        <f>'Front Sheet and Checklist'!$C$5</f>
        <v>Swansea Bay UHB</v>
      </c>
      <c r="C201" s="17"/>
      <c r="D201" s="17"/>
      <c r="E201" s="17"/>
      <c r="F201" s="17"/>
      <c r="G201" s="17"/>
      <c r="H201" s="17"/>
      <c r="I201" s="361">
        <f t="shared" si="49"/>
        <v>0</v>
      </c>
      <c r="J201" s="17"/>
      <c r="K201" s="18"/>
      <c r="L201" s="18"/>
      <c r="M201" s="17"/>
      <c r="N201" s="17"/>
      <c r="O201" s="17"/>
      <c r="P201" s="17"/>
      <c r="Q201" s="169"/>
      <c r="R201" s="24"/>
      <c r="S201" s="24"/>
      <c r="T201" s="24"/>
      <c r="U201" s="25"/>
      <c r="V201" s="25"/>
      <c r="W201" s="25"/>
      <c r="X201" s="24"/>
      <c r="Y201" s="24"/>
      <c r="Z201" s="24"/>
      <c r="AA201" s="24"/>
      <c r="AB201" s="24"/>
      <c r="AC201" s="24"/>
      <c r="AD201" s="361">
        <f t="shared" si="48"/>
        <v>0</v>
      </c>
      <c r="AE201" s="359" t="str">
        <f t="shared" si="51"/>
        <v/>
      </c>
      <c r="AF201" s="359" t="str">
        <f t="shared" si="60"/>
        <v/>
      </c>
      <c r="AG201" s="359" t="str">
        <f t="shared" si="52"/>
        <v/>
      </c>
      <c r="AH201" s="359" t="str">
        <f t="shared" si="53"/>
        <v/>
      </c>
      <c r="AI201" s="359" t="str">
        <f t="shared" si="54"/>
        <v/>
      </c>
      <c r="AJ201" s="359" t="str">
        <f t="shared" si="55"/>
        <v/>
      </c>
      <c r="AK201" s="359" t="str">
        <f t="shared" si="57"/>
        <v/>
      </c>
      <c r="AL201" s="359" t="str">
        <f t="shared" si="56"/>
        <v/>
      </c>
      <c r="AM201" s="359" t="str">
        <f t="shared" si="58"/>
        <v/>
      </c>
      <c r="AN201" s="262">
        <f t="shared" si="61"/>
        <v>0</v>
      </c>
      <c r="AO201" s="262" t="str">
        <f>IFERROR(HLOOKUP(AN201,'Ref Lists'!Q$1:AL$2,2,FALSE),'Ref Lists'!$AK$2)</f>
        <v>Savings21</v>
      </c>
      <c r="AP201" s="38"/>
      <c r="AQ201" s="38">
        <f t="shared" si="50"/>
        <v>0</v>
      </c>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row>
    <row r="202" spans="1:104" s="40" customFormat="1" ht="20.149999999999999" customHeight="1">
      <c r="A202" s="358">
        <f t="shared" si="59"/>
        <v>201</v>
      </c>
      <c r="B202" s="359" t="str">
        <f>'Front Sheet and Checklist'!$C$5</f>
        <v>Swansea Bay UHB</v>
      </c>
      <c r="C202" s="17"/>
      <c r="D202" s="17"/>
      <c r="E202" s="17"/>
      <c r="F202" s="17"/>
      <c r="G202" s="17"/>
      <c r="H202" s="17"/>
      <c r="I202" s="361">
        <f t="shared" si="49"/>
        <v>0</v>
      </c>
      <c r="J202" s="17"/>
      <c r="K202" s="18"/>
      <c r="L202" s="18"/>
      <c r="M202" s="17"/>
      <c r="N202" s="17"/>
      <c r="O202" s="17"/>
      <c r="P202" s="17"/>
      <c r="Q202" s="169"/>
      <c r="R202" s="24"/>
      <c r="S202" s="24"/>
      <c r="T202" s="24"/>
      <c r="U202" s="25"/>
      <c r="V202" s="25"/>
      <c r="W202" s="25"/>
      <c r="X202" s="24"/>
      <c r="Y202" s="24"/>
      <c r="Z202" s="24"/>
      <c r="AA202" s="24"/>
      <c r="AB202" s="24"/>
      <c r="AC202" s="24"/>
      <c r="AD202" s="361">
        <f t="shared" si="48"/>
        <v>0</v>
      </c>
      <c r="AE202" s="359" t="str">
        <f t="shared" si="51"/>
        <v/>
      </c>
      <c r="AF202" s="359" t="str">
        <f t="shared" si="60"/>
        <v/>
      </c>
      <c r="AG202" s="359" t="str">
        <f t="shared" si="52"/>
        <v/>
      </c>
      <c r="AH202" s="359" t="str">
        <f t="shared" si="53"/>
        <v/>
      </c>
      <c r="AI202" s="359" t="str">
        <f t="shared" si="54"/>
        <v/>
      </c>
      <c r="AJ202" s="359" t="str">
        <f t="shared" si="55"/>
        <v/>
      </c>
      <c r="AK202" s="359" t="str">
        <f t="shared" si="57"/>
        <v/>
      </c>
      <c r="AL202" s="359" t="str">
        <f t="shared" si="56"/>
        <v/>
      </c>
      <c r="AM202" s="359" t="str">
        <f t="shared" si="58"/>
        <v/>
      </c>
      <c r="AN202" s="262">
        <f t="shared" si="61"/>
        <v>0</v>
      </c>
      <c r="AO202" s="262" t="str">
        <f>IFERROR(HLOOKUP(AN202,'Ref Lists'!Q$1:AL$2,2,FALSE),'Ref Lists'!$AK$2)</f>
        <v>Savings21</v>
      </c>
      <c r="AP202" s="38"/>
      <c r="AQ202" s="38">
        <f t="shared" si="50"/>
        <v>0</v>
      </c>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row>
    <row r="203" spans="1:104" s="40" customFormat="1" ht="20.149999999999999" customHeight="1">
      <c r="A203" s="358">
        <f t="shared" si="59"/>
        <v>202</v>
      </c>
      <c r="B203" s="359" t="str">
        <f>'Front Sheet and Checklist'!$C$5</f>
        <v>Swansea Bay UHB</v>
      </c>
      <c r="C203" s="17"/>
      <c r="D203" s="17"/>
      <c r="E203" s="17"/>
      <c r="F203" s="17"/>
      <c r="G203" s="17"/>
      <c r="H203" s="17"/>
      <c r="I203" s="361">
        <f t="shared" si="49"/>
        <v>0</v>
      </c>
      <c r="J203" s="17"/>
      <c r="K203" s="18"/>
      <c r="L203" s="18"/>
      <c r="M203" s="17"/>
      <c r="N203" s="17"/>
      <c r="O203" s="17"/>
      <c r="P203" s="17"/>
      <c r="Q203" s="169"/>
      <c r="R203" s="24"/>
      <c r="S203" s="24"/>
      <c r="T203" s="24"/>
      <c r="U203" s="25"/>
      <c r="V203" s="25"/>
      <c r="W203" s="25"/>
      <c r="X203" s="24"/>
      <c r="Y203" s="24"/>
      <c r="Z203" s="24"/>
      <c r="AA203" s="24"/>
      <c r="AB203" s="24"/>
      <c r="AC203" s="24"/>
      <c r="AD203" s="361">
        <f t="shared" si="48"/>
        <v>0</v>
      </c>
      <c r="AE203" s="359" t="str">
        <f t="shared" si="51"/>
        <v/>
      </c>
      <c r="AF203" s="359" t="str">
        <f t="shared" si="60"/>
        <v/>
      </c>
      <c r="AG203" s="359" t="str">
        <f t="shared" si="52"/>
        <v/>
      </c>
      <c r="AH203" s="359" t="str">
        <f t="shared" si="53"/>
        <v/>
      </c>
      <c r="AI203" s="359" t="str">
        <f t="shared" si="54"/>
        <v/>
      </c>
      <c r="AJ203" s="359" t="str">
        <f t="shared" si="55"/>
        <v/>
      </c>
      <c r="AK203" s="359" t="str">
        <f t="shared" si="57"/>
        <v/>
      </c>
      <c r="AL203" s="359" t="str">
        <f t="shared" si="56"/>
        <v/>
      </c>
      <c r="AM203" s="359" t="str">
        <f t="shared" si="58"/>
        <v/>
      </c>
      <c r="AN203" s="262">
        <f t="shared" si="61"/>
        <v>0</v>
      </c>
      <c r="AO203" s="262" t="str">
        <f>IFERROR(HLOOKUP(AN203,'Ref Lists'!Q$1:AL$2,2,FALSE),'Ref Lists'!$AK$2)</f>
        <v>Savings21</v>
      </c>
      <c r="AP203" s="38"/>
      <c r="AQ203" s="38">
        <f t="shared" si="50"/>
        <v>0</v>
      </c>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row>
    <row r="204" spans="1:104" s="40" customFormat="1" ht="20.149999999999999" customHeight="1">
      <c r="A204" s="358">
        <f t="shared" si="59"/>
        <v>203</v>
      </c>
      <c r="B204" s="359" t="str">
        <f>'Front Sheet and Checklist'!$C$5</f>
        <v>Swansea Bay UHB</v>
      </c>
      <c r="C204" s="17"/>
      <c r="D204" s="17"/>
      <c r="E204" s="17"/>
      <c r="F204" s="17"/>
      <c r="G204" s="17"/>
      <c r="H204" s="17"/>
      <c r="I204" s="361">
        <f t="shared" si="49"/>
        <v>0</v>
      </c>
      <c r="J204" s="17"/>
      <c r="K204" s="18"/>
      <c r="L204" s="18"/>
      <c r="M204" s="17"/>
      <c r="N204" s="17"/>
      <c r="O204" s="17"/>
      <c r="P204" s="17"/>
      <c r="Q204" s="169"/>
      <c r="R204" s="24"/>
      <c r="S204" s="24"/>
      <c r="T204" s="24"/>
      <c r="U204" s="25"/>
      <c r="V204" s="25"/>
      <c r="W204" s="25"/>
      <c r="X204" s="24"/>
      <c r="Y204" s="24"/>
      <c r="Z204" s="24"/>
      <c r="AA204" s="24"/>
      <c r="AB204" s="24"/>
      <c r="AC204" s="24"/>
      <c r="AD204" s="361">
        <f t="shared" si="48"/>
        <v>0</v>
      </c>
      <c r="AE204" s="359" t="str">
        <f t="shared" si="51"/>
        <v/>
      </c>
      <c r="AF204" s="359" t="str">
        <f t="shared" si="60"/>
        <v/>
      </c>
      <c r="AG204" s="359" t="str">
        <f t="shared" si="52"/>
        <v/>
      </c>
      <c r="AH204" s="359" t="str">
        <f t="shared" si="53"/>
        <v/>
      </c>
      <c r="AI204" s="359" t="str">
        <f t="shared" si="54"/>
        <v/>
      </c>
      <c r="AJ204" s="359" t="str">
        <f t="shared" si="55"/>
        <v/>
      </c>
      <c r="AK204" s="359" t="str">
        <f t="shared" si="57"/>
        <v/>
      </c>
      <c r="AL204" s="359" t="str">
        <f t="shared" si="56"/>
        <v/>
      </c>
      <c r="AM204" s="359" t="str">
        <f t="shared" si="58"/>
        <v/>
      </c>
      <c r="AN204" s="262">
        <f t="shared" si="61"/>
        <v>0</v>
      </c>
      <c r="AO204" s="262" t="str">
        <f>IFERROR(HLOOKUP(AN204,'Ref Lists'!Q$1:AL$2,2,FALSE),'Ref Lists'!$AK$2)</f>
        <v>Savings21</v>
      </c>
      <c r="AP204" s="38"/>
      <c r="AQ204" s="38">
        <f t="shared" si="50"/>
        <v>0</v>
      </c>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row>
    <row r="205" spans="1:104" s="40" customFormat="1" ht="20.149999999999999" customHeight="1">
      <c r="A205" s="358">
        <f t="shared" si="59"/>
        <v>204</v>
      </c>
      <c r="B205" s="359" t="str">
        <f>'Front Sheet and Checklist'!$C$5</f>
        <v>Swansea Bay UHB</v>
      </c>
      <c r="C205" s="17"/>
      <c r="D205" s="17"/>
      <c r="E205" s="17"/>
      <c r="F205" s="17"/>
      <c r="G205" s="17"/>
      <c r="H205" s="17"/>
      <c r="I205" s="361">
        <f t="shared" si="49"/>
        <v>0</v>
      </c>
      <c r="J205" s="17"/>
      <c r="K205" s="18"/>
      <c r="L205" s="18"/>
      <c r="M205" s="17"/>
      <c r="N205" s="17"/>
      <c r="O205" s="17"/>
      <c r="P205" s="17"/>
      <c r="Q205" s="169"/>
      <c r="R205" s="24"/>
      <c r="S205" s="24"/>
      <c r="T205" s="24"/>
      <c r="U205" s="25"/>
      <c r="V205" s="25"/>
      <c r="W205" s="25"/>
      <c r="X205" s="24"/>
      <c r="Y205" s="24"/>
      <c r="Z205" s="24"/>
      <c r="AA205" s="24"/>
      <c r="AB205" s="24"/>
      <c r="AC205" s="24"/>
      <c r="AD205" s="361">
        <f t="shared" si="48"/>
        <v>0</v>
      </c>
      <c r="AE205" s="359" t="str">
        <f t="shared" si="51"/>
        <v/>
      </c>
      <c r="AF205" s="359" t="str">
        <f t="shared" si="60"/>
        <v/>
      </c>
      <c r="AG205" s="359" t="str">
        <f t="shared" si="52"/>
        <v/>
      </c>
      <c r="AH205" s="359" t="str">
        <f t="shared" si="53"/>
        <v/>
      </c>
      <c r="AI205" s="359" t="str">
        <f t="shared" si="54"/>
        <v/>
      </c>
      <c r="AJ205" s="359" t="str">
        <f t="shared" si="55"/>
        <v/>
      </c>
      <c r="AK205" s="359" t="str">
        <f t="shared" si="57"/>
        <v/>
      </c>
      <c r="AL205" s="359" t="str">
        <f t="shared" si="56"/>
        <v/>
      </c>
      <c r="AM205" s="359" t="str">
        <f t="shared" si="58"/>
        <v/>
      </c>
      <c r="AN205" s="262">
        <f t="shared" si="61"/>
        <v>0</v>
      </c>
      <c r="AO205" s="262" t="str">
        <f>IFERROR(HLOOKUP(AN205,'Ref Lists'!Q$1:AL$2,2,FALSE),'Ref Lists'!$AK$2)</f>
        <v>Savings21</v>
      </c>
      <c r="AP205" s="38"/>
      <c r="AQ205" s="38">
        <f t="shared" si="50"/>
        <v>0</v>
      </c>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row>
    <row r="206" spans="1:104" s="40" customFormat="1" ht="20.149999999999999" customHeight="1">
      <c r="A206" s="358">
        <f t="shared" si="59"/>
        <v>205</v>
      </c>
      <c r="B206" s="359" t="str">
        <f>'Front Sheet and Checklist'!$C$5</f>
        <v>Swansea Bay UHB</v>
      </c>
      <c r="C206" s="17"/>
      <c r="D206" s="17"/>
      <c r="E206" s="17"/>
      <c r="F206" s="17"/>
      <c r="G206" s="17"/>
      <c r="H206" s="17"/>
      <c r="I206" s="361">
        <f t="shared" si="49"/>
        <v>0</v>
      </c>
      <c r="J206" s="17"/>
      <c r="K206" s="18"/>
      <c r="L206" s="18"/>
      <c r="M206" s="17"/>
      <c r="N206" s="17"/>
      <c r="O206" s="17"/>
      <c r="P206" s="17"/>
      <c r="Q206" s="169"/>
      <c r="R206" s="24"/>
      <c r="S206" s="24"/>
      <c r="T206" s="24"/>
      <c r="U206" s="25"/>
      <c r="V206" s="25"/>
      <c r="W206" s="25"/>
      <c r="X206" s="24"/>
      <c r="Y206" s="24"/>
      <c r="Z206" s="24"/>
      <c r="AA206" s="24"/>
      <c r="AB206" s="24"/>
      <c r="AC206" s="24"/>
      <c r="AD206" s="361">
        <f t="shared" si="48"/>
        <v>0</v>
      </c>
      <c r="AE206" s="359" t="str">
        <f t="shared" si="51"/>
        <v/>
      </c>
      <c r="AF206" s="359" t="str">
        <f t="shared" si="60"/>
        <v/>
      </c>
      <c r="AG206" s="359" t="str">
        <f t="shared" si="52"/>
        <v/>
      </c>
      <c r="AH206" s="359" t="str">
        <f t="shared" si="53"/>
        <v/>
      </c>
      <c r="AI206" s="359" t="str">
        <f t="shared" si="54"/>
        <v/>
      </c>
      <c r="AJ206" s="359" t="str">
        <f t="shared" si="55"/>
        <v/>
      </c>
      <c r="AK206" s="359" t="str">
        <f t="shared" si="57"/>
        <v/>
      </c>
      <c r="AL206" s="359" t="str">
        <f t="shared" si="56"/>
        <v/>
      </c>
      <c r="AM206" s="359" t="str">
        <f t="shared" si="58"/>
        <v/>
      </c>
      <c r="AN206" s="262">
        <f t="shared" si="61"/>
        <v>0</v>
      </c>
      <c r="AO206" s="262" t="str">
        <f>IFERROR(HLOOKUP(AN206,'Ref Lists'!Q$1:AL$2,2,FALSE),'Ref Lists'!$AK$2)</f>
        <v>Savings21</v>
      </c>
      <c r="AP206" s="38"/>
      <c r="AQ206" s="38">
        <f t="shared" si="50"/>
        <v>0</v>
      </c>
      <c r="AR206" s="38"/>
      <c r="AS206" s="38"/>
      <c r="AT206" s="38"/>
      <c r="AU206" s="38"/>
      <c r="AV206" s="38"/>
      <c r="AW206" s="38"/>
      <c r="AX206" s="38"/>
      <c r="AY206" s="38"/>
      <c r="AZ206" s="38"/>
      <c r="BA206" s="38"/>
      <c r="BB206" s="38"/>
      <c r="BC206" s="38"/>
      <c r="BD206" s="38"/>
      <c r="BE206" s="38"/>
      <c r="BF206" s="38"/>
      <c r="BG206" s="38"/>
      <c r="BH206" s="38"/>
      <c r="BI206" s="38"/>
      <c r="BJ206" s="38"/>
      <c r="BK206" s="38"/>
      <c r="BL206" s="38"/>
      <c r="BM206" s="38"/>
      <c r="BN206" s="38"/>
      <c r="BO206" s="38"/>
      <c r="BP206" s="38"/>
      <c r="BQ206" s="38"/>
      <c r="BR206" s="38"/>
      <c r="BS206" s="38"/>
      <c r="BT206" s="38"/>
      <c r="BU206" s="38"/>
      <c r="BV206" s="38"/>
      <c r="BW206" s="38"/>
      <c r="BX206" s="38"/>
      <c r="BY206" s="38"/>
      <c r="BZ206" s="38"/>
      <c r="CA206" s="38"/>
      <c r="CB206" s="38"/>
      <c r="CC206" s="38"/>
      <c r="CD206" s="38"/>
      <c r="CE206" s="38"/>
      <c r="CF206" s="38"/>
      <c r="CG206" s="38"/>
      <c r="CH206" s="38"/>
      <c r="CI206" s="38"/>
      <c r="CJ206" s="38"/>
      <c r="CK206" s="38"/>
      <c r="CL206" s="38"/>
      <c r="CM206" s="38"/>
      <c r="CN206" s="38"/>
      <c r="CO206" s="38"/>
      <c r="CP206" s="38"/>
      <c r="CQ206" s="38"/>
      <c r="CR206" s="38"/>
      <c r="CS206" s="38"/>
      <c r="CT206" s="38"/>
      <c r="CU206" s="38"/>
      <c r="CV206" s="38"/>
      <c r="CW206" s="38"/>
      <c r="CX206" s="38"/>
      <c r="CY206" s="38"/>
      <c r="CZ206" s="38"/>
    </row>
    <row r="207" spans="1:104" s="40" customFormat="1" ht="20.149999999999999" customHeight="1">
      <c r="A207" s="358">
        <f t="shared" si="59"/>
        <v>206</v>
      </c>
      <c r="B207" s="359" t="str">
        <f>'Front Sheet and Checklist'!$C$5</f>
        <v>Swansea Bay UHB</v>
      </c>
      <c r="C207" s="17"/>
      <c r="D207" s="17"/>
      <c r="E207" s="17"/>
      <c r="F207" s="17"/>
      <c r="G207" s="17"/>
      <c r="H207" s="17"/>
      <c r="I207" s="361">
        <f t="shared" si="49"/>
        <v>0</v>
      </c>
      <c r="J207" s="17"/>
      <c r="K207" s="18"/>
      <c r="L207" s="18"/>
      <c r="M207" s="17"/>
      <c r="N207" s="17"/>
      <c r="O207" s="17"/>
      <c r="P207" s="17"/>
      <c r="Q207" s="169"/>
      <c r="R207" s="24"/>
      <c r="S207" s="24"/>
      <c r="T207" s="24"/>
      <c r="U207" s="25"/>
      <c r="V207" s="25"/>
      <c r="W207" s="25"/>
      <c r="X207" s="24"/>
      <c r="Y207" s="24"/>
      <c r="Z207" s="24"/>
      <c r="AA207" s="24"/>
      <c r="AB207" s="24"/>
      <c r="AC207" s="24"/>
      <c r="AD207" s="361">
        <f t="shared" si="48"/>
        <v>0</v>
      </c>
      <c r="AE207" s="359" t="str">
        <f t="shared" si="51"/>
        <v/>
      </c>
      <c r="AF207" s="359" t="str">
        <f t="shared" si="60"/>
        <v/>
      </c>
      <c r="AG207" s="359" t="str">
        <f t="shared" si="52"/>
        <v/>
      </c>
      <c r="AH207" s="359" t="str">
        <f t="shared" si="53"/>
        <v/>
      </c>
      <c r="AI207" s="359" t="str">
        <f t="shared" si="54"/>
        <v/>
      </c>
      <c r="AJ207" s="359" t="str">
        <f t="shared" si="55"/>
        <v/>
      </c>
      <c r="AK207" s="359" t="str">
        <f t="shared" si="57"/>
        <v/>
      </c>
      <c r="AL207" s="359" t="str">
        <f t="shared" si="56"/>
        <v/>
      </c>
      <c r="AM207" s="359" t="str">
        <f t="shared" si="58"/>
        <v/>
      </c>
      <c r="AN207" s="262">
        <f t="shared" si="61"/>
        <v>0</v>
      </c>
      <c r="AO207" s="262" t="str">
        <f>IFERROR(HLOOKUP(AN207,'Ref Lists'!Q$1:AL$2,2,FALSE),'Ref Lists'!$AK$2)</f>
        <v>Savings21</v>
      </c>
      <c r="AP207" s="38"/>
      <c r="AQ207" s="38">
        <f t="shared" si="50"/>
        <v>0</v>
      </c>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38"/>
      <c r="BZ207" s="38"/>
      <c r="CA207" s="38"/>
      <c r="CB207" s="38"/>
      <c r="CC207" s="38"/>
      <c r="CD207" s="38"/>
      <c r="CE207" s="38"/>
      <c r="CF207" s="38"/>
      <c r="CG207" s="38"/>
      <c r="CH207" s="38"/>
      <c r="CI207" s="38"/>
      <c r="CJ207" s="38"/>
      <c r="CK207" s="38"/>
      <c r="CL207" s="38"/>
      <c r="CM207" s="38"/>
      <c r="CN207" s="38"/>
      <c r="CO207" s="38"/>
      <c r="CP207" s="38"/>
      <c r="CQ207" s="38"/>
      <c r="CR207" s="38"/>
      <c r="CS207" s="38"/>
      <c r="CT207" s="38"/>
      <c r="CU207" s="38"/>
      <c r="CV207" s="38"/>
      <c r="CW207" s="38"/>
      <c r="CX207" s="38"/>
      <c r="CY207" s="38"/>
      <c r="CZ207" s="38"/>
    </row>
    <row r="208" spans="1:104" s="40" customFormat="1" ht="20.149999999999999" customHeight="1">
      <c r="A208" s="358">
        <f t="shared" si="59"/>
        <v>207</v>
      </c>
      <c r="B208" s="359" t="str">
        <f>'Front Sheet and Checklist'!$C$5</f>
        <v>Swansea Bay UHB</v>
      </c>
      <c r="C208" s="17"/>
      <c r="D208" s="17"/>
      <c r="E208" s="17"/>
      <c r="F208" s="17"/>
      <c r="G208" s="17"/>
      <c r="H208" s="17"/>
      <c r="I208" s="361">
        <f t="shared" si="49"/>
        <v>0</v>
      </c>
      <c r="J208" s="17"/>
      <c r="K208" s="18"/>
      <c r="L208" s="18"/>
      <c r="M208" s="17"/>
      <c r="N208" s="17"/>
      <c r="O208" s="17"/>
      <c r="P208" s="17"/>
      <c r="Q208" s="169"/>
      <c r="R208" s="24"/>
      <c r="S208" s="24"/>
      <c r="T208" s="24"/>
      <c r="U208" s="25"/>
      <c r="V208" s="25"/>
      <c r="W208" s="25"/>
      <c r="X208" s="24"/>
      <c r="Y208" s="24"/>
      <c r="Z208" s="24"/>
      <c r="AA208" s="24"/>
      <c r="AB208" s="24"/>
      <c r="AC208" s="24"/>
      <c r="AD208" s="361">
        <f t="shared" si="48"/>
        <v>0</v>
      </c>
      <c r="AE208" s="359" t="str">
        <f t="shared" si="51"/>
        <v/>
      </c>
      <c r="AF208" s="359" t="str">
        <f t="shared" si="60"/>
        <v/>
      </c>
      <c r="AG208" s="359" t="str">
        <f t="shared" si="52"/>
        <v/>
      </c>
      <c r="AH208" s="359" t="str">
        <f t="shared" si="53"/>
        <v/>
      </c>
      <c r="AI208" s="359" t="str">
        <f t="shared" si="54"/>
        <v/>
      </c>
      <c r="AJ208" s="359" t="str">
        <f t="shared" si="55"/>
        <v/>
      </c>
      <c r="AK208" s="359" t="str">
        <f t="shared" si="57"/>
        <v/>
      </c>
      <c r="AL208" s="359" t="str">
        <f t="shared" si="56"/>
        <v/>
      </c>
      <c r="AM208" s="359" t="str">
        <f t="shared" si="58"/>
        <v/>
      </c>
      <c r="AN208" s="262">
        <f t="shared" si="61"/>
        <v>0</v>
      </c>
      <c r="AO208" s="262" t="str">
        <f>IFERROR(HLOOKUP(AN208,'Ref Lists'!Q$1:AL$2,2,FALSE),'Ref Lists'!$AK$2)</f>
        <v>Savings21</v>
      </c>
      <c r="AP208" s="38"/>
      <c r="AQ208" s="38">
        <f t="shared" si="50"/>
        <v>0</v>
      </c>
      <c r="AR208" s="38"/>
      <c r="AS208" s="38"/>
      <c r="AT208" s="38"/>
      <c r="AU208" s="38"/>
      <c r="AV208" s="38"/>
      <c r="AW208" s="38"/>
      <c r="AX208" s="38"/>
      <c r="AY208" s="38"/>
      <c r="AZ208" s="38"/>
      <c r="BA208" s="38"/>
      <c r="BB208" s="38"/>
      <c r="BC208" s="38"/>
      <c r="BD208" s="38"/>
      <c r="BE208" s="38"/>
      <c r="BF208" s="38"/>
      <c r="BG208" s="38"/>
      <c r="BH208" s="38"/>
      <c r="BI208" s="38"/>
      <c r="BJ208" s="38"/>
      <c r="BK208" s="38"/>
      <c r="BL208" s="38"/>
      <c r="BM208" s="38"/>
      <c r="BN208" s="38"/>
      <c r="BO208" s="38"/>
      <c r="BP208" s="38"/>
      <c r="BQ208" s="38"/>
      <c r="BR208" s="38"/>
      <c r="BS208" s="38"/>
      <c r="BT208" s="38"/>
      <c r="BU208" s="38"/>
      <c r="BV208" s="38"/>
      <c r="BW208" s="38"/>
      <c r="BX208" s="38"/>
      <c r="BY208" s="38"/>
      <c r="BZ208" s="38"/>
      <c r="CA208" s="38"/>
      <c r="CB208" s="38"/>
      <c r="CC208" s="38"/>
      <c r="CD208" s="38"/>
      <c r="CE208" s="38"/>
      <c r="CF208" s="38"/>
      <c r="CG208" s="38"/>
      <c r="CH208" s="38"/>
      <c r="CI208" s="38"/>
      <c r="CJ208" s="38"/>
      <c r="CK208" s="38"/>
      <c r="CL208" s="38"/>
      <c r="CM208" s="38"/>
      <c r="CN208" s="38"/>
      <c r="CO208" s="38"/>
      <c r="CP208" s="38"/>
      <c r="CQ208" s="38"/>
      <c r="CR208" s="38"/>
      <c r="CS208" s="38"/>
      <c r="CT208" s="38"/>
      <c r="CU208" s="38"/>
      <c r="CV208" s="38"/>
      <c r="CW208" s="38"/>
      <c r="CX208" s="38"/>
      <c r="CY208" s="38"/>
      <c r="CZ208" s="38"/>
    </row>
    <row r="209" spans="1:104" s="40" customFormat="1" ht="20.149999999999999" customHeight="1">
      <c r="A209" s="358">
        <f t="shared" si="59"/>
        <v>208</v>
      </c>
      <c r="B209" s="359" t="str">
        <f>'Front Sheet and Checklist'!$C$5</f>
        <v>Swansea Bay UHB</v>
      </c>
      <c r="C209" s="17"/>
      <c r="D209" s="17"/>
      <c r="E209" s="17"/>
      <c r="F209" s="17"/>
      <c r="G209" s="17"/>
      <c r="H209" s="17"/>
      <c r="I209" s="361">
        <f t="shared" si="49"/>
        <v>0</v>
      </c>
      <c r="J209" s="17"/>
      <c r="K209" s="18"/>
      <c r="L209" s="18"/>
      <c r="M209" s="17"/>
      <c r="N209" s="17"/>
      <c r="O209" s="17"/>
      <c r="P209" s="17"/>
      <c r="Q209" s="169"/>
      <c r="R209" s="24"/>
      <c r="S209" s="24"/>
      <c r="T209" s="24"/>
      <c r="U209" s="25"/>
      <c r="V209" s="25"/>
      <c r="W209" s="25"/>
      <c r="X209" s="24"/>
      <c r="Y209" s="24"/>
      <c r="Z209" s="24"/>
      <c r="AA209" s="24"/>
      <c r="AB209" s="24"/>
      <c r="AC209" s="24"/>
      <c r="AD209" s="361">
        <f t="shared" si="48"/>
        <v>0</v>
      </c>
      <c r="AE209" s="359" t="str">
        <f t="shared" si="51"/>
        <v/>
      </c>
      <c r="AF209" s="359" t="str">
        <f t="shared" si="60"/>
        <v/>
      </c>
      <c r="AG209" s="359" t="str">
        <f t="shared" si="52"/>
        <v/>
      </c>
      <c r="AH209" s="359" t="str">
        <f t="shared" si="53"/>
        <v/>
      </c>
      <c r="AI209" s="359" t="str">
        <f t="shared" si="54"/>
        <v/>
      </c>
      <c r="AJ209" s="359" t="str">
        <f t="shared" si="55"/>
        <v/>
      </c>
      <c r="AK209" s="359" t="str">
        <f t="shared" si="57"/>
        <v/>
      </c>
      <c r="AL209" s="359" t="str">
        <f t="shared" si="56"/>
        <v/>
      </c>
      <c r="AM209" s="359" t="str">
        <f t="shared" si="58"/>
        <v/>
      </c>
      <c r="AN209" s="262">
        <f t="shared" si="61"/>
        <v>0</v>
      </c>
      <c r="AO209" s="262" t="str">
        <f>IFERROR(HLOOKUP(AN209,'Ref Lists'!Q$1:AL$2,2,FALSE),'Ref Lists'!$AK$2)</f>
        <v>Savings21</v>
      </c>
      <c r="AP209" s="38"/>
      <c r="AQ209" s="38">
        <f t="shared" si="50"/>
        <v>0</v>
      </c>
      <c r="AR209" s="38"/>
      <c r="AS209" s="38"/>
      <c r="AT209" s="38"/>
      <c r="AU209" s="38"/>
      <c r="AV209" s="38"/>
      <c r="AW209" s="38"/>
      <c r="AX209" s="38"/>
      <c r="AY209" s="38"/>
      <c r="AZ209" s="38"/>
      <c r="BA209" s="38"/>
      <c r="BB209" s="38"/>
      <c r="BC209" s="38"/>
      <c r="BD209" s="38"/>
      <c r="BE209" s="38"/>
      <c r="BF209" s="38"/>
      <c r="BG209" s="38"/>
      <c r="BH209" s="38"/>
      <c r="BI209" s="38"/>
      <c r="BJ209" s="38"/>
      <c r="BK209" s="38"/>
      <c r="BL209" s="38"/>
      <c r="BM209" s="38"/>
      <c r="BN209" s="38"/>
      <c r="BO209" s="38"/>
      <c r="BP209" s="38"/>
      <c r="BQ209" s="38"/>
      <c r="BR209" s="38"/>
      <c r="BS209" s="38"/>
      <c r="BT209" s="38"/>
      <c r="BU209" s="38"/>
      <c r="BV209" s="38"/>
      <c r="BW209" s="38"/>
      <c r="BX209" s="38"/>
      <c r="BY209" s="38"/>
      <c r="BZ209" s="38"/>
      <c r="CA209" s="38"/>
      <c r="CB209" s="38"/>
      <c r="CC209" s="38"/>
      <c r="CD209" s="38"/>
      <c r="CE209" s="38"/>
      <c r="CF209" s="38"/>
      <c r="CG209" s="38"/>
      <c r="CH209" s="38"/>
      <c r="CI209" s="38"/>
      <c r="CJ209" s="38"/>
      <c r="CK209" s="38"/>
      <c r="CL209" s="38"/>
      <c r="CM209" s="38"/>
      <c r="CN209" s="38"/>
      <c r="CO209" s="38"/>
      <c r="CP209" s="38"/>
      <c r="CQ209" s="38"/>
      <c r="CR209" s="38"/>
      <c r="CS209" s="38"/>
      <c r="CT209" s="38"/>
      <c r="CU209" s="38"/>
      <c r="CV209" s="38"/>
      <c r="CW209" s="38"/>
      <c r="CX209" s="38"/>
      <c r="CY209" s="38"/>
      <c r="CZ209" s="38"/>
    </row>
    <row r="210" spans="1:104" s="40" customFormat="1" ht="20.149999999999999" customHeight="1">
      <c r="A210" s="358">
        <f t="shared" si="59"/>
        <v>209</v>
      </c>
      <c r="B210" s="359" t="str">
        <f>'Front Sheet and Checklist'!$C$5</f>
        <v>Swansea Bay UHB</v>
      </c>
      <c r="C210" s="17"/>
      <c r="D210" s="17"/>
      <c r="E210" s="17"/>
      <c r="F210" s="17"/>
      <c r="G210" s="17"/>
      <c r="H210" s="17"/>
      <c r="I210" s="361">
        <f t="shared" si="49"/>
        <v>0</v>
      </c>
      <c r="J210" s="17"/>
      <c r="K210" s="18"/>
      <c r="L210" s="18"/>
      <c r="M210" s="17"/>
      <c r="N210" s="17"/>
      <c r="O210" s="17"/>
      <c r="P210" s="17"/>
      <c r="Q210" s="169"/>
      <c r="R210" s="24"/>
      <c r="S210" s="24"/>
      <c r="T210" s="24"/>
      <c r="U210" s="25"/>
      <c r="V210" s="25"/>
      <c r="W210" s="25"/>
      <c r="X210" s="24"/>
      <c r="Y210" s="24"/>
      <c r="Z210" s="24"/>
      <c r="AA210" s="24"/>
      <c r="AB210" s="24"/>
      <c r="AC210" s="24"/>
      <c r="AD210" s="361">
        <f t="shared" si="48"/>
        <v>0</v>
      </c>
      <c r="AE210" s="359" t="str">
        <f t="shared" si="51"/>
        <v/>
      </c>
      <c r="AF210" s="359" t="str">
        <f t="shared" si="60"/>
        <v/>
      </c>
      <c r="AG210" s="359" t="str">
        <f t="shared" si="52"/>
        <v/>
      </c>
      <c r="AH210" s="359" t="str">
        <f t="shared" si="53"/>
        <v/>
      </c>
      <c r="AI210" s="359" t="str">
        <f t="shared" si="54"/>
        <v/>
      </c>
      <c r="AJ210" s="359" t="str">
        <f t="shared" si="55"/>
        <v/>
      </c>
      <c r="AK210" s="359" t="str">
        <f t="shared" si="57"/>
        <v/>
      </c>
      <c r="AL210" s="359" t="str">
        <f t="shared" si="56"/>
        <v/>
      </c>
      <c r="AM210" s="359" t="str">
        <f t="shared" si="58"/>
        <v/>
      </c>
      <c r="AN210" s="262">
        <f t="shared" si="61"/>
        <v>0</v>
      </c>
      <c r="AO210" s="262" t="str">
        <f>IFERROR(HLOOKUP(AN210,'Ref Lists'!Q$1:AL$2,2,FALSE),'Ref Lists'!$AK$2)</f>
        <v>Savings21</v>
      </c>
      <c r="AP210" s="38"/>
      <c r="AQ210" s="38">
        <f t="shared" si="50"/>
        <v>0</v>
      </c>
      <c r="AR210" s="38"/>
      <c r="AS210" s="38"/>
      <c r="AT210" s="38"/>
      <c r="AU210" s="38"/>
      <c r="AV210" s="38"/>
      <c r="AW210" s="38"/>
      <c r="AX210" s="38"/>
      <c r="AY210" s="38"/>
      <c r="AZ210" s="38"/>
      <c r="BA210" s="38"/>
      <c r="BB210" s="38"/>
      <c r="BC210" s="38"/>
      <c r="BD210" s="38"/>
      <c r="BE210" s="38"/>
      <c r="BF210" s="38"/>
      <c r="BG210" s="38"/>
      <c r="BH210" s="38"/>
      <c r="BI210" s="38"/>
      <c r="BJ210" s="38"/>
      <c r="BK210" s="38"/>
      <c r="BL210" s="38"/>
      <c r="BM210" s="38"/>
      <c r="BN210" s="38"/>
      <c r="BO210" s="38"/>
      <c r="BP210" s="38"/>
      <c r="BQ210" s="38"/>
      <c r="BR210" s="38"/>
      <c r="BS210" s="38"/>
      <c r="BT210" s="38"/>
      <c r="BU210" s="38"/>
      <c r="BV210" s="38"/>
      <c r="BW210" s="38"/>
      <c r="BX210" s="38"/>
      <c r="BY210" s="38"/>
      <c r="BZ210" s="38"/>
      <c r="CA210" s="38"/>
      <c r="CB210" s="38"/>
      <c r="CC210" s="38"/>
      <c r="CD210" s="38"/>
      <c r="CE210" s="38"/>
      <c r="CF210" s="38"/>
      <c r="CG210" s="38"/>
      <c r="CH210" s="38"/>
      <c r="CI210" s="38"/>
      <c r="CJ210" s="38"/>
      <c r="CK210" s="38"/>
      <c r="CL210" s="38"/>
      <c r="CM210" s="38"/>
      <c r="CN210" s="38"/>
      <c r="CO210" s="38"/>
      <c r="CP210" s="38"/>
      <c r="CQ210" s="38"/>
      <c r="CR210" s="38"/>
      <c r="CS210" s="38"/>
      <c r="CT210" s="38"/>
      <c r="CU210" s="38"/>
      <c r="CV210" s="38"/>
      <c r="CW210" s="38"/>
      <c r="CX210" s="38"/>
      <c r="CY210" s="38"/>
      <c r="CZ210" s="38"/>
    </row>
    <row r="211" spans="1:104" s="40" customFormat="1" ht="20.149999999999999" customHeight="1">
      <c r="A211" s="358">
        <f t="shared" si="59"/>
        <v>210</v>
      </c>
      <c r="B211" s="359" t="str">
        <f>'Front Sheet and Checklist'!$C$5</f>
        <v>Swansea Bay UHB</v>
      </c>
      <c r="C211" s="17"/>
      <c r="D211" s="17"/>
      <c r="E211" s="17"/>
      <c r="F211" s="17"/>
      <c r="G211" s="17"/>
      <c r="H211" s="17"/>
      <c r="I211" s="361">
        <f t="shared" si="49"/>
        <v>0</v>
      </c>
      <c r="J211" s="17"/>
      <c r="K211" s="18"/>
      <c r="L211" s="18"/>
      <c r="M211" s="17"/>
      <c r="N211" s="17"/>
      <c r="O211" s="17"/>
      <c r="P211" s="17"/>
      <c r="Q211" s="169"/>
      <c r="R211" s="24"/>
      <c r="S211" s="24"/>
      <c r="T211" s="24"/>
      <c r="U211" s="25"/>
      <c r="V211" s="25"/>
      <c r="W211" s="25"/>
      <c r="X211" s="24"/>
      <c r="Y211" s="24"/>
      <c r="Z211" s="24"/>
      <c r="AA211" s="24"/>
      <c r="AB211" s="24"/>
      <c r="AC211" s="24"/>
      <c r="AD211" s="361">
        <f t="shared" si="48"/>
        <v>0</v>
      </c>
      <c r="AE211" s="359" t="str">
        <f t="shared" si="51"/>
        <v/>
      </c>
      <c r="AF211" s="359" t="str">
        <f t="shared" si="60"/>
        <v/>
      </c>
      <c r="AG211" s="359" t="str">
        <f t="shared" si="52"/>
        <v/>
      </c>
      <c r="AH211" s="359" t="str">
        <f t="shared" si="53"/>
        <v/>
      </c>
      <c r="AI211" s="359" t="str">
        <f t="shared" si="54"/>
        <v/>
      </c>
      <c r="AJ211" s="359" t="str">
        <f t="shared" si="55"/>
        <v/>
      </c>
      <c r="AK211" s="359" t="str">
        <f t="shared" si="57"/>
        <v/>
      </c>
      <c r="AL211" s="359" t="str">
        <f t="shared" si="56"/>
        <v/>
      </c>
      <c r="AM211" s="359" t="str">
        <f t="shared" si="58"/>
        <v/>
      </c>
      <c r="AN211" s="262">
        <f t="shared" si="61"/>
        <v>0</v>
      </c>
      <c r="AO211" s="262" t="str">
        <f>IFERROR(HLOOKUP(AN211,'Ref Lists'!Q$1:AL$2,2,FALSE),'Ref Lists'!$AK$2)</f>
        <v>Savings21</v>
      </c>
      <c r="AP211" s="38"/>
      <c r="AQ211" s="38">
        <f t="shared" si="50"/>
        <v>0</v>
      </c>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c r="BZ211" s="38"/>
      <c r="CA211" s="38"/>
      <c r="CB211" s="38"/>
      <c r="CC211" s="38"/>
      <c r="CD211" s="38"/>
      <c r="CE211" s="38"/>
      <c r="CF211" s="38"/>
      <c r="CG211" s="38"/>
      <c r="CH211" s="38"/>
      <c r="CI211" s="38"/>
      <c r="CJ211" s="38"/>
      <c r="CK211" s="38"/>
      <c r="CL211" s="38"/>
      <c r="CM211" s="38"/>
      <c r="CN211" s="38"/>
      <c r="CO211" s="38"/>
      <c r="CP211" s="38"/>
      <c r="CQ211" s="38"/>
      <c r="CR211" s="38"/>
      <c r="CS211" s="38"/>
      <c r="CT211" s="38"/>
      <c r="CU211" s="38"/>
      <c r="CV211" s="38"/>
      <c r="CW211" s="38"/>
      <c r="CX211" s="38"/>
      <c r="CY211" s="38"/>
      <c r="CZ211" s="38"/>
    </row>
    <row r="212" spans="1:104" s="40" customFormat="1" ht="20.149999999999999" customHeight="1">
      <c r="A212" s="358">
        <f t="shared" si="59"/>
        <v>211</v>
      </c>
      <c r="B212" s="359" t="str">
        <f>'Front Sheet and Checklist'!$C$5</f>
        <v>Swansea Bay UHB</v>
      </c>
      <c r="C212" s="17"/>
      <c r="D212" s="17"/>
      <c r="E212" s="17"/>
      <c r="F212" s="17"/>
      <c r="G212" s="17"/>
      <c r="H212" s="17"/>
      <c r="I212" s="361">
        <f t="shared" si="49"/>
        <v>0</v>
      </c>
      <c r="J212" s="17"/>
      <c r="K212" s="18"/>
      <c r="L212" s="18"/>
      <c r="M212" s="17"/>
      <c r="N212" s="17"/>
      <c r="O212" s="17"/>
      <c r="P212" s="17"/>
      <c r="Q212" s="169"/>
      <c r="R212" s="24"/>
      <c r="S212" s="24"/>
      <c r="T212" s="24"/>
      <c r="U212" s="25"/>
      <c r="V212" s="25"/>
      <c r="W212" s="25"/>
      <c r="X212" s="24"/>
      <c r="Y212" s="24"/>
      <c r="Z212" s="24"/>
      <c r="AA212" s="24"/>
      <c r="AB212" s="24"/>
      <c r="AC212" s="24"/>
      <c r="AD212" s="361">
        <f t="shared" si="48"/>
        <v>0</v>
      </c>
      <c r="AE212" s="359" t="str">
        <f t="shared" si="51"/>
        <v/>
      </c>
      <c r="AF212" s="359" t="str">
        <f t="shared" si="60"/>
        <v/>
      </c>
      <c r="AG212" s="359" t="str">
        <f t="shared" si="52"/>
        <v/>
      </c>
      <c r="AH212" s="359" t="str">
        <f t="shared" si="53"/>
        <v/>
      </c>
      <c r="AI212" s="359" t="str">
        <f t="shared" si="54"/>
        <v/>
      </c>
      <c r="AJ212" s="359" t="str">
        <f t="shared" si="55"/>
        <v/>
      </c>
      <c r="AK212" s="359" t="str">
        <f t="shared" si="57"/>
        <v/>
      </c>
      <c r="AL212" s="359" t="str">
        <f t="shared" si="56"/>
        <v/>
      </c>
      <c r="AM212" s="359" t="str">
        <f t="shared" si="58"/>
        <v/>
      </c>
      <c r="AN212" s="262">
        <f t="shared" si="61"/>
        <v>0</v>
      </c>
      <c r="AO212" s="262" t="str">
        <f>IFERROR(HLOOKUP(AN212,'Ref Lists'!Q$1:AL$2,2,FALSE),'Ref Lists'!$AK$2)</f>
        <v>Savings21</v>
      </c>
      <c r="AP212" s="38"/>
      <c r="AQ212" s="38">
        <f t="shared" si="50"/>
        <v>0</v>
      </c>
      <c r="AR212" s="38"/>
      <c r="AS212" s="38"/>
      <c r="AT212" s="38"/>
      <c r="AU212" s="38"/>
      <c r="AV212" s="38"/>
      <c r="AW212" s="38"/>
      <c r="AX212" s="38"/>
      <c r="AY212" s="38"/>
      <c r="AZ212" s="38"/>
      <c r="BA212" s="38"/>
      <c r="BB212" s="38"/>
      <c r="BC212" s="38"/>
      <c r="BD212" s="38"/>
      <c r="BE212" s="38"/>
      <c r="BF212" s="38"/>
      <c r="BG212" s="38"/>
      <c r="BH212" s="38"/>
      <c r="BI212" s="38"/>
      <c r="BJ212" s="38"/>
      <c r="BK212" s="38"/>
      <c r="BL212" s="38"/>
      <c r="BM212" s="38"/>
      <c r="BN212" s="38"/>
      <c r="BO212" s="38"/>
      <c r="BP212" s="38"/>
      <c r="BQ212" s="38"/>
      <c r="BR212" s="38"/>
      <c r="BS212" s="38"/>
      <c r="BT212" s="38"/>
      <c r="BU212" s="38"/>
      <c r="BV212" s="38"/>
      <c r="BW212" s="38"/>
      <c r="BX212" s="38"/>
      <c r="BY212" s="38"/>
      <c r="BZ212" s="38"/>
      <c r="CA212" s="38"/>
      <c r="CB212" s="38"/>
      <c r="CC212" s="38"/>
      <c r="CD212" s="38"/>
      <c r="CE212" s="38"/>
      <c r="CF212" s="38"/>
      <c r="CG212" s="38"/>
      <c r="CH212" s="38"/>
      <c r="CI212" s="38"/>
      <c r="CJ212" s="38"/>
      <c r="CK212" s="38"/>
      <c r="CL212" s="38"/>
      <c r="CM212" s="38"/>
      <c r="CN212" s="38"/>
      <c r="CO212" s="38"/>
      <c r="CP212" s="38"/>
      <c r="CQ212" s="38"/>
      <c r="CR212" s="38"/>
      <c r="CS212" s="38"/>
      <c r="CT212" s="38"/>
      <c r="CU212" s="38"/>
      <c r="CV212" s="38"/>
      <c r="CW212" s="38"/>
      <c r="CX212" s="38"/>
      <c r="CY212" s="38"/>
      <c r="CZ212" s="38"/>
    </row>
    <row r="213" spans="1:104" s="40" customFormat="1" ht="20.149999999999999" customHeight="1">
      <c r="A213" s="358">
        <f t="shared" si="59"/>
        <v>212</v>
      </c>
      <c r="B213" s="359" t="str">
        <f>'Front Sheet and Checklist'!$C$5</f>
        <v>Swansea Bay UHB</v>
      </c>
      <c r="C213" s="17"/>
      <c r="D213" s="17"/>
      <c r="E213" s="17"/>
      <c r="F213" s="17"/>
      <c r="G213" s="17"/>
      <c r="H213" s="17"/>
      <c r="I213" s="361">
        <f t="shared" si="49"/>
        <v>0</v>
      </c>
      <c r="J213" s="17"/>
      <c r="K213" s="18"/>
      <c r="L213" s="18"/>
      <c r="M213" s="17"/>
      <c r="N213" s="17"/>
      <c r="O213" s="17"/>
      <c r="P213" s="17"/>
      <c r="Q213" s="169"/>
      <c r="R213" s="24"/>
      <c r="S213" s="24"/>
      <c r="T213" s="24"/>
      <c r="U213" s="25"/>
      <c r="V213" s="25"/>
      <c r="W213" s="25"/>
      <c r="X213" s="24"/>
      <c r="Y213" s="24"/>
      <c r="Z213" s="24"/>
      <c r="AA213" s="24"/>
      <c r="AB213" s="24"/>
      <c r="AC213" s="24"/>
      <c r="AD213" s="361">
        <f t="shared" si="48"/>
        <v>0</v>
      </c>
      <c r="AE213" s="359" t="str">
        <f t="shared" si="51"/>
        <v/>
      </c>
      <c r="AF213" s="359" t="str">
        <f t="shared" si="60"/>
        <v/>
      </c>
      <c r="AG213" s="359" t="str">
        <f t="shared" si="52"/>
        <v/>
      </c>
      <c r="AH213" s="359" t="str">
        <f t="shared" si="53"/>
        <v/>
      </c>
      <c r="AI213" s="359" t="str">
        <f t="shared" si="54"/>
        <v/>
      </c>
      <c r="AJ213" s="359" t="str">
        <f t="shared" si="55"/>
        <v/>
      </c>
      <c r="AK213" s="359" t="str">
        <f t="shared" si="57"/>
        <v/>
      </c>
      <c r="AL213" s="359" t="str">
        <f t="shared" si="56"/>
        <v/>
      </c>
      <c r="AM213" s="359" t="str">
        <f t="shared" si="58"/>
        <v/>
      </c>
      <c r="AN213" s="262">
        <f t="shared" si="61"/>
        <v>0</v>
      </c>
      <c r="AO213" s="262" t="str">
        <f>IFERROR(HLOOKUP(AN213,'Ref Lists'!Q$1:AL$2,2,FALSE),'Ref Lists'!$AK$2)</f>
        <v>Savings21</v>
      </c>
      <c r="AP213" s="38"/>
      <c r="AQ213" s="38">
        <f t="shared" si="50"/>
        <v>0</v>
      </c>
      <c r="AR213" s="38"/>
      <c r="AS213" s="38"/>
      <c r="AT213" s="38"/>
      <c r="AU213" s="38"/>
      <c r="AV213" s="38"/>
      <c r="AW213" s="38"/>
      <c r="AX213" s="38"/>
      <c r="AY213" s="38"/>
      <c r="AZ213" s="38"/>
      <c r="BA213" s="38"/>
      <c r="BB213" s="38"/>
      <c r="BC213" s="38"/>
      <c r="BD213" s="38"/>
      <c r="BE213" s="38"/>
      <c r="BF213" s="38"/>
      <c r="BG213" s="38"/>
      <c r="BH213" s="38"/>
      <c r="BI213" s="38"/>
      <c r="BJ213" s="38"/>
      <c r="BK213" s="38"/>
      <c r="BL213" s="38"/>
      <c r="BM213" s="38"/>
      <c r="BN213" s="38"/>
      <c r="BO213" s="38"/>
      <c r="BP213" s="38"/>
      <c r="BQ213" s="38"/>
      <c r="BR213" s="38"/>
      <c r="BS213" s="38"/>
      <c r="BT213" s="38"/>
      <c r="BU213" s="38"/>
      <c r="BV213" s="38"/>
      <c r="BW213" s="38"/>
      <c r="BX213" s="38"/>
      <c r="BY213" s="38"/>
      <c r="BZ213" s="38"/>
      <c r="CA213" s="38"/>
      <c r="CB213" s="38"/>
      <c r="CC213" s="38"/>
      <c r="CD213" s="38"/>
      <c r="CE213" s="38"/>
      <c r="CF213" s="38"/>
      <c r="CG213" s="38"/>
      <c r="CH213" s="38"/>
      <c r="CI213" s="38"/>
      <c r="CJ213" s="38"/>
      <c r="CK213" s="38"/>
      <c r="CL213" s="38"/>
      <c r="CM213" s="38"/>
      <c r="CN213" s="38"/>
      <c r="CO213" s="38"/>
      <c r="CP213" s="38"/>
      <c r="CQ213" s="38"/>
      <c r="CR213" s="38"/>
      <c r="CS213" s="38"/>
      <c r="CT213" s="38"/>
      <c r="CU213" s="38"/>
      <c r="CV213" s="38"/>
      <c r="CW213" s="38"/>
      <c r="CX213" s="38"/>
      <c r="CY213" s="38"/>
      <c r="CZ213" s="38"/>
    </row>
    <row r="214" spans="1:104" s="40" customFormat="1" ht="20.149999999999999" customHeight="1">
      <c r="A214" s="358">
        <f t="shared" si="59"/>
        <v>213</v>
      </c>
      <c r="B214" s="359" t="str">
        <f>'Front Sheet and Checklist'!$C$5</f>
        <v>Swansea Bay UHB</v>
      </c>
      <c r="C214" s="17"/>
      <c r="D214" s="17"/>
      <c r="E214" s="17"/>
      <c r="F214" s="17"/>
      <c r="G214" s="17"/>
      <c r="H214" s="17"/>
      <c r="I214" s="361">
        <f t="shared" si="49"/>
        <v>0</v>
      </c>
      <c r="J214" s="17"/>
      <c r="K214" s="18"/>
      <c r="L214" s="18"/>
      <c r="M214" s="17"/>
      <c r="N214" s="17"/>
      <c r="O214" s="17"/>
      <c r="P214" s="17"/>
      <c r="Q214" s="169"/>
      <c r="R214" s="24"/>
      <c r="S214" s="24"/>
      <c r="T214" s="24"/>
      <c r="U214" s="25"/>
      <c r="V214" s="25"/>
      <c r="W214" s="25"/>
      <c r="X214" s="24"/>
      <c r="Y214" s="24"/>
      <c r="Z214" s="24"/>
      <c r="AA214" s="24"/>
      <c r="AB214" s="24"/>
      <c r="AC214" s="24"/>
      <c r="AD214" s="361">
        <f t="shared" si="48"/>
        <v>0</v>
      </c>
      <c r="AE214" s="359" t="str">
        <f t="shared" si="51"/>
        <v/>
      </c>
      <c r="AF214" s="359" t="str">
        <f t="shared" si="60"/>
        <v/>
      </c>
      <c r="AG214" s="359" t="str">
        <f t="shared" si="52"/>
        <v/>
      </c>
      <c r="AH214" s="359" t="str">
        <f t="shared" si="53"/>
        <v/>
      </c>
      <c r="AI214" s="359" t="str">
        <f t="shared" si="54"/>
        <v/>
      </c>
      <c r="AJ214" s="359" t="str">
        <f t="shared" si="55"/>
        <v/>
      </c>
      <c r="AK214" s="359" t="str">
        <f t="shared" si="57"/>
        <v/>
      </c>
      <c r="AL214" s="359" t="str">
        <f t="shared" si="56"/>
        <v/>
      </c>
      <c r="AM214" s="359" t="str">
        <f t="shared" si="58"/>
        <v/>
      </c>
      <c r="AN214" s="262">
        <f t="shared" si="61"/>
        <v>0</v>
      </c>
      <c r="AO214" s="262" t="str">
        <f>IFERROR(HLOOKUP(AN214,'Ref Lists'!Q$1:AL$2,2,FALSE),'Ref Lists'!$AK$2)</f>
        <v>Savings21</v>
      </c>
      <c r="AP214" s="38"/>
      <c r="AQ214" s="38">
        <f t="shared" si="50"/>
        <v>0</v>
      </c>
      <c r="AR214" s="38"/>
      <c r="AS214" s="38"/>
      <c r="AT214" s="38"/>
      <c r="AU214" s="38"/>
      <c r="AV214" s="38"/>
      <c r="AW214" s="38"/>
      <c r="AX214" s="38"/>
      <c r="AY214" s="38"/>
      <c r="AZ214" s="38"/>
      <c r="BA214" s="38"/>
      <c r="BB214" s="38"/>
      <c r="BC214" s="38"/>
      <c r="BD214" s="38"/>
      <c r="BE214" s="38"/>
      <c r="BF214" s="38"/>
      <c r="BG214" s="38"/>
      <c r="BH214" s="38"/>
      <c r="BI214" s="38"/>
      <c r="BJ214" s="38"/>
      <c r="BK214" s="38"/>
      <c r="BL214" s="38"/>
      <c r="BM214" s="38"/>
      <c r="BN214" s="38"/>
      <c r="BO214" s="38"/>
      <c r="BP214" s="38"/>
      <c r="BQ214" s="38"/>
      <c r="BR214" s="38"/>
      <c r="BS214" s="38"/>
      <c r="BT214" s="38"/>
      <c r="BU214" s="38"/>
      <c r="BV214" s="38"/>
      <c r="BW214" s="38"/>
      <c r="BX214" s="38"/>
      <c r="BY214" s="38"/>
      <c r="BZ214" s="38"/>
      <c r="CA214" s="38"/>
      <c r="CB214" s="38"/>
      <c r="CC214" s="38"/>
      <c r="CD214" s="38"/>
      <c r="CE214" s="38"/>
      <c r="CF214" s="38"/>
      <c r="CG214" s="38"/>
      <c r="CH214" s="38"/>
      <c r="CI214" s="38"/>
      <c r="CJ214" s="38"/>
      <c r="CK214" s="38"/>
      <c r="CL214" s="38"/>
      <c r="CM214" s="38"/>
      <c r="CN214" s="38"/>
      <c r="CO214" s="38"/>
      <c r="CP214" s="38"/>
      <c r="CQ214" s="38"/>
      <c r="CR214" s="38"/>
      <c r="CS214" s="38"/>
      <c r="CT214" s="38"/>
      <c r="CU214" s="38"/>
      <c r="CV214" s="38"/>
      <c r="CW214" s="38"/>
      <c r="CX214" s="38"/>
      <c r="CY214" s="38"/>
      <c r="CZ214" s="38"/>
    </row>
    <row r="215" spans="1:104" s="40" customFormat="1" ht="20.149999999999999" customHeight="1">
      <c r="A215" s="358">
        <f t="shared" si="59"/>
        <v>214</v>
      </c>
      <c r="B215" s="359" t="str">
        <f>'Front Sheet and Checklist'!$C$5</f>
        <v>Swansea Bay UHB</v>
      </c>
      <c r="C215" s="17"/>
      <c r="D215" s="17"/>
      <c r="E215" s="17"/>
      <c r="F215" s="17"/>
      <c r="G215" s="17"/>
      <c r="H215" s="17"/>
      <c r="I215" s="361">
        <f t="shared" si="49"/>
        <v>0</v>
      </c>
      <c r="J215" s="17"/>
      <c r="K215" s="18"/>
      <c r="L215" s="18"/>
      <c r="M215" s="17"/>
      <c r="N215" s="17"/>
      <c r="O215" s="17"/>
      <c r="P215" s="17"/>
      <c r="Q215" s="169"/>
      <c r="R215" s="24"/>
      <c r="S215" s="24"/>
      <c r="T215" s="24"/>
      <c r="U215" s="25"/>
      <c r="V215" s="25"/>
      <c r="W215" s="25"/>
      <c r="X215" s="24"/>
      <c r="Y215" s="24"/>
      <c r="Z215" s="24"/>
      <c r="AA215" s="24"/>
      <c r="AB215" s="24"/>
      <c r="AC215" s="24"/>
      <c r="AD215" s="361">
        <f t="shared" si="48"/>
        <v>0</v>
      </c>
      <c r="AE215" s="359" t="str">
        <f t="shared" si="51"/>
        <v/>
      </c>
      <c r="AF215" s="359" t="str">
        <f t="shared" si="60"/>
        <v/>
      </c>
      <c r="AG215" s="359" t="str">
        <f t="shared" si="52"/>
        <v/>
      </c>
      <c r="AH215" s="359" t="str">
        <f t="shared" si="53"/>
        <v/>
      </c>
      <c r="AI215" s="359" t="str">
        <f t="shared" si="54"/>
        <v/>
      </c>
      <c r="AJ215" s="359" t="str">
        <f t="shared" si="55"/>
        <v/>
      </c>
      <c r="AK215" s="359" t="str">
        <f t="shared" si="57"/>
        <v/>
      </c>
      <c r="AL215" s="359" t="str">
        <f t="shared" si="56"/>
        <v/>
      </c>
      <c r="AM215" s="359" t="str">
        <f t="shared" si="58"/>
        <v/>
      </c>
      <c r="AN215" s="262">
        <f t="shared" si="61"/>
        <v>0</v>
      </c>
      <c r="AO215" s="262" t="str">
        <f>IFERROR(HLOOKUP(AN215,'Ref Lists'!Q$1:AL$2,2,FALSE),'Ref Lists'!$AK$2)</f>
        <v>Savings21</v>
      </c>
      <c r="AP215" s="38"/>
      <c r="AQ215" s="38">
        <f t="shared" si="50"/>
        <v>0</v>
      </c>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38"/>
      <c r="BZ215" s="38"/>
      <c r="CA215" s="38"/>
      <c r="CB215" s="38"/>
      <c r="CC215" s="38"/>
      <c r="CD215" s="38"/>
      <c r="CE215" s="38"/>
      <c r="CF215" s="38"/>
      <c r="CG215" s="38"/>
      <c r="CH215" s="38"/>
      <c r="CI215" s="38"/>
      <c r="CJ215" s="38"/>
      <c r="CK215" s="38"/>
      <c r="CL215" s="38"/>
      <c r="CM215" s="38"/>
      <c r="CN215" s="38"/>
      <c r="CO215" s="38"/>
      <c r="CP215" s="38"/>
      <c r="CQ215" s="38"/>
      <c r="CR215" s="38"/>
      <c r="CS215" s="38"/>
      <c r="CT215" s="38"/>
      <c r="CU215" s="38"/>
      <c r="CV215" s="38"/>
      <c r="CW215" s="38"/>
      <c r="CX215" s="38"/>
      <c r="CY215" s="38"/>
      <c r="CZ215" s="38"/>
    </row>
    <row r="216" spans="1:104" s="40" customFormat="1" ht="20.149999999999999" customHeight="1">
      <c r="A216" s="358">
        <f t="shared" si="59"/>
        <v>215</v>
      </c>
      <c r="B216" s="359" t="str">
        <f>'Front Sheet and Checklist'!$C$5</f>
        <v>Swansea Bay UHB</v>
      </c>
      <c r="C216" s="17"/>
      <c r="D216" s="17"/>
      <c r="E216" s="17"/>
      <c r="F216" s="17"/>
      <c r="G216" s="17"/>
      <c r="H216" s="17"/>
      <c r="I216" s="361">
        <f t="shared" si="49"/>
        <v>0</v>
      </c>
      <c r="J216" s="17"/>
      <c r="K216" s="18"/>
      <c r="L216" s="18"/>
      <c r="M216" s="17"/>
      <c r="N216" s="17"/>
      <c r="O216" s="17"/>
      <c r="P216" s="17"/>
      <c r="Q216" s="169"/>
      <c r="R216" s="24"/>
      <c r="S216" s="24"/>
      <c r="T216" s="24"/>
      <c r="U216" s="25"/>
      <c r="V216" s="25"/>
      <c r="W216" s="25"/>
      <c r="X216" s="24"/>
      <c r="Y216" s="24"/>
      <c r="Z216" s="24"/>
      <c r="AA216" s="24"/>
      <c r="AB216" s="24"/>
      <c r="AC216" s="24"/>
      <c r="AD216" s="361">
        <f t="shared" si="48"/>
        <v>0</v>
      </c>
      <c r="AE216" s="359" t="str">
        <f t="shared" si="51"/>
        <v/>
      </c>
      <c r="AF216" s="359" t="str">
        <f t="shared" si="60"/>
        <v/>
      </c>
      <c r="AG216" s="359" t="str">
        <f t="shared" si="52"/>
        <v/>
      </c>
      <c r="AH216" s="359" t="str">
        <f t="shared" si="53"/>
        <v/>
      </c>
      <c r="AI216" s="359" t="str">
        <f t="shared" si="54"/>
        <v/>
      </c>
      <c r="AJ216" s="359" t="str">
        <f t="shared" si="55"/>
        <v/>
      </c>
      <c r="AK216" s="359" t="str">
        <f t="shared" si="57"/>
        <v/>
      </c>
      <c r="AL216" s="359" t="str">
        <f t="shared" si="56"/>
        <v/>
      </c>
      <c r="AM216" s="359" t="str">
        <f t="shared" si="58"/>
        <v/>
      </c>
      <c r="AN216" s="262">
        <f t="shared" si="61"/>
        <v>0</v>
      </c>
      <c r="AO216" s="262" t="str">
        <f>IFERROR(HLOOKUP(AN216,'Ref Lists'!Q$1:AL$2,2,FALSE),'Ref Lists'!$AK$2)</f>
        <v>Savings21</v>
      </c>
      <c r="AP216" s="38"/>
      <c r="AQ216" s="38">
        <f t="shared" si="50"/>
        <v>0</v>
      </c>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row>
    <row r="217" spans="1:104" s="40" customFormat="1" ht="20.149999999999999" customHeight="1">
      <c r="A217" s="358">
        <f t="shared" si="59"/>
        <v>216</v>
      </c>
      <c r="B217" s="359" t="str">
        <f>'Front Sheet and Checklist'!$C$5</f>
        <v>Swansea Bay UHB</v>
      </c>
      <c r="C217" s="17"/>
      <c r="D217" s="17"/>
      <c r="E217" s="17"/>
      <c r="F217" s="17"/>
      <c r="G217" s="17"/>
      <c r="H217" s="17"/>
      <c r="I217" s="361">
        <f t="shared" si="49"/>
        <v>0</v>
      </c>
      <c r="J217" s="17"/>
      <c r="K217" s="18"/>
      <c r="L217" s="18"/>
      <c r="M217" s="17"/>
      <c r="N217" s="17"/>
      <c r="O217" s="17"/>
      <c r="P217" s="17"/>
      <c r="Q217" s="169"/>
      <c r="R217" s="24"/>
      <c r="S217" s="24"/>
      <c r="T217" s="24"/>
      <c r="U217" s="25"/>
      <c r="V217" s="25"/>
      <c r="W217" s="25"/>
      <c r="X217" s="24"/>
      <c r="Y217" s="24"/>
      <c r="Z217" s="24"/>
      <c r="AA217" s="24"/>
      <c r="AB217" s="24"/>
      <c r="AC217" s="24"/>
      <c r="AD217" s="361">
        <f t="shared" si="48"/>
        <v>0</v>
      </c>
      <c r="AE217" s="359" t="str">
        <f t="shared" si="51"/>
        <v/>
      </c>
      <c r="AF217" s="359" t="str">
        <f t="shared" si="60"/>
        <v/>
      </c>
      <c r="AG217" s="359" t="str">
        <f t="shared" si="52"/>
        <v/>
      </c>
      <c r="AH217" s="359" t="str">
        <f t="shared" si="53"/>
        <v/>
      </c>
      <c r="AI217" s="359" t="str">
        <f t="shared" si="54"/>
        <v/>
      </c>
      <c r="AJ217" s="359" t="str">
        <f t="shared" si="55"/>
        <v/>
      </c>
      <c r="AK217" s="359" t="str">
        <f t="shared" si="57"/>
        <v/>
      </c>
      <c r="AL217" s="359" t="str">
        <f t="shared" si="56"/>
        <v/>
      </c>
      <c r="AM217" s="359" t="str">
        <f t="shared" si="58"/>
        <v/>
      </c>
      <c r="AN217" s="262">
        <f t="shared" si="61"/>
        <v>0</v>
      </c>
      <c r="AO217" s="262" t="str">
        <f>IFERROR(HLOOKUP(AN217,'Ref Lists'!Q$1:AL$2,2,FALSE),'Ref Lists'!$AK$2)</f>
        <v>Savings21</v>
      </c>
      <c r="AP217" s="38"/>
      <c r="AQ217" s="38">
        <f t="shared" si="50"/>
        <v>0</v>
      </c>
      <c r="AR217" s="38"/>
      <c r="AS217" s="38"/>
      <c r="AT217" s="38"/>
      <c r="AU217" s="38"/>
      <c r="AV217" s="38"/>
      <c r="AW217" s="38"/>
      <c r="AX217" s="38"/>
      <c r="AY217" s="38"/>
      <c r="AZ217" s="38"/>
      <c r="BA217" s="38"/>
      <c r="BB217" s="38"/>
      <c r="BC217" s="38"/>
      <c r="BD217" s="38"/>
      <c r="BE217" s="38"/>
      <c r="BF217" s="38"/>
      <c r="BG217" s="38"/>
      <c r="BH217" s="38"/>
      <c r="BI217" s="38"/>
      <c r="BJ217" s="38"/>
      <c r="BK217" s="38"/>
      <c r="BL217" s="38"/>
      <c r="BM217" s="38"/>
      <c r="BN217" s="38"/>
      <c r="BO217" s="38"/>
      <c r="BP217" s="38"/>
      <c r="BQ217" s="38"/>
      <c r="BR217" s="38"/>
      <c r="BS217" s="38"/>
      <c r="BT217" s="38"/>
      <c r="BU217" s="38"/>
      <c r="BV217" s="38"/>
      <c r="BW217" s="38"/>
      <c r="BX217" s="38"/>
      <c r="BY217" s="38"/>
      <c r="BZ217" s="38"/>
      <c r="CA217" s="38"/>
      <c r="CB217" s="38"/>
      <c r="CC217" s="38"/>
      <c r="CD217" s="38"/>
      <c r="CE217" s="38"/>
      <c r="CF217" s="38"/>
      <c r="CG217" s="38"/>
      <c r="CH217" s="38"/>
      <c r="CI217" s="38"/>
      <c r="CJ217" s="38"/>
      <c r="CK217" s="38"/>
      <c r="CL217" s="38"/>
      <c r="CM217" s="38"/>
      <c r="CN217" s="38"/>
      <c r="CO217" s="38"/>
      <c r="CP217" s="38"/>
      <c r="CQ217" s="38"/>
      <c r="CR217" s="38"/>
      <c r="CS217" s="38"/>
      <c r="CT217" s="38"/>
      <c r="CU217" s="38"/>
      <c r="CV217" s="38"/>
      <c r="CW217" s="38"/>
      <c r="CX217" s="38"/>
      <c r="CY217" s="38"/>
      <c r="CZ217" s="38"/>
    </row>
    <row r="218" spans="1:104" s="40" customFormat="1" ht="20.149999999999999" customHeight="1">
      <c r="A218" s="358">
        <f t="shared" si="59"/>
        <v>217</v>
      </c>
      <c r="B218" s="359" t="str">
        <f>'Front Sheet and Checklist'!$C$5</f>
        <v>Swansea Bay UHB</v>
      </c>
      <c r="C218" s="17"/>
      <c r="D218" s="17"/>
      <c r="E218" s="17"/>
      <c r="F218" s="17"/>
      <c r="G218" s="17"/>
      <c r="H218" s="17"/>
      <c r="I218" s="361">
        <f t="shared" si="49"/>
        <v>0</v>
      </c>
      <c r="J218" s="17"/>
      <c r="K218" s="18"/>
      <c r="L218" s="18"/>
      <c r="M218" s="17"/>
      <c r="N218" s="17"/>
      <c r="O218" s="17"/>
      <c r="P218" s="17"/>
      <c r="Q218" s="169"/>
      <c r="R218" s="24"/>
      <c r="S218" s="24"/>
      <c r="T218" s="24"/>
      <c r="U218" s="25"/>
      <c r="V218" s="25"/>
      <c r="W218" s="25"/>
      <c r="X218" s="24"/>
      <c r="Y218" s="24"/>
      <c r="Z218" s="24"/>
      <c r="AA218" s="24"/>
      <c r="AB218" s="24"/>
      <c r="AC218" s="24"/>
      <c r="AD218" s="361">
        <f t="shared" si="48"/>
        <v>0</v>
      </c>
      <c r="AE218" s="359" t="str">
        <f t="shared" si="51"/>
        <v/>
      </c>
      <c r="AF218" s="359" t="str">
        <f t="shared" si="60"/>
        <v/>
      </c>
      <c r="AG218" s="359" t="str">
        <f t="shared" si="52"/>
        <v/>
      </c>
      <c r="AH218" s="359" t="str">
        <f t="shared" si="53"/>
        <v/>
      </c>
      <c r="AI218" s="359" t="str">
        <f t="shared" si="54"/>
        <v/>
      </c>
      <c r="AJ218" s="359" t="str">
        <f t="shared" si="55"/>
        <v/>
      </c>
      <c r="AK218" s="359" t="str">
        <f t="shared" si="57"/>
        <v/>
      </c>
      <c r="AL218" s="359" t="str">
        <f t="shared" si="56"/>
        <v/>
      </c>
      <c r="AM218" s="359" t="str">
        <f t="shared" si="58"/>
        <v/>
      </c>
      <c r="AN218" s="262">
        <f t="shared" si="61"/>
        <v>0</v>
      </c>
      <c r="AO218" s="262" t="str">
        <f>IFERROR(HLOOKUP(AN218,'Ref Lists'!Q$1:AL$2,2,FALSE),'Ref Lists'!$AK$2)</f>
        <v>Savings21</v>
      </c>
      <c r="AP218" s="38"/>
      <c r="AQ218" s="38">
        <f t="shared" si="50"/>
        <v>0</v>
      </c>
      <c r="AR218" s="38"/>
      <c r="AS218" s="38"/>
      <c r="AT218" s="38"/>
      <c r="AU218" s="38"/>
      <c r="AV218" s="38"/>
      <c r="AW218" s="38"/>
      <c r="AX218" s="38"/>
      <c r="AY218" s="38"/>
      <c r="AZ218" s="38"/>
      <c r="BA218" s="38"/>
      <c r="BB218" s="38"/>
      <c r="BC218" s="38"/>
      <c r="BD218" s="38"/>
      <c r="BE218" s="38"/>
      <c r="BF218" s="38"/>
      <c r="BG218" s="38"/>
      <c r="BH218" s="38"/>
      <c r="BI218" s="38"/>
      <c r="BJ218" s="38"/>
      <c r="BK218" s="38"/>
      <c r="BL218" s="38"/>
      <c r="BM218" s="38"/>
      <c r="BN218" s="38"/>
      <c r="BO218" s="38"/>
      <c r="BP218" s="38"/>
      <c r="BQ218" s="38"/>
      <c r="BR218" s="38"/>
      <c r="BS218" s="38"/>
      <c r="BT218" s="38"/>
      <c r="BU218" s="38"/>
      <c r="BV218" s="38"/>
      <c r="BW218" s="38"/>
      <c r="BX218" s="38"/>
      <c r="BY218" s="38"/>
      <c r="BZ218" s="38"/>
      <c r="CA218" s="38"/>
      <c r="CB218" s="38"/>
      <c r="CC218" s="38"/>
      <c r="CD218" s="38"/>
      <c r="CE218" s="38"/>
      <c r="CF218" s="38"/>
      <c r="CG218" s="38"/>
      <c r="CH218" s="38"/>
      <c r="CI218" s="38"/>
      <c r="CJ218" s="38"/>
      <c r="CK218" s="38"/>
      <c r="CL218" s="38"/>
      <c r="CM218" s="38"/>
      <c r="CN218" s="38"/>
      <c r="CO218" s="38"/>
      <c r="CP218" s="38"/>
      <c r="CQ218" s="38"/>
      <c r="CR218" s="38"/>
      <c r="CS218" s="38"/>
      <c r="CT218" s="38"/>
      <c r="CU218" s="38"/>
      <c r="CV218" s="38"/>
      <c r="CW218" s="38"/>
      <c r="CX218" s="38"/>
      <c r="CY218" s="38"/>
      <c r="CZ218" s="38"/>
    </row>
    <row r="219" spans="1:104" s="40" customFormat="1" ht="20.149999999999999" customHeight="1">
      <c r="A219" s="358">
        <f t="shared" si="59"/>
        <v>218</v>
      </c>
      <c r="B219" s="359" t="str">
        <f>'Front Sheet and Checklist'!$C$5</f>
        <v>Swansea Bay UHB</v>
      </c>
      <c r="C219" s="17"/>
      <c r="D219" s="17"/>
      <c r="E219" s="17"/>
      <c r="F219" s="17"/>
      <c r="G219" s="17"/>
      <c r="H219" s="17"/>
      <c r="I219" s="361">
        <f t="shared" si="49"/>
        <v>0</v>
      </c>
      <c r="J219" s="17"/>
      <c r="K219" s="18"/>
      <c r="L219" s="18"/>
      <c r="M219" s="17"/>
      <c r="N219" s="17"/>
      <c r="O219" s="17"/>
      <c r="P219" s="17"/>
      <c r="Q219" s="169"/>
      <c r="R219" s="24"/>
      <c r="S219" s="24"/>
      <c r="T219" s="24"/>
      <c r="U219" s="25"/>
      <c r="V219" s="25"/>
      <c r="W219" s="25"/>
      <c r="X219" s="24"/>
      <c r="Y219" s="24"/>
      <c r="Z219" s="24"/>
      <c r="AA219" s="24"/>
      <c r="AB219" s="24"/>
      <c r="AC219" s="24"/>
      <c r="AD219" s="361">
        <f t="shared" si="48"/>
        <v>0</v>
      </c>
      <c r="AE219" s="359" t="str">
        <f t="shared" si="51"/>
        <v/>
      </c>
      <c r="AF219" s="359" t="str">
        <f t="shared" si="60"/>
        <v/>
      </c>
      <c r="AG219" s="359" t="str">
        <f t="shared" si="52"/>
        <v/>
      </c>
      <c r="AH219" s="359" t="str">
        <f t="shared" si="53"/>
        <v/>
      </c>
      <c r="AI219" s="359" t="str">
        <f t="shared" si="54"/>
        <v/>
      </c>
      <c r="AJ219" s="359" t="str">
        <f t="shared" si="55"/>
        <v/>
      </c>
      <c r="AK219" s="359" t="str">
        <f t="shared" si="57"/>
        <v/>
      </c>
      <c r="AL219" s="359" t="str">
        <f t="shared" si="56"/>
        <v/>
      </c>
      <c r="AM219" s="359" t="str">
        <f t="shared" si="58"/>
        <v/>
      </c>
      <c r="AN219" s="262">
        <f t="shared" si="61"/>
        <v>0</v>
      </c>
      <c r="AO219" s="262" t="str">
        <f>IFERROR(HLOOKUP(AN219,'Ref Lists'!Q$1:AL$2,2,FALSE),'Ref Lists'!$AK$2)</f>
        <v>Savings21</v>
      </c>
      <c r="AP219" s="38"/>
      <c r="AQ219" s="38">
        <f t="shared" si="50"/>
        <v>0</v>
      </c>
      <c r="AR219" s="38"/>
      <c r="AS219" s="38"/>
      <c r="AT219" s="38"/>
      <c r="AU219" s="38"/>
      <c r="AV219" s="38"/>
      <c r="AW219" s="38"/>
      <c r="AX219" s="38"/>
      <c r="AY219" s="38"/>
      <c r="AZ219" s="38"/>
      <c r="BA219" s="38"/>
      <c r="BB219" s="38"/>
      <c r="BC219" s="38"/>
      <c r="BD219" s="38"/>
      <c r="BE219" s="38"/>
      <c r="BF219" s="38"/>
      <c r="BG219" s="38"/>
      <c r="BH219" s="38"/>
      <c r="BI219" s="38"/>
      <c r="BJ219" s="38"/>
      <c r="BK219" s="38"/>
      <c r="BL219" s="38"/>
      <c r="BM219" s="38"/>
      <c r="BN219" s="38"/>
      <c r="BO219" s="38"/>
      <c r="BP219" s="38"/>
      <c r="BQ219" s="38"/>
      <c r="BR219" s="38"/>
      <c r="BS219" s="38"/>
      <c r="BT219" s="38"/>
      <c r="BU219" s="38"/>
      <c r="BV219" s="38"/>
      <c r="BW219" s="38"/>
      <c r="BX219" s="38"/>
      <c r="BY219" s="38"/>
      <c r="BZ219" s="38"/>
      <c r="CA219" s="38"/>
      <c r="CB219" s="38"/>
      <c r="CC219" s="38"/>
      <c r="CD219" s="38"/>
      <c r="CE219" s="38"/>
      <c r="CF219" s="38"/>
      <c r="CG219" s="38"/>
      <c r="CH219" s="38"/>
      <c r="CI219" s="38"/>
      <c r="CJ219" s="38"/>
      <c r="CK219" s="38"/>
      <c r="CL219" s="38"/>
      <c r="CM219" s="38"/>
      <c r="CN219" s="38"/>
      <c r="CO219" s="38"/>
      <c r="CP219" s="38"/>
      <c r="CQ219" s="38"/>
      <c r="CR219" s="38"/>
      <c r="CS219" s="38"/>
      <c r="CT219" s="38"/>
      <c r="CU219" s="38"/>
      <c r="CV219" s="38"/>
      <c r="CW219" s="38"/>
      <c r="CX219" s="38"/>
      <c r="CY219" s="38"/>
      <c r="CZ219" s="38"/>
    </row>
    <row r="220" spans="1:104" s="40" customFormat="1" ht="20.149999999999999" customHeight="1">
      <c r="A220" s="358">
        <f t="shared" si="59"/>
        <v>219</v>
      </c>
      <c r="B220" s="359" t="str">
        <f>'Front Sheet and Checklist'!$C$5</f>
        <v>Swansea Bay UHB</v>
      </c>
      <c r="C220" s="17"/>
      <c r="D220" s="17"/>
      <c r="E220" s="17"/>
      <c r="F220" s="17"/>
      <c r="G220" s="17"/>
      <c r="H220" s="17"/>
      <c r="I220" s="361">
        <f t="shared" si="49"/>
        <v>0</v>
      </c>
      <c r="J220" s="17"/>
      <c r="K220" s="18"/>
      <c r="L220" s="18"/>
      <c r="M220" s="17"/>
      <c r="N220" s="17"/>
      <c r="O220" s="17"/>
      <c r="P220" s="17"/>
      <c r="Q220" s="169"/>
      <c r="R220" s="24"/>
      <c r="S220" s="24"/>
      <c r="T220" s="24"/>
      <c r="U220" s="25"/>
      <c r="V220" s="25"/>
      <c r="W220" s="25"/>
      <c r="X220" s="24"/>
      <c r="Y220" s="24"/>
      <c r="Z220" s="24"/>
      <c r="AA220" s="24"/>
      <c r="AB220" s="24"/>
      <c r="AC220" s="24"/>
      <c r="AD220" s="361">
        <f t="shared" si="48"/>
        <v>0</v>
      </c>
      <c r="AE220" s="359" t="str">
        <f t="shared" si="51"/>
        <v/>
      </c>
      <c r="AF220" s="359" t="str">
        <f t="shared" si="60"/>
        <v/>
      </c>
      <c r="AG220" s="359" t="str">
        <f t="shared" si="52"/>
        <v/>
      </c>
      <c r="AH220" s="359" t="str">
        <f t="shared" si="53"/>
        <v/>
      </c>
      <c r="AI220" s="359" t="str">
        <f t="shared" si="54"/>
        <v/>
      </c>
      <c r="AJ220" s="359" t="str">
        <f t="shared" si="55"/>
        <v/>
      </c>
      <c r="AK220" s="359" t="str">
        <f t="shared" si="57"/>
        <v/>
      </c>
      <c r="AL220" s="359" t="str">
        <f t="shared" si="56"/>
        <v/>
      </c>
      <c r="AM220" s="359" t="str">
        <f t="shared" si="58"/>
        <v/>
      </c>
      <c r="AN220" s="262">
        <f t="shared" si="61"/>
        <v>0</v>
      </c>
      <c r="AO220" s="262" t="str">
        <f>IFERROR(HLOOKUP(AN220,'Ref Lists'!Q$1:AL$2,2,FALSE),'Ref Lists'!$AK$2)</f>
        <v>Savings21</v>
      </c>
      <c r="AP220" s="38"/>
      <c r="AQ220" s="38">
        <f t="shared" si="50"/>
        <v>0</v>
      </c>
      <c r="AR220" s="38"/>
      <c r="AS220" s="38"/>
      <c r="AT220" s="38"/>
      <c r="AU220" s="38"/>
      <c r="AV220" s="38"/>
      <c r="AW220" s="38"/>
      <c r="AX220" s="38"/>
      <c r="AY220" s="38"/>
      <c r="AZ220" s="38"/>
      <c r="BA220" s="38"/>
      <c r="BB220" s="38"/>
      <c r="BC220" s="38"/>
      <c r="BD220" s="38"/>
      <c r="BE220" s="38"/>
      <c r="BF220" s="38"/>
      <c r="BG220" s="38"/>
      <c r="BH220" s="38"/>
      <c r="BI220" s="38"/>
      <c r="BJ220" s="38"/>
      <c r="BK220" s="38"/>
      <c r="BL220" s="38"/>
      <c r="BM220" s="38"/>
      <c r="BN220" s="38"/>
      <c r="BO220" s="38"/>
      <c r="BP220" s="38"/>
      <c r="BQ220" s="38"/>
      <c r="BR220" s="38"/>
      <c r="BS220" s="38"/>
      <c r="BT220" s="38"/>
      <c r="BU220" s="38"/>
      <c r="BV220" s="38"/>
      <c r="BW220" s="38"/>
      <c r="BX220" s="38"/>
      <c r="BY220" s="38"/>
      <c r="BZ220" s="38"/>
      <c r="CA220" s="38"/>
      <c r="CB220" s="38"/>
      <c r="CC220" s="38"/>
      <c r="CD220" s="38"/>
      <c r="CE220" s="38"/>
      <c r="CF220" s="38"/>
      <c r="CG220" s="38"/>
      <c r="CH220" s="38"/>
      <c r="CI220" s="38"/>
      <c r="CJ220" s="38"/>
      <c r="CK220" s="38"/>
      <c r="CL220" s="38"/>
      <c r="CM220" s="38"/>
      <c r="CN220" s="38"/>
      <c r="CO220" s="38"/>
      <c r="CP220" s="38"/>
      <c r="CQ220" s="38"/>
      <c r="CR220" s="38"/>
      <c r="CS220" s="38"/>
      <c r="CT220" s="38"/>
      <c r="CU220" s="38"/>
      <c r="CV220" s="38"/>
      <c r="CW220" s="38"/>
      <c r="CX220" s="38"/>
      <c r="CY220" s="38"/>
      <c r="CZ220" s="38"/>
    </row>
    <row r="221" spans="1:104" s="40" customFormat="1" ht="20.149999999999999" customHeight="1">
      <c r="A221" s="358">
        <f t="shared" si="59"/>
        <v>220</v>
      </c>
      <c r="B221" s="359" t="str">
        <f>'Front Sheet and Checklist'!$C$5</f>
        <v>Swansea Bay UHB</v>
      </c>
      <c r="C221" s="17"/>
      <c r="D221" s="17"/>
      <c r="E221" s="17"/>
      <c r="F221" s="17"/>
      <c r="G221" s="17"/>
      <c r="H221" s="17"/>
      <c r="I221" s="361">
        <f t="shared" si="49"/>
        <v>0</v>
      </c>
      <c r="J221" s="17"/>
      <c r="K221" s="18"/>
      <c r="L221" s="18"/>
      <c r="M221" s="17"/>
      <c r="N221" s="17"/>
      <c r="O221" s="17"/>
      <c r="P221" s="17"/>
      <c r="Q221" s="169"/>
      <c r="R221" s="24"/>
      <c r="S221" s="24"/>
      <c r="T221" s="24"/>
      <c r="U221" s="25"/>
      <c r="V221" s="25"/>
      <c r="W221" s="25"/>
      <c r="X221" s="24"/>
      <c r="Y221" s="24"/>
      <c r="Z221" s="24"/>
      <c r="AA221" s="24"/>
      <c r="AB221" s="24"/>
      <c r="AC221" s="24"/>
      <c r="AD221" s="361">
        <f t="shared" si="48"/>
        <v>0</v>
      </c>
      <c r="AE221" s="359" t="str">
        <f t="shared" si="51"/>
        <v/>
      </c>
      <c r="AF221" s="359" t="str">
        <f t="shared" si="60"/>
        <v/>
      </c>
      <c r="AG221" s="359" t="str">
        <f t="shared" si="52"/>
        <v/>
      </c>
      <c r="AH221" s="359" t="str">
        <f t="shared" si="53"/>
        <v/>
      </c>
      <c r="AI221" s="359" t="str">
        <f t="shared" si="54"/>
        <v/>
      </c>
      <c r="AJ221" s="359" t="str">
        <f t="shared" si="55"/>
        <v/>
      </c>
      <c r="AK221" s="359" t="str">
        <f t="shared" si="57"/>
        <v/>
      </c>
      <c r="AL221" s="359" t="str">
        <f t="shared" si="56"/>
        <v/>
      </c>
      <c r="AM221" s="359" t="str">
        <f t="shared" si="58"/>
        <v/>
      </c>
      <c r="AN221" s="262">
        <f t="shared" si="61"/>
        <v>0</v>
      </c>
      <c r="AO221" s="262" t="str">
        <f>IFERROR(HLOOKUP(AN221,'Ref Lists'!Q$1:AL$2,2,FALSE),'Ref Lists'!$AK$2)</f>
        <v>Savings21</v>
      </c>
      <c r="AP221" s="38"/>
      <c r="AQ221" s="38">
        <f t="shared" si="50"/>
        <v>0</v>
      </c>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c r="BT221" s="38"/>
      <c r="BU221" s="38"/>
      <c r="BV221" s="38"/>
      <c r="BW221" s="38"/>
      <c r="BX221" s="38"/>
      <c r="BY221" s="38"/>
      <c r="BZ221" s="38"/>
      <c r="CA221" s="38"/>
      <c r="CB221" s="38"/>
      <c r="CC221" s="38"/>
      <c r="CD221" s="38"/>
      <c r="CE221" s="38"/>
      <c r="CF221" s="38"/>
      <c r="CG221" s="38"/>
      <c r="CH221" s="38"/>
      <c r="CI221" s="38"/>
      <c r="CJ221" s="38"/>
      <c r="CK221" s="38"/>
      <c r="CL221" s="38"/>
      <c r="CM221" s="38"/>
      <c r="CN221" s="38"/>
      <c r="CO221" s="38"/>
      <c r="CP221" s="38"/>
      <c r="CQ221" s="38"/>
      <c r="CR221" s="38"/>
      <c r="CS221" s="38"/>
      <c r="CT221" s="38"/>
      <c r="CU221" s="38"/>
      <c r="CV221" s="38"/>
      <c r="CW221" s="38"/>
      <c r="CX221" s="38"/>
      <c r="CY221" s="38"/>
      <c r="CZ221" s="38"/>
    </row>
    <row r="222" spans="1:104" s="40" customFormat="1" ht="20.149999999999999" customHeight="1">
      <c r="A222" s="358">
        <f t="shared" si="59"/>
        <v>221</v>
      </c>
      <c r="B222" s="359" t="str">
        <f>'Front Sheet and Checklist'!$C$5</f>
        <v>Swansea Bay UHB</v>
      </c>
      <c r="C222" s="17"/>
      <c r="D222" s="17"/>
      <c r="E222" s="17"/>
      <c r="F222" s="17"/>
      <c r="G222" s="17"/>
      <c r="H222" s="17"/>
      <c r="I222" s="361">
        <f t="shared" si="49"/>
        <v>0</v>
      </c>
      <c r="J222" s="17"/>
      <c r="K222" s="18"/>
      <c r="L222" s="18"/>
      <c r="M222" s="17"/>
      <c r="N222" s="17"/>
      <c r="O222" s="17"/>
      <c r="P222" s="17"/>
      <c r="Q222" s="169"/>
      <c r="R222" s="24"/>
      <c r="S222" s="24"/>
      <c r="T222" s="24"/>
      <c r="U222" s="25"/>
      <c r="V222" s="25"/>
      <c r="W222" s="25"/>
      <c r="X222" s="24"/>
      <c r="Y222" s="24"/>
      <c r="Z222" s="24"/>
      <c r="AA222" s="24"/>
      <c r="AB222" s="24"/>
      <c r="AC222" s="24"/>
      <c r="AD222" s="361">
        <f t="shared" si="48"/>
        <v>0</v>
      </c>
      <c r="AE222" s="359" t="str">
        <f t="shared" si="51"/>
        <v/>
      </c>
      <c r="AF222" s="359" t="str">
        <f t="shared" si="60"/>
        <v/>
      </c>
      <c r="AG222" s="359" t="str">
        <f t="shared" si="52"/>
        <v/>
      </c>
      <c r="AH222" s="359" t="str">
        <f t="shared" si="53"/>
        <v/>
      </c>
      <c r="AI222" s="359" t="str">
        <f t="shared" si="54"/>
        <v/>
      </c>
      <c r="AJ222" s="359" t="str">
        <f t="shared" si="55"/>
        <v/>
      </c>
      <c r="AK222" s="359" t="str">
        <f t="shared" si="57"/>
        <v/>
      </c>
      <c r="AL222" s="359" t="str">
        <f t="shared" si="56"/>
        <v/>
      </c>
      <c r="AM222" s="359" t="str">
        <f t="shared" si="58"/>
        <v/>
      </c>
      <c r="AN222" s="262">
        <f t="shared" si="61"/>
        <v>0</v>
      </c>
      <c r="AO222" s="262" t="str">
        <f>IFERROR(HLOOKUP(AN222,'Ref Lists'!Q$1:AL$2,2,FALSE),'Ref Lists'!$AK$2)</f>
        <v>Savings21</v>
      </c>
      <c r="AP222" s="38"/>
      <c r="AQ222" s="38">
        <f t="shared" si="50"/>
        <v>0</v>
      </c>
      <c r="AR222" s="38"/>
      <c r="AS222" s="38"/>
      <c r="AT222" s="38"/>
      <c r="AU222" s="38"/>
      <c r="AV222" s="38"/>
      <c r="AW222" s="38"/>
      <c r="AX222" s="38"/>
      <c r="AY222" s="38"/>
      <c r="AZ222" s="38"/>
      <c r="BA222" s="38"/>
      <c r="BB222" s="38"/>
      <c r="BC222" s="38"/>
      <c r="BD222" s="38"/>
      <c r="BE222" s="38"/>
      <c r="BF222" s="38"/>
      <c r="BG222" s="38"/>
      <c r="BH222" s="38"/>
      <c r="BI222" s="38"/>
      <c r="BJ222" s="38"/>
      <c r="BK222" s="38"/>
      <c r="BL222" s="38"/>
      <c r="BM222" s="38"/>
      <c r="BN222" s="38"/>
      <c r="BO222" s="38"/>
      <c r="BP222" s="38"/>
      <c r="BQ222" s="38"/>
      <c r="BR222" s="38"/>
      <c r="BS222" s="38"/>
      <c r="BT222" s="38"/>
      <c r="BU222" s="38"/>
      <c r="BV222" s="38"/>
      <c r="BW222" s="38"/>
      <c r="BX222" s="38"/>
      <c r="BY222" s="38"/>
      <c r="BZ222" s="38"/>
      <c r="CA222" s="38"/>
      <c r="CB222" s="38"/>
      <c r="CC222" s="38"/>
      <c r="CD222" s="38"/>
      <c r="CE222" s="38"/>
      <c r="CF222" s="38"/>
      <c r="CG222" s="38"/>
      <c r="CH222" s="38"/>
      <c r="CI222" s="38"/>
      <c r="CJ222" s="38"/>
      <c r="CK222" s="38"/>
      <c r="CL222" s="38"/>
      <c r="CM222" s="38"/>
      <c r="CN222" s="38"/>
      <c r="CO222" s="38"/>
      <c r="CP222" s="38"/>
      <c r="CQ222" s="38"/>
      <c r="CR222" s="38"/>
      <c r="CS222" s="38"/>
      <c r="CT222" s="38"/>
      <c r="CU222" s="38"/>
      <c r="CV222" s="38"/>
      <c r="CW222" s="38"/>
      <c r="CX222" s="38"/>
      <c r="CY222" s="38"/>
      <c r="CZ222" s="38"/>
    </row>
    <row r="223" spans="1:104" s="40" customFormat="1" ht="20.149999999999999" customHeight="1">
      <c r="A223" s="358">
        <f t="shared" si="59"/>
        <v>222</v>
      </c>
      <c r="B223" s="359" t="str">
        <f>'Front Sheet and Checklist'!$C$5</f>
        <v>Swansea Bay UHB</v>
      </c>
      <c r="C223" s="17"/>
      <c r="D223" s="17"/>
      <c r="E223" s="17"/>
      <c r="F223" s="17"/>
      <c r="G223" s="17"/>
      <c r="H223" s="17"/>
      <c r="I223" s="361">
        <f t="shared" si="49"/>
        <v>0</v>
      </c>
      <c r="J223" s="17"/>
      <c r="K223" s="18"/>
      <c r="L223" s="18"/>
      <c r="M223" s="17"/>
      <c r="N223" s="17"/>
      <c r="O223" s="17"/>
      <c r="P223" s="17"/>
      <c r="Q223" s="169"/>
      <c r="R223" s="24"/>
      <c r="S223" s="24"/>
      <c r="T223" s="24"/>
      <c r="U223" s="25"/>
      <c r="V223" s="25"/>
      <c r="W223" s="25"/>
      <c r="X223" s="24"/>
      <c r="Y223" s="24"/>
      <c r="Z223" s="24"/>
      <c r="AA223" s="24"/>
      <c r="AB223" s="24"/>
      <c r="AC223" s="24"/>
      <c r="AD223" s="361">
        <f t="shared" si="48"/>
        <v>0</v>
      </c>
      <c r="AE223" s="359" t="str">
        <f t="shared" si="51"/>
        <v/>
      </c>
      <c r="AF223" s="359" t="str">
        <f t="shared" si="60"/>
        <v/>
      </c>
      <c r="AG223" s="359" t="str">
        <f t="shared" si="52"/>
        <v/>
      </c>
      <c r="AH223" s="359" t="str">
        <f t="shared" si="53"/>
        <v/>
      </c>
      <c r="AI223" s="359" t="str">
        <f t="shared" si="54"/>
        <v/>
      </c>
      <c r="AJ223" s="359" t="str">
        <f t="shared" si="55"/>
        <v/>
      </c>
      <c r="AK223" s="359" t="str">
        <f t="shared" si="57"/>
        <v/>
      </c>
      <c r="AL223" s="359" t="str">
        <f t="shared" si="56"/>
        <v/>
      </c>
      <c r="AM223" s="359" t="str">
        <f t="shared" si="58"/>
        <v/>
      </c>
      <c r="AN223" s="262">
        <f t="shared" si="61"/>
        <v>0</v>
      </c>
      <c r="AO223" s="262" t="str">
        <f>IFERROR(HLOOKUP(AN223,'Ref Lists'!Q$1:AL$2,2,FALSE),'Ref Lists'!$AK$2)</f>
        <v>Savings21</v>
      </c>
      <c r="AP223" s="38"/>
      <c r="AQ223" s="38">
        <f t="shared" si="50"/>
        <v>0</v>
      </c>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38"/>
      <c r="BZ223" s="38"/>
      <c r="CA223" s="38"/>
      <c r="CB223" s="38"/>
      <c r="CC223" s="38"/>
      <c r="CD223" s="38"/>
      <c r="CE223" s="38"/>
      <c r="CF223" s="38"/>
      <c r="CG223" s="38"/>
      <c r="CH223" s="38"/>
      <c r="CI223" s="38"/>
      <c r="CJ223" s="38"/>
      <c r="CK223" s="38"/>
      <c r="CL223" s="38"/>
      <c r="CM223" s="38"/>
      <c r="CN223" s="38"/>
      <c r="CO223" s="38"/>
      <c r="CP223" s="38"/>
      <c r="CQ223" s="38"/>
      <c r="CR223" s="38"/>
      <c r="CS223" s="38"/>
      <c r="CT223" s="38"/>
      <c r="CU223" s="38"/>
      <c r="CV223" s="38"/>
      <c r="CW223" s="38"/>
      <c r="CX223" s="38"/>
      <c r="CY223" s="38"/>
      <c r="CZ223" s="38"/>
    </row>
    <row r="224" spans="1:104" s="40" customFormat="1" ht="20.149999999999999" customHeight="1">
      <c r="A224" s="358">
        <f t="shared" si="59"/>
        <v>223</v>
      </c>
      <c r="B224" s="359" t="str">
        <f>'Front Sheet and Checklist'!$C$5</f>
        <v>Swansea Bay UHB</v>
      </c>
      <c r="C224" s="17"/>
      <c r="D224" s="17"/>
      <c r="E224" s="17"/>
      <c r="F224" s="17"/>
      <c r="G224" s="17"/>
      <c r="H224" s="17"/>
      <c r="I224" s="361">
        <f t="shared" si="49"/>
        <v>0</v>
      </c>
      <c r="J224" s="17"/>
      <c r="K224" s="18"/>
      <c r="L224" s="18"/>
      <c r="M224" s="17"/>
      <c r="N224" s="17"/>
      <c r="O224" s="17"/>
      <c r="P224" s="17"/>
      <c r="Q224" s="169"/>
      <c r="R224" s="24"/>
      <c r="S224" s="24"/>
      <c r="T224" s="24"/>
      <c r="U224" s="25"/>
      <c r="V224" s="25"/>
      <c r="W224" s="25"/>
      <c r="X224" s="24"/>
      <c r="Y224" s="24"/>
      <c r="Z224" s="24"/>
      <c r="AA224" s="24"/>
      <c r="AB224" s="24"/>
      <c r="AC224" s="24"/>
      <c r="AD224" s="361">
        <f t="shared" si="48"/>
        <v>0</v>
      </c>
      <c r="AE224" s="359" t="str">
        <f t="shared" si="51"/>
        <v/>
      </c>
      <c r="AF224" s="359" t="str">
        <f t="shared" si="60"/>
        <v/>
      </c>
      <c r="AG224" s="359" t="str">
        <f t="shared" si="52"/>
        <v/>
      </c>
      <c r="AH224" s="359" t="str">
        <f t="shared" si="53"/>
        <v/>
      </c>
      <c r="AI224" s="359" t="str">
        <f t="shared" si="54"/>
        <v/>
      </c>
      <c r="AJ224" s="359" t="str">
        <f t="shared" si="55"/>
        <v/>
      </c>
      <c r="AK224" s="359" t="str">
        <f t="shared" si="57"/>
        <v/>
      </c>
      <c r="AL224" s="359" t="str">
        <f t="shared" si="56"/>
        <v/>
      </c>
      <c r="AM224" s="359" t="str">
        <f t="shared" si="58"/>
        <v/>
      </c>
      <c r="AN224" s="262">
        <f t="shared" si="61"/>
        <v>0</v>
      </c>
      <c r="AO224" s="262" t="str">
        <f>IFERROR(HLOOKUP(AN224,'Ref Lists'!Q$1:AL$2,2,FALSE),'Ref Lists'!$AK$2)</f>
        <v>Savings21</v>
      </c>
      <c r="AP224" s="38"/>
      <c r="AQ224" s="38">
        <f t="shared" si="50"/>
        <v>0</v>
      </c>
      <c r="AR224" s="38"/>
      <c r="AS224" s="38"/>
      <c r="AT224" s="38"/>
      <c r="AU224" s="38"/>
      <c r="AV224" s="38"/>
      <c r="AW224" s="38"/>
      <c r="AX224" s="38"/>
      <c r="AY224" s="38"/>
      <c r="AZ224" s="38"/>
      <c r="BA224" s="38"/>
      <c r="BB224" s="38"/>
      <c r="BC224" s="38"/>
      <c r="BD224" s="38"/>
      <c r="BE224" s="38"/>
      <c r="BF224" s="38"/>
      <c r="BG224" s="38"/>
      <c r="BH224" s="38"/>
      <c r="BI224" s="38"/>
      <c r="BJ224" s="38"/>
      <c r="BK224" s="38"/>
      <c r="BL224" s="38"/>
      <c r="BM224" s="38"/>
      <c r="BN224" s="38"/>
      <c r="BO224" s="38"/>
      <c r="BP224" s="38"/>
      <c r="BQ224" s="38"/>
      <c r="BR224" s="38"/>
      <c r="BS224" s="38"/>
      <c r="BT224" s="38"/>
      <c r="BU224" s="38"/>
      <c r="BV224" s="38"/>
      <c r="BW224" s="38"/>
      <c r="BX224" s="38"/>
      <c r="BY224" s="38"/>
      <c r="BZ224" s="38"/>
      <c r="CA224" s="38"/>
      <c r="CB224" s="38"/>
      <c r="CC224" s="38"/>
      <c r="CD224" s="38"/>
      <c r="CE224" s="38"/>
      <c r="CF224" s="38"/>
      <c r="CG224" s="38"/>
      <c r="CH224" s="38"/>
      <c r="CI224" s="38"/>
      <c r="CJ224" s="38"/>
      <c r="CK224" s="38"/>
      <c r="CL224" s="38"/>
      <c r="CM224" s="38"/>
      <c r="CN224" s="38"/>
      <c r="CO224" s="38"/>
      <c r="CP224" s="38"/>
      <c r="CQ224" s="38"/>
      <c r="CR224" s="38"/>
      <c r="CS224" s="38"/>
      <c r="CT224" s="38"/>
      <c r="CU224" s="38"/>
      <c r="CV224" s="38"/>
      <c r="CW224" s="38"/>
      <c r="CX224" s="38"/>
      <c r="CY224" s="38"/>
      <c r="CZ224" s="38"/>
    </row>
    <row r="225" spans="1:104" s="40" customFormat="1" ht="20.149999999999999" customHeight="1">
      <c r="A225" s="358">
        <f t="shared" si="59"/>
        <v>224</v>
      </c>
      <c r="B225" s="359" t="str">
        <f>'Front Sheet and Checklist'!$C$5</f>
        <v>Swansea Bay UHB</v>
      </c>
      <c r="C225" s="17"/>
      <c r="D225" s="17"/>
      <c r="E225" s="17"/>
      <c r="F225" s="17"/>
      <c r="G225" s="17"/>
      <c r="H225" s="17"/>
      <c r="I225" s="361">
        <f t="shared" si="49"/>
        <v>0</v>
      </c>
      <c r="J225" s="17"/>
      <c r="K225" s="18"/>
      <c r="L225" s="18"/>
      <c r="M225" s="17"/>
      <c r="N225" s="17"/>
      <c r="O225" s="17"/>
      <c r="P225" s="17"/>
      <c r="Q225" s="169"/>
      <c r="R225" s="24"/>
      <c r="S225" s="24"/>
      <c r="T225" s="24"/>
      <c r="U225" s="25"/>
      <c r="V225" s="25"/>
      <c r="W225" s="25"/>
      <c r="X225" s="24"/>
      <c r="Y225" s="24"/>
      <c r="Z225" s="24"/>
      <c r="AA225" s="24"/>
      <c r="AB225" s="24"/>
      <c r="AC225" s="24"/>
      <c r="AD225" s="361">
        <f t="shared" si="48"/>
        <v>0</v>
      </c>
      <c r="AE225" s="359" t="str">
        <f t="shared" si="51"/>
        <v/>
      </c>
      <c r="AF225" s="359" t="str">
        <f t="shared" si="60"/>
        <v/>
      </c>
      <c r="AG225" s="359" t="str">
        <f t="shared" si="52"/>
        <v/>
      </c>
      <c r="AH225" s="359" t="str">
        <f t="shared" si="53"/>
        <v/>
      </c>
      <c r="AI225" s="359" t="str">
        <f t="shared" si="54"/>
        <v/>
      </c>
      <c r="AJ225" s="359" t="str">
        <f t="shared" si="55"/>
        <v/>
      </c>
      <c r="AK225" s="359" t="str">
        <f t="shared" si="57"/>
        <v/>
      </c>
      <c r="AL225" s="359" t="str">
        <f t="shared" si="56"/>
        <v/>
      </c>
      <c r="AM225" s="359" t="str">
        <f t="shared" si="58"/>
        <v/>
      </c>
      <c r="AN225" s="262">
        <f t="shared" si="61"/>
        <v>0</v>
      </c>
      <c r="AO225" s="262" t="str">
        <f>IFERROR(HLOOKUP(AN225,'Ref Lists'!Q$1:AL$2,2,FALSE),'Ref Lists'!$AK$2)</f>
        <v>Savings21</v>
      </c>
      <c r="AP225" s="38"/>
      <c r="AQ225" s="38">
        <f t="shared" si="50"/>
        <v>0</v>
      </c>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c r="BX225" s="38"/>
      <c r="BY225" s="38"/>
      <c r="BZ225" s="38"/>
      <c r="CA225" s="38"/>
      <c r="CB225" s="38"/>
      <c r="CC225" s="38"/>
      <c r="CD225" s="38"/>
      <c r="CE225" s="38"/>
      <c r="CF225" s="38"/>
      <c r="CG225" s="38"/>
      <c r="CH225" s="38"/>
      <c r="CI225" s="38"/>
      <c r="CJ225" s="38"/>
      <c r="CK225" s="38"/>
      <c r="CL225" s="38"/>
      <c r="CM225" s="38"/>
      <c r="CN225" s="38"/>
      <c r="CO225" s="38"/>
      <c r="CP225" s="38"/>
      <c r="CQ225" s="38"/>
      <c r="CR225" s="38"/>
      <c r="CS225" s="38"/>
      <c r="CT225" s="38"/>
      <c r="CU225" s="38"/>
      <c r="CV225" s="38"/>
      <c r="CW225" s="38"/>
      <c r="CX225" s="38"/>
      <c r="CY225" s="38"/>
      <c r="CZ225" s="38"/>
    </row>
    <row r="226" spans="1:104" s="40" customFormat="1" ht="20.149999999999999" customHeight="1">
      <c r="A226" s="358">
        <f t="shared" si="59"/>
        <v>225</v>
      </c>
      <c r="B226" s="359" t="str">
        <f>'Front Sheet and Checklist'!$C$5</f>
        <v>Swansea Bay UHB</v>
      </c>
      <c r="C226" s="17"/>
      <c r="D226" s="17"/>
      <c r="E226" s="17"/>
      <c r="F226" s="17"/>
      <c r="G226" s="17"/>
      <c r="H226" s="17"/>
      <c r="I226" s="361">
        <f t="shared" si="49"/>
        <v>0</v>
      </c>
      <c r="J226" s="17"/>
      <c r="K226" s="18"/>
      <c r="L226" s="18"/>
      <c r="M226" s="17"/>
      <c r="N226" s="17"/>
      <c r="O226" s="17"/>
      <c r="P226" s="17"/>
      <c r="Q226" s="169"/>
      <c r="R226" s="24"/>
      <c r="S226" s="24"/>
      <c r="T226" s="24"/>
      <c r="U226" s="25"/>
      <c r="V226" s="25"/>
      <c r="W226" s="25"/>
      <c r="X226" s="24"/>
      <c r="Y226" s="24"/>
      <c r="Z226" s="24"/>
      <c r="AA226" s="24"/>
      <c r="AB226" s="24"/>
      <c r="AC226" s="24"/>
      <c r="AD226" s="361">
        <f t="shared" si="48"/>
        <v>0</v>
      </c>
      <c r="AE226" s="359" t="str">
        <f t="shared" si="51"/>
        <v/>
      </c>
      <c r="AF226" s="359" t="str">
        <f t="shared" si="60"/>
        <v/>
      </c>
      <c r="AG226" s="359" t="str">
        <f t="shared" si="52"/>
        <v/>
      </c>
      <c r="AH226" s="359" t="str">
        <f t="shared" si="53"/>
        <v/>
      </c>
      <c r="AI226" s="359" t="str">
        <f t="shared" si="54"/>
        <v/>
      </c>
      <c r="AJ226" s="359" t="str">
        <f t="shared" si="55"/>
        <v/>
      </c>
      <c r="AK226" s="359" t="str">
        <f t="shared" si="57"/>
        <v/>
      </c>
      <c r="AL226" s="359" t="str">
        <f t="shared" si="56"/>
        <v/>
      </c>
      <c r="AM226" s="359" t="str">
        <f t="shared" si="58"/>
        <v/>
      </c>
      <c r="AN226" s="262">
        <f t="shared" si="61"/>
        <v>0</v>
      </c>
      <c r="AO226" s="262" t="str">
        <f>IFERROR(HLOOKUP(AN226,'Ref Lists'!Q$1:AL$2,2,FALSE),'Ref Lists'!$AK$2)</f>
        <v>Savings21</v>
      </c>
      <c r="AP226" s="38"/>
      <c r="AQ226" s="38">
        <f t="shared" si="50"/>
        <v>0</v>
      </c>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c r="BX226" s="38"/>
      <c r="BY226" s="38"/>
      <c r="BZ226" s="38"/>
      <c r="CA226" s="38"/>
      <c r="CB226" s="38"/>
      <c r="CC226" s="38"/>
      <c r="CD226" s="38"/>
      <c r="CE226" s="38"/>
      <c r="CF226" s="38"/>
      <c r="CG226" s="38"/>
      <c r="CH226" s="38"/>
      <c r="CI226" s="38"/>
      <c r="CJ226" s="38"/>
      <c r="CK226" s="38"/>
      <c r="CL226" s="38"/>
      <c r="CM226" s="38"/>
      <c r="CN226" s="38"/>
      <c r="CO226" s="38"/>
      <c r="CP226" s="38"/>
      <c r="CQ226" s="38"/>
      <c r="CR226" s="38"/>
      <c r="CS226" s="38"/>
      <c r="CT226" s="38"/>
      <c r="CU226" s="38"/>
      <c r="CV226" s="38"/>
      <c r="CW226" s="38"/>
      <c r="CX226" s="38"/>
      <c r="CY226" s="38"/>
      <c r="CZ226" s="38"/>
    </row>
    <row r="227" spans="1:104" s="40" customFormat="1" ht="20.149999999999999" customHeight="1">
      <c r="A227" s="358">
        <f t="shared" si="59"/>
        <v>226</v>
      </c>
      <c r="B227" s="359" t="str">
        <f>'Front Sheet and Checklist'!$C$5</f>
        <v>Swansea Bay UHB</v>
      </c>
      <c r="C227" s="17"/>
      <c r="D227" s="17"/>
      <c r="E227" s="17"/>
      <c r="F227" s="17"/>
      <c r="G227" s="17"/>
      <c r="H227" s="17"/>
      <c r="I227" s="361">
        <f t="shared" si="49"/>
        <v>0</v>
      </c>
      <c r="J227" s="17"/>
      <c r="K227" s="18"/>
      <c r="L227" s="18"/>
      <c r="M227" s="17"/>
      <c r="N227" s="17"/>
      <c r="O227" s="17"/>
      <c r="P227" s="17"/>
      <c r="Q227" s="169"/>
      <c r="R227" s="24"/>
      <c r="S227" s="24"/>
      <c r="T227" s="24"/>
      <c r="U227" s="25"/>
      <c r="V227" s="25"/>
      <c r="W227" s="25"/>
      <c r="X227" s="24"/>
      <c r="Y227" s="24"/>
      <c r="Z227" s="24"/>
      <c r="AA227" s="24"/>
      <c r="AB227" s="24"/>
      <c r="AC227" s="24"/>
      <c r="AD227" s="361">
        <f t="shared" si="48"/>
        <v>0</v>
      </c>
      <c r="AE227" s="359" t="str">
        <f t="shared" si="51"/>
        <v/>
      </c>
      <c r="AF227" s="359" t="str">
        <f t="shared" si="60"/>
        <v/>
      </c>
      <c r="AG227" s="359" t="str">
        <f t="shared" si="52"/>
        <v/>
      </c>
      <c r="AH227" s="359" t="str">
        <f t="shared" si="53"/>
        <v/>
      </c>
      <c r="AI227" s="359" t="str">
        <f t="shared" si="54"/>
        <v/>
      </c>
      <c r="AJ227" s="359" t="str">
        <f t="shared" si="55"/>
        <v/>
      </c>
      <c r="AK227" s="359" t="str">
        <f t="shared" si="57"/>
        <v/>
      </c>
      <c r="AL227" s="359" t="str">
        <f t="shared" si="56"/>
        <v/>
      </c>
      <c r="AM227" s="359" t="str">
        <f t="shared" si="58"/>
        <v/>
      </c>
      <c r="AN227" s="262">
        <f t="shared" si="61"/>
        <v>0</v>
      </c>
      <c r="AO227" s="262" t="str">
        <f>IFERROR(HLOOKUP(AN227,'Ref Lists'!Q$1:AL$2,2,FALSE),'Ref Lists'!$AK$2)</f>
        <v>Savings21</v>
      </c>
      <c r="AP227" s="38"/>
      <c r="AQ227" s="38">
        <f t="shared" si="50"/>
        <v>0</v>
      </c>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c r="BY227" s="38"/>
      <c r="BZ227" s="38"/>
      <c r="CA227" s="38"/>
      <c r="CB227" s="38"/>
      <c r="CC227" s="38"/>
      <c r="CD227" s="38"/>
      <c r="CE227" s="38"/>
      <c r="CF227" s="38"/>
      <c r="CG227" s="38"/>
      <c r="CH227" s="38"/>
      <c r="CI227" s="38"/>
      <c r="CJ227" s="38"/>
      <c r="CK227" s="38"/>
      <c r="CL227" s="38"/>
      <c r="CM227" s="38"/>
      <c r="CN227" s="38"/>
      <c r="CO227" s="38"/>
      <c r="CP227" s="38"/>
      <c r="CQ227" s="38"/>
      <c r="CR227" s="38"/>
      <c r="CS227" s="38"/>
      <c r="CT227" s="38"/>
      <c r="CU227" s="38"/>
      <c r="CV227" s="38"/>
      <c r="CW227" s="38"/>
      <c r="CX227" s="38"/>
      <c r="CY227" s="38"/>
      <c r="CZ227" s="38"/>
    </row>
    <row r="228" spans="1:104" s="40" customFormat="1" ht="20.149999999999999" customHeight="1">
      <c r="A228" s="358">
        <f t="shared" si="59"/>
        <v>227</v>
      </c>
      <c r="B228" s="359" t="str">
        <f>'Front Sheet and Checklist'!$C$5</f>
        <v>Swansea Bay UHB</v>
      </c>
      <c r="C228" s="17"/>
      <c r="D228" s="17"/>
      <c r="E228" s="17"/>
      <c r="F228" s="17"/>
      <c r="G228" s="17"/>
      <c r="H228" s="17"/>
      <c r="I228" s="361">
        <f t="shared" si="49"/>
        <v>0</v>
      </c>
      <c r="J228" s="17"/>
      <c r="K228" s="18"/>
      <c r="L228" s="18"/>
      <c r="M228" s="17"/>
      <c r="N228" s="17"/>
      <c r="O228" s="17"/>
      <c r="P228" s="17"/>
      <c r="Q228" s="169"/>
      <c r="R228" s="24"/>
      <c r="S228" s="24"/>
      <c r="T228" s="24"/>
      <c r="U228" s="25"/>
      <c r="V228" s="25"/>
      <c r="W228" s="25"/>
      <c r="X228" s="24"/>
      <c r="Y228" s="24"/>
      <c r="Z228" s="24"/>
      <c r="AA228" s="24"/>
      <c r="AB228" s="24"/>
      <c r="AC228" s="24"/>
      <c r="AD228" s="361">
        <f t="shared" si="48"/>
        <v>0</v>
      </c>
      <c r="AE228" s="359" t="str">
        <f t="shared" si="51"/>
        <v/>
      </c>
      <c r="AF228" s="359" t="str">
        <f t="shared" si="60"/>
        <v/>
      </c>
      <c r="AG228" s="359" t="str">
        <f t="shared" si="52"/>
        <v/>
      </c>
      <c r="AH228" s="359" t="str">
        <f t="shared" si="53"/>
        <v/>
      </c>
      <c r="AI228" s="359" t="str">
        <f t="shared" si="54"/>
        <v/>
      </c>
      <c r="AJ228" s="359" t="str">
        <f t="shared" si="55"/>
        <v/>
      </c>
      <c r="AK228" s="359" t="str">
        <f t="shared" si="57"/>
        <v/>
      </c>
      <c r="AL228" s="359" t="str">
        <f t="shared" si="56"/>
        <v/>
      </c>
      <c r="AM228" s="359" t="str">
        <f t="shared" si="58"/>
        <v/>
      </c>
      <c r="AN228" s="262">
        <f t="shared" si="61"/>
        <v>0</v>
      </c>
      <c r="AO228" s="262" t="str">
        <f>IFERROR(HLOOKUP(AN228,'Ref Lists'!Q$1:AL$2,2,FALSE),'Ref Lists'!$AK$2)</f>
        <v>Savings21</v>
      </c>
      <c r="AP228" s="38"/>
      <c r="AQ228" s="38">
        <f t="shared" si="50"/>
        <v>0</v>
      </c>
      <c r="AR228" s="38"/>
      <c r="AS228" s="38"/>
      <c r="AT228" s="38"/>
      <c r="AU228" s="38"/>
      <c r="AV228" s="38"/>
      <c r="AW228" s="38"/>
      <c r="AX228" s="38"/>
      <c r="AY228" s="38"/>
      <c r="AZ228" s="38"/>
      <c r="BA228" s="38"/>
      <c r="BB228" s="38"/>
      <c r="BC228" s="38"/>
      <c r="BD228" s="38"/>
      <c r="BE228" s="38"/>
      <c r="BF228" s="38"/>
      <c r="BG228" s="38"/>
      <c r="BH228" s="38"/>
      <c r="BI228" s="38"/>
      <c r="BJ228" s="38"/>
      <c r="BK228" s="38"/>
      <c r="BL228" s="38"/>
      <c r="BM228" s="38"/>
      <c r="BN228" s="38"/>
      <c r="BO228" s="38"/>
      <c r="BP228" s="38"/>
      <c r="BQ228" s="38"/>
      <c r="BR228" s="38"/>
      <c r="BS228" s="38"/>
      <c r="BT228" s="38"/>
      <c r="BU228" s="38"/>
      <c r="BV228" s="38"/>
      <c r="BW228" s="38"/>
      <c r="BX228" s="38"/>
      <c r="BY228" s="38"/>
      <c r="BZ228" s="38"/>
      <c r="CA228" s="38"/>
      <c r="CB228" s="38"/>
      <c r="CC228" s="38"/>
      <c r="CD228" s="38"/>
      <c r="CE228" s="38"/>
      <c r="CF228" s="38"/>
      <c r="CG228" s="38"/>
      <c r="CH228" s="38"/>
      <c r="CI228" s="38"/>
      <c r="CJ228" s="38"/>
      <c r="CK228" s="38"/>
      <c r="CL228" s="38"/>
      <c r="CM228" s="38"/>
      <c r="CN228" s="38"/>
      <c r="CO228" s="38"/>
      <c r="CP228" s="38"/>
      <c r="CQ228" s="38"/>
      <c r="CR228" s="38"/>
      <c r="CS228" s="38"/>
      <c r="CT228" s="38"/>
      <c r="CU228" s="38"/>
      <c r="CV228" s="38"/>
      <c r="CW228" s="38"/>
      <c r="CX228" s="38"/>
      <c r="CY228" s="38"/>
      <c r="CZ228" s="38"/>
    </row>
    <row r="229" spans="1:104" s="40" customFormat="1" ht="20.149999999999999" customHeight="1">
      <c r="A229" s="358">
        <f t="shared" si="59"/>
        <v>228</v>
      </c>
      <c r="B229" s="359" t="str">
        <f>'Front Sheet and Checklist'!$C$5</f>
        <v>Swansea Bay UHB</v>
      </c>
      <c r="C229" s="17"/>
      <c r="D229" s="17"/>
      <c r="E229" s="17"/>
      <c r="F229" s="17"/>
      <c r="G229" s="17"/>
      <c r="H229" s="17"/>
      <c r="I229" s="361">
        <f t="shared" si="49"/>
        <v>0</v>
      </c>
      <c r="J229" s="17"/>
      <c r="K229" s="18"/>
      <c r="L229" s="18"/>
      <c r="M229" s="17"/>
      <c r="N229" s="17"/>
      <c r="O229" s="17"/>
      <c r="P229" s="17"/>
      <c r="Q229" s="169"/>
      <c r="R229" s="24"/>
      <c r="S229" s="24"/>
      <c r="T229" s="24"/>
      <c r="U229" s="25"/>
      <c r="V229" s="25"/>
      <c r="W229" s="25"/>
      <c r="X229" s="24"/>
      <c r="Y229" s="24"/>
      <c r="Z229" s="24"/>
      <c r="AA229" s="24"/>
      <c r="AB229" s="24"/>
      <c r="AC229" s="24"/>
      <c r="AD229" s="361">
        <f t="shared" si="48"/>
        <v>0</v>
      </c>
      <c r="AE229" s="359" t="str">
        <f t="shared" si="51"/>
        <v/>
      </c>
      <c r="AF229" s="359" t="str">
        <f t="shared" si="60"/>
        <v/>
      </c>
      <c r="AG229" s="359" t="str">
        <f t="shared" si="52"/>
        <v/>
      </c>
      <c r="AH229" s="359" t="str">
        <f t="shared" si="53"/>
        <v/>
      </c>
      <c r="AI229" s="359" t="str">
        <f t="shared" si="54"/>
        <v/>
      </c>
      <c r="AJ229" s="359" t="str">
        <f t="shared" si="55"/>
        <v/>
      </c>
      <c r="AK229" s="359" t="str">
        <f t="shared" si="57"/>
        <v/>
      </c>
      <c r="AL229" s="359" t="str">
        <f t="shared" si="56"/>
        <v/>
      </c>
      <c r="AM229" s="359" t="str">
        <f t="shared" si="58"/>
        <v/>
      </c>
      <c r="AN229" s="262">
        <f t="shared" si="61"/>
        <v>0</v>
      </c>
      <c r="AO229" s="262" t="str">
        <f>IFERROR(HLOOKUP(AN229,'Ref Lists'!Q$1:AL$2,2,FALSE),'Ref Lists'!$AK$2)</f>
        <v>Savings21</v>
      </c>
      <c r="AP229" s="38"/>
      <c r="AQ229" s="38">
        <f t="shared" si="50"/>
        <v>0</v>
      </c>
      <c r="AR229" s="38"/>
      <c r="AS229" s="38"/>
      <c r="AT229" s="38"/>
      <c r="AU229" s="38"/>
      <c r="AV229" s="38"/>
      <c r="AW229" s="38"/>
      <c r="AX229" s="38"/>
      <c r="AY229" s="38"/>
      <c r="AZ229" s="38"/>
      <c r="BA229" s="38"/>
      <c r="BB229" s="38"/>
      <c r="BC229" s="38"/>
      <c r="BD229" s="38"/>
      <c r="BE229" s="38"/>
      <c r="BF229" s="38"/>
      <c r="BG229" s="38"/>
      <c r="BH229" s="38"/>
      <c r="BI229" s="38"/>
      <c r="BJ229" s="38"/>
      <c r="BK229" s="38"/>
      <c r="BL229" s="38"/>
      <c r="BM229" s="38"/>
      <c r="BN229" s="38"/>
      <c r="BO229" s="38"/>
      <c r="BP229" s="38"/>
      <c r="BQ229" s="38"/>
      <c r="BR229" s="38"/>
      <c r="BS229" s="38"/>
      <c r="BT229" s="38"/>
      <c r="BU229" s="38"/>
      <c r="BV229" s="38"/>
      <c r="BW229" s="38"/>
      <c r="BX229" s="38"/>
      <c r="BY229" s="38"/>
      <c r="BZ229" s="38"/>
      <c r="CA229" s="38"/>
      <c r="CB229" s="38"/>
      <c r="CC229" s="38"/>
      <c r="CD229" s="38"/>
      <c r="CE229" s="38"/>
      <c r="CF229" s="38"/>
      <c r="CG229" s="38"/>
      <c r="CH229" s="38"/>
      <c r="CI229" s="38"/>
      <c r="CJ229" s="38"/>
      <c r="CK229" s="38"/>
      <c r="CL229" s="38"/>
      <c r="CM229" s="38"/>
      <c r="CN229" s="38"/>
      <c r="CO229" s="38"/>
      <c r="CP229" s="38"/>
      <c r="CQ229" s="38"/>
      <c r="CR229" s="38"/>
      <c r="CS229" s="38"/>
      <c r="CT229" s="38"/>
      <c r="CU229" s="38"/>
      <c r="CV229" s="38"/>
      <c r="CW229" s="38"/>
      <c r="CX229" s="38"/>
      <c r="CY229" s="38"/>
      <c r="CZ229" s="38"/>
    </row>
    <row r="230" spans="1:104" s="40" customFormat="1" ht="20.149999999999999" customHeight="1">
      <c r="A230" s="358">
        <f t="shared" si="59"/>
        <v>229</v>
      </c>
      <c r="B230" s="359" t="str">
        <f>'Front Sheet and Checklist'!$C$5</f>
        <v>Swansea Bay UHB</v>
      </c>
      <c r="C230" s="17"/>
      <c r="D230" s="17"/>
      <c r="E230" s="17"/>
      <c r="F230" s="17"/>
      <c r="G230" s="17"/>
      <c r="H230" s="17"/>
      <c r="I230" s="361">
        <f t="shared" si="49"/>
        <v>0</v>
      </c>
      <c r="J230" s="17"/>
      <c r="K230" s="18"/>
      <c r="L230" s="18"/>
      <c r="M230" s="17"/>
      <c r="N230" s="17"/>
      <c r="O230" s="17"/>
      <c r="P230" s="17"/>
      <c r="Q230" s="169"/>
      <c r="R230" s="24"/>
      <c r="S230" s="24"/>
      <c r="T230" s="24"/>
      <c r="U230" s="25"/>
      <c r="V230" s="25"/>
      <c r="W230" s="25"/>
      <c r="X230" s="24"/>
      <c r="Y230" s="24"/>
      <c r="Z230" s="24"/>
      <c r="AA230" s="24"/>
      <c r="AB230" s="24"/>
      <c r="AC230" s="24"/>
      <c r="AD230" s="361">
        <f t="shared" si="48"/>
        <v>0</v>
      </c>
      <c r="AE230" s="359" t="str">
        <f t="shared" si="51"/>
        <v/>
      </c>
      <c r="AF230" s="359" t="str">
        <f t="shared" si="60"/>
        <v/>
      </c>
      <c r="AG230" s="359" t="str">
        <f t="shared" si="52"/>
        <v/>
      </c>
      <c r="AH230" s="359" t="str">
        <f t="shared" si="53"/>
        <v/>
      </c>
      <c r="AI230" s="359" t="str">
        <f t="shared" si="54"/>
        <v/>
      </c>
      <c r="AJ230" s="359" t="str">
        <f t="shared" si="55"/>
        <v/>
      </c>
      <c r="AK230" s="359" t="str">
        <f t="shared" si="57"/>
        <v/>
      </c>
      <c r="AL230" s="359" t="str">
        <f t="shared" si="56"/>
        <v/>
      </c>
      <c r="AM230" s="359" t="str">
        <f t="shared" si="58"/>
        <v/>
      </c>
      <c r="AN230" s="262">
        <f t="shared" si="61"/>
        <v>0</v>
      </c>
      <c r="AO230" s="262" t="str">
        <f>IFERROR(HLOOKUP(AN230,'Ref Lists'!Q$1:AL$2,2,FALSE),'Ref Lists'!$AK$2)</f>
        <v>Savings21</v>
      </c>
      <c r="AP230" s="38"/>
      <c r="AQ230" s="38">
        <f t="shared" si="50"/>
        <v>0</v>
      </c>
      <c r="AR230" s="38"/>
      <c r="AS230" s="38"/>
      <c r="AT230" s="38"/>
      <c r="AU230" s="38"/>
      <c r="AV230" s="38"/>
      <c r="AW230" s="38"/>
      <c r="AX230" s="38"/>
      <c r="AY230" s="38"/>
      <c r="AZ230" s="38"/>
      <c r="BA230" s="38"/>
      <c r="BB230" s="38"/>
      <c r="BC230" s="38"/>
      <c r="BD230" s="38"/>
      <c r="BE230" s="38"/>
      <c r="BF230" s="38"/>
      <c r="BG230" s="38"/>
      <c r="BH230" s="38"/>
      <c r="BI230" s="38"/>
      <c r="BJ230" s="38"/>
      <c r="BK230" s="38"/>
      <c r="BL230" s="38"/>
      <c r="BM230" s="38"/>
      <c r="BN230" s="38"/>
      <c r="BO230" s="38"/>
      <c r="BP230" s="38"/>
      <c r="BQ230" s="38"/>
      <c r="BR230" s="38"/>
      <c r="BS230" s="38"/>
      <c r="BT230" s="38"/>
      <c r="BU230" s="38"/>
      <c r="BV230" s="38"/>
      <c r="BW230" s="38"/>
      <c r="BX230" s="38"/>
      <c r="BY230" s="38"/>
      <c r="BZ230" s="38"/>
      <c r="CA230" s="38"/>
      <c r="CB230" s="38"/>
      <c r="CC230" s="38"/>
      <c r="CD230" s="38"/>
      <c r="CE230" s="38"/>
      <c r="CF230" s="38"/>
      <c r="CG230" s="38"/>
      <c r="CH230" s="38"/>
      <c r="CI230" s="38"/>
      <c r="CJ230" s="38"/>
      <c r="CK230" s="38"/>
      <c r="CL230" s="38"/>
      <c r="CM230" s="38"/>
      <c r="CN230" s="38"/>
      <c r="CO230" s="38"/>
      <c r="CP230" s="38"/>
      <c r="CQ230" s="38"/>
      <c r="CR230" s="38"/>
      <c r="CS230" s="38"/>
      <c r="CT230" s="38"/>
      <c r="CU230" s="38"/>
      <c r="CV230" s="38"/>
      <c r="CW230" s="38"/>
      <c r="CX230" s="38"/>
      <c r="CY230" s="38"/>
      <c r="CZ230" s="38"/>
    </row>
    <row r="231" spans="1:104" s="40" customFormat="1" ht="20.149999999999999" customHeight="1">
      <c r="A231" s="358">
        <f t="shared" si="59"/>
        <v>230</v>
      </c>
      <c r="B231" s="359" t="str">
        <f>'Front Sheet and Checklist'!$C$5</f>
        <v>Swansea Bay UHB</v>
      </c>
      <c r="C231" s="17"/>
      <c r="D231" s="17"/>
      <c r="E231" s="17"/>
      <c r="F231" s="17"/>
      <c r="G231" s="17"/>
      <c r="H231" s="17"/>
      <c r="I231" s="361">
        <f t="shared" si="49"/>
        <v>0</v>
      </c>
      <c r="J231" s="17"/>
      <c r="K231" s="18"/>
      <c r="L231" s="18"/>
      <c r="M231" s="17"/>
      <c r="N231" s="17"/>
      <c r="O231" s="17"/>
      <c r="P231" s="17"/>
      <c r="Q231" s="169"/>
      <c r="R231" s="24"/>
      <c r="S231" s="24"/>
      <c r="T231" s="24"/>
      <c r="U231" s="25"/>
      <c r="V231" s="25"/>
      <c r="W231" s="25"/>
      <c r="X231" s="24"/>
      <c r="Y231" s="24"/>
      <c r="Z231" s="24"/>
      <c r="AA231" s="24"/>
      <c r="AB231" s="24"/>
      <c r="AC231" s="24"/>
      <c r="AD231" s="361">
        <f t="shared" si="48"/>
        <v>0</v>
      </c>
      <c r="AE231" s="359" t="str">
        <f t="shared" si="51"/>
        <v/>
      </c>
      <c r="AF231" s="359" t="str">
        <f t="shared" si="60"/>
        <v/>
      </c>
      <c r="AG231" s="359" t="str">
        <f t="shared" si="52"/>
        <v/>
      </c>
      <c r="AH231" s="359" t="str">
        <f t="shared" si="53"/>
        <v/>
      </c>
      <c r="AI231" s="359" t="str">
        <f t="shared" si="54"/>
        <v/>
      </c>
      <c r="AJ231" s="359" t="str">
        <f t="shared" si="55"/>
        <v/>
      </c>
      <c r="AK231" s="359" t="str">
        <f t="shared" si="57"/>
        <v/>
      </c>
      <c r="AL231" s="359" t="str">
        <f t="shared" si="56"/>
        <v/>
      </c>
      <c r="AM231" s="359" t="str">
        <f t="shared" si="58"/>
        <v/>
      </c>
      <c r="AN231" s="262">
        <f t="shared" si="61"/>
        <v>0</v>
      </c>
      <c r="AO231" s="262" t="str">
        <f>IFERROR(HLOOKUP(AN231,'Ref Lists'!Q$1:AL$2,2,FALSE),'Ref Lists'!$AK$2)</f>
        <v>Savings21</v>
      </c>
      <c r="AP231" s="38"/>
      <c r="AQ231" s="38">
        <f t="shared" si="50"/>
        <v>0</v>
      </c>
      <c r="AR231" s="38"/>
      <c r="AS231" s="38"/>
      <c r="AT231" s="38"/>
      <c r="AU231" s="38"/>
      <c r="AV231" s="38"/>
      <c r="AW231" s="38"/>
      <c r="AX231" s="38"/>
      <c r="AY231" s="38"/>
      <c r="AZ231" s="38"/>
      <c r="BA231" s="38"/>
      <c r="BB231" s="38"/>
      <c r="BC231" s="38"/>
      <c r="BD231" s="38"/>
      <c r="BE231" s="38"/>
      <c r="BF231" s="38"/>
      <c r="BG231" s="38"/>
      <c r="BH231" s="38"/>
      <c r="BI231" s="38"/>
      <c r="BJ231" s="38"/>
      <c r="BK231" s="38"/>
      <c r="BL231" s="38"/>
      <c r="BM231" s="38"/>
      <c r="BN231" s="38"/>
      <c r="BO231" s="38"/>
      <c r="BP231" s="38"/>
      <c r="BQ231" s="38"/>
      <c r="BR231" s="38"/>
      <c r="BS231" s="38"/>
      <c r="BT231" s="38"/>
      <c r="BU231" s="38"/>
      <c r="BV231" s="38"/>
      <c r="BW231" s="38"/>
      <c r="BX231" s="38"/>
      <c r="BY231" s="38"/>
      <c r="BZ231" s="38"/>
      <c r="CA231" s="38"/>
      <c r="CB231" s="38"/>
      <c r="CC231" s="38"/>
      <c r="CD231" s="38"/>
      <c r="CE231" s="38"/>
      <c r="CF231" s="38"/>
      <c r="CG231" s="38"/>
      <c r="CH231" s="38"/>
      <c r="CI231" s="38"/>
      <c r="CJ231" s="38"/>
      <c r="CK231" s="38"/>
      <c r="CL231" s="38"/>
      <c r="CM231" s="38"/>
      <c r="CN231" s="38"/>
      <c r="CO231" s="38"/>
      <c r="CP231" s="38"/>
      <c r="CQ231" s="38"/>
      <c r="CR231" s="38"/>
      <c r="CS231" s="38"/>
      <c r="CT231" s="38"/>
      <c r="CU231" s="38"/>
      <c r="CV231" s="38"/>
      <c r="CW231" s="38"/>
      <c r="CX231" s="38"/>
      <c r="CY231" s="38"/>
      <c r="CZ231" s="38"/>
    </row>
    <row r="232" spans="1:104" s="40" customFormat="1" ht="20.149999999999999" customHeight="1">
      <c r="A232" s="358">
        <f t="shared" si="59"/>
        <v>231</v>
      </c>
      <c r="B232" s="359" t="str">
        <f>'Front Sheet and Checklist'!$C$5</f>
        <v>Swansea Bay UHB</v>
      </c>
      <c r="C232" s="17"/>
      <c r="D232" s="17"/>
      <c r="E232" s="17"/>
      <c r="F232" s="17"/>
      <c r="G232" s="17"/>
      <c r="H232" s="17"/>
      <c r="I232" s="361">
        <f t="shared" si="49"/>
        <v>0</v>
      </c>
      <c r="J232" s="17"/>
      <c r="K232" s="18"/>
      <c r="L232" s="18"/>
      <c r="M232" s="17"/>
      <c r="N232" s="17"/>
      <c r="O232" s="17"/>
      <c r="P232" s="17"/>
      <c r="Q232" s="169"/>
      <c r="R232" s="24"/>
      <c r="S232" s="24"/>
      <c r="T232" s="24"/>
      <c r="U232" s="25"/>
      <c r="V232" s="25"/>
      <c r="W232" s="25"/>
      <c r="X232" s="24"/>
      <c r="Y232" s="24"/>
      <c r="Z232" s="24"/>
      <c r="AA232" s="24"/>
      <c r="AB232" s="24"/>
      <c r="AC232" s="24"/>
      <c r="AD232" s="361">
        <f t="shared" si="48"/>
        <v>0</v>
      </c>
      <c r="AE232" s="359" t="str">
        <f t="shared" si="51"/>
        <v/>
      </c>
      <c r="AF232" s="359" t="str">
        <f t="shared" si="60"/>
        <v/>
      </c>
      <c r="AG232" s="359" t="str">
        <f t="shared" si="52"/>
        <v/>
      </c>
      <c r="AH232" s="359" t="str">
        <f t="shared" si="53"/>
        <v/>
      </c>
      <c r="AI232" s="359" t="str">
        <f t="shared" si="54"/>
        <v/>
      </c>
      <c r="AJ232" s="359" t="str">
        <f t="shared" si="55"/>
        <v/>
      </c>
      <c r="AK232" s="359" t="str">
        <f t="shared" si="57"/>
        <v/>
      </c>
      <c r="AL232" s="359" t="str">
        <f t="shared" si="56"/>
        <v/>
      </c>
      <c r="AM232" s="359" t="str">
        <f t="shared" si="58"/>
        <v/>
      </c>
      <c r="AN232" s="262">
        <f t="shared" si="61"/>
        <v>0</v>
      </c>
      <c r="AO232" s="262" t="str">
        <f>IFERROR(HLOOKUP(AN232,'Ref Lists'!Q$1:AL$2,2,FALSE),'Ref Lists'!$AK$2)</f>
        <v>Savings21</v>
      </c>
      <c r="AP232" s="38"/>
      <c r="AQ232" s="38">
        <f t="shared" si="50"/>
        <v>0</v>
      </c>
      <c r="AR232" s="38"/>
      <c r="AS232" s="38"/>
      <c r="AT232" s="38"/>
      <c r="AU232" s="38"/>
      <c r="AV232" s="38"/>
      <c r="AW232" s="38"/>
      <c r="AX232" s="38"/>
      <c r="AY232" s="38"/>
      <c r="AZ232" s="38"/>
      <c r="BA232" s="38"/>
      <c r="BB232" s="38"/>
      <c r="BC232" s="38"/>
      <c r="BD232" s="38"/>
      <c r="BE232" s="38"/>
      <c r="BF232" s="38"/>
      <c r="BG232" s="38"/>
      <c r="BH232" s="38"/>
      <c r="BI232" s="38"/>
      <c r="BJ232" s="38"/>
      <c r="BK232" s="38"/>
      <c r="BL232" s="38"/>
      <c r="BM232" s="38"/>
      <c r="BN232" s="38"/>
      <c r="BO232" s="38"/>
      <c r="BP232" s="38"/>
      <c r="BQ232" s="38"/>
      <c r="BR232" s="38"/>
      <c r="BS232" s="38"/>
      <c r="BT232" s="38"/>
      <c r="BU232" s="38"/>
      <c r="BV232" s="38"/>
      <c r="BW232" s="38"/>
      <c r="BX232" s="38"/>
      <c r="BY232" s="38"/>
      <c r="BZ232" s="38"/>
      <c r="CA232" s="38"/>
      <c r="CB232" s="38"/>
      <c r="CC232" s="38"/>
      <c r="CD232" s="38"/>
      <c r="CE232" s="38"/>
      <c r="CF232" s="38"/>
      <c r="CG232" s="38"/>
      <c r="CH232" s="38"/>
      <c r="CI232" s="38"/>
      <c r="CJ232" s="38"/>
      <c r="CK232" s="38"/>
      <c r="CL232" s="38"/>
      <c r="CM232" s="38"/>
      <c r="CN232" s="38"/>
      <c r="CO232" s="38"/>
      <c r="CP232" s="38"/>
      <c r="CQ232" s="38"/>
      <c r="CR232" s="38"/>
      <c r="CS232" s="38"/>
      <c r="CT232" s="38"/>
      <c r="CU232" s="38"/>
      <c r="CV232" s="38"/>
      <c r="CW232" s="38"/>
      <c r="CX232" s="38"/>
      <c r="CY232" s="38"/>
      <c r="CZ232" s="38"/>
    </row>
    <row r="233" spans="1:104" s="40" customFormat="1" ht="20.149999999999999" customHeight="1">
      <c r="A233" s="358">
        <f t="shared" si="59"/>
        <v>232</v>
      </c>
      <c r="B233" s="359" t="str">
        <f>'Front Sheet and Checklist'!$C$5</f>
        <v>Swansea Bay UHB</v>
      </c>
      <c r="C233" s="17"/>
      <c r="D233" s="17"/>
      <c r="E233" s="17"/>
      <c r="F233" s="17"/>
      <c r="G233" s="17"/>
      <c r="H233" s="17"/>
      <c r="I233" s="361">
        <f t="shared" si="49"/>
        <v>0</v>
      </c>
      <c r="J233" s="17"/>
      <c r="K233" s="18"/>
      <c r="L233" s="18"/>
      <c r="M233" s="17"/>
      <c r="N233" s="17"/>
      <c r="O233" s="17"/>
      <c r="P233" s="17"/>
      <c r="Q233" s="169"/>
      <c r="R233" s="24"/>
      <c r="S233" s="24"/>
      <c r="T233" s="24"/>
      <c r="U233" s="25"/>
      <c r="V233" s="25"/>
      <c r="W233" s="25"/>
      <c r="X233" s="24"/>
      <c r="Y233" s="24"/>
      <c r="Z233" s="24"/>
      <c r="AA233" s="24"/>
      <c r="AB233" s="24"/>
      <c r="AC233" s="24"/>
      <c r="AD233" s="361">
        <f t="shared" si="48"/>
        <v>0</v>
      </c>
      <c r="AE233" s="359" t="str">
        <f t="shared" si="51"/>
        <v/>
      </c>
      <c r="AF233" s="359" t="str">
        <f t="shared" si="60"/>
        <v/>
      </c>
      <c r="AG233" s="359" t="str">
        <f t="shared" si="52"/>
        <v/>
      </c>
      <c r="AH233" s="359" t="str">
        <f t="shared" si="53"/>
        <v/>
      </c>
      <c r="AI233" s="359" t="str">
        <f t="shared" si="54"/>
        <v/>
      </c>
      <c r="AJ233" s="359" t="str">
        <f t="shared" si="55"/>
        <v/>
      </c>
      <c r="AK233" s="359" t="str">
        <f t="shared" si="57"/>
        <v/>
      </c>
      <c r="AL233" s="359" t="str">
        <f t="shared" si="56"/>
        <v/>
      </c>
      <c r="AM233" s="359" t="str">
        <f t="shared" si="58"/>
        <v/>
      </c>
      <c r="AN233" s="262">
        <f t="shared" si="61"/>
        <v>0</v>
      </c>
      <c r="AO233" s="262" t="str">
        <f>IFERROR(HLOOKUP(AN233,'Ref Lists'!Q$1:AL$2,2,FALSE),'Ref Lists'!$AK$2)</f>
        <v>Savings21</v>
      </c>
      <c r="AP233" s="38"/>
      <c r="AQ233" s="38">
        <f t="shared" si="50"/>
        <v>0</v>
      </c>
      <c r="AR233" s="38"/>
      <c r="AS233" s="38"/>
      <c r="AT233" s="38"/>
      <c r="AU233" s="38"/>
      <c r="AV233" s="38"/>
      <c r="AW233" s="38"/>
      <c r="AX233" s="38"/>
      <c r="AY233" s="38"/>
      <c r="AZ233" s="38"/>
      <c r="BA233" s="38"/>
      <c r="BB233" s="38"/>
      <c r="BC233" s="38"/>
      <c r="BD233" s="38"/>
      <c r="BE233" s="38"/>
      <c r="BF233" s="38"/>
      <c r="BG233" s="38"/>
      <c r="BH233" s="38"/>
      <c r="BI233" s="38"/>
      <c r="BJ233" s="38"/>
      <c r="BK233" s="38"/>
      <c r="BL233" s="38"/>
      <c r="BM233" s="38"/>
      <c r="BN233" s="38"/>
      <c r="BO233" s="38"/>
      <c r="BP233" s="38"/>
      <c r="BQ233" s="38"/>
      <c r="BR233" s="38"/>
      <c r="BS233" s="38"/>
      <c r="BT233" s="38"/>
      <c r="BU233" s="38"/>
      <c r="BV233" s="38"/>
      <c r="BW233" s="38"/>
      <c r="BX233" s="38"/>
      <c r="BY233" s="38"/>
      <c r="BZ233" s="38"/>
      <c r="CA233" s="38"/>
      <c r="CB233" s="38"/>
      <c r="CC233" s="38"/>
      <c r="CD233" s="38"/>
      <c r="CE233" s="38"/>
      <c r="CF233" s="38"/>
      <c r="CG233" s="38"/>
      <c r="CH233" s="38"/>
      <c r="CI233" s="38"/>
      <c r="CJ233" s="38"/>
      <c r="CK233" s="38"/>
      <c r="CL233" s="38"/>
      <c r="CM233" s="38"/>
      <c r="CN233" s="38"/>
      <c r="CO233" s="38"/>
      <c r="CP233" s="38"/>
      <c r="CQ233" s="38"/>
      <c r="CR233" s="38"/>
      <c r="CS233" s="38"/>
      <c r="CT233" s="38"/>
      <c r="CU233" s="38"/>
      <c r="CV233" s="38"/>
      <c r="CW233" s="38"/>
      <c r="CX233" s="38"/>
      <c r="CY233" s="38"/>
      <c r="CZ233" s="38"/>
    </row>
    <row r="234" spans="1:104" s="40" customFormat="1" ht="20.149999999999999" customHeight="1">
      <c r="A234" s="358">
        <f t="shared" si="59"/>
        <v>233</v>
      </c>
      <c r="B234" s="359" t="str">
        <f>'Front Sheet and Checklist'!$C$5</f>
        <v>Swansea Bay UHB</v>
      </c>
      <c r="C234" s="17"/>
      <c r="D234" s="17"/>
      <c r="E234" s="17"/>
      <c r="F234" s="17"/>
      <c r="G234" s="17"/>
      <c r="H234" s="17"/>
      <c r="I234" s="361">
        <f t="shared" si="49"/>
        <v>0</v>
      </c>
      <c r="J234" s="17"/>
      <c r="K234" s="18"/>
      <c r="L234" s="18"/>
      <c r="M234" s="17"/>
      <c r="N234" s="17"/>
      <c r="O234" s="17"/>
      <c r="P234" s="17"/>
      <c r="Q234" s="169"/>
      <c r="R234" s="24"/>
      <c r="S234" s="24"/>
      <c r="T234" s="24"/>
      <c r="U234" s="25"/>
      <c r="V234" s="25"/>
      <c r="W234" s="25"/>
      <c r="X234" s="24"/>
      <c r="Y234" s="24"/>
      <c r="Z234" s="24"/>
      <c r="AA234" s="24"/>
      <c r="AB234" s="24"/>
      <c r="AC234" s="24"/>
      <c r="AD234" s="361">
        <f t="shared" si="48"/>
        <v>0</v>
      </c>
      <c r="AE234" s="359" t="str">
        <f t="shared" si="51"/>
        <v/>
      </c>
      <c r="AF234" s="359" t="str">
        <f t="shared" si="60"/>
        <v/>
      </c>
      <c r="AG234" s="359" t="str">
        <f t="shared" si="52"/>
        <v/>
      </c>
      <c r="AH234" s="359" t="str">
        <f t="shared" si="53"/>
        <v/>
      </c>
      <c r="AI234" s="359" t="str">
        <f t="shared" si="54"/>
        <v/>
      </c>
      <c r="AJ234" s="359" t="str">
        <f t="shared" si="55"/>
        <v/>
      </c>
      <c r="AK234" s="359" t="str">
        <f t="shared" si="57"/>
        <v/>
      </c>
      <c r="AL234" s="359" t="str">
        <f t="shared" si="56"/>
        <v/>
      </c>
      <c r="AM234" s="359" t="str">
        <f t="shared" si="58"/>
        <v/>
      </c>
      <c r="AN234" s="262">
        <f t="shared" si="61"/>
        <v>0</v>
      </c>
      <c r="AO234" s="262" t="str">
        <f>IFERROR(HLOOKUP(AN234,'Ref Lists'!Q$1:AL$2,2,FALSE),'Ref Lists'!$AK$2)</f>
        <v>Savings21</v>
      </c>
      <c r="AP234" s="38"/>
      <c r="AQ234" s="38">
        <f t="shared" si="50"/>
        <v>0</v>
      </c>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c r="BW234" s="38"/>
      <c r="BX234" s="38"/>
      <c r="BY234" s="38"/>
      <c r="BZ234" s="38"/>
      <c r="CA234" s="38"/>
      <c r="CB234" s="38"/>
      <c r="CC234" s="38"/>
      <c r="CD234" s="38"/>
      <c r="CE234" s="38"/>
      <c r="CF234" s="38"/>
      <c r="CG234" s="38"/>
      <c r="CH234" s="38"/>
      <c r="CI234" s="38"/>
      <c r="CJ234" s="38"/>
      <c r="CK234" s="38"/>
      <c r="CL234" s="38"/>
      <c r="CM234" s="38"/>
      <c r="CN234" s="38"/>
      <c r="CO234" s="38"/>
      <c r="CP234" s="38"/>
      <c r="CQ234" s="38"/>
      <c r="CR234" s="38"/>
      <c r="CS234" s="38"/>
      <c r="CT234" s="38"/>
      <c r="CU234" s="38"/>
      <c r="CV234" s="38"/>
      <c r="CW234" s="38"/>
      <c r="CX234" s="38"/>
      <c r="CY234" s="38"/>
      <c r="CZ234" s="38"/>
    </row>
    <row r="235" spans="1:104" s="40" customFormat="1" ht="20.149999999999999" customHeight="1">
      <c r="A235" s="358">
        <f t="shared" si="59"/>
        <v>234</v>
      </c>
      <c r="B235" s="359" t="str">
        <f>'Front Sheet and Checklist'!$C$5</f>
        <v>Swansea Bay UHB</v>
      </c>
      <c r="C235" s="17"/>
      <c r="D235" s="17"/>
      <c r="E235" s="17"/>
      <c r="F235" s="17"/>
      <c r="G235" s="17"/>
      <c r="H235" s="17"/>
      <c r="I235" s="361">
        <f t="shared" si="49"/>
        <v>0</v>
      </c>
      <c r="J235" s="17"/>
      <c r="K235" s="18"/>
      <c r="L235" s="18"/>
      <c r="M235" s="17"/>
      <c r="N235" s="17"/>
      <c r="O235" s="17"/>
      <c r="P235" s="17"/>
      <c r="Q235" s="169"/>
      <c r="R235" s="24"/>
      <c r="S235" s="24"/>
      <c r="T235" s="24"/>
      <c r="U235" s="25"/>
      <c r="V235" s="25"/>
      <c r="W235" s="25"/>
      <c r="X235" s="24"/>
      <c r="Y235" s="24"/>
      <c r="Z235" s="24"/>
      <c r="AA235" s="24"/>
      <c r="AB235" s="24"/>
      <c r="AC235" s="24"/>
      <c r="AD235" s="361">
        <f t="shared" si="48"/>
        <v>0</v>
      </c>
      <c r="AE235" s="359" t="str">
        <f t="shared" si="51"/>
        <v/>
      </c>
      <c r="AF235" s="359" t="str">
        <f t="shared" si="60"/>
        <v/>
      </c>
      <c r="AG235" s="359" t="str">
        <f t="shared" si="52"/>
        <v/>
      </c>
      <c r="AH235" s="359" t="str">
        <f t="shared" si="53"/>
        <v/>
      </c>
      <c r="AI235" s="359" t="str">
        <f t="shared" si="54"/>
        <v/>
      </c>
      <c r="AJ235" s="359" t="str">
        <f t="shared" si="55"/>
        <v/>
      </c>
      <c r="AK235" s="359" t="str">
        <f t="shared" si="57"/>
        <v/>
      </c>
      <c r="AL235" s="359" t="str">
        <f t="shared" si="56"/>
        <v/>
      </c>
      <c r="AM235" s="359" t="str">
        <f t="shared" si="58"/>
        <v/>
      </c>
      <c r="AN235" s="262">
        <f t="shared" si="61"/>
        <v>0</v>
      </c>
      <c r="AO235" s="262" t="str">
        <f>IFERROR(HLOOKUP(AN235,'Ref Lists'!Q$1:AL$2,2,FALSE),'Ref Lists'!$AK$2)</f>
        <v>Savings21</v>
      </c>
      <c r="AP235" s="38"/>
      <c r="AQ235" s="38">
        <f t="shared" si="50"/>
        <v>0</v>
      </c>
      <c r="AR235" s="38"/>
      <c r="AS235" s="38"/>
      <c r="AT235" s="38"/>
      <c r="AU235" s="38"/>
      <c r="AV235" s="38"/>
      <c r="AW235" s="38"/>
      <c r="AX235" s="38"/>
      <c r="AY235" s="38"/>
      <c r="AZ235" s="38"/>
      <c r="BA235" s="38"/>
      <c r="BB235" s="38"/>
      <c r="BC235" s="38"/>
      <c r="BD235" s="38"/>
      <c r="BE235" s="38"/>
      <c r="BF235" s="38"/>
      <c r="BG235" s="38"/>
      <c r="BH235" s="38"/>
      <c r="BI235" s="38"/>
      <c r="BJ235" s="38"/>
      <c r="BK235" s="38"/>
      <c r="BL235" s="38"/>
      <c r="BM235" s="38"/>
      <c r="BN235" s="38"/>
      <c r="BO235" s="38"/>
      <c r="BP235" s="38"/>
      <c r="BQ235" s="38"/>
      <c r="BR235" s="38"/>
      <c r="BS235" s="38"/>
      <c r="BT235" s="38"/>
      <c r="BU235" s="38"/>
      <c r="BV235" s="38"/>
      <c r="BW235" s="38"/>
      <c r="BX235" s="38"/>
      <c r="BY235" s="38"/>
      <c r="BZ235" s="38"/>
      <c r="CA235" s="38"/>
      <c r="CB235" s="38"/>
      <c r="CC235" s="38"/>
      <c r="CD235" s="38"/>
      <c r="CE235" s="38"/>
      <c r="CF235" s="38"/>
      <c r="CG235" s="38"/>
      <c r="CH235" s="38"/>
      <c r="CI235" s="38"/>
      <c r="CJ235" s="38"/>
      <c r="CK235" s="38"/>
      <c r="CL235" s="38"/>
      <c r="CM235" s="38"/>
      <c r="CN235" s="38"/>
      <c r="CO235" s="38"/>
      <c r="CP235" s="38"/>
      <c r="CQ235" s="38"/>
      <c r="CR235" s="38"/>
      <c r="CS235" s="38"/>
      <c r="CT235" s="38"/>
      <c r="CU235" s="38"/>
      <c r="CV235" s="38"/>
      <c r="CW235" s="38"/>
      <c r="CX235" s="38"/>
      <c r="CY235" s="38"/>
      <c r="CZ235" s="38"/>
    </row>
    <row r="236" spans="1:104" s="40" customFormat="1" ht="20.149999999999999" customHeight="1">
      <c r="A236" s="358">
        <f t="shared" si="59"/>
        <v>235</v>
      </c>
      <c r="B236" s="359" t="str">
        <f>'Front Sheet and Checklist'!$C$5</f>
        <v>Swansea Bay UHB</v>
      </c>
      <c r="C236" s="17"/>
      <c r="D236" s="17"/>
      <c r="E236" s="17"/>
      <c r="F236" s="17"/>
      <c r="G236" s="17"/>
      <c r="H236" s="17"/>
      <c r="I236" s="361">
        <f t="shared" si="49"/>
        <v>0</v>
      </c>
      <c r="J236" s="17"/>
      <c r="K236" s="18"/>
      <c r="L236" s="18"/>
      <c r="M236" s="17"/>
      <c r="N236" s="17"/>
      <c r="O236" s="17"/>
      <c r="P236" s="17"/>
      <c r="Q236" s="169"/>
      <c r="R236" s="24"/>
      <c r="S236" s="24"/>
      <c r="T236" s="24"/>
      <c r="U236" s="25"/>
      <c r="V236" s="25"/>
      <c r="W236" s="25"/>
      <c r="X236" s="24"/>
      <c r="Y236" s="24"/>
      <c r="Z236" s="24"/>
      <c r="AA236" s="24"/>
      <c r="AB236" s="24"/>
      <c r="AC236" s="24"/>
      <c r="AD236" s="361">
        <f t="shared" si="48"/>
        <v>0</v>
      </c>
      <c r="AE236" s="359" t="str">
        <f t="shared" si="51"/>
        <v/>
      </c>
      <c r="AF236" s="359" t="str">
        <f t="shared" si="60"/>
        <v/>
      </c>
      <c r="AG236" s="359" t="str">
        <f t="shared" si="52"/>
        <v/>
      </c>
      <c r="AH236" s="359" t="str">
        <f t="shared" si="53"/>
        <v/>
      </c>
      <c r="AI236" s="359" t="str">
        <f t="shared" si="54"/>
        <v/>
      </c>
      <c r="AJ236" s="359" t="str">
        <f t="shared" si="55"/>
        <v/>
      </c>
      <c r="AK236" s="359" t="str">
        <f t="shared" si="57"/>
        <v/>
      </c>
      <c r="AL236" s="359" t="str">
        <f t="shared" si="56"/>
        <v/>
      </c>
      <c r="AM236" s="359" t="str">
        <f t="shared" si="58"/>
        <v/>
      </c>
      <c r="AN236" s="262">
        <f t="shared" si="61"/>
        <v>0</v>
      </c>
      <c r="AO236" s="262" t="str">
        <f>IFERROR(HLOOKUP(AN236,'Ref Lists'!Q$1:AL$2,2,FALSE),'Ref Lists'!$AK$2)</f>
        <v>Savings21</v>
      </c>
      <c r="AP236" s="38"/>
      <c r="AQ236" s="38">
        <f t="shared" si="50"/>
        <v>0</v>
      </c>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c r="BX236" s="38"/>
      <c r="BY236" s="38"/>
      <c r="BZ236" s="38"/>
      <c r="CA236" s="38"/>
      <c r="CB236" s="38"/>
      <c r="CC236" s="38"/>
      <c r="CD236" s="38"/>
      <c r="CE236" s="38"/>
      <c r="CF236" s="38"/>
      <c r="CG236" s="38"/>
      <c r="CH236" s="38"/>
      <c r="CI236" s="38"/>
      <c r="CJ236" s="38"/>
      <c r="CK236" s="38"/>
      <c r="CL236" s="38"/>
      <c r="CM236" s="38"/>
      <c r="CN236" s="38"/>
      <c r="CO236" s="38"/>
      <c r="CP236" s="38"/>
      <c r="CQ236" s="38"/>
      <c r="CR236" s="38"/>
      <c r="CS236" s="38"/>
      <c r="CT236" s="38"/>
      <c r="CU236" s="38"/>
      <c r="CV236" s="38"/>
      <c r="CW236" s="38"/>
      <c r="CX236" s="38"/>
      <c r="CY236" s="38"/>
      <c r="CZ236" s="38"/>
    </row>
    <row r="237" spans="1:104" s="40" customFormat="1" ht="20.149999999999999" customHeight="1">
      <c r="A237" s="358">
        <f t="shared" si="59"/>
        <v>236</v>
      </c>
      <c r="B237" s="359" t="str">
        <f>'Front Sheet and Checklist'!$C$5</f>
        <v>Swansea Bay UHB</v>
      </c>
      <c r="C237" s="17"/>
      <c r="D237" s="17"/>
      <c r="E237" s="17"/>
      <c r="F237" s="17"/>
      <c r="G237" s="17"/>
      <c r="H237" s="17"/>
      <c r="I237" s="361">
        <f t="shared" si="49"/>
        <v>0</v>
      </c>
      <c r="J237" s="17"/>
      <c r="K237" s="18"/>
      <c r="L237" s="18"/>
      <c r="M237" s="17"/>
      <c r="N237" s="17"/>
      <c r="O237" s="17"/>
      <c r="P237" s="17"/>
      <c r="Q237" s="169"/>
      <c r="R237" s="24"/>
      <c r="S237" s="24"/>
      <c r="T237" s="24"/>
      <c r="U237" s="25"/>
      <c r="V237" s="25"/>
      <c r="W237" s="25"/>
      <c r="X237" s="24"/>
      <c r="Y237" s="24"/>
      <c r="Z237" s="24"/>
      <c r="AA237" s="24"/>
      <c r="AB237" s="24"/>
      <c r="AC237" s="24"/>
      <c r="AD237" s="361">
        <f t="shared" si="48"/>
        <v>0</v>
      </c>
      <c r="AE237" s="359" t="str">
        <f t="shared" si="51"/>
        <v/>
      </c>
      <c r="AF237" s="359" t="str">
        <f t="shared" si="60"/>
        <v/>
      </c>
      <c r="AG237" s="359" t="str">
        <f t="shared" si="52"/>
        <v/>
      </c>
      <c r="AH237" s="359" t="str">
        <f t="shared" si="53"/>
        <v/>
      </c>
      <c r="AI237" s="359" t="str">
        <f t="shared" si="54"/>
        <v/>
      </c>
      <c r="AJ237" s="359" t="str">
        <f t="shared" si="55"/>
        <v/>
      </c>
      <c r="AK237" s="359" t="str">
        <f t="shared" si="57"/>
        <v/>
      </c>
      <c r="AL237" s="359" t="str">
        <f t="shared" si="56"/>
        <v/>
      </c>
      <c r="AM237" s="359" t="str">
        <f t="shared" si="58"/>
        <v/>
      </c>
      <c r="AN237" s="262">
        <f t="shared" si="61"/>
        <v>0</v>
      </c>
      <c r="AO237" s="262" t="str">
        <f>IFERROR(HLOOKUP(AN237,'Ref Lists'!Q$1:AL$2,2,FALSE),'Ref Lists'!$AK$2)</f>
        <v>Savings21</v>
      </c>
      <c r="AP237" s="38"/>
      <c r="AQ237" s="38">
        <f t="shared" si="50"/>
        <v>0</v>
      </c>
      <c r="AR237" s="38"/>
      <c r="AS237" s="38"/>
      <c r="AT237" s="38"/>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c r="BU237" s="38"/>
      <c r="BV237" s="38"/>
      <c r="BW237" s="38"/>
      <c r="BX237" s="38"/>
      <c r="BY237" s="38"/>
      <c r="BZ237" s="38"/>
      <c r="CA237" s="38"/>
      <c r="CB237" s="38"/>
      <c r="CC237" s="38"/>
      <c r="CD237" s="38"/>
      <c r="CE237" s="38"/>
      <c r="CF237" s="38"/>
      <c r="CG237" s="38"/>
      <c r="CH237" s="38"/>
      <c r="CI237" s="38"/>
      <c r="CJ237" s="38"/>
      <c r="CK237" s="38"/>
      <c r="CL237" s="38"/>
      <c r="CM237" s="38"/>
      <c r="CN237" s="38"/>
      <c r="CO237" s="38"/>
      <c r="CP237" s="38"/>
      <c r="CQ237" s="38"/>
      <c r="CR237" s="38"/>
      <c r="CS237" s="38"/>
      <c r="CT237" s="38"/>
      <c r="CU237" s="38"/>
      <c r="CV237" s="38"/>
      <c r="CW237" s="38"/>
      <c r="CX237" s="38"/>
      <c r="CY237" s="38"/>
      <c r="CZ237" s="38"/>
    </row>
    <row r="238" spans="1:104" s="40" customFormat="1" ht="20.149999999999999" customHeight="1">
      <c r="A238" s="358">
        <f t="shared" si="59"/>
        <v>237</v>
      </c>
      <c r="B238" s="359" t="str">
        <f>'Front Sheet and Checklist'!$C$5</f>
        <v>Swansea Bay UHB</v>
      </c>
      <c r="C238" s="17"/>
      <c r="D238" s="17"/>
      <c r="E238" s="17"/>
      <c r="F238" s="17"/>
      <c r="G238" s="17"/>
      <c r="H238" s="17"/>
      <c r="I238" s="361">
        <f t="shared" si="49"/>
        <v>0</v>
      </c>
      <c r="J238" s="17"/>
      <c r="K238" s="18"/>
      <c r="L238" s="18"/>
      <c r="M238" s="17"/>
      <c r="N238" s="17"/>
      <c r="O238" s="17"/>
      <c r="P238" s="17"/>
      <c r="Q238" s="169"/>
      <c r="R238" s="24"/>
      <c r="S238" s="24"/>
      <c r="T238" s="24"/>
      <c r="U238" s="25"/>
      <c r="V238" s="25"/>
      <c r="W238" s="25"/>
      <c r="X238" s="24"/>
      <c r="Y238" s="24"/>
      <c r="Z238" s="24"/>
      <c r="AA238" s="24"/>
      <c r="AB238" s="24"/>
      <c r="AC238" s="24"/>
      <c r="AD238" s="361">
        <f t="shared" si="48"/>
        <v>0</v>
      </c>
      <c r="AE238" s="359" t="str">
        <f t="shared" si="51"/>
        <v/>
      </c>
      <c r="AF238" s="359" t="str">
        <f t="shared" si="60"/>
        <v/>
      </c>
      <c r="AG238" s="359" t="str">
        <f t="shared" si="52"/>
        <v/>
      </c>
      <c r="AH238" s="359" t="str">
        <f t="shared" si="53"/>
        <v/>
      </c>
      <c r="AI238" s="359" t="str">
        <f t="shared" si="54"/>
        <v/>
      </c>
      <c r="AJ238" s="359" t="str">
        <f t="shared" si="55"/>
        <v/>
      </c>
      <c r="AK238" s="359" t="str">
        <f t="shared" si="57"/>
        <v/>
      </c>
      <c r="AL238" s="359" t="str">
        <f t="shared" si="56"/>
        <v/>
      </c>
      <c r="AM238" s="359" t="str">
        <f t="shared" si="58"/>
        <v/>
      </c>
      <c r="AN238" s="262">
        <f t="shared" si="61"/>
        <v>0</v>
      </c>
      <c r="AO238" s="262" t="str">
        <f>IFERROR(HLOOKUP(AN238,'Ref Lists'!Q$1:AL$2,2,FALSE),'Ref Lists'!$AK$2)</f>
        <v>Savings21</v>
      </c>
      <c r="AP238" s="38"/>
      <c r="AQ238" s="38">
        <f t="shared" si="50"/>
        <v>0</v>
      </c>
      <c r="AR238" s="38"/>
      <c r="AS238" s="38"/>
      <c r="AT238" s="38"/>
      <c r="AU238" s="38"/>
      <c r="AV238" s="38"/>
      <c r="AW238" s="38"/>
      <c r="AX238" s="38"/>
      <c r="AY238" s="38"/>
      <c r="AZ238" s="38"/>
      <c r="BA238" s="38"/>
      <c r="BB238" s="38"/>
      <c r="BC238" s="38"/>
      <c r="BD238" s="38"/>
      <c r="BE238" s="38"/>
      <c r="BF238" s="38"/>
      <c r="BG238" s="38"/>
      <c r="BH238" s="38"/>
      <c r="BI238" s="38"/>
      <c r="BJ238" s="38"/>
      <c r="BK238" s="38"/>
      <c r="BL238" s="38"/>
      <c r="BM238" s="38"/>
      <c r="BN238" s="38"/>
      <c r="BO238" s="38"/>
      <c r="BP238" s="38"/>
      <c r="BQ238" s="38"/>
      <c r="BR238" s="38"/>
      <c r="BS238" s="38"/>
      <c r="BT238" s="38"/>
      <c r="BU238" s="38"/>
      <c r="BV238" s="38"/>
      <c r="BW238" s="38"/>
      <c r="BX238" s="38"/>
      <c r="BY238" s="38"/>
      <c r="BZ238" s="38"/>
      <c r="CA238" s="38"/>
      <c r="CB238" s="38"/>
      <c r="CC238" s="38"/>
      <c r="CD238" s="38"/>
      <c r="CE238" s="38"/>
      <c r="CF238" s="38"/>
      <c r="CG238" s="38"/>
      <c r="CH238" s="38"/>
      <c r="CI238" s="38"/>
      <c r="CJ238" s="38"/>
      <c r="CK238" s="38"/>
      <c r="CL238" s="38"/>
      <c r="CM238" s="38"/>
      <c r="CN238" s="38"/>
      <c r="CO238" s="38"/>
      <c r="CP238" s="38"/>
      <c r="CQ238" s="38"/>
      <c r="CR238" s="38"/>
      <c r="CS238" s="38"/>
      <c r="CT238" s="38"/>
      <c r="CU238" s="38"/>
      <c r="CV238" s="38"/>
      <c r="CW238" s="38"/>
      <c r="CX238" s="38"/>
      <c r="CY238" s="38"/>
      <c r="CZ238" s="38"/>
    </row>
    <row r="239" spans="1:104" s="40" customFormat="1" ht="20.149999999999999" customHeight="1">
      <c r="A239" s="358">
        <f t="shared" si="59"/>
        <v>238</v>
      </c>
      <c r="B239" s="359" t="str">
        <f>'Front Sheet and Checklist'!$C$5</f>
        <v>Swansea Bay UHB</v>
      </c>
      <c r="C239" s="17"/>
      <c r="D239" s="17"/>
      <c r="E239" s="17"/>
      <c r="F239" s="17"/>
      <c r="G239" s="17"/>
      <c r="H239" s="17"/>
      <c r="I239" s="361">
        <f t="shared" si="49"/>
        <v>0</v>
      </c>
      <c r="J239" s="17"/>
      <c r="K239" s="18"/>
      <c r="L239" s="18"/>
      <c r="M239" s="17"/>
      <c r="N239" s="17"/>
      <c r="O239" s="17"/>
      <c r="P239" s="17"/>
      <c r="Q239" s="169"/>
      <c r="R239" s="24"/>
      <c r="S239" s="24"/>
      <c r="T239" s="24"/>
      <c r="U239" s="25"/>
      <c r="V239" s="25"/>
      <c r="W239" s="25"/>
      <c r="X239" s="24"/>
      <c r="Y239" s="24"/>
      <c r="Z239" s="24"/>
      <c r="AA239" s="24"/>
      <c r="AB239" s="24"/>
      <c r="AC239" s="24"/>
      <c r="AD239" s="361">
        <f t="shared" si="48"/>
        <v>0</v>
      </c>
      <c r="AE239" s="359" t="str">
        <f t="shared" si="51"/>
        <v/>
      </c>
      <c r="AF239" s="359" t="str">
        <f t="shared" si="60"/>
        <v/>
      </c>
      <c r="AG239" s="359" t="str">
        <f t="shared" si="52"/>
        <v/>
      </c>
      <c r="AH239" s="359" t="str">
        <f t="shared" si="53"/>
        <v/>
      </c>
      <c r="AI239" s="359" t="str">
        <f t="shared" si="54"/>
        <v/>
      </c>
      <c r="AJ239" s="359" t="str">
        <f t="shared" si="55"/>
        <v/>
      </c>
      <c r="AK239" s="359" t="str">
        <f t="shared" si="57"/>
        <v/>
      </c>
      <c r="AL239" s="359" t="str">
        <f t="shared" si="56"/>
        <v/>
      </c>
      <c r="AM239" s="359" t="str">
        <f t="shared" si="58"/>
        <v/>
      </c>
      <c r="AN239" s="262">
        <f t="shared" si="61"/>
        <v>0</v>
      </c>
      <c r="AO239" s="262" t="str">
        <f>IFERROR(HLOOKUP(AN239,'Ref Lists'!Q$1:AL$2,2,FALSE),'Ref Lists'!$AK$2)</f>
        <v>Savings21</v>
      </c>
      <c r="AP239" s="38"/>
      <c r="AQ239" s="38">
        <f t="shared" si="50"/>
        <v>0</v>
      </c>
      <c r="AR239" s="38"/>
      <c r="AS239" s="38"/>
      <c r="AT239" s="38"/>
      <c r="AU239" s="38"/>
      <c r="AV239" s="38"/>
      <c r="AW239" s="38"/>
      <c r="AX239" s="38"/>
      <c r="AY239" s="38"/>
      <c r="AZ239" s="38"/>
      <c r="BA239" s="38"/>
      <c r="BB239" s="38"/>
      <c r="BC239" s="38"/>
      <c r="BD239" s="38"/>
      <c r="BE239" s="38"/>
      <c r="BF239" s="38"/>
      <c r="BG239" s="38"/>
      <c r="BH239" s="38"/>
      <c r="BI239" s="38"/>
      <c r="BJ239" s="38"/>
      <c r="BK239" s="38"/>
      <c r="BL239" s="38"/>
      <c r="BM239" s="38"/>
      <c r="BN239" s="38"/>
      <c r="BO239" s="38"/>
      <c r="BP239" s="38"/>
      <c r="BQ239" s="38"/>
      <c r="BR239" s="38"/>
      <c r="BS239" s="38"/>
      <c r="BT239" s="38"/>
      <c r="BU239" s="38"/>
      <c r="BV239" s="38"/>
      <c r="BW239" s="38"/>
      <c r="BX239" s="38"/>
      <c r="BY239" s="38"/>
      <c r="BZ239" s="38"/>
      <c r="CA239" s="38"/>
      <c r="CB239" s="38"/>
      <c r="CC239" s="38"/>
      <c r="CD239" s="38"/>
      <c r="CE239" s="38"/>
      <c r="CF239" s="38"/>
      <c r="CG239" s="38"/>
      <c r="CH239" s="38"/>
      <c r="CI239" s="38"/>
      <c r="CJ239" s="38"/>
      <c r="CK239" s="38"/>
      <c r="CL239" s="38"/>
      <c r="CM239" s="38"/>
      <c r="CN239" s="38"/>
      <c r="CO239" s="38"/>
      <c r="CP239" s="38"/>
      <c r="CQ239" s="38"/>
      <c r="CR239" s="38"/>
      <c r="CS239" s="38"/>
      <c r="CT239" s="38"/>
      <c r="CU239" s="38"/>
      <c r="CV239" s="38"/>
      <c r="CW239" s="38"/>
      <c r="CX239" s="38"/>
      <c r="CY239" s="38"/>
      <c r="CZ239" s="38"/>
    </row>
    <row r="240" spans="1:104" s="40" customFormat="1" ht="20.149999999999999" customHeight="1">
      <c r="A240" s="358">
        <f t="shared" si="59"/>
        <v>239</v>
      </c>
      <c r="B240" s="359" t="str">
        <f>'Front Sheet and Checklist'!$C$5</f>
        <v>Swansea Bay UHB</v>
      </c>
      <c r="C240" s="17"/>
      <c r="D240" s="17"/>
      <c r="E240" s="17"/>
      <c r="F240" s="17"/>
      <c r="G240" s="17"/>
      <c r="H240" s="17"/>
      <c r="I240" s="361">
        <f t="shared" si="49"/>
        <v>0</v>
      </c>
      <c r="J240" s="17"/>
      <c r="K240" s="18"/>
      <c r="L240" s="18"/>
      <c r="M240" s="17"/>
      <c r="N240" s="17"/>
      <c r="O240" s="17"/>
      <c r="P240" s="17"/>
      <c r="Q240" s="169"/>
      <c r="R240" s="24"/>
      <c r="S240" s="24"/>
      <c r="T240" s="24"/>
      <c r="U240" s="25"/>
      <c r="V240" s="25"/>
      <c r="W240" s="25"/>
      <c r="X240" s="24"/>
      <c r="Y240" s="24"/>
      <c r="Z240" s="24"/>
      <c r="AA240" s="24"/>
      <c r="AB240" s="24"/>
      <c r="AC240" s="24"/>
      <c r="AD240" s="361">
        <f t="shared" si="48"/>
        <v>0</v>
      </c>
      <c r="AE240" s="359" t="str">
        <f t="shared" si="51"/>
        <v/>
      </c>
      <c r="AF240" s="359" t="str">
        <f t="shared" si="60"/>
        <v/>
      </c>
      <c r="AG240" s="359" t="str">
        <f t="shared" si="52"/>
        <v/>
      </c>
      <c r="AH240" s="359" t="str">
        <f t="shared" si="53"/>
        <v/>
      </c>
      <c r="AI240" s="359" t="str">
        <f t="shared" si="54"/>
        <v/>
      </c>
      <c r="AJ240" s="359" t="str">
        <f t="shared" si="55"/>
        <v/>
      </c>
      <c r="AK240" s="359" t="str">
        <f t="shared" si="57"/>
        <v/>
      </c>
      <c r="AL240" s="359" t="str">
        <f t="shared" si="56"/>
        <v/>
      </c>
      <c r="AM240" s="359" t="str">
        <f t="shared" si="58"/>
        <v/>
      </c>
      <c r="AN240" s="262">
        <f t="shared" si="61"/>
        <v>0</v>
      </c>
      <c r="AO240" s="262" t="str">
        <f>IFERROR(HLOOKUP(AN240,'Ref Lists'!Q$1:AL$2,2,FALSE),'Ref Lists'!$AK$2)</f>
        <v>Savings21</v>
      </c>
      <c r="AP240" s="38"/>
      <c r="AQ240" s="38">
        <f t="shared" si="50"/>
        <v>0</v>
      </c>
      <c r="AR240" s="38"/>
      <c r="AS240" s="38"/>
      <c r="AT240" s="38"/>
      <c r="AU240" s="38"/>
      <c r="AV240" s="38"/>
      <c r="AW240" s="38"/>
      <c r="AX240" s="38"/>
      <c r="AY240" s="38"/>
      <c r="AZ240" s="38"/>
      <c r="BA240" s="38"/>
      <c r="BB240" s="38"/>
      <c r="BC240" s="38"/>
      <c r="BD240" s="38"/>
      <c r="BE240" s="38"/>
      <c r="BF240" s="38"/>
      <c r="BG240" s="38"/>
      <c r="BH240" s="38"/>
      <c r="BI240" s="38"/>
      <c r="BJ240" s="38"/>
      <c r="BK240" s="38"/>
      <c r="BL240" s="38"/>
      <c r="BM240" s="38"/>
      <c r="BN240" s="38"/>
      <c r="BO240" s="38"/>
      <c r="BP240" s="38"/>
      <c r="BQ240" s="38"/>
      <c r="BR240" s="38"/>
      <c r="BS240" s="38"/>
      <c r="BT240" s="38"/>
      <c r="BU240" s="38"/>
      <c r="BV240" s="38"/>
      <c r="BW240" s="38"/>
      <c r="BX240" s="38"/>
      <c r="BY240" s="38"/>
      <c r="BZ240" s="38"/>
      <c r="CA240" s="38"/>
      <c r="CB240" s="38"/>
      <c r="CC240" s="38"/>
      <c r="CD240" s="38"/>
      <c r="CE240" s="38"/>
      <c r="CF240" s="38"/>
      <c r="CG240" s="38"/>
      <c r="CH240" s="38"/>
      <c r="CI240" s="38"/>
      <c r="CJ240" s="38"/>
      <c r="CK240" s="38"/>
      <c r="CL240" s="38"/>
      <c r="CM240" s="38"/>
      <c r="CN240" s="38"/>
      <c r="CO240" s="38"/>
      <c r="CP240" s="38"/>
      <c r="CQ240" s="38"/>
      <c r="CR240" s="38"/>
      <c r="CS240" s="38"/>
      <c r="CT240" s="38"/>
      <c r="CU240" s="38"/>
      <c r="CV240" s="38"/>
      <c r="CW240" s="38"/>
      <c r="CX240" s="38"/>
      <c r="CY240" s="38"/>
      <c r="CZ240" s="38"/>
    </row>
    <row r="241" spans="1:104" s="40" customFormat="1" ht="20.149999999999999" customHeight="1">
      <c r="A241" s="358">
        <f t="shared" si="59"/>
        <v>240</v>
      </c>
      <c r="B241" s="359" t="str">
        <f>'Front Sheet and Checklist'!$C$5</f>
        <v>Swansea Bay UHB</v>
      </c>
      <c r="C241" s="17"/>
      <c r="D241" s="17"/>
      <c r="E241" s="17"/>
      <c r="F241" s="17"/>
      <c r="G241" s="17"/>
      <c r="H241" s="17"/>
      <c r="I241" s="361">
        <f t="shared" si="49"/>
        <v>0</v>
      </c>
      <c r="J241" s="17"/>
      <c r="K241" s="18"/>
      <c r="L241" s="18"/>
      <c r="M241" s="17"/>
      <c r="N241" s="17"/>
      <c r="O241" s="17"/>
      <c r="P241" s="17"/>
      <c r="Q241" s="169"/>
      <c r="R241" s="24"/>
      <c r="S241" s="24"/>
      <c r="T241" s="24"/>
      <c r="U241" s="25"/>
      <c r="V241" s="25"/>
      <c r="W241" s="25"/>
      <c r="X241" s="24"/>
      <c r="Y241" s="24"/>
      <c r="Z241" s="24"/>
      <c r="AA241" s="24"/>
      <c r="AB241" s="24"/>
      <c r="AC241" s="24"/>
      <c r="AD241" s="361">
        <f t="shared" si="48"/>
        <v>0</v>
      </c>
      <c r="AE241" s="359" t="str">
        <f t="shared" si="51"/>
        <v/>
      </c>
      <c r="AF241" s="359" t="str">
        <f t="shared" si="60"/>
        <v/>
      </c>
      <c r="AG241" s="359" t="str">
        <f t="shared" si="52"/>
        <v/>
      </c>
      <c r="AH241" s="359" t="str">
        <f t="shared" si="53"/>
        <v/>
      </c>
      <c r="AI241" s="359" t="str">
        <f t="shared" si="54"/>
        <v/>
      </c>
      <c r="AJ241" s="359" t="str">
        <f t="shared" si="55"/>
        <v/>
      </c>
      <c r="AK241" s="359" t="str">
        <f t="shared" si="57"/>
        <v/>
      </c>
      <c r="AL241" s="359" t="str">
        <f t="shared" si="56"/>
        <v/>
      </c>
      <c r="AM241" s="359" t="str">
        <f t="shared" si="58"/>
        <v/>
      </c>
      <c r="AN241" s="262">
        <f t="shared" si="61"/>
        <v>0</v>
      </c>
      <c r="AO241" s="262" t="str">
        <f>IFERROR(HLOOKUP(AN241,'Ref Lists'!Q$1:AL$2,2,FALSE),'Ref Lists'!$AK$2)</f>
        <v>Savings21</v>
      </c>
      <c r="AP241" s="38"/>
      <c r="AQ241" s="38">
        <f t="shared" si="50"/>
        <v>0</v>
      </c>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c r="BU241" s="38"/>
      <c r="BV241" s="38"/>
      <c r="BW241" s="38"/>
      <c r="BX241" s="38"/>
      <c r="BY241" s="38"/>
      <c r="BZ241" s="38"/>
      <c r="CA241" s="38"/>
      <c r="CB241" s="38"/>
      <c r="CC241" s="38"/>
      <c r="CD241" s="38"/>
      <c r="CE241" s="38"/>
      <c r="CF241" s="38"/>
      <c r="CG241" s="38"/>
      <c r="CH241" s="38"/>
      <c r="CI241" s="38"/>
      <c r="CJ241" s="38"/>
      <c r="CK241" s="38"/>
      <c r="CL241" s="38"/>
      <c r="CM241" s="38"/>
      <c r="CN241" s="38"/>
      <c r="CO241" s="38"/>
      <c r="CP241" s="38"/>
      <c r="CQ241" s="38"/>
      <c r="CR241" s="38"/>
      <c r="CS241" s="38"/>
      <c r="CT241" s="38"/>
      <c r="CU241" s="38"/>
      <c r="CV241" s="38"/>
      <c r="CW241" s="38"/>
      <c r="CX241" s="38"/>
      <c r="CY241" s="38"/>
      <c r="CZ241" s="38"/>
    </row>
    <row r="242" spans="1:104" s="40" customFormat="1" ht="20.149999999999999" customHeight="1">
      <c r="A242" s="358">
        <f t="shared" si="59"/>
        <v>241</v>
      </c>
      <c r="B242" s="359" t="str">
        <f>'Front Sheet and Checklist'!$C$5</f>
        <v>Swansea Bay UHB</v>
      </c>
      <c r="C242" s="17"/>
      <c r="D242" s="17"/>
      <c r="E242" s="17"/>
      <c r="F242" s="17"/>
      <c r="G242" s="17"/>
      <c r="H242" s="17"/>
      <c r="I242" s="361">
        <f t="shared" si="49"/>
        <v>0</v>
      </c>
      <c r="J242" s="17"/>
      <c r="K242" s="18"/>
      <c r="L242" s="18"/>
      <c r="M242" s="17"/>
      <c r="N242" s="17"/>
      <c r="O242" s="17"/>
      <c r="P242" s="17"/>
      <c r="Q242" s="169"/>
      <c r="R242" s="24"/>
      <c r="S242" s="24"/>
      <c r="T242" s="24"/>
      <c r="U242" s="25"/>
      <c r="V242" s="25"/>
      <c r="W242" s="25"/>
      <c r="X242" s="24"/>
      <c r="Y242" s="24"/>
      <c r="Z242" s="24"/>
      <c r="AA242" s="24"/>
      <c r="AB242" s="24"/>
      <c r="AC242" s="24"/>
      <c r="AD242" s="361">
        <f t="shared" si="48"/>
        <v>0</v>
      </c>
      <c r="AE242" s="359" t="str">
        <f t="shared" si="51"/>
        <v/>
      </c>
      <c r="AF242" s="359" t="str">
        <f t="shared" si="60"/>
        <v/>
      </c>
      <c r="AG242" s="359" t="str">
        <f t="shared" si="52"/>
        <v/>
      </c>
      <c r="AH242" s="359" t="str">
        <f t="shared" si="53"/>
        <v/>
      </c>
      <c r="AI242" s="359" t="str">
        <f t="shared" si="54"/>
        <v/>
      </c>
      <c r="AJ242" s="359" t="str">
        <f t="shared" si="55"/>
        <v/>
      </c>
      <c r="AK242" s="359" t="str">
        <f t="shared" si="57"/>
        <v/>
      </c>
      <c r="AL242" s="359" t="str">
        <f t="shared" si="56"/>
        <v/>
      </c>
      <c r="AM242" s="359" t="str">
        <f t="shared" si="58"/>
        <v/>
      </c>
      <c r="AN242" s="262">
        <f t="shared" si="61"/>
        <v>0</v>
      </c>
      <c r="AO242" s="262" t="str">
        <f>IFERROR(HLOOKUP(AN242,'Ref Lists'!Q$1:AL$2,2,FALSE),'Ref Lists'!$AK$2)</f>
        <v>Savings21</v>
      </c>
      <c r="AP242" s="38"/>
      <c r="AQ242" s="38">
        <f t="shared" si="50"/>
        <v>0</v>
      </c>
      <c r="AR242" s="38"/>
      <c r="AS242" s="38"/>
      <c r="AT242" s="38"/>
      <c r="AU242" s="38"/>
      <c r="AV242" s="38"/>
      <c r="AW242" s="38"/>
      <c r="AX242" s="38"/>
      <c r="AY242" s="38"/>
      <c r="AZ242" s="38"/>
      <c r="BA242" s="38"/>
      <c r="BB242" s="38"/>
      <c r="BC242" s="38"/>
      <c r="BD242" s="38"/>
      <c r="BE242" s="38"/>
      <c r="BF242" s="38"/>
      <c r="BG242" s="38"/>
      <c r="BH242" s="38"/>
      <c r="BI242" s="38"/>
      <c r="BJ242" s="38"/>
      <c r="BK242" s="38"/>
      <c r="BL242" s="38"/>
      <c r="BM242" s="38"/>
      <c r="BN242" s="38"/>
      <c r="BO242" s="38"/>
      <c r="BP242" s="38"/>
      <c r="BQ242" s="38"/>
      <c r="BR242" s="38"/>
      <c r="BS242" s="38"/>
      <c r="BT242" s="38"/>
      <c r="BU242" s="38"/>
      <c r="BV242" s="38"/>
      <c r="BW242" s="38"/>
      <c r="BX242" s="38"/>
      <c r="BY242" s="38"/>
      <c r="BZ242" s="38"/>
      <c r="CA242" s="38"/>
      <c r="CB242" s="38"/>
      <c r="CC242" s="38"/>
      <c r="CD242" s="38"/>
      <c r="CE242" s="38"/>
      <c r="CF242" s="38"/>
      <c r="CG242" s="38"/>
      <c r="CH242" s="38"/>
      <c r="CI242" s="38"/>
      <c r="CJ242" s="38"/>
      <c r="CK242" s="38"/>
      <c r="CL242" s="38"/>
      <c r="CM242" s="38"/>
      <c r="CN242" s="38"/>
      <c r="CO242" s="38"/>
      <c r="CP242" s="38"/>
      <c r="CQ242" s="38"/>
      <c r="CR242" s="38"/>
      <c r="CS242" s="38"/>
      <c r="CT242" s="38"/>
      <c r="CU242" s="38"/>
      <c r="CV242" s="38"/>
      <c r="CW242" s="38"/>
      <c r="CX242" s="38"/>
      <c r="CY242" s="38"/>
      <c r="CZ242" s="38"/>
    </row>
    <row r="243" spans="1:104" s="40" customFormat="1" ht="20.149999999999999" customHeight="1">
      <c r="A243" s="358">
        <f t="shared" si="59"/>
        <v>242</v>
      </c>
      <c r="B243" s="359" t="str">
        <f>'Front Sheet and Checklist'!$C$5</f>
        <v>Swansea Bay UHB</v>
      </c>
      <c r="C243" s="17"/>
      <c r="D243" s="17"/>
      <c r="E243" s="17"/>
      <c r="F243" s="17"/>
      <c r="G243" s="17"/>
      <c r="H243" s="17"/>
      <c r="I243" s="361">
        <f t="shared" si="49"/>
        <v>0</v>
      </c>
      <c r="J243" s="17"/>
      <c r="K243" s="18"/>
      <c r="L243" s="18"/>
      <c r="M243" s="17"/>
      <c r="N243" s="17"/>
      <c r="O243" s="17"/>
      <c r="P243" s="17"/>
      <c r="Q243" s="169"/>
      <c r="R243" s="24"/>
      <c r="S243" s="24"/>
      <c r="T243" s="24"/>
      <c r="U243" s="25"/>
      <c r="V243" s="25"/>
      <c r="W243" s="25"/>
      <c r="X243" s="24"/>
      <c r="Y243" s="24"/>
      <c r="Z243" s="24"/>
      <c r="AA243" s="24"/>
      <c r="AB243" s="24"/>
      <c r="AC243" s="24"/>
      <c r="AD243" s="361">
        <f t="shared" si="48"/>
        <v>0</v>
      </c>
      <c r="AE243" s="359" t="str">
        <f t="shared" si="51"/>
        <v/>
      </c>
      <c r="AF243" s="359" t="str">
        <f t="shared" si="60"/>
        <v/>
      </c>
      <c r="AG243" s="359" t="str">
        <f t="shared" si="52"/>
        <v/>
      </c>
      <c r="AH243" s="359" t="str">
        <f t="shared" si="53"/>
        <v/>
      </c>
      <c r="AI243" s="359" t="str">
        <f t="shared" si="54"/>
        <v/>
      </c>
      <c r="AJ243" s="359" t="str">
        <f t="shared" si="55"/>
        <v/>
      </c>
      <c r="AK243" s="359" t="str">
        <f t="shared" si="57"/>
        <v/>
      </c>
      <c r="AL243" s="359" t="str">
        <f t="shared" si="56"/>
        <v/>
      </c>
      <c r="AM243" s="359" t="str">
        <f t="shared" si="58"/>
        <v/>
      </c>
      <c r="AN243" s="262">
        <f t="shared" si="61"/>
        <v>0</v>
      </c>
      <c r="AO243" s="262" t="str">
        <f>IFERROR(HLOOKUP(AN243,'Ref Lists'!Q$1:AL$2,2,FALSE),'Ref Lists'!$AK$2)</f>
        <v>Savings21</v>
      </c>
      <c r="AP243" s="38"/>
      <c r="AQ243" s="38">
        <f t="shared" si="50"/>
        <v>0</v>
      </c>
      <c r="AR243" s="38"/>
      <c r="AS243" s="38"/>
      <c r="AT243" s="38"/>
      <c r="AU243" s="38"/>
      <c r="AV243" s="38"/>
      <c r="AW243" s="38"/>
      <c r="AX243" s="38"/>
      <c r="AY243" s="38"/>
      <c r="AZ243" s="38"/>
      <c r="BA243" s="38"/>
      <c r="BB243" s="38"/>
      <c r="BC243" s="38"/>
      <c r="BD243" s="38"/>
      <c r="BE243" s="38"/>
      <c r="BF243" s="38"/>
      <c r="BG243" s="38"/>
      <c r="BH243" s="38"/>
      <c r="BI243" s="38"/>
      <c r="BJ243" s="38"/>
      <c r="BK243" s="38"/>
      <c r="BL243" s="38"/>
      <c r="BM243" s="38"/>
      <c r="BN243" s="38"/>
      <c r="BO243" s="38"/>
      <c r="BP243" s="38"/>
      <c r="BQ243" s="38"/>
      <c r="BR243" s="38"/>
      <c r="BS243" s="38"/>
      <c r="BT243" s="38"/>
      <c r="BU243" s="38"/>
      <c r="BV243" s="38"/>
      <c r="BW243" s="38"/>
      <c r="BX243" s="38"/>
      <c r="BY243" s="38"/>
      <c r="BZ243" s="38"/>
      <c r="CA243" s="38"/>
      <c r="CB243" s="38"/>
      <c r="CC243" s="38"/>
      <c r="CD243" s="38"/>
      <c r="CE243" s="38"/>
      <c r="CF243" s="38"/>
      <c r="CG243" s="38"/>
      <c r="CH243" s="38"/>
      <c r="CI243" s="38"/>
      <c r="CJ243" s="38"/>
      <c r="CK243" s="38"/>
      <c r="CL243" s="38"/>
      <c r="CM243" s="38"/>
      <c r="CN243" s="38"/>
      <c r="CO243" s="38"/>
      <c r="CP243" s="38"/>
      <c r="CQ243" s="38"/>
      <c r="CR243" s="38"/>
      <c r="CS243" s="38"/>
      <c r="CT243" s="38"/>
      <c r="CU243" s="38"/>
      <c r="CV243" s="38"/>
      <c r="CW243" s="38"/>
      <c r="CX243" s="38"/>
      <c r="CY243" s="38"/>
      <c r="CZ243" s="38"/>
    </row>
    <row r="244" spans="1:104" s="40" customFormat="1" ht="20.149999999999999" customHeight="1">
      <c r="A244" s="358">
        <f t="shared" si="59"/>
        <v>243</v>
      </c>
      <c r="B244" s="359" t="str">
        <f>'Front Sheet and Checklist'!$C$5</f>
        <v>Swansea Bay UHB</v>
      </c>
      <c r="C244" s="17"/>
      <c r="D244" s="17"/>
      <c r="E244" s="17"/>
      <c r="F244" s="17"/>
      <c r="G244" s="17"/>
      <c r="H244" s="17"/>
      <c r="I244" s="361">
        <f t="shared" si="49"/>
        <v>0</v>
      </c>
      <c r="J244" s="17"/>
      <c r="K244" s="18"/>
      <c r="L244" s="18"/>
      <c r="M244" s="17"/>
      <c r="N244" s="17"/>
      <c r="O244" s="17"/>
      <c r="P244" s="17"/>
      <c r="Q244" s="169"/>
      <c r="R244" s="24"/>
      <c r="S244" s="24"/>
      <c r="T244" s="24"/>
      <c r="U244" s="25"/>
      <c r="V244" s="25"/>
      <c r="W244" s="25"/>
      <c r="X244" s="24"/>
      <c r="Y244" s="24"/>
      <c r="Z244" s="24"/>
      <c r="AA244" s="24"/>
      <c r="AB244" s="24"/>
      <c r="AC244" s="24"/>
      <c r="AD244" s="361">
        <f t="shared" si="48"/>
        <v>0</v>
      </c>
      <c r="AE244" s="359" t="str">
        <f t="shared" si="51"/>
        <v/>
      </c>
      <c r="AF244" s="359" t="str">
        <f t="shared" si="60"/>
        <v/>
      </c>
      <c r="AG244" s="359" t="str">
        <f t="shared" si="52"/>
        <v/>
      </c>
      <c r="AH244" s="359" t="str">
        <f t="shared" si="53"/>
        <v/>
      </c>
      <c r="AI244" s="359" t="str">
        <f t="shared" si="54"/>
        <v/>
      </c>
      <c r="AJ244" s="359" t="str">
        <f t="shared" si="55"/>
        <v/>
      </c>
      <c r="AK244" s="359" t="str">
        <f t="shared" si="57"/>
        <v/>
      </c>
      <c r="AL244" s="359" t="str">
        <f t="shared" si="56"/>
        <v/>
      </c>
      <c r="AM244" s="359" t="str">
        <f t="shared" si="58"/>
        <v/>
      </c>
      <c r="AN244" s="262">
        <f t="shared" si="61"/>
        <v>0</v>
      </c>
      <c r="AO244" s="262" t="str">
        <f>IFERROR(HLOOKUP(AN244,'Ref Lists'!Q$1:AL$2,2,FALSE),'Ref Lists'!$AK$2)</f>
        <v>Savings21</v>
      </c>
      <c r="AP244" s="38"/>
      <c r="AQ244" s="38">
        <f t="shared" si="50"/>
        <v>0</v>
      </c>
      <c r="AR244" s="38"/>
      <c r="AS244" s="38"/>
      <c r="AT244" s="38"/>
      <c r="AU244" s="38"/>
      <c r="AV244" s="38"/>
      <c r="AW244" s="38"/>
      <c r="AX244" s="38"/>
      <c r="AY244" s="38"/>
      <c r="AZ244" s="38"/>
      <c r="BA244" s="38"/>
      <c r="BB244" s="38"/>
      <c r="BC244" s="38"/>
      <c r="BD244" s="38"/>
      <c r="BE244" s="38"/>
      <c r="BF244" s="38"/>
      <c r="BG244" s="38"/>
      <c r="BH244" s="38"/>
      <c r="BI244" s="38"/>
      <c r="BJ244" s="38"/>
      <c r="BK244" s="38"/>
      <c r="BL244" s="38"/>
      <c r="BM244" s="38"/>
      <c r="BN244" s="38"/>
      <c r="BO244" s="38"/>
      <c r="BP244" s="38"/>
      <c r="BQ244" s="38"/>
      <c r="BR244" s="38"/>
      <c r="BS244" s="38"/>
      <c r="BT244" s="38"/>
      <c r="BU244" s="38"/>
      <c r="BV244" s="38"/>
      <c r="BW244" s="38"/>
      <c r="BX244" s="38"/>
      <c r="BY244" s="38"/>
      <c r="BZ244" s="38"/>
      <c r="CA244" s="38"/>
      <c r="CB244" s="38"/>
      <c r="CC244" s="38"/>
      <c r="CD244" s="38"/>
      <c r="CE244" s="38"/>
      <c r="CF244" s="38"/>
      <c r="CG244" s="38"/>
      <c r="CH244" s="38"/>
      <c r="CI244" s="38"/>
      <c r="CJ244" s="38"/>
      <c r="CK244" s="38"/>
      <c r="CL244" s="38"/>
      <c r="CM244" s="38"/>
      <c r="CN244" s="38"/>
      <c r="CO244" s="38"/>
      <c r="CP244" s="38"/>
      <c r="CQ244" s="38"/>
      <c r="CR244" s="38"/>
      <c r="CS244" s="38"/>
      <c r="CT244" s="38"/>
      <c r="CU244" s="38"/>
      <c r="CV244" s="38"/>
      <c r="CW244" s="38"/>
      <c r="CX244" s="38"/>
      <c r="CY244" s="38"/>
      <c r="CZ244" s="38"/>
    </row>
    <row r="245" spans="1:104" s="40" customFormat="1" ht="20.149999999999999" customHeight="1">
      <c r="A245" s="358">
        <f t="shared" si="59"/>
        <v>244</v>
      </c>
      <c r="B245" s="359" t="str">
        <f>'Front Sheet and Checklist'!$C$5</f>
        <v>Swansea Bay UHB</v>
      </c>
      <c r="C245" s="17"/>
      <c r="D245" s="17"/>
      <c r="E245" s="17"/>
      <c r="F245" s="17"/>
      <c r="G245" s="17"/>
      <c r="H245" s="17"/>
      <c r="I245" s="361">
        <f t="shared" si="49"/>
        <v>0</v>
      </c>
      <c r="J245" s="17"/>
      <c r="K245" s="18"/>
      <c r="L245" s="18"/>
      <c r="M245" s="17"/>
      <c r="N245" s="17"/>
      <c r="O245" s="17"/>
      <c r="P245" s="17"/>
      <c r="Q245" s="169"/>
      <c r="R245" s="24"/>
      <c r="S245" s="24"/>
      <c r="T245" s="24"/>
      <c r="U245" s="25"/>
      <c r="V245" s="25"/>
      <c r="W245" s="25"/>
      <c r="X245" s="24"/>
      <c r="Y245" s="24"/>
      <c r="Z245" s="24"/>
      <c r="AA245" s="24"/>
      <c r="AB245" s="24"/>
      <c r="AC245" s="24"/>
      <c r="AD245" s="361">
        <f t="shared" si="48"/>
        <v>0</v>
      </c>
      <c r="AE245" s="359" t="str">
        <f t="shared" si="51"/>
        <v/>
      </c>
      <c r="AF245" s="359" t="str">
        <f t="shared" si="60"/>
        <v/>
      </c>
      <c r="AG245" s="359" t="str">
        <f t="shared" si="52"/>
        <v/>
      </c>
      <c r="AH245" s="359" t="str">
        <f t="shared" si="53"/>
        <v/>
      </c>
      <c r="AI245" s="359" t="str">
        <f t="shared" si="54"/>
        <v/>
      </c>
      <c r="AJ245" s="359" t="str">
        <f t="shared" si="55"/>
        <v/>
      </c>
      <c r="AK245" s="359" t="str">
        <f t="shared" si="57"/>
        <v/>
      </c>
      <c r="AL245" s="359" t="str">
        <f t="shared" si="56"/>
        <v/>
      </c>
      <c r="AM245" s="359" t="str">
        <f t="shared" si="58"/>
        <v/>
      </c>
      <c r="AN245" s="262">
        <f t="shared" si="61"/>
        <v>0</v>
      </c>
      <c r="AO245" s="262" t="str">
        <f>IFERROR(HLOOKUP(AN245,'Ref Lists'!Q$1:AL$2,2,FALSE),'Ref Lists'!$AK$2)</f>
        <v>Savings21</v>
      </c>
      <c r="AP245" s="38"/>
      <c r="AQ245" s="38">
        <f t="shared" si="50"/>
        <v>0</v>
      </c>
      <c r="AR245" s="38"/>
      <c r="AS245" s="38"/>
      <c r="AT245" s="38"/>
      <c r="AU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38"/>
      <c r="BU245" s="38"/>
      <c r="BV245" s="38"/>
      <c r="BW245" s="38"/>
      <c r="BX245" s="38"/>
      <c r="BY245" s="38"/>
      <c r="BZ245" s="38"/>
      <c r="CA245" s="38"/>
      <c r="CB245" s="38"/>
      <c r="CC245" s="38"/>
      <c r="CD245" s="38"/>
      <c r="CE245" s="38"/>
      <c r="CF245" s="38"/>
      <c r="CG245" s="38"/>
      <c r="CH245" s="38"/>
      <c r="CI245" s="38"/>
      <c r="CJ245" s="38"/>
      <c r="CK245" s="38"/>
      <c r="CL245" s="38"/>
      <c r="CM245" s="38"/>
      <c r="CN245" s="38"/>
      <c r="CO245" s="38"/>
      <c r="CP245" s="38"/>
      <c r="CQ245" s="38"/>
      <c r="CR245" s="38"/>
      <c r="CS245" s="38"/>
      <c r="CT245" s="38"/>
      <c r="CU245" s="38"/>
      <c r="CV245" s="38"/>
      <c r="CW245" s="38"/>
      <c r="CX245" s="38"/>
      <c r="CY245" s="38"/>
      <c r="CZ245" s="38"/>
    </row>
    <row r="246" spans="1:104" s="40" customFormat="1" ht="20.149999999999999" customHeight="1">
      <c r="A246" s="358">
        <f t="shared" si="59"/>
        <v>245</v>
      </c>
      <c r="B246" s="359" t="str">
        <f>'Front Sheet and Checklist'!$C$5</f>
        <v>Swansea Bay UHB</v>
      </c>
      <c r="C246" s="17"/>
      <c r="D246" s="17"/>
      <c r="E246" s="17"/>
      <c r="F246" s="17"/>
      <c r="G246" s="17"/>
      <c r="H246" s="17"/>
      <c r="I246" s="361">
        <f t="shared" si="49"/>
        <v>0</v>
      </c>
      <c r="J246" s="17"/>
      <c r="K246" s="18"/>
      <c r="L246" s="18"/>
      <c r="M246" s="17"/>
      <c r="N246" s="17"/>
      <c r="O246" s="17"/>
      <c r="P246" s="17"/>
      <c r="Q246" s="169"/>
      <c r="R246" s="24"/>
      <c r="S246" s="24"/>
      <c r="T246" s="24"/>
      <c r="U246" s="25"/>
      <c r="V246" s="25"/>
      <c r="W246" s="25"/>
      <c r="X246" s="24"/>
      <c r="Y246" s="24"/>
      <c r="Z246" s="24"/>
      <c r="AA246" s="24"/>
      <c r="AB246" s="24"/>
      <c r="AC246" s="24"/>
      <c r="AD246" s="361">
        <f t="shared" si="48"/>
        <v>0</v>
      </c>
      <c r="AE246" s="359" t="str">
        <f t="shared" si="51"/>
        <v/>
      </c>
      <c r="AF246" s="359" t="str">
        <f t="shared" si="60"/>
        <v/>
      </c>
      <c r="AG246" s="359" t="str">
        <f t="shared" si="52"/>
        <v/>
      </c>
      <c r="AH246" s="359" t="str">
        <f t="shared" si="53"/>
        <v/>
      </c>
      <c r="AI246" s="359" t="str">
        <f t="shared" si="54"/>
        <v/>
      </c>
      <c r="AJ246" s="359" t="str">
        <f t="shared" si="55"/>
        <v/>
      </c>
      <c r="AK246" s="359" t="str">
        <f t="shared" si="57"/>
        <v/>
      </c>
      <c r="AL246" s="359" t="str">
        <f t="shared" si="56"/>
        <v/>
      </c>
      <c r="AM246" s="359" t="str">
        <f t="shared" si="58"/>
        <v/>
      </c>
      <c r="AN246" s="262">
        <f t="shared" si="61"/>
        <v>0</v>
      </c>
      <c r="AO246" s="262" t="str">
        <f>IFERROR(HLOOKUP(AN246,'Ref Lists'!Q$1:AL$2,2,FALSE),'Ref Lists'!$AK$2)</f>
        <v>Savings21</v>
      </c>
      <c r="AP246" s="38"/>
      <c r="AQ246" s="38">
        <f t="shared" si="50"/>
        <v>0</v>
      </c>
      <c r="AR246" s="38"/>
      <c r="AS246" s="38"/>
      <c r="AT246" s="38"/>
      <c r="AU246" s="38"/>
      <c r="AV246" s="38"/>
      <c r="AW246" s="38"/>
      <c r="AX246" s="38"/>
      <c r="AY246" s="38"/>
      <c r="AZ246" s="38"/>
      <c r="BA246" s="38"/>
      <c r="BB246" s="38"/>
      <c r="BC246" s="38"/>
      <c r="BD246" s="38"/>
      <c r="BE246" s="38"/>
      <c r="BF246" s="38"/>
      <c r="BG246" s="38"/>
      <c r="BH246" s="38"/>
      <c r="BI246" s="38"/>
      <c r="BJ246" s="38"/>
      <c r="BK246" s="38"/>
      <c r="BL246" s="38"/>
      <c r="BM246" s="38"/>
      <c r="BN246" s="38"/>
      <c r="BO246" s="38"/>
      <c r="BP246" s="38"/>
      <c r="BQ246" s="38"/>
      <c r="BR246" s="38"/>
      <c r="BS246" s="38"/>
      <c r="BT246" s="38"/>
      <c r="BU246" s="38"/>
      <c r="BV246" s="38"/>
      <c r="BW246" s="38"/>
      <c r="BX246" s="38"/>
      <c r="BY246" s="38"/>
      <c r="BZ246" s="38"/>
      <c r="CA246" s="38"/>
      <c r="CB246" s="38"/>
      <c r="CC246" s="38"/>
      <c r="CD246" s="38"/>
      <c r="CE246" s="38"/>
      <c r="CF246" s="38"/>
      <c r="CG246" s="38"/>
      <c r="CH246" s="38"/>
      <c r="CI246" s="38"/>
      <c r="CJ246" s="38"/>
      <c r="CK246" s="38"/>
      <c r="CL246" s="38"/>
      <c r="CM246" s="38"/>
      <c r="CN246" s="38"/>
      <c r="CO246" s="38"/>
      <c r="CP246" s="38"/>
      <c r="CQ246" s="38"/>
      <c r="CR246" s="38"/>
      <c r="CS246" s="38"/>
      <c r="CT246" s="38"/>
      <c r="CU246" s="38"/>
      <c r="CV246" s="38"/>
      <c r="CW246" s="38"/>
      <c r="CX246" s="38"/>
      <c r="CY246" s="38"/>
      <c r="CZ246" s="38"/>
    </row>
    <row r="247" spans="1:104" s="40" customFormat="1" ht="20.149999999999999" customHeight="1">
      <c r="A247" s="358">
        <f t="shared" si="59"/>
        <v>246</v>
      </c>
      <c r="B247" s="359" t="str">
        <f>'Front Sheet and Checklist'!$C$5</f>
        <v>Swansea Bay UHB</v>
      </c>
      <c r="C247" s="17"/>
      <c r="D247" s="17"/>
      <c r="E247" s="17"/>
      <c r="F247" s="17"/>
      <c r="G247" s="17"/>
      <c r="H247" s="17"/>
      <c r="I247" s="361">
        <f t="shared" si="49"/>
        <v>0</v>
      </c>
      <c r="J247" s="17"/>
      <c r="K247" s="18"/>
      <c r="L247" s="18"/>
      <c r="M247" s="17"/>
      <c r="N247" s="17"/>
      <c r="O247" s="17"/>
      <c r="P247" s="17"/>
      <c r="Q247" s="169"/>
      <c r="R247" s="24"/>
      <c r="S247" s="24"/>
      <c r="T247" s="24"/>
      <c r="U247" s="25"/>
      <c r="V247" s="25"/>
      <c r="W247" s="25"/>
      <c r="X247" s="24"/>
      <c r="Y247" s="24"/>
      <c r="Z247" s="24"/>
      <c r="AA247" s="24"/>
      <c r="AB247" s="24"/>
      <c r="AC247" s="24"/>
      <c r="AD247" s="361">
        <f t="shared" si="48"/>
        <v>0</v>
      </c>
      <c r="AE247" s="359" t="str">
        <f t="shared" si="51"/>
        <v/>
      </c>
      <c r="AF247" s="359" t="str">
        <f t="shared" si="60"/>
        <v/>
      </c>
      <c r="AG247" s="359" t="str">
        <f t="shared" si="52"/>
        <v/>
      </c>
      <c r="AH247" s="359" t="str">
        <f t="shared" si="53"/>
        <v/>
      </c>
      <c r="AI247" s="359" t="str">
        <f t="shared" si="54"/>
        <v/>
      </c>
      <c r="AJ247" s="359" t="str">
        <f t="shared" si="55"/>
        <v/>
      </c>
      <c r="AK247" s="359" t="str">
        <f t="shared" si="57"/>
        <v/>
      </c>
      <c r="AL247" s="359" t="str">
        <f t="shared" si="56"/>
        <v/>
      </c>
      <c r="AM247" s="359" t="str">
        <f t="shared" si="58"/>
        <v/>
      </c>
      <c r="AN247" s="262">
        <f t="shared" si="61"/>
        <v>0</v>
      </c>
      <c r="AO247" s="262" t="str">
        <f>IFERROR(HLOOKUP(AN247,'Ref Lists'!Q$1:AL$2,2,FALSE),'Ref Lists'!$AK$2)</f>
        <v>Savings21</v>
      </c>
      <c r="AP247" s="38"/>
      <c r="AQ247" s="38">
        <f t="shared" si="50"/>
        <v>0</v>
      </c>
      <c r="AR247" s="38"/>
      <c r="AS247" s="38"/>
      <c r="AT247" s="38"/>
      <c r="AU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38"/>
      <c r="BU247" s="38"/>
      <c r="BV247" s="38"/>
      <c r="BW247" s="38"/>
      <c r="BX247" s="38"/>
      <c r="BY247" s="38"/>
      <c r="BZ247" s="38"/>
      <c r="CA247" s="38"/>
      <c r="CB247" s="38"/>
      <c r="CC247" s="38"/>
      <c r="CD247" s="38"/>
      <c r="CE247" s="38"/>
      <c r="CF247" s="38"/>
      <c r="CG247" s="38"/>
      <c r="CH247" s="38"/>
      <c r="CI247" s="38"/>
      <c r="CJ247" s="38"/>
      <c r="CK247" s="38"/>
      <c r="CL247" s="38"/>
      <c r="CM247" s="38"/>
      <c r="CN247" s="38"/>
      <c r="CO247" s="38"/>
      <c r="CP247" s="38"/>
      <c r="CQ247" s="38"/>
      <c r="CR247" s="38"/>
      <c r="CS247" s="38"/>
      <c r="CT247" s="38"/>
      <c r="CU247" s="38"/>
      <c r="CV247" s="38"/>
      <c r="CW247" s="38"/>
      <c r="CX247" s="38"/>
      <c r="CY247" s="38"/>
      <c r="CZ247" s="38"/>
    </row>
    <row r="248" spans="1:104" s="40" customFormat="1" ht="20.149999999999999" customHeight="1">
      <c r="A248" s="358">
        <f t="shared" si="59"/>
        <v>247</v>
      </c>
      <c r="B248" s="359" t="str">
        <f>'Front Sheet and Checklist'!$C$5</f>
        <v>Swansea Bay UHB</v>
      </c>
      <c r="C248" s="17"/>
      <c r="D248" s="17"/>
      <c r="E248" s="17"/>
      <c r="F248" s="17"/>
      <c r="G248" s="17"/>
      <c r="H248" s="17"/>
      <c r="I248" s="361">
        <f t="shared" si="49"/>
        <v>0</v>
      </c>
      <c r="J248" s="17"/>
      <c r="K248" s="18"/>
      <c r="L248" s="18"/>
      <c r="M248" s="17"/>
      <c r="N248" s="17"/>
      <c r="O248" s="17"/>
      <c r="P248" s="17"/>
      <c r="Q248" s="169"/>
      <c r="R248" s="24"/>
      <c r="S248" s="24"/>
      <c r="T248" s="24"/>
      <c r="U248" s="25"/>
      <c r="V248" s="25"/>
      <c r="W248" s="25"/>
      <c r="X248" s="24"/>
      <c r="Y248" s="24"/>
      <c r="Z248" s="24"/>
      <c r="AA248" s="24"/>
      <c r="AB248" s="24"/>
      <c r="AC248" s="24"/>
      <c r="AD248" s="361">
        <f t="shared" si="48"/>
        <v>0</v>
      </c>
      <c r="AE248" s="359" t="str">
        <f t="shared" si="51"/>
        <v/>
      </c>
      <c r="AF248" s="359" t="str">
        <f t="shared" si="60"/>
        <v/>
      </c>
      <c r="AG248" s="359" t="str">
        <f t="shared" si="52"/>
        <v/>
      </c>
      <c r="AH248" s="359" t="str">
        <f t="shared" si="53"/>
        <v/>
      </c>
      <c r="AI248" s="359" t="str">
        <f t="shared" si="54"/>
        <v/>
      </c>
      <c r="AJ248" s="359" t="str">
        <f t="shared" si="55"/>
        <v/>
      </c>
      <c r="AK248" s="359" t="str">
        <f t="shared" si="57"/>
        <v/>
      </c>
      <c r="AL248" s="359" t="str">
        <f t="shared" si="56"/>
        <v/>
      </c>
      <c r="AM248" s="359" t="str">
        <f t="shared" si="58"/>
        <v/>
      </c>
      <c r="AN248" s="262">
        <f t="shared" si="61"/>
        <v>0</v>
      </c>
      <c r="AO248" s="262" t="str">
        <f>IFERROR(HLOOKUP(AN248,'Ref Lists'!Q$1:AL$2,2,FALSE),'Ref Lists'!$AK$2)</f>
        <v>Savings21</v>
      </c>
      <c r="AP248" s="38"/>
      <c r="AQ248" s="38">
        <f t="shared" si="50"/>
        <v>0</v>
      </c>
      <c r="AR248" s="38"/>
      <c r="AS248" s="38"/>
      <c r="AT248" s="38"/>
      <c r="AU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38"/>
      <c r="BU248" s="38"/>
      <c r="BV248" s="38"/>
      <c r="BW248" s="38"/>
      <c r="BX248" s="38"/>
      <c r="BY248" s="38"/>
      <c r="BZ248" s="38"/>
      <c r="CA248" s="38"/>
      <c r="CB248" s="38"/>
      <c r="CC248" s="38"/>
      <c r="CD248" s="38"/>
      <c r="CE248" s="38"/>
      <c r="CF248" s="38"/>
      <c r="CG248" s="38"/>
      <c r="CH248" s="38"/>
      <c r="CI248" s="38"/>
      <c r="CJ248" s="38"/>
      <c r="CK248" s="38"/>
      <c r="CL248" s="38"/>
      <c r="CM248" s="38"/>
      <c r="CN248" s="38"/>
      <c r="CO248" s="38"/>
      <c r="CP248" s="38"/>
      <c r="CQ248" s="38"/>
      <c r="CR248" s="38"/>
      <c r="CS248" s="38"/>
      <c r="CT248" s="38"/>
      <c r="CU248" s="38"/>
      <c r="CV248" s="38"/>
      <c r="CW248" s="38"/>
      <c r="CX248" s="38"/>
      <c r="CY248" s="38"/>
      <c r="CZ248" s="38"/>
    </row>
    <row r="249" spans="1:104" s="40" customFormat="1" ht="20.149999999999999" customHeight="1">
      <c r="A249" s="358">
        <f t="shared" si="59"/>
        <v>248</v>
      </c>
      <c r="B249" s="359" t="str">
        <f>'Front Sheet and Checklist'!$C$5</f>
        <v>Swansea Bay UHB</v>
      </c>
      <c r="C249" s="17"/>
      <c r="D249" s="17"/>
      <c r="E249" s="17"/>
      <c r="F249" s="17"/>
      <c r="G249" s="17"/>
      <c r="H249" s="17"/>
      <c r="I249" s="361">
        <f t="shared" si="49"/>
        <v>0</v>
      </c>
      <c r="J249" s="17"/>
      <c r="K249" s="18"/>
      <c r="L249" s="18"/>
      <c r="M249" s="17"/>
      <c r="N249" s="17"/>
      <c r="O249" s="17"/>
      <c r="P249" s="17"/>
      <c r="Q249" s="169"/>
      <c r="R249" s="24"/>
      <c r="S249" s="24"/>
      <c r="T249" s="24"/>
      <c r="U249" s="25"/>
      <c r="V249" s="25"/>
      <c r="W249" s="25"/>
      <c r="X249" s="24"/>
      <c r="Y249" s="24"/>
      <c r="Z249" s="24"/>
      <c r="AA249" s="24"/>
      <c r="AB249" s="24"/>
      <c r="AC249" s="24"/>
      <c r="AD249" s="361">
        <f t="shared" si="48"/>
        <v>0</v>
      </c>
      <c r="AE249" s="359" t="str">
        <f t="shared" si="51"/>
        <v/>
      </c>
      <c r="AF249" s="359" t="str">
        <f t="shared" si="60"/>
        <v/>
      </c>
      <c r="AG249" s="359" t="str">
        <f t="shared" si="52"/>
        <v/>
      </c>
      <c r="AH249" s="359" t="str">
        <f t="shared" si="53"/>
        <v/>
      </c>
      <c r="AI249" s="359" t="str">
        <f t="shared" si="54"/>
        <v/>
      </c>
      <c r="AJ249" s="359" t="str">
        <f t="shared" si="55"/>
        <v/>
      </c>
      <c r="AK249" s="359" t="str">
        <f t="shared" si="57"/>
        <v/>
      </c>
      <c r="AL249" s="359" t="str">
        <f t="shared" si="56"/>
        <v/>
      </c>
      <c r="AM249" s="359" t="str">
        <f t="shared" si="58"/>
        <v/>
      </c>
      <c r="AN249" s="262">
        <f t="shared" si="61"/>
        <v>0</v>
      </c>
      <c r="AO249" s="262" t="str">
        <f>IFERROR(HLOOKUP(AN249,'Ref Lists'!Q$1:AL$2,2,FALSE),'Ref Lists'!$AK$2)</f>
        <v>Savings21</v>
      </c>
      <c r="AP249" s="38"/>
      <c r="AQ249" s="38">
        <f t="shared" si="50"/>
        <v>0</v>
      </c>
      <c r="AR249" s="38"/>
      <c r="AS249" s="38"/>
      <c r="AT249" s="38"/>
      <c r="AU249" s="38"/>
      <c r="AV249" s="38"/>
      <c r="AW249" s="38"/>
      <c r="AX249" s="38"/>
      <c r="AY249" s="38"/>
      <c r="AZ249" s="38"/>
      <c r="BA249" s="38"/>
      <c r="BB249" s="38"/>
      <c r="BC249" s="38"/>
      <c r="BD249" s="38"/>
      <c r="BE249" s="38"/>
      <c r="BF249" s="38"/>
      <c r="BG249" s="38"/>
      <c r="BH249" s="38"/>
      <c r="BI249" s="38"/>
      <c r="BJ249" s="38"/>
      <c r="BK249" s="38"/>
      <c r="BL249" s="38"/>
      <c r="BM249" s="38"/>
      <c r="BN249" s="38"/>
      <c r="BO249" s="38"/>
      <c r="BP249" s="38"/>
      <c r="BQ249" s="38"/>
      <c r="BR249" s="38"/>
      <c r="BS249" s="38"/>
      <c r="BT249" s="38"/>
      <c r="BU249" s="38"/>
      <c r="BV249" s="38"/>
      <c r="BW249" s="38"/>
      <c r="BX249" s="38"/>
      <c r="BY249" s="38"/>
      <c r="BZ249" s="38"/>
      <c r="CA249" s="38"/>
      <c r="CB249" s="38"/>
      <c r="CC249" s="38"/>
      <c r="CD249" s="38"/>
      <c r="CE249" s="38"/>
      <c r="CF249" s="38"/>
      <c r="CG249" s="38"/>
      <c r="CH249" s="38"/>
      <c r="CI249" s="38"/>
      <c r="CJ249" s="38"/>
      <c r="CK249" s="38"/>
      <c r="CL249" s="38"/>
      <c r="CM249" s="38"/>
      <c r="CN249" s="38"/>
      <c r="CO249" s="38"/>
      <c r="CP249" s="38"/>
      <c r="CQ249" s="38"/>
      <c r="CR249" s="38"/>
      <c r="CS249" s="38"/>
      <c r="CT249" s="38"/>
      <c r="CU249" s="38"/>
      <c r="CV249" s="38"/>
      <c r="CW249" s="38"/>
      <c r="CX249" s="38"/>
      <c r="CY249" s="38"/>
      <c r="CZ249" s="38"/>
    </row>
    <row r="250" spans="1:104" s="40" customFormat="1" ht="20.149999999999999" customHeight="1">
      <c r="A250" s="358">
        <f t="shared" si="59"/>
        <v>249</v>
      </c>
      <c r="B250" s="359" t="str">
        <f>'Front Sheet and Checklist'!$C$5</f>
        <v>Swansea Bay UHB</v>
      </c>
      <c r="C250" s="17"/>
      <c r="D250" s="17"/>
      <c r="E250" s="17"/>
      <c r="F250" s="17"/>
      <c r="G250" s="17"/>
      <c r="H250" s="17"/>
      <c r="I250" s="361">
        <f t="shared" si="49"/>
        <v>0</v>
      </c>
      <c r="J250" s="17"/>
      <c r="K250" s="18"/>
      <c r="L250" s="18"/>
      <c r="M250" s="17"/>
      <c r="N250" s="17"/>
      <c r="O250" s="17"/>
      <c r="P250" s="17"/>
      <c r="Q250" s="169"/>
      <c r="R250" s="24"/>
      <c r="S250" s="24"/>
      <c r="T250" s="24"/>
      <c r="U250" s="25"/>
      <c r="V250" s="25"/>
      <c r="W250" s="25"/>
      <c r="X250" s="24"/>
      <c r="Y250" s="24"/>
      <c r="Z250" s="24"/>
      <c r="AA250" s="24"/>
      <c r="AB250" s="24"/>
      <c r="AC250" s="24"/>
      <c r="AD250" s="361">
        <f t="shared" ref="AD250:AD313" si="62">SUM(R250:AC250)</f>
        <v>0</v>
      </c>
      <c r="AE250" s="359" t="str">
        <f t="shared" si="51"/>
        <v/>
      </c>
      <c r="AF250" s="359" t="str">
        <f t="shared" si="60"/>
        <v/>
      </c>
      <c r="AG250" s="359" t="str">
        <f t="shared" si="52"/>
        <v/>
      </c>
      <c r="AH250" s="359" t="str">
        <f t="shared" si="53"/>
        <v/>
      </c>
      <c r="AI250" s="359" t="str">
        <f t="shared" si="54"/>
        <v/>
      </c>
      <c r="AJ250" s="359" t="str">
        <f t="shared" si="55"/>
        <v/>
      </c>
      <c r="AK250" s="359" t="str">
        <f t="shared" si="57"/>
        <v/>
      </c>
      <c r="AL250" s="359" t="str">
        <f t="shared" si="56"/>
        <v/>
      </c>
      <c r="AM250" s="359" t="str">
        <f t="shared" si="58"/>
        <v/>
      </c>
      <c r="AN250" s="262">
        <f t="shared" si="61"/>
        <v>0</v>
      </c>
      <c r="AO250" s="262" t="str">
        <f>IFERROR(HLOOKUP(AN250,'Ref Lists'!Q$1:AL$2,2,FALSE),'Ref Lists'!$AK$2)</f>
        <v>Savings21</v>
      </c>
      <c r="AP250" s="38"/>
      <c r="AQ250" s="38">
        <f t="shared" si="50"/>
        <v>0</v>
      </c>
      <c r="AR250" s="38"/>
      <c r="AS250" s="38"/>
      <c r="AT250" s="38"/>
      <c r="AU250" s="38"/>
      <c r="AV250" s="38"/>
      <c r="AW250" s="38"/>
      <c r="AX250" s="38"/>
      <c r="AY250" s="38"/>
      <c r="AZ250" s="38"/>
      <c r="BA250" s="38"/>
      <c r="BB250" s="38"/>
      <c r="BC250" s="38"/>
      <c r="BD250" s="38"/>
      <c r="BE250" s="38"/>
      <c r="BF250" s="38"/>
      <c r="BG250" s="38"/>
      <c r="BH250" s="38"/>
      <c r="BI250" s="38"/>
      <c r="BJ250" s="38"/>
      <c r="BK250" s="38"/>
      <c r="BL250" s="38"/>
      <c r="BM250" s="38"/>
      <c r="BN250" s="38"/>
      <c r="BO250" s="38"/>
      <c r="BP250" s="38"/>
      <c r="BQ250" s="38"/>
      <c r="BR250" s="38"/>
      <c r="BS250" s="38"/>
      <c r="BT250" s="38"/>
      <c r="BU250" s="38"/>
      <c r="BV250" s="38"/>
      <c r="BW250" s="38"/>
      <c r="BX250" s="38"/>
      <c r="BY250" s="38"/>
      <c r="BZ250" s="38"/>
      <c r="CA250" s="38"/>
      <c r="CB250" s="38"/>
      <c r="CC250" s="38"/>
      <c r="CD250" s="38"/>
      <c r="CE250" s="38"/>
      <c r="CF250" s="38"/>
      <c r="CG250" s="38"/>
      <c r="CH250" s="38"/>
      <c r="CI250" s="38"/>
      <c r="CJ250" s="38"/>
      <c r="CK250" s="38"/>
      <c r="CL250" s="38"/>
      <c r="CM250" s="38"/>
      <c r="CN250" s="38"/>
      <c r="CO250" s="38"/>
      <c r="CP250" s="38"/>
      <c r="CQ250" s="38"/>
      <c r="CR250" s="38"/>
      <c r="CS250" s="38"/>
      <c r="CT250" s="38"/>
      <c r="CU250" s="38"/>
      <c r="CV250" s="38"/>
      <c r="CW250" s="38"/>
      <c r="CX250" s="38"/>
      <c r="CY250" s="38"/>
      <c r="CZ250" s="38"/>
    </row>
    <row r="251" spans="1:104" s="40" customFormat="1" ht="20.149999999999999" customHeight="1">
      <c r="A251" s="358">
        <f t="shared" si="59"/>
        <v>250</v>
      </c>
      <c r="B251" s="359" t="str">
        <f>'Front Sheet and Checklist'!$C$5</f>
        <v>Swansea Bay UHB</v>
      </c>
      <c r="C251" s="17"/>
      <c r="D251" s="17"/>
      <c r="E251" s="17"/>
      <c r="F251" s="17"/>
      <c r="G251" s="17"/>
      <c r="H251" s="17"/>
      <c r="I251" s="361">
        <f t="shared" ref="I251:I314" si="63">AD251</f>
        <v>0</v>
      </c>
      <c r="J251" s="17"/>
      <c r="K251" s="18"/>
      <c r="L251" s="18"/>
      <c r="M251" s="17"/>
      <c r="N251" s="17"/>
      <c r="O251" s="17"/>
      <c r="P251" s="17"/>
      <c r="Q251" s="169"/>
      <c r="R251" s="24"/>
      <c r="S251" s="24"/>
      <c r="T251" s="24"/>
      <c r="U251" s="25"/>
      <c r="V251" s="25"/>
      <c r="W251" s="25"/>
      <c r="X251" s="24"/>
      <c r="Y251" s="24"/>
      <c r="Z251" s="24"/>
      <c r="AA251" s="24"/>
      <c r="AB251" s="24"/>
      <c r="AC251" s="24"/>
      <c r="AD251" s="361">
        <f t="shared" si="62"/>
        <v>0</v>
      </c>
      <c r="AE251" s="359" t="str">
        <f t="shared" si="51"/>
        <v/>
      </c>
      <c r="AF251" s="359" t="str">
        <f t="shared" si="60"/>
        <v/>
      </c>
      <c r="AG251" s="359" t="str">
        <f t="shared" si="52"/>
        <v/>
      </c>
      <c r="AH251" s="359" t="str">
        <f t="shared" si="53"/>
        <v/>
      </c>
      <c r="AI251" s="359" t="str">
        <f t="shared" si="54"/>
        <v/>
      </c>
      <c r="AJ251" s="359" t="str">
        <f t="shared" si="55"/>
        <v/>
      </c>
      <c r="AK251" s="359" t="str">
        <f t="shared" si="57"/>
        <v/>
      </c>
      <c r="AL251" s="359" t="str">
        <f t="shared" si="56"/>
        <v/>
      </c>
      <c r="AM251" s="359" t="str">
        <f t="shared" si="58"/>
        <v/>
      </c>
      <c r="AN251" s="262">
        <f t="shared" si="61"/>
        <v>0</v>
      </c>
      <c r="AO251" s="262" t="str">
        <f>IFERROR(HLOOKUP(AN251,'Ref Lists'!Q$1:AL$2,2,FALSE),'Ref Lists'!$AK$2)</f>
        <v>Savings21</v>
      </c>
      <c r="AP251" s="38"/>
      <c r="AQ251" s="38">
        <f t="shared" ref="AQ251:AQ314" si="64">COUNTIFS(AE251:AL251,"Error")</f>
        <v>0</v>
      </c>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row>
    <row r="252" spans="1:104" s="40" customFormat="1" ht="20.149999999999999" customHeight="1">
      <c r="A252" s="358">
        <f t="shared" si="59"/>
        <v>251</v>
      </c>
      <c r="B252" s="359" t="str">
        <f>'Front Sheet and Checklist'!$C$5</f>
        <v>Swansea Bay UHB</v>
      </c>
      <c r="C252" s="17"/>
      <c r="D252" s="17"/>
      <c r="E252" s="17"/>
      <c r="F252" s="17"/>
      <c r="G252" s="17"/>
      <c r="H252" s="17"/>
      <c r="I252" s="361">
        <f t="shared" si="63"/>
        <v>0</v>
      </c>
      <c r="J252" s="17"/>
      <c r="K252" s="18"/>
      <c r="L252" s="18"/>
      <c r="M252" s="17"/>
      <c r="N252" s="17"/>
      <c r="O252" s="17"/>
      <c r="P252" s="17"/>
      <c r="Q252" s="169"/>
      <c r="R252" s="24"/>
      <c r="S252" s="24"/>
      <c r="T252" s="24"/>
      <c r="U252" s="25"/>
      <c r="V252" s="25"/>
      <c r="W252" s="25"/>
      <c r="X252" s="24"/>
      <c r="Y252" s="24"/>
      <c r="Z252" s="24"/>
      <c r="AA252" s="24"/>
      <c r="AB252" s="24"/>
      <c r="AC252" s="24"/>
      <c r="AD252" s="361">
        <f t="shared" si="62"/>
        <v>0</v>
      </c>
      <c r="AE252" s="359" t="str">
        <f t="shared" si="51"/>
        <v/>
      </c>
      <c r="AF252" s="359" t="str">
        <f t="shared" si="60"/>
        <v/>
      </c>
      <c r="AG252" s="359" t="str">
        <f t="shared" si="52"/>
        <v/>
      </c>
      <c r="AH252" s="359" t="str">
        <f t="shared" si="53"/>
        <v/>
      </c>
      <c r="AI252" s="359" t="str">
        <f t="shared" si="54"/>
        <v/>
      </c>
      <c r="AJ252" s="359" t="str">
        <f t="shared" si="55"/>
        <v/>
      </c>
      <c r="AK252" s="359" t="str">
        <f t="shared" si="57"/>
        <v/>
      </c>
      <c r="AL252" s="359" t="str">
        <f t="shared" si="56"/>
        <v/>
      </c>
      <c r="AM252" s="359" t="str">
        <f t="shared" si="58"/>
        <v/>
      </c>
      <c r="AN252" s="262">
        <f t="shared" si="61"/>
        <v>0</v>
      </c>
      <c r="AO252" s="262" t="str">
        <f>IFERROR(HLOOKUP(AN252,'Ref Lists'!Q$1:AL$2,2,FALSE),'Ref Lists'!$AK$2)</f>
        <v>Savings21</v>
      </c>
      <c r="AP252" s="38"/>
      <c r="AQ252" s="38">
        <f t="shared" si="64"/>
        <v>0</v>
      </c>
      <c r="AR252" s="38"/>
      <c r="AS252" s="38"/>
      <c r="AT252" s="38"/>
      <c r="AU252" s="38"/>
      <c r="AV252" s="38"/>
      <c r="AW252" s="38"/>
      <c r="AX252" s="38"/>
      <c r="AY252" s="38"/>
      <c r="AZ252" s="38"/>
      <c r="BA252" s="38"/>
      <c r="BB252" s="38"/>
      <c r="BC252" s="38"/>
      <c r="BD252" s="38"/>
      <c r="BE252" s="38"/>
      <c r="BF252" s="38"/>
      <c r="BG252" s="38"/>
      <c r="BH252" s="38"/>
      <c r="BI252" s="38"/>
      <c r="BJ252" s="38"/>
      <c r="BK252" s="38"/>
      <c r="BL252" s="38"/>
      <c r="BM252" s="38"/>
      <c r="BN252" s="38"/>
      <c r="BO252" s="38"/>
      <c r="BP252" s="38"/>
      <c r="BQ252" s="38"/>
      <c r="BR252" s="38"/>
      <c r="BS252" s="38"/>
      <c r="BT252" s="38"/>
      <c r="BU252" s="38"/>
      <c r="BV252" s="38"/>
      <c r="BW252" s="38"/>
      <c r="BX252" s="38"/>
      <c r="BY252" s="38"/>
      <c r="BZ252" s="38"/>
      <c r="CA252" s="38"/>
      <c r="CB252" s="38"/>
      <c r="CC252" s="38"/>
      <c r="CD252" s="38"/>
      <c r="CE252" s="38"/>
      <c r="CF252" s="38"/>
      <c r="CG252" s="38"/>
      <c r="CH252" s="38"/>
      <c r="CI252" s="38"/>
      <c r="CJ252" s="38"/>
      <c r="CK252" s="38"/>
      <c r="CL252" s="38"/>
      <c r="CM252" s="38"/>
      <c r="CN252" s="38"/>
      <c r="CO252" s="38"/>
      <c r="CP252" s="38"/>
      <c r="CQ252" s="38"/>
      <c r="CR252" s="38"/>
      <c r="CS252" s="38"/>
      <c r="CT252" s="38"/>
      <c r="CU252" s="38"/>
      <c r="CV252" s="38"/>
      <c r="CW252" s="38"/>
      <c r="CX252" s="38"/>
      <c r="CY252" s="38"/>
      <c r="CZ252" s="38"/>
    </row>
    <row r="253" spans="1:104" s="40" customFormat="1" ht="20.149999999999999" customHeight="1">
      <c r="A253" s="358">
        <f t="shared" si="59"/>
        <v>252</v>
      </c>
      <c r="B253" s="359" t="str">
        <f>'Front Sheet and Checklist'!$C$5</f>
        <v>Swansea Bay UHB</v>
      </c>
      <c r="C253" s="17"/>
      <c r="D253" s="17"/>
      <c r="E253" s="17"/>
      <c r="F253" s="17"/>
      <c r="G253" s="17"/>
      <c r="H253" s="17"/>
      <c r="I253" s="361">
        <f t="shared" si="63"/>
        <v>0</v>
      </c>
      <c r="J253" s="17"/>
      <c r="K253" s="18"/>
      <c r="L253" s="18"/>
      <c r="M253" s="17"/>
      <c r="N253" s="17"/>
      <c r="O253" s="17"/>
      <c r="P253" s="17"/>
      <c r="Q253" s="169"/>
      <c r="R253" s="24"/>
      <c r="S253" s="24"/>
      <c r="T253" s="24"/>
      <c r="U253" s="25"/>
      <c r="V253" s="25"/>
      <c r="W253" s="25"/>
      <c r="X253" s="24"/>
      <c r="Y253" s="24"/>
      <c r="Z253" s="24"/>
      <c r="AA253" s="24"/>
      <c r="AB253" s="24"/>
      <c r="AC253" s="24"/>
      <c r="AD253" s="361">
        <f t="shared" si="62"/>
        <v>0</v>
      </c>
      <c r="AE253" s="359" t="str">
        <f t="shared" si="51"/>
        <v/>
      </c>
      <c r="AF253" s="359" t="str">
        <f t="shared" si="60"/>
        <v/>
      </c>
      <c r="AG253" s="359" t="str">
        <f t="shared" si="52"/>
        <v/>
      </c>
      <c r="AH253" s="359" t="str">
        <f t="shared" si="53"/>
        <v/>
      </c>
      <c r="AI253" s="359" t="str">
        <f t="shared" si="54"/>
        <v/>
      </c>
      <c r="AJ253" s="359" t="str">
        <f t="shared" si="55"/>
        <v/>
      </c>
      <c r="AK253" s="359" t="str">
        <f t="shared" si="57"/>
        <v/>
      </c>
      <c r="AL253" s="359" t="str">
        <f t="shared" si="56"/>
        <v/>
      </c>
      <c r="AM253" s="359" t="str">
        <f t="shared" si="58"/>
        <v/>
      </c>
      <c r="AN253" s="262">
        <f t="shared" si="61"/>
        <v>0</v>
      </c>
      <c r="AO253" s="262" t="str">
        <f>IFERROR(HLOOKUP(AN253,'Ref Lists'!Q$1:AL$2,2,FALSE),'Ref Lists'!$AK$2)</f>
        <v>Savings21</v>
      </c>
      <c r="AP253" s="38"/>
      <c r="AQ253" s="38">
        <f t="shared" si="64"/>
        <v>0</v>
      </c>
      <c r="AR253" s="38"/>
      <c r="AS253" s="38"/>
      <c r="AT253" s="38"/>
      <c r="AU253" s="38"/>
      <c r="AV253" s="38"/>
      <c r="AW253" s="38"/>
      <c r="AX253" s="38"/>
      <c r="AY253" s="38"/>
      <c r="AZ253" s="38"/>
      <c r="BA253" s="38"/>
      <c r="BB253" s="38"/>
      <c r="BC253" s="38"/>
      <c r="BD253" s="38"/>
      <c r="BE253" s="38"/>
      <c r="BF253" s="38"/>
      <c r="BG253" s="38"/>
      <c r="BH253" s="38"/>
      <c r="BI253" s="38"/>
      <c r="BJ253" s="38"/>
      <c r="BK253" s="38"/>
      <c r="BL253" s="38"/>
      <c r="BM253" s="38"/>
      <c r="BN253" s="38"/>
      <c r="BO253" s="38"/>
      <c r="BP253" s="38"/>
      <c r="BQ253" s="38"/>
      <c r="BR253" s="38"/>
      <c r="BS253" s="38"/>
      <c r="BT253" s="38"/>
      <c r="BU253" s="38"/>
      <c r="BV253" s="38"/>
      <c r="BW253" s="38"/>
      <c r="BX253" s="38"/>
      <c r="BY253" s="38"/>
      <c r="BZ253" s="38"/>
      <c r="CA253" s="38"/>
      <c r="CB253" s="38"/>
      <c r="CC253" s="38"/>
      <c r="CD253" s="38"/>
      <c r="CE253" s="38"/>
      <c r="CF253" s="38"/>
      <c r="CG253" s="38"/>
      <c r="CH253" s="38"/>
      <c r="CI253" s="38"/>
      <c r="CJ253" s="38"/>
      <c r="CK253" s="38"/>
      <c r="CL253" s="38"/>
      <c r="CM253" s="38"/>
      <c r="CN253" s="38"/>
      <c r="CO253" s="38"/>
      <c r="CP253" s="38"/>
      <c r="CQ253" s="38"/>
      <c r="CR253" s="38"/>
      <c r="CS253" s="38"/>
      <c r="CT253" s="38"/>
      <c r="CU253" s="38"/>
      <c r="CV253" s="38"/>
      <c r="CW253" s="38"/>
      <c r="CX253" s="38"/>
      <c r="CY253" s="38"/>
      <c r="CZ253" s="38"/>
    </row>
    <row r="254" spans="1:104" s="40" customFormat="1" ht="20.149999999999999" customHeight="1">
      <c r="A254" s="358">
        <f t="shared" si="59"/>
        <v>253</v>
      </c>
      <c r="B254" s="359" t="str">
        <f>'Front Sheet and Checklist'!$C$5</f>
        <v>Swansea Bay UHB</v>
      </c>
      <c r="C254" s="17"/>
      <c r="D254" s="17"/>
      <c r="E254" s="17"/>
      <c r="F254" s="17"/>
      <c r="G254" s="17"/>
      <c r="H254" s="17"/>
      <c r="I254" s="361">
        <f t="shared" si="63"/>
        <v>0</v>
      </c>
      <c r="J254" s="17"/>
      <c r="K254" s="18"/>
      <c r="L254" s="18"/>
      <c r="M254" s="17"/>
      <c r="N254" s="17"/>
      <c r="O254" s="17"/>
      <c r="P254" s="17"/>
      <c r="Q254" s="169"/>
      <c r="R254" s="24"/>
      <c r="S254" s="24"/>
      <c r="T254" s="24"/>
      <c r="U254" s="25"/>
      <c r="V254" s="25"/>
      <c r="W254" s="25"/>
      <c r="X254" s="24"/>
      <c r="Y254" s="24"/>
      <c r="Z254" s="24"/>
      <c r="AA254" s="24"/>
      <c r="AB254" s="24"/>
      <c r="AC254" s="24"/>
      <c r="AD254" s="361">
        <f t="shared" si="62"/>
        <v>0</v>
      </c>
      <c r="AE254" s="359" t="str">
        <f t="shared" si="51"/>
        <v/>
      </c>
      <c r="AF254" s="359" t="str">
        <f t="shared" si="60"/>
        <v/>
      </c>
      <c r="AG254" s="359" t="str">
        <f t="shared" si="52"/>
        <v/>
      </c>
      <c r="AH254" s="359" t="str">
        <f t="shared" si="53"/>
        <v/>
      </c>
      <c r="AI254" s="359" t="str">
        <f t="shared" si="54"/>
        <v/>
      </c>
      <c r="AJ254" s="359" t="str">
        <f t="shared" si="55"/>
        <v/>
      </c>
      <c r="AK254" s="359" t="str">
        <f t="shared" si="57"/>
        <v/>
      </c>
      <c r="AL254" s="359" t="str">
        <f t="shared" si="56"/>
        <v/>
      </c>
      <c r="AM254" s="359" t="str">
        <f t="shared" si="58"/>
        <v/>
      </c>
      <c r="AN254" s="262">
        <f t="shared" si="61"/>
        <v>0</v>
      </c>
      <c r="AO254" s="262" t="str">
        <f>IFERROR(HLOOKUP(AN254,'Ref Lists'!Q$1:AL$2,2,FALSE),'Ref Lists'!$AK$2)</f>
        <v>Savings21</v>
      </c>
      <c r="AP254" s="38"/>
      <c r="AQ254" s="38">
        <f t="shared" si="64"/>
        <v>0</v>
      </c>
      <c r="AR254" s="38"/>
      <c r="AS254" s="38"/>
      <c r="AT254" s="38"/>
      <c r="AU254" s="38"/>
      <c r="AV254" s="38"/>
      <c r="AW254" s="38"/>
      <c r="AX254" s="38"/>
      <c r="AY254" s="38"/>
      <c r="AZ254" s="38"/>
      <c r="BA254" s="38"/>
      <c r="BB254" s="38"/>
      <c r="BC254" s="38"/>
      <c r="BD254" s="38"/>
      <c r="BE254" s="38"/>
      <c r="BF254" s="38"/>
      <c r="BG254" s="38"/>
      <c r="BH254" s="38"/>
      <c r="BI254" s="38"/>
      <c r="BJ254" s="38"/>
      <c r="BK254" s="38"/>
      <c r="BL254" s="38"/>
      <c r="BM254" s="38"/>
      <c r="BN254" s="38"/>
      <c r="BO254" s="38"/>
      <c r="BP254" s="38"/>
      <c r="BQ254" s="38"/>
      <c r="BR254" s="38"/>
      <c r="BS254" s="38"/>
      <c r="BT254" s="38"/>
      <c r="BU254" s="38"/>
      <c r="BV254" s="38"/>
      <c r="BW254" s="38"/>
      <c r="BX254" s="38"/>
      <c r="BY254" s="38"/>
      <c r="BZ254" s="38"/>
      <c r="CA254" s="38"/>
      <c r="CB254" s="38"/>
      <c r="CC254" s="38"/>
      <c r="CD254" s="38"/>
      <c r="CE254" s="38"/>
      <c r="CF254" s="38"/>
      <c r="CG254" s="38"/>
      <c r="CH254" s="38"/>
      <c r="CI254" s="38"/>
      <c r="CJ254" s="38"/>
      <c r="CK254" s="38"/>
      <c r="CL254" s="38"/>
      <c r="CM254" s="38"/>
      <c r="CN254" s="38"/>
      <c r="CO254" s="38"/>
      <c r="CP254" s="38"/>
      <c r="CQ254" s="38"/>
      <c r="CR254" s="38"/>
      <c r="CS254" s="38"/>
      <c r="CT254" s="38"/>
      <c r="CU254" s="38"/>
      <c r="CV254" s="38"/>
      <c r="CW254" s="38"/>
      <c r="CX254" s="38"/>
      <c r="CY254" s="38"/>
      <c r="CZ254" s="38"/>
    </row>
    <row r="255" spans="1:104" s="40" customFormat="1" ht="20.149999999999999" customHeight="1">
      <c r="A255" s="358">
        <f t="shared" si="59"/>
        <v>254</v>
      </c>
      <c r="B255" s="359" t="str">
        <f>'Front Sheet and Checklist'!$C$5</f>
        <v>Swansea Bay UHB</v>
      </c>
      <c r="C255" s="17"/>
      <c r="D255" s="17"/>
      <c r="E255" s="17"/>
      <c r="F255" s="17"/>
      <c r="G255" s="17"/>
      <c r="H255" s="17"/>
      <c r="I255" s="361">
        <f t="shared" si="63"/>
        <v>0</v>
      </c>
      <c r="J255" s="17"/>
      <c r="K255" s="18"/>
      <c r="L255" s="18"/>
      <c r="M255" s="17"/>
      <c r="N255" s="17"/>
      <c r="O255" s="17"/>
      <c r="P255" s="17"/>
      <c r="Q255" s="169"/>
      <c r="R255" s="24"/>
      <c r="S255" s="24"/>
      <c r="T255" s="24"/>
      <c r="U255" s="25"/>
      <c r="V255" s="25"/>
      <c r="W255" s="25"/>
      <c r="X255" s="24"/>
      <c r="Y255" s="24"/>
      <c r="Z255" s="24"/>
      <c r="AA255" s="24"/>
      <c r="AB255" s="24"/>
      <c r="AC255" s="24"/>
      <c r="AD255" s="361">
        <f t="shared" si="62"/>
        <v>0</v>
      </c>
      <c r="AE255" s="359" t="str">
        <f t="shared" si="51"/>
        <v/>
      </c>
      <c r="AF255" s="359" t="str">
        <f t="shared" si="60"/>
        <v/>
      </c>
      <c r="AG255" s="359" t="str">
        <f t="shared" si="52"/>
        <v/>
      </c>
      <c r="AH255" s="359" t="str">
        <f t="shared" si="53"/>
        <v/>
      </c>
      <c r="AI255" s="359" t="str">
        <f t="shared" si="54"/>
        <v/>
      </c>
      <c r="AJ255" s="359" t="str">
        <f t="shared" si="55"/>
        <v/>
      </c>
      <c r="AK255" s="359" t="str">
        <f t="shared" si="57"/>
        <v/>
      </c>
      <c r="AL255" s="359" t="str">
        <f t="shared" si="56"/>
        <v/>
      </c>
      <c r="AM255" s="359" t="str">
        <f t="shared" si="58"/>
        <v/>
      </c>
      <c r="AN255" s="262">
        <f t="shared" si="61"/>
        <v>0</v>
      </c>
      <c r="AO255" s="262" t="str">
        <f>IFERROR(HLOOKUP(AN255,'Ref Lists'!Q$1:AL$2,2,FALSE),'Ref Lists'!$AK$2)</f>
        <v>Savings21</v>
      </c>
      <c r="AP255" s="38"/>
      <c r="AQ255" s="38">
        <f t="shared" si="64"/>
        <v>0</v>
      </c>
      <c r="AR255" s="38"/>
      <c r="AS255" s="38"/>
      <c r="AT255" s="38"/>
      <c r="AU255" s="38"/>
      <c r="AV255" s="38"/>
      <c r="AW255" s="38"/>
      <c r="AX255" s="38"/>
      <c r="AY255" s="38"/>
      <c r="AZ255" s="38"/>
      <c r="BA255" s="38"/>
      <c r="BB255" s="38"/>
      <c r="BC255" s="38"/>
      <c r="BD255" s="38"/>
      <c r="BE255" s="38"/>
      <c r="BF255" s="38"/>
      <c r="BG255" s="38"/>
      <c r="BH255" s="38"/>
      <c r="BI255" s="38"/>
      <c r="BJ255" s="38"/>
      <c r="BK255" s="38"/>
      <c r="BL255" s="38"/>
      <c r="BM255" s="38"/>
      <c r="BN255" s="38"/>
      <c r="BO255" s="38"/>
      <c r="BP255" s="38"/>
      <c r="BQ255" s="38"/>
      <c r="BR255" s="38"/>
      <c r="BS255" s="38"/>
      <c r="BT255" s="38"/>
      <c r="BU255" s="38"/>
      <c r="BV255" s="38"/>
      <c r="BW255" s="38"/>
      <c r="BX255" s="38"/>
      <c r="BY255" s="38"/>
      <c r="BZ255" s="38"/>
      <c r="CA255" s="38"/>
      <c r="CB255" s="38"/>
      <c r="CC255" s="38"/>
      <c r="CD255" s="38"/>
      <c r="CE255" s="38"/>
      <c r="CF255" s="38"/>
      <c r="CG255" s="38"/>
      <c r="CH255" s="38"/>
      <c r="CI255" s="38"/>
      <c r="CJ255" s="38"/>
      <c r="CK255" s="38"/>
      <c r="CL255" s="38"/>
      <c r="CM255" s="38"/>
      <c r="CN255" s="38"/>
      <c r="CO255" s="38"/>
      <c r="CP255" s="38"/>
      <c r="CQ255" s="38"/>
      <c r="CR255" s="38"/>
      <c r="CS255" s="38"/>
      <c r="CT255" s="38"/>
      <c r="CU255" s="38"/>
      <c r="CV255" s="38"/>
      <c r="CW255" s="38"/>
      <c r="CX255" s="38"/>
      <c r="CY255" s="38"/>
      <c r="CZ255" s="38"/>
    </row>
    <row r="256" spans="1:104" s="40" customFormat="1" ht="20.149999999999999" customHeight="1">
      <c r="A256" s="358">
        <f t="shared" si="59"/>
        <v>255</v>
      </c>
      <c r="B256" s="359" t="str">
        <f>'Front Sheet and Checklist'!$C$5</f>
        <v>Swansea Bay UHB</v>
      </c>
      <c r="C256" s="17"/>
      <c r="D256" s="17"/>
      <c r="E256" s="17"/>
      <c r="F256" s="17"/>
      <c r="G256" s="17"/>
      <c r="H256" s="17"/>
      <c r="I256" s="361">
        <f t="shared" si="63"/>
        <v>0</v>
      </c>
      <c r="J256" s="17"/>
      <c r="K256" s="18"/>
      <c r="L256" s="18"/>
      <c r="M256" s="17"/>
      <c r="N256" s="17"/>
      <c r="O256" s="17"/>
      <c r="P256" s="17"/>
      <c r="Q256" s="169"/>
      <c r="R256" s="24"/>
      <c r="S256" s="24"/>
      <c r="T256" s="24"/>
      <c r="U256" s="25"/>
      <c r="V256" s="25"/>
      <c r="W256" s="25"/>
      <c r="X256" s="24"/>
      <c r="Y256" s="24"/>
      <c r="Z256" s="24"/>
      <c r="AA256" s="24"/>
      <c r="AB256" s="24"/>
      <c r="AC256" s="24"/>
      <c r="AD256" s="361">
        <f t="shared" si="62"/>
        <v>0</v>
      </c>
      <c r="AE256" s="359" t="str">
        <f t="shared" si="51"/>
        <v/>
      </c>
      <c r="AF256" s="359" t="str">
        <f t="shared" si="60"/>
        <v/>
      </c>
      <c r="AG256" s="359" t="str">
        <f t="shared" si="52"/>
        <v/>
      </c>
      <c r="AH256" s="359" t="str">
        <f t="shared" si="53"/>
        <v/>
      </c>
      <c r="AI256" s="359" t="str">
        <f t="shared" si="54"/>
        <v/>
      </c>
      <c r="AJ256" s="359" t="str">
        <f t="shared" si="55"/>
        <v/>
      </c>
      <c r="AK256" s="359" t="str">
        <f t="shared" si="57"/>
        <v/>
      </c>
      <c r="AL256" s="359" t="str">
        <f t="shared" si="56"/>
        <v/>
      </c>
      <c r="AM256" s="359" t="str">
        <f t="shared" si="58"/>
        <v/>
      </c>
      <c r="AN256" s="262">
        <f t="shared" si="61"/>
        <v>0</v>
      </c>
      <c r="AO256" s="262" t="str">
        <f>IFERROR(HLOOKUP(AN256,'Ref Lists'!Q$1:AL$2,2,FALSE),'Ref Lists'!$AK$2)</f>
        <v>Savings21</v>
      </c>
      <c r="AP256" s="38"/>
      <c r="AQ256" s="38">
        <f t="shared" si="64"/>
        <v>0</v>
      </c>
      <c r="AR256" s="38"/>
      <c r="AS256" s="38"/>
      <c r="AT256" s="38"/>
      <c r="AU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38"/>
      <c r="BU256" s="38"/>
      <c r="BV256" s="38"/>
      <c r="BW256" s="38"/>
      <c r="BX256" s="38"/>
      <c r="BY256" s="38"/>
      <c r="BZ256" s="38"/>
      <c r="CA256" s="38"/>
      <c r="CB256" s="38"/>
      <c r="CC256" s="38"/>
      <c r="CD256" s="38"/>
      <c r="CE256" s="38"/>
      <c r="CF256" s="38"/>
      <c r="CG256" s="38"/>
      <c r="CH256" s="38"/>
      <c r="CI256" s="38"/>
      <c r="CJ256" s="38"/>
      <c r="CK256" s="38"/>
      <c r="CL256" s="38"/>
      <c r="CM256" s="38"/>
      <c r="CN256" s="38"/>
      <c r="CO256" s="38"/>
      <c r="CP256" s="38"/>
      <c r="CQ256" s="38"/>
      <c r="CR256" s="38"/>
      <c r="CS256" s="38"/>
      <c r="CT256" s="38"/>
      <c r="CU256" s="38"/>
      <c r="CV256" s="38"/>
      <c r="CW256" s="38"/>
      <c r="CX256" s="38"/>
      <c r="CY256" s="38"/>
      <c r="CZ256" s="38"/>
    </row>
    <row r="257" spans="1:104" s="40" customFormat="1" ht="20.149999999999999" customHeight="1">
      <c r="A257" s="358">
        <f t="shared" si="59"/>
        <v>256</v>
      </c>
      <c r="B257" s="359" t="str">
        <f>'Front Sheet and Checklist'!$C$5</f>
        <v>Swansea Bay UHB</v>
      </c>
      <c r="C257" s="17"/>
      <c r="D257" s="17"/>
      <c r="E257" s="17"/>
      <c r="F257" s="17"/>
      <c r="G257" s="17"/>
      <c r="H257" s="17"/>
      <c r="I257" s="361">
        <f t="shared" si="63"/>
        <v>0</v>
      </c>
      <c r="J257" s="17"/>
      <c r="K257" s="18"/>
      <c r="L257" s="18"/>
      <c r="M257" s="17"/>
      <c r="N257" s="17"/>
      <c r="O257" s="17"/>
      <c r="P257" s="17"/>
      <c r="Q257" s="169"/>
      <c r="R257" s="24"/>
      <c r="S257" s="24"/>
      <c r="T257" s="24"/>
      <c r="U257" s="25"/>
      <c r="V257" s="25"/>
      <c r="W257" s="25"/>
      <c r="X257" s="24"/>
      <c r="Y257" s="24"/>
      <c r="Z257" s="24"/>
      <c r="AA257" s="24"/>
      <c r="AB257" s="24"/>
      <c r="AC257" s="24"/>
      <c r="AD257" s="361">
        <f t="shared" si="62"/>
        <v>0</v>
      </c>
      <c r="AE257" s="359" t="str">
        <f t="shared" si="51"/>
        <v/>
      </c>
      <c r="AF257" s="359" t="str">
        <f t="shared" si="60"/>
        <v/>
      </c>
      <c r="AG257" s="359" t="str">
        <f t="shared" si="52"/>
        <v/>
      </c>
      <c r="AH257" s="359" t="str">
        <f t="shared" si="53"/>
        <v/>
      </c>
      <c r="AI257" s="359" t="str">
        <f t="shared" si="54"/>
        <v/>
      </c>
      <c r="AJ257" s="359" t="str">
        <f t="shared" si="55"/>
        <v/>
      </c>
      <c r="AK257" s="359" t="str">
        <f t="shared" si="57"/>
        <v/>
      </c>
      <c r="AL257" s="359" t="str">
        <f t="shared" si="56"/>
        <v/>
      </c>
      <c r="AM257" s="359" t="str">
        <f t="shared" si="58"/>
        <v/>
      </c>
      <c r="AN257" s="262">
        <f t="shared" si="61"/>
        <v>0</v>
      </c>
      <c r="AO257" s="262" t="str">
        <f>IFERROR(HLOOKUP(AN257,'Ref Lists'!Q$1:AL$2,2,FALSE),'Ref Lists'!$AK$2)</f>
        <v>Savings21</v>
      </c>
      <c r="AP257" s="38"/>
      <c r="AQ257" s="38">
        <f t="shared" si="64"/>
        <v>0</v>
      </c>
      <c r="AR257" s="38"/>
      <c r="AS257" s="38"/>
      <c r="AT257" s="38"/>
      <c r="AU257" s="38"/>
      <c r="AV257" s="38"/>
      <c r="AW257" s="38"/>
      <c r="AX257" s="38"/>
      <c r="AY257" s="38"/>
      <c r="AZ257" s="38"/>
      <c r="BA257" s="38"/>
      <c r="BB257" s="38"/>
      <c r="BC257" s="38"/>
      <c r="BD257" s="38"/>
      <c r="BE257" s="38"/>
      <c r="BF257" s="38"/>
      <c r="BG257" s="38"/>
      <c r="BH257" s="38"/>
      <c r="BI257" s="38"/>
      <c r="BJ257" s="38"/>
      <c r="BK257" s="38"/>
      <c r="BL257" s="38"/>
      <c r="BM257" s="38"/>
      <c r="BN257" s="38"/>
      <c r="BO257" s="38"/>
      <c r="BP257" s="38"/>
      <c r="BQ257" s="38"/>
      <c r="BR257" s="38"/>
      <c r="BS257" s="38"/>
      <c r="BT257" s="38"/>
      <c r="BU257" s="38"/>
      <c r="BV257" s="38"/>
      <c r="BW257" s="38"/>
      <c r="BX257" s="38"/>
      <c r="BY257" s="38"/>
      <c r="BZ257" s="38"/>
      <c r="CA257" s="38"/>
      <c r="CB257" s="38"/>
      <c r="CC257" s="38"/>
      <c r="CD257" s="38"/>
      <c r="CE257" s="38"/>
      <c r="CF257" s="38"/>
      <c r="CG257" s="38"/>
      <c r="CH257" s="38"/>
      <c r="CI257" s="38"/>
      <c r="CJ257" s="38"/>
      <c r="CK257" s="38"/>
      <c r="CL257" s="38"/>
      <c r="CM257" s="38"/>
      <c r="CN257" s="38"/>
      <c r="CO257" s="38"/>
      <c r="CP257" s="38"/>
      <c r="CQ257" s="38"/>
      <c r="CR257" s="38"/>
      <c r="CS257" s="38"/>
      <c r="CT257" s="38"/>
      <c r="CU257" s="38"/>
      <c r="CV257" s="38"/>
      <c r="CW257" s="38"/>
      <c r="CX257" s="38"/>
      <c r="CY257" s="38"/>
      <c r="CZ257" s="38"/>
    </row>
    <row r="258" spans="1:104" s="40" customFormat="1" ht="20.149999999999999" customHeight="1">
      <c r="A258" s="358">
        <f t="shared" si="59"/>
        <v>257</v>
      </c>
      <c r="B258" s="359" t="str">
        <f>'Front Sheet and Checklist'!$C$5</f>
        <v>Swansea Bay UHB</v>
      </c>
      <c r="C258" s="17"/>
      <c r="D258" s="17"/>
      <c r="E258" s="17"/>
      <c r="F258" s="17"/>
      <c r="G258" s="17"/>
      <c r="H258" s="17"/>
      <c r="I258" s="361">
        <f t="shared" si="63"/>
        <v>0</v>
      </c>
      <c r="J258" s="17"/>
      <c r="K258" s="18"/>
      <c r="L258" s="18"/>
      <c r="M258" s="17"/>
      <c r="N258" s="17"/>
      <c r="O258" s="17"/>
      <c r="P258" s="17"/>
      <c r="Q258" s="169"/>
      <c r="R258" s="24"/>
      <c r="S258" s="24"/>
      <c r="T258" s="24"/>
      <c r="U258" s="25"/>
      <c r="V258" s="25"/>
      <c r="W258" s="25"/>
      <c r="X258" s="24"/>
      <c r="Y258" s="24"/>
      <c r="Z258" s="24"/>
      <c r="AA258" s="24"/>
      <c r="AB258" s="24"/>
      <c r="AC258" s="24"/>
      <c r="AD258" s="361">
        <f t="shared" si="62"/>
        <v>0</v>
      </c>
      <c r="AE258" s="359" t="str">
        <f t="shared" ref="AE258:AE321" si="65">IF(AND(I258&gt;0,H258&lt;&gt;"Income Generation"),IF(AND(H258&lt;&gt;"",D258&lt;&gt;"",E258&lt;&gt;"",F258&lt;&gt;"",C258&lt;&gt;"",G258&lt;&gt;"",K258&lt;&gt;"",L258&lt;&gt;"",M258&lt;&gt;"",N258&lt;&gt;"",P258&lt;&gt;"",Q258&lt;&gt;"",O258&lt;&gt;""),"","ERROR"),"")</f>
        <v/>
      </c>
      <c r="AF258" s="359" t="str">
        <f t="shared" si="60"/>
        <v/>
      </c>
      <c r="AG258" s="359" t="str">
        <f t="shared" ref="AG258:AG321" si="66">IF(AND(I258&gt;0,O258=""),"ERROR","")</f>
        <v/>
      </c>
      <c r="AH258" s="359" t="str">
        <f t="shared" ref="AH258:AH321" si="67">IF(AND(OR(H258="Income Generation"),O258&lt;&gt;""),"ERROR","")</f>
        <v/>
      </c>
      <c r="AI258" s="359" t="str">
        <f t="shared" ref="AI258:AI321" si="68">IF(AND(G258="R",I258&gt;J258),"ERROR","")</f>
        <v/>
      </c>
      <c r="AJ258" s="359" t="str">
        <f t="shared" ref="AJ258:AJ321" si="69">IF(AND(G258="NR",J258&gt;0),"ERROR","")</f>
        <v/>
      </c>
      <c r="AK258" s="359" t="str">
        <f t="shared" si="57"/>
        <v/>
      </c>
      <c r="AL258" s="359" t="str">
        <f t="shared" ref="AL258:AL321" si="70">IF(OR(L258="",L258="N/A"),"",IF(OR(L258&lt;DATEVALUE("01/04/24"),L258&gt;DATEVALUE("31/03/25")),"ERROR",""))</f>
        <v/>
      </c>
      <c r="AM258" s="359" t="str">
        <f t="shared" si="58"/>
        <v/>
      </c>
      <c r="AN258" s="262">
        <f t="shared" si="61"/>
        <v>0</v>
      </c>
      <c r="AO258" s="262" t="str">
        <f>IFERROR(HLOOKUP(AN258,'Ref Lists'!Q$1:AL$2,2,FALSE),'Ref Lists'!$AK$2)</f>
        <v>Savings21</v>
      </c>
      <c r="AP258" s="38"/>
      <c r="AQ258" s="38">
        <f t="shared" si="64"/>
        <v>0</v>
      </c>
      <c r="AR258" s="38"/>
      <c r="AS258" s="38"/>
      <c r="AT258" s="38"/>
      <c r="AU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38"/>
      <c r="BU258" s="38"/>
      <c r="BV258" s="38"/>
      <c r="BW258" s="38"/>
      <c r="BX258" s="38"/>
      <c r="BY258" s="38"/>
      <c r="BZ258" s="38"/>
      <c r="CA258" s="38"/>
      <c r="CB258" s="38"/>
      <c r="CC258" s="38"/>
      <c r="CD258" s="38"/>
      <c r="CE258" s="38"/>
      <c r="CF258" s="38"/>
      <c r="CG258" s="38"/>
      <c r="CH258" s="38"/>
      <c r="CI258" s="38"/>
      <c r="CJ258" s="38"/>
      <c r="CK258" s="38"/>
      <c r="CL258" s="38"/>
      <c r="CM258" s="38"/>
      <c r="CN258" s="38"/>
      <c r="CO258" s="38"/>
      <c r="CP258" s="38"/>
      <c r="CQ258" s="38"/>
      <c r="CR258" s="38"/>
      <c r="CS258" s="38"/>
      <c r="CT258" s="38"/>
      <c r="CU258" s="38"/>
      <c r="CV258" s="38"/>
      <c r="CW258" s="38"/>
      <c r="CX258" s="38"/>
      <c r="CY258" s="38"/>
      <c r="CZ258" s="38"/>
    </row>
    <row r="259" spans="1:104" s="40" customFormat="1" ht="20.149999999999999" customHeight="1">
      <c r="A259" s="358">
        <f t="shared" si="59"/>
        <v>258</v>
      </c>
      <c r="B259" s="359" t="str">
        <f>'Front Sheet and Checklist'!$C$5</f>
        <v>Swansea Bay UHB</v>
      </c>
      <c r="C259" s="17"/>
      <c r="D259" s="17"/>
      <c r="E259" s="17"/>
      <c r="F259" s="17"/>
      <c r="G259" s="17"/>
      <c r="H259" s="17"/>
      <c r="I259" s="361">
        <f t="shared" si="63"/>
        <v>0</v>
      </c>
      <c r="J259" s="17"/>
      <c r="K259" s="18"/>
      <c r="L259" s="18"/>
      <c r="M259" s="17"/>
      <c r="N259" s="17"/>
      <c r="O259" s="17"/>
      <c r="P259" s="17"/>
      <c r="Q259" s="169"/>
      <c r="R259" s="24"/>
      <c r="S259" s="24"/>
      <c r="T259" s="24"/>
      <c r="U259" s="25"/>
      <c r="V259" s="25"/>
      <c r="W259" s="25"/>
      <c r="X259" s="24"/>
      <c r="Y259" s="24"/>
      <c r="Z259" s="24"/>
      <c r="AA259" s="24"/>
      <c r="AB259" s="24"/>
      <c r="AC259" s="24"/>
      <c r="AD259" s="361">
        <f t="shared" si="62"/>
        <v>0</v>
      </c>
      <c r="AE259" s="359" t="str">
        <f t="shared" si="65"/>
        <v/>
      </c>
      <c r="AF259" s="359" t="str">
        <f t="shared" si="60"/>
        <v/>
      </c>
      <c r="AG259" s="359" t="str">
        <f t="shared" si="66"/>
        <v/>
      </c>
      <c r="AH259" s="359" t="str">
        <f t="shared" si="67"/>
        <v/>
      </c>
      <c r="AI259" s="359" t="str">
        <f t="shared" si="68"/>
        <v/>
      </c>
      <c r="AJ259" s="359" t="str">
        <f t="shared" si="69"/>
        <v/>
      </c>
      <c r="AK259" s="359" t="str">
        <f t="shared" ref="AK259:AK322" si="71">IF(OR(K259="",K259="N/a"),"",IF(OR(K259&lt;DATEVALUE("01/04/24"),K259&gt;DATEVALUE("31/03/25")),"ERROR",""))</f>
        <v/>
      </c>
      <c r="AL259" s="359" t="str">
        <f t="shared" si="70"/>
        <v/>
      </c>
      <c r="AM259" s="359" t="str">
        <f t="shared" ref="AM259:AM322" si="72">IF(COUNTA(T259:AC259)&lt;&gt;COUNT(T259:AC259),"ERROR","")</f>
        <v/>
      </c>
      <c r="AN259" s="262">
        <f t="shared" si="61"/>
        <v>0</v>
      </c>
      <c r="AO259" s="262" t="str">
        <f>IFERROR(HLOOKUP(AN259,'Ref Lists'!Q$1:AL$2,2,FALSE),'Ref Lists'!$AK$2)</f>
        <v>Savings21</v>
      </c>
      <c r="AP259" s="38"/>
      <c r="AQ259" s="38">
        <f t="shared" si="64"/>
        <v>0</v>
      </c>
      <c r="AR259" s="38"/>
      <c r="AS259" s="38"/>
      <c r="AT259" s="38"/>
      <c r="AU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38"/>
      <c r="BU259" s="38"/>
      <c r="BV259" s="38"/>
      <c r="BW259" s="38"/>
      <c r="BX259" s="38"/>
      <c r="BY259" s="38"/>
      <c r="BZ259" s="38"/>
      <c r="CA259" s="38"/>
      <c r="CB259" s="38"/>
      <c r="CC259" s="38"/>
      <c r="CD259" s="38"/>
      <c r="CE259" s="38"/>
      <c r="CF259" s="38"/>
      <c r="CG259" s="38"/>
      <c r="CH259" s="38"/>
      <c r="CI259" s="38"/>
      <c r="CJ259" s="38"/>
      <c r="CK259" s="38"/>
      <c r="CL259" s="38"/>
      <c r="CM259" s="38"/>
      <c r="CN259" s="38"/>
      <c r="CO259" s="38"/>
      <c r="CP259" s="38"/>
      <c r="CQ259" s="38"/>
      <c r="CR259" s="38"/>
      <c r="CS259" s="38"/>
      <c r="CT259" s="38"/>
      <c r="CU259" s="38"/>
      <c r="CV259" s="38"/>
      <c r="CW259" s="38"/>
      <c r="CX259" s="38"/>
      <c r="CY259" s="38"/>
      <c r="CZ259" s="38"/>
    </row>
    <row r="260" spans="1:104" s="40" customFormat="1" ht="20.149999999999999" customHeight="1">
      <c r="A260" s="358">
        <f t="shared" ref="A260:A323" si="73">+A259+1</f>
        <v>259</v>
      </c>
      <c r="B260" s="359" t="str">
        <f>'Front Sheet and Checklist'!$C$5</f>
        <v>Swansea Bay UHB</v>
      </c>
      <c r="C260" s="17"/>
      <c r="D260" s="17"/>
      <c r="E260" s="17"/>
      <c r="F260" s="17"/>
      <c r="G260" s="17"/>
      <c r="H260" s="17"/>
      <c r="I260" s="361">
        <f t="shared" si="63"/>
        <v>0</v>
      </c>
      <c r="J260" s="17"/>
      <c r="K260" s="18"/>
      <c r="L260" s="18"/>
      <c r="M260" s="17"/>
      <c r="N260" s="17"/>
      <c r="O260" s="17"/>
      <c r="P260" s="17"/>
      <c r="Q260" s="169"/>
      <c r="R260" s="24"/>
      <c r="S260" s="24"/>
      <c r="T260" s="24"/>
      <c r="U260" s="25"/>
      <c r="V260" s="25"/>
      <c r="W260" s="25"/>
      <c r="X260" s="24"/>
      <c r="Y260" s="24"/>
      <c r="Z260" s="24"/>
      <c r="AA260" s="24"/>
      <c r="AB260" s="24"/>
      <c r="AC260" s="24"/>
      <c r="AD260" s="361">
        <f t="shared" si="62"/>
        <v>0</v>
      </c>
      <c r="AE260" s="359" t="str">
        <f t="shared" si="65"/>
        <v/>
      </c>
      <c r="AF260" s="359" t="str">
        <f t="shared" ref="AF260:AF323" si="74">IF(COUNTIF($F$2:$F$1001,F260)&gt;1,"ERROR","")</f>
        <v/>
      </c>
      <c r="AG260" s="359" t="str">
        <f t="shared" si="66"/>
        <v/>
      </c>
      <c r="AH260" s="359" t="str">
        <f t="shared" si="67"/>
        <v/>
      </c>
      <c r="AI260" s="359" t="str">
        <f t="shared" si="68"/>
        <v/>
      </c>
      <c r="AJ260" s="359" t="str">
        <f t="shared" si="69"/>
        <v/>
      </c>
      <c r="AK260" s="359" t="str">
        <f t="shared" si="71"/>
        <v/>
      </c>
      <c r="AL260" s="359" t="str">
        <f t="shared" si="70"/>
        <v/>
      </c>
      <c r="AM260" s="359" t="str">
        <f t="shared" si="72"/>
        <v/>
      </c>
      <c r="AN260" s="262">
        <f t="shared" si="61"/>
        <v>0</v>
      </c>
      <c r="AO260" s="262" t="str">
        <f>IFERROR(HLOOKUP(AN260,'Ref Lists'!Q$1:AL$2,2,FALSE),'Ref Lists'!$AK$2)</f>
        <v>Savings21</v>
      </c>
      <c r="AP260" s="38"/>
      <c r="AQ260" s="38">
        <f t="shared" si="64"/>
        <v>0</v>
      </c>
      <c r="AR260" s="38"/>
      <c r="AS260" s="38"/>
      <c r="AT260" s="38"/>
      <c r="AU260" s="38"/>
      <c r="AV260" s="38"/>
      <c r="AW260" s="38"/>
      <c r="AX260" s="38"/>
      <c r="AY260" s="38"/>
      <c r="AZ260" s="38"/>
      <c r="BA260" s="38"/>
      <c r="BB260" s="38"/>
      <c r="BC260" s="38"/>
      <c r="BD260" s="38"/>
      <c r="BE260" s="38"/>
      <c r="BF260" s="38"/>
      <c r="BG260" s="38"/>
      <c r="BH260" s="38"/>
      <c r="BI260" s="38"/>
      <c r="BJ260" s="38"/>
      <c r="BK260" s="38"/>
      <c r="BL260" s="38"/>
      <c r="BM260" s="38"/>
      <c r="BN260" s="38"/>
      <c r="BO260" s="38"/>
      <c r="BP260" s="38"/>
      <c r="BQ260" s="38"/>
      <c r="BR260" s="38"/>
      <c r="BS260" s="38"/>
      <c r="BT260" s="38"/>
      <c r="BU260" s="38"/>
      <c r="BV260" s="38"/>
      <c r="BW260" s="38"/>
      <c r="BX260" s="38"/>
      <c r="BY260" s="38"/>
      <c r="BZ260" s="38"/>
      <c r="CA260" s="38"/>
      <c r="CB260" s="38"/>
      <c r="CC260" s="38"/>
      <c r="CD260" s="38"/>
      <c r="CE260" s="38"/>
      <c r="CF260" s="38"/>
      <c r="CG260" s="38"/>
      <c r="CH260" s="38"/>
      <c r="CI260" s="38"/>
      <c r="CJ260" s="38"/>
      <c r="CK260" s="38"/>
      <c r="CL260" s="38"/>
      <c r="CM260" s="38"/>
      <c r="CN260" s="38"/>
      <c r="CO260" s="38"/>
      <c r="CP260" s="38"/>
      <c r="CQ260" s="38"/>
      <c r="CR260" s="38"/>
      <c r="CS260" s="38"/>
      <c r="CT260" s="38"/>
      <c r="CU260" s="38"/>
      <c r="CV260" s="38"/>
      <c r="CW260" s="38"/>
      <c r="CX260" s="38"/>
      <c r="CY260" s="38"/>
      <c r="CZ260" s="38"/>
    </row>
    <row r="261" spans="1:104" s="40" customFormat="1" ht="20.149999999999999" customHeight="1">
      <c r="A261" s="358">
        <f t="shared" si="73"/>
        <v>260</v>
      </c>
      <c r="B261" s="359" t="str">
        <f>'Front Sheet and Checklist'!$C$5</f>
        <v>Swansea Bay UHB</v>
      </c>
      <c r="C261" s="17"/>
      <c r="D261" s="17"/>
      <c r="E261" s="17"/>
      <c r="F261" s="17"/>
      <c r="G261" s="17"/>
      <c r="H261" s="17"/>
      <c r="I261" s="361">
        <f t="shared" si="63"/>
        <v>0</v>
      </c>
      <c r="J261" s="17"/>
      <c r="K261" s="18"/>
      <c r="L261" s="18"/>
      <c r="M261" s="17"/>
      <c r="N261" s="17"/>
      <c r="O261" s="17"/>
      <c r="P261" s="17"/>
      <c r="Q261" s="169"/>
      <c r="R261" s="24"/>
      <c r="S261" s="24"/>
      <c r="T261" s="24"/>
      <c r="U261" s="25"/>
      <c r="V261" s="25"/>
      <c r="W261" s="25"/>
      <c r="X261" s="24"/>
      <c r="Y261" s="24"/>
      <c r="Z261" s="24"/>
      <c r="AA261" s="24"/>
      <c r="AB261" s="24"/>
      <c r="AC261" s="24"/>
      <c r="AD261" s="361">
        <f t="shared" si="62"/>
        <v>0</v>
      </c>
      <c r="AE261" s="359" t="str">
        <f t="shared" si="65"/>
        <v/>
      </c>
      <c r="AF261" s="359" t="str">
        <f t="shared" si="74"/>
        <v/>
      </c>
      <c r="AG261" s="359" t="str">
        <f t="shared" si="66"/>
        <v/>
      </c>
      <c r="AH261" s="359" t="str">
        <f t="shared" si="67"/>
        <v/>
      </c>
      <c r="AI261" s="359" t="str">
        <f t="shared" si="68"/>
        <v/>
      </c>
      <c r="AJ261" s="359" t="str">
        <f t="shared" si="69"/>
        <v/>
      </c>
      <c r="AK261" s="359" t="str">
        <f t="shared" si="71"/>
        <v/>
      </c>
      <c r="AL261" s="359" t="str">
        <f t="shared" si="70"/>
        <v/>
      </c>
      <c r="AM261" s="359" t="str">
        <f t="shared" si="72"/>
        <v/>
      </c>
      <c r="AN261" s="262">
        <f t="shared" ref="AN261:AN324" si="75">IF(P261="1) Workforce",_xlfn.CONCAT(P261,O261),IF(P261="5) Pathway",_xlfn.CONCAT(P261,N261),P261))</f>
        <v>0</v>
      </c>
      <c r="AO261" s="262" t="str">
        <f>IFERROR(HLOOKUP(AN261,'Ref Lists'!Q$1:AL$2,2,FALSE),'Ref Lists'!$AK$2)</f>
        <v>Savings21</v>
      </c>
      <c r="AP261" s="38"/>
      <c r="AQ261" s="38">
        <f t="shared" si="64"/>
        <v>0</v>
      </c>
      <c r="AR261" s="38"/>
      <c r="AS261" s="38"/>
      <c r="AT261" s="38"/>
      <c r="AU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38"/>
      <c r="BU261" s="38"/>
      <c r="BV261" s="38"/>
      <c r="BW261" s="38"/>
      <c r="BX261" s="38"/>
      <c r="BY261" s="38"/>
      <c r="BZ261" s="38"/>
      <c r="CA261" s="38"/>
      <c r="CB261" s="38"/>
      <c r="CC261" s="38"/>
      <c r="CD261" s="38"/>
      <c r="CE261" s="38"/>
      <c r="CF261" s="38"/>
      <c r="CG261" s="38"/>
      <c r="CH261" s="38"/>
      <c r="CI261" s="38"/>
      <c r="CJ261" s="38"/>
      <c r="CK261" s="38"/>
      <c r="CL261" s="38"/>
      <c r="CM261" s="38"/>
      <c r="CN261" s="38"/>
      <c r="CO261" s="38"/>
      <c r="CP261" s="38"/>
      <c r="CQ261" s="38"/>
      <c r="CR261" s="38"/>
      <c r="CS261" s="38"/>
      <c r="CT261" s="38"/>
      <c r="CU261" s="38"/>
      <c r="CV261" s="38"/>
      <c r="CW261" s="38"/>
      <c r="CX261" s="38"/>
      <c r="CY261" s="38"/>
      <c r="CZ261" s="38"/>
    </row>
    <row r="262" spans="1:104" s="40" customFormat="1" ht="20.149999999999999" customHeight="1">
      <c r="A262" s="358">
        <f t="shared" si="73"/>
        <v>261</v>
      </c>
      <c r="B262" s="359" t="str">
        <f>'Front Sheet and Checklist'!$C$5</f>
        <v>Swansea Bay UHB</v>
      </c>
      <c r="C262" s="17"/>
      <c r="D262" s="17"/>
      <c r="E262" s="17"/>
      <c r="F262" s="17"/>
      <c r="G262" s="17"/>
      <c r="H262" s="17"/>
      <c r="I262" s="361">
        <f t="shared" si="63"/>
        <v>0</v>
      </c>
      <c r="J262" s="17"/>
      <c r="K262" s="18"/>
      <c r="L262" s="18"/>
      <c r="M262" s="17"/>
      <c r="N262" s="17"/>
      <c r="O262" s="17"/>
      <c r="P262" s="17"/>
      <c r="Q262" s="169"/>
      <c r="R262" s="24"/>
      <c r="S262" s="24"/>
      <c r="T262" s="24"/>
      <c r="U262" s="25"/>
      <c r="V262" s="25"/>
      <c r="W262" s="25"/>
      <c r="X262" s="24"/>
      <c r="Y262" s="24"/>
      <c r="Z262" s="24"/>
      <c r="AA262" s="24"/>
      <c r="AB262" s="24"/>
      <c r="AC262" s="24"/>
      <c r="AD262" s="361">
        <f t="shared" si="62"/>
        <v>0</v>
      </c>
      <c r="AE262" s="359" t="str">
        <f t="shared" si="65"/>
        <v/>
      </c>
      <c r="AF262" s="359" t="str">
        <f t="shared" si="74"/>
        <v/>
      </c>
      <c r="AG262" s="359" t="str">
        <f t="shared" si="66"/>
        <v/>
      </c>
      <c r="AH262" s="359" t="str">
        <f t="shared" si="67"/>
        <v/>
      </c>
      <c r="AI262" s="359" t="str">
        <f t="shared" si="68"/>
        <v/>
      </c>
      <c r="AJ262" s="359" t="str">
        <f t="shared" si="69"/>
        <v/>
      </c>
      <c r="AK262" s="359" t="str">
        <f t="shared" si="71"/>
        <v/>
      </c>
      <c r="AL262" s="359" t="str">
        <f t="shared" si="70"/>
        <v/>
      </c>
      <c r="AM262" s="359" t="str">
        <f t="shared" si="72"/>
        <v/>
      </c>
      <c r="AN262" s="262">
        <f t="shared" si="75"/>
        <v>0</v>
      </c>
      <c r="AO262" s="262" t="str">
        <f>IFERROR(HLOOKUP(AN262,'Ref Lists'!Q$1:AL$2,2,FALSE),'Ref Lists'!$AK$2)</f>
        <v>Savings21</v>
      </c>
      <c r="AP262" s="38"/>
      <c r="AQ262" s="38">
        <f t="shared" si="64"/>
        <v>0</v>
      </c>
      <c r="AR262" s="38"/>
      <c r="AS262" s="38"/>
      <c r="AT262" s="38"/>
      <c r="AU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38"/>
      <c r="BU262" s="38"/>
      <c r="BV262" s="38"/>
      <c r="BW262" s="38"/>
      <c r="BX262" s="38"/>
      <c r="BY262" s="38"/>
      <c r="BZ262" s="38"/>
      <c r="CA262" s="38"/>
      <c r="CB262" s="38"/>
      <c r="CC262" s="38"/>
      <c r="CD262" s="38"/>
      <c r="CE262" s="38"/>
      <c r="CF262" s="38"/>
      <c r="CG262" s="38"/>
      <c r="CH262" s="38"/>
      <c r="CI262" s="38"/>
      <c r="CJ262" s="38"/>
      <c r="CK262" s="38"/>
      <c r="CL262" s="38"/>
      <c r="CM262" s="38"/>
      <c r="CN262" s="38"/>
      <c r="CO262" s="38"/>
      <c r="CP262" s="38"/>
      <c r="CQ262" s="38"/>
      <c r="CR262" s="38"/>
      <c r="CS262" s="38"/>
      <c r="CT262" s="38"/>
      <c r="CU262" s="38"/>
      <c r="CV262" s="38"/>
      <c r="CW262" s="38"/>
      <c r="CX262" s="38"/>
      <c r="CY262" s="38"/>
      <c r="CZ262" s="38"/>
    </row>
    <row r="263" spans="1:104" s="40" customFormat="1" ht="20.149999999999999" customHeight="1">
      <c r="A263" s="358">
        <f t="shared" si="73"/>
        <v>262</v>
      </c>
      <c r="B263" s="359" t="str">
        <f>'Front Sheet and Checklist'!$C$5</f>
        <v>Swansea Bay UHB</v>
      </c>
      <c r="C263" s="17"/>
      <c r="D263" s="17"/>
      <c r="E263" s="17"/>
      <c r="F263" s="17"/>
      <c r="G263" s="17"/>
      <c r="H263" s="17"/>
      <c r="I263" s="361">
        <f t="shared" si="63"/>
        <v>0</v>
      </c>
      <c r="J263" s="17"/>
      <c r="K263" s="18"/>
      <c r="L263" s="18"/>
      <c r="M263" s="17"/>
      <c r="N263" s="17"/>
      <c r="O263" s="17"/>
      <c r="P263" s="17"/>
      <c r="Q263" s="169"/>
      <c r="R263" s="24"/>
      <c r="S263" s="24"/>
      <c r="T263" s="24"/>
      <c r="U263" s="25"/>
      <c r="V263" s="25"/>
      <c r="W263" s="25"/>
      <c r="X263" s="24"/>
      <c r="Y263" s="24"/>
      <c r="Z263" s="24"/>
      <c r="AA263" s="24"/>
      <c r="AB263" s="24"/>
      <c r="AC263" s="24"/>
      <c r="AD263" s="361">
        <f t="shared" si="62"/>
        <v>0</v>
      </c>
      <c r="AE263" s="359" t="str">
        <f t="shared" si="65"/>
        <v/>
      </c>
      <c r="AF263" s="359" t="str">
        <f t="shared" si="74"/>
        <v/>
      </c>
      <c r="AG263" s="359" t="str">
        <f t="shared" si="66"/>
        <v/>
      </c>
      <c r="AH263" s="359" t="str">
        <f t="shared" si="67"/>
        <v/>
      </c>
      <c r="AI263" s="359" t="str">
        <f t="shared" si="68"/>
        <v/>
      </c>
      <c r="AJ263" s="359" t="str">
        <f t="shared" si="69"/>
        <v/>
      </c>
      <c r="AK263" s="359" t="str">
        <f t="shared" si="71"/>
        <v/>
      </c>
      <c r="AL263" s="359" t="str">
        <f t="shared" si="70"/>
        <v/>
      </c>
      <c r="AM263" s="359" t="str">
        <f t="shared" si="72"/>
        <v/>
      </c>
      <c r="AN263" s="262">
        <f t="shared" si="75"/>
        <v>0</v>
      </c>
      <c r="AO263" s="262" t="str">
        <f>IFERROR(HLOOKUP(AN263,'Ref Lists'!Q$1:AL$2,2,FALSE),'Ref Lists'!$AK$2)</f>
        <v>Savings21</v>
      </c>
      <c r="AP263" s="38"/>
      <c r="AQ263" s="38">
        <f t="shared" si="64"/>
        <v>0</v>
      </c>
      <c r="AR263" s="38"/>
      <c r="AS263" s="38"/>
      <c r="AT263" s="38"/>
      <c r="AU263" s="38"/>
      <c r="AV263" s="38"/>
      <c r="AW263" s="38"/>
      <c r="AX263" s="38"/>
      <c r="AY263" s="38"/>
      <c r="AZ263" s="38"/>
      <c r="BA263" s="38"/>
      <c r="BB263" s="38"/>
      <c r="BC263" s="38"/>
      <c r="BD263" s="38"/>
      <c r="BE263" s="38"/>
      <c r="BF263" s="38"/>
      <c r="BG263" s="38"/>
      <c r="BH263" s="38"/>
      <c r="BI263" s="38"/>
      <c r="BJ263" s="38"/>
      <c r="BK263" s="38"/>
      <c r="BL263" s="38"/>
      <c r="BM263" s="38"/>
      <c r="BN263" s="38"/>
      <c r="BO263" s="38"/>
      <c r="BP263" s="38"/>
      <c r="BQ263" s="38"/>
      <c r="BR263" s="38"/>
      <c r="BS263" s="38"/>
      <c r="BT263" s="38"/>
      <c r="BU263" s="38"/>
      <c r="BV263" s="38"/>
      <c r="BW263" s="38"/>
      <c r="BX263" s="38"/>
      <c r="BY263" s="38"/>
      <c r="BZ263" s="38"/>
      <c r="CA263" s="38"/>
      <c r="CB263" s="38"/>
      <c r="CC263" s="38"/>
      <c r="CD263" s="38"/>
      <c r="CE263" s="38"/>
      <c r="CF263" s="38"/>
      <c r="CG263" s="38"/>
      <c r="CH263" s="38"/>
      <c r="CI263" s="38"/>
      <c r="CJ263" s="38"/>
      <c r="CK263" s="38"/>
      <c r="CL263" s="38"/>
      <c r="CM263" s="38"/>
      <c r="CN263" s="38"/>
      <c r="CO263" s="38"/>
      <c r="CP263" s="38"/>
      <c r="CQ263" s="38"/>
      <c r="CR263" s="38"/>
      <c r="CS263" s="38"/>
      <c r="CT263" s="38"/>
      <c r="CU263" s="38"/>
      <c r="CV263" s="38"/>
      <c r="CW263" s="38"/>
      <c r="CX263" s="38"/>
      <c r="CY263" s="38"/>
      <c r="CZ263" s="38"/>
    </row>
    <row r="264" spans="1:104" s="40" customFormat="1" ht="20.149999999999999" customHeight="1">
      <c r="A264" s="358">
        <f t="shared" si="73"/>
        <v>263</v>
      </c>
      <c r="B264" s="359" t="str">
        <f>'Front Sheet and Checklist'!$C$5</f>
        <v>Swansea Bay UHB</v>
      </c>
      <c r="C264" s="17"/>
      <c r="D264" s="17"/>
      <c r="E264" s="17"/>
      <c r="F264" s="17"/>
      <c r="G264" s="17"/>
      <c r="H264" s="17"/>
      <c r="I264" s="361">
        <f t="shared" si="63"/>
        <v>0</v>
      </c>
      <c r="J264" s="17"/>
      <c r="K264" s="18"/>
      <c r="L264" s="18"/>
      <c r="M264" s="17"/>
      <c r="N264" s="17"/>
      <c r="O264" s="17"/>
      <c r="P264" s="17"/>
      <c r="Q264" s="169"/>
      <c r="R264" s="24"/>
      <c r="S264" s="24"/>
      <c r="T264" s="24"/>
      <c r="U264" s="25"/>
      <c r="V264" s="25"/>
      <c r="W264" s="25"/>
      <c r="X264" s="24"/>
      <c r="Y264" s="24"/>
      <c r="Z264" s="24"/>
      <c r="AA264" s="24"/>
      <c r="AB264" s="24"/>
      <c r="AC264" s="24"/>
      <c r="AD264" s="361">
        <f t="shared" si="62"/>
        <v>0</v>
      </c>
      <c r="AE264" s="359" t="str">
        <f t="shared" si="65"/>
        <v/>
      </c>
      <c r="AF264" s="359" t="str">
        <f t="shared" si="74"/>
        <v/>
      </c>
      <c r="AG264" s="359" t="str">
        <f t="shared" si="66"/>
        <v/>
      </c>
      <c r="AH264" s="359" t="str">
        <f t="shared" si="67"/>
        <v/>
      </c>
      <c r="AI264" s="359" t="str">
        <f t="shared" si="68"/>
        <v/>
      </c>
      <c r="AJ264" s="359" t="str">
        <f t="shared" si="69"/>
        <v/>
      </c>
      <c r="AK264" s="359" t="str">
        <f t="shared" si="71"/>
        <v/>
      </c>
      <c r="AL264" s="359" t="str">
        <f t="shared" si="70"/>
        <v/>
      </c>
      <c r="AM264" s="359" t="str">
        <f t="shared" si="72"/>
        <v/>
      </c>
      <c r="AN264" s="262">
        <f t="shared" si="75"/>
        <v>0</v>
      </c>
      <c r="AO264" s="262" t="str">
        <f>IFERROR(HLOOKUP(AN264,'Ref Lists'!Q$1:AL$2,2,FALSE),'Ref Lists'!$AK$2)</f>
        <v>Savings21</v>
      </c>
      <c r="AP264" s="38"/>
      <c r="AQ264" s="38">
        <f t="shared" si="64"/>
        <v>0</v>
      </c>
      <c r="AR264" s="38"/>
      <c r="AS264" s="38"/>
      <c r="AT264" s="38"/>
      <c r="AU264" s="38"/>
      <c r="AV264" s="38"/>
      <c r="AW264" s="38"/>
      <c r="AX264" s="38"/>
      <c r="AY264" s="38"/>
      <c r="AZ264" s="38"/>
      <c r="BA264" s="38"/>
      <c r="BB264" s="38"/>
      <c r="BC264" s="38"/>
      <c r="BD264" s="38"/>
      <c r="BE264" s="38"/>
      <c r="BF264" s="38"/>
      <c r="BG264" s="38"/>
      <c r="BH264" s="38"/>
      <c r="BI264" s="38"/>
      <c r="BJ264" s="38"/>
      <c r="BK264" s="38"/>
      <c r="BL264" s="38"/>
      <c r="BM264" s="38"/>
      <c r="BN264" s="38"/>
      <c r="BO264" s="38"/>
      <c r="BP264" s="38"/>
      <c r="BQ264" s="38"/>
      <c r="BR264" s="38"/>
      <c r="BS264" s="38"/>
      <c r="BT264" s="38"/>
      <c r="BU264" s="38"/>
      <c r="BV264" s="38"/>
      <c r="BW264" s="38"/>
      <c r="BX264" s="38"/>
      <c r="BY264" s="38"/>
      <c r="BZ264" s="38"/>
      <c r="CA264" s="38"/>
      <c r="CB264" s="38"/>
      <c r="CC264" s="38"/>
      <c r="CD264" s="38"/>
      <c r="CE264" s="38"/>
      <c r="CF264" s="38"/>
      <c r="CG264" s="38"/>
      <c r="CH264" s="38"/>
      <c r="CI264" s="38"/>
      <c r="CJ264" s="38"/>
      <c r="CK264" s="38"/>
      <c r="CL264" s="38"/>
      <c r="CM264" s="38"/>
      <c r="CN264" s="38"/>
      <c r="CO264" s="38"/>
      <c r="CP264" s="38"/>
      <c r="CQ264" s="38"/>
      <c r="CR264" s="38"/>
      <c r="CS264" s="38"/>
      <c r="CT264" s="38"/>
      <c r="CU264" s="38"/>
      <c r="CV264" s="38"/>
      <c r="CW264" s="38"/>
      <c r="CX264" s="38"/>
      <c r="CY264" s="38"/>
      <c r="CZ264" s="38"/>
    </row>
    <row r="265" spans="1:104" s="40" customFormat="1" ht="20.149999999999999" customHeight="1">
      <c r="A265" s="358">
        <f t="shared" si="73"/>
        <v>264</v>
      </c>
      <c r="B265" s="359" t="str">
        <f>'Front Sheet and Checklist'!$C$5</f>
        <v>Swansea Bay UHB</v>
      </c>
      <c r="C265" s="17"/>
      <c r="D265" s="17"/>
      <c r="E265" s="17"/>
      <c r="F265" s="17"/>
      <c r="G265" s="17"/>
      <c r="H265" s="17"/>
      <c r="I265" s="361">
        <f t="shared" si="63"/>
        <v>0</v>
      </c>
      <c r="J265" s="17"/>
      <c r="K265" s="18"/>
      <c r="L265" s="18"/>
      <c r="M265" s="17"/>
      <c r="N265" s="17"/>
      <c r="O265" s="17"/>
      <c r="P265" s="17"/>
      <c r="Q265" s="169"/>
      <c r="R265" s="24"/>
      <c r="S265" s="24"/>
      <c r="T265" s="24"/>
      <c r="U265" s="25"/>
      <c r="V265" s="25"/>
      <c r="W265" s="25"/>
      <c r="X265" s="24"/>
      <c r="Y265" s="24"/>
      <c r="Z265" s="24"/>
      <c r="AA265" s="24"/>
      <c r="AB265" s="24"/>
      <c r="AC265" s="24"/>
      <c r="AD265" s="361">
        <f t="shared" si="62"/>
        <v>0</v>
      </c>
      <c r="AE265" s="359" t="str">
        <f t="shared" si="65"/>
        <v/>
      </c>
      <c r="AF265" s="359" t="str">
        <f t="shared" si="74"/>
        <v/>
      </c>
      <c r="AG265" s="359" t="str">
        <f t="shared" si="66"/>
        <v/>
      </c>
      <c r="AH265" s="359" t="str">
        <f t="shared" si="67"/>
        <v/>
      </c>
      <c r="AI265" s="359" t="str">
        <f t="shared" si="68"/>
        <v/>
      </c>
      <c r="AJ265" s="359" t="str">
        <f t="shared" si="69"/>
        <v/>
      </c>
      <c r="AK265" s="359" t="str">
        <f t="shared" si="71"/>
        <v/>
      </c>
      <c r="AL265" s="359" t="str">
        <f t="shared" si="70"/>
        <v/>
      </c>
      <c r="AM265" s="359" t="str">
        <f t="shared" si="72"/>
        <v/>
      </c>
      <c r="AN265" s="262">
        <f t="shared" si="75"/>
        <v>0</v>
      </c>
      <c r="AO265" s="262" t="str">
        <f>IFERROR(HLOOKUP(AN265,'Ref Lists'!Q$1:AL$2,2,FALSE),'Ref Lists'!$AK$2)</f>
        <v>Savings21</v>
      </c>
      <c r="AP265" s="38"/>
      <c r="AQ265" s="38">
        <f t="shared" si="64"/>
        <v>0</v>
      </c>
      <c r="AR265" s="38"/>
      <c r="AS265" s="38"/>
      <c r="AT265" s="38"/>
      <c r="AU265" s="38"/>
      <c r="AV265" s="38"/>
      <c r="AW265" s="38"/>
      <c r="AX265" s="38"/>
      <c r="AY265" s="38"/>
      <c r="AZ265" s="38"/>
      <c r="BA265" s="38"/>
      <c r="BB265" s="38"/>
      <c r="BC265" s="38"/>
      <c r="BD265" s="38"/>
      <c r="BE265" s="38"/>
      <c r="BF265" s="38"/>
      <c r="BG265" s="38"/>
      <c r="BH265" s="38"/>
      <c r="BI265" s="38"/>
      <c r="BJ265" s="38"/>
      <c r="BK265" s="38"/>
      <c r="BL265" s="38"/>
      <c r="BM265" s="38"/>
      <c r="BN265" s="38"/>
      <c r="BO265" s="38"/>
      <c r="BP265" s="38"/>
      <c r="BQ265" s="38"/>
      <c r="BR265" s="38"/>
      <c r="BS265" s="38"/>
      <c r="BT265" s="38"/>
      <c r="BU265" s="38"/>
      <c r="BV265" s="38"/>
      <c r="BW265" s="38"/>
      <c r="BX265" s="38"/>
      <c r="BY265" s="38"/>
      <c r="BZ265" s="38"/>
      <c r="CA265" s="38"/>
      <c r="CB265" s="38"/>
      <c r="CC265" s="38"/>
      <c r="CD265" s="38"/>
      <c r="CE265" s="38"/>
      <c r="CF265" s="38"/>
      <c r="CG265" s="38"/>
      <c r="CH265" s="38"/>
      <c r="CI265" s="38"/>
      <c r="CJ265" s="38"/>
      <c r="CK265" s="38"/>
      <c r="CL265" s="38"/>
      <c r="CM265" s="38"/>
      <c r="CN265" s="38"/>
      <c r="CO265" s="38"/>
      <c r="CP265" s="38"/>
      <c r="CQ265" s="38"/>
      <c r="CR265" s="38"/>
      <c r="CS265" s="38"/>
      <c r="CT265" s="38"/>
      <c r="CU265" s="38"/>
      <c r="CV265" s="38"/>
      <c r="CW265" s="38"/>
      <c r="CX265" s="38"/>
      <c r="CY265" s="38"/>
      <c r="CZ265" s="38"/>
    </row>
    <row r="266" spans="1:104" s="40" customFormat="1" ht="20.149999999999999" customHeight="1">
      <c r="A266" s="358">
        <f t="shared" si="73"/>
        <v>265</v>
      </c>
      <c r="B266" s="359" t="str">
        <f>'Front Sheet and Checklist'!$C$5</f>
        <v>Swansea Bay UHB</v>
      </c>
      <c r="C266" s="17"/>
      <c r="D266" s="17"/>
      <c r="E266" s="17"/>
      <c r="F266" s="17"/>
      <c r="G266" s="17"/>
      <c r="H266" s="17"/>
      <c r="I266" s="361">
        <f t="shared" si="63"/>
        <v>0</v>
      </c>
      <c r="J266" s="17"/>
      <c r="K266" s="18"/>
      <c r="L266" s="18"/>
      <c r="M266" s="17"/>
      <c r="N266" s="17"/>
      <c r="O266" s="17"/>
      <c r="P266" s="17"/>
      <c r="Q266" s="169"/>
      <c r="R266" s="24"/>
      <c r="S266" s="24"/>
      <c r="T266" s="24"/>
      <c r="U266" s="25"/>
      <c r="V266" s="25"/>
      <c r="W266" s="25"/>
      <c r="X266" s="24"/>
      <c r="Y266" s="24"/>
      <c r="Z266" s="24"/>
      <c r="AA266" s="24"/>
      <c r="AB266" s="24"/>
      <c r="AC266" s="24"/>
      <c r="AD266" s="361">
        <f t="shared" si="62"/>
        <v>0</v>
      </c>
      <c r="AE266" s="359" t="str">
        <f t="shared" si="65"/>
        <v/>
      </c>
      <c r="AF266" s="359" t="str">
        <f t="shared" si="74"/>
        <v/>
      </c>
      <c r="AG266" s="359" t="str">
        <f t="shared" si="66"/>
        <v/>
      </c>
      <c r="AH266" s="359" t="str">
        <f t="shared" si="67"/>
        <v/>
      </c>
      <c r="AI266" s="359" t="str">
        <f t="shared" si="68"/>
        <v/>
      </c>
      <c r="AJ266" s="359" t="str">
        <f t="shared" si="69"/>
        <v/>
      </c>
      <c r="AK266" s="359" t="str">
        <f t="shared" si="71"/>
        <v/>
      </c>
      <c r="AL266" s="359" t="str">
        <f t="shared" si="70"/>
        <v/>
      </c>
      <c r="AM266" s="359" t="str">
        <f t="shared" si="72"/>
        <v/>
      </c>
      <c r="AN266" s="262">
        <f t="shared" si="75"/>
        <v>0</v>
      </c>
      <c r="AO266" s="262" t="str">
        <f>IFERROR(HLOOKUP(AN266,'Ref Lists'!Q$1:AL$2,2,FALSE),'Ref Lists'!$AK$2)</f>
        <v>Savings21</v>
      </c>
      <c r="AP266" s="38"/>
      <c r="AQ266" s="38">
        <f t="shared" si="64"/>
        <v>0</v>
      </c>
      <c r="AR266" s="38"/>
      <c r="AS266" s="38"/>
      <c r="AT266" s="38"/>
      <c r="AU266" s="38"/>
      <c r="AV266" s="38"/>
      <c r="AW266" s="38"/>
      <c r="AX266" s="38"/>
      <c r="AY266" s="38"/>
      <c r="AZ266" s="38"/>
      <c r="BA266" s="38"/>
      <c r="BB266" s="38"/>
      <c r="BC266" s="38"/>
      <c r="BD266" s="38"/>
      <c r="BE266" s="38"/>
      <c r="BF266" s="38"/>
      <c r="BG266" s="38"/>
      <c r="BH266" s="38"/>
      <c r="BI266" s="38"/>
      <c r="BJ266" s="38"/>
      <c r="BK266" s="38"/>
      <c r="BL266" s="38"/>
      <c r="BM266" s="38"/>
      <c r="BN266" s="38"/>
      <c r="BO266" s="38"/>
      <c r="BP266" s="38"/>
      <c r="BQ266" s="38"/>
      <c r="BR266" s="38"/>
      <c r="BS266" s="38"/>
      <c r="BT266" s="38"/>
      <c r="BU266" s="38"/>
      <c r="BV266" s="38"/>
      <c r="BW266" s="38"/>
      <c r="BX266" s="38"/>
      <c r="BY266" s="38"/>
      <c r="BZ266" s="38"/>
      <c r="CA266" s="38"/>
      <c r="CB266" s="38"/>
      <c r="CC266" s="38"/>
      <c r="CD266" s="38"/>
      <c r="CE266" s="38"/>
      <c r="CF266" s="38"/>
      <c r="CG266" s="38"/>
      <c r="CH266" s="38"/>
      <c r="CI266" s="38"/>
      <c r="CJ266" s="38"/>
      <c r="CK266" s="38"/>
      <c r="CL266" s="38"/>
      <c r="CM266" s="38"/>
      <c r="CN266" s="38"/>
      <c r="CO266" s="38"/>
      <c r="CP266" s="38"/>
      <c r="CQ266" s="38"/>
      <c r="CR266" s="38"/>
      <c r="CS266" s="38"/>
      <c r="CT266" s="38"/>
      <c r="CU266" s="38"/>
      <c r="CV266" s="38"/>
      <c r="CW266" s="38"/>
      <c r="CX266" s="38"/>
      <c r="CY266" s="38"/>
      <c r="CZ266" s="38"/>
    </row>
    <row r="267" spans="1:104" s="40" customFormat="1" ht="20.149999999999999" customHeight="1">
      <c r="A267" s="358">
        <f t="shared" si="73"/>
        <v>266</v>
      </c>
      <c r="B267" s="359" t="str">
        <f>'Front Sheet and Checklist'!$C$5</f>
        <v>Swansea Bay UHB</v>
      </c>
      <c r="C267" s="17"/>
      <c r="D267" s="17"/>
      <c r="E267" s="17"/>
      <c r="F267" s="17"/>
      <c r="G267" s="17"/>
      <c r="H267" s="17"/>
      <c r="I267" s="361">
        <f t="shared" si="63"/>
        <v>0</v>
      </c>
      <c r="J267" s="17"/>
      <c r="K267" s="18"/>
      <c r="L267" s="18"/>
      <c r="M267" s="17"/>
      <c r="N267" s="17"/>
      <c r="O267" s="17"/>
      <c r="P267" s="17"/>
      <c r="Q267" s="169"/>
      <c r="R267" s="24"/>
      <c r="S267" s="24"/>
      <c r="T267" s="24"/>
      <c r="U267" s="25"/>
      <c r="V267" s="25"/>
      <c r="W267" s="25"/>
      <c r="X267" s="24"/>
      <c r="Y267" s="24"/>
      <c r="Z267" s="24"/>
      <c r="AA267" s="24"/>
      <c r="AB267" s="24"/>
      <c r="AC267" s="24"/>
      <c r="AD267" s="361">
        <f t="shared" si="62"/>
        <v>0</v>
      </c>
      <c r="AE267" s="359" t="str">
        <f t="shared" si="65"/>
        <v/>
      </c>
      <c r="AF267" s="359" t="str">
        <f t="shared" si="74"/>
        <v/>
      </c>
      <c r="AG267" s="359" t="str">
        <f t="shared" si="66"/>
        <v/>
      </c>
      <c r="AH267" s="359" t="str">
        <f t="shared" si="67"/>
        <v/>
      </c>
      <c r="AI267" s="359" t="str">
        <f t="shared" si="68"/>
        <v/>
      </c>
      <c r="AJ267" s="359" t="str">
        <f t="shared" si="69"/>
        <v/>
      </c>
      <c r="AK267" s="359" t="str">
        <f t="shared" si="71"/>
        <v/>
      </c>
      <c r="AL267" s="359" t="str">
        <f t="shared" si="70"/>
        <v/>
      </c>
      <c r="AM267" s="359" t="str">
        <f t="shared" si="72"/>
        <v/>
      </c>
      <c r="AN267" s="262">
        <f t="shared" si="75"/>
        <v>0</v>
      </c>
      <c r="AO267" s="262" t="str">
        <f>IFERROR(HLOOKUP(AN267,'Ref Lists'!Q$1:AL$2,2,FALSE),'Ref Lists'!$AK$2)</f>
        <v>Savings21</v>
      </c>
      <c r="AP267" s="38"/>
      <c r="AQ267" s="38">
        <f t="shared" si="64"/>
        <v>0</v>
      </c>
      <c r="AR267" s="38"/>
      <c r="AS267" s="38"/>
      <c r="AT267" s="38"/>
      <c r="AU267" s="38"/>
      <c r="AV267" s="38"/>
      <c r="AW267" s="38"/>
      <c r="AX267" s="38"/>
      <c r="AY267" s="38"/>
      <c r="AZ267" s="38"/>
      <c r="BA267" s="38"/>
      <c r="BB267" s="38"/>
      <c r="BC267" s="38"/>
      <c r="BD267" s="38"/>
      <c r="BE267" s="38"/>
      <c r="BF267" s="38"/>
      <c r="BG267" s="38"/>
      <c r="BH267" s="38"/>
      <c r="BI267" s="38"/>
      <c r="BJ267" s="38"/>
      <c r="BK267" s="38"/>
      <c r="BL267" s="38"/>
      <c r="BM267" s="38"/>
      <c r="BN267" s="38"/>
      <c r="BO267" s="38"/>
      <c r="BP267" s="38"/>
      <c r="BQ267" s="38"/>
      <c r="BR267" s="38"/>
      <c r="BS267" s="38"/>
      <c r="BT267" s="38"/>
      <c r="BU267" s="38"/>
      <c r="BV267" s="38"/>
      <c r="BW267" s="38"/>
      <c r="BX267" s="38"/>
      <c r="BY267" s="38"/>
      <c r="BZ267" s="38"/>
      <c r="CA267" s="38"/>
      <c r="CB267" s="38"/>
      <c r="CC267" s="38"/>
      <c r="CD267" s="38"/>
      <c r="CE267" s="38"/>
      <c r="CF267" s="38"/>
      <c r="CG267" s="38"/>
      <c r="CH267" s="38"/>
      <c r="CI267" s="38"/>
      <c r="CJ267" s="38"/>
      <c r="CK267" s="38"/>
      <c r="CL267" s="38"/>
      <c r="CM267" s="38"/>
      <c r="CN267" s="38"/>
      <c r="CO267" s="38"/>
      <c r="CP267" s="38"/>
      <c r="CQ267" s="38"/>
      <c r="CR267" s="38"/>
      <c r="CS267" s="38"/>
      <c r="CT267" s="38"/>
      <c r="CU267" s="38"/>
      <c r="CV267" s="38"/>
      <c r="CW267" s="38"/>
      <c r="CX267" s="38"/>
      <c r="CY267" s="38"/>
      <c r="CZ267" s="38"/>
    </row>
    <row r="268" spans="1:104" s="40" customFormat="1" ht="20.149999999999999" customHeight="1">
      <c r="A268" s="358">
        <f t="shared" si="73"/>
        <v>267</v>
      </c>
      <c r="B268" s="359" t="str">
        <f>'Front Sheet and Checklist'!$C$5</f>
        <v>Swansea Bay UHB</v>
      </c>
      <c r="C268" s="17"/>
      <c r="D268" s="17"/>
      <c r="E268" s="17"/>
      <c r="F268" s="17"/>
      <c r="G268" s="17"/>
      <c r="H268" s="17"/>
      <c r="I268" s="361">
        <f t="shared" si="63"/>
        <v>0</v>
      </c>
      <c r="J268" s="17"/>
      <c r="K268" s="18"/>
      <c r="L268" s="18"/>
      <c r="M268" s="17"/>
      <c r="N268" s="17"/>
      <c r="O268" s="17"/>
      <c r="P268" s="17"/>
      <c r="Q268" s="169"/>
      <c r="R268" s="24"/>
      <c r="S268" s="24"/>
      <c r="T268" s="24"/>
      <c r="U268" s="25"/>
      <c r="V268" s="25"/>
      <c r="W268" s="25"/>
      <c r="X268" s="24"/>
      <c r="Y268" s="24"/>
      <c r="Z268" s="24"/>
      <c r="AA268" s="24"/>
      <c r="AB268" s="24"/>
      <c r="AC268" s="24"/>
      <c r="AD268" s="361">
        <f t="shared" si="62"/>
        <v>0</v>
      </c>
      <c r="AE268" s="359" t="str">
        <f t="shared" si="65"/>
        <v/>
      </c>
      <c r="AF268" s="359" t="str">
        <f t="shared" si="74"/>
        <v/>
      </c>
      <c r="AG268" s="359" t="str">
        <f t="shared" si="66"/>
        <v/>
      </c>
      <c r="AH268" s="359" t="str">
        <f t="shared" si="67"/>
        <v/>
      </c>
      <c r="AI268" s="359" t="str">
        <f t="shared" si="68"/>
        <v/>
      </c>
      <c r="AJ268" s="359" t="str">
        <f t="shared" si="69"/>
        <v/>
      </c>
      <c r="AK268" s="359" t="str">
        <f t="shared" si="71"/>
        <v/>
      </c>
      <c r="AL268" s="359" t="str">
        <f t="shared" si="70"/>
        <v/>
      </c>
      <c r="AM268" s="359" t="str">
        <f t="shared" si="72"/>
        <v/>
      </c>
      <c r="AN268" s="262">
        <f t="shared" si="75"/>
        <v>0</v>
      </c>
      <c r="AO268" s="262" t="str">
        <f>IFERROR(HLOOKUP(AN268,'Ref Lists'!Q$1:AL$2,2,FALSE),'Ref Lists'!$AK$2)</f>
        <v>Savings21</v>
      </c>
      <c r="AP268" s="38"/>
      <c r="AQ268" s="38">
        <f t="shared" si="64"/>
        <v>0</v>
      </c>
      <c r="AR268" s="38"/>
      <c r="AS268" s="38"/>
      <c r="AT268" s="38"/>
      <c r="AU268" s="38"/>
      <c r="AV268" s="38"/>
      <c r="AW268" s="38"/>
      <c r="AX268" s="38"/>
      <c r="AY268" s="38"/>
      <c r="AZ268" s="38"/>
      <c r="BA268" s="38"/>
      <c r="BB268" s="38"/>
      <c r="BC268" s="38"/>
      <c r="BD268" s="38"/>
      <c r="BE268" s="38"/>
      <c r="BF268" s="38"/>
      <c r="BG268" s="38"/>
      <c r="BH268" s="38"/>
      <c r="BI268" s="38"/>
      <c r="BJ268" s="38"/>
      <c r="BK268" s="38"/>
      <c r="BL268" s="38"/>
      <c r="BM268" s="38"/>
      <c r="BN268" s="38"/>
      <c r="BO268" s="38"/>
      <c r="BP268" s="38"/>
      <c r="BQ268" s="38"/>
      <c r="BR268" s="38"/>
      <c r="BS268" s="38"/>
      <c r="BT268" s="38"/>
      <c r="BU268" s="38"/>
      <c r="BV268" s="38"/>
      <c r="BW268" s="38"/>
      <c r="BX268" s="38"/>
      <c r="BY268" s="38"/>
      <c r="BZ268" s="38"/>
      <c r="CA268" s="38"/>
      <c r="CB268" s="38"/>
      <c r="CC268" s="38"/>
      <c r="CD268" s="38"/>
      <c r="CE268" s="38"/>
      <c r="CF268" s="38"/>
      <c r="CG268" s="38"/>
      <c r="CH268" s="38"/>
      <c r="CI268" s="38"/>
      <c r="CJ268" s="38"/>
      <c r="CK268" s="38"/>
      <c r="CL268" s="38"/>
      <c r="CM268" s="38"/>
      <c r="CN268" s="38"/>
      <c r="CO268" s="38"/>
      <c r="CP268" s="38"/>
      <c r="CQ268" s="38"/>
      <c r="CR268" s="38"/>
      <c r="CS268" s="38"/>
      <c r="CT268" s="38"/>
      <c r="CU268" s="38"/>
      <c r="CV268" s="38"/>
      <c r="CW268" s="38"/>
      <c r="CX268" s="38"/>
      <c r="CY268" s="38"/>
      <c r="CZ268" s="38"/>
    </row>
    <row r="269" spans="1:104" s="40" customFormat="1" ht="20.149999999999999" customHeight="1">
      <c r="A269" s="358">
        <f t="shared" si="73"/>
        <v>268</v>
      </c>
      <c r="B269" s="359" t="str">
        <f>'Front Sheet and Checklist'!$C$5</f>
        <v>Swansea Bay UHB</v>
      </c>
      <c r="C269" s="17"/>
      <c r="D269" s="17"/>
      <c r="E269" s="17"/>
      <c r="F269" s="17"/>
      <c r="G269" s="17"/>
      <c r="H269" s="17"/>
      <c r="I269" s="361">
        <f t="shared" si="63"/>
        <v>0</v>
      </c>
      <c r="J269" s="17"/>
      <c r="K269" s="18"/>
      <c r="L269" s="18"/>
      <c r="M269" s="17"/>
      <c r="N269" s="17"/>
      <c r="O269" s="17"/>
      <c r="P269" s="17"/>
      <c r="Q269" s="169"/>
      <c r="R269" s="24"/>
      <c r="S269" s="24"/>
      <c r="T269" s="24"/>
      <c r="U269" s="25"/>
      <c r="V269" s="25"/>
      <c r="W269" s="25"/>
      <c r="X269" s="24"/>
      <c r="Y269" s="24"/>
      <c r="Z269" s="24"/>
      <c r="AA269" s="24"/>
      <c r="AB269" s="24"/>
      <c r="AC269" s="24"/>
      <c r="AD269" s="361">
        <f t="shared" si="62"/>
        <v>0</v>
      </c>
      <c r="AE269" s="359" t="str">
        <f t="shared" si="65"/>
        <v/>
      </c>
      <c r="AF269" s="359" t="str">
        <f t="shared" si="74"/>
        <v/>
      </c>
      <c r="AG269" s="359" t="str">
        <f t="shared" si="66"/>
        <v/>
      </c>
      <c r="AH269" s="359" t="str">
        <f t="shared" si="67"/>
        <v/>
      </c>
      <c r="AI269" s="359" t="str">
        <f t="shared" si="68"/>
        <v/>
      </c>
      <c r="AJ269" s="359" t="str">
        <f t="shared" si="69"/>
        <v/>
      </c>
      <c r="AK269" s="359" t="str">
        <f t="shared" si="71"/>
        <v/>
      </c>
      <c r="AL269" s="359" t="str">
        <f t="shared" si="70"/>
        <v/>
      </c>
      <c r="AM269" s="359" t="str">
        <f t="shared" si="72"/>
        <v/>
      </c>
      <c r="AN269" s="262">
        <f t="shared" si="75"/>
        <v>0</v>
      </c>
      <c r="AO269" s="262" t="str">
        <f>IFERROR(HLOOKUP(AN269,'Ref Lists'!Q$1:AL$2,2,FALSE),'Ref Lists'!$AK$2)</f>
        <v>Savings21</v>
      </c>
      <c r="AP269" s="38"/>
      <c r="AQ269" s="38">
        <f t="shared" si="64"/>
        <v>0</v>
      </c>
      <c r="AR269" s="38"/>
      <c r="AS269" s="38"/>
      <c r="AT269" s="38"/>
      <c r="AU269" s="38"/>
      <c r="AV269" s="38"/>
      <c r="AW269" s="38"/>
      <c r="AX269" s="38"/>
      <c r="AY269" s="38"/>
      <c r="AZ269" s="38"/>
      <c r="BA269" s="38"/>
      <c r="BB269" s="38"/>
      <c r="BC269" s="38"/>
      <c r="BD269" s="38"/>
      <c r="BE269" s="38"/>
      <c r="BF269" s="38"/>
      <c r="BG269" s="38"/>
      <c r="BH269" s="38"/>
      <c r="BI269" s="38"/>
      <c r="BJ269" s="38"/>
      <c r="BK269" s="38"/>
      <c r="BL269" s="38"/>
      <c r="BM269" s="38"/>
      <c r="BN269" s="38"/>
      <c r="BO269" s="38"/>
      <c r="BP269" s="38"/>
      <c r="BQ269" s="38"/>
      <c r="BR269" s="38"/>
      <c r="BS269" s="38"/>
      <c r="BT269" s="38"/>
      <c r="BU269" s="38"/>
      <c r="BV269" s="38"/>
      <c r="BW269" s="38"/>
      <c r="BX269" s="38"/>
      <c r="BY269" s="38"/>
      <c r="BZ269" s="38"/>
      <c r="CA269" s="38"/>
      <c r="CB269" s="38"/>
      <c r="CC269" s="38"/>
      <c r="CD269" s="38"/>
      <c r="CE269" s="38"/>
      <c r="CF269" s="38"/>
      <c r="CG269" s="38"/>
      <c r="CH269" s="38"/>
      <c r="CI269" s="38"/>
      <c r="CJ269" s="38"/>
      <c r="CK269" s="38"/>
      <c r="CL269" s="38"/>
      <c r="CM269" s="38"/>
      <c r="CN269" s="38"/>
      <c r="CO269" s="38"/>
      <c r="CP269" s="38"/>
      <c r="CQ269" s="38"/>
      <c r="CR269" s="38"/>
      <c r="CS269" s="38"/>
      <c r="CT269" s="38"/>
      <c r="CU269" s="38"/>
      <c r="CV269" s="38"/>
      <c r="CW269" s="38"/>
      <c r="CX269" s="38"/>
      <c r="CY269" s="38"/>
      <c r="CZ269" s="38"/>
    </row>
    <row r="270" spans="1:104" s="40" customFormat="1" ht="20.149999999999999" customHeight="1">
      <c r="A270" s="358">
        <f t="shared" si="73"/>
        <v>269</v>
      </c>
      <c r="B270" s="359" t="str">
        <f>'Front Sheet and Checklist'!$C$5</f>
        <v>Swansea Bay UHB</v>
      </c>
      <c r="C270" s="17"/>
      <c r="D270" s="17"/>
      <c r="E270" s="17"/>
      <c r="F270" s="17"/>
      <c r="G270" s="17"/>
      <c r="H270" s="17"/>
      <c r="I270" s="361">
        <f t="shared" si="63"/>
        <v>0</v>
      </c>
      <c r="J270" s="17"/>
      <c r="K270" s="18"/>
      <c r="L270" s="18"/>
      <c r="M270" s="17"/>
      <c r="N270" s="17"/>
      <c r="O270" s="17"/>
      <c r="P270" s="17"/>
      <c r="Q270" s="169"/>
      <c r="R270" s="24"/>
      <c r="S270" s="24"/>
      <c r="T270" s="24"/>
      <c r="U270" s="25"/>
      <c r="V270" s="25"/>
      <c r="W270" s="25"/>
      <c r="X270" s="24"/>
      <c r="Y270" s="24"/>
      <c r="Z270" s="24"/>
      <c r="AA270" s="24"/>
      <c r="AB270" s="24"/>
      <c r="AC270" s="24"/>
      <c r="AD270" s="361">
        <f t="shared" si="62"/>
        <v>0</v>
      </c>
      <c r="AE270" s="359" t="str">
        <f t="shared" si="65"/>
        <v/>
      </c>
      <c r="AF270" s="359" t="str">
        <f t="shared" si="74"/>
        <v/>
      </c>
      <c r="AG270" s="359" t="str">
        <f t="shared" si="66"/>
        <v/>
      </c>
      <c r="AH270" s="359" t="str">
        <f t="shared" si="67"/>
        <v/>
      </c>
      <c r="AI270" s="359" t="str">
        <f t="shared" si="68"/>
        <v/>
      </c>
      <c r="AJ270" s="359" t="str">
        <f t="shared" si="69"/>
        <v/>
      </c>
      <c r="AK270" s="359" t="str">
        <f t="shared" si="71"/>
        <v/>
      </c>
      <c r="AL270" s="359" t="str">
        <f t="shared" si="70"/>
        <v/>
      </c>
      <c r="AM270" s="359" t="str">
        <f t="shared" si="72"/>
        <v/>
      </c>
      <c r="AN270" s="262">
        <f t="shared" si="75"/>
        <v>0</v>
      </c>
      <c r="AO270" s="262" t="str">
        <f>IFERROR(HLOOKUP(AN270,'Ref Lists'!Q$1:AL$2,2,FALSE),'Ref Lists'!$AK$2)</f>
        <v>Savings21</v>
      </c>
      <c r="AP270" s="38"/>
      <c r="AQ270" s="38">
        <f t="shared" si="64"/>
        <v>0</v>
      </c>
      <c r="AR270" s="38"/>
      <c r="AS270" s="38"/>
      <c r="AT270" s="38"/>
      <c r="AU270" s="38"/>
      <c r="AV270" s="38"/>
      <c r="AW270" s="38"/>
      <c r="AX270" s="38"/>
      <c r="AY270" s="38"/>
      <c r="AZ270" s="38"/>
      <c r="BA270" s="38"/>
      <c r="BB270" s="38"/>
      <c r="BC270" s="38"/>
      <c r="BD270" s="38"/>
      <c r="BE270" s="38"/>
      <c r="BF270" s="38"/>
      <c r="BG270" s="38"/>
      <c r="BH270" s="38"/>
      <c r="BI270" s="38"/>
      <c r="BJ270" s="38"/>
      <c r="BK270" s="38"/>
      <c r="BL270" s="38"/>
      <c r="BM270" s="38"/>
      <c r="BN270" s="38"/>
      <c r="BO270" s="38"/>
      <c r="BP270" s="38"/>
      <c r="BQ270" s="38"/>
      <c r="BR270" s="38"/>
      <c r="BS270" s="38"/>
      <c r="BT270" s="38"/>
      <c r="BU270" s="38"/>
      <c r="BV270" s="38"/>
      <c r="BW270" s="38"/>
      <c r="BX270" s="38"/>
      <c r="BY270" s="38"/>
      <c r="BZ270" s="38"/>
      <c r="CA270" s="38"/>
      <c r="CB270" s="38"/>
      <c r="CC270" s="38"/>
      <c r="CD270" s="38"/>
      <c r="CE270" s="38"/>
      <c r="CF270" s="38"/>
      <c r="CG270" s="38"/>
      <c r="CH270" s="38"/>
      <c r="CI270" s="38"/>
      <c r="CJ270" s="38"/>
      <c r="CK270" s="38"/>
      <c r="CL270" s="38"/>
      <c r="CM270" s="38"/>
      <c r="CN270" s="38"/>
      <c r="CO270" s="38"/>
      <c r="CP270" s="38"/>
      <c r="CQ270" s="38"/>
      <c r="CR270" s="38"/>
      <c r="CS270" s="38"/>
      <c r="CT270" s="38"/>
      <c r="CU270" s="38"/>
      <c r="CV270" s="38"/>
      <c r="CW270" s="38"/>
      <c r="CX270" s="38"/>
      <c r="CY270" s="38"/>
      <c r="CZ270" s="38"/>
    </row>
    <row r="271" spans="1:104" s="40" customFormat="1" ht="20.149999999999999" customHeight="1">
      <c r="A271" s="358">
        <f t="shared" si="73"/>
        <v>270</v>
      </c>
      <c r="B271" s="359" t="str">
        <f>'Front Sheet and Checklist'!$C$5</f>
        <v>Swansea Bay UHB</v>
      </c>
      <c r="C271" s="17"/>
      <c r="D271" s="17"/>
      <c r="E271" s="17"/>
      <c r="F271" s="17"/>
      <c r="G271" s="17"/>
      <c r="H271" s="17"/>
      <c r="I271" s="361">
        <f t="shared" si="63"/>
        <v>0</v>
      </c>
      <c r="J271" s="17"/>
      <c r="K271" s="18"/>
      <c r="L271" s="18"/>
      <c r="M271" s="17"/>
      <c r="N271" s="17"/>
      <c r="O271" s="17"/>
      <c r="P271" s="17"/>
      <c r="Q271" s="169"/>
      <c r="R271" s="24"/>
      <c r="S271" s="24"/>
      <c r="T271" s="24"/>
      <c r="U271" s="25"/>
      <c r="V271" s="25"/>
      <c r="W271" s="25"/>
      <c r="X271" s="24"/>
      <c r="Y271" s="24"/>
      <c r="Z271" s="24"/>
      <c r="AA271" s="24"/>
      <c r="AB271" s="24"/>
      <c r="AC271" s="24"/>
      <c r="AD271" s="361">
        <f t="shared" si="62"/>
        <v>0</v>
      </c>
      <c r="AE271" s="359" t="str">
        <f t="shared" si="65"/>
        <v/>
      </c>
      <c r="AF271" s="359" t="str">
        <f t="shared" si="74"/>
        <v/>
      </c>
      <c r="AG271" s="359" t="str">
        <f t="shared" si="66"/>
        <v/>
      </c>
      <c r="AH271" s="359" t="str">
        <f t="shared" si="67"/>
        <v/>
      </c>
      <c r="AI271" s="359" t="str">
        <f t="shared" si="68"/>
        <v/>
      </c>
      <c r="AJ271" s="359" t="str">
        <f t="shared" si="69"/>
        <v/>
      </c>
      <c r="AK271" s="359" t="str">
        <f t="shared" si="71"/>
        <v/>
      </c>
      <c r="AL271" s="359" t="str">
        <f t="shared" si="70"/>
        <v/>
      </c>
      <c r="AM271" s="359" t="str">
        <f t="shared" si="72"/>
        <v/>
      </c>
      <c r="AN271" s="262">
        <f t="shared" si="75"/>
        <v>0</v>
      </c>
      <c r="AO271" s="262" t="str">
        <f>IFERROR(HLOOKUP(AN271,'Ref Lists'!Q$1:AL$2,2,FALSE),'Ref Lists'!$AK$2)</f>
        <v>Savings21</v>
      </c>
      <c r="AP271" s="38"/>
      <c r="AQ271" s="38">
        <f t="shared" si="64"/>
        <v>0</v>
      </c>
      <c r="AR271" s="38"/>
      <c r="AS271" s="38"/>
      <c r="AT271" s="38"/>
      <c r="AU271" s="38"/>
      <c r="AV271" s="38"/>
      <c r="AW271" s="38"/>
      <c r="AX271" s="38"/>
      <c r="AY271" s="38"/>
      <c r="AZ271" s="38"/>
      <c r="BA271" s="38"/>
      <c r="BB271" s="38"/>
      <c r="BC271" s="38"/>
      <c r="BD271" s="38"/>
      <c r="BE271" s="38"/>
      <c r="BF271" s="38"/>
      <c r="BG271" s="38"/>
      <c r="BH271" s="38"/>
      <c r="BI271" s="38"/>
      <c r="BJ271" s="38"/>
      <c r="BK271" s="38"/>
      <c r="BL271" s="38"/>
      <c r="BM271" s="38"/>
      <c r="BN271" s="38"/>
      <c r="BO271" s="38"/>
      <c r="BP271" s="38"/>
      <c r="BQ271" s="38"/>
      <c r="BR271" s="38"/>
      <c r="BS271" s="38"/>
      <c r="BT271" s="38"/>
      <c r="BU271" s="38"/>
      <c r="BV271" s="38"/>
      <c r="BW271" s="38"/>
      <c r="BX271" s="38"/>
      <c r="BY271" s="38"/>
      <c r="BZ271" s="38"/>
      <c r="CA271" s="38"/>
      <c r="CB271" s="38"/>
      <c r="CC271" s="38"/>
      <c r="CD271" s="38"/>
      <c r="CE271" s="38"/>
      <c r="CF271" s="38"/>
      <c r="CG271" s="38"/>
      <c r="CH271" s="38"/>
      <c r="CI271" s="38"/>
      <c r="CJ271" s="38"/>
      <c r="CK271" s="38"/>
      <c r="CL271" s="38"/>
      <c r="CM271" s="38"/>
      <c r="CN271" s="38"/>
      <c r="CO271" s="38"/>
      <c r="CP271" s="38"/>
      <c r="CQ271" s="38"/>
      <c r="CR271" s="38"/>
      <c r="CS271" s="38"/>
      <c r="CT271" s="38"/>
      <c r="CU271" s="38"/>
      <c r="CV271" s="38"/>
      <c r="CW271" s="38"/>
      <c r="CX271" s="38"/>
      <c r="CY271" s="38"/>
      <c r="CZ271" s="38"/>
    </row>
    <row r="272" spans="1:104" s="40" customFormat="1" ht="20.149999999999999" customHeight="1">
      <c r="A272" s="358">
        <f t="shared" si="73"/>
        <v>271</v>
      </c>
      <c r="B272" s="359" t="str">
        <f>'Front Sheet and Checklist'!$C$5</f>
        <v>Swansea Bay UHB</v>
      </c>
      <c r="C272" s="17"/>
      <c r="D272" s="17"/>
      <c r="E272" s="17"/>
      <c r="F272" s="17"/>
      <c r="G272" s="17"/>
      <c r="H272" s="17"/>
      <c r="I272" s="361">
        <f t="shared" si="63"/>
        <v>0</v>
      </c>
      <c r="J272" s="17"/>
      <c r="K272" s="18"/>
      <c r="L272" s="18"/>
      <c r="M272" s="17"/>
      <c r="N272" s="17"/>
      <c r="O272" s="17"/>
      <c r="P272" s="17"/>
      <c r="Q272" s="169"/>
      <c r="R272" s="24"/>
      <c r="S272" s="24"/>
      <c r="T272" s="24"/>
      <c r="U272" s="25"/>
      <c r="V272" s="25"/>
      <c r="W272" s="25"/>
      <c r="X272" s="24"/>
      <c r="Y272" s="24"/>
      <c r="Z272" s="24"/>
      <c r="AA272" s="24"/>
      <c r="AB272" s="24"/>
      <c r="AC272" s="24"/>
      <c r="AD272" s="361">
        <f t="shared" si="62"/>
        <v>0</v>
      </c>
      <c r="AE272" s="359" t="str">
        <f t="shared" si="65"/>
        <v/>
      </c>
      <c r="AF272" s="359" t="str">
        <f t="shared" si="74"/>
        <v/>
      </c>
      <c r="AG272" s="359" t="str">
        <f t="shared" si="66"/>
        <v/>
      </c>
      <c r="AH272" s="359" t="str">
        <f t="shared" si="67"/>
        <v/>
      </c>
      <c r="AI272" s="359" t="str">
        <f t="shared" si="68"/>
        <v/>
      </c>
      <c r="AJ272" s="359" t="str">
        <f t="shared" si="69"/>
        <v/>
      </c>
      <c r="AK272" s="359" t="str">
        <f t="shared" si="71"/>
        <v/>
      </c>
      <c r="AL272" s="359" t="str">
        <f t="shared" si="70"/>
        <v/>
      </c>
      <c r="AM272" s="359" t="str">
        <f t="shared" si="72"/>
        <v/>
      </c>
      <c r="AN272" s="262">
        <f t="shared" si="75"/>
        <v>0</v>
      </c>
      <c r="AO272" s="262" t="str">
        <f>IFERROR(HLOOKUP(AN272,'Ref Lists'!Q$1:AL$2,2,FALSE),'Ref Lists'!$AK$2)</f>
        <v>Savings21</v>
      </c>
      <c r="AP272" s="38"/>
      <c r="AQ272" s="38">
        <f t="shared" si="64"/>
        <v>0</v>
      </c>
      <c r="AR272" s="38"/>
      <c r="AS272" s="38"/>
      <c r="AT272" s="38"/>
      <c r="AU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38"/>
      <c r="BU272" s="38"/>
      <c r="BV272" s="38"/>
      <c r="BW272" s="38"/>
      <c r="BX272" s="38"/>
      <c r="BY272" s="38"/>
      <c r="BZ272" s="38"/>
      <c r="CA272" s="38"/>
      <c r="CB272" s="38"/>
      <c r="CC272" s="38"/>
      <c r="CD272" s="38"/>
      <c r="CE272" s="38"/>
      <c r="CF272" s="38"/>
      <c r="CG272" s="38"/>
      <c r="CH272" s="38"/>
      <c r="CI272" s="38"/>
      <c r="CJ272" s="38"/>
      <c r="CK272" s="38"/>
      <c r="CL272" s="38"/>
      <c r="CM272" s="38"/>
      <c r="CN272" s="38"/>
      <c r="CO272" s="38"/>
      <c r="CP272" s="38"/>
      <c r="CQ272" s="38"/>
      <c r="CR272" s="38"/>
      <c r="CS272" s="38"/>
      <c r="CT272" s="38"/>
      <c r="CU272" s="38"/>
      <c r="CV272" s="38"/>
      <c r="CW272" s="38"/>
      <c r="CX272" s="38"/>
      <c r="CY272" s="38"/>
      <c r="CZ272" s="38"/>
    </row>
    <row r="273" spans="1:104" s="40" customFormat="1" ht="20.149999999999999" customHeight="1">
      <c r="A273" s="358">
        <f t="shared" si="73"/>
        <v>272</v>
      </c>
      <c r="B273" s="359" t="str">
        <f>'Front Sheet and Checklist'!$C$5</f>
        <v>Swansea Bay UHB</v>
      </c>
      <c r="C273" s="17"/>
      <c r="D273" s="17"/>
      <c r="E273" s="17"/>
      <c r="F273" s="17"/>
      <c r="G273" s="17"/>
      <c r="H273" s="17"/>
      <c r="I273" s="361">
        <f t="shared" si="63"/>
        <v>0</v>
      </c>
      <c r="J273" s="17"/>
      <c r="K273" s="18"/>
      <c r="L273" s="18"/>
      <c r="M273" s="17"/>
      <c r="N273" s="17"/>
      <c r="O273" s="17"/>
      <c r="P273" s="17"/>
      <c r="Q273" s="169"/>
      <c r="R273" s="24"/>
      <c r="S273" s="24"/>
      <c r="T273" s="24"/>
      <c r="U273" s="25"/>
      <c r="V273" s="25"/>
      <c r="W273" s="25"/>
      <c r="X273" s="24"/>
      <c r="Y273" s="24"/>
      <c r="Z273" s="24"/>
      <c r="AA273" s="24"/>
      <c r="AB273" s="24"/>
      <c r="AC273" s="24"/>
      <c r="AD273" s="361">
        <f t="shared" si="62"/>
        <v>0</v>
      </c>
      <c r="AE273" s="359" t="str">
        <f t="shared" si="65"/>
        <v/>
      </c>
      <c r="AF273" s="359" t="str">
        <f t="shared" si="74"/>
        <v/>
      </c>
      <c r="AG273" s="359" t="str">
        <f t="shared" si="66"/>
        <v/>
      </c>
      <c r="AH273" s="359" t="str">
        <f t="shared" si="67"/>
        <v/>
      </c>
      <c r="AI273" s="359" t="str">
        <f t="shared" si="68"/>
        <v/>
      </c>
      <c r="AJ273" s="359" t="str">
        <f t="shared" si="69"/>
        <v/>
      </c>
      <c r="AK273" s="359" t="str">
        <f t="shared" si="71"/>
        <v/>
      </c>
      <c r="AL273" s="359" t="str">
        <f t="shared" si="70"/>
        <v/>
      </c>
      <c r="AM273" s="359" t="str">
        <f t="shared" si="72"/>
        <v/>
      </c>
      <c r="AN273" s="262">
        <f t="shared" si="75"/>
        <v>0</v>
      </c>
      <c r="AO273" s="262" t="str">
        <f>IFERROR(HLOOKUP(AN273,'Ref Lists'!Q$1:AL$2,2,FALSE),'Ref Lists'!$AK$2)</f>
        <v>Savings21</v>
      </c>
      <c r="AP273" s="38"/>
      <c r="AQ273" s="38">
        <f t="shared" si="64"/>
        <v>0</v>
      </c>
      <c r="AR273" s="38"/>
      <c r="AS273" s="38"/>
      <c r="AT273" s="38"/>
      <c r="AU273" s="38"/>
      <c r="AV273" s="38"/>
      <c r="AW273" s="38"/>
      <c r="AX273" s="38"/>
      <c r="AY273" s="38"/>
      <c r="AZ273" s="38"/>
      <c r="BA273" s="38"/>
      <c r="BB273" s="38"/>
      <c r="BC273" s="38"/>
      <c r="BD273" s="38"/>
      <c r="BE273" s="38"/>
      <c r="BF273" s="38"/>
      <c r="BG273" s="38"/>
      <c r="BH273" s="38"/>
      <c r="BI273" s="38"/>
      <c r="BJ273" s="38"/>
      <c r="BK273" s="38"/>
      <c r="BL273" s="38"/>
      <c r="BM273" s="38"/>
      <c r="BN273" s="38"/>
      <c r="BO273" s="38"/>
      <c r="BP273" s="38"/>
      <c r="BQ273" s="38"/>
      <c r="BR273" s="38"/>
      <c r="BS273" s="38"/>
      <c r="BT273" s="38"/>
      <c r="BU273" s="38"/>
      <c r="BV273" s="38"/>
      <c r="BW273" s="38"/>
      <c r="BX273" s="38"/>
      <c r="BY273" s="38"/>
      <c r="BZ273" s="38"/>
      <c r="CA273" s="38"/>
      <c r="CB273" s="38"/>
      <c r="CC273" s="38"/>
      <c r="CD273" s="38"/>
      <c r="CE273" s="38"/>
      <c r="CF273" s="38"/>
      <c r="CG273" s="38"/>
      <c r="CH273" s="38"/>
      <c r="CI273" s="38"/>
      <c r="CJ273" s="38"/>
      <c r="CK273" s="38"/>
      <c r="CL273" s="38"/>
      <c r="CM273" s="38"/>
      <c r="CN273" s="38"/>
      <c r="CO273" s="38"/>
      <c r="CP273" s="38"/>
      <c r="CQ273" s="38"/>
      <c r="CR273" s="38"/>
      <c r="CS273" s="38"/>
      <c r="CT273" s="38"/>
      <c r="CU273" s="38"/>
      <c r="CV273" s="38"/>
      <c r="CW273" s="38"/>
      <c r="CX273" s="38"/>
      <c r="CY273" s="38"/>
      <c r="CZ273" s="38"/>
    </row>
    <row r="274" spans="1:104" s="40" customFormat="1" ht="20.149999999999999" customHeight="1">
      <c r="A274" s="358">
        <f t="shared" si="73"/>
        <v>273</v>
      </c>
      <c r="B274" s="359" t="str">
        <f>'Front Sheet and Checklist'!$C$5</f>
        <v>Swansea Bay UHB</v>
      </c>
      <c r="C274" s="17"/>
      <c r="D274" s="17"/>
      <c r="E274" s="17"/>
      <c r="F274" s="17"/>
      <c r="G274" s="17"/>
      <c r="H274" s="17"/>
      <c r="I274" s="361">
        <f t="shared" si="63"/>
        <v>0</v>
      </c>
      <c r="J274" s="17"/>
      <c r="K274" s="18"/>
      <c r="L274" s="18"/>
      <c r="M274" s="17"/>
      <c r="N274" s="17"/>
      <c r="O274" s="17"/>
      <c r="P274" s="17"/>
      <c r="Q274" s="169"/>
      <c r="R274" s="24"/>
      <c r="S274" s="24"/>
      <c r="T274" s="24"/>
      <c r="U274" s="25"/>
      <c r="V274" s="25"/>
      <c r="W274" s="25"/>
      <c r="X274" s="24"/>
      <c r="Y274" s="24"/>
      <c r="Z274" s="24"/>
      <c r="AA274" s="24"/>
      <c r="AB274" s="24"/>
      <c r="AC274" s="24"/>
      <c r="AD274" s="361">
        <f t="shared" si="62"/>
        <v>0</v>
      </c>
      <c r="AE274" s="359" t="str">
        <f t="shared" si="65"/>
        <v/>
      </c>
      <c r="AF274" s="359" t="str">
        <f t="shared" si="74"/>
        <v/>
      </c>
      <c r="AG274" s="359" t="str">
        <f t="shared" si="66"/>
        <v/>
      </c>
      <c r="AH274" s="359" t="str">
        <f t="shared" si="67"/>
        <v/>
      </c>
      <c r="AI274" s="359" t="str">
        <f t="shared" si="68"/>
        <v/>
      </c>
      <c r="AJ274" s="359" t="str">
        <f t="shared" si="69"/>
        <v/>
      </c>
      <c r="AK274" s="359" t="str">
        <f t="shared" si="71"/>
        <v/>
      </c>
      <c r="AL274" s="359" t="str">
        <f t="shared" si="70"/>
        <v/>
      </c>
      <c r="AM274" s="359" t="str">
        <f t="shared" si="72"/>
        <v/>
      </c>
      <c r="AN274" s="262">
        <f t="shared" si="75"/>
        <v>0</v>
      </c>
      <c r="AO274" s="262" t="str">
        <f>IFERROR(HLOOKUP(AN274,'Ref Lists'!Q$1:AL$2,2,FALSE),'Ref Lists'!$AK$2)</f>
        <v>Savings21</v>
      </c>
      <c r="AP274" s="38"/>
      <c r="AQ274" s="38">
        <f t="shared" si="64"/>
        <v>0</v>
      </c>
      <c r="AR274" s="38"/>
      <c r="AS274" s="38"/>
      <c r="AT274" s="38"/>
      <c r="AU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38"/>
      <c r="BU274" s="38"/>
      <c r="BV274" s="38"/>
      <c r="BW274" s="38"/>
      <c r="BX274" s="38"/>
      <c r="BY274" s="38"/>
      <c r="BZ274" s="38"/>
      <c r="CA274" s="38"/>
      <c r="CB274" s="38"/>
      <c r="CC274" s="38"/>
      <c r="CD274" s="38"/>
      <c r="CE274" s="38"/>
      <c r="CF274" s="38"/>
      <c r="CG274" s="38"/>
      <c r="CH274" s="38"/>
      <c r="CI274" s="38"/>
      <c r="CJ274" s="38"/>
      <c r="CK274" s="38"/>
      <c r="CL274" s="38"/>
      <c r="CM274" s="38"/>
      <c r="CN274" s="38"/>
      <c r="CO274" s="38"/>
      <c r="CP274" s="38"/>
      <c r="CQ274" s="38"/>
      <c r="CR274" s="38"/>
      <c r="CS274" s="38"/>
      <c r="CT274" s="38"/>
      <c r="CU274" s="38"/>
      <c r="CV274" s="38"/>
      <c r="CW274" s="38"/>
      <c r="CX274" s="38"/>
      <c r="CY274" s="38"/>
      <c r="CZ274" s="38"/>
    </row>
    <row r="275" spans="1:104" s="40" customFormat="1" ht="20.149999999999999" customHeight="1">
      <c r="A275" s="358">
        <f t="shared" si="73"/>
        <v>274</v>
      </c>
      <c r="B275" s="359" t="str">
        <f>'Front Sheet and Checklist'!$C$5</f>
        <v>Swansea Bay UHB</v>
      </c>
      <c r="C275" s="17"/>
      <c r="D275" s="17"/>
      <c r="E275" s="17"/>
      <c r="F275" s="17"/>
      <c r="G275" s="17"/>
      <c r="H275" s="17"/>
      <c r="I275" s="361">
        <f t="shared" si="63"/>
        <v>0</v>
      </c>
      <c r="J275" s="17"/>
      <c r="K275" s="18"/>
      <c r="L275" s="18"/>
      <c r="M275" s="17"/>
      <c r="N275" s="17"/>
      <c r="O275" s="17"/>
      <c r="P275" s="17"/>
      <c r="Q275" s="169"/>
      <c r="R275" s="24"/>
      <c r="S275" s="24"/>
      <c r="T275" s="24"/>
      <c r="U275" s="25"/>
      <c r="V275" s="25"/>
      <c r="W275" s="25"/>
      <c r="X275" s="24"/>
      <c r="Y275" s="24"/>
      <c r="Z275" s="24"/>
      <c r="AA275" s="24"/>
      <c r="AB275" s="24"/>
      <c r="AC275" s="24"/>
      <c r="AD275" s="361">
        <f t="shared" si="62"/>
        <v>0</v>
      </c>
      <c r="AE275" s="359" t="str">
        <f t="shared" si="65"/>
        <v/>
      </c>
      <c r="AF275" s="359" t="str">
        <f t="shared" si="74"/>
        <v/>
      </c>
      <c r="AG275" s="359" t="str">
        <f t="shared" si="66"/>
        <v/>
      </c>
      <c r="AH275" s="359" t="str">
        <f t="shared" si="67"/>
        <v/>
      </c>
      <c r="AI275" s="359" t="str">
        <f t="shared" si="68"/>
        <v/>
      </c>
      <c r="AJ275" s="359" t="str">
        <f t="shared" si="69"/>
        <v/>
      </c>
      <c r="AK275" s="359" t="str">
        <f t="shared" si="71"/>
        <v/>
      </c>
      <c r="AL275" s="359" t="str">
        <f t="shared" si="70"/>
        <v/>
      </c>
      <c r="AM275" s="359" t="str">
        <f t="shared" si="72"/>
        <v/>
      </c>
      <c r="AN275" s="262">
        <f t="shared" si="75"/>
        <v>0</v>
      </c>
      <c r="AO275" s="262" t="str">
        <f>IFERROR(HLOOKUP(AN275,'Ref Lists'!Q$1:AL$2,2,FALSE),'Ref Lists'!$AK$2)</f>
        <v>Savings21</v>
      </c>
      <c r="AP275" s="38"/>
      <c r="AQ275" s="38">
        <f t="shared" si="64"/>
        <v>0</v>
      </c>
      <c r="AR275" s="38"/>
      <c r="AS275" s="38"/>
      <c r="AT275" s="38"/>
      <c r="AU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38"/>
      <c r="BU275" s="38"/>
      <c r="BV275" s="38"/>
      <c r="BW275" s="38"/>
      <c r="BX275" s="38"/>
      <c r="BY275" s="38"/>
      <c r="BZ275" s="38"/>
      <c r="CA275" s="38"/>
      <c r="CB275" s="38"/>
      <c r="CC275" s="38"/>
      <c r="CD275" s="38"/>
      <c r="CE275" s="38"/>
      <c r="CF275" s="38"/>
      <c r="CG275" s="38"/>
      <c r="CH275" s="38"/>
      <c r="CI275" s="38"/>
      <c r="CJ275" s="38"/>
      <c r="CK275" s="38"/>
      <c r="CL275" s="38"/>
      <c r="CM275" s="38"/>
      <c r="CN275" s="38"/>
      <c r="CO275" s="38"/>
      <c r="CP275" s="38"/>
      <c r="CQ275" s="38"/>
      <c r="CR275" s="38"/>
      <c r="CS275" s="38"/>
      <c r="CT275" s="38"/>
      <c r="CU275" s="38"/>
      <c r="CV275" s="38"/>
      <c r="CW275" s="38"/>
      <c r="CX275" s="38"/>
      <c r="CY275" s="38"/>
      <c r="CZ275" s="38"/>
    </row>
    <row r="276" spans="1:104" s="40" customFormat="1" ht="20.149999999999999" customHeight="1">
      <c r="A276" s="358">
        <f t="shared" si="73"/>
        <v>275</v>
      </c>
      <c r="B276" s="359" t="str">
        <f>'Front Sheet and Checklist'!$C$5</f>
        <v>Swansea Bay UHB</v>
      </c>
      <c r="C276" s="17"/>
      <c r="D276" s="17"/>
      <c r="E276" s="17"/>
      <c r="F276" s="17"/>
      <c r="G276" s="17"/>
      <c r="H276" s="17"/>
      <c r="I276" s="361">
        <f t="shared" si="63"/>
        <v>0</v>
      </c>
      <c r="J276" s="17"/>
      <c r="K276" s="18"/>
      <c r="L276" s="18"/>
      <c r="M276" s="17"/>
      <c r="N276" s="17"/>
      <c r="O276" s="17"/>
      <c r="P276" s="17"/>
      <c r="Q276" s="169"/>
      <c r="R276" s="24"/>
      <c r="S276" s="24"/>
      <c r="T276" s="24"/>
      <c r="U276" s="25"/>
      <c r="V276" s="25"/>
      <c r="W276" s="25"/>
      <c r="X276" s="24"/>
      <c r="Y276" s="24"/>
      <c r="Z276" s="24"/>
      <c r="AA276" s="24"/>
      <c r="AB276" s="24"/>
      <c r="AC276" s="24"/>
      <c r="AD276" s="361">
        <f t="shared" si="62"/>
        <v>0</v>
      </c>
      <c r="AE276" s="359" t="str">
        <f t="shared" si="65"/>
        <v/>
      </c>
      <c r="AF276" s="359" t="str">
        <f t="shared" si="74"/>
        <v/>
      </c>
      <c r="AG276" s="359" t="str">
        <f t="shared" si="66"/>
        <v/>
      </c>
      <c r="AH276" s="359" t="str">
        <f t="shared" si="67"/>
        <v/>
      </c>
      <c r="AI276" s="359" t="str">
        <f t="shared" si="68"/>
        <v/>
      </c>
      <c r="AJ276" s="359" t="str">
        <f t="shared" si="69"/>
        <v/>
      </c>
      <c r="AK276" s="359" t="str">
        <f t="shared" si="71"/>
        <v/>
      </c>
      <c r="AL276" s="359" t="str">
        <f t="shared" si="70"/>
        <v/>
      </c>
      <c r="AM276" s="359" t="str">
        <f t="shared" si="72"/>
        <v/>
      </c>
      <c r="AN276" s="262">
        <f t="shared" si="75"/>
        <v>0</v>
      </c>
      <c r="AO276" s="262" t="str">
        <f>IFERROR(HLOOKUP(AN276,'Ref Lists'!Q$1:AL$2,2,FALSE),'Ref Lists'!$AK$2)</f>
        <v>Savings21</v>
      </c>
      <c r="AP276" s="38"/>
      <c r="AQ276" s="38">
        <f t="shared" si="64"/>
        <v>0</v>
      </c>
      <c r="AR276" s="38"/>
      <c r="AS276" s="38"/>
      <c r="AT276" s="38"/>
      <c r="AU276" s="38"/>
      <c r="AV276" s="38"/>
      <c r="AW276" s="38"/>
      <c r="AX276" s="38"/>
      <c r="AY276" s="38"/>
      <c r="AZ276" s="38"/>
      <c r="BA276" s="38"/>
      <c r="BB276" s="38"/>
      <c r="BC276" s="38"/>
      <c r="BD276" s="38"/>
      <c r="BE276" s="38"/>
      <c r="BF276" s="38"/>
      <c r="BG276" s="38"/>
      <c r="BH276" s="38"/>
      <c r="BI276" s="38"/>
      <c r="BJ276" s="38"/>
      <c r="BK276" s="38"/>
      <c r="BL276" s="38"/>
      <c r="BM276" s="38"/>
      <c r="BN276" s="38"/>
      <c r="BO276" s="38"/>
      <c r="BP276" s="38"/>
      <c r="BQ276" s="38"/>
      <c r="BR276" s="38"/>
      <c r="BS276" s="38"/>
      <c r="BT276" s="38"/>
      <c r="BU276" s="38"/>
      <c r="BV276" s="38"/>
      <c r="BW276" s="38"/>
      <c r="BX276" s="38"/>
      <c r="BY276" s="38"/>
      <c r="BZ276" s="38"/>
      <c r="CA276" s="38"/>
      <c r="CB276" s="38"/>
      <c r="CC276" s="38"/>
      <c r="CD276" s="38"/>
      <c r="CE276" s="38"/>
      <c r="CF276" s="38"/>
      <c r="CG276" s="38"/>
      <c r="CH276" s="38"/>
      <c r="CI276" s="38"/>
      <c r="CJ276" s="38"/>
      <c r="CK276" s="38"/>
      <c r="CL276" s="38"/>
      <c r="CM276" s="38"/>
      <c r="CN276" s="38"/>
      <c r="CO276" s="38"/>
      <c r="CP276" s="38"/>
      <c r="CQ276" s="38"/>
      <c r="CR276" s="38"/>
      <c r="CS276" s="38"/>
      <c r="CT276" s="38"/>
      <c r="CU276" s="38"/>
      <c r="CV276" s="38"/>
      <c r="CW276" s="38"/>
      <c r="CX276" s="38"/>
      <c r="CY276" s="38"/>
      <c r="CZ276" s="38"/>
    </row>
    <row r="277" spans="1:104" s="40" customFormat="1" ht="20.149999999999999" customHeight="1">
      <c r="A277" s="358">
        <f t="shared" si="73"/>
        <v>276</v>
      </c>
      <c r="B277" s="359" t="str">
        <f>'Front Sheet and Checklist'!$C$5</f>
        <v>Swansea Bay UHB</v>
      </c>
      <c r="C277" s="17"/>
      <c r="D277" s="17"/>
      <c r="E277" s="17"/>
      <c r="F277" s="17"/>
      <c r="G277" s="17"/>
      <c r="H277" s="17"/>
      <c r="I277" s="361">
        <f t="shared" si="63"/>
        <v>0</v>
      </c>
      <c r="J277" s="17"/>
      <c r="K277" s="18"/>
      <c r="L277" s="18"/>
      <c r="M277" s="17"/>
      <c r="N277" s="17"/>
      <c r="O277" s="17"/>
      <c r="P277" s="17"/>
      <c r="Q277" s="169"/>
      <c r="R277" s="24"/>
      <c r="S277" s="24"/>
      <c r="T277" s="24"/>
      <c r="U277" s="25"/>
      <c r="V277" s="25"/>
      <c r="W277" s="25"/>
      <c r="X277" s="24"/>
      <c r="Y277" s="24"/>
      <c r="Z277" s="24"/>
      <c r="AA277" s="24"/>
      <c r="AB277" s="24"/>
      <c r="AC277" s="24"/>
      <c r="AD277" s="361">
        <f t="shared" si="62"/>
        <v>0</v>
      </c>
      <c r="AE277" s="359" t="str">
        <f t="shared" si="65"/>
        <v/>
      </c>
      <c r="AF277" s="359" t="str">
        <f t="shared" si="74"/>
        <v/>
      </c>
      <c r="AG277" s="359" t="str">
        <f t="shared" si="66"/>
        <v/>
      </c>
      <c r="AH277" s="359" t="str">
        <f t="shared" si="67"/>
        <v/>
      </c>
      <c r="AI277" s="359" t="str">
        <f t="shared" si="68"/>
        <v/>
      </c>
      <c r="AJ277" s="359" t="str">
        <f t="shared" si="69"/>
        <v/>
      </c>
      <c r="AK277" s="359" t="str">
        <f t="shared" si="71"/>
        <v/>
      </c>
      <c r="AL277" s="359" t="str">
        <f t="shared" si="70"/>
        <v/>
      </c>
      <c r="AM277" s="359" t="str">
        <f t="shared" si="72"/>
        <v/>
      </c>
      <c r="AN277" s="262">
        <f t="shared" si="75"/>
        <v>0</v>
      </c>
      <c r="AO277" s="262" t="str">
        <f>IFERROR(HLOOKUP(AN277,'Ref Lists'!Q$1:AL$2,2,FALSE),'Ref Lists'!$AK$2)</f>
        <v>Savings21</v>
      </c>
      <c r="AP277" s="38"/>
      <c r="AQ277" s="38">
        <f t="shared" si="64"/>
        <v>0</v>
      </c>
      <c r="AR277" s="38"/>
      <c r="AS277" s="38"/>
      <c r="AT277" s="38"/>
      <c r="AU277" s="38"/>
      <c r="AV277" s="38"/>
      <c r="AW277" s="38"/>
      <c r="AX277" s="38"/>
      <c r="AY277" s="38"/>
      <c r="AZ277" s="38"/>
      <c r="BA277" s="38"/>
      <c r="BB277" s="38"/>
      <c r="BC277" s="38"/>
      <c r="BD277" s="38"/>
      <c r="BE277" s="38"/>
      <c r="BF277" s="38"/>
      <c r="BG277" s="38"/>
      <c r="BH277" s="38"/>
      <c r="BI277" s="38"/>
      <c r="BJ277" s="38"/>
      <c r="BK277" s="38"/>
      <c r="BL277" s="38"/>
      <c r="BM277" s="38"/>
      <c r="BN277" s="38"/>
      <c r="BO277" s="38"/>
      <c r="BP277" s="38"/>
      <c r="BQ277" s="38"/>
      <c r="BR277" s="38"/>
      <c r="BS277" s="38"/>
      <c r="BT277" s="38"/>
      <c r="BU277" s="38"/>
      <c r="BV277" s="38"/>
      <c r="BW277" s="38"/>
      <c r="BX277" s="38"/>
      <c r="BY277" s="38"/>
      <c r="BZ277" s="38"/>
      <c r="CA277" s="38"/>
      <c r="CB277" s="38"/>
      <c r="CC277" s="38"/>
      <c r="CD277" s="38"/>
      <c r="CE277" s="38"/>
      <c r="CF277" s="38"/>
      <c r="CG277" s="38"/>
      <c r="CH277" s="38"/>
      <c r="CI277" s="38"/>
      <c r="CJ277" s="38"/>
      <c r="CK277" s="38"/>
      <c r="CL277" s="38"/>
      <c r="CM277" s="38"/>
      <c r="CN277" s="38"/>
      <c r="CO277" s="38"/>
      <c r="CP277" s="38"/>
      <c r="CQ277" s="38"/>
      <c r="CR277" s="38"/>
      <c r="CS277" s="38"/>
      <c r="CT277" s="38"/>
      <c r="CU277" s="38"/>
      <c r="CV277" s="38"/>
      <c r="CW277" s="38"/>
      <c r="CX277" s="38"/>
      <c r="CY277" s="38"/>
      <c r="CZ277" s="38"/>
    </row>
    <row r="278" spans="1:104" s="40" customFormat="1" ht="20.149999999999999" customHeight="1">
      <c r="A278" s="358">
        <f t="shared" si="73"/>
        <v>277</v>
      </c>
      <c r="B278" s="359" t="str">
        <f>'Front Sheet and Checklist'!$C$5</f>
        <v>Swansea Bay UHB</v>
      </c>
      <c r="C278" s="17"/>
      <c r="D278" s="17"/>
      <c r="E278" s="17"/>
      <c r="F278" s="17"/>
      <c r="G278" s="17"/>
      <c r="H278" s="17"/>
      <c r="I278" s="361">
        <f t="shared" si="63"/>
        <v>0</v>
      </c>
      <c r="J278" s="17"/>
      <c r="K278" s="18"/>
      <c r="L278" s="18"/>
      <c r="M278" s="17"/>
      <c r="N278" s="17"/>
      <c r="O278" s="17"/>
      <c r="P278" s="17"/>
      <c r="Q278" s="169"/>
      <c r="R278" s="24"/>
      <c r="S278" s="24"/>
      <c r="T278" s="24"/>
      <c r="U278" s="25"/>
      <c r="V278" s="25"/>
      <c r="W278" s="25"/>
      <c r="X278" s="24"/>
      <c r="Y278" s="24"/>
      <c r="Z278" s="24"/>
      <c r="AA278" s="24"/>
      <c r="AB278" s="24"/>
      <c r="AC278" s="24"/>
      <c r="AD278" s="361">
        <f t="shared" si="62"/>
        <v>0</v>
      </c>
      <c r="AE278" s="359" t="str">
        <f t="shared" si="65"/>
        <v/>
      </c>
      <c r="AF278" s="359" t="str">
        <f t="shared" si="74"/>
        <v/>
      </c>
      <c r="AG278" s="359" t="str">
        <f t="shared" si="66"/>
        <v/>
      </c>
      <c r="AH278" s="359" t="str">
        <f t="shared" si="67"/>
        <v/>
      </c>
      <c r="AI278" s="359" t="str">
        <f t="shared" si="68"/>
        <v/>
      </c>
      <c r="AJ278" s="359" t="str">
        <f t="shared" si="69"/>
        <v/>
      </c>
      <c r="AK278" s="359" t="str">
        <f t="shared" si="71"/>
        <v/>
      </c>
      <c r="AL278" s="359" t="str">
        <f t="shared" si="70"/>
        <v/>
      </c>
      <c r="AM278" s="359" t="str">
        <f t="shared" si="72"/>
        <v/>
      </c>
      <c r="AN278" s="262">
        <f t="shared" si="75"/>
        <v>0</v>
      </c>
      <c r="AO278" s="262" t="str">
        <f>IFERROR(HLOOKUP(AN278,'Ref Lists'!Q$1:AL$2,2,FALSE),'Ref Lists'!$AK$2)</f>
        <v>Savings21</v>
      </c>
      <c r="AP278" s="38"/>
      <c r="AQ278" s="38">
        <f t="shared" si="64"/>
        <v>0</v>
      </c>
      <c r="AR278" s="38"/>
      <c r="AS278" s="38"/>
      <c r="AT278" s="38"/>
      <c r="AU278" s="38"/>
      <c r="AV278" s="38"/>
      <c r="AW278" s="38"/>
      <c r="AX278" s="38"/>
      <c r="AY278" s="38"/>
      <c r="AZ278" s="38"/>
      <c r="BA278" s="38"/>
      <c r="BB278" s="38"/>
      <c r="BC278" s="38"/>
      <c r="BD278" s="38"/>
      <c r="BE278" s="38"/>
      <c r="BF278" s="38"/>
      <c r="BG278" s="38"/>
      <c r="BH278" s="38"/>
      <c r="BI278" s="38"/>
      <c r="BJ278" s="38"/>
      <c r="BK278" s="38"/>
      <c r="BL278" s="38"/>
      <c r="BM278" s="38"/>
      <c r="BN278" s="38"/>
      <c r="BO278" s="38"/>
      <c r="BP278" s="38"/>
      <c r="BQ278" s="38"/>
      <c r="BR278" s="38"/>
      <c r="BS278" s="38"/>
      <c r="BT278" s="38"/>
      <c r="BU278" s="38"/>
      <c r="BV278" s="38"/>
      <c r="BW278" s="38"/>
      <c r="BX278" s="38"/>
      <c r="BY278" s="38"/>
      <c r="BZ278" s="38"/>
      <c r="CA278" s="38"/>
      <c r="CB278" s="38"/>
      <c r="CC278" s="38"/>
      <c r="CD278" s="38"/>
      <c r="CE278" s="38"/>
      <c r="CF278" s="38"/>
      <c r="CG278" s="38"/>
      <c r="CH278" s="38"/>
      <c r="CI278" s="38"/>
      <c r="CJ278" s="38"/>
      <c r="CK278" s="38"/>
      <c r="CL278" s="38"/>
      <c r="CM278" s="38"/>
      <c r="CN278" s="38"/>
      <c r="CO278" s="38"/>
      <c r="CP278" s="38"/>
      <c r="CQ278" s="38"/>
      <c r="CR278" s="38"/>
      <c r="CS278" s="38"/>
      <c r="CT278" s="38"/>
      <c r="CU278" s="38"/>
      <c r="CV278" s="38"/>
      <c r="CW278" s="38"/>
      <c r="CX278" s="38"/>
      <c r="CY278" s="38"/>
      <c r="CZ278" s="38"/>
    </row>
    <row r="279" spans="1:104" s="40" customFormat="1" ht="20.149999999999999" customHeight="1">
      <c r="A279" s="358">
        <f t="shared" si="73"/>
        <v>278</v>
      </c>
      <c r="B279" s="359" t="str">
        <f>'Front Sheet and Checklist'!$C$5</f>
        <v>Swansea Bay UHB</v>
      </c>
      <c r="C279" s="17"/>
      <c r="D279" s="17"/>
      <c r="E279" s="17"/>
      <c r="F279" s="17"/>
      <c r="G279" s="17"/>
      <c r="H279" s="17"/>
      <c r="I279" s="361">
        <f t="shared" si="63"/>
        <v>0</v>
      </c>
      <c r="J279" s="17"/>
      <c r="K279" s="18"/>
      <c r="L279" s="18"/>
      <c r="M279" s="17"/>
      <c r="N279" s="17"/>
      <c r="O279" s="17"/>
      <c r="P279" s="17"/>
      <c r="Q279" s="169"/>
      <c r="R279" s="24"/>
      <c r="S279" s="24"/>
      <c r="T279" s="24"/>
      <c r="U279" s="25"/>
      <c r="V279" s="25"/>
      <c r="W279" s="25"/>
      <c r="X279" s="24"/>
      <c r="Y279" s="24"/>
      <c r="Z279" s="24"/>
      <c r="AA279" s="24"/>
      <c r="AB279" s="24"/>
      <c r="AC279" s="24"/>
      <c r="AD279" s="361">
        <f t="shared" si="62"/>
        <v>0</v>
      </c>
      <c r="AE279" s="359" t="str">
        <f t="shared" si="65"/>
        <v/>
      </c>
      <c r="AF279" s="359" t="str">
        <f t="shared" si="74"/>
        <v/>
      </c>
      <c r="AG279" s="359" t="str">
        <f t="shared" si="66"/>
        <v/>
      </c>
      <c r="AH279" s="359" t="str">
        <f t="shared" si="67"/>
        <v/>
      </c>
      <c r="AI279" s="359" t="str">
        <f t="shared" si="68"/>
        <v/>
      </c>
      <c r="AJ279" s="359" t="str">
        <f t="shared" si="69"/>
        <v/>
      </c>
      <c r="AK279" s="359" t="str">
        <f t="shared" si="71"/>
        <v/>
      </c>
      <c r="AL279" s="359" t="str">
        <f t="shared" si="70"/>
        <v/>
      </c>
      <c r="AM279" s="359" t="str">
        <f t="shared" si="72"/>
        <v/>
      </c>
      <c r="AN279" s="262">
        <f t="shared" si="75"/>
        <v>0</v>
      </c>
      <c r="AO279" s="262" t="str">
        <f>IFERROR(HLOOKUP(AN279,'Ref Lists'!Q$1:AL$2,2,FALSE),'Ref Lists'!$AK$2)</f>
        <v>Savings21</v>
      </c>
      <c r="AP279" s="38"/>
      <c r="AQ279" s="38">
        <f t="shared" si="64"/>
        <v>0</v>
      </c>
      <c r="AR279" s="38"/>
      <c r="AS279" s="38"/>
      <c r="AT279" s="38"/>
      <c r="AU279" s="38"/>
      <c r="AV279" s="38"/>
      <c r="AW279" s="38"/>
      <c r="AX279" s="38"/>
      <c r="AY279" s="38"/>
      <c r="AZ279" s="38"/>
      <c r="BA279" s="38"/>
      <c r="BB279" s="38"/>
      <c r="BC279" s="38"/>
      <c r="BD279" s="38"/>
      <c r="BE279" s="38"/>
      <c r="BF279" s="38"/>
      <c r="BG279" s="38"/>
      <c r="BH279" s="38"/>
      <c r="BI279" s="38"/>
      <c r="BJ279" s="38"/>
      <c r="BK279" s="38"/>
      <c r="BL279" s="38"/>
      <c r="BM279" s="38"/>
      <c r="BN279" s="38"/>
      <c r="BO279" s="38"/>
      <c r="BP279" s="38"/>
      <c r="BQ279" s="38"/>
      <c r="BR279" s="38"/>
      <c r="BS279" s="38"/>
      <c r="BT279" s="38"/>
      <c r="BU279" s="38"/>
      <c r="BV279" s="38"/>
      <c r="BW279" s="38"/>
      <c r="BX279" s="38"/>
      <c r="BY279" s="38"/>
      <c r="BZ279" s="38"/>
      <c r="CA279" s="38"/>
      <c r="CB279" s="38"/>
      <c r="CC279" s="38"/>
      <c r="CD279" s="38"/>
      <c r="CE279" s="38"/>
      <c r="CF279" s="38"/>
      <c r="CG279" s="38"/>
      <c r="CH279" s="38"/>
      <c r="CI279" s="38"/>
      <c r="CJ279" s="38"/>
      <c r="CK279" s="38"/>
      <c r="CL279" s="38"/>
      <c r="CM279" s="38"/>
      <c r="CN279" s="38"/>
      <c r="CO279" s="38"/>
      <c r="CP279" s="38"/>
      <c r="CQ279" s="38"/>
      <c r="CR279" s="38"/>
      <c r="CS279" s="38"/>
      <c r="CT279" s="38"/>
      <c r="CU279" s="38"/>
      <c r="CV279" s="38"/>
      <c r="CW279" s="38"/>
      <c r="CX279" s="38"/>
      <c r="CY279" s="38"/>
      <c r="CZ279" s="38"/>
    </row>
    <row r="280" spans="1:104" s="40" customFormat="1" ht="20.149999999999999" customHeight="1">
      <c r="A280" s="358">
        <f t="shared" si="73"/>
        <v>279</v>
      </c>
      <c r="B280" s="359" t="str">
        <f>'Front Sheet and Checklist'!$C$5</f>
        <v>Swansea Bay UHB</v>
      </c>
      <c r="C280" s="17"/>
      <c r="D280" s="17"/>
      <c r="E280" s="17"/>
      <c r="F280" s="17"/>
      <c r="G280" s="17"/>
      <c r="H280" s="17"/>
      <c r="I280" s="361">
        <f t="shared" si="63"/>
        <v>0</v>
      </c>
      <c r="J280" s="17"/>
      <c r="K280" s="18"/>
      <c r="L280" s="18"/>
      <c r="M280" s="17"/>
      <c r="N280" s="17"/>
      <c r="O280" s="17"/>
      <c r="P280" s="17"/>
      <c r="Q280" s="169"/>
      <c r="R280" s="24"/>
      <c r="S280" s="24"/>
      <c r="T280" s="24"/>
      <c r="U280" s="25"/>
      <c r="V280" s="25"/>
      <c r="W280" s="25"/>
      <c r="X280" s="24"/>
      <c r="Y280" s="24"/>
      <c r="Z280" s="24"/>
      <c r="AA280" s="24"/>
      <c r="AB280" s="24"/>
      <c r="AC280" s="24"/>
      <c r="AD280" s="361">
        <f t="shared" si="62"/>
        <v>0</v>
      </c>
      <c r="AE280" s="359" t="str">
        <f t="shared" si="65"/>
        <v/>
      </c>
      <c r="AF280" s="359" t="str">
        <f t="shared" si="74"/>
        <v/>
      </c>
      <c r="AG280" s="359" t="str">
        <f t="shared" si="66"/>
        <v/>
      </c>
      <c r="AH280" s="359" t="str">
        <f t="shared" si="67"/>
        <v/>
      </c>
      <c r="AI280" s="359" t="str">
        <f t="shared" si="68"/>
        <v/>
      </c>
      <c r="AJ280" s="359" t="str">
        <f t="shared" si="69"/>
        <v/>
      </c>
      <c r="AK280" s="359" t="str">
        <f t="shared" si="71"/>
        <v/>
      </c>
      <c r="AL280" s="359" t="str">
        <f t="shared" si="70"/>
        <v/>
      </c>
      <c r="AM280" s="359" t="str">
        <f t="shared" si="72"/>
        <v/>
      </c>
      <c r="AN280" s="262">
        <f t="shared" si="75"/>
        <v>0</v>
      </c>
      <c r="AO280" s="262" t="str">
        <f>IFERROR(HLOOKUP(AN280,'Ref Lists'!Q$1:AL$2,2,FALSE),'Ref Lists'!$AK$2)</f>
        <v>Savings21</v>
      </c>
      <c r="AP280" s="38"/>
      <c r="AQ280" s="38">
        <f t="shared" si="64"/>
        <v>0</v>
      </c>
      <c r="AR280" s="38"/>
      <c r="AS280" s="38"/>
      <c r="AT280" s="38"/>
      <c r="AU280" s="38"/>
      <c r="AV280" s="38"/>
      <c r="AW280" s="38"/>
      <c r="AX280" s="38"/>
      <c r="AY280" s="38"/>
      <c r="AZ280" s="38"/>
      <c r="BA280" s="38"/>
      <c r="BB280" s="38"/>
      <c r="BC280" s="38"/>
      <c r="BD280" s="38"/>
      <c r="BE280" s="38"/>
      <c r="BF280" s="38"/>
      <c r="BG280" s="38"/>
      <c r="BH280" s="38"/>
      <c r="BI280" s="38"/>
      <c r="BJ280" s="38"/>
      <c r="BK280" s="38"/>
      <c r="BL280" s="38"/>
      <c r="BM280" s="38"/>
      <c r="BN280" s="38"/>
      <c r="BO280" s="38"/>
      <c r="BP280" s="38"/>
      <c r="BQ280" s="38"/>
      <c r="BR280" s="38"/>
      <c r="BS280" s="38"/>
      <c r="BT280" s="38"/>
      <c r="BU280" s="38"/>
      <c r="BV280" s="38"/>
      <c r="BW280" s="38"/>
      <c r="BX280" s="38"/>
      <c r="BY280" s="38"/>
      <c r="BZ280" s="38"/>
      <c r="CA280" s="38"/>
      <c r="CB280" s="38"/>
      <c r="CC280" s="38"/>
      <c r="CD280" s="38"/>
      <c r="CE280" s="38"/>
      <c r="CF280" s="38"/>
      <c r="CG280" s="38"/>
      <c r="CH280" s="38"/>
      <c r="CI280" s="38"/>
      <c r="CJ280" s="38"/>
      <c r="CK280" s="38"/>
      <c r="CL280" s="38"/>
      <c r="CM280" s="38"/>
      <c r="CN280" s="38"/>
      <c r="CO280" s="38"/>
      <c r="CP280" s="38"/>
      <c r="CQ280" s="38"/>
      <c r="CR280" s="38"/>
      <c r="CS280" s="38"/>
      <c r="CT280" s="38"/>
      <c r="CU280" s="38"/>
      <c r="CV280" s="38"/>
      <c r="CW280" s="38"/>
      <c r="CX280" s="38"/>
      <c r="CY280" s="38"/>
      <c r="CZ280" s="38"/>
    </row>
    <row r="281" spans="1:104" s="40" customFormat="1" ht="20.149999999999999" customHeight="1">
      <c r="A281" s="358">
        <f t="shared" si="73"/>
        <v>280</v>
      </c>
      <c r="B281" s="359" t="str">
        <f>'Front Sheet and Checklist'!$C$5</f>
        <v>Swansea Bay UHB</v>
      </c>
      <c r="C281" s="17"/>
      <c r="D281" s="17"/>
      <c r="E281" s="17"/>
      <c r="F281" s="17"/>
      <c r="G281" s="17"/>
      <c r="H281" s="17"/>
      <c r="I281" s="361">
        <f t="shared" si="63"/>
        <v>0</v>
      </c>
      <c r="J281" s="17"/>
      <c r="K281" s="18"/>
      <c r="L281" s="18"/>
      <c r="M281" s="17"/>
      <c r="N281" s="17"/>
      <c r="O281" s="17"/>
      <c r="P281" s="17"/>
      <c r="Q281" s="169"/>
      <c r="R281" s="24"/>
      <c r="S281" s="24"/>
      <c r="T281" s="24"/>
      <c r="U281" s="25"/>
      <c r="V281" s="25"/>
      <c r="W281" s="25"/>
      <c r="X281" s="24"/>
      <c r="Y281" s="24"/>
      <c r="Z281" s="24"/>
      <c r="AA281" s="24"/>
      <c r="AB281" s="24"/>
      <c r="AC281" s="24"/>
      <c r="AD281" s="361">
        <f t="shared" si="62"/>
        <v>0</v>
      </c>
      <c r="AE281" s="359" t="str">
        <f t="shared" si="65"/>
        <v/>
      </c>
      <c r="AF281" s="359" t="str">
        <f t="shared" si="74"/>
        <v/>
      </c>
      <c r="AG281" s="359" t="str">
        <f t="shared" si="66"/>
        <v/>
      </c>
      <c r="AH281" s="359" t="str">
        <f t="shared" si="67"/>
        <v/>
      </c>
      <c r="AI281" s="359" t="str">
        <f t="shared" si="68"/>
        <v/>
      </c>
      <c r="AJ281" s="359" t="str">
        <f t="shared" si="69"/>
        <v/>
      </c>
      <c r="AK281" s="359" t="str">
        <f t="shared" si="71"/>
        <v/>
      </c>
      <c r="AL281" s="359" t="str">
        <f t="shared" si="70"/>
        <v/>
      </c>
      <c r="AM281" s="359" t="str">
        <f t="shared" si="72"/>
        <v/>
      </c>
      <c r="AN281" s="262">
        <f t="shared" si="75"/>
        <v>0</v>
      </c>
      <c r="AO281" s="262" t="str">
        <f>IFERROR(HLOOKUP(AN281,'Ref Lists'!Q$1:AL$2,2,FALSE),'Ref Lists'!$AK$2)</f>
        <v>Savings21</v>
      </c>
      <c r="AP281" s="38"/>
      <c r="AQ281" s="38">
        <f t="shared" si="64"/>
        <v>0</v>
      </c>
      <c r="AR281" s="38"/>
      <c r="AS281" s="38"/>
      <c r="AT281" s="38"/>
      <c r="AU281" s="38"/>
      <c r="AV281" s="38"/>
      <c r="AW281" s="38"/>
      <c r="AX281" s="38"/>
      <c r="AY281" s="38"/>
      <c r="AZ281" s="38"/>
      <c r="BA281" s="38"/>
      <c r="BB281" s="38"/>
      <c r="BC281" s="38"/>
      <c r="BD281" s="38"/>
      <c r="BE281" s="38"/>
      <c r="BF281" s="38"/>
      <c r="BG281" s="38"/>
      <c r="BH281" s="38"/>
      <c r="BI281" s="38"/>
      <c r="BJ281" s="38"/>
      <c r="BK281" s="38"/>
      <c r="BL281" s="38"/>
      <c r="BM281" s="38"/>
      <c r="BN281" s="38"/>
      <c r="BO281" s="38"/>
      <c r="BP281" s="38"/>
      <c r="BQ281" s="38"/>
      <c r="BR281" s="38"/>
      <c r="BS281" s="38"/>
      <c r="BT281" s="38"/>
      <c r="BU281" s="38"/>
      <c r="BV281" s="38"/>
      <c r="BW281" s="38"/>
      <c r="BX281" s="38"/>
      <c r="BY281" s="38"/>
      <c r="BZ281" s="38"/>
      <c r="CA281" s="38"/>
      <c r="CB281" s="38"/>
      <c r="CC281" s="38"/>
      <c r="CD281" s="38"/>
      <c r="CE281" s="38"/>
      <c r="CF281" s="38"/>
      <c r="CG281" s="38"/>
      <c r="CH281" s="38"/>
      <c r="CI281" s="38"/>
      <c r="CJ281" s="38"/>
      <c r="CK281" s="38"/>
      <c r="CL281" s="38"/>
      <c r="CM281" s="38"/>
      <c r="CN281" s="38"/>
      <c r="CO281" s="38"/>
      <c r="CP281" s="38"/>
      <c r="CQ281" s="38"/>
      <c r="CR281" s="38"/>
      <c r="CS281" s="38"/>
      <c r="CT281" s="38"/>
      <c r="CU281" s="38"/>
      <c r="CV281" s="38"/>
      <c r="CW281" s="38"/>
      <c r="CX281" s="38"/>
      <c r="CY281" s="38"/>
      <c r="CZ281" s="38"/>
    </row>
    <row r="282" spans="1:104" s="40" customFormat="1" ht="20.149999999999999" customHeight="1">
      <c r="A282" s="358">
        <f t="shared" si="73"/>
        <v>281</v>
      </c>
      <c r="B282" s="359" t="str">
        <f>'Front Sheet and Checklist'!$C$5</f>
        <v>Swansea Bay UHB</v>
      </c>
      <c r="C282" s="17"/>
      <c r="D282" s="17"/>
      <c r="E282" s="17"/>
      <c r="F282" s="17"/>
      <c r="G282" s="17"/>
      <c r="H282" s="17"/>
      <c r="I282" s="361">
        <f t="shared" si="63"/>
        <v>0</v>
      </c>
      <c r="J282" s="17"/>
      <c r="K282" s="18"/>
      <c r="L282" s="18"/>
      <c r="M282" s="17"/>
      <c r="N282" s="17"/>
      <c r="O282" s="17"/>
      <c r="P282" s="17"/>
      <c r="Q282" s="169"/>
      <c r="R282" s="24"/>
      <c r="S282" s="24"/>
      <c r="T282" s="24"/>
      <c r="U282" s="25"/>
      <c r="V282" s="25"/>
      <c r="W282" s="25"/>
      <c r="X282" s="24"/>
      <c r="Y282" s="24"/>
      <c r="Z282" s="24"/>
      <c r="AA282" s="24"/>
      <c r="AB282" s="24"/>
      <c r="AC282" s="24"/>
      <c r="AD282" s="361">
        <f t="shared" si="62"/>
        <v>0</v>
      </c>
      <c r="AE282" s="359" t="str">
        <f t="shared" si="65"/>
        <v/>
      </c>
      <c r="AF282" s="359" t="str">
        <f t="shared" si="74"/>
        <v/>
      </c>
      <c r="AG282" s="359" t="str">
        <f t="shared" si="66"/>
        <v/>
      </c>
      <c r="AH282" s="359" t="str">
        <f t="shared" si="67"/>
        <v/>
      </c>
      <c r="AI282" s="359" t="str">
        <f t="shared" si="68"/>
        <v/>
      </c>
      <c r="AJ282" s="359" t="str">
        <f t="shared" si="69"/>
        <v/>
      </c>
      <c r="AK282" s="359" t="str">
        <f t="shared" si="71"/>
        <v/>
      </c>
      <c r="AL282" s="359" t="str">
        <f t="shared" si="70"/>
        <v/>
      </c>
      <c r="AM282" s="359" t="str">
        <f t="shared" si="72"/>
        <v/>
      </c>
      <c r="AN282" s="262">
        <f t="shared" si="75"/>
        <v>0</v>
      </c>
      <c r="AO282" s="262" t="str">
        <f>IFERROR(HLOOKUP(AN282,'Ref Lists'!Q$1:AL$2,2,FALSE),'Ref Lists'!$AK$2)</f>
        <v>Savings21</v>
      </c>
      <c r="AP282" s="38"/>
      <c r="AQ282" s="38">
        <f t="shared" si="64"/>
        <v>0</v>
      </c>
      <c r="AR282" s="38"/>
      <c r="AS282" s="38"/>
      <c r="AT282" s="38"/>
      <c r="AU282" s="38"/>
      <c r="AV282" s="38"/>
      <c r="AW282" s="38"/>
      <c r="AX282" s="38"/>
      <c r="AY282" s="38"/>
      <c r="AZ282" s="38"/>
      <c r="BA282" s="38"/>
      <c r="BB282" s="38"/>
      <c r="BC282" s="38"/>
      <c r="BD282" s="38"/>
      <c r="BE282" s="38"/>
      <c r="BF282" s="38"/>
      <c r="BG282" s="38"/>
      <c r="BH282" s="38"/>
      <c r="BI282" s="38"/>
      <c r="BJ282" s="38"/>
      <c r="BK282" s="38"/>
      <c r="BL282" s="38"/>
      <c r="BM282" s="38"/>
      <c r="BN282" s="38"/>
      <c r="BO282" s="38"/>
      <c r="BP282" s="38"/>
      <c r="BQ282" s="38"/>
      <c r="BR282" s="38"/>
      <c r="BS282" s="38"/>
      <c r="BT282" s="38"/>
      <c r="BU282" s="38"/>
      <c r="BV282" s="38"/>
      <c r="BW282" s="38"/>
      <c r="BX282" s="38"/>
      <c r="BY282" s="38"/>
      <c r="BZ282" s="38"/>
      <c r="CA282" s="38"/>
      <c r="CB282" s="38"/>
      <c r="CC282" s="38"/>
      <c r="CD282" s="38"/>
      <c r="CE282" s="38"/>
      <c r="CF282" s="38"/>
      <c r="CG282" s="38"/>
      <c r="CH282" s="38"/>
      <c r="CI282" s="38"/>
      <c r="CJ282" s="38"/>
      <c r="CK282" s="38"/>
      <c r="CL282" s="38"/>
      <c r="CM282" s="38"/>
      <c r="CN282" s="38"/>
      <c r="CO282" s="38"/>
      <c r="CP282" s="38"/>
      <c r="CQ282" s="38"/>
      <c r="CR282" s="38"/>
      <c r="CS282" s="38"/>
      <c r="CT282" s="38"/>
      <c r="CU282" s="38"/>
      <c r="CV282" s="38"/>
      <c r="CW282" s="38"/>
      <c r="CX282" s="38"/>
      <c r="CY282" s="38"/>
      <c r="CZ282" s="38"/>
    </row>
    <row r="283" spans="1:104" s="40" customFormat="1" ht="20.149999999999999" customHeight="1">
      <c r="A283" s="358">
        <f t="shared" si="73"/>
        <v>282</v>
      </c>
      <c r="B283" s="359" t="str">
        <f>'Front Sheet and Checklist'!$C$5</f>
        <v>Swansea Bay UHB</v>
      </c>
      <c r="C283" s="17"/>
      <c r="D283" s="17"/>
      <c r="E283" s="17"/>
      <c r="F283" s="17"/>
      <c r="G283" s="17"/>
      <c r="H283" s="17"/>
      <c r="I283" s="361">
        <f t="shared" si="63"/>
        <v>0</v>
      </c>
      <c r="J283" s="17"/>
      <c r="K283" s="18"/>
      <c r="L283" s="18"/>
      <c r="M283" s="17"/>
      <c r="N283" s="17"/>
      <c r="O283" s="17"/>
      <c r="P283" s="17"/>
      <c r="Q283" s="169"/>
      <c r="R283" s="24"/>
      <c r="S283" s="24"/>
      <c r="T283" s="24"/>
      <c r="U283" s="25"/>
      <c r="V283" s="25"/>
      <c r="W283" s="25"/>
      <c r="X283" s="24"/>
      <c r="Y283" s="24"/>
      <c r="Z283" s="24"/>
      <c r="AA283" s="24"/>
      <c r="AB283" s="24"/>
      <c r="AC283" s="24"/>
      <c r="AD283" s="361">
        <f t="shared" si="62"/>
        <v>0</v>
      </c>
      <c r="AE283" s="359" t="str">
        <f t="shared" si="65"/>
        <v/>
      </c>
      <c r="AF283" s="359" t="str">
        <f t="shared" si="74"/>
        <v/>
      </c>
      <c r="AG283" s="359" t="str">
        <f t="shared" si="66"/>
        <v/>
      </c>
      <c r="AH283" s="359" t="str">
        <f t="shared" si="67"/>
        <v/>
      </c>
      <c r="AI283" s="359" t="str">
        <f t="shared" si="68"/>
        <v/>
      </c>
      <c r="AJ283" s="359" t="str">
        <f t="shared" si="69"/>
        <v/>
      </c>
      <c r="AK283" s="359" t="str">
        <f t="shared" si="71"/>
        <v/>
      </c>
      <c r="AL283" s="359" t="str">
        <f t="shared" si="70"/>
        <v/>
      </c>
      <c r="AM283" s="359" t="str">
        <f t="shared" si="72"/>
        <v/>
      </c>
      <c r="AN283" s="262">
        <f t="shared" si="75"/>
        <v>0</v>
      </c>
      <c r="AO283" s="262" t="str">
        <f>IFERROR(HLOOKUP(AN283,'Ref Lists'!Q$1:AL$2,2,FALSE),'Ref Lists'!$AK$2)</f>
        <v>Savings21</v>
      </c>
      <c r="AP283" s="38"/>
      <c r="AQ283" s="38">
        <f t="shared" si="64"/>
        <v>0</v>
      </c>
      <c r="AR283" s="38"/>
      <c r="AS283" s="38"/>
      <c r="AT283" s="38"/>
      <c r="AU283" s="38"/>
      <c r="AV283" s="38"/>
      <c r="AW283" s="38"/>
      <c r="AX283" s="38"/>
      <c r="AY283" s="38"/>
      <c r="AZ283" s="38"/>
      <c r="BA283" s="38"/>
      <c r="BB283" s="38"/>
      <c r="BC283" s="38"/>
      <c r="BD283" s="38"/>
      <c r="BE283" s="38"/>
      <c r="BF283" s="38"/>
      <c r="BG283" s="38"/>
      <c r="BH283" s="38"/>
      <c r="BI283" s="38"/>
      <c r="BJ283" s="38"/>
      <c r="BK283" s="38"/>
      <c r="BL283" s="38"/>
      <c r="BM283" s="38"/>
      <c r="BN283" s="38"/>
      <c r="BO283" s="38"/>
      <c r="BP283" s="38"/>
      <c r="BQ283" s="38"/>
      <c r="BR283" s="38"/>
      <c r="BS283" s="38"/>
      <c r="BT283" s="38"/>
      <c r="BU283" s="38"/>
      <c r="BV283" s="38"/>
      <c r="BW283" s="38"/>
      <c r="BX283" s="38"/>
      <c r="BY283" s="38"/>
      <c r="BZ283" s="38"/>
      <c r="CA283" s="38"/>
      <c r="CB283" s="38"/>
      <c r="CC283" s="38"/>
      <c r="CD283" s="38"/>
      <c r="CE283" s="38"/>
      <c r="CF283" s="38"/>
      <c r="CG283" s="38"/>
      <c r="CH283" s="38"/>
      <c r="CI283" s="38"/>
      <c r="CJ283" s="38"/>
      <c r="CK283" s="38"/>
      <c r="CL283" s="38"/>
      <c r="CM283" s="38"/>
      <c r="CN283" s="38"/>
      <c r="CO283" s="38"/>
      <c r="CP283" s="38"/>
      <c r="CQ283" s="38"/>
      <c r="CR283" s="38"/>
      <c r="CS283" s="38"/>
      <c r="CT283" s="38"/>
      <c r="CU283" s="38"/>
      <c r="CV283" s="38"/>
      <c r="CW283" s="38"/>
      <c r="CX283" s="38"/>
      <c r="CY283" s="38"/>
      <c r="CZ283" s="38"/>
    </row>
    <row r="284" spans="1:104" s="40" customFormat="1" ht="20.149999999999999" customHeight="1">
      <c r="A284" s="358">
        <f t="shared" si="73"/>
        <v>283</v>
      </c>
      <c r="B284" s="359" t="str">
        <f>'Front Sheet and Checklist'!$C$5</f>
        <v>Swansea Bay UHB</v>
      </c>
      <c r="C284" s="17"/>
      <c r="D284" s="17"/>
      <c r="E284" s="17"/>
      <c r="F284" s="17"/>
      <c r="G284" s="17"/>
      <c r="H284" s="17"/>
      <c r="I284" s="361">
        <f t="shared" si="63"/>
        <v>0</v>
      </c>
      <c r="J284" s="17"/>
      <c r="K284" s="18"/>
      <c r="L284" s="18"/>
      <c r="M284" s="17"/>
      <c r="N284" s="17"/>
      <c r="O284" s="17"/>
      <c r="P284" s="17"/>
      <c r="Q284" s="169"/>
      <c r="R284" s="24"/>
      <c r="S284" s="24"/>
      <c r="T284" s="24"/>
      <c r="U284" s="25"/>
      <c r="V284" s="25"/>
      <c r="W284" s="25"/>
      <c r="X284" s="24"/>
      <c r="Y284" s="24"/>
      <c r="Z284" s="24"/>
      <c r="AA284" s="24"/>
      <c r="AB284" s="24"/>
      <c r="AC284" s="24"/>
      <c r="AD284" s="361">
        <f t="shared" si="62"/>
        <v>0</v>
      </c>
      <c r="AE284" s="359" t="str">
        <f t="shared" si="65"/>
        <v/>
      </c>
      <c r="AF284" s="359" t="str">
        <f t="shared" si="74"/>
        <v/>
      </c>
      <c r="AG284" s="359" t="str">
        <f t="shared" si="66"/>
        <v/>
      </c>
      <c r="AH284" s="359" t="str">
        <f t="shared" si="67"/>
        <v/>
      </c>
      <c r="AI284" s="359" t="str">
        <f t="shared" si="68"/>
        <v/>
      </c>
      <c r="AJ284" s="359" t="str">
        <f t="shared" si="69"/>
        <v/>
      </c>
      <c r="AK284" s="359" t="str">
        <f t="shared" si="71"/>
        <v/>
      </c>
      <c r="AL284" s="359" t="str">
        <f t="shared" si="70"/>
        <v/>
      </c>
      <c r="AM284" s="359" t="str">
        <f t="shared" si="72"/>
        <v/>
      </c>
      <c r="AN284" s="262">
        <f t="shared" si="75"/>
        <v>0</v>
      </c>
      <c r="AO284" s="262" t="str">
        <f>IFERROR(HLOOKUP(AN284,'Ref Lists'!Q$1:AL$2,2,FALSE),'Ref Lists'!$AK$2)</f>
        <v>Savings21</v>
      </c>
      <c r="AP284" s="38"/>
      <c r="AQ284" s="38">
        <f t="shared" si="64"/>
        <v>0</v>
      </c>
      <c r="AR284" s="38"/>
      <c r="AS284" s="38"/>
      <c r="AT284" s="38"/>
      <c r="AU284" s="38"/>
      <c r="AV284" s="38"/>
      <c r="AW284" s="38"/>
      <c r="AX284" s="38"/>
      <c r="AY284" s="38"/>
      <c r="AZ284" s="38"/>
      <c r="BA284" s="38"/>
      <c r="BB284" s="38"/>
      <c r="BC284" s="38"/>
      <c r="BD284" s="38"/>
      <c r="BE284" s="38"/>
      <c r="BF284" s="38"/>
      <c r="BG284" s="38"/>
      <c r="BH284" s="38"/>
      <c r="BI284" s="38"/>
      <c r="BJ284" s="38"/>
      <c r="BK284" s="38"/>
      <c r="BL284" s="38"/>
      <c r="BM284" s="38"/>
      <c r="BN284" s="38"/>
      <c r="BO284" s="38"/>
      <c r="BP284" s="38"/>
      <c r="BQ284" s="38"/>
      <c r="BR284" s="38"/>
      <c r="BS284" s="38"/>
      <c r="BT284" s="38"/>
      <c r="BU284" s="38"/>
      <c r="BV284" s="38"/>
      <c r="BW284" s="38"/>
      <c r="BX284" s="38"/>
      <c r="BY284" s="38"/>
      <c r="BZ284" s="38"/>
      <c r="CA284" s="38"/>
      <c r="CB284" s="38"/>
      <c r="CC284" s="38"/>
      <c r="CD284" s="38"/>
      <c r="CE284" s="38"/>
      <c r="CF284" s="38"/>
      <c r="CG284" s="38"/>
      <c r="CH284" s="38"/>
      <c r="CI284" s="38"/>
      <c r="CJ284" s="38"/>
      <c r="CK284" s="38"/>
      <c r="CL284" s="38"/>
      <c r="CM284" s="38"/>
      <c r="CN284" s="38"/>
      <c r="CO284" s="38"/>
      <c r="CP284" s="38"/>
      <c r="CQ284" s="38"/>
      <c r="CR284" s="38"/>
      <c r="CS284" s="38"/>
      <c r="CT284" s="38"/>
      <c r="CU284" s="38"/>
      <c r="CV284" s="38"/>
      <c r="CW284" s="38"/>
      <c r="CX284" s="38"/>
      <c r="CY284" s="38"/>
      <c r="CZ284" s="38"/>
    </row>
    <row r="285" spans="1:104" s="40" customFormat="1" ht="20.149999999999999" customHeight="1">
      <c r="A285" s="358">
        <f t="shared" si="73"/>
        <v>284</v>
      </c>
      <c r="B285" s="359" t="str">
        <f>'Front Sheet and Checklist'!$C$5</f>
        <v>Swansea Bay UHB</v>
      </c>
      <c r="C285" s="17"/>
      <c r="D285" s="17"/>
      <c r="E285" s="17"/>
      <c r="F285" s="17"/>
      <c r="G285" s="17"/>
      <c r="H285" s="17"/>
      <c r="I285" s="361">
        <f t="shared" si="63"/>
        <v>0</v>
      </c>
      <c r="J285" s="17"/>
      <c r="K285" s="18"/>
      <c r="L285" s="18"/>
      <c r="M285" s="17"/>
      <c r="N285" s="17"/>
      <c r="O285" s="17"/>
      <c r="P285" s="17"/>
      <c r="Q285" s="169"/>
      <c r="R285" s="24"/>
      <c r="S285" s="24"/>
      <c r="T285" s="24"/>
      <c r="U285" s="25"/>
      <c r="V285" s="25"/>
      <c r="W285" s="25"/>
      <c r="X285" s="24"/>
      <c r="Y285" s="24"/>
      <c r="Z285" s="24"/>
      <c r="AA285" s="24"/>
      <c r="AB285" s="24"/>
      <c r="AC285" s="24"/>
      <c r="AD285" s="361">
        <f t="shared" si="62"/>
        <v>0</v>
      </c>
      <c r="AE285" s="359" t="str">
        <f t="shared" si="65"/>
        <v/>
      </c>
      <c r="AF285" s="359" t="str">
        <f t="shared" si="74"/>
        <v/>
      </c>
      <c r="AG285" s="359" t="str">
        <f t="shared" si="66"/>
        <v/>
      </c>
      <c r="AH285" s="359" t="str">
        <f t="shared" si="67"/>
        <v/>
      </c>
      <c r="AI285" s="359" t="str">
        <f t="shared" si="68"/>
        <v/>
      </c>
      <c r="AJ285" s="359" t="str">
        <f t="shared" si="69"/>
        <v/>
      </c>
      <c r="AK285" s="359" t="str">
        <f t="shared" si="71"/>
        <v/>
      </c>
      <c r="AL285" s="359" t="str">
        <f t="shared" si="70"/>
        <v/>
      </c>
      <c r="AM285" s="359" t="str">
        <f t="shared" si="72"/>
        <v/>
      </c>
      <c r="AN285" s="262">
        <f t="shared" si="75"/>
        <v>0</v>
      </c>
      <c r="AO285" s="262" t="str">
        <f>IFERROR(HLOOKUP(AN285,'Ref Lists'!Q$1:AL$2,2,FALSE),'Ref Lists'!$AK$2)</f>
        <v>Savings21</v>
      </c>
      <c r="AP285" s="38"/>
      <c r="AQ285" s="38">
        <f t="shared" si="64"/>
        <v>0</v>
      </c>
      <c r="AR285" s="38"/>
      <c r="AS285" s="38"/>
      <c r="AT285" s="38"/>
      <c r="AU285" s="38"/>
      <c r="AV285" s="38"/>
      <c r="AW285" s="38"/>
      <c r="AX285" s="38"/>
      <c r="AY285" s="38"/>
      <c r="AZ285" s="38"/>
      <c r="BA285" s="38"/>
      <c r="BB285" s="38"/>
      <c r="BC285" s="38"/>
      <c r="BD285" s="38"/>
      <c r="BE285" s="38"/>
      <c r="BF285" s="38"/>
      <c r="BG285" s="38"/>
      <c r="BH285" s="38"/>
      <c r="BI285" s="38"/>
      <c r="BJ285" s="38"/>
      <c r="BK285" s="38"/>
      <c r="BL285" s="38"/>
      <c r="BM285" s="38"/>
      <c r="BN285" s="38"/>
      <c r="BO285" s="38"/>
      <c r="BP285" s="38"/>
      <c r="BQ285" s="38"/>
      <c r="BR285" s="38"/>
      <c r="BS285" s="38"/>
      <c r="BT285" s="38"/>
      <c r="BU285" s="38"/>
      <c r="BV285" s="38"/>
      <c r="BW285" s="38"/>
      <c r="BX285" s="38"/>
      <c r="BY285" s="38"/>
      <c r="BZ285" s="38"/>
      <c r="CA285" s="38"/>
      <c r="CB285" s="38"/>
      <c r="CC285" s="38"/>
      <c r="CD285" s="38"/>
      <c r="CE285" s="38"/>
      <c r="CF285" s="38"/>
      <c r="CG285" s="38"/>
      <c r="CH285" s="38"/>
      <c r="CI285" s="38"/>
      <c r="CJ285" s="38"/>
      <c r="CK285" s="38"/>
      <c r="CL285" s="38"/>
      <c r="CM285" s="38"/>
      <c r="CN285" s="38"/>
      <c r="CO285" s="38"/>
      <c r="CP285" s="38"/>
      <c r="CQ285" s="38"/>
      <c r="CR285" s="38"/>
      <c r="CS285" s="38"/>
      <c r="CT285" s="38"/>
      <c r="CU285" s="38"/>
      <c r="CV285" s="38"/>
      <c r="CW285" s="38"/>
      <c r="CX285" s="38"/>
      <c r="CY285" s="38"/>
      <c r="CZ285" s="38"/>
    </row>
    <row r="286" spans="1:104" s="40" customFormat="1" ht="20.149999999999999" customHeight="1">
      <c r="A286" s="358">
        <f t="shared" si="73"/>
        <v>285</v>
      </c>
      <c r="B286" s="359" t="str">
        <f>'Front Sheet and Checklist'!$C$5</f>
        <v>Swansea Bay UHB</v>
      </c>
      <c r="C286" s="17"/>
      <c r="D286" s="17"/>
      <c r="E286" s="17"/>
      <c r="F286" s="17"/>
      <c r="G286" s="17"/>
      <c r="H286" s="17"/>
      <c r="I286" s="361">
        <f t="shared" si="63"/>
        <v>0</v>
      </c>
      <c r="J286" s="17"/>
      <c r="K286" s="18"/>
      <c r="L286" s="18"/>
      <c r="M286" s="17"/>
      <c r="N286" s="17"/>
      <c r="O286" s="17"/>
      <c r="P286" s="17"/>
      <c r="Q286" s="169"/>
      <c r="R286" s="24"/>
      <c r="S286" s="24"/>
      <c r="T286" s="24"/>
      <c r="U286" s="25"/>
      <c r="V286" s="25"/>
      <c r="W286" s="25"/>
      <c r="X286" s="24"/>
      <c r="Y286" s="24"/>
      <c r="Z286" s="24"/>
      <c r="AA286" s="24"/>
      <c r="AB286" s="24"/>
      <c r="AC286" s="24"/>
      <c r="AD286" s="361">
        <f t="shared" si="62"/>
        <v>0</v>
      </c>
      <c r="AE286" s="359" t="str">
        <f t="shared" si="65"/>
        <v/>
      </c>
      <c r="AF286" s="359" t="str">
        <f t="shared" si="74"/>
        <v/>
      </c>
      <c r="AG286" s="359" t="str">
        <f t="shared" si="66"/>
        <v/>
      </c>
      <c r="AH286" s="359" t="str">
        <f t="shared" si="67"/>
        <v/>
      </c>
      <c r="AI286" s="359" t="str">
        <f t="shared" si="68"/>
        <v/>
      </c>
      <c r="AJ286" s="359" t="str">
        <f t="shared" si="69"/>
        <v/>
      </c>
      <c r="AK286" s="359" t="str">
        <f t="shared" si="71"/>
        <v/>
      </c>
      <c r="AL286" s="359" t="str">
        <f t="shared" si="70"/>
        <v/>
      </c>
      <c r="AM286" s="359" t="str">
        <f t="shared" si="72"/>
        <v/>
      </c>
      <c r="AN286" s="262">
        <f t="shared" si="75"/>
        <v>0</v>
      </c>
      <c r="AO286" s="262" t="str">
        <f>IFERROR(HLOOKUP(AN286,'Ref Lists'!Q$1:AL$2,2,FALSE),'Ref Lists'!$AK$2)</f>
        <v>Savings21</v>
      </c>
      <c r="AP286" s="38"/>
      <c r="AQ286" s="38">
        <f t="shared" si="64"/>
        <v>0</v>
      </c>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row>
    <row r="287" spans="1:104" s="40" customFormat="1" ht="20.149999999999999" customHeight="1">
      <c r="A287" s="358">
        <f t="shared" si="73"/>
        <v>286</v>
      </c>
      <c r="B287" s="359" t="str">
        <f>'Front Sheet and Checklist'!$C$5</f>
        <v>Swansea Bay UHB</v>
      </c>
      <c r="C287" s="17"/>
      <c r="D287" s="17"/>
      <c r="E287" s="17"/>
      <c r="F287" s="17"/>
      <c r="G287" s="17"/>
      <c r="H287" s="17"/>
      <c r="I287" s="361">
        <f t="shared" si="63"/>
        <v>0</v>
      </c>
      <c r="J287" s="17"/>
      <c r="K287" s="18"/>
      <c r="L287" s="18"/>
      <c r="M287" s="17"/>
      <c r="N287" s="17"/>
      <c r="O287" s="17"/>
      <c r="P287" s="17"/>
      <c r="Q287" s="169"/>
      <c r="R287" s="24"/>
      <c r="S287" s="24"/>
      <c r="T287" s="24"/>
      <c r="U287" s="25"/>
      <c r="V287" s="25"/>
      <c r="W287" s="25"/>
      <c r="X287" s="24"/>
      <c r="Y287" s="24"/>
      <c r="Z287" s="24"/>
      <c r="AA287" s="24"/>
      <c r="AB287" s="24"/>
      <c r="AC287" s="24"/>
      <c r="AD287" s="361">
        <f t="shared" si="62"/>
        <v>0</v>
      </c>
      <c r="AE287" s="359" t="str">
        <f t="shared" si="65"/>
        <v/>
      </c>
      <c r="AF287" s="359" t="str">
        <f t="shared" si="74"/>
        <v/>
      </c>
      <c r="AG287" s="359" t="str">
        <f t="shared" si="66"/>
        <v/>
      </c>
      <c r="AH287" s="359" t="str">
        <f t="shared" si="67"/>
        <v/>
      </c>
      <c r="AI287" s="359" t="str">
        <f t="shared" si="68"/>
        <v/>
      </c>
      <c r="AJ287" s="359" t="str">
        <f t="shared" si="69"/>
        <v/>
      </c>
      <c r="AK287" s="359" t="str">
        <f t="shared" si="71"/>
        <v/>
      </c>
      <c r="AL287" s="359" t="str">
        <f t="shared" si="70"/>
        <v/>
      </c>
      <c r="AM287" s="359" t="str">
        <f t="shared" si="72"/>
        <v/>
      </c>
      <c r="AN287" s="262">
        <f t="shared" si="75"/>
        <v>0</v>
      </c>
      <c r="AO287" s="262" t="str">
        <f>IFERROR(HLOOKUP(AN287,'Ref Lists'!Q$1:AL$2,2,FALSE),'Ref Lists'!$AK$2)</f>
        <v>Savings21</v>
      </c>
      <c r="AP287" s="38"/>
      <c r="AQ287" s="38">
        <f t="shared" si="64"/>
        <v>0</v>
      </c>
      <c r="AR287" s="38"/>
      <c r="AS287" s="38"/>
      <c r="AT287" s="38"/>
      <c r="AU287" s="38"/>
      <c r="AV287" s="38"/>
      <c r="AW287" s="38"/>
      <c r="AX287" s="38"/>
      <c r="AY287" s="38"/>
      <c r="AZ287" s="38"/>
      <c r="BA287" s="38"/>
      <c r="BB287" s="38"/>
      <c r="BC287" s="38"/>
      <c r="BD287" s="38"/>
      <c r="BE287" s="38"/>
      <c r="BF287" s="38"/>
      <c r="BG287" s="38"/>
      <c r="BH287" s="38"/>
      <c r="BI287" s="38"/>
      <c r="BJ287" s="38"/>
      <c r="BK287" s="38"/>
      <c r="BL287" s="38"/>
      <c r="BM287" s="38"/>
      <c r="BN287" s="38"/>
      <c r="BO287" s="38"/>
      <c r="BP287" s="38"/>
      <c r="BQ287" s="38"/>
      <c r="BR287" s="38"/>
      <c r="BS287" s="38"/>
      <c r="BT287" s="38"/>
      <c r="BU287" s="38"/>
      <c r="BV287" s="38"/>
      <c r="BW287" s="38"/>
      <c r="BX287" s="38"/>
      <c r="BY287" s="38"/>
      <c r="BZ287" s="38"/>
      <c r="CA287" s="38"/>
      <c r="CB287" s="38"/>
      <c r="CC287" s="38"/>
      <c r="CD287" s="38"/>
      <c r="CE287" s="38"/>
      <c r="CF287" s="38"/>
      <c r="CG287" s="38"/>
      <c r="CH287" s="38"/>
      <c r="CI287" s="38"/>
      <c r="CJ287" s="38"/>
      <c r="CK287" s="38"/>
      <c r="CL287" s="38"/>
      <c r="CM287" s="38"/>
      <c r="CN287" s="38"/>
      <c r="CO287" s="38"/>
      <c r="CP287" s="38"/>
      <c r="CQ287" s="38"/>
      <c r="CR287" s="38"/>
      <c r="CS287" s="38"/>
      <c r="CT287" s="38"/>
      <c r="CU287" s="38"/>
      <c r="CV287" s="38"/>
      <c r="CW287" s="38"/>
      <c r="CX287" s="38"/>
      <c r="CY287" s="38"/>
      <c r="CZ287" s="38"/>
    </row>
    <row r="288" spans="1:104" s="40" customFormat="1" ht="20.149999999999999" customHeight="1">
      <c r="A288" s="358">
        <f t="shared" si="73"/>
        <v>287</v>
      </c>
      <c r="B288" s="359" t="str">
        <f>'Front Sheet and Checklist'!$C$5</f>
        <v>Swansea Bay UHB</v>
      </c>
      <c r="C288" s="17"/>
      <c r="D288" s="17"/>
      <c r="E288" s="17"/>
      <c r="F288" s="17"/>
      <c r="G288" s="17"/>
      <c r="H288" s="17"/>
      <c r="I288" s="361">
        <f t="shared" si="63"/>
        <v>0</v>
      </c>
      <c r="J288" s="17"/>
      <c r="K288" s="18"/>
      <c r="L288" s="18"/>
      <c r="M288" s="17"/>
      <c r="N288" s="17"/>
      <c r="O288" s="17"/>
      <c r="P288" s="17"/>
      <c r="Q288" s="169"/>
      <c r="R288" s="24"/>
      <c r="S288" s="24"/>
      <c r="T288" s="24"/>
      <c r="U288" s="25"/>
      <c r="V288" s="25"/>
      <c r="W288" s="25"/>
      <c r="X288" s="24"/>
      <c r="Y288" s="24"/>
      <c r="Z288" s="24"/>
      <c r="AA288" s="24"/>
      <c r="AB288" s="24"/>
      <c r="AC288" s="24"/>
      <c r="AD288" s="361">
        <f t="shared" si="62"/>
        <v>0</v>
      </c>
      <c r="AE288" s="359" t="str">
        <f t="shared" si="65"/>
        <v/>
      </c>
      <c r="AF288" s="359" t="str">
        <f t="shared" si="74"/>
        <v/>
      </c>
      <c r="AG288" s="359" t="str">
        <f t="shared" si="66"/>
        <v/>
      </c>
      <c r="AH288" s="359" t="str">
        <f t="shared" si="67"/>
        <v/>
      </c>
      <c r="AI288" s="359" t="str">
        <f t="shared" si="68"/>
        <v/>
      </c>
      <c r="AJ288" s="359" t="str">
        <f t="shared" si="69"/>
        <v/>
      </c>
      <c r="AK288" s="359" t="str">
        <f t="shared" si="71"/>
        <v/>
      </c>
      <c r="AL288" s="359" t="str">
        <f t="shared" si="70"/>
        <v/>
      </c>
      <c r="AM288" s="359" t="str">
        <f t="shared" si="72"/>
        <v/>
      </c>
      <c r="AN288" s="262">
        <f t="shared" si="75"/>
        <v>0</v>
      </c>
      <c r="AO288" s="262" t="str">
        <f>IFERROR(HLOOKUP(AN288,'Ref Lists'!Q$1:AL$2,2,FALSE),'Ref Lists'!$AK$2)</f>
        <v>Savings21</v>
      </c>
      <c r="AP288" s="38"/>
      <c r="AQ288" s="38">
        <f t="shared" si="64"/>
        <v>0</v>
      </c>
      <c r="AR288" s="38"/>
      <c r="AS288" s="38"/>
      <c r="AT288" s="38"/>
      <c r="AU288" s="38"/>
      <c r="AV288" s="38"/>
      <c r="AW288" s="38"/>
      <c r="AX288" s="38"/>
      <c r="AY288" s="38"/>
      <c r="AZ288" s="38"/>
      <c r="BA288" s="38"/>
      <c r="BB288" s="38"/>
      <c r="BC288" s="38"/>
      <c r="BD288" s="38"/>
      <c r="BE288" s="38"/>
      <c r="BF288" s="38"/>
      <c r="BG288" s="38"/>
      <c r="BH288" s="38"/>
      <c r="BI288" s="38"/>
      <c r="BJ288" s="38"/>
      <c r="BK288" s="38"/>
      <c r="BL288" s="38"/>
      <c r="BM288" s="38"/>
      <c r="BN288" s="38"/>
      <c r="BO288" s="38"/>
      <c r="BP288" s="38"/>
      <c r="BQ288" s="38"/>
      <c r="BR288" s="38"/>
      <c r="BS288" s="38"/>
      <c r="BT288" s="38"/>
      <c r="BU288" s="38"/>
      <c r="BV288" s="38"/>
      <c r="BW288" s="38"/>
      <c r="BX288" s="38"/>
      <c r="BY288" s="38"/>
      <c r="BZ288" s="38"/>
      <c r="CA288" s="38"/>
      <c r="CB288" s="38"/>
      <c r="CC288" s="38"/>
      <c r="CD288" s="38"/>
      <c r="CE288" s="38"/>
      <c r="CF288" s="38"/>
      <c r="CG288" s="38"/>
      <c r="CH288" s="38"/>
      <c r="CI288" s="38"/>
      <c r="CJ288" s="38"/>
      <c r="CK288" s="38"/>
      <c r="CL288" s="38"/>
      <c r="CM288" s="38"/>
      <c r="CN288" s="38"/>
      <c r="CO288" s="38"/>
      <c r="CP288" s="38"/>
      <c r="CQ288" s="38"/>
      <c r="CR288" s="38"/>
      <c r="CS288" s="38"/>
      <c r="CT288" s="38"/>
      <c r="CU288" s="38"/>
      <c r="CV288" s="38"/>
      <c r="CW288" s="38"/>
      <c r="CX288" s="38"/>
      <c r="CY288" s="38"/>
      <c r="CZ288" s="38"/>
    </row>
    <row r="289" spans="1:104" s="40" customFormat="1" ht="20.149999999999999" customHeight="1">
      <c r="A289" s="358">
        <f t="shared" si="73"/>
        <v>288</v>
      </c>
      <c r="B289" s="359" t="str">
        <f>'Front Sheet and Checklist'!$C$5</f>
        <v>Swansea Bay UHB</v>
      </c>
      <c r="C289" s="17"/>
      <c r="D289" s="17"/>
      <c r="E289" s="17"/>
      <c r="F289" s="17"/>
      <c r="G289" s="17"/>
      <c r="H289" s="17"/>
      <c r="I289" s="361">
        <f t="shared" si="63"/>
        <v>0</v>
      </c>
      <c r="J289" s="17"/>
      <c r="K289" s="18"/>
      <c r="L289" s="18"/>
      <c r="M289" s="17"/>
      <c r="N289" s="17"/>
      <c r="O289" s="17"/>
      <c r="P289" s="17"/>
      <c r="Q289" s="169"/>
      <c r="R289" s="24"/>
      <c r="S289" s="24"/>
      <c r="T289" s="24"/>
      <c r="U289" s="25"/>
      <c r="V289" s="25"/>
      <c r="W289" s="25"/>
      <c r="X289" s="24"/>
      <c r="Y289" s="24"/>
      <c r="Z289" s="24"/>
      <c r="AA289" s="24"/>
      <c r="AB289" s="24"/>
      <c r="AC289" s="24"/>
      <c r="AD289" s="361">
        <f t="shared" si="62"/>
        <v>0</v>
      </c>
      <c r="AE289" s="359" t="str">
        <f t="shared" si="65"/>
        <v/>
      </c>
      <c r="AF289" s="359" t="str">
        <f t="shared" si="74"/>
        <v/>
      </c>
      <c r="AG289" s="359" t="str">
        <f t="shared" si="66"/>
        <v/>
      </c>
      <c r="AH289" s="359" t="str">
        <f t="shared" si="67"/>
        <v/>
      </c>
      <c r="AI289" s="359" t="str">
        <f t="shared" si="68"/>
        <v/>
      </c>
      <c r="AJ289" s="359" t="str">
        <f t="shared" si="69"/>
        <v/>
      </c>
      <c r="AK289" s="359" t="str">
        <f t="shared" si="71"/>
        <v/>
      </c>
      <c r="AL289" s="359" t="str">
        <f t="shared" si="70"/>
        <v/>
      </c>
      <c r="AM289" s="359" t="str">
        <f t="shared" si="72"/>
        <v/>
      </c>
      <c r="AN289" s="262">
        <f t="shared" si="75"/>
        <v>0</v>
      </c>
      <c r="AO289" s="262" t="str">
        <f>IFERROR(HLOOKUP(AN289,'Ref Lists'!Q$1:AL$2,2,FALSE),'Ref Lists'!$AK$2)</f>
        <v>Savings21</v>
      </c>
      <c r="AP289" s="38"/>
      <c r="AQ289" s="38">
        <f t="shared" si="64"/>
        <v>0</v>
      </c>
      <c r="AR289" s="38"/>
      <c r="AS289" s="38"/>
      <c r="AT289" s="38"/>
      <c r="AU289" s="38"/>
      <c r="AV289" s="38"/>
      <c r="AW289" s="38"/>
      <c r="AX289" s="38"/>
      <c r="AY289" s="38"/>
      <c r="AZ289" s="38"/>
      <c r="BA289" s="38"/>
      <c r="BB289" s="38"/>
      <c r="BC289" s="38"/>
      <c r="BD289" s="38"/>
      <c r="BE289" s="38"/>
      <c r="BF289" s="38"/>
      <c r="BG289" s="38"/>
      <c r="BH289" s="38"/>
      <c r="BI289" s="38"/>
      <c r="BJ289" s="38"/>
      <c r="BK289" s="38"/>
      <c r="BL289" s="38"/>
      <c r="BM289" s="38"/>
      <c r="BN289" s="38"/>
      <c r="BO289" s="38"/>
      <c r="BP289" s="38"/>
      <c r="BQ289" s="38"/>
      <c r="BR289" s="38"/>
      <c r="BS289" s="38"/>
      <c r="BT289" s="38"/>
      <c r="BU289" s="38"/>
      <c r="BV289" s="38"/>
      <c r="BW289" s="38"/>
      <c r="BX289" s="38"/>
      <c r="BY289" s="38"/>
      <c r="BZ289" s="38"/>
      <c r="CA289" s="38"/>
      <c r="CB289" s="38"/>
      <c r="CC289" s="38"/>
      <c r="CD289" s="38"/>
      <c r="CE289" s="38"/>
      <c r="CF289" s="38"/>
      <c r="CG289" s="38"/>
      <c r="CH289" s="38"/>
      <c r="CI289" s="38"/>
      <c r="CJ289" s="38"/>
      <c r="CK289" s="38"/>
      <c r="CL289" s="38"/>
      <c r="CM289" s="38"/>
      <c r="CN289" s="38"/>
      <c r="CO289" s="38"/>
      <c r="CP289" s="38"/>
      <c r="CQ289" s="38"/>
      <c r="CR289" s="38"/>
      <c r="CS289" s="38"/>
      <c r="CT289" s="38"/>
      <c r="CU289" s="38"/>
      <c r="CV289" s="38"/>
      <c r="CW289" s="38"/>
      <c r="CX289" s="38"/>
      <c r="CY289" s="38"/>
      <c r="CZ289" s="38"/>
    </row>
    <row r="290" spans="1:104" s="40" customFormat="1" ht="20.149999999999999" customHeight="1">
      <c r="A290" s="358">
        <f t="shared" si="73"/>
        <v>289</v>
      </c>
      <c r="B290" s="359" t="str">
        <f>'Front Sheet and Checklist'!$C$5</f>
        <v>Swansea Bay UHB</v>
      </c>
      <c r="C290" s="17"/>
      <c r="D290" s="17"/>
      <c r="E290" s="17"/>
      <c r="F290" s="17"/>
      <c r="G290" s="17"/>
      <c r="H290" s="17"/>
      <c r="I290" s="361">
        <f t="shared" si="63"/>
        <v>0</v>
      </c>
      <c r="J290" s="17"/>
      <c r="K290" s="18"/>
      <c r="L290" s="18"/>
      <c r="M290" s="17"/>
      <c r="N290" s="17"/>
      <c r="O290" s="17"/>
      <c r="P290" s="17"/>
      <c r="Q290" s="169"/>
      <c r="R290" s="24"/>
      <c r="S290" s="24"/>
      <c r="T290" s="24"/>
      <c r="U290" s="25"/>
      <c r="V290" s="25"/>
      <c r="W290" s="25"/>
      <c r="X290" s="24"/>
      <c r="Y290" s="24"/>
      <c r="Z290" s="24"/>
      <c r="AA290" s="24"/>
      <c r="AB290" s="24"/>
      <c r="AC290" s="24"/>
      <c r="AD290" s="361">
        <f t="shared" si="62"/>
        <v>0</v>
      </c>
      <c r="AE290" s="359" t="str">
        <f t="shared" si="65"/>
        <v/>
      </c>
      <c r="AF290" s="359" t="str">
        <f t="shared" si="74"/>
        <v/>
      </c>
      <c r="AG290" s="359" t="str">
        <f t="shared" si="66"/>
        <v/>
      </c>
      <c r="AH290" s="359" t="str">
        <f t="shared" si="67"/>
        <v/>
      </c>
      <c r="AI290" s="359" t="str">
        <f t="shared" si="68"/>
        <v/>
      </c>
      <c r="AJ290" s="359" t="str">
        <f t="shared" si="69"/>
        <v/>
      </c>
      <c r="AK290" s="359" t="str">
        <f t="shared" si="71"/>
        <v/>
      </c>
      <c r="AL290" s="359" t="str">
        <f t="shared" si="70"/>
        <v/>
      </c>
      <c r="AM290" s="359" t="str">
        <f t="shared" si="72"/>
        <v/>
      </c>
      <c r="AN290" s="262">
        <f t="shared" si="75"/>
        <v>0</v>
      </c>
      <c r="AO290" s="262" t="str">
        <f>IFERROR(HLOOKUP(AN290,'Ref Lists'!Q$1:AL$2,2,FALSE),'Ref Lists'!$AK$2)</f>
        <v>Savings21</v>
      </c>
      <c r="AP290" s="38"/>
      <c r="AQ290" s="38">
        <f t="shared" si="64"/>
        <v>0</v>
      </c>
      <c r="AR290" s="38"/>
      <c r="AS290" s="38"/>
      <c r="AT290" s="38"/>
      <c r="AU290" s="38"/>
      <c r="AV290" s="38"/>
      <c r="AW290" s="38"/>
      <c r="AX290" s="38"/>
      <c r="AY290" s="38"/>
      <c r="AZ290" s="38"/>
      <c r="BA290" s="38"/>
      <c r="BB290" s="38"/>
      <c r="BC290" s="38"/>
      <c r="BD290" s="38"/>
      <c r="BE290" s="38"/>
      <c r="BF290" s="38"/>
      <c r="BG290" s="38"/>
      <c r="BH290" s="38"/>
      <c r="BI290" s="38"/>
      <c r="BJ290" s="38"/>
      <c r="BK290" s="38"/>
      <c r="BL290" s="38"/>
      <c r="BM290" s="38"/>
      <c r="BN290" s="38"/>
      <c r="BO290" s="38"/>
      <c r="BP290" s="38"/>
      <c r="BQ290" s="38"/>
      <c r="BR290" s="38"/>
      <c r="BS290" s="38"/>
      <c r="BT290" s="38"/>
      <c r="BU290" s="38"/>
      <c r="BV290" s="38"/>
      <c r="BW290" s="38"/>
      <c r="BX290" s="38"/>
      <c r="BY290" s="38"/>
      <c r="BZ290" s="38"/>
      <c r="CA290" s="38"/>
      <c r="CB290" s="38"/>
      <c r="CC290" s="38"/>
      <c r="CD290" s="38"/>
      <c r="CE290" s="38"/>
      <c r="CF290" s="38"/>
      <c r="CG290" s="38"/>
      <c r="CH290" s="38"/>
      <c r="CI290" s="38"/>
      <c r="CJ290" s="38"/>
      <c r="CK290" s="38"/>
      <c r="CL290" s="38"/>
      <c r="CM290" s="38"/>
      <c r="CN290" s="38"/>
      <c r="CO290" s="38"/>
      <c r="CP290" s="38"/>
      <c r="CQ290" s="38"/>
      <c r="CR290" s="38"/>
      <c r="CS290" s="38"/>
      <c r="CT290" s="38"/>
      <c r="CU290" s="38"/>
      <c r="CV290" s="38"/>
      <c r="CW290" s="38"/>
      <c r="CX290" s="38"/>
      <c r="CY290" s="38"/>
      <c r="CZ290" s="38"/>
    </row>
    <row r="291" spans="1:104" s="40" customFormat="1" ht="20.149999999999999" customHeight="1">
      <c r="A291" s="358">
        <f t="shared" si="73"/>
        <v>290</v>
      </c>
      <c r="B291" s="359" t="str">
        <f>'Front Sheet and Checklist'!$C$5</f>
        <v>Swansea Bay UHB</v>
      </c>
      <c r="C291" s="17"/>
      <c r="D291" s="17"/>
      <c r="E291" s="17"/>
      <c r="F291" s="17"/>
      <c r="G291" s="17"/>
      <c r="H291" s="17"/>
      <c r="I291" s="361">
        <f t="shared" si="63"/>
        <v>0</v>
      </c>
      <c r="J291" s="17"/>
      <c r="K291" s="18"/>
      <c r="L291" s="18"/>
      <c r="M291" s="17"/>
      <c r="N291" s="17"/>
      <c r="O291" s="17"/>
      <c r="P291" s="17"/>
      <c r="Q291" s="169"/>
      <c r="R291" s="24"/>
      <c r="S291" s="24"/>
      <c r="T291" s="24"/>
      <c r="U291" s="25"/>
      <c r="V291" s="25"/>
      <c r="W291" s="25"/>
      <c r="X291" s="24"/>
      <c r="Y291" s="24"/>
      <c r="Z291" s="24"/>
      <c r="AA291" s="24"/>
      <c r="AB291" s="24"/>
      <c r="AC291" s="24"/>
      <c r="AD291" s="361">
        <f t="shared" si="62"/>
        <v>0</v>
      </c>
      <c r="AE291" s="359" t="str">
        <f t="shared" si="65"/>
        <v/>
      </c>
      <c r="AF291" s="359" t="str">
        <f t="shared" si="74"/>
        <v/>
      </c>
      <c r="AG291" s="359" t="str">
        <f t="shared" si="66"/>
        <v/>
      </c>
      <c r="AH291" s="359" t="str">
        <f t="shared" si="67"/>
        <v/>
      </c>
      <c r="AI291" s="359" t="str">
        <f t="shared" si="68"/>
        <v/>
      </c>
      <c r="AJ291" s="359" t="str">
        <f t="shared" si="69"/>
        <v/>
      </c>
      <c r="AK291" s="359" t="str">
        <f t="shared" si="71"/>
        <v/>
      </c>
      <c r="AL291" s="359" t="str">
        <f t="shared" si="70"/>
        <v/>
      </c>
      <c r="AM291" s="359" t="str">
        <f t="shared" si="72"/>
        <v/>
      </c>
      <c r="AN291" s="262">
        <f t="shared" si="75"/>
        <v>0</v>
      </c>
      <c r="AO291" s="262" t="str">
        <f>IFERROR(HLOOKUP(AN291,'Ref Lists'!Q$1:AL$2,2,FALSE),'Ref Lists'!$AK$2)</f>
        <v>Savings21</v>
      </c>
      <c r="AP291" s="38"/>
      <c r="AQ291" s="38">
        <f t="shared" si="64"/>
        <v>0</v>
      </c>
      <c r="AR291" s="38"/>
      <c r="AS291" s="38"/>
      <c r="AT291" s="38"/>
      <c r="AU291" s="38"/>
      <c r="AV291" s="38"/>
      <c r="AW291" s="38"/>
      <c r="AX291" s="38"/>
      <c r="AY291" s="38"/>
      <c r="AZ291" s="38"/>
      <c r="BA291" s="38"/>
      <c r="BB291" s="38"/>
      <c r="BC291" s="38"/>
      <c r="BD291" s="38"/>
      <c r="BE291" s="38"/>
      <c r="BF291" s="38"/>
      <c r="BG291" s="38"/>
      <c r="BH291" s="38"/>
      <c r="BI291" s="38"/>
      <c r="BJ291" s="38"/>
      <c r="BK291" s="38"/>
      <c r="BL291" s="38"/>
      <c r="BM291" s="38"/>
      <c r="BN291" s="38"/>
      <c r="BO291" s="38"/>
      <c r="BP291" s="38"/>
      <c r="BQ291" s="38"/>
      <c r="BR291" s="38"/>
      <c r="BS291" s="38"/>
      <c r="BT291" s="38"/>
      <c r="BU291" s="38"/>
      <c r="BV291" s="38"/>
      <c r="BW291" s="38"/>
      <c r="BX291" s="38"/>
      <c r="BY291" s="38"/>
      <c r="BZ291" s="38"/>
      <c r="CA291" s="38"/>
      <c r="CB291" s="38"/>
      <c r="CC291" s="38"/>
      <c r="CD291" s="38"/>
      <c r="CE291" s="38"/>
      <c r="CF291" s="38"/>
      <c r="CG291" s="38"/>
      <c r="CH291" s="38"/>
      <c r="CI291" s="38"/>
      <c r="CJ291" s="38"/>
      <c r="CK291" s="38"/>
      <c r="CL291" s="38"/>
      <c r="CM291" s="38"/>
      <c r="CN291" s="38"/>
      <c r="CO291" s="38"/>
      <c r="CP291" s="38"/>
      <c r="CQ291" s="38"/>
      <c r="CR291" s="38"/>
      <c r="CS291" s="38"/>
      <c r="CT291" s="38"/>
      <c r="CU291" s="38"/>
      <c r="CV291" s="38"/>
      <c r="CW291" s="38"/>
      <c r="CX291" s="38"/>
      <c r="CY291" s="38"/>
      <c r="CZ291" s="38"/>
    </row>
    <row r="292" spans="1:104" s="40" customFormat="1" ht="20.149999999999999" customHeight="1">
      <c r="A292" s="358">
        <f t="shared" si="73"/>
        <v>291</v>
      </c>
      <c r="B292" s="359" t="str">
        <f>'Front Sheet and Checklist'!$C$5</f>
        <v>Swansea Bay UHB</v>
      </c>
      <c r="C292" s="17"/>
      <c r="D292" s="17"/>
      <c r="E292" s="17"/>
      <c r="F292" s="17"/>
      <c r="G292" s="17"/>
      <c r="H292" s="17"/>
      <c r="I292" s="361">
        <f t="shared" si="63"/>
        <v>0</v>
      </c>
      <c r="J292" s="17"/>
      <c r="K292" s="18"/>
      <c r="L292" s="18"/>
      <c r="M292" s="17"/>
      <c r="N292" s="17"/>
      <c r="O292" s="17"/>
      <c r="P292" s="17"/>
      <c r="Q292" s="169"/>
      <c r="R292" s="24"/>
      <c r="S292" s="24"/>
      <c r="T292" s="24"/>
      <c r="U292" s="25"/>
      <c r="V292" s="25"/>
      <c r="W292" s="25"/>
      <c r="X292" s="24"/>
      <c r="Y292" s="24"/>
      <c r="Z292" s="24"/>
      <c r="AA292" s="24"/>
      <c r="AB292" s="24"/>
      <c r="AC292" s="24"/>
      <c r="AD292" s="361">
        <f t="shared" si="62"/>
        <v>0</v>
      </c>
      <c r="AE292" s="359" t="str">
        <f t="shared" si="65"/>
        <v/>
      </c>
      <c r="AF292" s="359" t="str">
        <f t="shared" si="74"/>
        <v/>
      </c>
      <c r="AG292" s="359" t="str">
        <f t="shared" si="66"/>
        <v/>
      </c>
      <c r="AH292" s="359" t="str">
        <f t="shared" si="67"/>
        <v/>
      </c>
      <c r="AI292" s="359" t="str">
        <f t="shared" si="68"/>
        <v/>
      </c>
      <c r="AJ292" s="359" t="str">
        <f t="shared" si="69"/>
        <v/>
      </c>
      <c r="AK292" s="359" t="str">
        <f t="shared" si="71"/>
        <v/>
      </c>
      <c r="AL292" s="359" t="str">
        <f t="shared" si="70"/>
        <v/>
      </c>
      <c r="AM292" s="359" t="str">
        <f t="shared" si="72"/>
        <v/>
      </c>
      <c r="AN292" s="262">
        <f t="shared" si="75"/>
        <v>0</v>
      </c>
      <c r="AO292" s="262" t="str">
        <f>IFERROR(HLOOKUP(AN292,'Ref Lists'!Q$1:AL$2,2,FALSE),'Ref Lists'!$AK$2)</f>
        <v>Savings21</v>
      </c>
      <c r="AP292" s="38"/>
      <c r="AQ292" s="38">
        <f t="shared" si="64"/>
        <v>0</v>
      </c>
      <c r="AR292" s="38"/>
      <c r="AS292" s="38"/>
      <c r="AT292" s="38"/>
      <c r="AU292" s="38"/>
      <c r="AV292" s="38"/>
      <c r="AW292" s="38"/>
      <c r="AX292" s="38"/>
      <c r="AY292" s="38"/>
      <c r="AZ292" s="38"/>
      <c r="BA292" s="38"/>
      <c r="BB292" s="38"/>
      <c r="BC292" s="38"/>
      <c r="BD292" s="38"/>
      <c r="BE292" s="38"/>
      <c r="BF292" s="38"/>
      <c r="BG292" s="38"/>
      <c r="BH292" s="38"/>
      <c r="BI292" s="38"/>
      <c r="BJ292" s="38"/>
      <c r="BK292" s="38"/>
      <c r="BL292" s="38"/>
      <c r="BM292" s="38"/>
      <c r="BN292" s="38"/>
      <c r="BO292" s="38"/>
      <c r="BP292" s="38"/>
      <c r="BQ292" s="38"/>
      <c r="BR292" s="38"/>
      <c r="BS292" s="38"/>
      <c r="BT292" s="38"/>
      <c r="BU292" s="38"/>
      <c r="BV292" s="38"/>
      <c r="BW292" s="38"/>
      <c r="BX292" s="38"/>
      <c r="BY292" s="38"/>
      <c r="BZ292" s="38"/>
      <c r="CA292" s="38"/>
      <c r="CB292" s="38"/>
      <c r="CC292" s="38"/>
      <c r="CD292" s="38"/>
      <c r="CE292" s="38"/>
      <c r="CF292" s="38"/>
      <c r="CG292" s="38"/>
      <c r="CH292" s="38"/>
      <c r="CI292" s="38"/>
      <c r="CJ292" s="38"/>
      <c r="CK292" s="38"/>
      <c r="CL292" s="38"/>
      <c r="CM292" s="38"/>
      <c r="CN292" s="38"/>
      <c r="CO292" s="38"/>
      <c r="CP292" s="38"/>
      <c r="CQ292" s="38"/>
      <c r="CR292" s="38"/>
      <c r="CS292" s="38"/>
      <c r="CT292" s="38"/>
      <c r="CU292" s="38"/>
      <c r="CV292" s="38"/>
      <c r="CW292" s="38"/>
      <c r="CX292" s="38"/>
      <c r="CY292" s="38"/>
      <c r="CZ292" s="38"/>
    </row>
    <row r="293" spans="1:104" s="40" customFormat="1" ht="20.149999999999999" customHeight="1">
      <c r="A293" s="358">
        <f t="shared" si="73"/>
        <v>292</v>
      </c>
      <c r="B293" s="359" t="str">
        <f>'Front Sheet and Checklist'!$C$5</f>
        <v>Swansea Bay UHB</v>
      </c>
      <c r="C293" s="17"/>
      <c r="D293" s="17"/>
      <c r="E293" s="17"/>
      <c r="F293" s="17"/>
      <c r="G293" s="17"/>
      <c r="H293" s="17"/>
      <c r="I293" s="361">
        <f t="shared" si="63"/>
        <v>0</v>
      </c>
      <c r="J293" s="17"/>
      <c r="K293" s="18"/>
      <c r="L293" s="18"/>
      <c r="M293" s="17"/>
      <c r="N293" s="17"/>
      <c r="O293" s="17"/>
      <c r="P293" s="17"/>
      <c r="Q293" s="169"/>
      <c r="R293" s="24"/>
      <c r="S293" s="24"/>
      <c r="T293" s="24"/>
      <c r="U293" s="25"/>
      <c r="V293" s="25"/>
      <c r="W293" s="25"/>
      <c r="X293" s="24"/>
      <c r="Y293" s="24"/>
      <c r="Z293" s="24"/>
      <c r="AA293" s="24"/>
      <c r="AB293" s="24"/>
      <c r="AC293" s="24"/>
      <c r="AD293" s="361">
        <f t="shared" si="62"/>
        <v>0</v>
      </c>
      <c r="AE293" s="359" t="str">
        <f t="shared" si="65"/>
        <v/>
      </c>
      <c r="AF293" s="359" t="str">
        <f t="shared" si="74"/>
        <v/>
      </c>
      <c r="AG293" s="359" t="str">
        <f t="shared" si="66"/>
        <v/>
      </c>
      <c r="AH293" s="359" t="str">
        <f t="shared" si="67"/>
        <v/>
      </c>
      <c r="AI293" s="359" t="str">
        <f t="shared" si="68"/>
        <v/>
      </c>
      <c r="AJ293" s="359" t="str">
        <f t="shared" si="69"/>
        <v/>
      </c>
      <c r="AK293" s="359" t="str">
        <f t="shared" si="71"/>
        <v/>
      </c>
      <c r="AL293" s="359" t="str">
        <f t="shared" si="70"/>
        <v/>
      </c>
      <c r="AM293" s="359" t="str">
        <f t="shared" si="72"/>
        <v/>
      </c>
      <c r="AN293" s="262">
        <f t="shared" si="75"/>
        <v>0</v>
      </c>
      <c r="AO293" s="262" t="str">
        <f>IFERROR(HLOOKUP(AN293,'Ref Lists'!Q$1:AL$2,2,FALSE),'Ref Lists'!$AK$2)</f>
        <v>Savings21</v>
      </c>
      <c r="AP293" s="38"/>
      <c r="AQ293" s="38">
        <f t="shared" si="64"/>
        <v>0</v>
      </c>
      <c r="AR293" s="38"/>
      <c r="AS293" s="38"/>
      <c r="AT293" s="38"/>
      <c r="AU293" s="38"/>
      <c r="AV293" s="38"/>
      <c r="AW293" s="38"/>
      <c r="AX293" s="38"/>
      <c r="AY293" s="38"/>
      <c r="AZ293" s="38"/>
      <c r="BA293" s="38"/>
      <c r="BB293" s="38"/>
      <c r="BC293" s="38"/>
      <c r="BD293" s="38"/>
      <c r="BE293" s="38"/>
      <c r="BF293" s="38"/>
      <c r="BG293" s="38"/>
      <c r="BH293" s="38"/>
      <c r="BI293" s="38"/>
      <c r="BJ293" s="38"/>
      <c r="BK293" s="38"/>
      <c r="BL293" s="38"/>
      <c r="BM293" s="38"/>
      <c r="BN293" s="38"/>
      <c r="BO293" s="38"/>
      <c r="BP293" s="38"/>
      <c r="BQ293" s="38"/>
      <c r="BR293" s="38"/>
      <c r="BS293" s="38"/>
      <c r="BT293" s="38"/>
      <c r="BU293" s="38"/>
      <c r="BV293" s="38"/>
      <c r="BW293" s="38"/>
      <c r="BX293" s="38"/>
      <c r="BY293" s="38"/>
      <c r="BZ293" s="38"/>
      <c r="CA293" s="38"/>
      <c r="CB293" s="38"/>
      <c r="CC293" s="38"/>
      <c r="CD293" s="38"/>
      <c r="CE293" s="38"/>
      <c r="CF293" s="38"/>
      <c r="CG293" s="38"/>
      <c r="CH293" s="38"/>
      <c r="CI293" s="38"/>
      <c r="CJ293" s="38"/>
      <c r="CK293" s="38"/>
      <c r="CL293" s="38"/>
      <c r="CM293" s="38"/>
      <c r="CN293" s="38"/>
      <c r="CO293" s="38"/>
      <c r="CP293" s="38"/>
      <c r="CQ293" s="38"/>
      <c r="CR293" s="38"/>
      <c r="CS293" s="38"/>
      <c r="CT293" s="38"/>
      <c r="CU293" s="38"/>
      <c r="CV293" s="38"/>
      <c r="CW293" s="38"/>
      <c r="CX293" s="38"/>
      <c r="CY293" s="38"/>
      <c r="CZ293" s="38"/>
    </row>
    <row r="294" spans="1:104" s="40" customFormat="1" ht="20.149999999999999" customHeight="1">
      <c r="A294" s="358">
        <f t="shared" si="73"/>
        <v>293</v>
      </c>
      <c r="B294" s="359" t="str">
        <f>'Front Sheet and Checklist'!$C$5</f>
        <v>Swansea Bay UHB</v>
      </c>
      <c r="C294" s="17"/>
      <c r="D294" s="17"/>
      <c r="E294" s="17"/>
      <c r="F294" s="17"/>
      <c r="G294" s="17"/>
      <c r="H294" s="17"/>
      <c r="I294" s="361">
        <f t="shared" si="63"/>
        <v>0</v>
      </c>
      <c r="J294" s="17"/>
      <c r="K294" s="18"/>
      <c r="L294" s="18"/>
      <c r="M294" s="17"/>
      <c r="N294" s="17"/>
      <c r="O294" s="17"/>
      <c r="P294" s="17"/>
      <c r="Q294" s="169"/>
      <c r="R294" s="24"/>
      <c r="S294" s="24"/>
      <c r="T294" s="24"/>
      <c r="U294" s="25"/>
      <c r="V294" s="25"/>
      <c r="W294" s="25"/>
      <c r="X294" s="24"/>
      <c r="Y294" s="24"/>
      <c r="Z294" s="24"/>
      <c r="AA294" s="24"/>
      <c r="AB294" s="24"/>
      <c r="AC294" s="24"/>
      <c r="AD294" s="361">
        <f t="shared" si="62"/>
        <v>0</v>
      </c>
      <c r="AE294" s="359" t="str">
        <f t="shared" si="65"/>
        <v/>
      </c>
      <c r="AF294" s="359" t="str">
        <f t="shared" si="74"/>
        <v/>
      </c>
      <c r="AG294" s="359" t="str">
        <f t="shared" si="66"/>
        <v/>
      </c>
      <c r="AH294" s="359" t="str">
        <f t="shared" si="67"/>
        <v/>
      </c>
      <c r="AI294" s="359" t="str">
        <f t="shared" si="68"/>
        <v/>
      </c>
      <c r="AJ294" s="359" t="str">
        <f t="shared" si="69"/>
        <v/>
      </c>
      <c r="AK294" s="359" t="str">
        <f t="shared" si="71"/>
        <v/>
      </c>
      <c r="AL294" s="359" t="str">
        <f t="shared" si="70"/>
        <v/>
      </c>
      <c r="AM294" s="359" t="str">
        <f t="shared" si="72"/>
        <v/>
      </c>
      <c r="AN294" s="262">
        <f t="shared" si="75"/>
        <v>0</v>
      </c>
      <c r="AO294" s="262" t="str">
        <f>IFERROR(HLOOKUP(AN294,'Ref Lists'!Q$1:AL$2,2,FALSE),'Ref Lists'!$AK$2)</f>
        <v>Savings21</v>
      </c>
      <c r="AP294" s="38"/>
      <c r="AQ294" s="38">
        <f t="shared" si="64"/>
        <v>0</v>
      </c>
      <c r="AR294" s="38"/>
      <c r="AS294" s="38"/>
      <c r="AT294" s="38"/>
      <c r="AU294" s="38"/>
      <c r="AV294" s="38"/>
      <c r="AW294" s="38"/>
      <c r="AX294" s="38"/>
      <c r="AY294" s="38"/>
      <c r="AZ294" s="38"/>
      <c r="BA294" s="38"/>
      <c r="BB294" s="38"/>
      <c r="BC294" s="38"/>
      <c r="BD294" s="38"/>
      <c r="BE294" s="38"/>
      <c r="BF294" s="38"/>
      <c r="BG294" s="38"/>
      <c r="BH294" s="38"/>
      <c r="BI294" s="38"/>
      <c r="BJ294" s="38"/>
      <c r="BK294" s="38"/>
      <c r="BL294" s="38"/>
      <c r="BM294" s="38"/>
      <c r="BN294" s="38"/>
      <c r="BO294" s="38"/>
      <c r="BP294" s="38"/>
      <c r="BQ294" s="38"/>
      <c r="BR294" s="38"/>
      <c r="BS294" s="38"/>
      <c r="BT294" s="38"/>
      <c r="BU294" s="38"/>
      <c r="BV294" s="38"/>
      <c r="BW294" s="38"/>
      <c r="BX294" s="38"/>
      <c r="BY294" s="38"/>
      <c r="BZ294" s="38"/>
      <c r="CA294" s="38"/>
      <c r="CB294" s="38"/>
      <c r="CC294" s="38"/>
      <c r="CD294" s="38"/>
      <c r="CE294" s="38"/>
      <c r="CF294" s="38"/>
      <c r="CG294" s="38"/>
      <c r="CH294" s="38"/>
      <c r="CI294" s="38"/>
      <c r="CJ294" s="38"/>
      <c r="CK294" s="38"/>
      <c r="CL294" s="38"/>
      <c r="CM294" s="38"/>
      <c r="CN294" s="38"/>
      <c r="CO294" s="38"/>
      <c r="CP294" s="38"/>
      <c r="CQ294" s="38"/>
      <c r="CR294" s="38"/>
      <c r="CS294" s="38"/>
      <c r="CT294" s="38"/>
      <c r="CU294" s="38"/>
      <c r="CV294" s="38"/>
      <c r="CW294" s="38"/>
      <c r="CX294" s="38"/>
      <c r="CY294" s="38"/>
      <c r="CZ294" s="38"/>
    </row>
    <row r="295" spans="1:104" s="40" customFormat="1" ht="20.149999999999999" customHeight="1">
      <c r="A295" s="358">
        <f t="shared" si="73"/>
        <v>294</v>
      </c>
      <c r="B295" s="359" t="str">
        <f>'Front Sheet and Checklist'!$C$5</f>
        <v>Swansea Bay UHB</v>
      </c>
      <c r="C295" s="17"/>
      <c r="D295" s="17"/>
      <c r="E295" s="17"/>
      <c r="F295" s="17"/>
      <c r="G295" s="17"/>
      <c r="H295" s="17"/>
      <c r="I295" s="361">
        <f t="shared" si="63"/>
        <v>0</v>
      </c>
      <c r="J295" s="17"/>
      <c r="K295" s="18"/>
      <c r="L295" s="18"/>
      <c r="M295" s="17"/>
      <c r="N295" s="17"/>
      <c r="O295" s="17"/>
      <c r="P295" s="17"/>
      <c r="Q295" s="169"/>
      <c r="R295" s="24"/>
      <c r="S295" s="24"/>
      <c r="T295" s="24"/>
      <c r="U295" s="25"/>
      <c r="V295" s="25"/>
      <c r="W295" s="25"/>
      <c r="X295" s="24"/>
      <c r="Y295" s="24"/>
      <c r="Z295" s="24"/>
      <c r="AA295" s="24"/>
      <c r="AB295" s="24"/>
      <c r="AC295" s="24"/>
      <c r="AD295" s="361">
        <f t="shared" si="62"/>
        <v>0</v>
      </c>
      <c r="AE295" s="359" t="str">
        <f t="shared" si="65"/>
        <v/>
      </c>
      <c r="AF295" s="359" t="str">
        <f t="shared" si="74"/>
        <v/>
      </c>
      <c r="AG295" s="359" t="str">
        <f t="shared" si="66"/>
        <v/>
      </c>
      <c r="AH295" s="359" t="str">
        <f t="shared" si="67"/>
        <v/>
      </c>
      <c r="AI295" s="359" t="str">
        <f t="shared" si="68"/>
        <v/>
      </c>
      <c r="AJ295" s="359" t="str">
        <f t="shared" si="69"/>
        <v/>
      </c>
      <c r="AK295" s="359" t="str">
        <f t="shared" si="71"/>
        <v/>
      </c>
      <c r="AL295" s="359" t="str">
        <f t="shared" si="70"/>
        <v/>
      </c>
      <c r="AM295" s="359" t="str">
        <f t="shared" si="72"/>
        <v/>
      </c>
      <c r="AN295" s="262">
        <f t="shared" si="75"/>
        <v>0</v>
      </c>
      <c r="AO295" s="262" t="str">
        <f>IFERROR(HLOOKUP(AN295,'Ref Lists'!Q$1:AL$2,2,FALSE),'Ref Lists'!$AK$2)</f>
        <v>Savings21</v>
      </c>
      <c r="AP295" s="38"/>
      <c r="AQ295" s="38">
        <f t="shared" si="64"/>
        <v>0</v>
      </c>
      <c r="AR295" s="38"/>
      <c r="AS295" s="38"/>
      <c r="AT295" s="38"/>
      <c r="AU295" s="38"/>
      <c r="AV295" s="38"/>
      <c r="AW295" s="38"/>
      <c r="AX295" s="38"/>
      <c r="AY295" s="38"/>
      <c r="AZ295" s="38"/>
      <c r="BA295" s="38"/>
      <c r="BB295" s="38"/>
      <c r="BC295" s="38"/>
      <c r="BD295" s="38"/>
      <c r="BE295" s="38"/>
      <c r="BF295" s="38"/>
      <c r="BG295" s="38"/>
      <c r="BH295" s="38"/>
      <c r="BI295" s="38"/>
      <c r="BJ295" s="38"/>
      <c r="BK295" s="38"/>
      <c r="BL295" s="38"/>
      <c r="BM295" s="38"/>
      <c r="BN295" s="38"/>
      <c r="BO295" s="38"/>
      <c r="BP295" s="38"/>
      <c r="BQ295" s="38"/>
      <c r="BR295" s="38"/>
      <c r="BS295" s="38"/>
      <c r="BT295" s="38"/>
      <c r="BU295" s="38"/>
      <c r="BV295" s="38"/>
      <c r="BW295" s="38"/>
      <c r="BX295" s="38"/>
      <c r="BY295" s="38"/>
      <c r="BZ295" s="38"/>
      <c r="CA295" s="38"/>
      <c r="CB295" s="38"/>
      <c r="CC295" s="38"/>
      <c r="CD295" s="38"/>
      <c r="CE295" s="38"/>
      <c r="CF295" s="38"/>
      <c r="CG295" s="38"/>
      <c r="CH295" s="38"/>
      <c r="CI295" s="38"/>
      <c r="CJ295" s="38"/>
      <c r="CK295" s="38"/>
      <c r="CL295" s="38"/>
      <c r="CM295" s="38"/>
      <c r="CN295" s="38"/>
      <c r="CO295" s="38"/>
      <c r="CP295" s="38"/>
      <c r="CQ295" s="38"/>
      <c r="CR295" s="38"/>
      <c r="CS295" s="38"/>
      <c r="CT295" s="38"/>
      <c r="CU295" s="38"/>
      <c r="CV295" s="38"/>
      <c r="CW295" s="38"/>
      <c r="CX295" s="38"/>
      <c r="CY295" s="38"/>
      <c r="CZ295" s="38"/>
    </row>
    <row r="296" spans="1:104" s="40" customFormat="1" ht="20.149999999999999" customHeight="1">
      <c r="A296" s="358">
        <f t="shared" si="73"/>
        <v>295</v>
      </c>
      <c r="B296" s="359" t="str">
        <f>'Front Sheet and Checklist'!$C$5</f>
        <v>Swansea Bay UHB</v>
      </c>
      <c r="C296" s="17"/>
      <c r="D296" s="17"/>
      <c r="E296" s="17"/>
      <c r="F296" s="17"/>
      <c r="G296" s="17"/>
      <c r="H296" s="17"/>
      <c r="I296" s="361">
        <f t="shared" si="63"/>
        <v>0</v>
      </c>
      <c r="J296" s="17"/>
      <c r="K296" s="18"/>
      <c r="L296" s="18"/>
      <c r="M296" s="17"/>
      <c r="N296" s="17"/>
      <c r="O296" s="17"/>
      <c r="P296" s="17"/>
      <c r="Q296" s="169"/>
      <c r="R296" s="24"/>
      <c r="S296" s="24"/>
      <c r="T296" s="24"/>
      <c r="U296" s="25"/>
      <c r="V296" s="25"/>
      <c r="W296" s="25"/>
      <c r="X296" s="24"/>
      <c r="Y296" s="24"/>
      <c r="Z296" s="24"/>
      <c r="AA296" s="24"/>
      <c r="AB296" s="24"/>
      <c r="AC296" s="24"/>
      <c r="AD296" s="361">
        <f t="shared" si="62"/>
        <v>0</v>
      </c>
      <c r="AE296" s="359" t="str">
        <f t="shared" si="65"/>
        <v/>
      </c>
      <c r="AF296" s="359" t="str">
        <f t="shared" si="74"/>
        <v/>
      </c>
      <c r="AG296" s="359" t="str">
        <f t="shared" si="66"/>
        <v/>
      </c>
      <c r="AH296" s="359" t="str">
        <f t="shared" si="67"/>
        <v/>
      </c>
      <c r="AI296" s="359" t="str">
        <f t="shared" si="68"/>
        <v/>
      </c>
      <c r="AJ296" s="359" t="str">
        <f t="shared" si="69"/>
        <v/>
      </c>
      <c r="AK296" s="359" t="str">
        <f t="shared" si="71"/>
        <v/>
      </c>
      <c r="AL296" s="359" t="str">
        <f t="shared" si="70"/>
        <v/>
      </c>
      <c r="AM296" s="359" t="str">
        <f t="shared" si="72"/>
        <v/>
      </c>
      <c r="AN296" s="262">
        <f t="shared" si="75"/>
        <v>0</v>
      </c>
      <c r="AO296" s="262" t="str">
        <f>IFERROR(HLOOKUP(AN296,'Ref Lists'!Q$1:AL$2,2,FALSE),'Ref Lists'!$AK$2)</f>
        <v>Savings21</v>
      </c>
      <c r="AP296" s="38"/>
      <c r="AQ296" s="38">
        <f t="shared" si="64"/>
        <v>0</v>
      </c>
      <c r="AR296" s="38"/>
      <c r="AS296" s="38"/>
      <c r="AT296" s="38"/>
      <c r="AU296" s="38"/>
      <c r="AV296" s="38"/>
      <c r="AW296" s="38"/>
      <c r="AX296" s="38"/>
      <c r="AY296" s="38"/>
      <c r="AZ296" s="38"/>
      <c r="BA296" s="38"/>
      <c r="BB296" s="38"/>
      <c r="BC296" s="38"/>
      <c r="BD296" s="38"/>
      <c r="BE296" s="38"/>
      <c r="BF296" s="38"/>
      <c r="BG296" s="38"/>
      <c r="BH296" s="38"/>
      <c r="BI296" s="38"/>
      <c r="BJ296" s="38"/>
      <c r="BK296" s="38"/>
      <c r="BL296" s="38"/>
      <c r="BM296" s="38"/>
      <c r="BN296" s="38"/>
      <c r="BO296" s="38"/>
      <c r="BP296" s="38"/>
      <c r="BQ296" s="38"/>
      <c r="BR296" s="38"/>
      <c r="BS296" s="38"/>
      <c r="BT296" s="38"/>
      <c r="BU296" s="38"/>
      <c r="BV296" s="38"/>
      <c r="BW296" s="38"/>
      <c r="BX296" s="38"/>
      <c r="BY296" s="38"/>
      <c r="BZ296" s="38"/>
      <c r="CA296" s="38"/>
      <c r="CB296" s="38"/>
      <c r="CC296" s="38"/>
      <c r="CD296" s="38"/>
      <c r="CE296" s="38"/>
      <c r="CF296" s="38"/>
      <c r="CG296" s="38"/>
      <c r="CH296" s="38"/>
      <c r="CI296" s="38"/>
      <c r="CJ296" s="38"/>
      <c r="CK296" s="38"/>
      <c r="CL296" s="38"/>
      <c r="CM296" s="38"/>
      <c r="CN296" s="38"/>
      <c r="CO296" s="38"/>
      <c r="CP296" s="38"/>
      <c r="CQ296" s="38"/>
      <c r="CR296" s="38"/>
      <c r="CS296" s="38"/>
      <c r="CT296" s="38"/>
      <c r="CU296" s="38"/>
      <c r="CV296" s="38"/>
      <c r="CW296" s="38"/>
      <c r="CX296" s="38"/>
      <c r="CY296" s="38"/>
      <c r="CZ296" s="38"/>
    </row>
    <row r="297" spans="1:104" s="40" customFormat="1" ht="20.149999999999999" customHeight="1">
      <c r="A297" s="358">
        <f t="shared" si="73"/>
        <v>296</v>
      </c>
      <c r="B297" s="359" t="str">
        <f>'Front Sheet and Checklist'!$C$5</f>
        <v>Swansea Bay UHB</v>
      </c>
      <c r="C297" s="17"/>
      <c r="D297" s="17"/>
      <c r="E297" s="17"/>
      <c r="F297" s="17"/>
      <c r="G297" s="17"/>
      <c r="H297" s="17"/>
      <c r="I297" s="361">
        <f t="shared" si="63"/>
        <v>0</v>
      </c>
      <c r="J297" s="17"/>
      <c r="K297" s="18"/>
      <c r="L297" s="18"/>
      <c r="M297" s="17"/>
      <c r="N297" s="17"/>
      <c r="O297" s="17"/>
      <c r="P297" s="17"/>
      <c r="Q297" s="169"/>
      <c r="R297" s="24"/>
      <c r="S297" s="24"/>
      <c r="T297" s="24"/>
      <c r="U297" s="25"/>
      <c r="V297" s="25"/>
      <c r="W297" s="25"/>
      <c r="X297" s="24"/>
      <c r="Y297" s="24"/>
      <c r="Z297" s="24"/>
      <c r="AA297" s="24"/>
      <c r="AB297" s="24"/>
      <c r="AC297" s="24"/>
      <c r="AD297" s="361">
        <f t="shared" si="62"/>
        <v>0</v>
      </c>
      <c r="AE297" s="359" t="str">
        <f t="shared" si="65"/>
        <v/>
      </c>
      <c r="AF297" s="359" t="str">
        <f t="shared" si="74"/>
        <v/>
      </c>
      <c r="AG297" s="359" t="str">
        <f t="shared" si="66"/>
        <v/>
      </c>
      <c r="AH297" s="359" t="str">
        <f t="shared" si="67"/>
        <v/>
      </c>
      <c r="AI297" s="359" t="str">
        <f t="shared" si="68"/>
        <v/>
      </c>
      <c r="AJ297" s="359" t="str">
        <f t="shared" si="69"/>
        <v/>
      </c>
      <c r="AK297" s="359" t="str">
        <f t="shared" si="71"/>
        <v/>
      </c>
      <c r="AL297" s="359" t="str">
        <f t="shared" si="70"/>
        <v/>
      </c>
      <c r="AM297" s="359" t="str">
        <f t="shared" si="72"/>
        <v/>
      </c>
      <c r="AN297" s="262">
        <f t="shared" si="75"/>
        <v>0</v>
      </c>
      <c r="AO297" s="262" t="str">
        <f>IFERROR(HLOOKUP(AN297,'Ref Lists'!Q$1:AL$2,2,FALSE),'Ref Lists'!$AK$2)</f>
        <v>Savings21</v>
      </c>
      <c r="AP297" s="38"/>
      <c r="AQ297" s="38">
        <f t="shared" si="64"/>
        <v>0</v>
      </c>
      <c r="AR297" s="38"/>
      <c r="AS297" s="38"/>
      <c r="AT297" s="38"/>
      <c r="AU297" s="38"/>
      <c r="AV297" s="38"/>
      <c r="AW297" s="38"/>
      <c r="AX297" s="38"/>
      <c r="AY297" s="38"/>
      <c r="AZ297" s="38"/>
      <c r="BA297" s="38"/>
      <c r="BB297" s="38"/>
      <c r="BC297" s="38"/>
      <c r="BD297" s="38"/>
      <c r="BE297" s="38"/>
      <c r="BF297" s="38"/>
      <c r="BG297" s="38"/>
      <c r="BH297" s="38"/>
      <c r="BI297" s="38"/>
      <c r="BJ297" s="38"/>
      <c r="BK297" s="38"/>
      <c r="BL297" s="38"/>
      <c r="BM297" s="38"/>
      <c r="BN297" s="38"/>
      <c r="BO297" s="38"/>
      <c r="BP297" s="38"/>
      <c r="BQ297" s="38"/>
      <c r="BR297" s="38"/>
      <c r="BS297" s="38"/>
      <c r="BT297" s="38"/>
      <c r="BU297" s="38"/>
      <c r="BV297" s="38"/>
      <c r="BW297" s="38"/>
      <c r="BX297" s="38"/>
      <c r="BY297" s="38"/>
      <c r="BZ297" s="38"/>
      <c r="CA297" s="38"/>
      <c r="CB297" s="38"/>
      <c r="CC297" s="38"/>
      <c r="CD297" s="38"/>
      <c r="CE297" s="38"/>
      <c r="CF297" s="38"/>
      <c r="CG297" s="38"/>
      <c r="CH297" s="38"/>
      <c r="CI297" s="38"/>
      <c r="CJ297" s="38"/>
      <c r="CK297" s="38"/>
      <c r="CL297" s="38"/>
      <c r="CM297" s="38"/>
      <c r="CN297" s="38"/>
      <c r="CO297" s="38"/>
      <c r="CP297" s="38"/>
      <c r="CQ297" s="38"/>
      <c r="CR297" s="38"/>
      <c r="CS297" s="38"/>
      <c r="CT297" s="38"/>
      <c r="CU297" s="38"/>
      <c r="CV297" s="38"/>
      <c r="CW297" s="38"/>
      <c r="CX297" s="38"/>
      <c r="CY297" s="38"/>
      <c r="CZ297" s="38"/>
    </row>
    <row r="298" spans="1:104" s="40" customFormat="1" ht="20.149999999999999" customHeight="1">
      <c r="A298" s="358">
        <f t="shared" si="73"/>
        <v>297</v>
      </c>
      <c r="B298" s="359" t="str">
        <f>'Front Sheet and Checklist'!$C$5</f>
        <v>Swansea Bay UHB</v>
      </c>
      <c r="C298" s="17"/>
      <c r="D298" s="17"/>
      <c r="E298" s="17"/>
      <c r="F298" s="17"/>
      <c r="G298" s="17"/>
      <c r="H298" s="17"/>
      <c r="I298" s="361">
        <f t="shared" si="63"/>
        <v>0</v>
      </c>
      <c r="J298" s="17"/>
      <c r="K298" s="18"/>
      <c r="L298" s="18"/>
      <c r="M298" s="17"/>
      <c r="N298" s="17"/>
      <c r="O298" s="17"/>
      <c r="P298" s="17"/>
      <c r="Q298" s="169"/>
      <c r="R298" s="24"/>
      <c r="S298" s="24"/>
      <c r="T298" s="24"/>
      <c r="U298" s="25"/>
      <c r="V298" s="25"/>
      <c r="W298" s="25"/>
      <c r="X298" s="24"/>
      <c r="Y298" s="24"/>
      <c r="Z298" s="24"/>
      <c r="AA298" s="24"/>
      <c r="AB298" s="24"/>
      <c r="AC298" s="24"/>
      <c r="AD298" s="361">
        <f t="shared" si="62"/>
        <v>0</v>
      </c>
      <c r="AE298" s="359" t="str">
        <f t="shared" si="65"/>
        <v/>
      </c>
      <c r="AF298" s="359" t="str">
        <f t="shared" si="74"/>
        <v/>
      </c>
      <c r="AG298" s="359" t="str">
        <f t="shared" si="66"/>
        <v/>
      </c>
      <c r="AH298" s="359" t="str">
        <f t="shared" si="67"/>
        <v/>
      </c>
      <c r="AI298" s="359" t="str">
        <f t="shared" si="68"/>
        <v/>
      </c>
      <c r="AJ298" s="359" t="str">
        <f t="shared" si="69"/>
        <v/>
      </c>
      <c r="AK298" s="359" t="str">
        <f t="shared" si="71"/>
        <v/>
      </c>
      <c r="AL298" s="359" t="str">
        <f t="shared" si="70"/>
        <v/>
      </c>
      <c r="AM298" s="359" t="str">
        <f t="shared" si="72"/>
        <v/>
      </c>
      <c r="AN298" s="262">
        <f t="shared" si="75"/>
        <v>0</v>
      </c>
      <c r="AO298" s="262" t="str">
        <f>IFERROR(HLOOKUP(AN298,'Ref Lists'!Q$1:AL$2,2,FALSE),'Ref Lists'!$AK$2)</f>
        <v>Savings21</v>
      </c>
      <c r="AP298" s="38"/>
      <c r="AQ298" s="38">
        <f t="shared" si="64"/>
        <v>0</v>
      </c>
      <c r="AR298" s="38"/>
      <c r="AS298" s="38"/>
      <c r="AT298" s="38"/>
      <c r="AU298" s="38"/>
      <c r="AV298" s="38"/>
      <c r="AW298" s="38"/>
      <c r="AX298" s="38"/>
      <c r="AY298" s="38"/>
      <c r="AZ298" s="38"/>
      <c r="BA298" s="38"/>
      <c r="BB298" s="38"/>
      <c r="BC298" s="38"/>
      <c r="BD298" s="38"/>
      <c r="BE298" s="38"/>
      <c r="BF298" s="38"/>
      <c r="BG298" s="38"/>
      <c r="BH298" s="38"/>
      <c r="BI298" s="38"/>
      <c r="BJ298" s="38"/>
      <c r="BK298" s="38"/>
      <c r="BL298" s="38"/>
      <c r="BM298" s="38"/>
      <c r="BN298" s="38"/>
      <c r="BO298" s="38"/>
      <c r="BP298" s="38"/>
      <c r="BQ298" s="38"/>
      <c r="BR298" s="38"/>
      <c r="BS298" s="38"/>
      <c r="BT298" s="38"/>
      <c r="BU298" s="38"/>
      <c r="BV298" s="38"/>
      <c r="BW298" s="38"/>
      <c r="BX298" s="38"/>
      <c r="BY298" s="38"/>
      <c r="BZ298" s="38"/>
      <c r="CA298" s="38"/>
      <c r="CB298" s="38"/>
      <c r="CC298" s="38"/>
      <c r="CD298" s="38"/>
      <c r="CE298" s="38"/>
      <c r="CF298" s="38"/>
      <c r="CG298" s="38"/>
      <c r="CH298" s="38"/>
      <c r="CI298" s="38"/>
      <c r="CJ298" s="38"/>
      <c r="CK298" s="38"/>
      <c r="CL298" s="38"/>
      <c r="CM298" s="38"/>
      <c r="CN298" s="38"/>
      <c r="CO298" s="38"/>
      <c r="CP298" s="38"/>
      <c r="CQ298" s="38"/>
      <c r="CR298" s="38"/>
      <c r="CS298" s="38"/>
      <c r="CT298" s="38"/>
      <c r="CU298" s="38"/>
      <c r="CV298" s="38"/>
      <c r="CW298" s="38"/>
      <c r="CX298" s="38"/>
      <c r="CY298" s="38"/>
      <c r="CZ298" s="38"/>
    </row>
    <row r="299" spans="1:104" s="40" customFormat="1" ht="20.149999999999999" customHeight="1">
      <c r="A299" s="358">
        <f t="shared" si="73"/>
        <v>298</v>
      </c>
      <c r="B299" s="359" t="str">
        <f>'Front Sheet and Checklist'!$C$5</f>
        <v>Swansea Bay UHB</v>
      </c>
      <c r="C299" s="17"/>
      <c r="D299" s="17"/>
      <c r="E299" s="17"/>
      <c r="F299" s="17"/>
      <c r="G299" s="17"/>
      <c r="H299" s="17"/>
      <c r="I299" s="361">
        <f t="shared" si="63"/>
        <v>0</v>
      </c>
      <c r="J299" s="17"/>
      <c r="K299" s="18"/>
      <c r="L299" s="18"/>
      <c r="M299" s="17"/>
      <c r="N299" s="17"/>
      <c r="O299" s="17"/>
      <c r="P299" s="17"/>
      <c r="Q299" s="169"/>
      <c r="R299" s="24"/>
      <c r="S299" s="24"/>
      <c r="T299" s="24"/>
      <c r="U299" s="25"/>
      <c r="V299" s="25"/>
      <c r="W299" s="25"/>
      <c r="X299" s="24"/>
      <c r="Y299" s="24"/>
      <c r="Z299" s="24"/>
      <c r="AA299" s="24"/>
      <c r="AB299" s="24"/>
      <c r="AC299" s="24"/>
      <c r="AD299" s="361">
        <f t="shared" si="62"/>
        <v>0</v>
      </c>
      <c r="AE299" s="359" t="str">
        <f t="shared" si="65"/>
        <v/>
      </c>
      <c r="AF299" s="359" t="str">
        <f t="shared" si="74"/>
        <v/>
      </c>
      <c r="AG299" s="359" t="str">
        <f t="shared" si="66"/>
        <v/>
      </c>
      <c r="AH299" s="359" t="str">
        <f t="shared" si="67"/>
        <v/>
      </c>
      <c r="AI299" s="359" t="str">
        <f t="shared" si="68"/>
        <v/>
      </c>
      <c r="AJ299" s="359" t="str">
        <f t="shared" si="69"/>
        <v/>
      </c>
      <c r="AK299" s="359" t="str">
        <f t="shared" si="71"/>
        <v/>
      </c>
      <c r="AL299" s="359" t="str">
        <f t="shared" si="70"/>
        <v/>
      </c>
      <c r="AM299" s="359" t="str">
        <f t="shared" si="72"/>
        <v/>
      </c>
      <c r="AN299" s="262">
        <f t="shared" si="75"/>
        <v>0</v>
      </c>
      <c r="AO299" s="262" t="str">
        <f>IFERROR(HLOOKUP(AN299,'Ref Lists'!Q$1:AL$2,2,FALSE),'Ref Lists'!$AK$2)</f>
        <v>Savings21</v>
      </c>
      <c r="AP299" s="38"/>
      <c r="AQ299" s="38">
        <f t="shared" si="64"/>
        <v>0</v>
      </c>
      <c r="AR299" s="38"/>
      <c r="AS299" s="38"/>
      <c r="AT299" s="38"/>
      <c r="AU299" s="38"/>
      <c r="AV299" s="38"/>
      <c r="AW299" s="38"/>
      <c r="AX299" s="38"/>
      <c r="AY299" s="38"/>
      <c r="AZ299" s="38"/>
      <c r="BA299" s="38"/>
      <c r="BB299" s="38"/>
      <c r="BC299" s="38"/>
      <c r="BD299" s="38"/>
      <c r="BE299" s="38"/>
      <c r="BF299" s="38"/>
      <c r="BG299" s="38"/>
      <c r="BH299" s="38"/>
      <c r="BI299" s="38"/>
      <c r="BJ299" s="38"/>
      <c r="BK299" s="38"/>
      <c r="BL299" s="38"/>
      <c r="BM299" s="38"/>
      <c r="BN299" s="38"/>
      <c r="BO299" s="38"/>
      <c r="BP299" s="38"/>
      <c r="BQ299" s="38"/>
      <c r="BR299" s="38"/>
      <c r="BS299" s="38"/>
      <c r="BT299" s="38"/>
      <c r="BU299" s="38"/>
      <c r="BV299" s="38"/>
      <c r="BW299" s="38"/>
      <c r="BX299" s="38"/>
      <c r="BY299" s="38"/>
      <c r="BZ299" s="38"/>
      <c r="CA299" s="38"/>
      <c r="CB299" s="38"/>
      <c r="CC299" s="38"/>
      <c r="CD299" s="38"/>
      <c r="CE299" s="38"/>
      <c r="CF299" s="38"/>
      <c r="CG299" s="38"/>
      <c r="CH299" s="38"/>
      <c r="CI299" s="38"/>
      <c r="CJ299" s="38"/>
      <c r="CK299" s="38"/>
      <c r="CL299" s="38"/>
      <c r="CM299" s="38"/>
      <c r="CN299" s="38"/>
      <c r="CO299" s="38"/>
      <c r="CP299" s="38"/>
      <c r="CQ299" s="38"/>
      <c r="CR299" s="38"/>
      <c r="CS299" s="38"/>
      <c r="CT299" s="38"/>
      <c r="CU299" s="38"/>
      <c r="CV299" s="38"/>
      <c r="CW299" s="38"/>
      <c r="CX299" s="38"/>
      <c r="CY299" s="38"/>
      <c r="CZ299" s="38"/>
    </row>
    <row r="300" spans="1:104" s="40" customFormat="1" ht="20.149999999999999" customHeight="1">
      <c r="A300" s="358">
        <f t="shared" si="73"/>
        <v>299</v>
      </c>
      <c r="B300" s="359" t="str">
        <f>'Front Sheet and Checklist'!$C$5</f>
        <v>Swansea Bay UHB</v>
      </c>
      <c r="C300" s="17"/>
      <c r="D300" s="17"/>
      <c r="E300" s="17"/>
      <c r="F300" s="17"/>
      <c r="G300" s="17"/>
      <c r="H300" s="17"/>
      <c r="I300" s="361">
        <f t="shared" si="63"/>
        <v>0</v>
      </c>
      <c r="J300" s="17"/>
      <c r="K300" s="18"/>
      <c r="L300" s="18"/>
      <c r="M300" s="17"/>
      <c r="N300" s="17"/>
      <c r="O300" s="17"/>
      <c r="P300" s="17"/>
      <c r="Q300" s="169"/>
      <c r="R300" s="24"/>
      <c r="S300" s="24"/>
      <c r="T300" s="24"/>
      <c r="U300" s="25"/>
      <c r="V300" s="25"/>
      <c r="W300" s="25"/>
      <c r="X300" s="24"/>
      <c r="Y300" s="24"/>
      <c r="Z300" s="24"/>
      <c r="AA300" s="24"/>
      <c r="AB300" s="24"/>
      <c r="AC300" s="24"/>
      <c r="AD300" s="361">
        <f t="shared" si="62"/>
        <v>0</v>
      </c>
      <c r="AE300" s="359" t="str">
        <f t="shared" si="65"/>
        <v/>
      </c>
      <c r="AF300" s="359" t="str">
        <f t="shared" si="74"/>
        <v/>
      </c>
      <c r="AG300" s="359" t="str">
        <f t="shared" si="66"/>
        <v/>
      </c>
      <c r="AH300" s="359" t="str">
        <f t="shared" si="67"/>
        <v/>
      </c>
      <c r="AI300" s="359" t="str">
        <f t="shared" si="68"/>
        <v/>
      </c>
      <c r="AJ300" s="359" t="str">
        <f t="shared" si="69"/>
        <v/>
      </c>
      <c r="AK300" s="359" t="str">
        <f t="shared" si="71"/>
        <v/>
      </c>
      <c r="AL300" s="359" t="str">
        <f t="shared" si="70"/>
        <v/>
      </c>
      <c r="AM300" s="359" t="str">
        <f t="shared" si="72"/>
        <v/>
      </c>
      <c r="AN300" s="262">
        <f t="shared" si="75"/>
        <v>0</v>
      </c>
      <c r="AO300" s="262" t="str">
        <f>IFERROR(HLOOKUP(AN300,'Ref Lists'!Q$1:AL$2,2,FALSE),'Ref Lists'!$AK$2)</f>
        <v>Savings21</v>
      </c>
      <c r="AP300" s="38"/>
      <c r="AQ300" s="38">
        <f t="shared" si="64"/>
        <v>0</v>
      </c>
      <c r="AR300" s="38"/>
      <c r="AS300" s="38"/>
      <c r="AT300" s="38"/>
      <c r="AU300" s="38"/>
      <c r="AV300" s="38"/>
      <c r="AW300" s="38"/>
      <c r="AX300" s="38"/>
      <c r="AY300" s="38"/>
      <c r="AZ300" s="38"/>
      <c r="BA300" s="38"/>
      <c r="BB300" s="38"/>
      <c r="BC300" s="38"/>
      <c r="BD300" s="38"/>
      <c r="BE300" s="38"/>
      <c r="BF300" s="38"/>
      <c r="BG300" s="38"/>
      <c r="BH300" s="38"/>
      <c r="BI300" s="38"/>
      <c r="BJ300" s="38"/>
      <c r="BK300" s="38"/>
      <c r="BL300" s="38"/>
      <c r="BM300" s="38"/>
      <c r="BN300" s="38"/>
      <c r="BO300" s="38"/>
      <c r="BP300" s="38"/>
      <c r="BQ300" s="38"/>
      <c r="BR300" s="38"/>
      <c r="BS300" s="38"/>
      <c r="BT300" s="38"/>
      <c r="BU300" s="38"/>
      <c r="BV300" s="38"/>
      <c r="BW300" s="38"/>
      <c r="BX300" s="38"/>
      <c r="BY300" s="38"/>
      <c r="BZ300" s="38"/>
      <c r="CA300" s="38"/>
      <c r="CB300" s="38"/>
      <c r="CC300" s="38"/>
      <c r="CD300" s="38"/>
      <c r="CE300" s="38"/>
      <c r="CF300" s="38"/>
      <c r="CG300" s="38"/>
      <c r="CH300" s="38"/>
      <c r="CI300" s="38"/>
      <c r="CJ300" s="38"/>
      <c r="CK300" s="38"/>
      <c r="CL300" s="38"/>
      <c r="CM300" s="38"/>
      <c r="CN300" s="38"/>
      <c r="CO300" s="38"/>
      <c r="CP300" s="38"/>
      <c r="CQ300" s="38"/>
      <c r="CR300" s="38"/>
      <c r="CS300" s="38"/>
      <c r="CT300" s="38"/>
      <c r="CU300" s="38"/>
      <c r="CV300" s="38"/>
      <c r="CW300" s="38"/>
      <c r="CX300" s="38"/>
      <c r="CY300" s="38"/>
      <c r="CZ300" s="38"/>
    </row>
    <row r="301" spans="1:104" s="40" customFormat="1" ht="20.149999999999999" customHeight="1">
      <c r="A301" s="358">
        <f t="shared" si="73"/>
        <v>300</v>
      </c>
      <c r="B301" s="359" t="str">
        <f>'Front Sheet and Checklist'!$C$5</f>
        <v>Swansea Bay UHB</v>
      </c>
      <c r="C301" s="17"/>
      <c r="D301" s="17"/>
      <c r="E301" s="17"/>
      <c r="F301" s="17"/>
      <c r="G301" s="17"/>
      <c r="H301" s="17"/>
      <c r="I301" s="361">
        <f t="shared" si="63"/>
        <v>0</v>
      </c>
      <c r="J301" s="17"/>
      <c r="K301" s="18"/>
      <c r="L301" s="18"/>
      <c r="M301" s="17"/>
      <c r="N301" s="17"/>
      <c r="O301" s="17"/>
      <c r="P301" s="17"/>
      <c r="Q301" s="169"/>
      <c r="R301" s="24"/>
      <c r="S301" s="24"/>
      <c r="T301" s="24"/>
      <c r="U301" s="25"/>
      <c r="V301" s="25"/>
      <c r="W301" s="25"/>
      <c r="X301" s="24"/>
      <c r="Y301" s="24"/>
      <c r="Z301" s="24"/>
      <c r="AA301" s="24"/>
      <c r="AB301" s="24"/>
      <c r="AC301" s="24"/>
      <c r="AD301" s="361">
        <f t="shared" si="62"/>
        <v>0</v>
      </c>
      <c r="AE301" s="359" t="str">
        <f t="shared" si="65"/>
        <v/>
      </c>
      <c r="AF301" s="359" t="str">
        <f t="shared" si="74"/>
        <v/>
      </c>
      <c r="AG301" s="359" t="str">
        <f t="shared" si="66"/>
        <v/>
      </c>
      <c r="AH301" s="359" t="str">
        <f t="shared" si="67"/>
        <v/>
      </c>
      <c r="AI301" s="359" t="str">
        <f t="shared" si="68"/>
        <v/>
      </c>
      <c r="AJ301" s="359" t="str">
        <f t="shared" si="69"/>
        <v/>
      </c>
      <c r="AK301" s="359" t="str">
        <f t="shared" si="71"/>
        <v/>
      </c>
      <c r="AL301" s="359" t="str">
        <f t="shared" si="70"/>
        <v/>
      </c>
      <c r="AM301" s="359" t="str">
        <f t="shared" si="72"/>
        <v/>
      </c>
      <c r="AN301" s="262">
        <f t="shared" si="75"/>
        <v>0</v>
      </c>
      <c r="AO301" s="262" t="str">
        <f>IFERROR(HLOOKUP(AN301,'Ref Lists'!Q$1:AL$2,2,FALSE),'Ref Lists'!$AK$2)</f>
        <v>Savings21</v>
      </c>
      <c r="AP301" s="38"/>
      <c r="AQ301" s="38">
        <f t="shared" si="64"/>
        <v>0</v>
      </c>
      <c r="AR301" s="38"/>
      <c r="AS301" s="38"/>
      <c r="AT301" s="38"/>
      <c r="AU301" s="38"/>
      <c r="AV301" s="38"/>
      <c r="AW301" s="38"/>
      <c r="AX301" s="38"/>
      <c r="AY301" s="38"/>
      <c r="AZ301" s="38"/>
      <c r="BA301" s="38"/>
      <c r="BB301" s="38"/>
      <c r="BC301" s="38"/>
      <c r="BD301" s="38"/>
      <c r="BE301" s="38"/>
      <c r="BF301" s="38"/>
      <c r="BG301" s="38"/>
      <c r="BH301" s="38"/>
      <c r="BI301" s="38"/>
      <c r="BJ301" s="38"/>
      <c r="BK301" s="38"/>
      <c r="BL301" s="38"/>
      <c r="BM301" s="38"/>
      <c r="BN301" s="38"/>
      <c r="BO301" s="38"/>
      <c r="BP301" s="38"/>
      <c r="BQ301" s="38"/>
      <c r="BR301" s="38"/>
      <c r="BS301" s="38"/>
      <c r="BT301" s="38"/>
      <c r="BU301" s="38"/>
      <c r="BV301" s="38"/>
      <c r="BW301" s="38"/>
      <c r="BX301" s="38"/>
      <c r="BY301" s="38"/>
      <c r="BZ301" s="38"/>
      <c r="CA301" s="38"/>
      <c r="CB301" s="38"/>
      <c r="CC301" s="38"/>
      <c r="CD301" s="38"/>
      <c r="CE301" s="38"/>
      <c r="CF301" s="38"/>
      <c r="CG301" s="38"/>
      <c r="CH301" s="38"/>
      <c r="CI301" s="38"/>
      <c r="CJ301" s="38"/>
      <c r="CK301" s="38"/>
      <c r="CL301" s="38"/>
      <c r="CM301" s="38"/>
      <c r="CN301" s="38"/>
      <c r="CO301" s="38"/>
      <c r="CP301" s="38"/>
      <c r="CQ301" s="38"/>
      <c r="CR301" s="38"/>
      <c r="CS301" s="38"/>
      <c r="CT301" s="38"/>
      <c r="CU301" s="38"/>
      <c r="CV301" s="38"/>
      <c r="CW301" s="38"/>
      <c r="CX301" s="38"/>
      <c r="CY301" s="38"/>
      <c r="CZ301" s="38"/>
    </row>
    <row r="302" spans="1:104" s="40" customFormat="1" ht="20.149999999999999" customHeight="1">
      <c r="A302" s="358">
        <f t="shared" si="73"/>
        <v>301</v>
      </c>
      <c r="B302" s="359" t="str">
        <f>'Front Sheet and Checklist'!$C$5</f>
        <v>Swansea Bay UHB</v>
      </c>
      <c r="C302" s="17"/>
      <c r="D302" s="17"/>
      <c r="E302" s="17"/>
      <c r="F302" s="17"/>
      <c r="G302" s="17"/>
      <c r="H302" s="17"/>
      <c r="I302" s="361">
        <f t="shared" si="63"/>
        <v>0</v>
      </c>
      <c r="J302" s="17"/>
      <c r="K302" s="18"/>
      <c r="L302" s="18"/>
      <c r="M302" s="17"/>
      <c r="N302" s="17"/>
      <c r="O302" s="17"/>
      <c r="P302" s="17"/>
      <c r="Q302" s="169"/>
      <c r="R302" s="24"/>
      <c r="S302" s="24"/>
      <c r="T302" s="24"/>
      <c r="U302" s="25"/>
      <c r="V302" s="25"/>
      <c r="W302" s="25"/>
      <c r="X302" s="24"/>
      <c r="Y302" s="24"/>
      <c r="Z302" s="24"/>
      <c r="AA302" s="24"/>
      <c r="AB302" s="24"/>
      <c r="AC302" s="24"/>
      <c r="AD302" s="361">
        <f t="shared" si="62"/>
        <v>0</v>
      </c>
      <c r="AE302" s="359" t="str">
        <f t="shared" si="65"/>
        <v/>
      </c>
      <c r="AF302" s="359" t="str">
        <f t="shared" si="74"/>
        <v/>
      </c>
      <c r="AG302" s="359" t="str">
        <f t="shared" si="66"/>
        <v/>
      </c>
      <c r="AH302" s="359" t="str">
        <f t="shared" si="67"/>
        <v/>
      </c>
      <c r="AI302" s="359" t="str">
        <f t="shared" si="68"/>
        <v/>
      </c>
      <c r="AJ302" s="359" t="str">
        <f t="shared" si="69"/>
        <v/>
      </c>
      <c r="AK302" s="359" t="str">
        <f t="shared" si="71"/>
        <v/>
      </c>
      <c r="AL302" s="359" t="str">
        <f t="shared" si="70"/>
        <v/>
      </c>
      <c r="AM302" s="359" t="str">
        <f t="shared" si="72"/>
        <v/>
      </c>
      <c r="AN302" s="262">
        <f t="shared" si="75"/>
        <v>0</v>
      </c>
      <c r="AO302" s="262" t="str">
        <f>IFERROR(HLOOKUP(AN302,'Ref Lists'!Q$1:AL$2,2,FALSE),'Ref Lists'!$AK$2)</f>
        <v>Savings21</v>
      </c>
      <c r="AP302" s="38"/>
      <c r="AQ302" s="38">
        <f t="shared" si="64"/>
        <v>0</v>
      </c>
      <c r="AR302" s="38"/>
      <c r="AS302" s="38"/>
      <c r="AT302" s="38"/>
      <c r="AU302" s="38"/>
      <c r="AV302" s="38"/>
      <c r="AW302" s="38"/>
      <c r="AX302" s="38"/>
      <c r="AY302" s="38"/>
      <c r="AZ302" s="38"/>
      <c r="BA302" s="38"/>
      <c r="BB302" s="38"/>
      <c r="BC302" s="38"/>
      <c r="BD302" s="38"/>
      <c r="BE302" s="38"/>
      <c r="BF302" s="38"/>
      <c r="BG302" s="38"/>
      <c r="BH302" s="38"/>
      <c r="BI302" s="38"/>
      <c r="BJ302" s="38"/>
      <c r="BK302" s="38"/>
      <c r="BL302" s="38"/>
      <c r="BM302" s="38"/>
      <c r="BN302" s="38"/>
      <c r="BO302" s="38"/>
      <c r="BP302" s="38"/>
      <c r="BQ302" s="38"/>
      <c r="BR302" s="38"/>
      <c r="BS302" s="38"/>
      <c r="BT302" s="38"/>
      <c r="BU302" s="38"/>
      <c r="BV302" s="38"/>
      <c r="BW302" s="38"/>
      <c r="BX302" s="38"/>
      <c r="BY302" s="38"/>
      <c r="BZ302" s="38"/>
      <c r="CA302" s="38"/>
      <c r="CB302" s="38"/>
      <c r="CC302" s="38"/>
      <c r="CD302" s="38"/>
      <c r="CE302" s="38"/>
      <c r="CF302" s="38"/>
      <c r="CG302" s="38"/>
      <c r="CH302" s="38"/>
      <c r="CI302" s="38"/>
      <c r="CJ302" s="38"/>
      <c r="CK302" s="38"/>
      <c r="CL302" s="38"/>
      <c r="CM302" s="38"/>
      <c r="CN302" s="38"/>
      <c r="CO302" s="38"/>
      <c r="CP302" s="38"/>
      <c r="CQ302" s="38"/>
      <c r="CR302" s="38"/>
      <c r="CS302" s="38"/>
      <c r="CT302" s="38"/>
      <c r="CU302" s="38"/>
      <c r="CV302" s="38"/>
      <c r="CW302" s="38"/>
      <c r="CX302" s="38"/>
      <c r="CY302" s="38"/>
      <c r="CZ302" s="38"/>
    </row>
    <row r="303" spans="1:104" s="40" customFormat="1" ht="20.149999999999999" customHeight="1">
      <c r="A303" s="358">
        <f t="shared" si="73"/>
        <v>302</v>
      </c>
      <c r="B303" s="359" t="str">
        <f>'Front Sheet and Checklist'!$C$5</f>
        <v>Swansea Bay UHB</v>
      </c>
      <c r="C303" s="17"/>
      <c r="D303" s="17"/>
      <c r="E303" s="17"/>
      <c r="F303" s="17"/>
      <c r="G303" s="17"/>
      <c r="H303" s="17"/>
      <c r="I303" s="361">
        <f t="shared" si="63"/>
        <v>0</v>
      </c>
      <c r="J303" s="17"/>
      <c r="K303" s="18"/>
      <c r="L303" s="18"/>
      <c r="M303" s="17"/>
      <c r="N303" s="17"/>
      <c r="O303" s="17"/>
      <c r="P303" s="17"/>
      <c r="Q303" s="169"/>
      <c r="R303" s="24"/>
      <c r="S303" s="24"/>
      <c r="T303" s="24"/>
      <c r="U303" s="25"/>
      <c r="V303" s="25"/>
      <c r="W303" s="25"/>
      <c r="X303" s="24"/>
      <c r="Y303" s="24"/>
      <c r="Z303" s="24"/>
      <c r="AA303" s="24"/>
      <c r="AB303" s="24"/>
      <c r="AC303" s="24"/>
      <c r="AD303" s="361">
        <f t="shared" si="62"/>
        <v>0</v>
      </c>
      <c r="AE303" s="359" t="str">
        <f t="shared" si="65"/>
        <v/>
      </c>
      <c r="AF303" s="359" t="str">
        <f t="shared" si="74"/>
        <v/>
      </c>
      <c r="AG303" s="359" t="str">
        <f t="shared" si="66"/>
        <v/>
      </c>
      <c r="AH303" s="359" t="str">
        <f t="shared" si="67"/>
        <v/>
      </c>
      <c r="AI303" s="359" t="str">
        <f t="shared" si="68"/>
        <v/>
      </c>
      <c r="AJ303" s="359" t="str">
        <f t="shared" si="69"/>
        <v/>
      </c>
      <c r="AK303" s="359" t="str">
        <f t="shared" si="71"/>
        <v/>
      </c>
      <c r="AL303" s="359" t="str">
        <f t="shared" si="70"/>
        <v/>
      </c>
      <c r="AM303" s="359" t="str">
        <f t="shared" si="72"/>
        <v/>
      </c>
      <c r="AN303" s="262">
        <f t="shared" si="75"/>
        <v>0</v>
      </c>
      <c r="AO303" s="262" t="str">
        <f>IFERROR(HLOOKUP(AN303,'Ref Lists'!Q$1:AL$2,2,FALSE),'Ref Lists'!$AK$2)</f>
        <v>Savings21</v>
      </c>
      <c r="AP303" s="38"/>
      <c r="AQ303" s="38">
        <f t="shared" si="64"/>
        <v>0</v>
      </c>
      <c r="AR303" s="38"/>
      <c r="AS303" s="38"/>
      <c r="AT303" s="38"/>
      <c r="AU303" s="38"/>
      <c r="AV303" s="38"/>
      <c r="AW303" s="38"/>
      <c r="AX303" s="38"/>
      <c r="AY303" s="38"/>
      <c r="AZ303" s="38"/>
      <c r="BA303" s="38"/>
      <c r="BB303" s="38"/>
      <c r="BC303" s="38"/>
      <c r="BD303" s="38"/>
      <c r="BE303" s="38"/>
      <c r="BF303" s="38"/>
      <c r="BG303" s="38"/>
      <c r="BH303" s="38"/>
      <c r="BI303" s="38"/>
      <c r="BJ303" s="38"/>
      <c r="BK303" s="38"/>
      <c r="BL303" s="38"/>
      <c r="BM303" s="38"/>
      <c r="BN303" s="38"/>
      <c r="BO303" s="38"/>
      <c r="BP303" s="38"/>
      <c r="BQ303" s="38"/>
      <c r="BR303" s="38"/>
      <c r="BS303" s="38"/>
      <c r="BT303" s="38"/>
      <c r="BU303" s="38"/>
      <c r="BV303" s="38"/>
      <c r="BW303" s="38"/>
      <c r="BX303" s="38"/>
      <c r="BY303" s="38"/>
      <c r="BZ303" s="38"/>
      <c r="CA303" s="38"/>
      <c r="CB303" s="38"/>
      <c r="CC303" s="38"/>
      <c r="CD303" s="38"/>
      <c r="CE303" s="38"/>
      <c r="CF303" s="38"/>
      <c r="CG303" s="38"/>
      <c r="CH303" s="38"/>
      <c r="CI303" s="38"/>
      <c r="CJ303" s="38"/>
      <c r="CK303" s="38"/>
      <c r="CL303" s="38"/>
      <c r="CM303" s="38"/>
      <c r="CN303" s="38"/>
      <c r="CO303" s="38"/>
      <c r="CP303" s="38"/>
      <c r="CQ303" s="38"/>
      <c r="CR303" s="38"/>
      <c r="CS303" s="38"/>
      <c r="CT303" s="38"/>
      <c r="CU303" s="38"/>
      <c r="CV303" s="38"/>
      <c r="CW303" s="38"/>
      <c r="CX303" s="38"/>
      <c r="CY303" s="38"/>
      <c r="CZ303" s="38"/>
    </row>
    <row r="304" spans="1:104" s="40" customFormat="1" ht="20.149999999999999" customHeight="1">
      <c r="A304" s="358">
        <f t="shared" si="73"/>
        <v>303</v>
      </c>
      <c r="B304" s="359" t="str">
        <f>'Front Sheet and Checklist'!$C$5</f>
        <v>Swansea Bay UHB</v>
      </c>
      <c r="C304" s="17"/>
      <c r="D304" s="17"/>
      <c r="E304" s="17"/>
      <c r="F304" s="17"/>
      <c r="G304" s="17"/>
      <c r="H304" s="17"/>
      <c r="I304" s="361">
        <f t="shared" si="63"/>
        <v>0</v>
      </c>
      <c r="J304" s="17"/>
      <c r="K304" s="18"/>
      <c r="L304" s="18"/>
      <c r="M304" s="17"/>
      <c r="N304" s="17"/>
      <c r="O304" s="17"/>
      <c r="P304" s="17"/>
      <c r="Q304" s="169"/>
      <c r="R304" s="24"/>
      <c r="S304" s="24"/>
      <c r="T304" s="24"/>
      <c r="U304" s="25"/>
      <c r="V304" s="25"/>
      <c r="W304" s="25"/>
      <c r="X304" s="24"/>
      <c r="Y304" s="24"/>
      <c r="Z304" s="24"/>
      <c r="AA304" s="24"/>
      <c r="AB304" s="24"/>
      <c r="AC304" s="24"/>
      <c r="AD304" s="361">
        <f t="shared" si="62"/>
        <v>0</v>
      </c>
      <c r="AE304" s="359" t="str">
        <f t="shared" si="65"/>
        <v/>
      </c>
      <c r="AF304" s="359" t="str">
        <f t="shared" si="74"/>
        <v/>
      </c>
      <c r="AG304" s="359" t="str">
        <f t="shared" si="66"/>
        <v/>
      </c>
      <c r="AH304" s="359" t="str">
        <f t="shared" si="67"/>
        <v/>
      </c>
      <c r="AI304" s="359" t="str">
        <f t="shared" si="68"/>
        <v/>
      </c>
      <c r="AJ304" s="359" t="str">
        <f t="shared" si="69"/>
        <v/>
      </c>
      <c r="AK304" s="359" t="str">
        <f t="shared" si="71"/>
        <v/>
      </c>
      <c r="AL304" s="359" t="str">
        <f t="shared" si="70"/>
        <v/>
      </c>
      <c r="AM304" s="359" t="str">
        <f t="shared" si="72"/>
        <v/>
      </c>
      <c r="AN304" s="262">
        <f t="shared" si="75"/>
        <v>0</v>
      </c>
      <c r="AO304" s="262" t="str">
        <f>IFERROR(HLOOKUP(AN304,'Ref Lists'!Q$1:AL$2,2,FALSE),'Ref Lists'!$AK$2)</f>
        <v>Savings21</v>
      </c>
      <c r="AP304" s="38"/>
      <c r="AQ304" s="38">
        <f t="shared" si="64"/>
        <v>0</v>
      </c>
      <c r="AR304" s="38"/>
      <c r="AS304" s="38"/>
      <c r="AT304" s="38"/>
      <c r="AU304" s="38"/>
      <c r="AV304" s="38"/>
      <c r="AW304" s="38"/>
      <c r="AX304" s="38"/>
      <c r="AY304" s="38"/>
      <c r="AZ304" s="38"/>
      <c r="BA304" s="38"/>
      <c r="BB304" s="38"/>
      <c r="BC304" s="38"/>
      <c r="BD304" s="38"/>
      <c r="BE304" s="38"/>
      <c r="BF304" s="38"/>
      <c r="BG304" s="38"/>
      <c r="BH304" s="38"/>
      <c r="BI304" s="38"/>
      <c r="BJ304" s="38"/>
      <c r="BK304" s="38"/>
      <c r="BL304" s="38"/>
      <c r="BM304" s="38"/>
      <c r="BN304" s="38"/>
      <c r="BO304" s="38"/>
      <c r="BP304" s="38"/>
      <c r="BQ304" s="38"/>
      <c r="BR304" s="38"/>
      <c r="BS304" s="38"/>
      <c r="BT304" s="38"/>
      <c r="BU304" s="38"/>
      <c r="BV304" s="38"/>
      <c r="BW304" s="38"/>
      <c r="BX304" s="38"/>
      <c r="BY304" s="38"/>
      <c r="BZ304" s="38"/>
      <c r="CA304" s="38"/>
      <c r="CB304" s="38"/>
      <c r="CC304" s="38"/>
      <c r="CD304" s="38"/>
      <c r="CE304" s="38"/>
      <c r="CF304" s="38"/>
      <c r="CG304" s="38"/>
      <c r="CH304" s="38"/>
      <c r="CI304" s="38"/>
      <c r="CJ304" s="38"/>
      <c r="CK304" s="38"/>
      <c r="CL304" s="38"/>
      <c r="CM304" s="38"/>
      <c r="CN304" s="38"/>
      <c r="CO304" s="38"/>
      <c r="CP304" s="38"/>
      <c r="CQ304" s="38"/>
      <c r="CR304" s="38"/>
      <c r="CS304" s="38"/>
      <c r="CT304" s="38"/>
      <c r="CU304" s="38"/>
      <c r="CV304" s="38"/>
      <c r="CW304" s="38"/>
      <c r="CX304" s="38"/>
      <c r="CY304" s="38"/>
      <c r="CZ304" s="38"/>
    </row>
    <row r="305" spans="1:104" s="40" customFormat="1" ht="20.149999999999999" customHeight="1">
      <c r="A305" s="358">
        <f t="shared" si="73"/>
        <v>304</v>
      </c>
      <c r="B305" s="359" t="str">
        <f>'Front Sheet and Checklist'!$C$5</f>
        <v>Swansea Bay UHB</v>
      </c>
      <c r="C305" s="17"/>
      <c r="D305" s="17"/>
      <c r="E305" s="17"/>
      <c r="F305" s="17"/>
      <c r="G305" s="17"/>
      <c r="H305" s="17"/>
      <c r="I305" s="361">
        <f t="shared" si="63"/>
        <v>0</v>
      </c>
      <c r="J305" s="17"/>
      <c r="K305" s="18"/>
      <c r="L305" s="18"/>
      <c r="M305" s="17"/>
      <c r="N305" s="17"/>
      <c r="O305" s="17"/>
      <c r="P305" s="17"/>
      <c r="Q305" s="169"/>
      <c r="R305" s="24"/>
      <c r="S305" s="24"/>
      <c r="T305" s="24"/>
      <c r="U305" s="25"/>
      <c r="V305" s="25"/>
      <c r="W305" s="25"/>
      <c r="X305" s="24"/>
      <c r="Y305" s="24"/>
      <c r="Z305" s="24"/>
      <c r="AA305" s="24"/>
      <c r="AB305" s="24"/>
      <c r="AC305" s="24"/>
      <c r="AD305" s="361">
        <f t="shared" si="62"/>
        <v>0</v>
      </c>
      <c r="AE305" s="359" t="str">
        <f t="shared" si="65"/>
        <v/>
      </c>
      <c r="AF305" s="359" t="str">
        <f t="shared" si="74"/>
        <v/>
      </c>
      <c r="AG305" s="359" t="str">
        <f t="shared" si="66"/>
        <v/>
      </c>
      <c r="AH305" s="359" t="str">
        <f t="shared" si="67"/>
        <v/>
      </c>
      <c r="AI305" s="359" t="str">
        <f t="shared" si="68"/>
        <v/>
      </c>
      <c r="AJ305" s="359" t="str">
        <f t="shared" si="69"/>
        <v/>
      </c>
      <c r="AK305" s="359" t="str">
        <f t="shared" si="71"/>
        <v/>
      </c>
      <c r="AL305" s="359" t="str">
        <f t="shared" si="70"/>
        <v/>
      </c>
      <c r="AM305" s="359" t="str">
        <f t="shared" si="72"/>
        <v/>
      </c>
      <c r="AN305" s="262">
        <f t="shared" si="75"/>
        <v>0</v>
      </c>
      <c r="AO305" s="262" t="str">
        <f>IFERROR(HLOOKUP(AN305,'Ref Lists'!Q$1:AL$2,2,FALSE),'Ref Lists'!$AK$2)</f>
        <v>Savings21</v>
      </c>
      <c r="AP305" s="38"/>
      <c r="AQ305" s="38">
        <f t="shared" si="64"/>
        <v>0</v>
      </c>
      <c r="AR305" s="38"/>
      <c r="AS305" s="38"/>
      <c r="AT305" s="38"/>
      <c r="AU305" s="38"/>
      <c r="AV305" s="38"/>
      <c r="AW305" s="38"/>
      <c r="AX305" s="38"/>
      <c r="AY305" s="38"/>
      <c r="AZ305" s="38"/>
      <c r="BA305" s="38"/>
      <c r="BB305" s="38"/>
      <c r="BC305" s="38"/>
      <c r="BD305" s="38"/>
      <c r="BE305" s="38"/>
      <c r="BF305" s="38"/>
      <c r="BG305" s="38"/>
      <c r="BH305" s="38"/>
      <c r="BI305" s="38"/>
      <c r="BJ305" s="38"/>
      <c r="BK305" s="38"/>
      <c r="BL305" s="38"/>
      <c r="BM305" s="38"/>
      <c r="BN305" s="38"/>
      <c r="BO305" s="38"/>
      <c r="BP305" s="38"/>
      <c r="BQ305" s="38"/>
      <c r="BR305" s="38"/>
      <c r="BS305" s="38"/>
      <c r="BT305" s="38"/>
      <c r="BU305" s="38"/>
      <c r="BV305" s="38"/>
      <c r="BW305" s="38"/>
      <c r="BX305" s="38"/>
      <c r="BY305" s="38"/>
      <c r="BZ305" s="38"/>
      <c r="CA305" s="38"/>
      <c r="CB305" s="38"/>
      <c r="CC305" s="38"/>
      <c r="CD305" s="38"/>
      <c r="CE305" s="38"/>
      <c r="CF305" s="38"/>
      <c r="CG305" s="38"/>
      <c r="CH305" s="38"/>
      <c r="CI305" s="38"/>
      <c r="CJ305" s="38"/>
      <c r="CK305" s="38"/>
      <c r="CL305" s="38"/>
      <c r="CM305" s="38"/>
      <c r="CN305" s="38"/>
      <c r="CO305" s="38"/>
      <c r="CP305" s="38"/>
      <c r="CQ305" s="38"/>
      <c r="CR305" s="38"/>
      <c r="CS305" s="38"/>
      <c r="CT305" s="38"/>
      <c r="CU305" s="38"/>
      <c r="CV305" s="38"/>
      <c r="CW305" s="38"/>
      <c r="CX305" s="38"/>
      <c r="CY305" s="38"/>
      <c r="CZ305" s="38"/>
    </row>
    <row r="306" spans="1:104" s="40" customFormat="1" ht="20.149999999999999" customHeight="1">
      <c r="A306" s="358">
        <f t="shared" si="73"/>
        <v>305</v>
      </c>
      <c r="B306" s="359" t="str">
        <f>'Front Sheet and Checklist'!$C$5</f>
        <v>Swansea Bay UHB</v>
      </c>
      <c r="C306" s="17"/>
      <c r="D306" s="17"/>
      <c r="E306" s="17"/>
      <c r="F306" s="17"/>
      <c r="G306" s="17"/>
      <c r="H306" s="17"/>
      <c r="I306" s="361">
        <f t="shared" si="63"/>
        <v>0</v>
      </c>
      <c r="J306" s="17"/>
      <c r="K306" s="18"/>
      <c r="L306" s="18"/>
      <c r="M306" s="17"/>
      <c r="N306" s="17"/>
      <c r="O306" s="17"/>
      <c r="P306" s="17"/>
      <c r="Q306" s="169"/>
      <c r="R306" s="24"/>
      <c r="S306" s="24"/>
      <c r="T306" s="24"/>
      <c r="U306" s="25"/>
      <c r="V306" s="25"/>
      <c r="W306" s="25"/>
      <c r="X306" s="24"/>
      <c r="Y306" s="24"/>
      <c r="Z306" s="24"/>
      <c r="AA306" s="24"/>
      <c r="AB306" s="24"/>
      <c r="AC306" s="24"/>
      <c r="AD306" s="361">
        <f t="shared" si="62"/>
        <v>0</v>
      </c>
      <c r="AE306" s="359" t="str">
        <f t="shared" si="65"/>
        <v/>
      </c>
      <c r="AF306" s="359" t="str">
        <f t="shared" si="74"/>
        <v/>
      </c>
      <c r="AG306" s="359" t="str">
        <f t="shared" si="66"/>
        <v/>
      </c>
      <c r="AH306" s="359" t="str">
        <f t="shared" si="67"/>
        <v/>
      </c>
      <c r="AI306" s="359" t="str">
        <f t="shared" si="68"/>
        <v/>
      </c>
      <c r="AJ306" s="359" t="str">
        <f t="shared" si="69"/>
        <v/>
      </c>
      <c r="AK306" s="359" t="str">
        <f t="shared" si="71"/>
        <v/>
      </c>
      <c r="AL306" s="359" t="str">
        <f t="shared" si="70"/>
        <v/>
      </c>
      <c r="AM306" s="359" t="str">
        <f t="shared" si="72"/>
        <v/>
      </c>
      <c r="AN306" s="262">
        <f t="shared" si="75"/>
        <v>0</v>
      </c>
      <c r="AO306" s="262" t="str">
        <f>IFERROR(HLOOKUP(AN306,'Ref Lists'!Q$1:AL$2,2,FALSE),'Ref Lists'!$AK$2)</f>
        <v>Savings21</v>
      </c>
      <c r="AP306" s="38"/>
      <c r="AQ306" s="38">
        <f t="shared" si="64"/>
        <v>0</v>
      </c>
      <c r="AR306" s="38"/>
      <c r="AS306" s="38"/>
      <c r="AT306" s="38"/>
      <c r="AU306" s="38"/>
      <c r="AV306" s="38"/>
      <c r="AW306" s="38"/>
      <c r="AX306" s="38"/>
      <c r="AY306" s="38"/>
      <c r="AZ306" s="38"/>
      <c r="BA306" s="38"/>
      <c r="BB306" s="38"/>
      <c r="BC306" s="38"/>
      <c r="BD306" s="38"/>
      <c r="BE306" s="38"/>
      <c r="BF306" s="38"/>
      <c r="BG306" s="38"/>
      <c r="BH306" s="38"/>
      <c r="BI306" s="38"/>
      <c r="BJ306" s="38"/>
      <c r="BK306" s="38"/>
      <c r="BL306" s="38"/>
      <c r="BM306" s="38"/>
      <c r="BN306" s="38"/>
      <c r="BO306" s="38"/>
      <c r="BP306" s="38"/>
      <c r="BQ306" s="38"/>
      <c r="BR306" s="38"/>
      <c r="BS306" s="38"/>
      <c r="BT306" s="38"/>
      <c r="BU306" s="38"/>
      <c r="BV306" s="38"/>
      <c r="BW306" s="38"/>
      <c r="BX306" s="38"/>
      <c r="BY306" s="38"/>
      <c r="BZ306" s="38"/>
      <c r="CA306" s="38"/>
      <c r="CB306" s="38"/>
      <c r="CC306" s="38"/>
      <c r="CD306" s="38"/>
      <c r="CE306" s="38"/>
      <c r="CF306" s="38"/>
      <c r="CG306" s="38"/>
      <c r="CH306" s="38"/>
      <c r="CI306" s="38"/>
      <c r="CJ306" s="38"/>
      <c r="CK306" s="38"/>
      <c r="CL306" s="38"/>
      <c r="CM306" s="38"/>
      <c r="CN306" s="38"/>
      <c r="CO306" s="38"/>
      <c r="CP306" s="38"/>
      <c r="CQ306" s="38"/>
      <c r="CR306" s="38"/>
      <c r="CS306" s="38"/>
      <c r="CT306" s="38"/>
      <c r="CU306" s="38"/>
      <c r="CV306" s="38"/>
      <c r="CW306" s="38"/>
      <c r="CX306" s="38"/>
      <c r="CY306" s="38"/>
      <c r="CZ306" s="38"/>
    </row>
    <row r="307" spans="1:104" s="40" customFormat="1" ht="20.149999999999999" customHeight="1">
      <c r="A307" s="358">
        <f t="shared" si="73"/>
        <v>306</v>
      </c>
      <c r="B307" s="359" t="str">
        <f>'Front Sheet and Checklist'!$C$5</f>
        <v>Swansea Bay UHB</v>
      </c>
      <c r="C307" s="17"/>
      <c r="D307" s="17"/>
      <c r="E307" s="17"/>
      <c r="F307" s="17"/>
      <c r="G307" s="17"/>
      <c r="H307" s="17"/>
      <c r="I307" s="361">
        <f t="shared" si="63"/>
        <v>0</v>
      </c>
      <c r="J307" s="17"/>
      <c r="K307" s="18"/>
      <c r="L307" s="18"/>
      <c r="M307" s="17"/>
      <c r="N307" s="17"/>
      <c r="O307" s="17"/>
      <c r="P307" s="17"/>
      <c r="Q307" s="169"/>
      <c r="R307" s="24"/>
      <c r="S307" s="24"/>
      <c r="T307" s="24"/>
      <c r="U307" s="25"/>
      <c r="V307" s="25"/>
      <c r="W307" s="25"/>
      <c r="X307" s="24"/>
      <c r="Y307" s="24"/>
      <c r="Z307" s="24"/>
      <c r="AA307" s="24"/>
      <c r="AB307" s="24"/>
      <c r="AC307" s="24"/>
      <c r="AD307" s="361">
        <f t="shared" si="62"/>
        <v>0</v>
      </c>
      <c r="AE307" s="359" t="str">
        <f t="shared" si="65"/>
        <v/>
      </c>
      <c r="AF307" s="359" t="str">
        <f t="shared" si="74"/>
        <v/>
      </c>
      <c r="AG307" s="359" t="str">
        <f t="shared" si="66"/>
        <v/>
      </c>
      <c r="AH307" s="359" t="str">
        <f t="shared" si="67"/>
        <v/>
      </c>
      <c r="AI307" s="359" t="str">
        <f t="shared" si="68"/>
        <v/>
      </c>
      <c r="AJ307" s="359" t="str">
        <f t="shared" si="69"/>
        <v/>
      </c>
      <c r="AK307" s="359" t="str">
        <f t="shared" si="71"/>
        <v/>
      </c>
      <c r="AL307" s="359" t="str">
        <f t="shared" si="70"/>
        <v/>
      </c>
      <c r="AM307" s="359" t="str">
        <f t="shared" si="72"/>
        <v/>
      </c>
      <c r="AN307" s="262">
        <f t="shared" si="75"/>
        <v>0</v>
      </c>
      <c r="AO307" s="262" t="str">
        <f>IFERROR(HLOOKUP(AN307,'Ref Lists'!Q$1:AL$2,2,FALSE),'Ref Lists'!$AK$2)</f>
        <v>Savings21</v>
      </c>
      <c r="AP307" s="38"/>
      <c r="AQ307" s="38">
        <f t="shared" si="64"/>
        <v>0</v>
      </c>
      <c r="AR307" s="38"/>
      <c r="AS307" s="38"/>
      <c r="AT307" s="38"/>
      <c r="AU307" s="38"/>
      <c r="AV307" s="38"/>
      <c r="AW307" s="38"/>
      <c r="AX307" s="38"/>
      <c r="AY307" s="38"/>
      <c r="AZ307" s="38"/>
      <c r="BA307" s="38"/>
      <c r="BB307" s="38"/>
      <c r="BC307" s="38"/>
      <c r="BD307" s="38"/>
      <c r="BE307" s="38"/>
      <c r="BF307" s="38"/>
      <c r="BG307" s="38"/>
      <c r="BH307" s="38"/>
      <c r="BI307" s="38"/>
      <c r="BJ307" s="38"/>
      <c r="BK307" s="38"/>
      <c r="BL307" s="38"/>
      <c r="BM307" s="38"/>
      <c r="BN307" s="38"/>
      <c r="BO307" s="38"/>
      <c r="BP307" s="38"/>
      <c r="BQ307" s="38"/>
      <c r="BR307" s="38"/>
      <c r="BS307" s="38"/>
      <c r="BT307" s="38"/>
      <c r="BU307" s="38"/>
      <c r="BV307" s="38"/>
      <c r="BW307" s="38"/>
      <c r="BX307" s="38"/>
      <c r="BY307" s="38"/>
      <c r="BZ307" s="38"/>
      <c r="CA307" s="38"/>
      <c r="CB307" s="38"/>
      <c r="CC307" s="38"/>
      <c r="CD307" s="38"/>
      <c r="CE307" s="38"/>
      <c r="CF307" s="38"/>
      <c r="CG307" s="38"/>
      <c r="CH307" s="38"/>
      <c r="CI307" s="38"/>
      <c r="CJ307" s="38"/>
      <c r="CK307" s="38"/>
      <c r="CL307" s="38"/>
      <c r="CM307" s="38"/>
      <c r="CN307" s="38"/>
      <c r="CO307" s="38"/>
      <c r="CP307" s="38"/>
      <c r="CQ307" s="38"/>
      <c r="CR307" s="38"/>
      <c r="CS307" s="38"/>
      <c r="CT307" s="38"/>
      <c r="CU307" s="38"/>
      <c r="CV307" s="38"/>
      <c r="CW307" s="38"/>
      <c r="CX307" s="38"/>
      <c r="CY307" s="38"/>
      <c r="CZ307" s="38"/>
    </row>
    <row r="308" spans="1:104" s="40" customFormat="1" ht="20.149999999999999" customHeight="1">
      <c r="A308" s="358">
        <f t="shared" si="73"/>
        <v>307</v>
      </c>
      <c r="B308" s="359" t="str">
        <f>'Front Sheet and Checklist'!$C$5</f>
        <v>Swansea Bay UHB</v>
      </c>
      <c r="C308" s="17"/>
      <c r="D308" s="17"/>
      <c r="E308" s="17"/>
      <c r="F308" s="17"/>
      <c r="G308" s="17"/>
      <c r="H308" s="17"/>
      <c r="I308" s="361">
        <f t="shared" si="63"/>
        <v>0</v>
      </c>
      <c r="J308" s="17"/>
      <c r="K308" s="18"/>
      <c r="L308" s="18"/>
      <c r="M308" s="17"/>
      <c r="N308" s="17"/>
      <c r="O308" s="17"/>
      <c r="P308" s="17"/>
      <c r="Q308" s="169"/>
      <c r="R308" s="24"/>
      <c r="S308" s="24"/>
      <c r="T308" s="24"/>
      <c r="U308" s="25"/>
      <c r="V308" s="25"/>
      <c r="W308" s="25"/>
      <c r="X308" s="24"/>
      <c r="Y308" s="24"/>
      <c r="Z308" s="24"/>
      <c r="AA308" s="24"/>
      <c r="AB308" s="24"/>
      <c r="AC308" s="24"/>
      <c r="AD308" s="361">
        <f t="shared" si="62"/>
        <v>0</v>
      </c>
      <c r="AE308" s="359" t="str">
        <f t="shared" si="65"/>
        <v/>
      </c>
      <c r="AF308" s="359" t="str">
        <f t="shared" si="74"/>
        <v/>
      </c>
      <c r="AG308" s="359" t="str">
        <f t="shared" si="66"/>
        <v/>
      </c>
      <c r="AH308" s="359" t="str">
        <f t="shared" si="67"/>
        <v/>
      </c>
      <c r="AI308" s="359" t="str">
        <f t="shared" si="68"/>
        <v/>
      </c>
      <c r="AJ308" s="359" t="str">
        <f t="shared" si="69"/>
        <v/>
      </c>
      <c r="AK308" s="359" t="str">
        <f t="shared" si="71"/>
        <v/>
      </c>
      <c r="AL308" s="359" t="str">
        <f t="shared" si="70"/>
        <v/>
      </c>
      <c r="AM308" s="359" t="str">
        <f t="shared" si="72"/>
        <v/>
      </c>
      <c r="AN308" s="262">
        <f t="shared" si="75"/>
        <v>0</v>
      </c>
      <c r="AO308" s="262" t="str">
        <f>IFERROR(HLOOKUP(AN308,'Ref Lists'!Q$1:AL$2,2,FALSE),'Ref Lists'!$AK$2)</f>
        <v>Savings21</v>
      </c>
      <c r="AP308" s="38"/>
      <c r="AQ308" s="38">
        <f t="shared" si="64"/>
        <v>0</v>
      </c>
      <c r="AR308" s="38"/>
      <c r="AS308" s="38"/>
      <c r="AT308" s="38"/>
      <c r="AU308" s="38"/>
      <c r="AV308" s="38"/>
      <c r="AW308" s="38"/>
      <c r="AX308" s="38"/>
      <c r="AY308" s="38"/>
      <c r="AZ308" s="38"/>
      <c r="BA308" s="38"/>
      <c r="BB308" s="38"/>
      <c r="BC308" s="38"/>
      <c r="BD308" s="38"/>
      <c r="BE308" s="38"/>
      <c r="BF308" s="38"/>
      <c r="BG308" s="38"/>
      <c r="BH308" s="38"/>
      <c r="BI308" s="38"/>
      <c r="BJ308" s="38"/>
      <c r="BK308" s="38"/>
      <c r="BL308" s="38"/>
      <c r="BM308" s="38"/>
      <c r="BN308" s="38"/>
      <c r="BO308" s="38"/>
      <c r="BP308" s="38"/>
      <c r="BQ308" s="38"/>
      <c r="BR308" s="38"/>
      <c r="BS308" s="38"/>
      <c r="BT308" s="38"/>
      <c r="BU308" s="38"/>
      <c r="BV308" s="38"/>
      <c r="BW308" s="38"/>
      <c r="BX308" s="38"/>
      <c r="BY308" s="38"/>
      <c r="BZ308" s="38"/>
      <c r="CA308" s="38"/>
      <c r="CB308" s="38"/>
      <c r="CC308" s="38"/>
      <c r="CD308" s="38"/>
      <c r="CE308" s="38"/>
      <c r="CF308" s="38"/>
      <c r="CG308" s="38"/>
      <c r="CH308" s="38"/>
      <c r="CI308" s="38"/>
      <c r="CJ308" s="38"/>
      <c r="CK308" s="38"/>
      <c r="CL308" s="38"/>
      <c r="CM308" s="38"/>
      <c r="CN308" s="38"/>
      <c r="CO308" s="38"/>
      <c r="CP308" s="38"/>
      <c r="CQ308" s="38"/>
      <c r="CR308" s="38"/>
      <c r="CS308" s="38"/>
      <c r="CT308" s="38"/>
      <c r="CU308" s="38"/>
      <c r="CV308" s="38"/>
      <c r="CW308" s="38"/>
      <c r="CX308" s="38"/>
      <c r="CY308" s="38"/>
      <c r="CZ308" s="38"/>
    </row>
    <row r="309" spans="1:104" s="40" customFormat="1" ht="20.149999999999999" customHeight="1">
      <c r="A309" s="358">
        <f t="shared" si="73"/>
        <v>308</v>
      </c>
      <c r="B309" s="359" t="str">
        <f>'Front Sheet and Checklist'!$C$5</f>
        <v>Swansea Bay UHB</v>
      </c>
      <c r="C309" s="17"/>
      <c r="D309" s="17"/>
      <c r="E309" s="17"/>
      <c r="F309" s="17"/>
      <c r="G309" s="17"/>
      <c r="H309" s="17"/>
      <c r="I309" s="361">
        <f t="shared" si="63"/>
        <v>0</v>
      </c>
      <c r="J309" s="17"/>
      <c r="K309" s="18"/>
      <c r="L309" s="18"/>
      <c r="M309" s="17"/>
      <c r="N309" s="17"/>
      <c r="O309" s="17"/>
      <c r="P309" s="17"/>
      <c r="Q309" s="169"/>
      <c r="R309" s="24"/>
      <c r="S309" s="24"/>
      <c r="T309" s="24"/>
      <c r="U309" s="25"/>
      <c r="V309" s="25"/>
      <c r="W309" s="25"/>
      <c r="X309" s="24"/>
      <c r="Y309" s="24"/>
      <c r="Z309" s="24"/>
      <c r="AA309" s="24"/>
      <c r="AB309" s="24"/>
      <c r="AC309" s="24"/>
      <c r="AD309" s="361">
        <f t="shared" si="62"/>
        <v>0</v>
      </c>
      <c r="AE309" s="359" t="str">
        <f t="shared" si="65"/>
        <v/>
      </c>
      <c r="AF309" s="359" t="str">
        <f t="shared" si="74"/>
        <v/>
      </c>
      <c r="AG309" s="359" t="str">
        <f t="shared" si="66"/>
        <v/>
      </c>
      <c r="AH309" s="359" t="str">
        <f t="shared" si="67"/>
        <v/>
      </c>
      <c r="AI309" s="359" t="str">
        <f t="shared" si="68"/>
        <v/>
      </c>
      <c r="AJ309" s="359" t="str">
        <f t="shared" si="69"/>
        <v/>
      </c>
      <c r="AK309" s="359" t="str">
        <f t="shared" si="71"/>
        <v/>
      </c>
      <c r="AL309" s="359" t="str">
        <f t="shared" si="70"/>
        <v/>
      </c>
      <c r="AM309" s="359" t="str">
        <f t="shared" si="72"/>
        <v/>
      </c>
      <c r="AN309" s="262">
        <f t="shared" si="75"/>
        <v>0</v>
      </c>
      <c r="AO309" s="262" t="str">
        <f>IFERROR(HLOOKUP(AN309,'Ref Lists'!Q$1:AL$2,2,FALSE),'Ref Lists'!$AK$2)</f>
        <v>Savings21</v>
      </c>
      <c r="AP309" s="38"/>
      <c r="AQ309" s="38">
        <f t="shared" si="64"/>
        <v>0</v>
      </c>
      <c r="AR309" s="38"/>
      <c r="AS309" s="38"/>
      <c r="AT309" s="38"/>
      <c r="AU309" s="38"/>
      <c r="AV309" s="38"/>
      <c r="AW309" s="38"/>
      <c r="AX309" s="38"/>
      <c r="AY309" s="38"/>
      <c r="AZ309" s="38"/>
      <c r="BA309" s="38"/>
      <c r="BB309" s="38"/>
      <c r="BC309" s="38"/>
      <c r="BD309" s="38"/>
      <c r="BE309" s="38"/>
      <c r="BF309" s="38"/>
      <c r="BG309" s="38"/>
      <c r="BH309" s="38"/>
      <c r="BI309" s="38"/>
      <c r="BJ309" s="38"/>
      <c r="BK309" s="38"/>
      <c r="BL309" s="38"/>
      <c r="BM309" s="38"/>
      <c r="BN309" s="38"/>
      <c r="BO309" s="38"/>
      <c r="BP309" s="38"/>
      <c r="BQ309" s="38"/>
      <c r="BR309" s="38"/>
      <c r="BS309" s="38"/>
      <c r="BT309" s="38"/>
      <c r="BU309" s="38"/>
      <c r="BV309" s="38"/>
      <c r="BW309" s="38"/>
      <c r="BX309" s="38"/>
      <c r="BY309" s="38"/>
      <c r="BZ309" s="38"/>
      <c r="CA309" s="38"/>
      <c r="CB309" s="38"/>
      <c r="CC309" s="38"/>
      <c r="CD309" s="38"/>
      <c r="CE309" s="38"/>
      <c r="CF309" s="38"/>
      <c r="CG309" s="38"/>
      <c r="CH309" s="38"/>
      <c r="CI309" s="38"/>
      <c r="CJ309" s="38"/>
      <c r="CK309" s="38"/>
      <c r="CL309" s="38"/>
      <c r="CM309" s="38"/>
      <c r="CN309" s="38"/>
      <c r="CO309" s="38"/>
      <c r="CP309" s="38"/>
      <c r="CQ309" s="38"/>
      <c r="CR309" s="38"/>
      <c r="CS309" s="38"/>
      <c r="CT309" s="38"/>
      <c r="CU309" s="38"/>
      <c r="CV309" s="38"/>
      <c r="CW309" s="38"/>
      <c r="CX309" s="38"/>
      <c r="CY309" s="38"/>
      <c r="CZ309" s="38"/>
    </row>
    <row r="310" spans="1:104" s="40" customFormat="1" ht="20.149999999999999" customHeight="1">
      <c r="A310" s="358">
        <f t="shared" si="73"/>
        <v>309</v>
      </c>
      <c r="B310" s="359" t="str">
        <f>'Front Sheet and Checklist'!$C$5</f>
        <v>Swansea Bay UHB</v>
      </c>
      <c r="C310" s="17"/>
      <c r="D310" s="17"/>
      <c r="E310" s="17"/>
      <c r="F310" s="17"/>
      <c r="G310" s="17"/>
      <c r="H310" s="17"/>
      <c r="I310" s="361">
        <f t="shared" si="63"/>
        <v>0</v>
      </c>
      <c r="J310" s="17"/>
      <c r="K310" s="18"/>
      <c r="L310" s="18"/>
      <c r="M310" s="17"/>
      <c r="N310" s="17"/>
      <c r="O310" s="17"/>
      <c r="P310" s="17"/>
      <c r="Q310" s="169"/>
      <c r="R310" s="24"/>
      <c r="S310" s="24"/>
      <c r="T310" s="24"/>
      <c r="U310" s="25"/>
      <c r="V310" s="25"/>
      <c r="W310" s="25"/>
      <c r="X310" s="24"/>
      <c r="Y310" s="24"/>
      <c r="Z310" s="24"/>
      <c r="AA310" s="24"/>
      <c r="AB310" s="24"/>
      <c r="AC310" s="24"/>
      <c r="AD310" s="361">
        <f t="shared" si="62"/>
        <v>0</v>
      </c>
      <c r="AE310" s="359" t="str">
        <f t="shared" si="65"/>
        <v/>
      </c>
      <c r="AF310" s="359" t="str">
        <f t="shared" si="74"/>
        <v/>
      </c>
      <c r="AG310" s="359" t="str">
        <f t="shared" si="66"/>
        <v/>
      </c>
      <c r="AH310" s="359" t="str">
        <f t="shared" si="67"/>
        <v/>
      </c>
      <c r="AI310" s="359" t="str">
        <f t="shared" si="68"/>
        <v/>
      </c>
      <c r="AJ310" s="359" t="str">
        <f t="shared" si="69"/>
        <v/>
      </c>
      <c r="AK310" s="359" t="str">
        <f t="shared" si="71"/>
        <v/>
      </c>
      <c r="AL310" s="359" t="str">
        <f t="shared" si="70"/>
        <v/>
      </c>
      <c r="AM310" s="359" t="str">
        <f t="shared" si="72"/>
        <v/>
      </c>
      <c r="AN310" s="262">
        <f t="shared" si="75"/>
        <v>0</v>
      </c>
      <c r="AO310" s="262" t="str">
        <f>IFERROR(HLOOKUP(AN310,'Ref Lists'!Q$1:AL$2,2,FALSE),'Ref Lists'!$AK$2)</f>
        <v>Savings21</v>
      </c>
      <c r="AP310" s="38"/>
      <c r="AQ310" s="38">
        <f t="shared" si="64"/>
        <v>0</v>
      </c>
      <c r="AR310" s="38"/>
      <c r="AS310" s="38"/>
      <c r="AT310" s="38"/>
      <c r="AU310" s="38"/>
      <c r="AV310" s="38"/>
      <c r="AW310" s="38"/>
      <c r="AX310" s="38"/>
      <c r="AY310" s="38"/>
      <c r="AZ310" s="38"/>
      <c r="BA310" s="38"/>
      <c r="BB310" s="38"/>
      <c r="BC310" s="38"/>
      <c r="BD310" s="38"/>
      <c r="BE310" s="38"/>
      <c r="BF310" s="38"/>
      <c r="BG310" s="38"/>
      <c r="BH310" s="38"/>
      <c r="BI310" s="38"/>
      <c r="BJ310" s="38"/>
      <c r="BK310" s="38"/>
      <c r="BL310" s="38"/>
      <c r="BM310" s="38"/>
      <c r="BN310" s="38"/>
      <c r="BO310" s="38"/>
      <c r="BP310" s="38"/>
      <c r="BQ310" s="38"/>
      <c r="BR310" s="38"/>
      <c r="BS310" s="38"/>
      <c r="BT310" s="38"/>
      <c r="BU310" s="38"/>
      <c r="BV310" s="38"/>
      <c r="BW310" s="38"/>
      <c r="BX310" s="38"/>
      <c r="BY310" s="38"/>
      <c r="BZ310" s="38"/>
      <c r="CA310" s="38"/>
      <c r="CB310" s="38"/>
      <c r="CC310" s="38"/>
      <c r="CD310" s="38"/>
      <c r="CE310" s="38"/>
      <c r="CF310" s="38"/>
      <c r="CG310" s="38"/>
      <c r="CH310" s="38"/>
      <c r="CI310" s="38"/>
      <c r="CJ310" s="38"/>
      <c r="CK310" s="38"/>
      <c r="CL310" s="38"/>
      <c r="CM310" s="38"/>
      <c r="CN310" s="38"/>
      <c r="CO310" s="38"/>
      <c r="CP310" s="38"/>
      <c r="CQ310" s="38"/>
      <c r="CR310" s="38"/>
      <c r="CS310" s="38"/>
      <c r="CT310" s="38"/>
      <c r="CU310" s="38"/>
      <c r="CV310" s="38"/>
      <c r="CW310" s="38"/>
      <c r="CX310" s="38"/>
      <c r="CY310" s="38"/>
      <c r="CZ310" s="38"/>
    </row>
    <row r="311" spans="1:104" s="40" customFormat="1" ht="20.149999999999999" customHeight="1">
      <c r="A311" s="358">
        <f t="shared" si="73"/>
        <v>310</v>
      </c>
      <c r="B311" s="359" t="str">
        <f>'Front Sheet and Checklist'!$C$5</f>
        <v>Swansea Bay UHB</v>
      </c>
      <c r="C311" s="17"/>
      <c r="D311" s="17"/>
      <c r="E311" s="17"/>
      <c r="F311" s="17"/>
      <c r="G311" s="17"/>
      <c r="H311" s="17"/>
      <c r="I311" s="361">
        <f t="shared" si="63"/>
        <v>0</v>
      </c>
      <c r="J311" s="17"/>
      <c r="K311" s="18"/>
      <c r="L311" s="18"/>
      <c r="M311" s="17"/>
      <c r="N311" s="17"/>
      <c r="O311" s="17"/>
      <c r="P311" s="17"/>
      <c r="Q311" s="169"/>
      <c r="R311" s="24"/>
      <c r="S311" s="24"/>
      <c r="T311" s="24"/>
      <c r="U311" s="25"/>
      <c r="V311" s="25"/>
      <c r="W311" s="25"/>
      <c r="X311" s="24"/>
      <c r="Y311" s="24"/>
      <c r="Z311" s="24"/>
      <c r="AA311" s="24"/>
      <c r="AB311" s="24"/>
      <c r="AC311" s="24"/>
      <c r="AD311" s="361">
        <f t="shared" si="62"/>
        <v>0</v>
      </c>
      <c r="AE311" s="359" t="str">
        <f t="shared" si="65"/>
        <v/>
      </c>
      <c r="AF311" s="359" t="str">
        <f t="shared" si="74"/>
        <v/>
      </c>
      <c r="AG311" s="359" t="str">
        <f t="shared" si="66"/>
        <v/>
      </c>
      <c r="AH311" s="359" t="str">
        <f t="shared" si="67"/>
        <v/>
      </c>
      <c r="AI311" s="359" t="str">
        <f t="shared" si="68"/>
        <v/>
      </c>
      <c r="AJ311" s="359" t="str">
        <f t="shared" si="69"/>
        <v/>
      </c>
      <c r="AK311" s="359" t="str">
        <f t="shared" si="71"/>
        <v/>
      </c>
      <c r="AL311" s="359" t="str">
        <f t="shared" si="70"/>
        <v/>
      </c>
      <c r="AM311" s="359" t="str">
        <f t="shared" si="72"/>
        <v/>
      </c>
      <c r="AN311" s="262">
        <f t="shared" si="75"/>
        <v>0</v>
      </c>
      <c r="AO311" s="262" t="str">
        <f>IFERROR(HLOOKUP(AN311,'Ref Lists'!Q$1:AL$2,2,FALSE),'Ref Lists'!$AK$2)</f>
        <v>Savings21</v>
      </c>
      <c r="AP311" s="38"/>
      <c r="AQ311" s="38">
        <f t="shared" si="64"/>
        <v>0</v>
      </c>
      <c r="AR311" s="38"/>
      <c r="AS311" s="38"/>
      <c r="AT311" s="38"/>
      <c r="AU311" s="38"/>
      <c r="AV311" s="38"/>
      <c r="AW311" s="38"/>
      <c r="AX311" s="38"/>
      <c r="AY311" s="38"/>
      <c r="AZ311" s="38"/>
      <c r="BA311" s="38"/>
      <c r="BB311" s="38"/>
      <c r="BC311" s="38"/>
      <c r="BD311" s="38"/>
      <c r="BE311" s="38"/>
      <c r="BF311" s="38"/>
      <c r="BG311" s="38"/>
      <c r="BH311" s="38"/>
      <c r="BI311" s="38"/>
      <c r="BJ311" s="38"/>
      <c r="BK311" s="38"/>
      <c r="BL311" s="38"/>
      <c r="BM311" s="38"/>
      <c r="BN311" s="38"/>
      <c r="BO311" s="38"/>
      <c r="BP311" s="38"/>
      <c r="BQ311" s="38"/>
      <c r="BR311" s="38"/>
      <c r="BS311" s="38"/>
      <c r="BT311" s="38"/>
      <c r="BU311" s="38"/>
      <c r="BV311" s="38"/>
      <c r="BW311" s="38"/>
      <c r="BX311" s="38"/>
      <c r="BY311" s="38"/>
      <c r="BZ311" s="38"/>
      <c r="CA311" s="38"/>
      <c r="CB311" s="38"/>
      <c r="CC311" s="38"/>
      <c r="CD311" s="38"/>
      <c r="CE311" s="38"/>
      <c r="CF311" s="38"/>
      <c r="CG311" s="38"/>
      <c r="CH311" s="38"/>
      <c r="CI311" s="38"/>
      <c r="CJ311" s="38"/>
      <c r="CK311" s="38"/>
      <c r="CL311" s="38"/>
      <c r="CM311" s="38"/>
      <c r="CN311" s="38"/>
      <c r="CO311" s="38"/>
      <c r="CP311" s="38"/>
      <c r="CQ311" s="38"/>
      <c r="CR311" s="38"/>
      <c r="CS311" s="38"/>
      <c r="CT311" s="38"/>
      <c r="CU311" s="38"/>
      <c r="CV311" s="38"/>
      <c r="CW311" s="38"/>
      <c r="CX311" s="38"/>
      <c r="CY311" s="38"/>
      <c r="CZ311" s="38"/>
    </row>
    <row r="312" spans="1:104" s="40" customFormat="1" ht="20.149999999999999" customHeight="1">
      <c r="A312" s="358">
        <f t="shared" si="73"/>
        <v>311</v>
      </c>
      <c r="B312" s="359" t="str">
        <f>'Front Sheet and Checklist'!$C$5</f>
        <v>Swansea Bay UHB</v>
      </c>
      <c r="C312" s="17"/>
      <c r="D312" s="17"/>
      <c r="E312" s="17"/>
      <c r="F312" s="17"/>
      <c r="G312" s="17"/>
      <c r="H312" s="17"/>
      <c r="I312" s="361">
        <f t="shared" si="63"/>
        <v>0</v>
      </c>
      <c r="J312" s="17"/>
      <c r="K312" s="18"/>
      <c r="L312" s="18"/>
      <c r="M312" s="17"/>
      <c r="N312" s="17"/>
      <c r="O312" s="17"/>
      <c r="P312" s="17"/>
      <c r="Q312" s="169"/>
      <c r="R312" s="24"/>
      <c r="S312" s="24"/>
      <c r="T312" s="24"/>
      <c r="U312" s="25"/>
      <c r="V312" s="25"/>
      <c r="W312" s="25"/>
      <c r="X312" s="24"/>
      <c r="Y312" s="24"/>
      <c r="Z312" s="24"/>
      <c r="AA312" s="24"/>
      <c r="AB312" s="24"/>
      <c r="AC312" s="24"/>
      <c r="AD312" s="361">
        <f t="shared" si="62"/>
        <v>0</v>
      </c>
      <c r="AE312" s="359" t="str">
        <f t="shared" si="65"/>
        <v/>
      </c>
      <c r="AF312" s="359" t="str">
        <f t="shared" si="74"/>
        <v/>
      </c>
      <c r="AG312" s="359" t="str">
        <f t="shared" si="66"/>
        <v/>
      </c>
      <c r="AH312" s="359" t="str">
        <f t="shared" si="67"/>
        <v/>
      </c>
      <c r="AI312" s="359" t="str">
        <f t="shared" si="68"/>
        <v/>
      </c>
      <c r="AJ312" s="359" t="str">
        <f t="shared" si="69"/>
        <v/>
      </c>
      <c r="AK312" s="359" t="str">
        <f t="shared" si="71"/>
        <v/>
      </c>
      <c r="AL312" s="359" t="str">
        <f t="shared" si="70"/>
        <v/>
      </c>
      <c r="AM312" s="359" t="str">
        <f t="shared" si="72"/>
        <v/>
      </c>
      <c r="AN312" s="262">
        <f t="shared" si="75"/>
        <v>0</v>
      </c>
      <c r="AO312" s="262" t="str">
        <f>IFERROR(HLOOKUP(AN312,'Ref Lists'!Q$1:AL$2,2,FALSE),'Ref Lists'!$AK$2)</f>
        <v>Savings21</v>
      </c>
      <c r="AP312" s="38"/>
      <c r="AQ312" s="38">
        <f t="shared" si="64"/>
        <v>0</v>
      </c>
      <c r="AR312" s="38"/>
      <c r="AS312" s="38"/>
      <c r="AT312" s="38"/>
      <c r="AU312" s="38"/>
      <c r="AV312" s="38"/>
      <c r="AW312" s="38"/>
      <c r="AX312" s="38"/>
      <c r="AY312" s="38"/>
      <c r="AZ312" s="38"/>
      <c r="BA312" s="38"/>
      <c r="BB312" s="38"/>
      <c r="BC312" s="38"/>
      <c r="BD312" s="38"/>
      <c r="BE312" s="38"/>
      <c r="BF312" s="38"/>
      <c r="BG312" s="38"/>
      <c r="BH312" s="38"/>
      <c r="BI312" s="38"/>
      <c r="BJ312" s="38"/>
      <c r="BK312" s="38"/>
      <c r="BL312" s="38"/>
      <c r="BM312" s="38"/>
      <c r="BN312" s="38"/>
      <c r="BO312" s="38"/>
      <c r="BP312" s="38"/>
      <c r="BQ312" s="38"/>
      <c r="BR312" s="38"/>
      <c r="BS312" s="38"/>
      <c r="BT312" s="38"/>
      <c r="BU312" s="38"/>
      <c r="BV312" s="38"/>
      <c r="BW312" s="38"/>
      <c r="BX312" s="38"/>
      <c r="BY312" s="38"/>
      <c r="BZ312" s="38"/>
      <c r="CA312" s="38"/>
      <c r="CB312" s="38"/>
      <c r="CC312" s="38"/>
      <c r="CD312" s="38"/>
      <c r="CE312" s="38"/>
      <c r="CF312" s="38"/>
      <c r="CG312" s="38"/>
      <c r="CH312" s="38"/>
      <c r="CI312" s="38"/>
      <c r="CJ312" s="38"/>
      <c r="CK312" s="38"/>
      <c r="CL312" s="38"/>
      <c r="CM312" s="38"/>
      <c r="CN312" s="38"/>
      <c r="CO312" s="38"/>
      <c r="CP312" s="38"/>
      <c r="CQ312" s="38"/>
      <c r="CR312" s="38"/>
      <c r="CS312" s="38"/>
      <c r="CT312" s="38"/>
      <c r="CU312" s="38"/>
      <c r="CV312" s="38"/>
      <c r="CW312" s="38"/>
      <c r="CX312" s="38"/>
      <c r="CY312" s="38"/>
      <c r="CZ312" s="38"/>
    </row>
    <row r="313" spans="1:104" s="40" customFormat="1" ht="20.149999999999999" customHeight="1">
      <c r="A313" s="358">
        <f t="shared" si="73"/>
        <v>312</v>
      </c>
      <c r="B313" s="359" t="str">
        <f>'Front Sheet and Checklist'!$C$5</f>
        <v>Swansea Bay UHB</v>
      </c>
      <c r="C313" s="17"/>
      <c r="D313" s="17"/>
      <c r="E313" s="17"/>
      <c r="F313" s="17"/>
      <c r="G313" s="17"/>
      <c r="H313" s="17"/>
      <c r="I313" s="361">
        <f t="shared" si="63"/>
        <v>0</v>
      </c>
      <c r="J313" s="17"/>
      <c r="K313" s="18"/>
      <c r="L313" s="18"/>
      <c r="M313" s="17"/>
      <c r="N313" s="17"/>
      <c r="O313" s="17"/>
      <c r="P313" s="17"/>
      <c r="Q313" s="169"/>
      <c r="R313" s="24"/>
      <c r="S313" s="24"/>
      <c r="T313" s="24"/>
      <c r="U313" s="25"/>
      <c r="V313" s="25"/>
      <c r="W313" s="25"/>
      <c r="X313" s="24"/>
      <c r="Y313" s="24"/>
      <c r="Z313" s="24"/>
      <c r="AA313" s="24"/>
      <c r="AB313" s="24"/>
      <c r="AC313" s="24"/>
      <c r="AD313" s="361">
        <f t="shared" si="62"/>
        <v>0</v>
      </c>
      <c r="AE313" s="359" t="str">
        <f t="shared" si="65"/>
        <v/>
      </c>
      <c r="AF313" s="359" t="str">
        <f t="shared" si="74"/>
        <v/>
      </c>
      <c r="AG313" s="359" t="str">
        <f t="shared" si="66"/>
        <v/>
      </c>
      <c r="AH313" s="359" t="str">
        <f t="shared" si="67"/>
        <v/>
      </c>
      <c r="AI313" s="359" t="str">
        <f t="shared" si="68"/>
        <v/>
      </c>
      <c r="AJ313" s="359" t="str">
        <f t="shared" si="69"/>
        <v/>
      </c>
      <c r="AK313" s="359" t="str">
        <f t="shared" si="71"/>
        <v/>
      </c>
      <c r="AL313" s="359" t="str">
        <f t="shared" si="70"/>
        <v/>
      </c>
      <c r="AM313" s="359" t="str">
        <f t="shared" si="72"/>
        <v/>
      </c>
      <c r="AN313" s="262">
        <f t="shared" si="75"/>
        <v>0</v>
      </c>
      <c r="AO313" s="262" t="str">
        <f>IFERROR(HLOOKUP(AN313,'Ref Lists'!Q$1:AL$2,2,FALSE),'Ref Lists'!$AK$2)</f>
        <v>Savings21</v>
      </c>
      <c r="AP313" s="38"/>
      <c r="AQ313" s="38">
        <f t="shared" si="64"/>
        <v>0</v>
      </c>
      <c r="AR313" s="38"/>
      <c r="AS313" s="38"/>
      <c r="AT313" s="38"/>
      <c r="AU313" s="38"/>
      <c r="AV313" s="38"/>
      <c r="AW313" s="38"/>
      <c r="AX313" s="38"/>
      <c r="AY313" s="38"/>
      <c r="AZ313" s="38"/>
      <c r="BA313" s="38"/>
      <c r="BB313" s="38"/>
      <c r="BC313" s="38"/>
      <c r="BD313" s="38"/>
      <c r="BE313" s="38"/>
      <c r="BF313" s="38"/>
      <c r="BG313" s="38"/>
      <c r="BH313" s="38"/>
      <c r="BI313" s="38"/>
      <c r="BJ313" s="38"/>
      <c r="BK313" s="38"/>
      <c r="BL313" s="38"/>
      <c r="BM313" s="38"/>
      <c r="BN313" s="38"/>
      <c r="BO313" s="38"/>
      <c r="BP313" s="38"/>
      <c r="BQ313" s="38"/>
      <c r="BR313" s="38"/>
      <c r="BS313" s="38"/>
      <c r="BT313" s="38"/>
      <c r="BU313" s="38"/>
      <c r="BV313" s="38"/>
      <c r="BW313" s="38"/>
      <c r="BX313" s="38"/>
      <c r="BY313" s="38"/>
      <c r="BZ313" s="38"/>
      <c r="CA313" s="38"/>
      <c r="CB313" s="38"/>
      <c r="CC313" s="38"/>
      <c r="CD313" s="38"/>
      <c r="CE313" s="38"/>
      <c r="CF313" s="38"/>
      <c r="CG313" s="38"/>
      <c r="CH313" s="38"/>
      <c r="CI313" s="38"/>
      <c r="CJ313" s="38"/>
      <c r="CK313" s="38"/>
      <c r="CL313" s="38"/>
      <c r="CM313" s="38"/>
      <c r="CN313" s="38"/>
      <c r="CO313" s="38"/>
      <c r="CP313" s="38"/>
      <c r="CQ313" s="38"/>
      <c r="CR313" s="38"/>
      <c r="CS313" s="38"/>
      <c r="CT313" s="38"/>
      <c r="CU313" s="38"/>
      <c r="CV313" s="38"/>
      <c r="CW313" s="38"/>
      <c r="CX313" s="38"/>
      <c r="CY313" s="38"/>
      <c r="CZ313" s="38"/>
    </row>
    <row r="314" spans="1:104" s="40" customFormat="1" ht="20.149999999999999" customHeight="1">
      <c r="A314" s="358">
        <f t="shared" si="73"/>
        <v>313</v>
      </c>
      <c r="B314" s="359" t="str">
        <f>'Front Sheet and Checklist'!$C$5</f>
        <v>Swansea Bay UHB</v>
      </c>
      <c r="C314" s="17"/>
      <c r="D314" s="17"/>
      <c r="E314" s="17"/>
      <c r="F314" s="17"/>
      <c r="G314" s="17"/>
      <c r="H314" s="17"/>
      <c r="I314" s="361">
        <f t="shared" si="63"/>
        <v>0</v>
      </c>
      <c r="J314" s="17"/>
      <c r="K314" s="18"/>
      <c r="L314" s="18"/>
      <c r="M314" s="17"/>
      <c r="N314" s="17"/>
      <c r="O314" s="17"/>
      <c r="P314" s="17"/>
      <c r="Q314" s="169"/>
      <c r="R314" s="24"/>
      <c r="S314" s="24"/>
      <c r="T314" s="24"/>
      <c r="U314" s="25"/>
      <c r="V314" s="25"/>
      <c r="W314" s="25"/>
      <c r="X314" s="24"/>
      <c r="Y314" s="24"/>
      <c r="Z314" s="24"/>
      <c r="AA314" s="24"/>
      <c r="AB314" s="24"/>
      <c r="AC314" s="24"/>
      <c r="AD314" s="361">
        <f t="shared" ref="AD314:AD377" si="76">SUM(R314:AC314)</f>
        <v>0</v>
      </c>
      <c r="AE314" s="359" t="str">
        <f t="shared" si="65"/>
        <v/>
      </c>
      <c r="AF314" s="359" t="str">
        <f t="shared" si="74"/>
        <v/>
      </c>
      <c r="AG314" s="359" t="str">
        <f t="shared" si="66"/>
        <v/>
      </c>
      <c r="AH314" s="359" t="str">
        <f t="shared" si="67"/>
        <v/>
      </c>
      <c r="AI314" s="359" t="str">
        <f t="shared" si="68"/>
        <v/>
      </c>
      <c r="AJ314" s="359" t="str">
        <f t="shared" si="69"/>
        <v/>
      </c>
      <c r="AK314" s="359" t="str">
        <f t="shared" si="71"/>
        <v/>
      </c>
      <c r="AL314" s="359" t="str">
        <f t="shared" si="70"/>
        <v/>
      </c>
      <c r="AM314" s="359" t="str">
        <f t="shared" si="72"/>
        <v/>
      </c>
      <c r="AN314" s="262">
        <f t="shared" si="75"/>
        <v>0</v>
      </c>
      <c r="AO314" s="262" t="str">
        <f>IFERROR(HLOOKUP(AN314,'Ref Lists'!Q$1:AL$2,2,FALSE),'Ref Lists'!$AK$2)</f>
        <v>Savings21</v>
      </c>
      <c r="AP314" s="38"/>
      <c r="AQ314" s="38">
        <f t="shared" si="64"/>
        <v>0</v>
      </c>
      <c r="AR314" s="38"/>
      <c r="AS314" s="38"/>
      <c r="AT314" s="38"/>
      <c r="AU314" s="38"/>
      <c r="AV314" s="38"/>
      <c r="AW314" s="38"/>
      <c r="AX314" s="38"/>
      <c r="AY314" s="38"/>
      <c r="AZ314" s="38"/>
      <c r="BA314" s="38"/>
      <c r="BB314" s="38"/>
      <c r="BC314" s="38"/>
      <c r="BD314" s="38"/>
      <c r="BE314" s="38"/>
      <c r="BF314" s="38"/>
      <c r="BG314" s="38"/>
      <c r="BH314" s="38"/>
      <c r="BI314" s="38"/>
      <c r="BJ314" s="38"/>
      <c r="BK314" s="38"/>
      <c r="BL314" s="38"/>
      <c r="BM314" s="38"/>
      <c r="BN314" s="38"/>
      <c r="BO314" s="38"/>
      <c r="BP314" s="38"/>
      <c r="BQ314" s="38"/>
      <c r="BR314" s="38"/>
      <c r="BS314" s="38"/>
      <c r="BT314" s="38"/>
      <c r="BU314" s="38"/>
      <c r="BV314" s="38"/>
      <c r="BW314" s="38"/>
      <c r="BX314" s="38"/>
      <c r="BY314" s="38"/>
      <c r="BZ314" s="38"/>
      <c r="CA314" s="38"/>
      <c r="CB314" s="38"/>
      <c r="CC314" s="38"/>
      <c r="CD314" s="38"/>
      <c r="CE314" s="38"/>
      <c r="CF314" s="38"/>
      <c r="CG314" s="38"/>
      <c r="CH314" s="38"/>
      <c r="CI314" s="38"/>
      <c r="CJ314" s="38"/>
      <c r="CK314" s="38"/>
      <c r="CL314" s="38"/>
      <c r="CM314" s="38"/>
      <c r="CN314" s="38"/>
      <c r="CO314" s="38"/>
      <c r="CP314" s="38"/>
      <c r="CQ314" s="38"/>
      <c r="CR314" s="38"/>
      <c r="CS314" s="38"/>
      <c r="CT314" s="38"/>
      <c r="CU314" s="38"/>
      <c r="CV314" s="38"/>
      <c r="CW314" s="38"/>
      <c r="CX314" s="38"/>
      <c r="CY314" s="38"/>
      <c r="CZ314" s="38"/>
    </row>
    <row r="315" spans="1:104" s="40" customFormat="1" ht="20.149999999999999" customHeight="1">
      <c r="A315" s="358">
        <f t="shared" si="73"/>
        <v>314</v>
      </c>
      <c r="B315" s="359" t="str">
        <f>'Front Sheet and Checklist'!$C$5</f>
        <v>Swansea Bay UHB</v>
      </c>
      <c r="C315" s="17"/>
      <c r="D315" s="17"/>
      <c r="E315" s="17"/>
      <c r="F315" s="17"/>
      <c r="G315" s="17"/>
      <c r="H315" s="17"/>
      <c r="I315" s="361">
        <f t="shared" ref="I315:I378" si="77">AD315</f>
        <v>0</v>
      </c>
      <c r="J315" s="17"/>
      <c r="K315" s="18"/>
      <c r="L315" s="18"/>
      <c r="M315" s="17"/>
      <c r="N315" s="17"/>
      <c r="O315" s="17"/>
      <c r="P315" s="17"/>
      <c r="Q315" s="169"/>
      <c r="R315" s="24"/>
      <c r="S315" s="24"/>
      <c r="T315" s="24"/>
      <c r="U315" s="25"/>
      <c r="V315" s="25"/>
      <c r="W315" s="25"/>
      <c r="X315" s="24"/>
      <c r="Y315" s="24"/>
      <c r="Z315" s="24"/>
      <c r="AA315" s="24"/>
      <c r="AB315" s="24"/>
      <c r="AC315" s="24"/>
      <c r="AD315" s="361">
        <f t="shared" si="76"/>
        <v>0</v>
      </c>
      <c r="AE315" s="359" t="str">
        <f t="shared" si="65"/>
        <v/>
      </c>
      <c r="AF315" s="359" t="str">
        <f t="shared" si="74"/>
        <v/>
      </c>
      <c r="AG315" s="359" t="str">
        <f t="shared" si="66"/>
        <v/>
      </c>
      <c r="AH315" s="359" t="str">
        <f t="shared" si="67"/>
        <v/>
      </c>
      <c r="AI315" s="359" t="str">
        <f t="shared" si="68"/>
        <v/>
      </c>
      <c r="AJ315" s="359" t="str">
        <f t="shared" si="69"/>
        <v/>
      </c>
      <c r="AK315" s="359" t="str">
        <f t="shared" si="71"/>
        <v/>
      </c>
      <c r="AL315" s="359" t="str">
        <f t="shared" si="70"/>
        <v/>
      </c>
      <c r="AM315" s="359" t="str">
        <f t="shared" si="72"/>
        <v/>
      </c>
      <c r="AN315" s="262">
        <f t="shared" si="75"/>
        <v>0</v>
      </c>
      <c r="AO315" s="262" t="str">
        <f>IFERROR(HLOOKUP(AN315,'Ref Lists'!Q$1:AL$2,2,FALSE),'Ref Lists'!$AK$2)</f>
        <v>Savings21</v>
      </c>
      <c r="AP315" s="38"/>
      <c r="AQ315" s="38">
        <f t="shared" ref="AQ315:AQ378" si="78">COUNTIFS(AE315:AL315,"Error")</f>
        <v>0</v>
      </c>
      <c r="AR315" s="38"/>
      <c r="AS315" s="38"/>
      <c r="AT315" s="38"/>
      <c r="AU315" s="38"/>
      <c r="AV315" s="38"/>
      <c r="AW315" s="38"/>
      <c r="AX315" s="38"/>
      <c r="AY315" s="38"/>
      <c r="AZ315" s="38"/>
      <c r="BA315" s="38"/>
      <c r="BB315" s="38"/>
      <c r="BC315" s="38"/>
      <c r="BD315" s="38"/>
      <c r="BE315" s="38"/>
      <c r="BF315" s="38"/>
      <c r="BG315" s="38"/>
      <c r="BH315" s="38"/>
      <c r="BI315" s="38"/>
      <c r="BJ315" s="38"/>
      <c r="BK315" s="38"/>
      <c r="BL315" s="38"/>
      <c r="BM315" s="38"/>
      <c r="BN315" s="38"/>
      <c r="BO315" s="38"/>
      <c r="BP315" s="38"/>
      <c r="BQ315" s="38"/>
      <c r="BR315" s="38"/>
      <c r="BS315" s="38"/>
      <c r="BT315" s="38"/>
      <c r="BU315" s="38"/>
      <c r="BV315" s="38"/>
      <c r="BW315" s="38"/>
      <c r="BX315" s="38"/>
      <c r="BY315" s="38"/>
      <c r="BZ315" s="38"/>
      <c r="CA315" s="38"/>
      <c r="CB315" s="38"/>
      <c r="CC315" s="38"/>
      <c r="CD315" s="38"/>
      <c r="CE315" s="38"/>
      <c r="CF315" s="38"/>
      <c r="CG315" s="38"/>
      <c r="CH315" s="38"/>
      <c r="CI315" s="38"/>
      <c r="CJ315" s="38"/>
      <c r="CK315" s="38"/>
      <c r="CL315" s="38"/>
      <c r="CM315" s="38"/>
      <c r="CN315" s="38"/>
      <c r="CO315" s="38"/>
      <c r="CP315" s="38"/>
      <c r="CQ315" s="38"/>
      <c r="CR315" s="38"/>
      <c r="CS315" s="38"/>
      <c r="CT315" s="38"/>
      <c r="CU315" s="38"/>
      <c r="CV315" s="38"/>
      <c r="CW315" s="38"/>
      <c r="CX315" s="38"/>
      <c r="CY315" s="38"/>
      <c r="CZ315" s="38"/>
    </row>
    <row r="316" spans="1:104" s="40" customFormat="1" ht="20.149999999999999" customHeight="1">
      <c r="A316" s="358">
        <f t="shared" si="73"/>
        <v>315</v>
      </c>
      <c r="B316" s="359" t="str">
        <f>'Front Sheet and Checklist'!$C$5</f>
        <v>Swansea Bay UHB</v>
      </c>
      <c r="C316" s="17"/>
      <c r="D316" s="17"/>
      <c r="E316" s="17"/>
      <c r="F316" s="17"/>
      <c r="G316" s="17"/>
      <c r="H316" s="17"/>
      <c r="I316" s="361">
        <f t="shared" si="77"/>
        <v>0</v>
      </c>
      <c r="J316" s="17"/>
      <c r="K316" s="18"/>
      <c r="L316" s="18"/>
      <c r="M316" s="17"/>
      <c r="N316" s="17"/>
      <c r="O316" s="17"/>
      <c r="P316" s="17"/>
      <c r="Q316" s="169"/>
      <c r="R316" s="24"/>
      <c r="S316" s="24"/>
      <c r="T316" s="24"/>
      <c r="U316" s="25"/>
      <c r="V316" s="25"/>
      <c r="W316" s="25"/>
      <c r="X316" s="24"/>
      <c r="Y316" s="24"/>
      <c r="Z316" s="24"/>
      <c r="AA316" s="24"/>
      <c r="AB316" s="24"/>
      <c r="AC316" s="24"/>
      <c r="AD316" s="361">
        <f t="shared" si="76"/>
        <v>0</v>
      </c>
      <c r="AE316" s="359" t="str">
        <f t="shared" si="65"/>
        <v/>
      </c>
      <c r="AF316" s="359" t="str">
        <f t="shared" si="74"/>
        <v/>
      </c>
      <c r="AG316" s="359" t="str">
        <f t="shared" si="66"/>
        <v/>
      </c>
      <c r="AH316" s="359" t="str">
        <f t="shared" si="67"/>
        <v/>
      </c>
      <c r="AI316" s="359" t="str">
        <f t="shared" si="68"/>
        <v/>
      </c>
      <c r="AJ316" s="359" t="str">
        <f t="shared" si="69"/>
        <v/>
      </c>
      <c r="AK316" s="359" t="str">
        <f t="shared" si="71"/>
        <v/>
      </c>
      <c r="AL316" s="359" t="str">
        <f t="shared" si="70"/>
        <v/>
      </c>
      <c r="AM316" s="359" t="str">
        <f t="shared" si="72"/>
        <v/>
      </c>
      <c r="AN316" s="262">
        <f t="shared" si="75"/>
        <v>0</v>
      </c>
      <c r="AO316" s="262" t="str">
        <f>IFERROR(HLOOKUP(AN316,'Ref Lists'!Q$1:AL$2,2,FALSE),'Ref Lists'!$AK$2)</f>
        <v>Savings21</v>
      </c>
      <c r="AP316" s="38"/>
      <c r="AQ316" s="38">
        <f t="shared" si="78"/>
        <v>0</v>
      </c>
      <c r="AR316" s="38"/>
      <c r="AS316" s="38"/>
      <c r="AT316" s="38"/>
      <c r="AU316" s="38"/>
      <c r="AV316" s="38"/>
      <c r="AW316" s="38"/>
      <c r="AX316" s="38"/>
      <c r="AY316" s="38"/>
      <c r="AZ316" s="38"/>
      <c r="BA316" s="38"/>
      <c r="BB316" s="38"/>
      <c r="BC316" s="38"/>
      <c r="BD316" s="38"/>
      <c r="BE316" s="38"/>
      <c r="BF316" s="38"/>
      <c r="BG316" s="38"/>
      <c r="BH316" s="38"/>
      <c r="BI316" s="38"/>
      <c r="BJ316" s="38"/>
      <c r="BK316" s="38"/>
      <c r="BL316" s="38"/>
      <c r="BM316" s="38"/>
      <c r="BN316" s="38"/>
      <c r="BO316" s="38"/>
      <c r="BP316" s="38"/>
      <c r="BQ316" s="38"/>
      <c r="BR316" s="38"/>
      <c r="BS316" s="38"/>
      <c r="BT316" s="38"/>
      <c r="BU316" s="38"/>
      <c r="BV316" s="38"/>
      <c r="BW316" s="38"/>
      <c r="BX316" s="38"/>
      <c r="BY316" s="38"/>
      <c r="BZ316" s="38"/>
      <c r="CA316" s="38"/>
      <c r="CB316" s="38"/>
      <c r="CC316" s="38"/>
      <c r="CD316" s="38"/>
      <c r="CE316" s="38"/>
      <c r="CF316" s="38"/>
      <c r="CG316" s="38"/>
      <c r="CH316" s="38"/>
      <c r="CI316" s="38"/>
      <c r="CJ316" s="38"/>
      <c r="CK316" s="38"/>
      <c r="CL316" s="38"/>
      <c r="CM316" s="38"/>
      <c r="CN316" s="38"/>
      <c r="CO316" s="38"/>
      <c r="CP316" s="38"/>
      <c r="CQ316" s="38"/>
      <c r="CR316" s="38"/>
      <c r="CS316" s="38"/>
      <c r="CT316" s="38"/>
      <c r="CU316" s="38"/>
      <c r="CV316" s="38"/>
      <c r="CW316" s="38"/>
      <c r="CX316" s="38"/>
      <c r="CY316" s="38"/>
      <c r="CZ316" s="38"/>
    </row>
    <row r="317" spans="1:104" s="40" customFormat="1" ht="20.149999999999999" customHeight="1">
      <c r="A317" s="358">
        <f t="shared" si="73"/>
        <v>316</v>
      </c>
      <c r="B317" s="359" t="str">
        <f>'Front Sheet and Checklist'!$C$5</f>
        <v>Swansea Bay UHB</v>
      </c>
      <c r="C317" s="17"/>
      <c r="D317" s="17"/>
      <c r="E317" s="17"/>
      <c r="F317" s="17"/>
      <c r="G317" s="17"/>
      <c r="H317" s="17"/>
      <c r="I317" s="361">
        <f t="shared" si="77"/>
        <v>0</v>
      </c>
      <c r="J317" s="17"/>
      <c r="K317" s="18"/>
      <c r="L317" s="18"/>
      <c r="M317" s="17"/>
      <c r="N317" s="17"/>
      <c r="O317" s="17"/>
      <c r="P317" s="17"/>
      <c r="Q317" s="169"/>
      <c r="R317" s="24"/>
      <c r="S317" s="24"/>
      <c r="T317" s="24"/>
      <c r="U317" s="25"/>
      <c r="V317" s="25"/>
      <c r="W317" s="25"/>
      <c r="X317" s="24"/>
      <c r="Y317" s="24"/>
      <c r="Z317" s="24"/>
      <c r="AA317" s="24"/>
      <c r="AB317" s="24"/>
      <c r="AC317" s="24"/>
      <c r="AD317" s="361">
        <f t="shared" si="76"/>
        <v>0</v>
      </c>
      <c r="AE317" s="359" t="str">
        <f t="shared" si="65"/>
        <v/>
      </c>
      <c r="AF317" s="359" t="str">
        <f t="shared" si="74"/>
        <v/>
      </c>
      <c r="AG317" s="359" t="str">
        <f t="shared" si="66"/>
        <v/>
      </c>
      <c r="AH317" s="359" t="str">
        <f t="shared" si="67"/>
        <v/>
      </c>
      <c r="AI317" s="359" t="str">
        <f t="shared" si="68"/>
        <v/>
      </c>
      <c r="AJ317" s="359" t="str">
        <f t="shared" si="69"/>
        <v/>
      </c>
      <c r="AK317" s="359" t="str">
        <f t="shared" si="71"/>
        <v/>
      </c>
      <c r="AL317" s="359" t="str">
        <f t="shared" si="70"/>
        <v/>
      </c>
      <c r="AM317" s="359" t="str">
        <f t="shared" si="72"/>
        <v/>
      </c>
      <c r="AN317" s="262">
        <f t="shared" si="75"/>
        <v>0</v>
      </c>
      <c r="AO317" s="262" t="str">
        <f>IFERROR(HLOOKUP(AN317,'Ref Lists'!Q$1:AL$2,2,FALSE),'Ref Lists'!$AK$2)</f>
        <v>Savings21</v>
      </c>
      <c r="AP317" s="38"/>
      <c r="AQ317" s="38">
        <f t="shared" si="78"/>
        <v>0</v>
      </c>
      <c r="AR317" s="38"/>
      <c r="AS317" s="38"/>
      <c r="AT317" s="38"/>
      <c r="AU317" s="38"/>
      <c r="AV317" s="38"/>
      <c r="AW317" s="38"/>
      <c r="AX317" s="38"/>
      <c r="AY317" s="38"/>
      <c r="AZ317" s="38"/>
      <c r="BA317" s="38"/>
      <c r="BB317" s="38"/>
      <c r="BC317" s="38"/>
      <c r="BD317" s="38"/>
      <c r="BE317" s="38"/>
      <c r="BF317" s="38"/>
      <c r="BG317" s="38"/>
      <c r="BH317" s="38"/>
      <c r="BI317" s="38"/>
      <c r="BJ317" s="38"/>
      <c r="BK317" s="38"/>
      <c r="BL317" s="38"/>
      <c r="BM317" s="38"/>
      <c r="BN317" s="38"/>
      <c r="BO317" s="38"/>
      <c r="BP317" s="38"/>
      <c r="BQ317" s="38"/>
      <c r="BR317" s="38"/>
      <c r="BS317" s="38"/>
      <c r="BT317" s="38"/>
      <c r="BU317" s="38"/>
      <c r="BV317" s="38"/>
      <c r="BW317" s="38"/>
      <c r="BX317" s="38"/>
      <c r="BY317" s="38"/>
      <c r="BZ317" s="38"/>
      <c r="CA317" s="38"/>
      <c r="CB317" s="38"/>
      <c r="CC317" s="38"/>
      <c r="CD317" s="38"/>
      <c r="CE317" s="38"/>
      <c r="CF317" s="38"/>
      <c r="CG317" s="38"/>
      <c r="CH317" s="38"/>
      <c r="CI317" s="38"/>
      <c r="CJ317" s="38"/>
      <c r="CK317" s="38"/>
      <c r="CL317" s="38"/>
      <c r="CM317" s="38"/>
      <c r="CN317" s="38"/>
      <c r="CO317" s="38"/>
      <c r="CP317" s="38"/>
      <c r="CQ317" s="38"/>
      <c r="CR317" s="38"/>
      <c r="CS317" s="38"/>
      <c r="CT317" s="38"/>
      <c r="CU317" s="38"/>
      <c r="CV317" s="38"/>
      <c r="CW317" s="38"/>
      <c r="CX317" s="38"/>
      <c r="CY317" s="38"/>
      <c r="CZ317" s="38"/>
    </row>
    <row r="318" spans="1:104" s="40" customFormat="1" ht="20.149999999999999" customHeight="1">
      <c r="A318" s="358">
        <f t="shared" si="73"/>
        <v>317</v>
      </c>
      <c r="B318" s="359" t="str">
        <f>'Front Sheet and Checklist'!$C$5</f>
        <v>Swansea Bay UHB</v>
      </c>
      <c r="C318" s="17"/>
      <c r="D318" s="17"/>
      <c r="E318" s="17"/>
      <c r="F318" s="17"/>
      <c r="G318" s="17"/>
      <c r="H318" s="17"/>
      <c r="I318" s="361">
        <f t="shared" si="77"/>
        <v>0</v>
      </c>
      <c r="J318" s="17"/>
      <c r="K318" s="18"/>
      <c r="L318" s="18"/>
      <c r="M318" s="17"/>
      <c r="N318" s="17"/>
      <c r="O318" s="17"/>
      <c r="P318" s="17"/>
      <c r="Q318" s="169"/>
      <c r="R318" s="24"/>
      <c r="S318" s="24"/>
      <c r="T318" s="24"/>
      <c r="U318" s="25"/>
      <c r="V318" s="25"/>
      <c r="W318" s="25"/>
      <c r="X318" s="24"/>
      <c r="Y318" s="24"/>
      <c r="Z318" s="24"/>
      <c r="AA318" s="24"/>
      <c r="AB318" s="24"/>
      <c r="AC318" s="24"/>
      <c r="AD318" s="361">
        <f t="shared" si="76"/>
        <v>0</v>
      </c>
      <c r="AE318" s="359" t="str">
        <f t="shared" si="65"/>
        <v/>
      </c>
      <c r="AF318" s="359" t="str">
        <f t="shared" si="74"/>
        <v/>
      </c>
      <c r="AG318" s="359" t="str">
        <f t="shared" si="66"/>
        <v/>
      </c>
      <c r="AH318" s="359" t="str">
        <f t="shared" si="67"/>
        <v/>
      </c>
      <c r="AI318" s="359" t="str">
        <f t="shared" si="68"/>
        <v/>
      </c>
      <c r="AJ318" s="359" t="str">
        <f t="shared" si="69"/>
        <v/>
      </c>
      <c r="AK318" s="359" t="str">
        <f t="shared" si="71"/>
        <v/>
      </c>
      <c r="AL318" s="359" t="str">
        <f t="shared" si="70"/>
        <v/>
      </c>
      <c r="AM318" s="359" t="str">
        <f t="shared" si="72"/>
        <v/>
      </c>
      <c r="AN318" s="262">
        <f t="shared" si="75"/>
        <v>0</v>
      </c>
      <c r="AO318" s="262" t="str">
        <f>IFERROR(HLOOKUP(AN318,'Ref Lists'!Q$1:AL$2,2,FALSE),'Ref Lists'!$AK$2)</f>
        <v>Savings21</v>
      </c>
      <c r="AP318" s="38"/>
      <c r="AQ318" s="38">
        <f t="shared" si="78"/>
        <v>0</v>
      </c>
      <c r="AR318" s="38"/>
      <c r="AS318" s="38"/>
      <c r="AT318" s="38"/>
      <c r="AU318" s="38"/>
      <c r="AV318" s="38"/>
      <c r="AW318" s="38"/>
      <c r="AX318" s="38"/>
      <c r="AY318" s="38"/>
      <c r="AZ318" s="38"/>
      <c r="BA318" s="38"/>
      <c r="BB318" s="38"/>
      <c r="BC318" s="38"/>
      <c r="BD318" s="38"/>
      <c r="BE318" s="38"/>
      <c r="BF318" s="38"/>
      <c r="BG318" s="38"/>
      <c r="BH318" s="38"/>
      <c r="BI318" s="38"/>
      <c r="BJ318" s="38"/>
      <c r="BK318" s="38"/>
      <c r="BL318" s="38"/>
      <c r="BM318" s="38"/>
      <c r="BN318" s="38"/>
      <c r="BO318" s="38"/>
      <c r="BP318" s="38"/>
      <c r="BQ318" s="38"/>
      <c r="BR318" s="38"/>
      <c r="BS318" s="38"/>
      <c r="BT318" s="38"/>
      <c r="BU318" s="38"/>
      <c r="BV318" s="38"/>
      <c r="BW318" s="38"/>
      <c r="BX318" s="38"/>
      <c r="BY318" s="38"/>
      <c r="BZ318" s="38"/>
      <c r="CA318" s="38"/>
      <c r="CB318" s="38"/>
      <c r="CC318" s="38"/>
      <c r="CD318" s="38"/>
      <c r="CE318" s="38"/>
      <c r="CF318" s="38"/>
      <c r="CG318" s="38"/>
      <c r="CH318" s="38"/>
      <c r="CI318" s="38"/>
      <c r="CJ318" s="38"/>
      <c r="CK318" s="38"/>
      <c r="CL318" s="38"/>
      <c r="CM318" s="38"/>
      <c r="CN318" s="38"/>
      <c r="CO318" s="38"/>
      <c r="CP318" s="38"/>
      <c r="CQ318" s="38"/>
      <c r="CR318" s="38"/>
      <c r="CS318" s="38"/>
      <c r="CT318" s="38"/>
      <c r="CU318" s="38"/>
      <c r="CV318" s="38"/>
      <c r="CW318" s="38"/>
      <c r="CX318" s="38"/>
      <c r="CY318" s="38"/>
      <c r="CZ318" s="38"/>
    </row>
    <row r="319" spans="1:104" s="40" customFormat="1" ht="20.149999999999999" customHeight="1">
      <c r="A319" s="358">
        <f t="shared" si="73"/>
        <v>318</v>
      </c>
      <c r="B319" s="359" t="str">
        <f>'Front Sheet and Checklist'!$C$5</f>
        <v>Swansea Bay UHB</v>
      </c>
      <c r="C319" s="17"/>
      <c r="D319" s="17"/>
      <c r="E319" s="17"/>
      <c r="F319" s="17"/>
      <c r="G319" s="17"/>
      <c r="H319" s="17"/>
      <c r="I319" s="361">
        <f t="shared" si="77"/>
        <v>0</v>
      </c>
      <c r="J319" s="17"/>
      <c r="K319" s="18"/>
      <c r="L319" s="18"/>
      <c r="M319" s="17"/>
      <c r="N319" s="17"/>
      <c r="O319" s="17"/>
      <c r="P319" s="17"/>
      <c r="Q319" s="169"/>
      <c r="R319" s="24"/>
      <c r="S319" s="24"/>
      <c r="T319" s="24"/>
      <c r="U319" s="25"/>
      <c r="V319" s="25"/>
      <c r="W319" s="25"/>
      <c r="X319" s="24"/>
      <c r="Y319" s="24"/>
      <c r="Z319" s="24"/>
      <c r="AA319" s="24"/>
      <c r="AB319" s="24"/>
      <c r="AC319" s="24"/>
      <c r="AD319" s="361">
        <f t="shared" si="76"/>
        <v>0</v>
      </c>
      <c r="AE319" s="359" t="str">
        <f t="shared" si="65"/>
        <v/>
      </c>
      <c r="AF319" s="359" t="str">
        <f t="shared" si="74"/>
        <v/>
      </c>
      <c r="AG319" s="359" t="str">
        <f t="shared" si="66"/>
        <v/>
      </c>
      <c r="AH319" s="359" t="str">
        <f t="shared" si="67"/>
        <v/>
      </c>
      <c r="AI319" s="359" t="str">
        <f t="shared" si="68"/>
        <v/>
      </c>
      <c r="AJ319" s="359" t="str">
        <f t="shared" si="69"/>
        <v/>
      </c>
      <c r="AK319" s="359" t="str">
        <f t="shared" si="71"/>
        <v/>
      </c>
      <c r="AL319" s="359" t="str">
        <f t="shared" si="70"/>
        <v/>
      </c>
      <c r="AM319" s="359" t="str">
        <f t="shared" si="72"/>
        <v/>
      </c>
      <c r="AN319" s="262">
        <f t="shared" si="75"/>
        <v>0</v>
      </c>
      <c r="AO319" s="262" t="str">
        <f>IFERROR(HLOOKUP(AN319,'Ref Lists'!Q$1:AL$2,2,FALSE),'Ref Lists'!$AK$2)</f>
        <v>Savings21</v>
      </c>
      <c r="AP319" s="38"/>
      <c r="AQ319" s="38">
        <f t="shared" si="78"/>
        <v>0</v>
      </c>
      <c r="AR319" s="38"/>
      <c r="AS319" s="38"/>
      <c r="AT319" s="38"/>
      <c r="AU319" s="38"/>
      <c r="AV319" s="38"/>
      <c r="AW319" s="38"/>
      <c r="AX319" s="38"/>
      <c r="AY319" s="38"/>
      <c r="AZ319" s="38"/>
      <c r="BA319" s="38"/>
      <c r="BB319" s="38"/>
      <c r="BC319" s="38"/>
      <c r="BD319" s="38"/>
      <c r="BE319" s="38"/>
      <c r="BF319" s="38"/>
      <c r="BG319" s="38"/>
      <c r="BH319" s="38"/>
      <c r="BI319" s="38"/>
      <c r="BJ319" s="38"/>
      <c r="BK319" s="38"/>
      <c r="BL319" s="38"/>
      <c r="BM319" s="38"/>
      <c r="BN319" s="38"/>
      <c r="BO319" s="38"/>
      <c r="BP319" s="38"/>
      <c r="BQ319" s="38"/>
      <c r="BR319" s="38"/>
      <c r="BS319" s="38"/>
      <c r="BT319" s="38"/>
      <c r="BU319" s="38"/>
      <c r="BV319" s="38"/>
      <c r="BW319" s="38"/>
      <c r="BX319" s="38"/>
      <c r="BY319" s="38"/>
      <c r="BZ319" s="38"/>
      <c r="CA319" s="38"/>
      <c r="CB319" s="38"/>
      <c r="CC319" s="38"/>
      <c r="CD319" s="38"/>
      <c r="CE319" s="38"/>
      <c r="CF319" s="38"/>
      <c r="CG319" s="38"/>
      <c r="CH319" s="38"/>
      <c r="CI319" s="38"/>
      <c r="CJ319" s="38"/>
      <c r="CK319" s="38"/>
      <c r="CL319" s="38"/>
      <c r="CM319" s="38"/>
      <c r="CN319" s="38"/>
      <c r="CO319" s="38"/>
      <c r="CP319" s="38"/>
      <c r="CQ319" s="38"/>
      <c r="CR319" s="38"/>
      <c r="CS319" s="38"/>
      <c r="CT319" s="38"/>
      <c r="CU319" s="38"/>
      <c r="CV319" s="38"/>
      <c r="CW319" s="38"/>
      <c r="CX319" s="38"/>
      <c r="CY319" s="38"/>
      <c r="CZ319" s="38"/>
    </row>
    <row r="320" spans="1:104" s="40" customFormat="1" ht="20.149999999999999" customHeight="1">
      <c r="A320" s="358">
        <f t="shared" si="73"/>
        <v>319</v>
      </c>
      <c r="B320" s="359" t="str">
        <f>'Front Sheet and Checklist'!$C$5</f>
        <v>Swansea Bay UHB</v>
      </c>
      <c r="C320" s="17"/>
      <c r="D320" s="17"/>
      <c r="E320" s="17"/>
      <c r="F320" s="17"/>
      <c r="G320" s="17"/>
      <c r="H320" s="17"/>
      <c r="I320" s="361">
        <f t="shared" si="77"/>
        <v>0</v>
      </c>
      <c r="J320" s="17"/>
      <c r="K320" s="18"/>
      <c r="L320" s="18"/>
      <c r="M320" s="17"/>
      <c r="N320" s="17"/>
      <c r="O320" s="17"/>
      <c r="P320" s="17"/>
      <c r="Q320" s="169"/>
      <c r="R320" s="24"/>
      <c r="S320" s="24"/>
      <c r="T320" s="24"/>
      <c r="U320" s="25"/>
      <c r="V320" s="25"/>
      <c r="W320" s="25"/>
      <c r="X320" s="24"/>
      <c r="Y320" s="24"/>
      <c r="Z320" s="24"/>
      <c r="AA320" s="24"/>
      <c r="AB320" s="24"/>
      <c r="AC320" s="24"/>
      <c r="AD320" s="361">
        <f t="shared" si="76"/>
        <v>0</v>
      </c>
      <c r="AE320" s="359" t="str">
        <f t="shared" si="65"/>
        <v/>
      </c>
      <c r="AF320" s="359" t="str">
        <f t="shared" si="74"/>
        <v/>
      </c>
      <c r="AG320" s="359" t="str">
        <f t="shared" si="66"/>
        <v/>
      </c>
      <c r="AH320" s="359" t="str">
        <f t="shared" si="67"/>
        <v/>
      </c>
      <c r="AI320" s="359" t="str">
        <f t="shared" si="68"/>
        <v/>
      </c>
      <c r="AJ320" s="359" t="str">
        <f t="shared" si="69"/>
        <v/>
      </c>
      <c r="AK320" s="359" t="str">
        <f t="shared" si="71"/>
        <v/>
      </c>
      <c r="AL320" s="359" t="str">
        <f t="shared" si="70"/>
        <v/>
      </c>
      <c r="AM320" s="359" t="str">
        <f t="shared" si="72"/>
        <v/>
      </c>
      <c r="AN320" s="262">
        <f t="shared" si="75"/>
        <v>0</v>
      </c>
      <c r="AO320" s="262" t="str">
        <f>IFERROR(HLOOKUP(AN320,'Ref Lists'!Q$1:AL$2,2,FALSE),'Ref Lists'!$AK$2)</f>
        <v>Savings21</v>
      </c>
      <c r="AP320" s="38"/>
      <c r="AQ320" s="38">
        <f t="shared" si="78"/>
        <v>0</v>
      </c>
      <c r="AR320" s="38"/>
      <c r="AS320" s="38"/>
      <c r="AT320" s="38"/>
      <c r="AU320" s="38"/>
      <c r="AV320" s="38"/>
      <c r="AW320" s="38"/>
      <c r="AX320" s="38"/>
      <c r="AY320" s="38"/>
      <c r="AZ320" s="38"/>
      <c r="BA320" s="38"/>
      <c r="BB320" s="38"/>
      <c r="BC320" s="38"/>
      <c r="BD320" s="38"/>
      <c r="BE320" s="38"/>
      <c r="BF320" s="38"/>
      <c r="BG320" s="38"/>
      <c r="BH320" s="38"/>
      <c r="BI320" s="38"/>
      <c r="BJ320" s="38"/>
      <c r="BK320" s="38"/>
      <c r="BL320" s="38"/>
      <c r="BM320" s="38"/>
      <c r="BN320" s="38"/>
      <c r="BO320" s="38"/>
      <c r="BP320" s="38"/>
      <c r="BQ320" s="38"/>
      <c r="BR320" s="38"/>
      <c r="BS320" s="38"/>
      <c r="BT320" s="38"/>
      <c r="BU320" s="38"/>
      <c r="BV320" s="38"/>
      <c r="BW320" s="38"/>
      <c r="BX320" s="38"/>
      <c r="BY320" s="38"/>
      <c r="BZ320" s="38"/>
      <c r="CA320" s="38"/>
      <c r="CB320" s="38"/>
      <c r="CC320" s="38"/>
      <c r="CD320" s="38"/>
      <c r="CE320" s="38"/>
      <c r="CF320" s="38"/>
      <c r="CG320" s="38"/>
      <c r="CH320" s="38"/>
      <c r="CI320" s="38"/>
      <c r="CJ320" s="38"/>
      <c r="CK320" s="38"/>
      <c r="CL320" s="38"/>
      <c r="CM320" s="38"/>
      <c r="CN320" s="38"/>
      <c r="CO320" s="38"/>
      <c r="CP320" s="38"/>
      <c r="CQ320" s="38"/>
      <c r="CR320" s="38"/>
      <c r="CS320" s="38"/>
      <c r="CT320" s="38"/>
      <c r="CU320" s="38"/>
      <c r="CV320" s="38"/>
      <c r="CW320" s="38"/>
      <c r="CX320" s="38"/>
      <c r="CY320" s="38"/>
      <c r="CZ320" s="38"/>
    </row>
    <row r="321" spans="1:104" s="40" customFormat="1" ht="20.149999999999999" customHeight="1">
      <c r="A321" s="358">
        <f t="shared" si="73"/>
        <v>320</v>
      </c>
      <c r="B321" s="359" t="str">
        <f>'Front Sheet and Checklist'!$C$5</f>
        <v>Swansea Bay UHB</v>
      </c>
      <c r="C321" s="17"/>
      <c r="D321" s="17"/>
      <c r="E321" s="17"/>
      <c r="F321" s="17"/>
      <c r="G321" s="17"/>
      <c r="H321" s="17"/>
      <c r="I321" s="361">
        <f t="shared" si="77"/>
        <v>0</v>
      </c>
      <c r="J321" s="17"/>
      <c r="K321" s="18"/>
      <c r="L321" s="18"/>
      <c r="M321" s="17"/>
      <c r="N321" s="17"/>
      <c r="O321" s="17"/>
      <c r="P321" s="17"/>
      <c r="Q321" s="169"/>
      <c r="R321" s="24"/>
      <c r="S321" s="24"/>
      <c r="T321" s="24"/>
      <c r="U321" s="25"/>
      <c r="V321" s="25"/>
      <c r="W321" s="25"/>
      <c r="X321" s="24"/>
      <c r="Y321" s="24"/>
      <c r="Z321" s="24"/>
      <c r="AA321" s="24"/>
      <c r="AB321" s="24"/>
      <c r="AC321" s="24"/>
      <c r="AD321" s="361">
        <f t="shared" si="76"/>
        <v>0</v>
      </c>
      <c r="AE321" s="359" t="str">
        <f t="shared" si="65"/>
        <v/>
      </c>
      <c r="AF321" s="359" t="str">
        <f t="shared" si="74"/>
        <v/>
      </c>
      <c r="AG321" s="359" t="str">
        <f t="shared" si="66"/>
        <v/>
      </c>
      <c r="AH321" s="359" t="str">
        <f t="shared" si="67"/>
        <v/>
      </c>
      <c r="AI321" s="359" t="str">
        <f t="shared" si="68"/>
        <v/>
      </c>
      <c r="AJ321" s="359" t="str">
        <f t="shared" si="69"/>
        <v/>
      </c>
      <c r="AK321" s="359" t="str">
        <f t="shared" si="71"/>
        <v/>
      </c>
      <c r="AL321" s="359" t="str">
        <f t="shared" si="70"/>
        <v/>
      </c>
      <c r="AM321" s="359" t="str">
        <f t="shared" si="72"/>
        <v/>
      </c>
      <c r="AN321" s="262">
        <f t="shared" si="75"/>
        <v>0</v>
      </c>
      <c r="AO321" s="262" t="str">
        <f>IFERROR(HLOOKUP(AN321,'Ref Lists'!Q$1:AL$2,2,FALSE),'Ref Lists'!$AK$2)</f>
        <v>Savings21</v>
      </c>
      <c r="AP321" s="38"/>
      <c r="AQ321" s="38">
        <f t="shared" si="78"/>
        <v>0</v>
      </c>
      <c r="AR321" s="38"/>
      <c r="AS321" s="38"/>
      <c r="AT321" s="38"/>
      <c r="AU321" s="38"/>
      <c r="AV321" s="38"/>
      <c r="AW321" s="38"/>
      <c r="AX321" s="38"/>
      <c r="AY321" s="38"/>
      <c r="AZ321" s="38"/>
      <c r="BA321" s="38"/>
      <c r="BB321" s="38"/>
      <c r="BC321" s="38"/>
      <c r="BD321" s="38"/>
      <c r="BE321" s="38"/>
      <c r="BF321" s="38"/>
      <c r="BG321" s="38"/>
      <c r="BH321" s="38"/>
      <c r="BI321" s="38"/>
      <c r="BJ321" s="38"/>
      <c r="BK321" s="38"/>
      <c r="BL321" s="38"/>
      <c r="BM321" s="38"/>
      <c r="BN321" s="38"/>
      <c r="BO321" s="38"/>
      <c r="BP321" s="38"/>
      <c r="BQ321" s="38"/>
      <c r="BR321" s="38"/>
      <c r="BS321" s="38"/>
      <c r="BT321" s="38"/>
      <c r="BU321" s="38"/>
      <c r="BV321" s="38"/>
      <c r="BW321" s="38"/>
      <c r="BX321" s="38"/>
      <c r="BY321" s="38"/>
      <c r="BZ321" s="38"/>
      <c r="CA321" s="38"/>
      <c r="CB321" s="38"/>
      <c r="CC321" s="38"/>
      <c r="CD321" s="38"/>
      <c r="CE321" s="38"/>
      <c r="CF321" s="38"/>
      <c r="CG321" s="38"/>
      <c r="CH321" s="38"/>
      <c r="CI321" s="38"/>
      <c r="CJ321" s="38"/>
      <c r="CK321" s="38"/>
      <c r="CL321" s="38"/>
      <c r="CM321" s="38"/>
      <c r="CN321" s="38"/>
      <c r="CO321" s="38"/>
      <c r="CP321" s="38"/>
      <c r="CQ321" s="38"/>
      <c r="CR321" s="38"/>
      <c r="CS321" s="38"/>
      <c r="CT321" s="38"/>
      <c r="CU321" s="38"/>
      <c r="CV321" s="38"/>
      <c r="CW321" s="38"/>
      <c r="CX321" s="38"/>
      <c r="CY321" s="38"/>
      <c r="CZ321" s="38"/>
    </row>
    <row r="322" spans="1:104" s="40" customFormat="1" ht="20.149999999999999" customHeight="1">
      <c r="A322" s="358">
        <f t="shared" si="73"/>
        <v>321</v>
      </c>
      <c r="B322" s="359" t="str">
        <f>'Front Sheet and Checklist'!$C$5</f>
        <v>Swansea Bay UHB</v>
      </c>
      <c r="C322" s="17"/>
      <c r="D322" s="17"/>
      <c r="E322" s="17"/>
      <c r="F322" s="17"/>
      <c r="G322" s="17"/>
      <c r="H322" s="17"/>
      <c r="I322" s="361">
        <f t="shared" si="77"/>
        <v>0</v>
      </c>
      <c r="J322" s="17"/>
      <c r="K322" s="18"/>
      <c r="L322" s="18"/>
      <c r="M322" s="17"/>
      <c r="N322" s="17"/>
      <c r="O322" s="17"/>
      <c r="P322" s="17"/>
      <c r="Q322" s="169"/>
      <c r="R322" s="24"/>
      <c r="S322" s="24"/>
      <c r="T322" s="24"/>
      <c r="U322" s="25"/>
      <c r="V322" s="25"/>
      <c r="W322" s="25"/>
      <c r="X322" s="24"/>
      <c r="Y322" s="24"/>
      <c r="Z322" s="24"/>
      <c r="AA322" s="24"/>
      <c r="AB322" s="24"/>
      <c r="AC322" s="24"/>
      <c r="AD322" s="361">
        <f t="shared" si="76"/>
        <v>0</v>
      </c>
      <c r="AE322" s="359" t="str">
        <f t="shared" ref="AE322:AE385" si="79">IF(AND(I322&gt;0,H322&lt;&gt;"Income Generation"),IF(AND(H322&lt;&gt;"",D322&lt;&gt;"",E322&lt;&gt;"",F322&lt;&gt;"",C322&lt;&gt;"",G322&lt;&gt;"",K322&lt;&gt;"",L322&lt;&gt;"",M322&lt;&gt;"",N322&lt;&gt;"",P322&lt;&gt;"",Q322&lt;&gt;"",O322&lt;&gt;""),"","ERROR"),"")</f>
        <v/>
      </c>
      <c r="AF322" s="359" t="str">
        <f t="shared" si="74"/>
        <v/>
      </c>
      <c r="AG322" s="359" t="str">
        <f t="shared" ref="AG322:AG385" si="80">IF(AND(I322&gt;0,O322=""),"ERROR","")</f>
        <v/>
      </c>
      <c r="AH322" s="359" t="str">
        <f t="shared" ref="AH322:AH385" si="81">IF(AND(OR(H322="Income Generation"),O322&lt;&gt;""),"ERROR","")</f>
        <v/>
      </c>
      <c r="AI322" s="359" t="str">
        <f t="shared" ref="AI322:AI385" si="82">IF(AND(G322="R",I322&gt;J322),"ERROR","")</f>
        <v/>
      </c>
      <c r="AJ322" s="359" t="str">
        <f t="shared" ref="AJ322:AJ385" si="83">IF(AND(G322="NR",J322&gt;0),"ERROR","")</f>
        <v/>
      </c>
      <c r="AK322" s="359" t="str">
        <f t="shared" si="71"/>
        <v/>
      </c>
      <c r="AL322" s="359" t="str">
        <f t="shared" ref="AL322:AL385" si="84">IF(OR(L322="",L322="N/A"),"",IF(OR(L322&lt;DATEVALUE("01/04/24"),L322&gt;DATEVALUE("31/03/25")),"ERROR",""))</f>
        <v/>
      </c>
      <c r="AM322" s="359" t="str">
        <f t="shared" si="72"/>
        <v/>
      </c>
      <c r="AN322" s="262">
        <f t="shared" si="75"/>
        <v>0</v>
      </c>
      <c r="AO322" s="262" t="str">
        <f>IFERROR(HLOOKUP(AN322,'Ref Lists'!Q$1:AL$2,2,FALSE),'Ref Lists'!$AK$2)</f>
        <v>Savings21</v>
      </c>
      <c r="AP322" s="38"/>
      <c r="AQ322" s="38">
        <f t="shared" si="78"/>
        <v>0</v>
      </c>
      <c r="AR322" s="38"/>
      <c r="AS322" s="38"/>
      <c r="AT322" s="38"/>
      <c r="AU322" s="38"/>
      <c r="AV322" s="38"/>
      <c r="AW322" s="38"/>
      <c r="AX322" s="38"/>
      <c r="AY322" s="38"/>
      <c r="AZ322" s="38"/>
      <c r="BA322" s="38"/>
      <c r="BB322" s="38"/>
      <c r="BC322" s="38"/>
      <c r="BD322" s="38"/>
      <c r="BE322" s="38"/>
      <c r="BF322" s="38"/>
      <c r="BG322" s="38"/>
      <c r="BH322" s="38"/>
      <c r="BI322" s="38"/>
      <c r="BJ322" s="38"/>
      <c r="BK322" s="38"/>
      <c r="BL322" s="38"/>
      <c r="BM322" s="38"/>
      <c r="BN322" s="38"/>
      <c r="BO322" s="38"/>
      <c r="BP322" s="38"/>
      <c r="BQ322" s="38"/>
      <c r="BR322" s="38"/>
      <c r="BS322" s="38"/>
      <c r="BT322" s="38"/>
      <c r="BU322" s="38"/>
      <c r="BV322" s="38"/>
      <c r="BW322" s="38"/>
      <c r="BX322" s="38"/>
      <c r="BY322" s="38"/>
      <c r="BZ322" s="38"/>
      <c r="CA322" s="38"/>
      <c r="CB322" s="38"/>
      <c r="CC322" s="38"/>
      <c r="CD322" s="38"/>
      <c r="CE322" s="38"/>
      <c r="CF322" s="38"/>
      <c r="CG322" s="38"/>
      <c r="CH322" s="38"/>
      <c r="CI322" s="38"/>
      <c r="CJ322" s="38"/>
      <c r="CK322" s="38"/>
      <c r="CL322" s="38"/>
      <c r="CM322" s="38"/>
      <c r="CN322" s="38"/>
      <c r="CO322" s="38"/>
      <c r="CP322" s="38"/>
      <c r="CQ322" s="38"/>
      <c r="CR322" s="38"/>
      <c r="CS322" s="38"/>
      <c r="CT322" s="38"/>
      <c r="CU322" s="38"/>
      <c r="CV322" s="38"/>
      <c r="CW322" s="38"/>
      <c r="CX322" s="38"/>
      <c r="CY322" s="38"/>
      <c r="CZ322" s="38"/>
    </row>
    <row r="323" spans="1:104" s="40" customFormat="1" ht="20.149999999999999" customHeight="1">
      <c r="A323" s="358">
        <f t="shared" si="73"/>
        <v>322</v>
      </c>
      <c r="B323" s="359" t="str">
        <f>'Front Sheet and Checklist'!$C$5</f>
        <v>Swansea Bay UHB</v>
      </c>
      <c r="C323" s="17"/>
      <c r="D323" s="17"/>
      <c r="E323" s="17"/>
      <c r="F323" s="17"/>
      <c r="G323" s="17"/>
      <c r="H323" s="17"/>
      <c r="I323" s="361">
        <f t="shared" si="77"/>
        <v>0</v>
      </c>
      <c r="J323" s="17"/>
      <c r="K323" s="18"/>
      <c r="L323" s="18"/>
      <c r="M323" s="17"/>
      <c r="N323" s="17"/>
      <c r="O323" s="17"/>
      <c r="P323" s="17"/>
      <c r="Q323" s="169"/>
      <c r="R323" s="24"/>
      <c r="S323" s="24"/>
      <c r="T323" s="24"/>
      <c r="U323" s="25"/>
      <c r="V323" s="25"/>
      <c r="W323" s="25"/>
      <c r="X323" s="24"/>
      <c r="Y323" s="24"/>
      <c r="Z323" s="24"/>
      <c r="AA323" s="24"/>
      <c r="AB323" s="24"/>
      <c r="AC323" s="24"/>
      <c r="AD323" s="361">
        <f t="shared" si="76"/>
        <v>0</v>
      </c>
      <c r="AE323" s="359" t="str">
        <f t="shared" si="79"/>
        <v/>
      </c>
      <c r="AF323" s="359" t="str">
        <f t="shared" si="74"/>
        <v/>
      </c>
      <c r="AG323" s="359" t="str">
        <f t="shared" si="80"/>
        <v/>
      </c>
      <c r="AH323" s="359" t="str">
        <f t="shared" si="81"/>
        <v/>
      </c>
      <c r="AI323" s="359" t="str">
        <f t="shared" si="82"/>
        <v/>
      </c>
      <c r="AJ323" s="359" t="str">
        <f t="shared" si="83"/>
        <v/>
      </c>
      <c r="AK323" s="359" t="str">
        <f t="shared" ref="AK323:AK386" si="85">IF(OR(K323="",K323="N/a"),"",IF(OR(K323&lt;DATEVALUE("01/04/24"),K323&gt;DATEVALUE("31/03/25")),"ERROR",""))</f>
        <v/>
      </c>
      <c r="AL323" s="359" t="str">
        <f t="shared" si="84"/>
        <v/>
      </c>
      <c r="AM323" s="359" t="str">
        <f t="shared" ref="AM323:AM386" si="86">IF(COUNTA(T323:AC323)&lt;&gt;COUNT(T323:AC323),"ERROR","")</f>
        <v/>
      </c>
      <c r="AN323" s="262">
        <f t="shared" si="75"/>
        <v>0</v>
      </c>
      <c r="AO323" s="262" t="str">
        <f>IFERROR(HLOOKUP(AN323,'Ref Lists'!Q$1:AL$2,2,FALSE),'Ref Lists'!$AK$2)</f>
        <v>Savings21</v>
      </c>
      <c r="AP323" s="38"/>
      <c r="AQ323" s="38">
        <f t="shared" si="78"/>
        <v>0</v>
      </c>
      <c r="AR323" s="38"/>
      <c r="AS323" s="38"/>
      <c r="AT323" s="38"/>
      <c r="AU323" s="38"/>
      <c r="AV323" s="38"/>
      <c r="AW323" s="38"/>
      <c r="AX323" s="38"/>
      <c r="AY323" s="38"/>
      <c r="AZ323" s="38"/>
      <c r="BA323" s="38"/>
      <c r="BB323" s="38"/>
      <c r="BC323" s="38"/>
      <c r="BD323" s="38"/>
      <c r="BE323" s="38"/>
      <c r="BF323" s="38"/>
      <c r="BG323" s="38"/>
      <c r="BH323" s="38"/>
      <c r="BI323" s="38"/>
      <c r="BJ323" s="38"/>
      <c r="BK323" s="38"/>
      <c r="BL323" s="38"/>
      <c r="BM323" s="38"/>
      <c r="BN323" s="38"/>
      <c r="BO323" s="38"/>
      <c r="BP323" s="38"/>
      <c r="BQ323" s="38"/>
      <c r="BR323" s="38"/>
      <c r="BS323" s="38"/>
      <c r="BT323" s="38"/>
      <c r="BU323" s="38"/>
      <c r="BV323" s="38"/>
      <c r="BW323" s="38"/>
      <c r="BX323" s="38"/>
      <c r="BY323" s="38"/>
      <c r="BZ323" s="38"/>
      <c r="CA323" s="38"/>
      <c r="CB323" s="38"/>
      <c r="CC323" s="38"/>
      <c r="CD323" s="38"/>
      <c r="CE323" s="38"/>
      <c r="CF323" s="38"/>
      <c r="CG323" s="38"/>
      <c r="CH323" s="38"/>
      <c r="CI323" s="38"/>
      <c r="CJ323" s="38"/>
      <c r="CK323" s="38"/>
      <c r="CL323" s="38"/>
      <c r="CM323" s="38"/>
      <c r="CN323" s="38"/>
      <c r="CO323" s="38"/>
      <c r="CP323" s="38"/>
      <c r="CQ323" s="38"/>
      <c r="CR323" s="38"/>
      <c r="CS323" s="38"/>
      <c r="CT323" s="38"/>
      <c r="CU323" s="38"/>
      <c r="CV323" s="38"/>
      <c r="CW323" s="38"/>
      <c r="CX323" s="38"/>
      <c r="CY323" s="38"/>
      <c r="CZ323" s="38"/>
    </row>
    <row r="324" spans="1:104" s="40" customFormat="1" ht="20.149999999999999" customHeight="1">
      <c r="A324" s="358">
        <f t="shared" ref="A324:A387" si="87">+A323+1</f>
        <v>323</v>
      </c>
      <c r="B324" s="359" t="str">
        <f>'Front Sheet and Checklist'!$C$5</f>
        <v>Swansea Bay UHB</v>
      </c>
      <c r="C324" s="17"/>
      <c r="D324" s="17"/>
      <c r="E324" s="17"/>
      <c r="F324" s="17"/>
      <c r="G324" s="17"/>
      <c r="H324" s="17"/>
      <c r="I324" s="361">
        <f t="shared" si="77"/>
        <v>0</v>
      </c>
      <c r="J324" s="17"/>
      <c r="K324" s="18"/>
      <c r="L324" s="18"/>
      <c r="M324" s="17"/>
      <c r="N324" s="17"/>
      <c r="O324" s="17"/>
      <c r="P324" s="17"/>
      <c r="Q324" s="169"/>
      <c r="R324" s="24"/>
      <c r="S324" s="24"/>
      <c r="T324" s="24"/>
      <c r="U324" s="25"/>
      <c r="V324" s="25"/>
      <c r="W324" s="25"/>
      <c r="X324" s="24"/>
      <c r="Y324" s="24"/>
      <c r="Z324" s="24"/>
      <c r="AA324" s="24"/>
      <c r="AB324" s="24"/>
      <c r="AC324" s="24"/>
      <c r="AD324" s="361">
        <f t="shared" si="76"/>
        <v>0</v>
      </c>
      <c r="AE324" s="359" t="str">
        <f t="shared" si="79"/>
        <v/>
      </c>
      <c r="AF324" s="359" t="str">
        <f t="shared" ref="AF324:AF387" si="88">IF(COUNTIF($F$2:$F$1001,F324)&gt;1,"ERROR","")</f>
        <v/>
      </c>
      <c r="AG324" s="359" t="str">
        <f t="shared" si="80"/>
        <v/>
      </c>
      <c r="AH324" s="359" t="str">
        <f t="shared" si="81"/>
        <v/>
      </c>
      <c r="AI324" s="359" t="str">
        <f t="shared" si="82"/>
        <v/>
      </c>
      <c r="AJ324" s="359" t="str">
        <f t="shared" si="83"/>
        <v/>
      </c>
      <c r="AK324" s="359" t="str">
        <f t="shared" si="85"/>
        <v/>
      </c>
      <c r="AL324" s="359" t="str">
        <f t="shared" si="84"/>
        <v/>
      </c>
      <c r="AM324" s="359" t="str">
        <f t="shared" si="86"/>
        <v/>
      </c>
      <c r="AN324" s="262">
        <f t="shared" si="75"/>
        <v>0</v>
      </c>
      <c r="AO324" s="262" t="str">
        <f>IFERROR(HLOOKUP(AN324,'Ref Lists'!Q$1:AL$2,2,FALSE),'Ref Lists'!$AK$2)</f>
        <v>Savings21</v>
      </c>
      <c r="AP324" s="38"/>
      <c r="AQ324" s="38">
        <f t="shared" si="78"/>
        <v>0</v>
      </c>
      <c r="AR324" s="38"/>
      <c r="AS324" s="38"/>
      <c r="AT324" s="38"/>
      <c r="AU324" s="38"/>
      <c r="AV324" s="38"/>
      <c r="AW324" s="38"/>
      <c r="AX324" s="38"/>
      <c r="AY324" s="38"/>
      <c r="AZ324" s="38"/>
      <c r="BA324" s="38"/>
      <c r="BB324" s="38"/>
      <c r="BC324" s="38"/>
      <c r="BD324" s="38"/>
      <c r="BE324" s="38"/>
      <c r="BF324" s="38"/>
      <c r="BG324" s="38"/>
      <c r="BH324" s="38"/>
      <c r="BI324" s="38"/>
      <c r="BJ324" s="38"/>
      <c r="BK324" s="38"/>
      <c r="BL324" s="38"/>
      <c r="BM324" s="38"/>
      <c r="BN324" s="38"/>
      <c r="BO324" s="38"/>
      <c r="BP324" s="38"/>
      <c r="BQ324" s="38"/>
      <c r="BR324" s="38"/>
      <c r="BS324" s="38"/>
      <c r="BT324" s="38"/>
      <c r="BU324" s="38"/>
      <c r="BV324" s="38"/>
      <c r="BW324" s="38"/>
      <c r="BX324" s="38"/>
      <c r="BY324" s="38"/>
      <c r="BZ324" s="38"/>
      <c r="CA324" s="38"/>
      <c r="CB324" s="38"/>
      <c r="CC324" s="38"/>
      <c r="CD324" s="38"/>
      <c r="CE324" s="38"/>
      <c r="CF324" s="38"/>
      <c r="CG324" s="38"/>
      <c r="CH324" s="38"/>
      <c r="CI324" s="38"/>
      <c r="CJ324" s="38"/>
      <c r="CK324" s="38"/>
      <c r="CL324" s="38"/>
      <c r="CM324" s="38"/>
      <c r="CN324" s="38"/>
      <c r="CO324" s="38"/>
      <c r="CP324" s="38"/>
      <c r="CQ324" s="38"/>
      <c r="CR324" s="38"/>
      <c r="CS324" s="38"/>
      <c r="CT324" s="38"/>
      <c r="CU324" s="38"/>
      <c r="CV324" s="38"/>
      <c r="CW324" s="38"/>
      <c r="CX324" s="38"/>
      <c r="CY324" s="38"/>
      <c r="CZ324" s="38"/>
    </row>
    <row r="325" spans="1:104" s="40" customFormat="1" ht="20.149999999999999" customHeight="1">
      <c r="A325" s="358">
        <f t="shared" si="87"/>
        <v>324</v>
      </c>
      <c r="B325" s="359" t="str">
        <f>'Front Sheet and Checklist'!$C$5</f>
        <v>Swansea Bay UHB</v>
      </c>
      <c r="C325" s="17"/>
      <c r="D325" s="17"/>
      <c r="E325" s="17"/>
      <c r="F325" s="17"/>
      <c r="G325" s="17"/>
      <c r="H325" s="17"/>
      <c r="I325" s="361">
        <f t="shared" si="77"/>
        <v>0</v>
      </c>
      <c r="J325" s="17"/>
      <c r="K325" s="18"/>
      <c r="L325" s="18"/>
      <c r="M325" s="17"/>
      <c r="N325" s="17"/>
      <c r="O325" s="17"/>
      <c r="P325" s="17"/>
      <c r="Q325" s="169"/>
      <c r="R325" s="24"/>
      <c r="S325" s="24"/>
      <c r="T325" s="24"/>
      <c r="U325" s="25"/>
      <c r="V325" s="25"/>
      <c r="W325" s="25"/>
      <c r="X325" s="24"/>
      <c r="Y325" s="24"/>
      <c r="Z325" s="24"/>
      <c r="AA325" s="24"/>
      <c r="AB325" s="24"/>
      <c r="AC325" s="24"/>
      <c r="AD325" s="361">
        <f t="shared" si="76"/>
        <v>0</v>
      </c>
      <c r="AE325" s="359" t="str">
        <f t="shared" si="79"/>
        <v/>
      </c>
      <c r="AF325" s="359" t="str">
        <f t="shared" si="88"/>
        <v/>
      </c>
      <c r="AG325" s="359" t="str">
        <f t="shared" si="80"/>
        <v/>
      </c>
      <c r="AH325" s="359" t="str">
        <f t="shared" si="81"/>
        <v/>
      </c>
      <c r="AI325" s="359" t="str">
        <f t="shared" si="82"/>
        <v/>
      </c>
      <c r="AJ325" s="359" t="str">
        <f t="shared" si="83"/>
        <v/>
      </c>
      <c r="AK325" s="359" t="str">
        <f t="shared" si="85"/>
        <v/>
      </c>
      <c r="AL325" s="359" t="str">
        <f t="shared" si="84"/>
        <v/>
      </c>
      <c r="AM325" s="359" t="str">
        <f t="shared" si="86"/>
        <v/>
      </c>
      <c r="AN325" s="262">
        <f t="shared" ref="AN325:AN388" si="89">IF(P325="1) Workforce",_xlfn.CONCAT(P325,O325),IF(P325="5) Pathway",_xlfn.CONCAT(P325,N325),P325))</f>
        <v>0</v>
      </c>
      <c r="AO325" s="262" t="str">
        <f>IFERROR(HLOOKUP(AN325,'Ref Lists'!Q$1:AL$2,2,FALSE),'Ref Lists'!$AK$2)</f>
        <v>Savings21</v>
      </c>
      <c r="AP325" s="38"/>
      <c r="AQ325" s="38">
        <f t="shared" si="78"/>
        <v>0</v>
      </c>
      <c r="AR325" s="38"/>
      <c r="AS325" s="38"/>
      <c r="AT325" s="38"/>
      <c r="AU325" s="38"/>
      <c r="AV325" s="38"/>
      <c r="AW325" s="38"/>
      <c r="AX325" s="38"/>
      <c r="AY325" s="38"/>
      <c r="AZ325" s="38"/>
      <c r="BA325" s="38"/>
      <c r="BB325" s="38"/>
      <c r="BC325" s="38"/>
      <c r="BD325" s="38"/>
      <c r="BE325" s="38"/>
      <c r="BF325" s="38"/>
      <c r="BG325" s="38"/>
      <c r="BH325" s="38"/>
      <c r="BI325" s="38"/>
      <c r="BJ325" s="38"/>
      <c r="BK325" s="38"/>
      <c r="BL325" s="38"/>
      <c r="BM325" s="38"/>
      <c r="BN325" s="38"/>
      <c r="BO325" s="38"/>
      <c r="BP325" s="38"/>
      <c r="BQ325" s="38"/>
      <c r="BR325" s="38"/>
      <c r="BS325" s="38"/>
      <c r="BT325" s="38"/>
      <c r="BU325" s="38"/>
      <c r="BV325" s="38"/>
      <c r="BW325" s="38"/>
      <c r="BX325" s="38"/>
      <c r="BY325" s="38"/>
      <c r="BZ325" s="38"/>
      <c r="CA325" s="38"/>
      <c r="CB325" s="38"/>
      <c r="CC325" s="38"/>
      <c r="CD325" s="38"/>
      <c r="CE325" s="38"/>
      <c r="CF325" s="38"/>
      <c r="CG325" s="38"/>
      <c r="CH325" s="38"/>
      <c r="CI325" s="38"/>
      <c r="CJ325" s="38"/>
      <c r="CK325" s="38"/>
      <c r="CL325" s="38"/>
      <c r="CM325" s="38"/>
      <c r="CN325" s="38"/>
      <c r="CO325" s="38"/>
      <c r="CP325" s="38"/>
      <c r="CQ325" s="38"/>
      <c r="CR325" s="38"/>
      <c r="CS325" s="38"/>
      <c r="CT325" s="38"/>
      <c r="CU325" s="38"/>
      <c r="CV325" s="38"/>
      <c r="CW325" s="38"/>
      <c r="CX325" s="38"/>
      <c r="CY325" s="38"/>
      <c r="CZ325" s="38"/>
    </row>
    <row r="326" spans="1:104" s="40" customFormat="1" ht="20.149999999999999" customHeight="1">
      <c r="A326" s="358">
        <f t="shared" si="87"/>
        <v>325</v>
      </c>
      <c r="B326" s="359" t="str">
        <f>'Front Sheet and Checklist'!$C$5</f>
        <v>Swansea Bay UHB</v>
      </c>
      <c r="C326" s="17"/>
      <c r="D326" s="17"/>
      <c r="E326" s="17"/>
      <c r="F326" s="17"/>
      <c r="G326" s="17"/>
      <c r="H326" s="17"/>
      <c r="I326" s="361">
        <f t="shared" si="77"/>
        <v>0</v>
      </c>
      <c r="J326" s="17"/>
      <c r="K326" s="18"/>
      <c r="L326" s="18"/>
      <c r="M326" s="17"/>
      <c r="N326" s="17"/>
      <c r="O326" s="17"/>
      <c r="P326" s="17"/>
      <c r="Q326" s="169"/>
      <c r="R326" s="24"/>
      <c r="S326" s="24"/>
      <c r="T326" s="24"/>
      <c r="U326" s="25"/>
      <c r="V326" s="25"/>
      <c r="W326" s="25"/>
      <c r="X326" s="24"/>
      <c r="Y326" s="24"/>
      <c r="Z326" s="24"/>
      <c r="AA326" s="24"/>
      <c r="AB326" s="24"/>
      <c r="AC326" s="24"/>
      <c r="AD326" s="361">
        <f t="shared" si="76"/>
        <v>0</v>
      </c>
      <c r="AE326" s="359" t="str">
        <f t="shared" si="79"/>
        <v/>
      </c>
      <c r="AF326" s="359" t="str">
        <f t="shared" si="88"/>
        <v/>
      </c>
      <c r="AG326" s="359" t="str">
        <f t="shared" si="80"/>
        <v/>
      </c>
      <c r="AH326" s="359" t="str">
        <f t="shared" si="81"/>
        <v/>
      </c>
      <c r="AI326" s="359" t="str">
        <f t="shared" si="82"/>
        <v/>
      </c>
      <c r="AJ326" s="359" t="str">
        <f t="shared" si="83"/>
        <v/>
      </c>
      <c r="AK326" s="359" t="str">
        <f t="shared" si="85"/>
        <v/>
      </c>
      <c r="AL326" s="359" t="str">
        <f t="shared" si="84"/>
        <v/>
      </c>
      <c r="AM326" s="359" t="str">
        <f t="shared" si="86"/>
        <v/>
      </c>
      <c r="AN326" s="262">
        <f t="shared" si="89"/>
        <v>0</v>
      </c>
      <c r="AO326" s="262" t="str">
        <f>IFERROR(HLOOKUP(AN326,'Ref Lists'!Q$1:AL$2,2,FALSE),'Ref Lists'!$AK$2)</f>
        <v>Savings21</v>
      </c>
      <c r="AP326" s="38"/>
      <c r="AQ326" s="38">
        <f t="shared" si="78"/>
        <v>0</v>
      </c>
      <c r="AR326" s="38"/>
      <c r="AS326" s="38"/>
      <c r="AT326" s="38"/>
      <c r="AU326" s="38"/>
      <c r="AV326" s="38"/>
      <c r="AW326" s="38"/>
      <c r="AX326" s="38"/>
      <c r="AY326" s="38"/>
      <c r="AZ326" s="38"/>
      <c r="BA326" s="38"/>
      <c r="BB326" s="38"/>
      <c r="BC326" s="38"/>
      <c r="BD326" s="38"/>
      <c r="BE326" s="38"/>
      <c r="BF326" s="38"/>
      <c r="BG326" s="38"/>
      <c r="BH326" s="38"/>
      <c r="BI326" s="38"/>
      <c r="BJ326" s="38"/>
      <c r="BK326" s="38"/>
      <c r="BL326" s="38"/>
      <c r="BM326" s="38"/>
      <c r="BN326" s="38"/>
      <c r="BO326" s="38"/>
      <c r="BP326" s="38"/>
      <c r="BQ326" s="38"/>
      <c r="BR326" s="38"/>
      <c r="BS326" s="38"/>
      <c r="BT326" s="38"/>
      <c r="BU326" s="38"/>
      <c r="BV326" s="38"/>
      <c r="BW326" s="38"/>
      <c r="BX326" s="38"/>
      <c r="BY326" s="38"/>
      <c r="BZ326" s="38"/>
      <c r="CA326" s="38"/>
      <c r="CB326" s="38"/>
      <c r="CC326" s="38"/>
      <c r="CD326" s="38"/>
      <c r="CE326" s="38"/>
      <c r="CF326" s="38"/>
      <c r="CG326" s="38"/>
      <c r="CH326" s="38"/>
      <c r="CI326" s="38"/>
      <c r="CJ326" s="38"/>
      <c r="CK326" s="38"/>
      <c r="CL326" s="38"/>
      <c r="CM326" s="38"/>
      <c r="CN326" s="38"/>
      <c r="CO326" s="38"/>
      <c r="CP326" s="38"/>
      <c r="CQ326" s="38"/>
      <c r="CR326" s="38"/>
      <c r="CS326" s="38"/>
      <c r="CT326" s="38"/>
      <c r="CU326" s="38"/>
      <c r="CV326" s="38"/>
      <c r="CW326" s="38"/>
      <c r="CX326" s="38"/>
      <c r="CY326" s="38"/>
      <c r="CZ326" s="38"/>
    </row>
    <row r="327" spans="1:104" s="40" customFormat="1" ht="20.149999999999999" customHeight="1">
      <c r="A327" s="358">
        <f t="shared" si="87"/>
        <v>326</v>
      </c>
      <c r="B327" s="359" t="str">
        <f>'Front Sheet and Checklist'!$C$5</f>
        <v>Swansea Bay UHB</v>
      </c>
      <c r="C327" s="17"/>
      <c r="D327" s="17"/>
      <c r="E327" s="17"/>
      <c r="F327" s="17"/>
      <c r="G327" s="17"/>
      <c r="H327" s="17"/>
      <c r="I327" s="361">
        <f t="shared" si="77"/>
        <v>0</v>
      </c>
      <c r="J327" s="17"/>
      <c r="K327" s="18"/>
      <c r="L327" s="18"/>
      <c r="M327" s="17"/>
      <c r="N327" s="17"/>
      <c r="O327" s="17"/>
      <c r="P327" s="17"/>
      <c r="Q327" s="169"/>
      <c r="R327" s="24"/>
      <c r="S327" s="24"/>
      <c r="T327" s="24"/>
      <c r="U327" s="25"/>
      <c r="V327" s="25"/>
      <c r="W327" s="25"/>
      <c r="X327" s="24"/>
      <c r="Y327" s="24"/>
      <c r="Z327" s="24"/>
      <c r="AA327" s="24"/>
      <c r="AB327" s="24"/>
      <c r="AC327" s="24"/>
      <c r="AD327" s="361">
        <f t="shared" si="76"/>
        <v>0</v>
      </c>
      <c r="AE327" s="359" t="str">
        <f t="shared" si="79"/>
        <v/>
      </c>
      <c r="AF327" s="359" t="str">
        <f t="shared" si="88"/>
        <v/>
      </c>
      <c r="AG327" s="359" t="str">
        <f t="shared" si="80"/>
        <v/>
      </c>
      <c r="AH327" s="359" t="str">
        <f t="shared" si="81"/>
        <v/>
      </c>
      <c r="AI327" s="359" t="str">
        <f t="shared" si="82"/>
        <v/>
      </c>
      <c r="AJ327" s="359" t="str">
        <f t="shared" si="83"/>
        <v/>
      </c>
      <c r="AK327" s="359" t="str">
        <f t="shared" si="85"/>
        <v/>
      </c>
      <c r="AL327" s="359" t="str">
        <f t="shared" si="84"/>
        <v/>
      </c>
      <c r="AM327" s="359" t="str">
        <f t="shared" si="86"/>
        <v/>
      </c>
      <c r="AN327" s="262">
        <f t="shared" si="89"/>
        <v>0</v>
      </c>
      <c r="AO327" s="262" t="str">
        <f>IFERROR(HLOOKUP(AN327,'Ref Lists'!Q$1:AL$2,2,FALSE),'Ref Lists'!$AK$2)</f>
        <v>Savings21</v>
      </c>
      <c r="AP327" s="38"/>
      <c r="AQ327" s="38">
        <f t="shared" si="78"/>
        <v>0</v>
      </c>
      <c r="AR327" s="38"/>
      <c r="AS327" s="38"/>
      <c r="AT327" s="38"/>
      <c r="AU327" s="38"/>
      <c r="AV327" s="38"/>
      <c r="AW327" s="38"/>
      <c r="AX327" s="38"/>
      <c r="AY327" s="38"/>
      <c r="AZ327" s="38"/>
      <c r="BA327" s="38"/>
      <c r="BB327" s="38"/>
      <c r="BC327" s="38"/>
      <c r="BD327" s="38"/>
      <c r="BE327" s="38"/>
      <c r="BF327" s="38"/>
      <c r="BG327" s="38"/>
      <c r="BH327" s="38"/>
      <c r="BI327" s="38"/>
      <c r="BJ327" s="38"/>
      <c r="BK327" s="38"/>
      <c r="BL327" s="38"/>
      <c r="BM327" s="38"/>
      <c r="BN327" s="38"/>
      <c r="BO327" s="38"/>
      <c r="BP327" s="38"/>
      <c r="BQ327" s="38"/>
      <c r="BR327" s="38"/>
      <c r="BS327" s="38"/>
      <c r="BT327" s="38"/>
      <c r="BU327" s="38"/>
      <c r="BV327" s="38"/>
      <c r="BW327" s="38"/>
      <c r="BX327" s="38"/>
      <c r="BY327" s="38"/>
      <c r="BZ327" s="38"/>
      <c r="CA327" s="38"/>
      <c r="CB327" s="38"/>
      <c r="CC327" s="38"/>
      <c r="CD327" s="38"/>
      <c r="CE327" s="38"/>
      <c r="CF327" s="38"/>
      <c r="CG327" s="38"/>
      <c r="CH327" s="38"/>
      <c r="CI327" s="38"/>
      <c r="CJ327" s="38"/>
      <c r="CK327" s="38"/>
      <c r="CL327" s="38"/>
      <c r="CM327" s="38"/>
      <c r="CN327" s="38"/>
      <c r="CO327" s="38"/>
      <c r="CP327" s="38"/>
      <c r="CQ327" s="38"/>
      <c r="CR327" s="38"/>
      <c r="CS327" s="38"/>
      <c r="CT327" s="38"/>
      <c r="CU327" s="38"/>
      <c r="CV327" s="38"/>
      <c r="CW327" s="38"/>
      <c r="CX327" s="38"/>
      <c r="CY327" s="38"/>
      <c r="CZ327" s="38"/>
    </row>
    <row r="328" spans="1:104" s="40" customFormat="1" ht="20.149999999999999" customHeight="1">
      <c r="A328" s="358">
        <f t="shared" si="87"/>
        <v>327</v>
      </c>
      <c r="B328" s="359" t="str">
        <f>'Front Sheet and Checklist'!$C$5</f>
        <v>Swansea Bay UHB</v>
      </c>
      <c r="C328" s="17"/>
      <c r="D328" s="17"/>
      <c r="E328" s="17"/>
      <c r="F328" s="17"/>
      <c r="G328" s="17"/>
      <c r="H328" s="17"/>
      <c r="I328" s="361">
        <f t="shared" si="77"/>
        <v>0</v>
      </c>
      <c r="J328" s="17"/>
      <c r="K328" s="18"/>
      <c r="L328" s="18"/>
      <c r="M328" s="17"/>
      <c r="N328" s="17"/>
      <c r="O328" s="17"/>
      <c r="P328" s="17"/>
      <c r="Q328" s="169"/>
      <c r="R328" s="24"/>
      <c r="S328" s="24"/>
      <c r="T328" s="24"/>
      <c r="U328" s="25"/>
      <c r="V328" s="25"/>
      <c r="W328" s="25"/>
      <c r="X328" s="24"/>
      <c r="Y328" s="24"/>
      <c r="Z328" s="24"/>
      <c r="AA328" s="24"/>
      <c r="AB328" s="24"/>
      <c r="AC328" s="24"/>
      <c r="AD328" s="361">
        <f t="shared" si="76"/>
        <v>0</v>
      </c>
      <c r="AE328" s="359" t="str">
        <f t="shared" si="79"/>
        <v/>
      </c>
      <c r="AF328" s="359" t="str">
        <f t="shared" si="88"/>
        <v/>
      </c>
      <c r="AG328" s="359" t="str">
        <f t="shared" si="80"/>
        <v/>
      </c>
      <c r="AH328" s="359" t="str">
        <f t="shared" si="81"/>
        <v/>
      </c>
      <c r="AI328" s="359" t="str">
        <f t="shared" si="82"/>
        <v/>
      </c>
      <c r="AJ328" s="359" t="str">
        <f t="shared" si="83"/>
        <v/>
      </c>
      <c r="AK328" s="359" t="str">
        <f t="shared" si="85"/>
        <v/>
      </c>
      <c r="AL328" s="359" t="str">
        <f t="shared" si="84"/>
        <v/>
      </c>
      <c r="AM328" s="359" t="str">
        <f t="shared" si="86"/>
        <v/>
      </c>
      <c r="AN328" s="262">
        <f t="shared" si="89"/>
        <v>0</v>
      </c>
      <c r="AO328" s="262" t="str">
        <f>IFERROR(HLOOKUP(AN328,'Ref Lists'!Q$1:AL$2,2,FALSE),'Ref Lists'!$AK$2)</f>
        <v>Savings21</v>
      </c>
      <c r="AP328" s="38"/>
      <c r="AQ328" s="38">
        <f t="shared" si="78"/>
        <v>0</v>
      </c>
      <c r="AR328" s="38"/>
      <c r="AS328" s="38"/>
      <c r="AT328" s="38"/>
      <c r="AU328" s="38"/>
      <c r="AV328" s="38"/>
      <c r="AW328" s="38"/>
      <c r="AX328" s="38"/>
      <c r="AY328" s="38"/>
      <c r="AZ328" s="38"/>
      <c r="BA328" s="38"/>
      <c r="BB328" s="38"/>
      <c r="BC328" s="38"/>
      <c r="BD328" s="38"/>
      <c r="BE328" s="38"/>
      <c r="BF328" s="38"/>
      <c r="BG328" s="38"/>
      <c r="BH328" s="38"/>
      <c r="BI328" s="38"/>
      <c r="BJ328" s="38"/>
      <c r="BK328" s="38"/>
      <c r="BL328" s="38"/>
      <c r="BM328" s="38"/>
      <c r="BN328" s="38"/>
      <c r="BO328" s="38"/>
      <c r="BP328" s="38"/>
      <c r="BQ328" s="38"/>
      <c r="BR328" s="38"/>
      <c r="BS328" s="38"/>
      <c r="BT328" s="38"/>
      <c r="BU328" s="38"/>
      <c r="BV328" s="38"/>
      <c r="BW328" s="38"/>
      <c r="BX328" s="38"/>
      <c r="BY328" s="38"/>
      <c r="BZ328" s="38"/>
      <c r="CA328" s="38"/>
      <c r="CB328" s="38"/>
      <c r="CC328" s="38"/>
      <c r="CD328" s="38"/>
      <c r="CE328" s="38"/>
      <c r="CF328" s="38"/>
      <c r="CG328" s="38"/>
      <c r="CH328" s="38"/>
      <c r="CI328" s="38"/>
      <c r="CJ328" s="38"/>
      <c r="CK328" s="38"/>
      <c r="CL328" s="38"/>
      <c r="CM328" s="38"/>
      <c r="CN328" s="38"/>
      <c r="CO328" s="38"/>
      <c r="CP328" s="38"/>
      <c r="CQ328" s="38"/>
      <c r="CR328" s="38"/>
      <c r="CS328" s="38"/>
      <c r="CT328" s="38"/>
      <c r="CU328" s="38"/>
      <c r="CV328" s="38"/>
      <c r="CW328" s="38"/>
      <c r="CX328" s="38"/>
      <c r="CY328" s="38"/>
      <c r="CZ328" s="38"/>
    </row>
    <row r="329" spans="1:104" s="40" customFormat="1" ht="20.149999999999999" customHeight="1">
      <c r="A329" s="358">
        <f t="shared" si="87"/>
        <v>328</v>
      </c>
      <c r="B329" s="359" t="str">
        <f>'Front Sheet and Checklist'!$C$5</f>
        <v>Swansea Bay UHB</v>
      </c>
      <c r="C329" s="17"/>
      <c r="D329" s="17"/>
      <c r="E329" s="17"/>
      <c r="F329" s="17"/>
      <c r="G329" s="17"/>
      <c r="H329" s="17"/>
      <c r="I329" s="361">
        <f t="shared" si="77"/>
        <v>0</v>
      </c>
      <c r="J329" s="17"/>
      <c r="K329" s="18"/>
      <c r="L329" s="18"/>
      <c r="M329" s="17"/>
      <c r="N329" s="17"/>
      <c r="O329" s="17"/>
      <c r="P329" s="17"/>
      <c r="Q329" s="169"/>
      <c r="R329" s="24"/>
      <c r="S329" s="24"/>
      <c r="T329" s="24"/>
      <c r="U329" s="25"/>
      <c r="V329" s="25"/>
      <c r="W329" s="25"/>
      <c r="X329" s="24"/>
      <c r="Y329" s="24"/>
      <c r="Z329" s="24"/>
      <c r="AA329" s="24"/>
      <c r="AB329" s="24"/>
      <c r="AC329" s="24"/>
      <c r="AD329" s="361">
        <f t="shared" si="76"/>
        <v>0</v>
      </c>
      <c r="AE329" s="359" t="str">
        <f t="shared" si="79"/>
        <v/>
      </c>
      <c r="AF329" s="359" t="str">
        <f t="shared" si="88"/>
        <v/>
      </c>
      <c r="AG329" s="359" t="str">
        <f t="shared" si="80"/>
        <v/>
      </c>
      <c r="AH329" s="359" t="str">
        <f t="shared" si="81"/>
        <v/>
      </c>
      <c r="AI329" s="359" t="str">
        <f t="shared" si="82"/>
        <v/>
      </c>
      <c r="AJ329" s="359" t="str">
        <f t="shared" si="83"/>
        <v/>
      </c>
      <c r="AK329" s="359" t="str">
        <f t="shared" si="85"/>
        <v/>
      </c>
      <c r="AL329" s="359" t="str">
        <f t="shared" si="84"/>
        <v/>
      </c>
      <c r="AM329" s="359" t="str">
        <f t="shared" si="86"/>
        <v/>
      </c>
      <c r="AN329" s="262">
        <f t="shared" si="89"/>
        <v>0</v>
      </c>
      <c r="AO329" s="262" t="str">
        <f>IFERROR(HLOOKUP(AN329,'Ref Lists'!Q$1:AL$2,2,FALSE),'Ref Lists'!$AK$2)</f>
        <v>Savings21</v>
      </c>
      <c r="AP329" s="38"/>
      <c r="AQ329" s="38">
        <f t="shared" si="78"/>
        <v>0</v>
      </c>
      <c r="AR329" s="38"/>
      <c r="AS329" s="38"/>
      <c r="AT329" s="38"/>
      <c r="AU329" s="38"/>
      <c r="AV329" s="38"/>
      <c r="AW329" s="38"/>
      <c r="AX329" s="38"/>
      <c r="AY329" s="38"/>
      <c r="AZ329" s="38"/>
      <c r="BA329" s="38"/>
      <c r="BB329" s="38"/>
      <c r="BC329" s="38"/>
      <c r="BD329" s="38"/>
      <c r="BE329" s="38"/>
      <c r="BF329" s="38"/>
      <c r="BG329" s="38"/>
      <c r="BH329" s="38"/>
      <c r="BI329" s="38"/>
      <c r="BJ329" s="38"/>
      <c r="BK329" s="38"/>
      <c r="BL329" s="38"/>
      <c r="BM329" s="38"/>
      <c r="BN329" s="38"/>
      <c r="BO329" s="38"/>
      <c r="BP329" s="38"/>
      <c r="BQ329" s="38"/>
      <c r="BR329" s="38"/>
      <c r="BS329" s="38"/>
      <c r="BT329" s="38"/>
      <c r="BU329" s="38"/>
      <c r="BV329" s="38"/>
      <c r="BW329" s="38"/>
      <c r="BX329" s="38"/>
      <c r="BY329" s="38"/>
      <c r="BZ329" s="38"/>
      <c r="CA329" s="38"/>
      <c r="CB329" s="38"/>
      <c r="CC329" s="38"/>
      <c r="CD329" s="38"/>
      <c r="CE329" s="38"/>
      <c r="CF329" s="38"/>
      <c r="CG329" s="38"/>
      <c r="CH329" s="38"/>
      <c r="CI329" s="38"/>
      <c r="CJ329" s="38"/>
      <c r="CK329" s="38"/>
      <c r="CL329" s="38"/>
      <c r="CM329" s="38"/>
      <c r="CN329" s="38"/>
      <c r="CO329" s="38"/>
      <c r="CP329" s="38"/>
      <c r="CQ329" s="38"/>
      <c r="CR329" s="38"/>
      <c r="CS329" s="38"/>
      <c r="CT329" s="38"/>
      <c r="CU329" s="38"/>
      <c r="CV329" s="38"/>
      <c r="CW329" s="38"/>
      <c r="CX329" s="38"/>
      <c r="CY329" s="38"/>
      <c r="CZ329" s="38"/>
    </row>
    <row r="330" spans="1:104" s="40" customFormat="1" ht="20.149999999999999" customHeight="1">
      <c r="A330" s="358">
        <f t="shared" si="87"/>
        <v>329</v>
      </c>
      <c r="B330" s="359" t="str">
        <f>'Front Sheet and Checklist'!$C$5</f>
        <v>Swansea Bay UHB</v>
      </c>
      <c r="C330" s="17"/>
      <c r="D330" s="17"/>
      <c r="E330" s="17"/>
      <c r="F330" s="17"/>
      <c r="G330" s="17"/>
      <c r="H330" s="17"/>
      <c r="I330" s="361">
        <f t="shared" si="77"/>
        <v>0</v>
      </c>
      <c r="J330" s="17"/>
      <c r="K330" s="18"/>
      <c r="L330" s="18"/>
      <c r="M330" s="17"/>
      <c r="N330" s="17"/>
      <c r="O330" s="17"/>
      <c r="P330" s="17"/>
      <c r="Q330" s="169"/>
      <c r="R330" s="24"/>
      <c r="S330" s="24"/>
      <c r="T330" s="24"/>
      <c r="U330" s="25"/>
      <c r="V330" s="25"/>
      <c r="W330" s="25"/>
      <c r="X330" s="24"/>
      <c r="Y330" s="24"/>
      <c r="Z330" s="24"/>
      <c r="AA330" s="24"/>
      <c r="AB330" s="24"/>
      <c r="AC330" s="24"/>
      <c r="AD330" s="361">
        <f t="shared" si="76"/>
        <v>0</v>
      </c>
      <c r="AE330" s="359" t="str">
        <f t="shared" si="79"/>
        <v/>
      </c>
      <c r="AF330" s="359" t="str">
        <f t="shared" si="88"/>
        <v/>
      </c>
      <c r="AG330" s="359" t="str">
        <f t="shared" si="80"/>
        <v/>
      </c>
      <c r="AH330" s="359" t="str">
        <f t="shared" si="81"/>
        <v/>
      </c>
      <c r="AI330" s="359" t="str">
        <f t="shared" si="82"/>
        <v/>
      </c>
      <c r="AJ330" s="359" t="str">
        <f t="shared" si="83"/>
        <v/>
      </c>
      <c r="AK330" s="359" t="str">
        <f t="shared" si="85"/>
        <v/>
      </c>
      <c r="AL330" s="359" t="str">
        <f t="shared" si="84"/>
        <v/>
      </c>
      <c r="AM330" s="359" t="str">
        <f t="shared" si="86"/>
        <v/>
      </c>
      <c r="AN330" s="262">
        <f t="shared" si="89"/>
        <v>0</v>
      </c>
      <c r="AO330" s="262" t="str">
        <f>IFERROR(HLOOKUP(AN330,'Ref Lists'!Q$1:AL$2,2,FALSE),'Ref Lists'!$AK$2)</f>
        <v>Savings21</v>
      </c>
      <c r="AP330" s="38"/>
      <c r="AQ330" s="38">
        <f t="shared" si="78"/>
        <v>0</v>
      </c>
      <c r="AR330" s="38"/>
      <c r="AS330" s="38"/>
      <c r="AT330" s="38"/>
      <c r="AU330" s="38"/>
      <c r="AV330" s="38"/>
      <c r="AW330" s="38"/>
      <c r="AX330" s="38"/>
      <c r="AY330" s="38"/>
      <c r="AZ330" s="38"/>
      <c r="BA330" s="38"/>
      <c r="BB330" s="38"/>
      <c r="BC330" s="38"/>
      <c r="BD330" s="38"/>
      <c r="BE330" s="38"/>
      <c r="BF330" s="38"/>
      <c r="BG330" s="38"/>
      <c r="BH330" s="38"/>
      <c r="BI330" s="38"/>
      <c r="BJ330" s="38"/>
      <c r="BK330" s="38"/>
      <c r="BL330" s="38"/>
      <c r="BM330" s="38"/>
      <c r="BN330" s="38"/>
      <c r="BO330" s="38"/>
      <c r="BP330" s="38"/>
      <c r="BQ330" s="38"/>
      <c r="BR330" s="38"/>
      <c r="BS330" s="38"/>
      <c r="BT330" s="38"/>
      <c r="BU330" s="38"/>
      <c r="BV330" s="38"/>
      <c r="BW330" s="38"/>
      <c r="BX330" s="38"/>
      <c r="BY330" s="38"/>
      <c r="BZ330" s="38"/>
      <c r="CA330" s="38"/>
      <c r="CB330" s="38"/>
      <c r="CC330" s="38"/>
      <c r="CD330" s="38"/>
      <c r="CE330" s="38"/>
      <c r="CF330" s="38"/>
      <c r="CG330" s="38"/>
      <c r="CH330" s="38"/>
      <c r="CI330" s="38"/>
      <c r="CJ330" s="38"/>
      <c r="CK330" s="38"/>
      <c r="CL330" s="38"/>
      <c r="CM330" s="38"/>
      <c r="CN330" s="38"/>
      <c r="CO330" s="38"/>
      <c r="CP330" s="38"/>
      <c r="CQ330" s="38"/>
      <c r="CR330" s="38"/>
      <c r="CS330" s="38"/>
      <c r="CT330" s="38"/>
      <c r="CU330" s="38"/>
      <c r="CV330" s="38"/>
      <c r="CW330" s="38"/>
      <c r="CX330" s="38"/>
      <c r="CY330" s="38"/>
      <c r="CZ330" s="38"/>
    </row>
    <row r="331" spans="1:104" s="40" customFormat="1" ht="20.149999999999999" customHeight="1">
      <c r="A331" s="358">
        <f t="shared" si="87"/>
        <v>330</v>
      </c>
      <c r="B331" s="359" t="str">
        <f>'Front Sheet and Checklist'!$C$5</f>
        <v>Swansea Bay UHB</v>
      </c>
      <c r="C331" s="17"/>
      <c r="D331" s="17"/>
      <c r="E331" s="17"/>
      <c r="F331" s="17"/>
      <c r="G331" s="17"/>
      <c r="H331" s="17"/>
      <c r="I331" s="361">
        <f t="shared" si="77"/>
        <v>0</v>
      </c>
      <c r="J331" s="17"/>
      <c r="K331" s="18"/>
      <c r="L331" s="18"/>
      <c r="M331" s="17"/>
      <c r="N331" s="17"/>
      <c r="O331" s="17"/>
      <c r="P331" s="17"/>
      <c r="Q331" s="169"/>
      <c r="R331" s="24"/>
      <c r="S331" s="24"/>
      <c r="T331" s="24"/>
      <c r="U331" s="25"/>
      <c r="V331" s="25"/>
      <c r="W331" s="25"/>
      <c r="X331" s="24"/>
      <c r="Y331" s="24"/>
      <c r="Z331" s="24"/>
      <c r="AA331" s="24"/>
      <c r="AB331" s="24"/>
      <c r="AC331" s="24"/>
      <c r="AD331" s="361">
        <f t="shared" si="76"/>
        <v>0</v>
      </c>
      <c r="AE331" s="359" t="str">
        <f t="shared" si="79"/>
        <v/>
      </c>
      <c r="AF331" s="359" t="str">
        <f t="shared" si="88"/>
        <v/>
      </c>
      <c r="AG331" s="359" t="str">
        <f t="shared" si="80"/>
        <v/>
      </c>
      <c r="AH331" s="359" t="str">
        <f t="shared" si="81"/>
        <v/>
      </c>
      <c r="AI331" s="359" t="str">
        <f t="shared" si="82"/>
        <v/>
      </c>
      <c r="AJ331" s="359" t="str">
        <f t="shared" si="83"/>
        <v/>
      </c>
      <c r="AK331" s="359" t="str">
        <f t="shared" si="85"/>
        <v/>
      </c>
      <c r="AL331" s="359" t="str">
        <f t="shared" si="84"/>
        <v/>
      </c>
      <c r="AM331" s="359" t="str">
        <f t="shared" si="86"/>
        <v/>
      </c>
      <c r="AN331" s="262">
        <f t="shared" si="89"/>
        <v>0</v>
      </c>
      <c r="AO331" s="262" t="str">
        <f>IFERROR(HLOOKUP(AN331,'Ref Lists'!Q$1:AL$2,2,FALSE),'Ref Lists'!$AK$2)</f>
        <v>Savings21</v>
      </c>
      <c r="AP331" s="38"/>
      <c r="AQ331" s="38">
        <f t="shared" si="78"/>
        <v>0</v>
      </c>
      <c r="AR331" s="38"/>
      <c r="AS331" s="38"/>
      <c r="AT331" s="38"/>
      <c r="AU331" s="38"/>
      <c r="AV331" s="38"/>
      <c r="AW331" s="38"/>
      <c r="AX331" s="38"/>
      <c r="AY331" s="38"/>
      <c r="AZ331" s="38"/>
      <c r="BA331" s="38"/>
      <c r="BB331" s="38"/>
      <c r="BC331" s="38"/>
      <c r="BD331" s="38"/>
      <c r="BE331" s="38"/>
      <c r="BF331" s="38"/>
      <c r="BG331" s="38"/>
      <c r="BH331" s="38"/>
      <c r="BI331" s="38"/>
      <c r="BJ331" s="38"/>
      <c r="BK331" s="38"/>
      <c r="BL331" s="38"/>
      <c r="BM331" s="38"/>
      <c r="BN331" s="38"/>
      <c r="BO331" s="38"/>
      <c r="BP331" s="38"/>
      <c r="BQ331" s="38"/>
      <c r="BR331" s="38"/>
      <c r="BS331" s="38"/>
      <c r="BT331" s="38"/>
      <c r="BU331" s="38"/>
      <c r="BV331" s="38"/>
      <c r="BW331" s="38"/>
      <c r="BX331" s="38"/>
      <c r="BY331" s="38"/>
      <c r="BZ331" s="38"/>
      <c r="CA331" s="38"/>
      <c r="CB331" s="38"/>
      <c r="CC331" s="38"/>
      <c r="CD331" s="38"/>
      <c r="CE331" s="38"/>
      <c r="CF331" s="38"/>
      <c r="CG331" s="38"/>
      <c r="CH331" s="38"/>
      <c r="CI331" s="38"/>
      <c r="CJ331" s="38"/>
      <c r="CK331" s="38"/>
      <c r="CL331" s="38"/>
      <c r="CM331" s="38"/>
      <c r="CN331" s="38"/>
      <c r="CO331" s="38"/>
      <c r="CP331" s="38"/>
      <c r="CQ331" s="38"/>
      <c r="CR331" s="38"/>
      <c r="CS331" s="38"/>
      <c r="CT331" s="38"/>
      <c r="CU331" s="38"/>
      <c r="CV331" s="38"/>
      <c r="CW331" s="38"/>
      <c r="CX331" s="38"/>
      <c r="CY331" s="38"/>
      <c r="CZ331" s="38"/>
    </row>
    <row r="332" spans="1:104" s="40" customFormat="1" ht="20.149999999999999" customHeight="1">
      <c r="A332" s="358">
        <f t="shared" si="87"/>
        <v>331</v>
      </c>
      <c r="B332" s="359" t="str">
        <f>'Front Sheet and Checklist'!$C$5</f>
        <v>Swansea Bay UHB</v>
      </c>
      <c r="C332" s="17"/>
      <c r="D332" s="17"/>
      <c r="E332" s="17"/>
      <c r="F332" s="17"/>
      <c r="G332" s="17"/>
      <c r="H332" s="17"/>
      <c r="I332" s="361">
        <f t="shared" si="77"/>
        <v>0</v>
      </c>
      <c r="J332" s="17"/>
      <c r="K332" s="18"/>
      <c r="L332" s="18"/>
      <c r="M332" s="17"/>
      <c r="N332" s="17"/>
      <c r="O332" s="17"/>
      <c r="P332" s="17"/>
      <c r="Q332" s="169"/>
      <c r="R332" s="24"/>
      <c r="S332" s="24"/>
      <c r="T332" s="24"/>
      <c r="U332" s="25"/>
      <c r="V332" s="25"/>
      <c r="W332" s="25"/>
      <c r="X332" s="24"/>
      <c r="Y332" s="24"/>
      <c r="Z332" s="24"/>
      <c r="AA332" s="24"/>
      <c r="AB332" s="24"/>
      <c r="AC332" s="24"/>
      <c r="AD332" s="361">
        <f t="shared" si="76"/>
        <v>0</v>
      </c>
      <c r="AE332" s="359" t="str">
        <f t="shared" si="79"/>
        <v/>
      </c>
      <c r="AF332" s="359" t="str">
        <f t="shared" si="88"/>
        <v/>
      </c>
      <c r="AG332" s="359" t="str">
        <f t="shared" si="80"/>
        <v/>
      </c>
      <c r="AH332" s="359" t="str">
        <f t="shared" si="81"/>
        <v/>
      </c>
      <c r="AI332" s="359" t="str">
        <f t="shared" si="82"/>
        <v/>
      </c>
      <c r="AJ332" s="359" t="str">
        <f t="shared" si="83"/>
        <v/>
      </c>
      <c r="AK332" s="359" t="str">
        <f t="shared" si="85"/>
        <v/>
      </c>
      <c r="AL332" s="359" t="str">
        <f t="shared" si="84"/>
        <v/>
      </c>
      <c r="AM332" s="359" t="str">
        <f t="shared" si="86"/>
        <v/>
      </c>
      <c r="AN332" s="262">
        <f t="shared" si="89"/>
        <v>0</v>
      </c>
      <c r="AO332" s="262" t="str">
        <f>IFERROR(HLOOKUP(AN332,'Ref Lists'!Q$1:AL$2,2,FALSE),'Ref Lists'!$AK$2)</f>
        <v>Savings21</v>
      </c>
      <c r="AP332" s="38"/>
      <c r="AQ332" s="38">
        <f t="shared" si="78"/>
        <v>0</v>
      </c>
      <c r="AR332" s="38"/>
      <c r="AS332" s="38"/>
      <c r="AT332" s="38"/>
      <c r="AU332" s="38"/>
      <c r="AV332" s="38"/>
      <c r="AW332" s="38"/>
      <c r="AX332" s="38"/>
      <c r="AY332" s="38"/>
      <c r="AZ332" s="38"/>
      <c r="BA332" s="38"/>
      <c r="BB332" s="38"/>
      <c r="BC332" s="38"/>
      <c r="BD332" s="38"/>
      <c r="BE332" s="38"/>
      <c r="BF332" s="38"/>
      <c r="BG332" s="38"/>
      <c r="BH332" s="38"/>
      <c r="BI332" s="38"/>
      <c r="BJ332" s="38"/>
      <c r="BK332" s="38"/>
      <c r="BL332" s="38"/>
      <c r="BM332" s="38"/>
      <c r="BN332" s="38"/>
      <c r="BO332" s="38"/>
      <c r="BP332" s="38"/>
      <c r="BQ332" s="38"/>
      <c r="BR332" s="38"/>
      <c r="BS332" s="38"/>
      <c r="BT332" s="38"/>
      <c r="BU332" s="38"/>
      <c r="BV332" s="38"/>
      <c r="BW332" s="38"/>
      <c r="BX332" s="38"/>
      <c r="BY332" s="38"/>
      <c r="BZ332" s="38"/>
      <c r="CA332" s="38"/>
      <c r="CB332" s="38"/>
      <c r="CC332" s="38"/>
      <c r="CD332" s="38"/>
      <c r="CE332" s="38"/>
      <c r="CF332" s="38"/>
      <c r="CG332" s="38"/>
      <c r="CH332" s="38"/>
      <c r="CI332" s="38"/>
      <c r="CJ332" s="38"/>
      <c r="CK332" s="38"/>
      <c r="CL332" s="38"/>
      <c r="CM332" s="38"/>
      <c r="CN332" s="38"/>
      <c r="CO332" s="38"/>
      <c r="CP332" s="38"/>
      <c r="CQ332" s="38"/>
      <c r="CR332" s="38"/>
      <c r="CS332" s="38"/>
      <c r="CT332" s="38"/>
      <c r="CU332" s="38"/>
      <c r="CV332" s="38"/>
      <c r="CW332" s="38"/>
      <c r="CX332" s="38"/>
      <c r="CY332" s="38"/>
      <c r="CZ332" s="38"/>
    </row>
    <row r="333" spans="1:104" s="40" customFormat="1" ht="20.149999999999999" customHeight="1">
      <c r="A333" s="358">
        <f t="shared" si="87"/>
        <v>332</v>
      </c>
      <c r="B333" s="359" t="str">
        <f>'Front Sheet and Checklist'!$C$5</f>
        <v>Swansea Bay UHB</v>
      </c>
      <c r="C333" s="17"/>
      <c r="D333" s="17"/>
      <c r="E333" s="17"/>
      <c r="F333" s="17"/>
      <c r="G333" s="17"/>
      <c r="H333" s="17"/>
      <c r="I333" s="361">
        <f t="shared" si="77"/>
        <v>0</v>
      </c>
      <c r="J333" s="17"/>
      <c r="K333" s="18"/>
      <c r="L333" s="18"/>
      <c r="M333" s="17"/>
      <c r="N333" s="17"/>
      <c r="O333" s="17"/>
      <c r="P333" s="17"/>
      <c r="Q333" s="169"/>
      <c r="R333" s="24"/>
      <c r="S333" s="24"/>
      <c r="T333" s="24"/>
      <c r="U333" s="25"/>
      <c r="V333" s="25"/>
      <c r="W333" s="25"/>
      <c r="X333" s="24"/>
      <c r="Y333" s="24"/>
      <c r="Z333" s="24"/>
      <c r="AA333" s="24"/>
      <c r="AB333" s="24"/>
      <c r="AC333" s="24"/>
      <c r="AD333" s="361">
        <f t="shared" si="76"/>
        <v>0</v>
      </c>
      <c r="AE333" s="359" t="str">
        <f t="shared" si="79"/>
        <v/>
      </c>
      <c r="AF333" s="359" t="str">
        <f t="shared" si="88"/>
        <v/>
      </c>
      <c r="AG333" s="359" t="str">
        <f t="shared" si="80"/>
        <v/>
      </c>
      <c r="AH333" s="359" t="str">
        <f t="shared" si="81"/>
        <v/>
      </c>
      <c r="AI333" s="359" t="str">
        <f t="shared" si="82"/>
        <v/>
      </c>
      <c r="AJ333" s="359" t="str">
        <f t="shared" si="83"/>
        <v/>
      </c>
      <c r="AK333" s="359" t="str">
        <f t="shared" si="85"/>
        <v/>
      </c>
      <c r="AL333" s="359" t="str">
        <f t="shared" si="84"/>
        <v/>
      </c>
      <c r="AM333" s="359" t="str">
        <f t="shared" si="86"/>
        <v/>
      </c>
      <c r="AN333" s="262">
        <f t="shared" si="89"/>
        <v>0</v>
      </c>
      <c r="AO333" s="262" t="str">
        <f>IFERROR(HLOOKUP(AN333,'Ref Lists'!Q$1:AL$2,2,FALSE),'Ref Lists'!$AK$2)</f>
        <v>Savings21</v>
      </c>
      <c r="AP333" s="38"/>
      <c r="AQ333" s="38">
        <f t="shared" si="78"/>
        <v>0</v>
      </c>
      <c r="AR333" s="38"/>
      <c r="AS333" s="38"/>
      <c r="AT333" s="38"/>
      <c r="AU333" s="38"/>
      <c r="AV333" s="38"/>
      <c r="AW333" s="38"/>
      <c r="AX333" s="38"/>
      <c r="AY333" s="38"/>
      <c r="AZ333" s="38"/>
      <c r="BA333" s="38"/>
      <c r="BB333" s="38"/>
      <c r="BC333" s="38"/>
      <c r="BD333" s="38"/>
      <c r="BE333" s="38"/>
      <c r="BF333" s="38"/>
      <c r="BG333" s="38"/>
      <c r="BH333" s="38"/>
      <c r="BI333" s="38"/>
      <c r="BJ333" s="38"/>
      <c r="BK333" s="38"/>
      <c r="BL333" s="38"/>
      <c r="BM333" s="38"/>
      <c r="BN333" s="38"/>
      <c r="BO333" s="38"/>
      <c r="BP333" s="38"/>
      <c r="BQ333" s="38"/>
      <c r="BR333" s="38"/>
      <c r="BS333" s="38"/>
      <c r="BT333" s="38"/>
      <c r="BU333" s="38"/>
      <c r="BV333" s="38"/>
      <c r="BW333" s="38"/>
      <c r="BX333" s="38"/>
      <c r="BY333" s="38"/>
      <c r="BZ333" s="38"/>
      <c r="CA333" s="38"/>
      <c r="CB333" s="38"/>
      <c r="CC333" s="38"/>
      <c r="CD333" s="38"/>
      <c r="CE333" s="38"/>
      <c r="CF333" s="38"/>
      <c r="CG333" s="38"/>
      <c r="CH333" s="38"/>
      <c r="CI333" s="38"/>
      <c r="CJ333" s="38"/>
      <c r="CK333" s="38"/>
      <c r="CL333" s="38"/>
      <c r="CM333" s="38"/>
      <c r="CN333" s="38"/>
      <c r="CO333" s="38"/>
      <c r="CP333" s="38"/>
      <c r="CQ333" s="38"/>
      <c r="CR333" s="38"/>
      <c r="CS333" s="38"/>
      <c r="CT333" s="38"/>
      <c r="CU333" s="38"/>
      <c r="CV333" s="38"/>
      <c r="CW333" s="38"/>
      <c r="CX333" s="38"/>
      <c r="CY333" s="38"/>
      <c r="CZ333" s="38"/>
    </row>
    <row r="334" spans="1:104" s="40" customFormat="1" ht="20.149999999999999" customHeight="1">
      <c r="A334" s="358">
        <f t="shared" si="87"/>
        <v>333</v>
      </c>
      <c r="B334" s="359" t="str">
        <f>'Front Sheet and Checklist'!$C$5</f>
        <v>Swansea Bay UHB</v>
      </c>
      <c r="C334" s="17"/>
      <c r="D334" s="17"/>
      <c r="E334" s="17"/>
      <c r="F334" s="17"/>
      <c r="G334" s="17"/>
      <c r="H334" s="17"/>
      <c r="I334" s="361">
        <f t="shared" si="77"/>
        <v>0</v>
      </c>
      <c r="J334" s="17"/>
      <c r="K334" s="18"/>
      <c r="L334" s="18"/>
      <c r="M334" s="17"/>
      <c r="N334" s="17"/>
      <c r="O334" s="17"/>
      <c r="P334" s="17"/>
      <c r="Q334" s="169"/>
      <c r="R334" s="24"/>
      <c r="S334" s="24"/>
      <c r="T334" s="24"/>
      <c r="U334" s="25"/>
      <c r="V334" s="25"/>
      <c r="W334" s="25"/>
      <c r="X334" s="24"/>
      <c r="Y334" s="24"/>
      <c r="Z334" s="24"/>
      <c r="AA334" s="24"/>
      <c r="AB334" s="24"/>
      <c r="AC334" s="24"/>
      <c r="AD334" s="361">
        <f t="shared" si="76"/>
        <v>0</v>
      </c>
      <c r="AE334" s="359" t="str">
        <f t="shared" si="79"/>
        <v/>
      </c>
      <c r="AF334" s="359" t="str">
        <f t="shared" si="88"/>
        <v/>
      </c>
      <c r="AG334" s="359" t="str">
        <f t="shared" si="80"/>
        <v/>
      </c>
      <c r="AH334" s="359" t="str">
        <f t="shared" si="81"/>
        <v/>
      </c>
      <c r="AI334" s="359" t="str">
        <f t="shared" si="82"/>
        <v/>
      </c>
      <c r="AJ334" s="359" t="str">
        <f t="shared" si="83"/>
        <v/>
      </c>
      <c r="AK334" s="359" t="str">
        <f t="shared" si="85"/>
        <v/>
      </c>
      <c r="AL334" s="359" t="str">
        <f t="shared" si="84"/>
        <v/>
      </c>
      <c r="AM334" s="359" t="str">
        <f t="shared" si="86"/>
        <v/>
      </c>
      <c r="AN334" s="262">
        <f t="shared" si="89"/>
        <v>0</v>
      </c>
      <c r="AO334" s="262" t="str">
        <f>IFERROR(HLOOKUP(AN334,'Ref Lists'!Q$1:AL$2,2,FALSE),'Ref Lists'!$AK$2)</f>
        <v>Savings21</v>
      </c>
      <c r="AP334" s="38"/>
      <c r="AQ334" s="38">
        <f t="shared" si="78"/>
        <v>0</v>
      </c>
      <c r="AR334" s="38"/>
      <c r="AS334" s="38"/>
      <c r="AT334" s="38"/>
      <c r="AU334" s="38"/>
      <c r="AV334" s="38"/>
      <c r="AW334" s="38"/>
      <c r="AX334" s="38"/>
      <c r="AY334" s="38"/>
      <c r="AZ334" s="38"/>
      <c r="BA334" s="38"/>
      <c r="BB334" s="38"/>
      <c r="BC334" s="38"/>
      <c r="BD334" s="38"/>
      <c r="BE334" s="38"/>
      <c r="BF334" s="38"/>
      <c r="BG334" s="38"/>
      <c r="BH334" s="38"/>
      <c r="BI334" s="38"/>
      <c r="BJ334" s="38"/>
      <c r="BK334" s="38"/>
      <c r="BL334" s="38"/>
      <c r="BM334" s="38"/>
      <c r="BN334" s="38"/>
      <c r="BO334" s="38"/>
      <c r="BP334" s="38"/>
      <c r="BQ334" s="38"/>
      <c r="BR334" s="38"/>
      <c r="BS334" s="38"/>
      <c r="BT334" s="38"/>
      <c r="BU334" s="38"/>
      <c r="BV334" s="38"/>
      <c r="BW334" s="38"/>
      <c r="BX334" s="38"/>
      <c r="BY334" s="38"/>
      <c r="BZ334" s="38"/>
      <c r="CA334" s="38"/>
      <c r="CB334" s="38"/>
      <c r="CC334" s="38"/>
      <c r="CD334" s="38"/>
      <c r="CE334" s="38"/>
      <c r="CF334" s="38"/>
      <c r="CG334" s="38"/>
      <c r="CH334" s="38"/>
      <c r="CI334" s="38"/>
      <c r="CJ334" s="38"/>
      <c r="CK334" s="38"/>
      <c r="CL334" s="38"/>
      <c r="CM334" s="38"/>
      <c r="CN334" s="38"/>
      <c r="CO334" s="38"/>
      <c r="CP334" s="38"/>
      <c r="CQ334" s="38"/>
      <c r="CR334" s="38"/>
      <c r="CS334" s="38"/>
      <c r="CT334" s="38"/>
      <c r="CU334" s="38"/>
      <c r="CV334" s="38"/>
      <c r="CW334" s="38"/>
      <c r="CX334" s="38"/>
      <c r="CY334" s="38"/>
      <c r="CZ334" s="38"/>
    </row>
    <row r="335" spans="1:104" s="40" customFormat="1" ht="20.149999999999999" customHeight="1">
      <c r="A335" s="358">
        <f t="shared" si="87"/>
        <v>334</v>
      </c>
      <c r="B335" s="359" t="str">
        <f>'Front Sheet and Checklist'!$C$5</f>
        <v>Swansea Bay UHB</v>
      </c>
      <c r="C335" s="17"/>
      <c r="D335" s="17"/>
      <c r="E335" s="17"/>
      <c r="F335" s="17"/>
      <c r="G335" s="17"/>
      <c r="H335" s="17"/>
      <c r="I335" s="361">
        <f t="shared" si="77"/>
        <v>0</v>
      </c>
      <c r="J335" s="17"/>
      <c r="K335" s="18"/>
      <c r="L335" s="18"/>
      <c r="M335" s="17"/>
      <c r="N335" s="17"/>
      <c r="O335" s="17"/>
      <c r="P335" s="17"/>
      <c r="Q335" s="169"/>
      <c r="R335" s="24"/>
      <c r="S335" s="24"/>
      <c r="T335" s="24"/>
      <c r="U335" s="25"/>
      <c r="V335" s="25"/>
      <c r="W335" s="25"/>
      <c r="X335" s="24"/>
      <c r="Y335" s="24"/>
      <c r="Z335" s="24"/>
      <c r="AA335" s="24"/>
      <c r="AB335" s="24"/>
      <c r="AC335" s="24"/>
      <c r="AD335" s="361">
        <f t="shared" si="76"/>
        <v>0</v>
      </c>
      <c r="AE335" s="359" t="str">
        <f t="shared" si="79"/>
        <v/>
      </c>
      <c r="AF335" s="359" t="str">
        <f t="shared" si="88"/>
        <v/>
      </c>
      <c r="AG335" s="359" t="str">
        <f t="shared" si="80"/>
        <v/>
      </c>
      <c r="AH335" s="359" t="str">
        <f t="shared" si="81"/>
        <v/>
      </c>
      <c r="AI335" s="359" t="str">
        <f t="shared" si="82"/>
        <v/>
      </c>
      <c r="AJ335" s="359" t="str">
        <f t="shared" si="83"/>
        <v/>
      </c>
      <c r="AK335" s="359" t="str">
        <f t="shared" si="85"/>
        <v/>
      </c>
      <c r="AL335" s="359" t="str">
        <f t="shared" si="84"/>
        <v/>
      </c>
      <c r="AM335" s="359" t="str">
        <f t="shared" si="86"/>
        <v/>
      </c>
      <c r="AN335" s="262">
        <f t="shared" si="89"/>
        <v>0</v>
      </c>
      <c r="AO335" s="262" t="str">
        <f>IFERROR(HLOOKUP(AN335,'Ref Lists'!Q$1:AL$2,2,FALSE),'Ref Lists'!$AK$2)</f>
        <v>Savings21</v>
      </c>
      <c r="AP335" s="38"/>
      <c r="AQ335" s="38">
        <f t="shared" si="78"/>
        <v>0</v>
      </c>
      <c r="AR335" s="38"/>
      <c r="AS335" s="38"/>
      <c r="AT335" s="38"/>
      <c r="AU335" s="38"/>
      <c r="AV335" s="38"/>
      <c r="AW335" s="38"/>
      <c r="AX335" s="38"/>
      <c r="AY335" s="38"/>
      <c r="AZ335" s="38"/>
      <c r="BA335" s="38"/>
      <c r="BB335" s="38"/>
      <c r="BC335" s="38"/>
      <c r="BD335" s="38"/>
      <c r="BE335" s="38"/>
      <c r="BF335" s="38"/>
      <c r="BG335" s="38"/>
      <c r="BH335" s="38"/>
      <c r="BI335" s="38"/>
      <c r="BJ335" s="38"/>
      <c r="BK335" s="38"/>
      <c r="BL335" s="38"/>
      <c r="BM335" s="38"/>
      <c r="BN335" s="38"/>
      <c r="BO335" s="38"/>
      <c r="BP335" s="38"/>
      <c r="BQ335" s="38"/>
      <c r="BR335" s="38"/>
      <c r="BS335" s="38"/>
      <c r="BT335" s="38"/>
      <c r="BU335" s="38"/>
      <c r="BV335" s="38"/>
      <c r="BW335" s="38"/>
      <c r="BX335" s="38"/>
      <c r="BY335" s="38"/>
      <c r="BZ335" s="38"/>
      <c r="CA335" s="38"/>
      <c r="CB335" s="38"/>
      <c r="CC335" s="38"/>
      <c r="CD335" s="38"/>
      <c r="CE335" s="38"/>
      <c r="CF335" s="38"/>
      <c r="CG335" s="38"/>
      <c r="CH335" s="38"/>
      <c r="CI335" s="38"/>
      <c r="CJ335" s="38"/>
      <c r="CK335" s="38"/>
      <c r="CL335" s="38"/>
      <c r="CM335" s="38"/>
      <c r="CN335" s="38"/>
      <c r="CO335" s="38"/>
      <c r="CP335" s="38"/>
      <c r="CQ335" s="38"/>
      <c r="CR335" s="38"/>
      <c r="CS335" s="38"/>
      <c r="CT335" s="38"/>
      <c r="CU335" s="38"/>
      <c r="CV335" s="38"/>
      <c r="CW335" s="38"/>
      <c r="CX335" s="38"/>
      <c r="CY335" s="38"/>
      <c r="CZ335" s="38"/>
    </row>
    <row r="336" spans="1:104" s="40" customFormat="1" ht="20.149999999999999" customHeight="1">
      <c r="A336" s="358">
        <f t="shared" si="87"/>
        <v>335</v>
      </c>
      <c r="B336" s="359" t="str">
        <f>'Front Sheet and Checklist'!$C$5</f>
        <v>Swansea Bay UHB</v>
      </c>
      <c r="C336" s="17"/>
      <c r="D336" s="17"/>
      <c r="E336" s="17"/>
      <c r="F336" s="17"/>
      <c r="G336" s="17"/>
      <c r="H336" s="17"/>
      <c r="I336" s="361">
        <f t="shared" si="77"/>
        <v>0</v>
      </c>
      <c r="J336" s="17"/>
      <c r="K336" s="18"/>
      <c r="L336" s="18"/>
      <c r="M336" s="17"/>
      <c r="N336" s="17"/>
      <c r="O336" s="17"/>
      <c r="P336" s="17"/>
      <c r="Q336" s="169"/>
      <c r="R336" s="24"/>
      <c r="S336" s="24"/>
      <c r="T336" s="24"/>
      <c r="U336" s="25"/>
      <c r="V336" s="25"/>
      <c r="W336" s="25"/>
      <c r="X336" s="24"/>
      <c r="Y336" s="24"/>
      <c r="Z336" s="24"/>
      <c r="AA336" s="24"/>
      <c r="AB336" s="24"/>
      <c r="AC336" s="24"/>
      <c r="AD336" s="361">
        <f t="shared" si="76"/>
        <v>0</v>
      </c>
      <c r="AE336" s="359" t="str">
        <f t="shared" si="79"/>
        <v/>
      </c>
      <c r="AF336" s="359" t="str">
        <f t="shared" si="88"/>
        <v/>
      </c>
      <c r="AG336" s="359" t="str">
        <f t="shared" si="80"/>
        <v/>
      </c>
      <c r="AH336" s="359" t="str">
        <f t="shared" si="81"/>
        <v/>
      </c>
      <c r="AI336" s="359" t="str">
        <f t="shared" si="82"/>
        <v/>
      </c>
      <c r="AJ336" s="359" t="str">
        <f t="shared" si="83"/>
        <v/>
      </c>
      <c r="AK336" s="359" t="str">
        <f t="shared" si="85"/>
        <v/>
      </c>
      <c r="AL336" s="359" t="str">
        <f t="shared" si="84"/>
        <v/>
      </c>
      <c r="AM336" s="359" t="str">
        <f t="shared" si="86"/>
        <v/>
      </c>
      <c r="AN336" s="262">
        <f t="shared" si="89"/>
        <v>0</v>
      </c>
      <c r="AO336" s="262" t="str">
        <f>IFERROR(HLOOKUP(AN336,'Ref Lists'!Q$1:AL$2,2,FALSE),'Ref Lists'!$AK$2)</f>
        <v>Savings21</v>
      </c>
      <c r="AP336" s="38"/>
      <c r="AQ336" s="38">
        <f t="shared" si="78"/>
        <v>0</v>
      </c>
      <c r="AR336" s="38"/>
      <c r="AS336" s="38"/>
      <c r="AT336" s="38"/>
      <c r="AU336" s="38"/>
      <c r="AV336" s="38"/>
      <c r="AW336" s="38"/>
      <c r="AX336" s="38"/>
      <c r="AY336" s="38"/>
      <c r="AZ336" s="38"/>
      <c r="BA336" s="38"/>
      <c r="BB336" s="38"/>
      <c r="BC336" s="38"/>
      <c r="BD336" s="38"/>
      <c r="BE336" s="38"/>
      <c r="BF336" s="38"/>
      <c r="BG336" s="38"/>
      <c r="BH336" s="38"/>
      <c r="BI336" s="38"/>
      <c r="BJ336" s="38"/>
      <c r="BK336" s="38"/>
      <c r="BL336" s="38"/>
      <c r="BM336" s="38"/>
      <c r="BN336" s="38"/>
      <c r="BO336" s="38"/>
      <c r="BP336" s="38"/>
      <c r="BQ336" s="38"/>
      <c r="BR336" s="38"/>
      <c r="BS336" s="38"/>
      <c r="BT336" s="38"/>
      <c r="BU336" s="38"/>
      <c r="BV336" s="38"/>
      <c r="BW336" s="38"/>
      <c r="BX336" s="38"/>
      <c r="BY336" s="38"/>
      <c r="BZ336" s="38"/>
      <c r="CA336" s="38"/>
      <c r="CB336" s="38"/>
      <c r="CC336" s="38"/>
      <c r="CD336" s="38"/>
      <c r="CE336" s="38"/>
      <c r="CF336" s="38"/>
      <c r="CG336" s="38"/>
      <c r="CH336" s="38"/>
      <c r="CI336" s="38"/>
      <c r="CJ336" s="38"/>
      <c r="CK336" s="38"/>
      <c r="CL336" s="38"/>
      <c r="CM336" s="38"/>
      <c r="CN336" s="38"/>
      <c r="CO336" s="38"/>
      <c r="CP336" s="38"/>
      <c r="CQ336" s="38"/>
      <c r="CR336" s="38"/>
      <c r="CS336" s="38"/>
      <c r="CT336" s="38"/>
      <c r="CU336" s="38"/>
      <c r="CV336" s="38"/>
      <c r="CW336" s="38"/>
      <c r="CX336" s="38"/>
      <c r="CY336" s="38"/>
      <c r="CZ336" s="38"/>
    </row>
    <row r="337" spans="1:104" s="40" customFormat="1" ht="20.149999999999999" customHeight="1">
      <c r="A337" s="358">
        <f t="shared" si="87"/>
        <v>336</v>
      </c>
      <c r="B337" s="359" t="str">
        <f>'Front Sheet and Checklist'!$C$5</f>
        <v>Swansea Bay UHB</v>
      </c>
      <c r="C337" s="17"/>
      <c r="D337" s="17"/>
      <c r="E337" s="17"/>
      <c r="F337" s="17"/>
      <c r="G337" s="17"/>
      <c r="H337" s="17"/>
      <c r="I337" s="361">
        <f t="shared" si="77"/>
        <v>0</v>
      </c>
      <c r="J337" s="17"/>
      <c r="K337" s="18"/>
      <c r="L337" s="18"/>
      <c r="M337" s="17"/>
      <c r="N337" s="17"/>
      <c r="O337" s="17"/>
      <c r="P337" s="17"/>
      <c r="Q337" s="169"/>
      <c r="R337" s="24"/>
      <c r="S337" s="24"/>
      <c r="T337" s="24"/>
      <c r="U337" s="25"/>
      <c r="V337" s="25"/>
      <c r="W337" s="25"/>
      <c r="X337" s="24"/>
      <c r="Y337" s="24"/>
      <c r="Z337" s="24"/>
      <c r="AA337" s="24"/>
      <c r="AB337" s="24"/>
      <c r="AC337" s="24"/>
      <c r="AD337" s="361">
        <f t="shared" si="76"/>
        <v>0</v>
      </c>
      <c r="AE337" s="359" t="str">
        <f t="shared" si="79"/>
        <v/>
      </c>
      <c r="AF337" s="359" t="str">
        <f t="shared" si="88"/>
        <v/>
      </c>
      <c r="AG337" s="359" t="str">
        <f t="shared" si="80"/>
        <v/>
      </c>
      <c r="AH337" s="359" t="str">
        <f t="shared" si="81"/>
        <v/>
      </c>
      <c r="AI337" s="359" t="str">
        <f t="shared" si="82"/>
        <v/>
      </c>
      <c r="AJ337" s="359" t="str">
        <f t="shared" si="83"/>
        <v/>
      </c>
      <c r="AK337" s="359" t="str">
        <f t="shared" si="85"/>
        <v/>
      </c>
      <c r="AL337" s="359" t="str">
        <f t="shared" si="84"/>
        <v/>
      </c>
      <c r="AM337" s="359" t="str">
        <f t="shared" si="86"/>
        <v/>
      </c>
      <c r="AN337" s="262">
        <f t="shared" si="89"/>
        <v>0</v>
      </c>
      <c r="AO337" s="262" t="str">
        <f>IFERROR(HLOOKUP(AN337,'Ref Lists'!Q$1:AL$2,2,FALSE),'Ref Lists'!$AK$2)</f>
        <v>Savings21</v>
      </c>
      <c r="AP337" s="38"/>
      <c r="AQ337" s="38">
        <f t="shared" si="78"/>
        <v>0</v>
      </c>
      <c r="AR337" s="38"/>
      <c r="AS337" s="38"/>
      <c r="AT337" s="38"/>
      <c r="AU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38"/>
      <c r="BU337" s="38"/>
      <c r="BV337" s="38"/>
      <c r="BW337" s="38"/>
      <c r="BX337" s="38"/>
      <c r="BY337" s="38"/>
      <c r="BZ337" s="38"/>
      <c r="CA337" s="38"/>
      <c r="CB337" s="38"/>
      <c r="CC337" s="38"/>
      <c r="CD337" s="38"/>
      <c r="CE337" s="38"/>
      <c r="CF337" s="38"/>
      <c r="CG337" s="38"/>
      <c r="CH337" s="38"/>
      <c r="CI337" s="38"/>
      <c r="CJ337" s="38"/>
      <c r="CK337" s="38"/>
      <c r="CL337" s="38"/>
      <c r="CM337" s="38"/>
      <c r="CN337" s="38"/>
      <c r="CO337" s="38"/>
      <c r="CP337" s="38"/>
      <c r="CQ337" s="38"/>
      <c r="CR337" s="38"/>
      <c r="CS337" s="38"/>
      <c r="CT337" s="38"/>
      <c r="CU337" s="38"/>
      <c r="CV337" s="38"/>
      <c r="CW337" s="38"/>
      <c r="CX337" s="38"/>
      <c r="CY337" s="38"/>
      <c r="CZ337" s="38"/>
    </row>
    <row r="338" spans="1:104" s="40" customFormat="1" ht="20.149999999999999" customHeight="1">
      <c r="A338" s="358">
        <f t="shared" si="87"/>
        <v>337</v>
      </c>
      <c r="B338" s="359" t="str">
        <f>'Front Sheet and Checklist'!$C$5</f>
        <v>Swansea Bay UHB</v>
      </c>
      <c r="C338" s="17"/>
      <c r="D338" s="17"/>
      <c r="E338" s="17"/>
      <c r="F338" s="17"/>
      <c r="G338" s="17"/>
      <c r="H338" s="17"/>
      <c r="I338" s="361">
        <f t="shared" si="77"/>
        <v>0</v>
      </c>
      <c r="J338" s="17"/>
      <c r="K338" s="18"/>
      <c r="L338" s="18"/>
      <c r="M338" s="17"/>
      <c r="N338" s="17"/>
      <c r="O338" s="17"/>
      <c r="P338" s="17"/>
      <c r="Q338" s="169"/>
      <c r="R338" s="24"/>
      <c r="S338" s="24"/>
      <c r="T338" s="24"/>
      <c r="U338" s="25"/>
      <c r="V338" s="25"/>
      <c r="W338" s="25"/>
      <c r="X338" s="24"/>
      <c r="Y338" s="24"/>
      <c r="Z338" s="24"/>
      <c r="AA338" s="24"/>
      <c r="AB338" s="24"/>
      <c r="AC338" s="24"/>
      <c r="AD338" s="361">
        <f t="shared" si="76"/>
        <v>0</v>
      </c>
      <c r="AE338" s="359" t="str">
        <f t="shared" si="79"/>
        <v/>
      </c>
      <c r="AF338" s="359" t="str">
        <f t="shared" si="88"/>
        <v/>
      </c>
      <c r="AG338" s="359" t="str">
        <f t="shared" si="80"/>
        <v/>
      </c>
      <c r="AH338" s="359" t="str">
        <f t="shared" si="81"/>
        <v/>
      </c>
      <c r="AI338" s="359" t="str">
        <f t="shared" si="82"/>
        <v/>
      </c>
      <c r="AJ338" s="359" t="str">
        <f t="shared" si="83"/>
        <v/>
      </c>
      <c r="AK338" s="359" t="str">
        <f t="shared" si="85"/>
        <v/>
      </c>
      <c r="AL338" s="359" t="str">
        <f t="shared" si="84"/>
        <v/>
      </c>
      <c r="AM338" s="359" t="str">
        <f t="shared" si="86"/>
        <v/>
      </c>
      <c r="AN338" s="262">
        <f t="shared" si="89"/>
        <v>0</v>
      </c>
      <c r="AO338" s="262" t="str">
        <f>IFERROR(HLOOKUP(AN338,'Ref Lists'!Q$1:AL$2,2,FALSE),'Ref Lists'!$AK$2)</f>
        <v>Savings21</v>
      </c>
      <c r="AP338" s="38"/>
      <c r="AQ338" s="38">
        <f t="shared" si="78"/>
        <v>0</v>
      </c>
      <c r="AR338" s="38"/>
      <c r="AS338" s="38"/>
      <c r="AT338" s="38"/>
      <c r="AU338" s="38"/>
      <c r="AV338" s="38"/>
      <c r="AW338" s="38"/>
      <c r="AX338" s="38"/>
      <c r="AY338" s="38"/>
      <c r="AZ338" s="38"/>
      <c r="BA338" s="38"/>
      <c r="BB338" s="38"/>
      <c r="BC338" s="38"/>
      <c r="BD338" s="38"/>
      <c r="BE338" s="38"/>
      <c r="BF338" s="38"/>
      <c r="BG338" s="38"/>
      <c r="BH338" s="38"/>
      <c r="BI338" s="38"/>
      <c r="BJ338" s="38"/>
      <c r="BK338" s="38"/>
      <c r="BL338" s="38"/>
      <c r="BM338" s="38"/>
      <c r="BN338" s="38"/>
      <c r="BO338" s="38"/>
      <c r="BP338" s="38"/>
      <c r="BQ338" s="38"/>
      <c r="BR338" s="38"/>
      <c r="BS338" s="38"/>
      <c r="BT338" s="38"/>
      <c r="BU338" s="38"/>
      <c r="BV338" s="38"/>
      <c r="BW338" s="38"/>
      <c r="BX338" s="38"/>
      <c r="BY338" s="38"/>
      <c r="BZ338" s="38"/>
      <c r="CA338" s="38"/>
      <c r="CB338" s="38"/>
      <c r="CC338" s="38"/>
      <c r="CD338" s="38"/>
      <c r="CE338" s="38"/>
      <c r="CF338" s="38"/>
      <c r="CG338" s="38"/>
      <c r="CH338" s="38"/>
      <c r="CI338" s="38"/>
      <c r="CJ338" s="38"/>
      <c r="CK338" s="38"/>
      <c r="CL338" s="38"/>
      <c r="CM338" s="38"/>
      <c r="CN338" s="38"/>
      <c r="CO338" s="38"/>
      <c r="CP338" s="38"/>
      <c r="CQ338" s="38"/>
      <c r="CR338" s="38"/>
      <c r="CS338" s="38"/>
      <c r="CT338" s="38"/>
      <c r="CU338" s="38"/>
      <c r="CV338" s="38"/>
      <c r="CW338" s="38"/>
      <c r="CX338" s="38"/>
      <c r="CY338" s="38"/>
      <c r="CZ338" s="38"/>
    </row>
    <row r="339" spans="1:104" s="40" customFormat="1" ht="20.149999999999999" customHeight="1">
      <c r="A339" s="358">
        <f t="shared" si="87"/>
        <v>338</v>
      </c>
      <c r="B339" s="359" t="str">
        <f>'Front Sheet and Checklist'!$C$5</f>
        <v>Swansea Bay UHB</v>
      </c>
      <c r="C339" s="17"/>
      <c r="D339" s="17"/>
      <c r="E339" s="17"/>
      <c r="F339" s="17"/>
      <c r="G339" s="17"/>
      <c r="H339" s="17"/>
      <c r="I339" s="361">
        <f t="shared" si="77"/>
        <v>0</v>
      </c>
      <c r="J339" s="17"/>
      <c r="K339" s="18"/>
      <c r="L339" s="18"/>
      <c r="M339" s="17"/>
      <c r="N339" s="17"/>
      <c r="O339" s="17"/>
      <c r="P339" s="17"/>
      <c r="Q339" s="169"/>
      <c r="R339" s="24"/>
      <c r="S339" s="24"/>
      <c r="T339" s="24"/>
      <c r="U339" s="25"/>
      <c r="V339" s="25"/>
      <c r="W339" s="25"/>
      <c r="X339" s="24"/>
      <c r="Y339" s="24"/>
      <c r="Z339" s="24"/>
      <c r="AA339" s="24"/>
      <c r="AB339" s="24"/>
      <c r="AC339" s="24"/>
      <c r="AD339" s="361">
        <f t="shared" si="76"/>
        <v>0</v>
      </c>
      <c r="AE339" s="359" t="str">
        <f t="shared" si="79"/>
        <v/>
      </c>
      <c r="AF339" s="359" t="str">
        <f t="shared" si="88"/>
        <v/>
      </c>
      <c r="AG339" s="359" t="str">
        <f t="shared" si="80"/>
        <v/>
      </c>
      <c r="AH339" s="359" t="str">
        <f t="shared" si="81"/>
        <v/>
      </c>
      <c r="AI339" s="359" t="str">
        <f t="shared" si="82"/>
        <v/>
      </c>
      <c r="AJ339" s="359" t="str">
        <f t="shared" si="83"/>
        <v/>
      </c>
      <c r="AK339" s="359" t="str">
        <f t="shared" si="85"/>
        <v/>
      </c>
      <c r="AL339" s="359" t="str">
        <f t="shared" si="84"/>
        <v/>
      </c>
      <c r="AM339" s="359" t="str">
        <f t="shared" si="86"/>
        <v/>
      </c>
      <c r="AN339" s="262">
        <f t="shared" si="89"/>
        <v>0</v>
      </c>
      <c r="AO339" s="262" t="str">
        <f>IFERROR(HLOOKUP(AN339,'Ref Lists'!Q$1:AL$2,2,FALSE),'Ref Lists'!$AK$2)</f>
        <v>Savings21</v>
      </c>
      <c r="AP339" s="38"/>
      <c r="AQ339" s="38">
        <f t="shared" si="78"/>
        <v>0</v>
      </c>
      <c r="AR339" s="38"/>
      <c r="AS339" s="38"/>
      <c r="AT339" s="38"/>
      <c r="AU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38"/>
      <c r="BU339" s="38"/>
      <c r="BV339" s="38"/>
      <c r="BW339" s="38"/>
      <c r="BX339" s="38"/>
      <c r="BY339" s="38"/>
      <c r="BZ339" s="38"/>
      <c r="CA339" s="38"/>
      <c r="CB339" s="38"/>
      <c r="CC339" s="38"/>
      <c r="CD339" s="38"/>
      <c r="CE339" s="38"/>
      <c r="CF339" s="38"/>
      <c r="CG339" s="38"/>
      <c r="CH339" s="38"/>
      <c r="CI339" s="38"/>
      <c r="CJ339" s="38"/>
      <c r="CK339" s="38"/>
      <c r="CL339" s="38"/>
      <c r="CM339" s="38"/>
      <c r="CN339" s="38"/>
      <c r="CO339" s="38"/>
      <c r="CP339" s="38"/>
      <c r="CQ339" s="38"/>
      <c r="CR339" s="38"/>
      <c r="CS339" s="38"/>
      <c r="CT339" s="38"/>
      <c r="CU339" s="38"/>
      <c r="CV339" s="38"/>
      <c r="CW339" s="38"/>
      <c r="CX339" s="38"/>
      <c r="CY339" s="38"/>
      <c r="CZ339" s="38"/>
    </row>
    <row r="340" spans="1:104" s="40" customFormat="1" ht="20.149999999999999" customHeight="1">
      <c r="A340" s="358">
        <f t="shared" si="87"/>
        <v>339</v>
      </c>
      <c r="B340" s="359" t="str">
        <f>'Front Sheet and Checklist'!$C$5</f>
        <v>Swansea Bay UHB</v>
      </c>
      <c r="C340" s="17"/>
      <c r="D340" s="17"/>
      <c r="E340" s="17"/>
      <c r="F340" s="17"/>
      <c r="G340" s="17"/>
      <c r="H340" s="17"/>
      <c r="I340" s="361">
        <f t="shared" si="77"/>
        <v>0</v>
      </c>
      <c r="J340" s="17"/>
      <c r="K340" s="18"/>
      <c r="L340" s="18"/>
      <c r="M340" s="17"/>
      <c r="N340" s="17"/>
      <c r="O340" s="17"/>
      <c r="P340" s="17"/>
      <c r="Q340" s="169"/>
      <c r="R340" s="24"/>
      <c r="S340" s="24"/>
      <c r="T340" s="24"/>
      <c r="U340" s="25"/>
      <c r="V340" s="25"/>
      <c r="W340" s="25"/>
      <c r="X340" s="24"/>
      <c r="Y340" s="24"/>
      <c r="Z340" s="24"/>
      <c r="AA340" s="24"/>
      <c r="AB340" s="24"/>
      <c r="AC340" s="24"/>
      <c r="AD340" s="361">
        <f t="shared" si="76"/>
        <v>0</v>
      </c>
      <c r="AE340" s="359" t="str">
        <f t="shared" si="79"/>
        <v/>
      </c>
      <c r="AF340" s="359" t="str">
        <f t="shared" si="88"/>
        <v/>
      </c>
      <c r="AG340" s="359" t="str">
        <f t="shared" si="80"/>
        <v/>
      </c>
      <c r="AH340" s="359" t="str">
        <f t="shared" si="81"/>
        <v/>
      </c>
      <c r="AI340" s="359" t="str">
        <f t="shared" si="82"/>
        <v/>
      </c>
      <c r="AJ340" s="359" t="str">
        <f t="shared" si="83"/>
        <v/>
      </c>
      <c r="AK340" s="359" t="str">
        <f t="shared" si="85"/>
        <v/>
      </c>
      <c r="AL340" s="359" t="str">
        <f t="shared" si="84"/>
        <v/>
      </c>
      <c r="AM340" s="359" t="str">
        <f t="shared" si="86"/>
        <v/>
      </c>
      <c r="AN340" s="262">
        <f t="shared" si="89"/>
        <v>0</v>
      </c>
      <c r="AO340" s="262" t="str">
        <f>IFERROR(HLOOKUP(AN340,'Ref Lists'!Q$1:AL$2,2,FALSE),'Ref Lists'!$AK$2)</f>
        <v>Savings21</v>
      </c>
      <c r="AP340" s="38"/>
      <c r="AQ340" s="38">
        <f t="shared" si="78"/>
        <v>0</v>
      </c>
      <c r="AR340" s="38"/>
      <c r="AS340" s="38"/>
      <c r="AT340" s="38"/>
      <c r="AU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38"/>
      <c r="BU340" s="38"/>
      <c r="BV340" s="38"/>
      <c r="BW340" s="38"/>
      <c r="BX340" s="38"/>
      <c r="BY340" s="38"/>
      <c r="BZ340" s="38"/>
      <c r="CA340" s="38"/>
      <c r="CB340" s="38"/>
      <c r="CC340" s="38"/>
      <c r="CD340" s="38"/>
      <c r="CE340" s="38"/>
      <c r="CF340" s="38"/>
      <c r="CG340" s="38"/>
      <c r="CH340" s="38"/>
      <c r="CI340" s="38"/>
      <c r="CJ340" s="38"/>
      <c r="CK340" s="38"/>
      <c r="CL340" s="38"/>
      <c r="CM340" s="38"/>
      <c r="CN340" s="38"/>
      <c r="CO340" s="38"/>
      <c r="CP340" s="38"/>
      <c r="CQ340" s="38"/>
      <c r="CR340" s="38"/>
      <c r="CS340" s="38"/>
      <c r="CT340" s="38"/>
      <c r="CU340" s="38"/>
      <c r="CV340" s="38"/>
      <c r="CW340" s="38"/>
      <c r="CX340" s="38"/>
      <c r="CY340" s="38"/>
      <c r="CZ340" s="38"/>
    </row>
    <row r="341" spans="1:104" s="40" customFormat="1" ht="20.149999999999999" customHeight="1">
      <c r="A341" s="358">
        <f t="shared" si="87"/>
        <v>340</v>
      </c>
      <c r="B341" s="359" t="str">
        <f>'Front Sheet and Checklist'!$C$5</f>
        <v>Swansea Bay UHB</v>
      </c>
      <c r="C341" s="17"/>
      <c r="D341" s="17"/>
      <c r="E341" s="17"/>
      <c r="F341" s="17"/>
      <c r="G341" s="17"/>
      <c r="H341" s="17"/>
      <c r="I341" s="361">
        <f t="shared" si="77"/>
        <v>0</v>
      </c>
      <c r="J341" s="17"/>
      <c r="K341" s="18"/>
      <c r="L341" s="18"/>
      <c r="M341" s="17"/>
      <c r="N341" s="17"/>
      <c r="O341" s="17"/>
      <c r="P341" s="17"/>
      <c r="Q341" s="169"/>
      <c r="R341" s="24"/>
      <c r="S341" s="24"/>
      <c r="T341" s="24"/>
      <c r="U341" s="25"/>
      <c r="V341" s="25"/>
      <c r="W341" s="25"/>
      <c r="X341" s="24"/>
      <c r="Y341" s="24"/>
      <c r="Z341" s="24"/>
      <c r="AA341" s="24"/>
      <c r="AB341" s="24"/>
      <c r="AC341" s="24"/>
      <c r="AD341" s="361">
        <f t="shared" si="76"/>
        <v>0</v>
      </c>
      <c r="AE341" s="359" t="str">
        <f t="shared" si="79"/>
        <v/>
      </c>
      <c r="AF341" s="359" t="str">
        <f t="shared" si="88"/>
        <v/>
      </c>
      <c r="AG341" s="359" t="str">
        <f t="shared" si="80"/>
        <v/>
      </c>
      <c r="AH341" s="359" t="str">
        <f t="shared" si="81"/>
        <v/>
      </c>
      <c r="AI341" s="359" t="str">
        <f t="shared" si="82"/>
        <v/>
      </c>
      <c r="AJ341" s="359" t="str">
        <f t="shared" si="83"/>
        <v/>
      </c>
      <c r="AK341" s="359" t="str">
        <f t="shared" si="85"/>
        <v/>
      </c>
      <c r="AL341" s="359" t="str">
        <f t="shared" si="84"/>
        <v/>
      </c>
      <c r="AM341" s="359" t="str">
        <f t="shared" si="86"/>
        <v/>
      </c>
      <c r="AN341" s="262">
        <f t="shared" si="89"/>
        <v>0</v>
      </c>
      <c r="AO341" s="262" t="str">
        <f>IFERROR(HLOOKUP(AN341,'Ref Lists'!Q$1:AL$2,2,FALSE),'Ref Lists'!$AK$2)</f>
        <v>Savings21</v>
      </c>
      <c r="AP341" s="38"/>
      <c r="AQ341" s="38">
        <f t="shared" si="78"/>
        <v>0</v>
      </c>
      <c r="AR341" s="38"/>
      <c r="AS341" s="38"/>
      <c r="AT341" s="38"/>
      <c r="AU341" s="38"/>
      <c r="AV341" s="38"/>
      <c r="AW341" s="38"/>
      <c r="AX341" s="38"/>
      <c r="AY341" s="38"/>
      <c r="AZ341" s="38"/>
      <c r="BA341" s="38"/>
      <c r="BB341" s="38"/>
      <c r="BC341" s="38"/>
      <c r="BD341" s="38"/>
      <c r="BE341" s="38"/>
      <c r="BF341" s="38"/>
      <c r="BG341" s="38"/>
      <c r="BH341" s="38"/>
      <c r="BI341" s="38"/>
      <c r="BJ341" s="38"/>
      <c r="BK341" s="38"/>
      <c r="BL341" s="38"/>
      <c r="BM341" s="38"/>
      <c r="BN341" s="38"/>
      <c r="BO341" s="38"/>
      <c r="BP341" s="38"/>
      <c r="BQ341" s="38"/>
      <c r="BR341" s="38"/>
      <c r="BS341" s="38"/>
      <c r="BT341" s="38"/>
      <c r="BU341" s="38"/>
      <c r="BV341" s="38"/>
      <c r="BW341" s="38"/>
      <c r="BX341" s="38"/>
      <c r="BY341" s="38"/>
      <c r="BZ341" s="38"/>
      <c r="CA341" s="38"/>
      <c r="CB341" s="38"/>
      <c r="CC341" s="38"/>
      <c r="CD341" s="38"/>
      <c r="CE341" s="38"/>
      <c r="CF341" s="38"/>
      <c r="CG341" s="38"/>
      <c r="CH341" s="38"/>
      <c r="CI341" s="38"/>
      <c r="CJ341" s="38"/>
      <c r="CK341" s="38"/>
      <c r="CL341" s="38"/>
      <c r="CM341" s="38"/>
      <c r="CN341" s="38"/>
      <c r="CO341" s="38"/>
      <c r="CP341" s="38"/>
      <c r="CQ341" s="38"/>
      <c r="CR341" s="38"/>
      <c r="CS341" s="38"/>
      <c r="CT341" s="38"/>
      <c r="CU341" s="38"/>
      <c r="CV341" s="38"/>
      <c r="CW341" s="38"/>
      <c r="CX341" s="38"/>
      <c r="CY341" s="38"/>
      <c r="CZ341" s="38"/>
    </row>
    <row r="342" spans="1:104" s="40" customFormat="1" ht="20.149999999999999" customHeight="1">
      <c r="A342" s="358">
        <f t="shared" si="87"/>
        <v>341</v>
      </c>
      <c r="B342" s="359" t="str">
        <f>'Front Sheet and Checklist'!$C$5</f>
        <v>Swansea Bay UHB</v>
      </c>
      <c r="C342" s="17"/>
      <c r="D342" s="17"/>
      <c r="E342" s="17"/>
      <c r="F342" s="17"/>
      <c r="G342" s="17"/>
      <c r="H342" s="17"/>
      <c r="I342" s="361">
        <f t="shared" si="77"/>
        <v>0</v>
      </c>
      <c r="J342" s="17"/>
      <c r="K342" s="18"/>
      <c r="L342" s="18"/>
      <c r="M342" s="17"/>
      <c r="N342" s="17"/>
      <c r="O342" s="17"/>
      <c r="P342" s="17"/>
      <c r="Q342" s="169"/>
      <c r="R342" s="24"/>
      <c r="S342" s="24"/>
      <c r="T342" s="24"/>
      <c r="U342" s="25"/>
      <c r="V342" s="25"/>
      <c r="W342" s="25"/>
      <c r="X342" s="24"/>
      <c r="Y342" s="24"/>
      <c r="Z342" s="24"/>
      <c r="AA342" s="24"/>
      <c r="AB342" s="24"/>
      <c r="AC342" s="24"/>
      <c r="AD342" s="361">
        <f t="shared" si="76"/>
        <v>0</v>
      </c>
      <c r="AE342" s="359" t="str">
        <f t="shared" si="79"/>
        <v/>
      </c>
      <c r="AF342" s="359" t="str">
        <f t="shared" si="88"/>
        <v/>
      </c>
      <c r="AG342" s="359" t="str">
        <f t="shared" si="80"/>
        <v/>
      </c>
      <c r="AH342" s="359" t="str">
        <f t="shared" si="81"/>
        <v/>
      </c>
      <c r="AI342" s="359" t="str">
        <f t="shared" si="82"/>
        <v/>
      </c>
      <c r="AJ342" s="359" t="str">
        <f t="shared" si="83"/>
        <v/>
      </c>
      <c r="AK342" s="359" t="str">
        <f t="shared" si="85"/>
        <v/>
      </c>
      <c r="AL342" s="359" t="str">
        <f t="shared" si="84"/>
        <v/>
      </c>
      <c r="AM342" s="359" t="str">
        <f t="shared" si="86"/>
        <v/>
      </c>
      <c r="AN342" s="262">
        <f t="shared" si="89"/>
        <v>0</v>
      </c>
      <c r="AO342" s="262" t="str">
        <f>IFERROR(HLOOKUP(AN342,'Ref Lists'!Q$1:AL$2,2,FALSE),'Ref Lists'!$AK$2)</f>
        <v>Savings21</v>
      </c>
      <c r="AP342" s="38"/>
      <c r="AQ342" s="38">
        <f t="shared" si="78"/>
        <v>0</v>
      </c>
      <c r="AR342" s="38"/>
      <c r="AS342" s="38"/>
      <c r="AT342" s="38"/>
      <c r="AU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38"/>
      <c r="BU342" s="38"/>
      <c r="BV342" s="38"/>
      <c r="BW342" s="38"/>
      <c r="BX342" s="38"/>
      <c r="BY342" s="38"/>
      <c r="BZ342" s="38"/>
      <c r="CA342" s="38"/>
      <c r="CB342" s="38"/>
      <c r="CC342" s="38"/>
      <c r="CD342" s="38"/>
      <c r="CE342" s="38"/>
      <c r="CF342" s="38"/>
      <c r="CG342" s="38"/>
      <c r="CH342" s="38"/>
      <c r="CI342" s="38"/>
      <c r="CJ342" s="38"/>
      <c r="CK342" s="38"/>
      <c r="CL342" s="38"/>
      <c r="CM342" s="38"/>
      <c r="CN342" s="38"/>
      <c r="CO342" s="38"/>
      <c r="CP342" s="38"/>
      <c r="CQ342" s="38"/>
      <c r="CR342" s="38"/>
      <c r="CS342" s="38"/>
      <c r="CT342" s="38"/>
      <c r="CU342" s="38"/>
      <c r="CV342" s="38"/>
      <c r="CW342" s="38"/>
      <c r="CX342" s="38"/>
      <c r="CY342" s="38"/>
      <c r="CZ342" s="38"/>
    </row>
    <row r="343" spans="1:104" s="40" customFormat="1" ht="20.149999999999999" customHeight="1">
      <c r="A343" s="358">
        <f t="shared" si="87"/>
        <v>342</v>
      </c>
      <c r="B343" s="359" t="str">
        <f>'Front Sheet and Checklist'!$C$5</f>
        <v>Swansea Bay UHB</v>
      </c>
      <c r="C343" s="17"/>
      <c r="D343" s="17"/>
      <c r="E343" s="17"/>
      <c r="F343" s="17"/>
      <c r="G343" s="17"/>
      <c r="H343" s="17"/>
      <c r="I343" s="361">
        <f t="shared" si="77"/>
        <v>0</v>
      </c>
      <c r="J343" s="17"/>
      <c r="K343" s="18"/>
      <c r="L343" s="18"/>
      <c r="M343" s="17"/>
      <c r="N343" s="17"/>
      <c r="O343" s="17"/>
      <c r="P343" s="17"/>
      <c r="Q343" s="169"/>
      <c r="R343" s="24"/>
      <c r="S343" s="24"/>
      <c r="T343" s="24"/>
      <c r="U343" s="25"/>
      <c r="V343" s="25"/>
      <c r="W343" s="25"/>
      <c r="X343" s="24"/>
      <c r="Y343" s="24"/>
      <c r="Z343" s="24"/>
      <c r="AA343" s="24"/>
      <c r="AB343" s="24"/>
      <c r="AC343" s="24"/>
      <c r="AD343" s="361">
        <f t="shared" si="76"/>
        <v>0</v>
      </c>
      <c r="AE343" s="359" t="str">
        <f t="shared" si="79"/>
        <v/>
      </c>
      <c r="AF343" s="359" t="str">
        <f t="shared" si="88"/>
        <v/>
      </c>
      <c r="AG343" s="359" t="str">
        <f t="shared" si="80"/>
        <v/>
      </c>
      <c r="AH343" s="359" t="str">
        <f t="shared" si="81"/>
        <v/>
      </c>
      <c r="AI343" s="359" t="str">
        <f t="shared" si="82"/>
        <v/>
      </c>
      <c r="AJ343" s="359" t="str">
        <f t="shared" si="83"/>
        <v/>
      </c>
      <c r="AK343" s="359" t="str">
        <f t="shared" si="85"/>
        <v/>
      </c>
      <c r="AL343" s="359" t="str">
        <f t="shared" si="84"/>
        <v/>
      </c>
      <c r="AM343" s="359" t="str">
        <f t="shared" si="86"/>
        <v/>
      </c>
      <c r="AN343" s="262">
        <f t="shared" si="89"/>
        <v>0</v>
      </c>
      <c r="AO343" s="262" t="str">
        <f>IFERROR(HLOOKUP(AN343,'Ref Lists'!Q$1:AL$2,2,FALSE),'Ref Lists'!$AK$2)</f>
        <v>Savings21</v>
      </c>
      <c r="AP343" s="38"/>
      <c r="AQ343" s="38">
        <f t="shared" si="78"/>
        <v>0</v>
      </c>
      <c r="AR343" s="38"/>
      <c r="AS343" s="38"/>
      <c r="AT343" s="38"/>
      <c r="AU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38"/>
      <c r="BU343" s="38"/>
      <c r="BV343" s="38"/>
      <c r="BW343" s="38"/>
      <c r="BX343" s="38"/>
      <c r="BY343" s="38"/>
      <c r="BZ343" s="38"/>
      <c r="CA343" s="38"/>
      <c r="CB343" s="38"/>
      <c r="CC343" s="38"/>
      <c r="CD343" s="38"/>
      <c r="CE343" s="38"/>
      <c r="CF343" s="38"/>
      <c r="CG343" s="38"/>
      <c r="CH343" s="38"/>
      <c r="CI343" s="38"/>
      <c r="CJ343" s="38"/>
      <c r="CK343" s="38"/>
      <c r="CL343" s="38"/>
      <c r="CM343" s="38"/>
      <c r="CN343" s="38"/>
      <c r="CO343" s="38"/>
      <c r="CP343" s="38"/>
      <c r="CQ343" s="38"/>
      <c r="CR343" s="38"/>
      <c r="CS343" s="38"/>
      <c r="CT343" s="38"/>
      <c r="CU343" s="38"/>
      <c r="CV343" s="38"/>
      <c r="CW343" s="38"/>
      <c r="CX343" s="38"/>
      <c r="CY343" s="38"/>
      <c r="CZ343" s="38"/>
    </row>
    <row r="344" spans="1:104" s="40" customFormat="1" ht="20.149999999999999" customHeight="1">
      <c r="A344" s="358">
        <f t="shared" si="87"/>
        <v>343</v>
      </c>
      <c r="B344" s="359" t="str">
        <f>'Front Sheet and Checklist'!$C$5</f>
        <v>Swansea Bay UHB</v>
      </c>
      <c r="C344" s="17"/>
      <c r="D344" s="17"/>
      <c r="E344" s="17"/>
      <c r="F344" s="17"/>
      <c r="G344" s="17"/>
      <c r="H344" s="17"/>
      <c r="I344" s="361">
        <f t="shared" si="77"/>
        <v>0</v>
      </c>
      <c r="J344" s="17"/>
      <c r="K344" s="18"/>
      <c r="L344" s="18"/>
      <c r="M344" s="17"/>
      <c r="N344" s="17"/>
      <c r="O344" s="17"/>
      <c r="P344" s="17"/>
      <c r="Q344" s="169"/>
      <c r="R344" s="24"/>
      <c r="S344" s="24"/>
      <c r="T344" s="24"/>
      <c r="U344" s="25"/>
      <c r="V344" s="25"/>
      <c r="W344" s="25"/>
      <c r="X344" s="24"/>
      <c r="Y344" s="24"/>
      <c r="Z344" s="24"/>
      <c r="AA344" s="24"/>
      <c r="AB344" s="24"/>
      <c r="AC344" s="24"/>
      <c r="AD344" s="361">
        <f t="shared" si="76"/>
        <v>0</v>
      </c>
      <c r="AE344" s="359" t="str">
        <f t="shared" si="79"/>
        <v/>
      </c>
      <c r="AF344" s="359" t="str">
        <f t="shared" si="88"/>
        <v/>
      </c>
      <c r="AG344" s="359" t="str">
        <f t="shared" si="80"/>
        <v/>
      </c>
      <c r="AH344" s="359" t="str">
        <f t="shared" si="81"/>
        <v/>
      </c>
      <c r="AI344" s="359" t="str">
        <f t="shared" si="82"/>
        <v/>
      </c>
      <c r="AJ344" s="359" t="str">
        <f t="shared" si="83"/>
        <v/>
      </c>
      <c r="AK344" s="359" t="str">
        <f t="shared" si="85"/>
        <v/>
      </c>
      <c r="AL344" s="359" t="str">
        <f t="shared" si="84"/>
        <v/>
      </c>
      <c r="AM344" s="359" t="str">
        <f t="shared" si="86"/>
        <v/>
      </c>
      <c r="AN344" s="262">
        <f t="shared" si="89"/>
        <v>0</v>
      </c>
      <c r="AO344" s="262" t="str">
        <f>IFERROR(HLOOKUP(AN344,'Ref Lists'!Q$1:AL$2,2,FALSE),'Ref Lists'!$AK$2)</f>
        <v>Savings21</v>
      </c>
      <c r="AP344" s="38"/>
      <c r="AQ344" s="38">
        <f t="shared" si="78"/>
        <v>0</v>
      </c>
      <c r="AR344" s="38"/>
      <c r="AS344" s="38"/>
      <c r="AT344" s="38"/>
      <c r="AU344" s="38"/>
      <c r="AV344" s="38"/>
      <c r="AW344" s="38"/>
      <c r="AX344" s="38"/>
      <c r="AY344" s="38"/>
      <c r="AZ344" s="38"/>
      <c r="BA344" s="38"/>
      <c r="BB344" s="38"/>
      <c r="BC344" s="38"/>
      <c r="BD344" s="38"/>
      <c r="BE344" s="38"/>
      <c r="BF344" s="38"/>
      <c r="BG344" s="38"/>
      <c r="BH344" s="38"/>
      <c r="BI344" s="38"/>
      <c r="BJ344" s="38"/>
      <c r="BK344" s="38"/>
      <c r="BL344" s="38"/>
      <c r="BM344" s="38"/>
      <c r="BN344" s="38"/>
      <c r="BO344" s="38"/>
      <c r="BP344" s="38"/>
      <c r="BQ344" s="38"/>
      <c r="BR344" s="38"/>
      <c r="BS344" s="38"/>
      <c r="BT344" s="38"/>
      <c r="BU344" s="38"/>
      <c r="BV344" s="38"/>
      <c r="BW344" s="38"/>
      <c r="BX344" s="38"/>
      <c r="BY344" s="38"/>
      <c r="BZ344" s="38"/>
      <c r="CA344" s="38"/>
      <c r="CB344" s="38"/>
      <c r="CC344" s="38"/>
      <c r="CD344" s="38"/>
      <c r="CE344" s="38"/>
      <c r="CF344" s="38"/>
      <c r="CG344" s="38"/>
      <c r="CH344" s="38"/>
      <c r="CI344" s="38"/>
      <c r="CJ344" s="38"/>
      <c r="CK344" s="38"/>
      <c r="CL344" s="38"/>
      <c r="CM344" s="38"/>
      <c r="CN344" s="38"/>
      <c r="CO344" s="38"/>
      <c r="CP344" s="38"/>
      <c r="CQ344" s="38"/>
      <c r="CR344" s="38"/>
      <c r="CS344" s="38"/>
      <c r="CT344" s="38"/>
      <c r="CU344" s="38"/>
      <c r="CV344" s="38"/>
      <c r="CW344" s="38"/>
      <c r="CX344" s="38"/>
      <c r="CY344" s="38"/>
      <c r="CZ344" s="38"/>
    </row>
    <row r="345" spans="1:104" s="40" customFormat="1" ht="20.149999999999999" customHeight="1">
      <c r="A345" s="358">
        <f t="shared" si="87"/>
        <v>344</v>
      </c>
      <c r="B345" s="359" t="str">
        <f>'Front Sheet and Checklist'!$C$5</f>
        <v>Swansea Bay UHB</v>
      </c>
      <c r="C345" s="17"/>
      <c r="D345" s="17"/>
      <c r="E345" s="17"/>
      <c r="F345" s="17"/>
      <c r="G345" s="17"/>
      <c r="H345" s="17"/>
      <c r="I345" s="361">
        <f t="shared" si="77"/>
        <v>0</v>
      </c>
      <c r="J345" s="17"/>
      <c r="K345" s="18"/>
      <c r="L345" s="18"/>
      <c r="M345" s="17"/>
      <c r="N345" s="17"/>
      <c r="O345" s="17"/>
      <c r="P345" s="17"/>
      <c r="Q345" s="169"/>
      <c r="R345" s="24"/>
      <c r="S345" s="24"/>
      <c r="T345" s="24"/>
      <c r="U345" s="25"/>
      <c r="V345" s="25"/>
      <c r="W345" s="25"/>
      <c r="X345" s="24"/>
      <c r="Y345" s="24"/>
      <c r="Z345" s="24"/>
      <c r="AA345" s="24"/>
      <c r="AB345" s="24"/>
      <c r="AC345" s="24"/>
      <c r="AD345" s="361">
        <f t="shared" si="76"/>
        <v>0</v>
      </c>
      <c r="AE345" s="359" t="str">
        <f t="shared" si="79"/>
        <v/>
      </c>
      <c r="AF345" s="359" t="str">
        <f t="shared" si="88"/>
        <v/>
      </c>
      <c r="AG345" s="359" t="str">
        <f t="shared" si="80"/>
        <v/>
      </c>
      <c r="AH345" s="359" t="str">
        <f t="shared" si="81"/>
        <v/>
      </c>
      <c r="AI345" s="359" t="str">
        <f t="shared" si="82"/>
        <v/>
      </c>
      <c r="AJ345" s="359" t="str">
        <f t="shared" si="83"/>
        <v/>
      </c>
      <c r="AK345" s="359" t="str">
        <f t="shared" si="85"/>
        <v/>
      </c>
      <c r="AL345" s="359" t="str">
        <f t="shared" si="84"/>
        <v/>
      </c>
      <c r="AM345" s="359" t="str">
        <f t="shared" si="86"/>
        <v/>
      </c>
      <c r="AN345" s="262">
        <f t="shared" si="89"/>
        <v>0</v>
      </c>
      <c r="AO345" s="262" t="str">
        <f>IFERROR(HLOOKUP(AN345,'Ref Lists'!Q$1:AL$2,2,FALSE),'Ref Lists'!$AK$2)</f>
        <v>Savings21</v>
      </c>
      <c r="AP345" s="38"/>
      <c r="AQ345" s="38">
        <f t="shared" si="78"/>
        <v>0</v>
      </c>
      <c r="AR345" s="38"/>
      <c r="AS345" s="38"/>
      <c r="AT345" s="38"/>
      <c r="AU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38"/>
      <c r="BU345" s="38"/>
      <c r="BV345" s="38"/>
      <c r="BW345" s="38"/>
      <c r="BX345" s="38"/>
      <c r="BY345" s="38"/>
      <c r="BZ345" s="38"/>
      <c r="CA345" s="38"/>
      <c r="CB345" s="38"/>
      <c r="CC345" s="38"/>
      <c r="CD345" s="38"/>
      <c r="CE345" s="38"/>
      <c r="CF345" s="38"/>
      <c r="CG345" s="38"/>
      <c r="CH345" s="38"/>
      <c r="CI345" s="38"/>
      <c r="CJ345" s="38"/>
      <c r="CK345" s="38"/>
      <c r="CL345" s="38"/>
      <c r="CM345" s="38"/>
      <c r="CN345" s="38"/>
      <c r="CO345" s="38"/>
      <c r="CP345" s="38"/>
      <c r="CQ345" s="38"/>
      <c r="CR345" s="38"/>
      <c r="CS345" s="38"/>
      <c r="CT345" s="38"/>
      <c r="CU345" s="38"/>
      <c r="CV345" s="38"/>
      <c r="CW345" s="38"/>
      <c r="CX345" s="38"/>
      <c r="CY345" s="38"/>
      <c r="CZ345" s="38"/>
    </row>
    <row r="346" spans="1:104" s="40" customFormat="1" ht="20.149999999999999" customHeight="1">
      <c r="A346" s="358">
        <f t="shared" si="87"/>
        <v>345</v>
      </c>
      <c r="B346" s="359" t="str">
        <f>'Front Sheet and Checklist'!$C$5</f>
        <v>Swansea Bay UHB</v>
      </c>
      <c r="C346" s="17"/>
      <c r="D346" s="17"/>
      <c r="E346" s="17"/>
      <c r="F346" s="17"/>
      <c r="G346" s="17"/>
      <c r="H346" s="17"/>
      <c r="I346" s="361">
        <f t="shared" si="77"/>
        <v>0</v>
      </c>
      <c r="J346" s="17"/>
      <c r="K346" s="18"/>
      <c r="L346" s="18"/>
      <c r="M346" s="17"/>
      <c r="N346" s="17"/>
      <c r="O346" s="17"/>
      <c r="P346" s="17"/>
      <c r="Q346" s="169"/>
      <c r="R346" s="24"/>
      <c r="S346" s="24"/>
      <c r="T346" s="24"/>
      <c r="U346" s="25"/>
      <c r="V346" s="25"/>
      <c r="W346" s="25"/>
      <c r="X346" s="24"/>
      <c r="Y346" s="24"/>
      <c r="Z346" s="24"/>
      <c r="AA346" s="24"/>
      <c r="AB346" s="24"/>
      <c r="AC346" s="24"/>
      <c r="AD346" s="361">
        <f t="shared" si="76"/>
        <v>0</v>
      </c>
      <c r="AE346" s="359" t="str">
        <f t="shared" si="79"/>
        <v/>
      </c>
      <c r="AF346" s="359" t="str">
        <f t="shared" si="88"/>
        <v/>
      </c>
      <c r="AG346" s="359" t="str">
        <f t="shared" si="80"/>
        <v/>
      </c>
      <c r="AH346" s="359" t="str">
        <f t="shared" si="81"/>
        <v/>
      </c>
      <c r="AI346" s="359" t="str">
        <f t="shared" si="82"/>
        <v/>
      </c>
      <c r="AJ346" s="359" t="str">
        <f t="shared" si="83"/>
        <v/>
      </c>
      <c r="AK346" s="359" t="str">
        <f t="shared" si="85"/>
        <v/>
      </c>
      <c r="AL346" s="359" t="str">
        <f t="shared" si="84"/>
        <v/>
      </c>
      <c r="AM346" s="359" t="str">
        <f t="shared" si="86"/>
        <v/>
      </c>
      <c r="AN346" s="262">
        <f t="shared" si="89"/>
        <v>0</v>
      </c>
      <c r="AO346" s="262" t="str">
        <f>IFERROR(HLOOKUP(AN346,'Ref Lists'!Q$1:AL$2,2,FALSE),'Ref Lists'!$AK$2)</f>
        <v>Savings21</v>
      </c>
      <c r="AP346" s="38"/>
      <c r="AQ346" s="38">
        <f t="shared" si="78"/>
        <v>0</v>
      </c>
      <c r="AR346" s="38"/>
      <c r="AS346" s="38"/>
      <c r="AT346" s="38"/>
      <c r="AU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38"/>
      <c r="BU346" s="38"/>
      <c r="BV346" s="38"/>
      <c r="BW346" s="38"/>
      <c r="BX346" s="38"/>
      <c r="BY346" s="38"/>
      <c r="BZ346" s="38"/>
      <c r="CA346" s="38"/>
      <c r="CB346" s="38"/>
      <c r="CC346" s="38"/>
      <c r="CD346" s="38"/>
      <c r="CE346" s="38"/>
      <c r="CF346" s="38"/>
      <c r="CG346" s="38"/>
      <c r="CH346" s="38"/>
      <c r="CI346" s="38"/>
      <c r="CJ346" s="38"/>
      <c r="CK346" s="38"/>
      <c r="CL346" s="38"/>
      <c r="CM346" s="38"/>
      <c r="CN346" s="38"/>
      <c r="CO346" s="38"/>
      <c r="CP346" s="38"/>
      <c r="CQ346" s="38"/>
      <c r="CR346" s="38"/>
      <c r="CS346" s="38"/>
      <c r="CT346" s="38"/>
      <c r="CU346" s="38"/>
      <c r="CV346" s="38"/>
      <c r="CW346" s="38"/>
      <c r="CX346" s="38"/>
      <c r="CY346" s="38"/>
      <c r="CZ346" s="38"/>
    </row>
    <row r="347" spans="1:104" s="40" customFormat="1" ht="20.149999999999999" customHeight="1">
      <c r="A347" s="358">
        <f t="shared" si="87"/>
        <v>346</v>
      </c>
      <c r="B347" s="359" t="str">
        <f>'Front Sheet and Checklist'!$C$5</f>
        <v>Swansea Bay UHB</v>
      </c>
      <c r="C347" s="17"/>
      <c r="D347" s="17"/>
      <c r="E347" s="17"/>
      <c r="F347" s="17"/>
      <c r="G347" s="17"/>
      <c r="H347" s="17"/>
      <c r="I347" s="361">
        <f t="shared" si="77"/>
        <v>0</v>
      </c>
      <c r="J347" s="17"/>
      <c r="K347" s="18"/>
      <c r="L347" s="18"/>
      <c r="M347" s="17"/>
      <c r="N347" s="17"/>
      <c r="O347" s="17"/>
      <c r="P347" s="17"/>
      <c r="Q347" s="169"/>
      <c r="R347" s="24"/>
      <c r="S347" s="24"/>
      <c r="T347" s="24"/>
      <c r="U347" s="25"/>
      <c r="V347" s="25"/>
      <c r="W347" s="25"/>
      <c r="X347" s="24"/>
      <c r="Y347" s="24"/>
      <c r="Z347" s="24"/>
      <c r="AA347" s="24"/>
      <c r="AB347" s="24"/>
      <c r="AC347" s="24"/>
      <c r="AD347" s="361">
        <f t="shared" si="76"/>
        <v>0</v>
      </c>
      <c r="AE347" s="359" t="str">
        <f t="shared" si="79"/>
        <v/>
      </c>
      <c r="AF347" s="359" t="str">
        <f t="shared" si="88"/>
        <v/>
      </c>
      <c r="AG347" s="359" t="str">
        <f t="shared" si="80"/>
        <v/>
      </c>
      <c r="AH347" s="359" t="str">
        <f t="shared" si="81"/>
        <v/>
      </c>
      <c r="AI347" s="359" t="str">
        <f t="shared" si="82"/>
        <v/>
      </c>
      <c r="AJ347" s="359" t="str">
        <f t="shared" si="83"/>
        <v/>
      </c>
      <c r="AK347" s="359" t="str">
        <f t="shared" si="85"/>
        <v/>
      </c>
      <c r="AL347" s="359" t="str">
        <f t="shared" si="84"/>
        <v/>
      </c>
      <c r="AM347" s="359" t="str">
        <f t="shared" si="86"/>
        <v/>
      </c>
      <c r="AN347" s="262">
        <f t="shared" si="89"/>
        <v>0</v>
      </c>
      <c r="AO347" s="262" t="str">
        <f>IFERROR(HLOOKUP(AN347,'Ref Lists'!Q$1:AL$2,2,FALSE),'Ref Lists'!$AK$2)</f>
        <v>Savings21</v>
      </c>
      <c r="AP347" s="38"/>
      <c r="AQ347" s="38">
        <f t="shared" si="78"/>
        <v>0</v>
      </c>
      <c r="AR347" s="38"/>
      <c r="AS347" s="38"/>
      <c r="AT347" s="38"/>
      <c r="AU347" s="38"/>
      <c r="AV347" s="38"/>
      <c r="AW347" s="38"/>
      <c r="AX347" s="38"/>
      <c r="AY347" s="38"/>
      <c r="AZ347" s="38"/>
      <c r="BA347" s="38"/>
      <c r="BB347" s="38"/>
      <c r="BC347" s="38"/>
      <c r="BD347" s="38"/>
      <c r="BE347" s="38"/>
      <c r="BF347" s="38"/>
      <c r="BG347" s="38"/>
      <c r="BH347" s="38"/>
      <c r="BI347" s="38"/>
      <c r="BJ347" s="38"/>
      <c r="BK347" s="38"/>
      <c r="BL347" s="38"/>
      <c r="BM347" s="38"/>
      <c r="BN347" s="38"/>
      <c r="BO347" s="38"/>
      <c r="BP347" s="38"/>
      <c r="BQ347" s="38"/>
      <c r="BR347" s="38"/>
      <c r="BS347" s="38"/>
      <c r="BT347" s="38"/>
      <c r="BU347" s="38"/>
      <c r="BV347" s="38"/>
      <c r="BW347" s="38"/>
      <c r="BX347" s="38"/>
      <c r="BY347" s="38"/>
      <c r="BZ347" s="38"/>
      <c r="CA347" s="38"/>
      <c r="CB347" s="38"/>
      <c r="CC347" s="38"/>
      <c r="CD347" s="38"/>
      <c r="CE347" s="38"/>
      <c r="CF347" s="38"/>
      <c r="CG347" s="38"/>
      <c r="CH347" s="38"/>
      <c r="CI347" s="38"/>
      <c r="CJ347" s="38"/>
      <c r="CK347" s="38"/>
      <c r="CL347" s="38"/>
      <c r="CM347" s="38"/>
      <c r="CN347" s="38"/>
      <c r="CO347" s="38"/>
      <c r="CP347" s="38"/>
      <c r="CQ347" s="38"/>
      <c r="CR347" s="38"/>
      <c r="CS347" s="38"/>
      <c r="CT347" s="38"/>
      <c r="CU347" s="38"/>
      <c r="CV347" s="38"/>
      <c r="CW347" s="38"/>
      <c r="CX347" s="38"/>
      <c r="CY347" s="38"/>
      <c r="CZ347" s="38"/>
    </row>
    <row r="348" spans="1:104" s="40" customFormat="1" ht="20.149999999999999" customHeight="1">
      <c r="A348" s="358">
        <f t="shared" si="87"/>
        <v>347</v>
      </c>
      <c r="B348" s="359" t="str">
        <f>'Front Sheet and Checklist'!$C$5</f>
        <v>Swansea Bay UHB</v>
      </c>
      <c r="C348" s="17"/>
      <c r="D348" s="17"/>
      <c r="E348" s="17"/>
      <c r="F348" s="17"/>
      <c r="G348" s="17"/>
      <c r="H348" s="17"/>
      <c r="I348" s="361">
        <f t="shared" si="77"/>
        <v>0</v>
      </c>
      <c r="J348" s="17"/>
      <c r="K348" s="18"/>
      <c r="L348" s="18"/>
      <c r="M348" s="17"/>
      <c r="N348" s="17"/>
      <c r="O348" s="17"/>
      <c r="P348" s="17"/>
      <c r="Q348" s="169"/>
      <c r="R348" s="24"/>
      <c r="S348" s="24"/>
      <c r="T348" s="24"/>
      <c r="U348" s="25"/>
      <c r="V348" s="25"/>
      <c r="W348" s="25"/>
      <c r="X348" s="24"/>
      <c r="Y348" s="24"/>
      <c r="Z348" s="24"/>
      <c r="AA348" s="24"/>
      <c r="AB348" s="24"/>
      <c r="AC348" s="24"/>
      <c r="AD348" s="361">
        <f t="shared" si="76"/>
        <v>0</v>
      </c>
      <c r="AE348" s="359" t="str">
        <f t="shared" si="79"/>
        <v/>
      </c>
      <c r="AF348" s="359" t="str">
        <f t="shared" si="88"/>
        <v/>
      </c>
      <c r="AG348" s="359" t="str">
        <f t="shared" si="80"/>
        <v/>
      </c>
      <c r="AH348" s="359" t="str">
        <f t="shared" si="81"/>
        <v/>
      </c>
      <c r="AI348" s="359" t="str">
        <f t="shared" si="82"/>
        <v/>
      </c>
      <c r="AJ348" s="359" t="str">
        <f t="shared" si="83"/>
        <v/>
      </c>
      <c r="AK348" s="359" t="str">
        <f t="shared" si="85"/>
        <v/>
      </c>
      <c r="AL348" s="359" t="str">
        <f t="shared" si="84"/>
        <v/>
      </c>
      <c r="AM348" s="359" t="str">
        <f t="shared" si="86"/>
        <v/>
      </c>
      <c r="AN348" s="262">
        <f t="shared" si="89"/>
        <v>0</v>
      </c>
      <c r="AO348" s="262" t="str">
        <f>IFERROR(HLOOKUP(AN348,'Ref Lists'!Q$1:AL$2,2,FALSE),'Ref Lists'!$AK$2)</f>
        <v>Savings21</v>
      </c>
      <c r="AP348" s="38"/>
      <c r="AQ348" s="38">
        <f t="shared" si="78"/>
        <v>0</v>
      </c>
      <c r="AR348" s="38"/>
      <c r="AS348" s="38"/>
      <c r="AT348" s="38"/>
      <c r="AU348" s="38"/>
      <c r="AV348" s="38"/>
      <c r="AW348" s="38"/>
      <c r="AX348" s="38"/>
      <c r="AY348" s="38"/>
      <c r="AZ348" s="38"/>
      <c r="BA348" s="38"/>
      <c r="BB348" s="38"/>
      <c r="BC348" s="38"/>
      <c r="BD348" s="38"/>
      <c r="BE348" s="38"/>
      <c r="BF348" s="38"/>
      <c r="BG348" s="38"/>
      <c r="BH348" s="38"/>
      <c r="BI348" s="38"/>
      <c r="BJ348" s="38"/>
      <c r="BK348" s="38"/>
      <c r="BL348" s="38"/>
      <c r="BM348" s="38"/>
      <c r="BN348" s="38"/>
      <c r="BO348" s="38"/>
      <c r="BP348" s="38"/>
      <c r="BQ348" s="38"/>
      <c r="BR348" s="38"/>
      <c r="BS348" s="38"/>
      <c r="BT348" s="38"/>
      <c r="BU348" s="38"/>
      <c r="BV348" s="38"/>
      <c r="BW348" s="38"/>
      <c r="BX348" s="38"/>
      <c r="BY348" s="38"/>
      <c r="BZ348" s="38"/>
      <c r="CA348" s="38"/>
      <c r="CB348" s="38"/>
      <c r="CC348" s="38"/>
      <c r="CD348" s="38"/>
      <c r="CE348" s="38"/>
      <c r="CF348" s="38"/>
      <c r="CG348" s="38"/>
      <c r="CH348" s="38"/>
      <c r="CI348" s="38"/>
      <c r="CJ348" s="38"/>
      <c r="CK348" s="38"/>
      <c r="CL348" s="38"/>
      <c r="CM348" s="38"/>
      <c r="CN348" s="38"/>
      <c r="CO348" s="38"/>
      <c r="CP348" s="38"/>
      <c r="CQ348" s="38"/>
      <c r="CR348" s="38"/>
      <c r="CS348" s="38"/>
      <c r="CT348" s="38"/>
      <c r="CU348" s="38"/>
      <c r="CV348" s="38"/>
      <c r="CW348" s="38"/>
      <c r="CX348" s="38"/>
      <c r="CY348" s="38"/>
      <c r="CZ348" s="38"/>
    </row>
    <row r="349" spans="1:104" s="40" customFormat="1" ht="20.149999999999999" customHeight="1">
      <c r="A349" s="358">
        <f t="shared" si="87"/>
        <v>348</v>
      </c>
      <c r="B349" s="359" t="str">
        <f>'Front Sheet and Checklist'!$C$5</f>
        <v>Swansea Bay UHB</v>
      </c>
      <c r="C349" s="17"/>
      <c r="D349" s="17"/>
      <c r="E349" s="17"/>
      <c r="F349" s="17"/>
      <c r="G349" s="17"/>
      <c r="H349" s="17"/>
      <c r="I349" s="361">
        <f t="shared" si="77"/>
        <v>0</v>
      </c>
      <c r="J349" s="17"/>
      <c r="K349" s="18"/>
      <c r="L349" s="18"/>
      <c r="M349" s="17"/>
      <c r="N349" s="17"/>
      <c r="O349" s="17"/>
      <c r="P349" s="17"/>
      <c r="Q349" s="169"/>
      <c r="R349" s="24"/>
      <c r="S349" s="24"/>
      <c r="T349" s="24"/>
      <c r="U349" s="25"/>
      <c r="V349" s="25"/>
      <c r="W349" s="25"/>
      <c r="X349" s="24"/>
      <c r="Y349" s="24"/>
      <c r="Z349" s="24"/>
      <c r="AA349" s="24"/>
      <c r="AB349" s="24"/>
      <c r="AC349" s="24"/>
      <c r="AD349" s="361">
        <f t="shared" si="76"/>
        <v>0</v>
      </c>
      <c r="AE349" s="359" t="str">
        <f t="shared" si="79"/>
        <v/>
      </c>
      <c r="AF349" s="359" t="str">
        <f t="shared" si="88"/>
        <v/>
      </c>
      <c r="AG349" s="359" t="str">
        <f t="shared" si="80"/>
        <v/>
      </c>
      <c r="AH349" s="359" t="str">
        <f t="shared" si="81"/>
        <v/>
      </c>
      <c r="AI349" s="359" t="str">
        <f t="shared" si="82"/>
        <v/>
      </c>
      <c r="AJ349" s="359" t="str">
        <f t="shared" si="83"/>
        <v/>
      </c>
      <c r="AK349" s="359" t="str">
        <f t="shared" si="85"/>
        <v/>
      </c>
      <c r="AL349" s="359" t="str">
        <f t="shared" si="84"/>
        <v/>
      </c>
      <c r="AM349" s="359" t="str">
        <f t="shared" si="86"/>
        <v/>
      </c>
      <c r="AN349" s="262">
        <f t="shared" si="89"/>
        <v>0</v>
      </c>
      <c r="AO349" s="262" t="str">
        <f>IFERROR(HLOOKUP(AN349,'Ref Lists'!Q$1:AL$2,2,FALSE),'Ref Lists'!$AK$2)</f>
        <v>Savings21</v>
      </c>
      <c r="AP349" s="38"/>
      <c r="AQ349" s="38">
        <f t="shared" si="78"/>
        <v>0</v>
      </c>
      <c r="AR349" s="38"/>
      <c r="AS349" s="38"/>
      <c r="AT349" s="38"/>
      <c r="AU349" s="38"/>
      <c r="AV349" s="38"/>
      <c r="AW349" s="38"/>
      <c r="AX349" s="38"/>
      <c r="AY349" s="38"/>
      <c r="AZ349" s="38"/>
      <c r="BA349" s="38"/>
      <c r="BB349" s="38"/>
      <c r="BC349" s="38"/>
      <c r="BD349" s="38"/>
      <c r="BE349" s="38"/>
      <c r="BF349" s="38"/>
      <c r="BG349" s="38"/>
      <c r="BH349" s="38"/>
      <c r="BI349" s="38"/>
      <c r="BJ349" s="38"/>
      <c r="BK349" s="38"/>
      <c r="BL349" s="38"/>
      <c r="BM349" s="38"/>
      <c r="BN349" s="38"/>
      <c r="BO349" s="38"/>
      <c r="BP349" s="38"/>
      <c r="BQ349" s="38"/>
      <c r="BR349" s="38"/>
      <c r="BS349" s="38"/>
      <c r="BT349" s="38"/>
      <c r="BU349" s="38"/>
      <c r="BV349" s="38"/>
      <c r="BW349" s="38"/>
      <c r="BX349" s="38"/>
      <c r="BY349" s="38"/>
      <c r="BZ349" s="38"/>
      <c r="CA349" s="38"/>
      <c r="CB349" s="38"/>
      <c r="CC349" s="38"/>
      <c r="CD349" s="38"/>
      <c r="CE349" s="38"/>
      <c r="CF349" s="38"/>
      <c r="CG349" s="38"/>
      <c r="CH349" s="38"/>
      <c r="CI349" s="38"/>
      <c r="CJ349" s="38"/>
      <c r="CK349" s="38"/>
      <c r="CL349" s="38"/>
      <c r="CM349" s="38"/>
      <c r="CN349" s="38"/>
      <c r="CO349" s="38"/>
      <c r="CP349" s="38"/>
      <c r="CQ349" s="38"/>
      <c r="CR349" s="38"/>
      <c r="CS349" s="38"/>
      <c r="CT349" s="38"/>
      <c r="CU349" s="38"/>
      <c r="CV349" s="38"/>
      <c r="CW349" s="38"/>
      <c r="CX349" s="38"/>
      <c r="CY349" s="38"/>
      <c r="CZ349" s="38"/>
    </row>
    <row r="350" spans="1:104" s="40" customFormat="1" ht="20.149999999999999" customHeight="1">
      <c r="A350" s="358">
        <f t="shared" si="87"/>
        <v>349</v>
      </c>
      <c r="B350" s="359" t="str">
        <f>'Front Sheet and Checklist'!$C$5</f>
        <v>Swansea Bay UHB</v>
      </c>
      <c r="C350" s="17"/>
      <c r="D350" s="17"/>
      <c r="E350" s="17"/>
      <c r="F350" s="17"/>
      <c r="G350" s="17"/>
      <c r="H350" s="17"/>
      <c r="I350" s="361">
        <f t="shared" si="77"/>
        <v>0</v>
      </c>
      <c r="J350" s="17"/>
      <c r="K350" s="18"/>
      <c r="L350" s="18"/>
      <c r="M350" s="17"/>
      <c r="N350" s="17"/>
      <c r="O350" s="17"/>
      <c r="P350" s="17"/>
      <c r="Q350" s="169"/>
      <c r="R350" s="24"/>
      <c r="S350" s="24"/>
      <c r="T350" s="24"/>
      <c r="U350" s="25"/>
      <c r="V350" s="25"/>
      <c r="W350" s="25"/>
      <c r="X350" s="24"/>
      <c r="Y350" s="24"/>
      <c r="Z350" s="24"/>
      <c r="AA350" s="24"/>
      <c r="AB350" s="24"/>
      <c r="AC350" s="24"/>
      <c r="AD350" s="361">
        <f t="shared" si="76"/>
        <v>0</v>
      </c>
      <c r="AE350" s="359" t="str">
        <f t="shared" si="79"/>
        <v/>
      </c>
      <c r="AF350" s="359" t="str">
        <f t="shared" si="88"/>
        <v/>
      </c>
      <c r="AG350" s="359" t="str">
        <f t="shared" si="80"/>
        <v/>
      </c>
      <c r="AH350" s="359" t="str">
        <f t="shared" si="81"/>
        <v/>
      </c>
      <c r="AI350" s="359" t="str">
        <f t="shared" si="82"/>
        <v/>
      </c>
      <c r="AJ350" s="359" t="str">
        <f t="shared" si="83"/>
        <v/>
      </c>
      <c r="AK350" s="359" t="str">
        <f t="shared" si="85"/>
        <v/>
      </c>
      <c r="AL350" s="359" t="str">
        <f t="shared" si="84"/>
        <v/>
      </c>
      <c r="AM350" s="359" t="str">
        <f t="shared" si="86"/>
        <v/>
      </c>
      <c r="AN350" s="262">
        <f t="shared" si="89"/>
        <v>0</v>
      </c>
      <c r="AO350" s="262" t="str">
        <f>IFERROR(HLOOKUP(AN350,'Ref Lists'!Q$1:AL$2,2,FALSE),'Ref Lists'!$AK$2)</f>
        <v>Savings21</v>
      </c>
      <c r="AP350" s="38"/>
      <c r="AQ350" s="38">
        <f t="shared" si="78"/>
        <v>0</v>
      </c>
      <c r="AR350" s="38"/>
      <c r="AS350" s="38"/>
      <c r="AT350" s="38"/>
      <c r="AU350" s="38"/>
      <c r="AV350" s="38"/>
      <c r="AW350" s="38"/>
      <c r="AX350" s="38"/>
      <c r="AY350" s="38"/>
      <c r="AZ350" s="38"/>
      <c r="BA350" s="38"/>
      <c r="BB350" s="38"/>
      <c r="BC350" s="38"/>
      <c r="BD350" s="38"/>
      <c r="BE350" s="38"/>
      <c r="BF350" s="38"/>
      <c r="BG350" s="38"/>
      <c r="BH350" s="38"/>
      <c r="BI350" s="38"/>
      <c r="BJ350" s="38"/>
      <c r="BK350" s="38"/>
      <c r="BL350" s="38"/>
      <c r="BM350" s="38"/>
      <c r="BN350" s="38"/>
      <c r="BO350" s="38"/>
      <c r="BP350" s="38"/>
      <c r="BQ350" s="38"/>
      <c r="BR350" s="38"/>
      <c r="BS350" s="38"/>
      <c r="BT350" s="38"/>
      <c r="BU350" s="38"/>
      <c r="BV350" s="38"/>
      <c r="BW350" s="38"/>
      <c r="BX350" s="38"/>
      <c r="BY350" s="38"/>
      <c r="BZ350" s="38"/>
      <c r="CA350" s="38"/>
      <c r="CB350" s="38"/>
      <c r="CC350" s="38"/>
      <c r="CD350" s="38"/>
      <c r="CE350" s="38"/>
      <c r="CF350" s="38"/>
      <c r="CG350" s="38"/>
      <c r="CH350" s="38"/>
      <c r="CI350" s="38"/>
      <c r="CJ350" s="38"/>
      <c r="CK350" s="38"/>
      <c r="CL350" s="38"/>
      <c r="CM350" s="38"/>
      <c r="CN350" s="38"/>
      <c r="CO350" s="38"/>
      <c r="CP350" s="38"/>
      <c r="CQ350" s="38"/>
      <c r="CR350" s="38"/>
      <c r="CS350" s="38"/>
      <c r="CT350" s="38"/>
      <c r="CU350" s="38"/>
      <c r="CV350" s="38"/>
      <c r="CW350" s="38"/>
      <c r="CX350" s="38"/>
      <c r="CY350" s="38"/>
      <c r="CZ350" s="38"/>
    </row>
    <row r="351" spans="1:104" s="40" customFormat="1" ht="20.149999999999999" customHeight="1">
      <c r="A351" s="358">
        <f t="shared" si="87"/>
        <v>350</v>
      </c>
      <c r="B351" s="359" t="str">
        <f>'Front Sheet and Checklist'!$C$5</f>
        <v>Swansea Bay UHB</v>
      </c>
      <c r="C351" s="17"/>
      <c r="D351" s="17"/>
      <c r="E351" s="17"/>
      <c r="F351" s="17"/>
      <c r="G351" s="17"/>
      <c r="H351" s="17"/>
      <c r="I351" s="361">
        <f t="shared" si="77"/>
        <v>0</v>
      </c>
      <c r="J351" s="17"/>
      <c r="K351" s="18"/>
      <c r="L351" s="18"/>
      <c r="M351" s="17"/>
      <c r="N351" s="17"/>
      <c r="O351" s="17"/>
      <c r="P351" s="17"/>
      <c r="Q351" s="169"/>
      <c r="R351" s="24"/>
      <c r="S351" s="24"/>
      <c r="T351" s="24"/>
      <c r="U351" s="25"/>
      <c r="V351" s="25"/>
      <c r="W351" s="25"/>
      <c r="X351" s="24"/>
      <c r="Y351" s="24"/>
      <c r="Z351" s="24"/>
      <c r="AA351" s="24"/>
      <c r="AB351" s="24"/>
      <c r="AC351" s="24"/>
      <c r="AD351" s="361">
        <f t="shared" si="76"/>
        <v>0</v>
      </c>
      <c r="AE351" s="359" t="str">
        <f t="shared" si="79"/>
        <v/>
      </c>
      <c r="AF351" s="359" t="str">
        <f t="shared" si="88"/>
        <v/>
      </c>
      <c r="AG351" s="359" t="str">
        <f t="shared" si="80"/>
        <v/>
      </c>
      <c r="AH351" s="359" t="str">
        <f t="shared" si="81"/>
        <v/>
      </c>
      <c r="AI351" s="359" t="str">
        <f t="shared" si="82"/>
        <v/>
      </c>
      <c r="AJ351" s="359" t="str">
        <f t="shared" si="83"/>
        <v/>
      </c>
      <c r="AK351" s="359" t="str">
        <f t="shared" si="85"/>
        <v/>
      </c>
      <c r="AL351" s="359" t="str">
        <f t="shared" si="84"/>
        <v/>
      </c>
      <c r="AM351" s="359" t="str">
        <f t="shared" si="86"/>
        <v/>
      </c>
      <c r="AN351" s="262">
        <f t="shared" si="89"/>
        <v>0</v>
      </c>
      <c r="AO351" s="262" t="str">
        <f>IFERROR(HLOOKUP(AN351,'Ref Lists'!Q$1:AL$2,2,FALSE),'Ref Lists'!$AK$2)</f>
        <v>Savings21</v>
      </c>
      <c r="AP351" s="38"/>
      <c r="AQ351" s="38">
        <f t="shared" si="78"/>
        <v>0</v>
      </c>
      <c r="AR351" s="38"/>
      <c r="AS351" s="38"/>
      <c r="AT351" s="38"/>
      <c r="AU351" s="38"/>
      <c r="AV351" s="38"/>
      <c r="AW351" s="38"/>
      <c r="AX351" s="38"/>
      <c r="AY351" s="38"/>
      <c r="AZ351" s="38"/>
      <c r="BA351" s="38"/>
      <c r="BB351" s="38"/>
      <c r="BC351" s="38"/>
      <c r="BD351" s="38"/>
      <c r="BE351" s="38"/>
      <c r="BF351" s="38"/>
      <c r="BG351" s="38"/>
      <c r="BH351" s="38"/>
      <c r="BI351" s="38"/>
      <c r="BJ351" s="38"/>
      <c r="BK351" s="38"/>
      <c r="BL351" s="38"/>
      <c r="BM351" s="38"/>
      <c r="BN351" s="38"/>
      <c r="BO351" s="38"/>
      <c r="BP351" s="38"/>
      <c r="BQ351" s="38"/>
      <c r="BR351" s="38"/>
      <c r="BS351" s="38"/>
      <c r="BT351" s="38"/>
      <c r="BU351" s="38"/>
      <c r="BV351" s="38"/>
      <c r="BW351" s="38"/>
      <c r="BX351" s="38"/>
      <c r="BY351" s="38"/>
      <c r="BZ351" s="38"/>
      <c r="CA351" s="38"/>
      <c r="CB351" s="38"/>
      <c r="CC351" s="38"/>
      <c r="CD351" s="38"/>
      <c r="CE351" s="38"/>
      <c r="CF351" s="38"/>
      <c r="CG351" s="38"/>
      <c r="CH351" s="38"/>
      <c r="CI351" s="38"/>
      <c r="CJ351" s="38"/>
      <c r="CK351" s="38"/>
      <c r="CL351" s="38"/>
      <c r="CM351" s="38"/>
      <c r="CN351" s="38"/>
      <c r="CO351" s="38"/>
      <c r="CP351" s="38"/>
      <c r="CQ351" s="38"/>
      <c r="CR351" s="38"/>
      <c r="CS351" s="38"/>
      <c r="CT351" s="38"/>
      <c r="CU351" s="38"/>
      <c r="CV351" s="38"/>
      <c r="CW351" s="38"/>
      <c r="CX351" s="38"/>
      <c r="CY351" s="38"/>
      <c r="CZ351" s="38"/>
    </row>
    <row r="352" spans="1:104" s="40" customFormat="1" ht="20.149999999999999" customHeight="1">
      <c r="A352" s="358">
        <f t="shared" si="87"/>
        <v>351</v>
      </c>
      <c r="B352" s="359" t="str">
        <f>'Front Sheet and Checklist'!$C$5</f>
        <v>Swansea Bay UHB</v>
      </c>
      <c r="C352" s="17"/>
      <c r="D352" s="17"/>
      <c r="E352" s="17"/>
      <c r="F352" s="17"/>
      <c r="G352" s="17"/>
      <c r="H352" s="17"/>
      <c r="I352" s="361">
        <f t="shared" si="77"/>
        <v>0</v>
      </c>
      <c r="J352" s="17"/>
      <c r="K352" s="18"/>
      <c r="L352" s="18"/>
      <c r="M352" s="17"/>
      <c r="N352" s="17"/>
      <c r="O352" s="17"/>
      <c r="P352" s="17"/>
      <c r="Q352" s="169"/>
      <c r="R352" s="24"/>
      <c r="S352" s="24"/>
      <c r="T352" s="24"/>
      <c r="U352" s="25"/>
      <c r="V352" s="25"/>
      <c r="W352" s="25"/>
      <c r="X352" s="24"/>
      <c r="Y352" s="24"/>
      <c r="Z352" s="24"/>
      <c r="AA352" s="24"/>
      <c r="AB352" s="24"/>
      <c r="AC352" s="24"/>
      <c r="AD352" s="361">
        <f t="shared" si="76"/>
        <v>0</v>
      </c>
      <c r="AE352" s="359" t="str">
        <f t="shared" si="79"/>
        <v/>
      </c>
      <c r="AF352" s="359" t="str">
        <f t="shared" si="88"/>
        <v/>
      </c>
      <c r="AG352" s="359" t="str">
        <f t="shared" si="80"/>
        <v/>
      </c>
      <c r="AH352" s="359" t="str">
        <f t="shared" si="81"/>
        <v/>
      </c>
      <c r="AI352" s="359" t="str">
        <f t="shared" si="82"/>
        <v/>
      </c>
      <c r="AJ352" s="359" t="str">
        <f t="shared" si="83"/>
        <v/>
      </c>
      <c r="AK352" s="359" t="str">
        <f t="shared" si="85"/>
        <v/>
      </c>
      <c r="AL352" s="359" t="str">
        <f t="shared" si="84"/>
        <v/>
      </c>
      <c r="AM352" s="359" t="str">
        <f t="shared" si="86"/>
        <v/>
      </c>
      <c r="AN352" s="262">
        <f t="shared" si="89"/>
        <v>0</v>
      </c>
      <c r="AO352" s="262" t="str">
        <f>IFERROR(HLOOKUP(AN352,'Ref Lists'!Q$1:AL$2,2,FALSE),'Ref Lists'!$AK$2)</f>
        <v>Savings21</v>
      </c>
      <c r="AP352" s="38"/>
      <c r="AQ352" s="38">
        <f t="shared" si="78"/>
        <v>0</v>
      </c>
      <c r="AR352" s="38"/>
      <c r="AS352" s="38"/>
      <c r="AT352" s="38"/>
      <c r="AU352" s="38"/>
      <c r="AV352" s="38"/>
      <c r="AW352" s="38"/>
      <c r="AX352" s="38"/>
      <c r="AY352" s="38"/>
      <c r="AZ352" s="38"/>
      <c r="BA352" s="38"/>
      <c r="BB352" s="38"/>
      <c r="BC352" s="38"/>
      <c r="BD352" s="38"/>
      <c r="BE352" s="38"/>
      <c r="BF352" s="38"/>
      <c r="BG352" s="38"/>
      <c r="BH352" s="38"/>
      <c r="BI352" s="38"/>
      <c r="BJ352" s="38"/>
      <c r="BK352" s="38"/>
      <c r="BL352" s="38"/>
      <c r="BM352" s="38"/>
      <c r="BN352" s="38"/>
      <c r="BO352" s="38"/>
      <c r="BP352" s="38"/>
      <c r="BQ352" s="38"/>
      <c r="BR352" s="38"/>
      <c r="BS352" s="38"/>
      <c r="BT352" s="38"/>
      <c r="BU352" s="38"/>
      <c r="BV352" s="38"/>
      <c r="BW352" s="38"/>
      <c r="BX352" s="38"/>
      <c r="BY352" s="38"/>
      <c r="BZ352" s="38"/>
      <c r="CA352" s="38"/>
      <c r="CB352" s="38"/>
      <c r="CC352" s="38"/>
      <c r="CD352" s="38"/>
      <c r="CE352" s="38"/>
      <c r="CF352" s="38"/>
      <c r="CG352" s="38"/>
      <c r="CH352" s="38"/>
      <c r="CI352" s="38"/>
      <c r="CJ352" s="38"/>
      <c r="CK352" s="38"/>
      <c r="CL352" s="38"/>
      <c r="CM352" s="38"/>
      <c r="CN352" s="38"/>
      <c r="CO352" s="38"/>
      <c r="CP352" s="38"/>
      <c r="CQ352" s="38"/>
      <c r="CR352" s="38"/>
      <c r="CS352" s="38"/>
      <c r="CT352" s="38"/>
      <c r="CU352" s="38"/>
      <c r="CV352" s="38"/>
      <c r="CW352" s="38"/>
      <c r="CX352" s="38"/>
      <c r="CY352" s="38"/>
      <c r="CZ352" s="38"/>
    </row>
    <row r="353" spans="1:104" s="40" customFormat="1" ht="20.149999999999999" customHeight="1">
      <c r="A353" s="358">
        <f t="shared" si="87"/>
        <v>352</v>
      </c>
      <c r="B353" s="359" t="str">
        <f>'Front Sheet and Checklist'!$C$5</f>
        <v>Swansea Bay UHB</v>
      </c>
      <c r="C353" s="17"/>
      <c r="D353" s="17"/>
      <c r="E353" s="17"/>
      <c r="F353" s="17"/>
      <c r="G353" s="17"/>
      <c r="H353" s="17"/>
      <c r="I353" s="361">
        <f t="shared" si="77"/>
        <v>0</v>
      </c>
      <c r="J353" s="17"/>
      <c r="K353" s="18"/>
      <c r="L353" s="18"/>
      <c r="M353" s="17"/>
      <c r="N353" s="17"/>
      <c r="O353" s="17"/>
      <c r="P353" s="17"/>
      <c r="Q353" s="169"/>
      <c r="R353" s="24"/>
      <c r="S353" s="24"/>
      <c r="T353" s="24"/>
      <c r="U353" s="25"/>
      <c r="V353" s="25"/>
      <c r="W353" s="25"/>
      <c r="X353" s="24"/>
      <c r="Y353" s="24"/>
      <c r="Z353" s="24"/>
      <c r="AA353" s="24"/>
      <c r="AB353" s="24"/>
      <c r="AC353" s="24"/>
      <c r="AD353" s="361">
        <f t="shared" si="76"/>
        <v>0</v>
      </c>
      <c r="AE353" s="359" t="str">
        <f t="shared" si="79"/>
        <v/>
      </c>
      <c r="AF353" s="359" t="str">
        <f t="shared" si="88"/>
        <v/>
      </c>
      <c r="AG353" s="359" t="str">
        <f t="shared" si="80"/>
        <v/>
      </c>
      <c r="AH353" s="359" t="str">
        <f t="shared" si="81"/>
        <v/>
      </c>
      <c r="AI353" s="359" t="str">
        <f t="shared" si="82"/>
        <v/>
      </c>
      <c r="AJ353" s="359" t="str">
        <f t="shared" si="83"/>
        <v/>
      </c>
      <c r="AK353" s="359" t="str">
        <f t="shared" si="85"/>
        <v/>
      </c>
      <c r="AL353" s="359" t="str">
        <f t="shared" si="84"/>
        <v/>
      </c>
      <c r="AM353" s="359" t="str">
        <f t="shared" si="86"/>
        <v/>
      </c>
      <c r="AN353" s="262">
        <f t="shared" si="89"/>
        <v>0</v>
      </c>
      <c r="AO353" s="262" t="str">
        <f>IFERROR(HLOOKUP(AN353,'Ref Lists'!Q$1:AL$2,2,FALSE),'Ref Lists'!$AK$2)</f>
        <v>Savings21</v>
      </c>
      <c r="AP353" s="38"/>
      <c r="AQ353" s="38">
        <f t="shared" si="78"/>
        <v>0</v>
      </c>
      <c r="AR353" s="38"/>
      <c r="AS353" s="38"/>
      <c r="AT353" s="38"/>
      <c r="AU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38"/>
      <c r="BU353" s="38"/>
      <c r="BV353" s="38"/>
      <c r="BW353" s="38"/>
      <c r="BX353" s="38"/>
      <c r="BY353" s="38"/>
      <c r="BZ353" s="38"/>
      <c r="CA353" s="38"/>
      <c r="CB353" s="38"/>
      <c r="CC353" s="38"/>
      <c r="CD353" s="38"/>
      <c r="CE353" s="38"/>
      <c r="CF353" s="38"/>
      <c r="CG353" s="38"/>
      <c r="CH353" s="38"/>
      <c r="CI353" s="38"/>
      <c r="CJ353" s="38"/>
      <c r="CK353" s="38"/>
      <c r="CL353" s="38"/>
      <c r="CM353" s="38"/>
      <c r="CN353" s="38"/>
      <c r="CO353" s="38"/>
      <c r="CP353" s="38"/>
      <c r="CQ353" s="38"/>
      <c r="CR353" s="38"/>
      <c r="CS353" s="38"/>
      <c r="CT353" s="38"/>
      <c r="CU353" s="38"/>
      <c r="CV353" s="38"/>
      <c r="CW353" s="38"/>
      <c r="CX353" s="38"/>
      <c r="CY353" s="38"/>
      <c r="CZ353" s="38"/>
    </row>
    <row r="354" spans="1:104" s="40" customFormat="1" ht="20.149999999999999" customHeight="1">
      <c r="A354" s="358">
        <f t="shared" si="87"/>
        <v>353</v>
      </c>
      <c r="B354" s="359" t="str">
        <f>'Front Sheet and Checklist'!$C$5</f>
        <v>Swansea Bay UHB</v>
      </c>
      <c r="C354" s="17"/>
      <c r="D354" s="17"/>
      <c r="E354" s="17"/>
      <c r="F354" s="17"/>
      <c r="G354" s="17"/>
      <c r="H354" s="17"/>
      <c r="I354" s="361">
        <f t="shared" si="77"/>
        <v>0</v>
      </c>
      <c r="J354" s="17"/>
      <c r="K354" s="18"/>
      <c r="L354" s="18"/>
      <c r="M354" s="17"/>
      <c r="N354" s="17"/>
      <c r="O354" s="17"/>
      <c r="P354" s="17"/>
      <c r="Q354" s="169"/>
      <c r="R354" s="24"/>
      <c r="S354" s="24"/>
      <c r="T354" s="24"/>
      <c r="U354" s="25"/>
      <c r="V354" s="25"/>
      <c r="W354" s="25"/>
      <c r="X354" s="24"/>
      <c r="Y354" s="24"/>
      <c r="Z354" s="24"/>
      <c r="AA354" s="24"/>
      <c r="AB354" s="24"/>
      <c r="AC354" s="24"/>
      <c r="AD354" s="361">
        <f t="shared" si="76"/>
        <v>0</v>
      </c>
      <c r="AE354" s="359" t="str">
        <f t="shared" si="79"/>
        <v/>
      </c>
      <c r="AF354" s="359" t="str">
        <f t="shared" si="88"/>
        <v/>
      </c>
      <c r="AG354" s="359" t="str">
        <f t="shared" si="80"/>
        <v/>
      </c>
      <c r="AH354" s="359" t="str">
        <f t="shared" si="81"/>
        <v/>
      </c>
      <c r="AI354" s="359" t="str">
        <f t="shared" si="82"/>
        <v/>
      </c>
      <c r="AJ354" s="359" t="str">
        <f t="shared" si="83"/>
        <v/>
      </c>
      <c r="AK354" s="359" t="str">
        <f t="shared" si="85"/>
        <v/>
      </c>
      <c r="AL354" s="359" t="str">
        <f t="shared" si="84"/>
        <v/>
      </c>
      <c r="AM354" s="359" t="str">
        <f t="shared" si="86"/>
        <v/>
      </c>
      <c r="AN354" s="262">
        <f t="shared" si="89"/>
        <v>0</v>
      </c>
      <c r="AO354" s="262" t="str">
        <f>IFERROR(HLOOKUP(AN354,'Ref Lists'!Q$1:AL$2,2,FALSE),'Ref Lists'!$AK$2)</f>
        <v>Savings21</v>
      </c>
      <c r="AP354" s="38"/>
      <c r="AQ354" s="38">
        <f t="shared" si="78"/>
        <v>0</v>
      </c>
      <c r="AR354" s="38"/>
      <c r="AS354" s="38"/>
      <c r="AT354" s="38"/>
      <c r="AU354" s="38"/>
      <c r="AV354" s="38"/>
      <c r="AW354" s="38"/>
      <c r="AX354" s="38"/>
      <c r="AY354" s="38"/>
      <c r="AZ354" s="38"/>
      <c r="BA354" s="38"/>
      <c r="BB354" s="38"/>
      <c r="BC354" s="38"/>
      <c r="BD354" s="38"/>
      <c r="BE354" s="38"/>
      <c r="BF354" s="38"/>
      <c r="BG354" s="38"/>
      <c r="BH354" s="38"/>
      <c r="BI354" s="38"/>
      <c r="BJ354" s="38"/>
      <c r="BK354" s="38"/>
      <c r="BL354" s="38"/>
      <c r="BM354" s="38"/>
      <c r="BN354" s="38"/>
      <c r="BO354" s="38"/>
      <c r="BP354" s="38"/>
      <c r="BQ354" s="38"/>
      <c r="BR354" s="38"/>
      <c r="BS354" s="38"/>
      <c r="BT354" s="38"/>
      <c r="BU354" s="38"/>
      <c r="BV354" s="38"/>
      <c r="BW354" s="38"/>
      <c r="BX354" s="38"/>
      <c r="BY354" s="38"/>
      <c r="BZ354" s="38"/>
      <c r="CA354" s="38"/>
      <c r="CB354" s="38"/>
      <c r="CC354" s="38"/>
      <c r="CD354" s="38"/>
      <c r="CE354" s="38"/>
      <c r="CF354" s="38"/>
      <c r="CG354" s="38"/>
      <c r="CH354" s="38"/>
      <c r="CI354" s="38"/>
      <c r="CJ354" s="38"/>
      <c r="CK354" s="38"/>
      <c r="CL354" s="38"/>
      <c r="CM354" s="38"/>
      <c r="CN354" s="38"/>
      <c r="CO354" s="38"/>
      <c r="CP354" s="38"/>
      <c r="CQ354" s="38"/>
      <c r="CR354" s="38"/>
      <c r="CS354" s="38"/>
      <c r="CT354" s="38"/>
      <c r="CU354" s="38"/>
      <c r="CV354" s="38"/>
      <c r="CW354" s="38"/>
      <c r="CX354" s="38"/>
      <c r="CY354" s="38"/>
      <c r="CZ354" s="38"/>
    </row>
    <row r="355" spans="1:104" s="40" customFormat="1" ht="20.149999999999999" customHeight="1">
      <c r="A355" s="358">
        <f t="shared" si="87"/>
        <v>354</v>
      </c>
      <c r="B355" s="359" t="str">
        <f>'Front Sheet and Checklist'!$C$5</f>
        <v>Swansea Bay UHB</v>
      </c>
      <c r="C355" s="17"/>
      <c r="D355" s="17"/>
      <c r="E355" s="17"/>
      <c r="F355" s="17"/>
      <c r="G355" s="17"/>
      <c r="H355" s="17"/>
      <c r="I355" s="361">
        <f t="shared" si="77"/>
        <v>0</v>
      </c>
      <c r="J355" s="17"/>
      <c r="K355" s="18"/>
      <c r="L355" s="18"/>
      <c r="M355" s="17"/>
      <c r="N355" s="17"/>
      <c r="O355" s="17"/>
      <c r="P355" s="17"/>
      <c r="Q355" s="169"/>
      <c r="R355" s="24"/>
      <c r="S355" s="24"/>
      <c r="T355" s="24"/>
      <c r="U355" s="25"/>
      <c r="V355" s="25"/>
      <c r="W355" s="25"/>
      <c r="X355" s="24"/>
      <c r="Y355" s="24"/>
      <c r="Z355" s="24"/>
      <c r="AA355" s="24"/>
      <c r="AB355" s="24"/>
      <c r="AC355" s="24"/>
      <c r="AD355" s="361">
        <f t="shared" si="76"/>
        <v>0</v>
      </c>
      <c r="AE355" s="359" t="str">
        <f t="shared" si="79"/>
        <v/>
      </c>
      <c r="AF355" s="359" t="str">
        <f t="shared" si="88"/>
        <v/>
      </c>
      <c r="AG355" s="359" t="str">
        <f t="shared" si="80"/>
        <v/>
      </c>
      <c r="AH355" s="359" t="str">
        <f t="shared" si="81"/>
        <v/>
      </c>
      <c r="AI355" s="359" t="str">
        <f t="shared" si="82"/>
        <v/>
      </c>
      <c r="AJ355" s="359" t="str">
        <f t="shared" si="83"/>
        <v/>
      </c>
      <c r="AK355" s="359" t="str">
        <f t="shared" si="85"/>
        <v/>
      </c>
      <c r="AL355" s="359" t="str">
        <f t="shared" si="84"/>
        <v/>
      </c>
      <c r="AM355" s="359" t="str">
        <f t="shared" si="86"/>
        <v/>
      </c>
      <c r="AN355" s="262">
        <f t="shared" si="89"/>
        <v>0</v>
      </c>
      <c r="AO355" s="262" t="str">
        <f>IFERROR(HLOOKUP(AN355,'Ref Lists'!Q$1:AL$2,2,FALSE),'Ref Lists'!$AK$2)</f>
        <v>Savings21</v>
      </c>
      <c r="AP355" s="38"/>
      <c r="AQ355" s="38">
        <f t="shared" si="78"/>
        <v>0</v>
      </c>
      <c r="AR355" s="38"/>
      <c r="AS355" s="38"/>
      <c r="AT355" s="38"/>
      <c r="AU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38"/>
      <c r="BU355" s="38"/>
      <c r="BV355" s="38"/>
      <c r="BW355" s="38"/>
      <c r="BX355" s="38"/>
      <c r="BY355" s="38"/>
      <c r="BZ355" s="38"/>
      <c r="CA355" s="38"/>
      <c r="CB355" s="38"/>
      <c r="CC355" s="38"/>
      <c r="CD355" s="38"/>
      <c r="CE355" s="38"/>
      <c r="CF355" s="38"/>
      <c r="CG355" s="38"/>
      <c r="CH355" s="38"/>
      <c r="CI355" s="38"/>
      <c r="CJ355" s="38"/>
      <c r="CK355" s="38"/>
      <c r="CL355" s="38"/>
      <c r="CM355" s="38"/>
      <c r="CN355" s="38"/>
      <c r="CO355" s="38"/>
      <c r="CP355" s="38"/>
      <c r="CQ355" s="38"/>
      <c r="CR355" s="38"/>
      <c r="CS355" s="38"/>
      <c r="CT355" s="38"/>
      <c r="CU355" s="38"/>
      <c r="CV355" s="38"/>
      <c r="CW355" s="38"/>
      <c r="CX355" s="38"/>
      <c r="CY355" s="38"/>
      <c r="CZ355" s="38"/>
    </row>
    <row r="356" spans="1:104" s="40" customFormat="1" ht="20.149999999999999" customHeight="1">
      <c r="A356" s="358">
        <f t="shared" si="87"/>
        <v>355</v>
      </c>
      <c r="B356" s="359" t="str">
        <f>'Front Sheet and Checklist'!$C$5</f>
        <v>Swansea Bay UHB</v>
      </c>
      <c r="C356" s="17"/>
      <c r="D356" s="17"/>
      <c r="E356" s="17"/>
      <c r="F356" s="17"/>
      <c r="G356" s="17"/>
      <c r="H356" s="17"/>
      <c r="I356" s="361">
        <f t="shared" si="77"/>
        <v>0</v>
      </c>
      <c r="J356" s="17"/>
      <c r="K356" s="18"/>
      <c r="L356" s="18"/>
      <c r="M356" s="17"/>
      <c r="N356" s="17"/>
      <c r="O356" s="17"/>
      <c r="P356" s="17"/>
      <c r="Q356" s="169"/>
      <c r="R356" s="24"/>
      <c r="S356" s="24"/>
      <c r="T356" s="24"/>
      <c r="U356" s="25"/>
      <c r="V356" s="25"/>
      <c r="W356" s="25"/>
      <c r="X356" s="24"/>
      <c r="Y356" s="24"/>
      <c r="Z356" s="24"/>
      <c r="AA356" s="24"/>
      <c r="AB356" s="24"/>
      <c r="AC356" s="24"/>
      <c r="AD356" s="361">
        <f t="shared" si="76"/>
        <v>0</v>
      </c>
      <c r="AE356" s="359" t="str">
        <f t="shared" si="79"/>
        <v/>
      </c>
      <c r="AF356" s="359" t="str">
        <f t="shared" si="88"/>
        <v/>
      </c>
      <c r="AG356" s="359" t="str">
        <f t="shared" si="80"/>
        <v/>
      </c>
      <c r="AH356" s="359" t="str">
        <f t="shared" si="81"/>
        <v/>
      </c>
      <c r="AI356" s="359" t="str">
        <f t="shared" si="82"/>
        <v/>
      </c>
      <c r="AJ356" s="359" t="str">
        <f t="shared" si="83"/>
        <v/>
      </c>
      <c r="AK356" s="359" t="str">
        <f t="shared" si="85"/>
        <v/>
      </c>
      <c r="AL356" s="359" t="str">
        <f t="shared" si="84"/>
        <v/>
      </c>
      <c r="AM356" s="359" t="str">
        <f t="shared" si="86"/>
        <v/>
      </c>
      <c r="AN356" s="262">
        <f t="shared" si="89"/>
        <v>0</v>
      </c>
      <c r="AO356" s="262" t="str">
        <f>IFERROR(HLOOKUP(AN356,'Ref Lists'!Q$1:AL$2,2,FALSE),'Ref Lists'!$AK$2)</f>
        <v>Savings21</v>
      </c>
      <c r="AP356" s="38"/>
      <c r="AQ356" s="38">
        <f t="shared" si="78"/>
        <v>0</v>
      </c>
      <c r="AR356" s="38"/>
      <c r="AS356" s="38"/>
      <c r="AT356" s="38"/>
      <c r="AU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38"/>
      <c r="BU356" s="38"/>
      <c r="BV356" s="38"/>
      <c r="BW356" s="38"/>
      <c r="BX356" s="38"/>
      <c r="BY356" s="38"/>
      <c r="BZ356" s="38"/>
      <c r="CA356" s="38"/>
      <c r="CB356" s="38"/>
      <c r="CC356" s="38"/>
      <c r="CD356" s="38"/>
      <c r="CE356" s="38"/>
      <c r="CF356" s="38"/>
      <c r="CG356" s="38"/>
      <c r="CH356" s="38"/>
      <c r="CI356" s="38"/>
      <c r="CJ356" s="38"/>
      <c r="CK356" s="38"/>
      <c r="CL356" s="38"/>
      <c r="CM356" s="38"/>
      <c r="CN356" s="38"/>
      <c r="CO356" s="38"/>
      <c r="CP356" s="38"/>
      <c r="CQ356" s="38"/>
      <c r="CR356" s="38"/>
      <c r="CS356" s="38"/>
      <c r="CT356" s="38"/>
      <c r="CU356" s="38"/>
      <c r="CV356" s="38"/>
      <c r="CW356" s="38"/>
      <c r="CX356" s="38"/>
      <c r="CY356" s="38"/>
      <c r="CZ356" s="38"/>
    </row>
    <row r="357" spans="1:104" s="40" customFormat="1" ht="20.149999999999999" customHeight="1">
      <c r="A357" s="358">
        <f t="shared" si="87"/>
        <v>356</v>
      </c>
      <c r="B357" s="359" t="str">
        <f>'Front Sheet and Checklist'!$C$5</f>
        <v>Swansea Bay UHB</v>
      </c>
      <c r="C357" s="17"/>
      <c r="D357" s="17"/>
      <c r="E357" s="17"/>
      <c r="F357" s="17"/>
      <c r="G357" s="17"/>
      <c r="H357" s="17"/>
      <c r="I357" s="361">
        <f t="shared" si="77"/>
        <v>0</v>
      </c>
      <c r="J357" s="17"/>
      <c r="K357" s="18"/>
      <c r="L357" s="18"/>
      <c r="M357" s="17"/>
      <c r="N357" s="17"/>
      <c r="O357" s="17"/>
      <c r="P357" s="17"/>
      <c r="Q357" s="169"/>
      <c r="R357" s="24"/>
      <c r="S357" s="24"/>
      <c r="T357" s="24"/>
      <c r="U357" s="25"/>
      <c r="V357" s="25"/>
      <c r="W357" s="25"/>
      <c r="X357" s="24"/>
      <c r="Y357" s="24"/>
      <c r="Z357" s="24"/>
      <c r="AA357" s="24"/>
      <c r="AB357" s="24"/>
      <c r="AC357" s="24"/>
      <c r="AD357" s="361">
        <f t="shared" si="76"/>
        <v>0</v>
      </c>
      <c r="AE357" s="359" t="str">
        <f t="shared" si="79"/>
        <v/>
      </c>
      <c r="AF357" s="359" t="str">
        <f t="shared" si="88"/>
        <v/>
      </c>
      <c r="AG357" s="359" t="str">
        <f t="shared" si="80"/>
        <v/>
      </c>
      <c r="AH357" s="359" t="str">
        <f t="shared" si="81"/>
        <v/>
      </c>
      <c r="AI357" s="359" t="str">
        <f t="shared" si="82"/>
        <v/>
      </c>
      <c r="AJ357" s="359" t="str">
        <f t="shared" si="83"/>
        <v/>
      </c>
      <c r="AK357" s="359" t="str">
        <f t="shared" si="85"/>
        <v/>
      </c>
      <c r="AL357" s="359" t="str">
        <f t="shared" si="84"/>
        <v/>
      </c>
      <c r="AM357" s="359" t="str">
        <f t="shared" si="86"/>
        <v/>
      </c>
      <c r="AN357" s="262">
        <f t="shared" si="89"/>
        <v>0</v>
      </c>
      <c r="AO357" s="262" t="str">
        <f>IFERROR(HLOOKUP(AN357,'Ref Lists'!Q$1:AL$2,2,FALSE),'Ref Lists'!$AK$2)</f>
        <v>Savings21</v>
      </c>
      <c r="AP357" s="38"/>
      <c r="AQ357" s="38">
        <f t="shared" si="78"/>
        <v>0</v>
      </c>
      <c r="AR357" s="38"/>
      <c r="AS357" s="38"/>
      <c r="AT357" s="38"/>
      <c r="AU357" s="38"/>
      <c r="AV357" s="38"/>
      <c r="AW357" s="38"/>
      <c r="AX357" s="38"/>
      <c r="AY357" s="38"/>
      <c r="AZ357" s="38"/>
      <c r="BA357" s="38"/>
      <c r="BB357" s="38"/>
      <c r="BC357" s="38"/>
      <c r="BD357" s="38"/>
      <c r="BE357" s="38"/>
      <c r="BF357" s="38"/>
      <c r="BG357" s="38"/>
      <c r="BH357" s="38"/>
      <c r="BI357" s="38"/>
      <c r="BJ357" s="38"/>
      <c r="BK357" s="38"/>
      <c r="BL357" s="38"/>
      <c r="BM357" s="38"/>
      <c r="BN357" s="38"/>
      <c r="BO357" s="38"/>
      <c r="BP357" s="38"/>
      <c r="BQ357" s="38"/>
      <c r="BR357" s="38"/>
      <c r="BS357" s="38"/>
      <c r="BT357" s="38"/>
      <c r="BU357" s="38"/>
      <c r="BV357" s="38"/>
      <c r="BW357" s="38"/>
      <c r="BX357" s="38"/>
      <c r="BY357" s="38"/>
      <c r="BZ357" s="38"/>
      <c r="CA357" s="38"/>
      <c r="CB357" s="38"/>
      <c r="CC357" s="38"/>
      <c r="CD357" s="38"/>
      <c r="CE357" s="38"/>
      <c r="CF357" s="38"/>
      <c r="CG357" s="38"/>
      <c r="CH357" s="38"/>
      <c r="CI357" s="38"/>
      <c r="CJ357" s="38"/>
      <c r="CK357" s="38"/>
      <c r="CL357" s="38"/>
      <c r="CM357" s="38"/>
      <c r="CN357" s="38"/>
      <c r="CO357" s="38"/>
      <c r="CP357" s="38"/>
      <c r="CQ357" s="38"/>
      <c r="CR357" s="38"/>
      <c r="CS357" s="38"/>
      <c r="CT357" s="38"/>
      <c r="CU357" s="38"/>
      <c r="CV357" s="38"/>
      <c r="CW357" s="38"/>
      <c r="CX357" s="38"/>
      <c r="CY357" s="38"/>
      <c r="CZ357" s="38"/>
    </row>
    <row r="358" spans="1:104" s="40" customFormat="1" ht="20.149999999999999" customHeight="1">
      <c r="A358" s="358">
        <f t="shared" si="87"/>
        <v>357</v>
      </c>
      <c r="B358" s="359" t="str">
        <f>'Front Sheet and Checklist'!$C$5</f>
        <v>Swansea Bay UHB</v>
      </c>
      <c r="C358" s="17"/>
      <c r="D358" s="17"/>
      <c r="E358" s="17"/>
      <c r="F358" s="17"/>
      <c r="G358" s="17"/>
      <c r="H358" s="17"/>
      <c r="I358" s="361">
        <f t="shared" si="77"/>
        <v>0</v>
      </c>
      <c r="J358" s="17"/>
      <c r="K358" s="18"/>
      <c r="L358" s="18"/>
      <c r="M358" s="17"/>
      <c r="N358" s="17"/>
      <c r="O358" s="17"/>
      <c r="P358" s="17"/>
      <c r="Q358" s="169"/>
      <c r="R358" s="24"/>
      <c r="S358" s="24"/>
      <c r="T358" s="24"/>
      <c r="U358" s="25"/>
      <c r="V358" s="25"/>
      <c r="W358" s="25"/>
      <c r="X358" s="24"/>
      <c r="Y358" s="24"/>
      <c r="Z358" s="24"/>
      <c r="AA358" s="24"/>
      <c r="AB358" s="24"/>
      <c r="AC358" s="24"/>
      <c r="AD358" s="361">
        <f t="shared" si="76"/>
        <v>0</v>
      </c>
      <c r="AE358" s="359" t="str">
        <f t="shared" si="79"/>
        <v/>
      </c>
      <c r="AF358" s="359" t="str">
        <f t="shared" si="88"/>
        <v/>
      </c>
      <c r="AG358" s="359" t="str">
        <f t="shared" si="80"/>
        <v/>
      </c>
      <c r="AH358" s="359" t="str">
        <f t="shared" si="81"/>
        <v/>
      </c>
      <c r="AI358" s="359" t="str">
        <f t="shared" si="82"/>
        <v/>
      </c>
      <c r="AJ358" s="359" t="str">
        <f t="shared" si="83"/>
        <v/>
      </c>
      <c r="AK358" s="359" t="str">
        <f t="shared" si="85"/>
        <v/>
      </c>
      <c r="AL358" s="359" t="str">
        <f t="shared" si="84"/>
        <v/>
      </c>
      <c r="AM358" s="359" t="str">
        <f t="shared" si="86"/>
        <v/>
      </c>
      <c r="AN358" s="262">
        <f t="shared" si="89"/>
        <v>0</v>
      </c>
      <c r="AO358" s="262" t="str">
        <f>IFERROR(HLOOKUP(AN358,'Ref Lists'!Q$1:AL$2,2,FALSE),'Ref Lists'!$AK$2)</f>
        <v>Savings21</v>
      </c>
      <c r="AP358" s="38"/>
      <c r="AQ358" s="38">
        <f t="shared" si="78"/>
        <v>0</v>
      </c>
      <c r="AR358" s="38"/>
      <c r="AS358" s="38"/>
      <c r="AT358" s="38"/>
      <c r="AU358" s="38"/>
      <c r="AV358" s="38"/>
      <c r="AW358" s="38"/>
      <c r="AX358" s="38"/>
      <c r="AY358" s="38"/>
      <c r="AZ358" s="38"/>
      <c r="BA358" s="38"/>
      <c r="BB358" s="38"/>
      <c r="BC358" s="38"/>
      <c r="BD358" s="38"/>
      <c r="BE358" s="38"/>
      <c r="BF358" s="38"/>
      <c r="BG358" s="38"/>
      <c r="BH358" s="38"/>
      <c r="BI358" s="38"/>
      <c r="BJ358" s="38"/>
      <c r="BK358" s="38"/>
      <c r="BL358" s="38"/>
      <c r="BM358" s="38"/>
      <c r="BN358" s="38"/>
      <c r="BO358" s="38"/>
      <c r="BP358" s="38"/>
      <c r="BQ358" s="38"/>
      <c r="BR358" s="38"/>
      <c r="BS358" s="38"/>
      <c r="BT358" s="38"/>
      <c r="BU358" s="38"/>
      <c r="BV358" s="38"/>
      <c r="BW358" s="38"/>
      <c r="BX358" s="38"/>
      <c r="BY358" s="38"/>
      <c r="BZ358" s="38"/>
      <c r="CA358" s="38"/>
      <c r="CB358" s="38"/>
      <c r="CC358" s="38"/>
      <c r="CD358" s="38"/>
      <c r="CE358" s="38"/>
      <c r="CF358" s="38"/>
      <c r="CG358" s="38"/>
      <c r="CH358" s="38"/>
      <c r="CI358" s="38"/>
      <c r="CJ358" s="38"/>
      <c r="CK358" s="38"/>
      <c r="CL358" s="38"/>
      <c r="CM358" s="38"/>
      <c r="CN358" s="38"/>
      <c r="CO358" s="38"/>
      <c r="CP358" s="38"/>
      <c r="CQ358" s="38"/>
      <c r="CR358" s="38"/>
      <c r="CS358" s="38"/>
      <c r="CT358" s="38"/>
      <c r="CU358" s="38"/>
      <c r="CV358" s="38"/>
      <c r="CW358" s="38"/>
      <c r="CX358" s="38"/>
      <c r="CY358" s="38"/>
      <c r="CZ358" s="38"/>
    </row>
    <row r="359" spans="1:104" s="40" customFormat="1" ht="20.149999999999999" customHeight="1">
      <c r="A359" s="358">
        <f t="shared" si="87"/>
        <v>358</v>
      </c>
      <c r="B359" s="359" t="str">
        <f>'Front Sheet and Checklist'!$C$5</f>
        <v>Swansea Bay UHB</v>
      </c>
      <c r="C359" s="17"/>
      <c r="D359" s="17"/>
      <c r="E359" s="17"/>
      <c r="F359" s="17"/>
      <c r="G359" s="17"/>
      <c r="H359" s="17"/>
      <c r="I359" s="361">
        <f t="shared" si="77"/>
        <v>0</v>
      </c>
      <c r="J359" s="17"/>
      <c r="K359" s="18"/>
      <c r="L359" s="18"/>
      <c r="M359" s="17"/>
      <c r="N359" s="17"/>
      <c r="O359" s="17"/>
      <c r="P359" s="17"/>
      <c r="Q359" s="169"/>
      <c r="R359" s="24"/>
      <c r="S359" s="24"/>
      <c r="T359" s="24"/>
      <c r="U359" s="25"/>
      <c r="V359" s="25"/>
      <c r="W359" s="25"/>
      <c r="X359" s="24"/>
      <c r="Y359" s="24"/>
      <c r="Z359" s="24"/>
      <c r="AA359" s="24"/>
      <c r="AB359" s="24"/>
      <c r="AC359" s="24"/>
      <c r="AD359" s="361">
        <f t="shared" si="76"/>
        <v>0</v>
      </c>
      <c r="AE359" s="359" t="str">
        <f t="shared" si="79"/>
        <v/>
      </c>
      <c r="AF359" s="359" t="str">
        <f t="shared" si="88"/>
        <v/>
      </c>
      <c r="AG359" s="359" t="str">
        <f t="shared" si="80"/>
        <v/>
      </c>
      <c r="AH359" s="359" t="str">
        <f t="shared" si="81"/>
        <v/>
      </c>
      <c r="AI359" s="359" t="str">
        <f t="shared" si="82"/>
        <v/>
      </c>
      <c r="AJ359" s="359" t="str">
        <f t="shared" si="83"/>
        <v/>
      </c>
      <c r="AK359" s="359" t="str">
        <f t="shared" si="85"/>
        <v/>
      </c>
      <c r="AL359" s="359" t="str">
        <f t="shared" si="84"/>
        <v/>
      </c>
      <c r="AM359" s="359" t="str">
        <f t="shared" si="86"/>
        <v/>
      </c>
      <c r="AN359" s="262">
        <f t="shared" si="89"/>
        <v>0</v>
      </c>
      <c r="AO359" s="262" t="str">
        <f>IFERROR(HLOOKUP(AN359,'Ref Lists'!Q$1:AL$2,2,FALSE),'Ref Lists'!$AK$2)</f>
        <v>Savings21</v>
      </c>
      <c r="AP359" s="38"/>
      <c r="AQ359" s="38">
        <f t="shared" si="78"/>
        <v>0</v>
      </c>
      <c r="AR359" s="38"/>
      <c r="AS359" s="38"/>
      <c r="AT359" s="38"/>
      <c r="AU359" s="38"/>
      <c r="AV359" s="38"/>
      <c r="AW359" s="38"/>
      <c r="AX359" s="38"/>
      <c r="AY359" s="38"/>
      <c r="AZ359" s="38"/>
      <c r="BA359" s="38"/>
      <c r="BB359" s="38"/>
      <c r="BC359" s="38"/>
      <c r="BD359" s="38"/>
      <c r="BE359" s="38"/>
      <c r="BF359" s="38"/>
      <c r="BG359" s="38"/>
      <c r="BH359" s="38"/>
      <c r="BI359" s="38"/>
      <c r="BJ359" s="38"/>
      <c r="BK359" s="38"/>
      <c r="BL359" s="38"/>
      <c r="BM359" s="38"/>
      <c r="BN359" s="38"/>
      <c r="BO359" s="38"/>
      <c r="BP359" s="38"/>
      <c r="BQ359" s="38"/>
      <c r="BR359" s="38"/>
      <c r="BS359" s="38"/>
      <c r="BT359" s="38"/>
      <c r="BU359" s="38"/>
      <c r="BV359" s="38"/>
      <c r="BW359" s="38"/>
      <c r="BX359" s="38"/>
      <c r="BY359" s="38"/>
      <c r="BZ359" s="38"/>
      <c r="CA359" s="38"/>
      <c r="CB359" s="38"/>
      <c r="CC359" s="38"/>
      <c r="CD359" s="38"/>
      <c r="CE359" s="38"/>
      <c r="CF359" s="38"/>
      <c r="CG359" s="38"/>
      <c r="CH359" s="38"/>
      <c r="CI359" s="38"/>
      <c r="CJ359" s="38"/>
      <c r="CK359" s="38"/>
      <c r="CL359" s="38"/>
      <c r="CM359" s="38"/>
      <c r="CN359" s="38"/>
      <c r="CO359" s="38"/>
      <c r="CP359" s="38"/>
      <c r="CQ359" s="38"/>
      <c r="CR359" s="38"/>
      <c r="CS359" s="38"/>
      <c r="CT359" s="38"/>
      <c r="CU359" s="38"/>
      <c r="CV359" s="38"/>
      <c r="CW359" s="38"/>
      <c r="CX359" s="38"/>
      <c r="CY359" s="38"/>
      <c r="CZ359" s="38"/>
    </row>
    <row r="360" spans="1:104" s="40" customFormat="1" ht="20.149999999999999" customHeight="1">
      <c r="A360" s="358">
        <f t="shared" si="87"/>
        <v>359</v>
      </c>
      <c r="B360" s="359" t="str">
        <f>'Front Sheet and Checklist'!$C$5</f>
        <v>Swansea Bay UHB</v>
      </c>
      <c r="C360" s="17"/>
      <c r="D360" s="17"/>
      <c r="E360" s="17"/>
      <c r="F360" s="17"/>
      <c r="G360" s="17"/>
      <c r="H360" s="17"/>
      <c r="I360" s="361">
        <f t="shared" si="77"/>
        <v>0</v>
      </c>
      <c r="J360" s="17"/>
      <c r="K360" s="18"/>
      <c r="L360" s="18"/>
      <c r="M360" s="17"/>
      <c r="N360" s="17"/>
      <c r="O360" s="17"/>
      <c r="P360" s="17"/>
      <c r="Q360" s="169"/>
      <c r="R360" s="24"/>
      <c r="S360" s="24"/>
      <c r="T360" s="24"/>
      <c r="U360" s="25"/>
      <c r="V360" s="25"/>
      <c r="W360" s="25"/>
      <c r="X360" s="24"/>
      <c r="Y360" s="24"/>
      <c r="Z360" s="24"/>
      <c r="AA360" s="24"/>
      <c r="AB360" s="24"/>
      <c r="AC360" s="24"/>
      <c r="AD360" s="361">
        <f t="shared" si="76"/>
        <v>0</v>
      </c>
      <c r="AE360" s="359" t="str">
        <f t="shared" si="79"/>
        <v/>
      </c>
      <c r="AF360" s="359" t="str">
        <f t="shared" si="88"/>
        <v/>
      </c>
      <c r="AG360" s="359" t="str">
        <f t="shared" si="80"/>
        <v/>
      </c>
      <c r="AH360" s="359" t="str">
        <f t="shared" si="81"/>
        <v/>
      </c>
      <c r="AI360" s="359" t="str">
        <f t="shared" si="82"/>
        <v/>
      </c>
      <c r="AJ360" s="359" t="str">
        <f t="shared" si="83"/>
        <v/>
      </c>
      <c r="AK360" s="359" t="str">
        <f t="shared" si="85"/>
        <v/>
      </c>
      <c r="AL360" s="359" t="str">
        <f t="shared" si="84"/>
        <v/>
      </c>
      <c r="AM360" s="359" t="str">
        <f t="shared" si="86"/>
        <v/>
      </c>
      <c r="AN360" s="262">
        <f t="shared" si="89"/>
        <v>0</v>
      </c>
      <c r="AO360" s="262" t="str">
        <f>IFERROR(HLOOKUP(AN360,'Ref Lists'!Q$1:AL$2,2,FALSE),'Ref Lists'!$AK$2)</f>
        <v>Savings21</v>
      </c>
      <c r="AP360" s="38"/>
      <c r="AQ360" s="38">
        <f t="shared" si="78"/>
        <v>0</v>
      </c>
      <c r="AR360" s="38"/>
      <c r="AS360" s="38"/>
      <c r="AT360" s="38"/>
      <c r="AU360" s="38"/>
      <c r="AV360" s="38"/>
      <c r="AW360" s="38"/>
      <c r="AX360" s="38"/>
      <c r="AY360" s="38"/>
      <c r="AZ360" s="38"/>
      <c r="BA360" s="38"/>
      <c r="BB360" s="38"/>
      <c r="BC360" s="38"/>
      <c r="BD360" s="38"/>
      <c r="BE360" s="38"/>
      <c r="BF360" s="38"/>
      <c r="BG360" s="38"/>
      <c r="BH360" s="38"/>
      <c r="BI360" s="38"/>
      <c r="BJ360" s="38"/>
      <c r="BK360" s="38"/>
      <c r="BL360" s="38"/>
      <c r="BM360" s="38"/>
      <c r="BN360" s="38"/>
      <c r="BO360" s="38"/>
      <c r="BP360" s="38"/>
      <c r="BQ360" s="38"/>
      <c r="BR360" s="38"/>
      <c r="BS360" s="38"/>
      <c r="BT360" s="38"/>
      <c r="BU360" s="38"/>
      <c r="BV360" s="38"/>
      <c r="BW360" s="38"/>
      <c r="BX360" s="38"/>
      <c r="BY360" s="38"/>
      <c r="BZ360" s="38"/>
      <c r="CA360" s="38"/>
      <c r="CB360" s="38"/>
      <c r="CC360" s="38"/>
      <c r="CD360" s="38"/>
      <c r="CE360" s="38"/>
      <c r="CF360" s="38"/>
      <c r="CG360" s="38"/>
      <c r="CH360" s="38"/>
      <c r="CI360" s="38"/>
      <c r="CJ360" s="38"/>
      <c r="CK360" s="38"/>
      <c r="CL360" s="38"/>
      <c r="CM360" s="38"/>
      <c r="CN360" s="38"/>
      <c r="CO360" s="38"/>
      <c r="CP360" s="38"/>
      <c r="CQ360" s="38"/>
      <c r="CR360" s="38"/>
      <c r="CS360" s="38"/>
      <c r="CT360" s="38"/>
      <c r="CU360" s="38"/>
      <c r="CV360" s="38"/>
      <c r="CW360" s="38"/>
      <c r="CX360" s="38"/>
      <c r="CY360" s="38"/>
      <c r="CZ360" s="38"/>
    </row>
    <row r="361" spans="1:104" s="40" customFormat="1" ht="20.149999999999999" customHeight="1">
      <c r="A361" s="358">
        <f t="shared" si="87"/>
        <v>360</v>
      </c>
      <c r="B361" s="359" t="str">
        <f>'Front Sheet and Checklist'!$C$5</f>
        <v>Swansea Bay UHB</v>
      </c>
      <c r="C361" s="17"/>
      <c r="D361" s="17"/>
      <c r="E361" s="17"/>
      <c r="F361" s="17"/>
      <c r="G361" s="17"/>
      <c r="H361" s="17"/>
      <c r="I361" s="361">
        <f t="shared" si="77"/>
        <v>0</v>
      </c>
      <c r="J361" s="17"/>
      <c r="K361" s="18"/>
      <c r="L361" s="18"/>
      <c r="M361" s="17"/>
      <c r="N361" s="17"/>
      <c r="O361" s="17"/>
      <c r="P361" s="17"/>
      <c r="Q361" s="169"/>
      <c r="R361" s="24"/>
      <c r="S361" s="24"/>
      <c r="T361" s="24"/>
      <c r="U361" s="25"/>
      <c r="V361" s="25"/>
      <c r="W361" s="25"/>
      <c r="X361" s="24"/>
      <c r="Y361" s="24"/>
      <c r="Z361" s="24"/>
      <c r="AA361" s="24"/>
      <c r="AB361" s="24"/>
      <c r="AC361" s="24"/>
      <c r="AD361" s="361">
        <f t="shared" si="76"/>
        <v>0</v>
      </c>
      <c r="AE361" s="359" t="str">
        <f t="shared" si="79"/>
        <v/>
      </c>
      <c r="AF361" s="359" t="str">
        <f t="shared" si="88"/>
        <v/>
      </c>
      <c r="AG361" s="359" t="str">
        <f t="shared" si="80"/>
        <v/>
      </c>
      <c r="AH361" s="359" t="str">
        <f t="shared" si="81"/>
        <v/>
      </c>
      <c r="AI361" s="359" t="str">
        <f t="shared" si="82"/>
        <v/>
      </c>
      <c r="AJ361" s="359" t="str">
        <f t="shared" si="83"/>
        <v/>
      </c>
      <c r="AK361" s="359" t="str">
        <f t="shared" si="85"/>
        <v/>
      </c>
      <c r="AL361" s="359" t="str">
        <f t="shared" si="84"/>
        <v/>
      </c>
      <c r="AM361" s="359" t="str">
        <f t="shared" si="86"/>
        <v/>
      </c>
      <c r="AN361" s="262">
        <f t="shared" si="89"/>
        <v>0</v>
      </c>
      <c r="AO361" s="262" t="str">
        <f>IFERROR(HLOOKUP(AN361,'Ref Lists'!Q$1:AL$2,2,FALSE),'Ref Lists'!$AK$2)</f>
        <v>Savings21</v>
      </c>
      <c r="AP361" s="38"/>
      <c r="AQ361" s="38">
        <f t="shared" si="78"/>
        <v>0</v>
      </c>
      <c r="AR361" s="38"/>
      <c r="AS361" s="38"/>
      <c r="AT361" s="38"/>
      <c r="AU361" s="38"/>
      <c r="AV361" s="38"/>
      <c r="AW361" s="38"/>
      <c r="AX361" s="38"/>
      <c r="AY361" s="38"/>
      <c r="AZ361" s="38"/>
      <c r="BA361" s="38"/>
      <c r="BB361" s="38"/>
      <c r="BC361" s="38"/>
      <c r="BD361" s="38"/>
      <c r="BE361" s="38"/>
      <c r="BF361" s="38"/>
      <c r="BG361" s="38"/>
      <c r="BH361" s="38"/>
      <c r="BI361" s="38"/>
      <c r="BJ361" s="38"/>
      <c r="BK361" s="38"/>
      <c r="BL361" s="38"/>
      <c r="BM361" s="38"/>
      <c r="BN361" s="38"/>
      <c r="BO361" s="38"/>
      <c r="BP361" s="38"/>
      <c r="BQ361" s="38"/>
      <c r="BR361" s="38"/>
      <c r="BS361" s="38"/>
      <c r="BT361" s="38"/>
      <c r="BU361" s="38"/>
      <c r="BV361" s="38"/>
      <c r="BW361" s="38"/>
      <c r="BX361" s="38"/>
      <c r="BY361" s="38"/>
      <c r="BZ361" s="38"/>
      <c r="CA361" s="38"/>
      <c r="CB361" s="38"/>
      <c r="CC361" s="38"/>
      <c r="CD361" s="38"/>
      <c r="CE361" s="38"/>
      <c r="CF361" s="38"/>
      <c r="CG361" s="38"/>
      <c r="CH361" s="38"/>
      <c r="CI361" s="38"/>
      <c r="CJ361" s="38"/>
      <c r="CK361" s="38"/>
      <c r="CL361" s="38"/>
      <c r="CM361" s="38"/>
      <c r="CN361" s="38"/>
      <c r="CO361" s="38"/>
      <c r="CP361" s="38"/>
      <c r="CQ361" s="38"/>
      <c r="CR361" s="38"/>
      <c r="CS361" s="38"/>
      <c r="CT361" s="38"/>
      <c r="CU361" s="38"/>
      <c r="CV361" s="38"/>
      <c r="CW361" s="38"/>
      <c r="CX361" s="38"/>
      <c r="CY361" s="38"/>
      <c r="CZ361" s="38"/>
    </row>
    <row r="362" spans="1:104" s="40" customFormat="1" ht="20.149999999999999" customHeight="1">
      <c r="A362" s="358">
        <f t="shared" si="87"/>
        <v>361</v>
      </c>
      <c r="B362" s="359" t="str">
        <f>'Front Sheet and Checklist'!$C$5</f>
        <v>Swansea Bay UHB</v>
      </c>
      <c r="C362" s="17"/>
      <c r="D362" s="17"/>
      <c r="E362" s="17"/>
      <c r="F362" s="17"/>
      <c r="G362" s="17"/>
      <c r="H362" s="17"/>
      <c r="I362" s="361">
        <f t="shared" si="77"/>
        <v>0</v>
      </c>
      <c r="J362" s="17"/>
      <c r="K362" s="18"/>
      <c r="L362" s="18"/>
      <c r="M362" s="17"/>
      <c r="N362" s="17"/>
      <c r="O362" s="17"/>
      <c r="P362" s="17"/>
      <c r="Q362" s="169"/>
      <c r="R362" s="24"/>
      <c r="S362" s="24"/>
      <c r="T362" s="24"/>
      <c r="U362" s="25"/>
      <c r="V362" s="25"/>
      <c r="W362" s="25"/>
      <c r="X362" s="24"/>
      <c r="Y362" s="24"/>
      <c r="Z362" s="24"/>
      <c r="AA362" s="24"/>
      <c r="AB362" s="24"/>
      <c r="AC362" s="24"/>
      <c r="AD362" s="361">
        <f t="shared" si="76"/>
        <v>0</v>
      </c>
      <c r="AE362" s="359" t="str">
        <f t="shared" si="79"/>
        <v/>
      </c>
      <c r="AF362" s="359" t="str">
        <f t="shared" si="88"/>
        <v/>
      </c>
      <c r="AG362" s="359" t="str">
        <f t="shared" si="80"/>
        <v/>
      </c>
      <c r="AH362" s="359" t="str">
        <f t="shared" si="81"/>
        <v/>
      </c>
      <c r="AI362" s="359" t="str">
        <f t="shared" si="82"/>
        <v/>
      </c>
      <c r="AJ362" s="359" t="str">
        <f t="shared" si="83"/>
        <v/>
      </c>
      <c r="AK362" s="359" t="str">
        <f t="shared" si="85"/>
        <v/>
      </c>
      <c r="AL362" s="359" t="str">
        <f t="shared" si="84"/>
        <v/>
      </c>
      <c r="AM362" s="359" t="str">
        <f t="shared" si="86"/>
        <v/>
      </c>
      <c r="AN362" s="262">
        <f t="shared" si="89"/>
        <v>0</v>
      </c>
      <c r="AO362" s="262" t="str">
        <f>IFERROR(HLOOKUP(AN362,'Ref Lists'!Q$1:AL$2,2,FALSE),'Ref Lists'!$AK$2)</f>
        <v>Savings21</v>
      </c>
      <c r="AP362" s="38"/>
      <c r="AQ362" s="38">
        <f t="shared" si="78"/>
        <v>0</v>
      </c>
      <c r="AR362" s="38"/>
      <c r="AS362" s="38"/>
      <c r="AT362" s="38"/>
      <c r="AU362" s="38"/>
      <c r="AV362" s="38"/>
      <c r="AW362" s="38"/>
      <c r="AX362" s="38"/>
      <c r="AY362" s="38"/>
      <c r="AZ362" s="38"/>
      <c r="BA362" s="38"/>
      <c r="BB362" s="38"/>
      <c r="BC362" s="38"/>
      <c r="BD362" s="38"/>
      <c r="BE362" s="38"/>
      <c r="BF362" s="38"/>
      <c r="BG362" s="38"/>
      <c r="BH362" s="38"/>
      <c r="BI362" s="38"/>
      <c r="BJ362" s="38"/>
      <c r="BK362" s="38"/>
      <c r="BL362" s="38"/>
      <c r="BM362" s="38"/>
      <c r="BN362" s="38"/>
      <c r="BO362" s="38"/>
      <c r="BP362" s="38"/>
      <c r="BQ362" s="38"/>
      <c r="BR362" s="38"/>
      <c r="BS362" s="38"/>
      <c r="BT362" s="38"/>
      <c r="BU362" s="38"/>
      <c r="BV362" s="38"/>
      <c r="BW362" s="38"/>
      <c r="BX362" s="38"/>
      <c r="BY362" s="38"/>
      <c r="BZ362" s="38"/>
      <c r="CA362" s="38"/>
      <c r="CB362" s="38"/>
      <c r="CC362" s="38"/>
      <c r="CD362" s="38"/>
      <c r="CE362" s="38"/>
      <c r="CF362" s="38"/>
      <c r="CG362" s="38"/>
      <c r="CH362" s="38"/>
      <c r="CI362" s="38"/>
      <c r="CJ362" s="38"/>
      <c r="CK362" s="38"/>
      <c r="CL362" s="38"/>
      <c r="CM362" s="38"/>
      <c r="CN362" s="38"/>
      <c r="CO362" s="38"/>
      <c r="CP362" s="38"/>
      <c r="CQ362" s="38"/>
      <c r="CR362" s="38"/>
      <c r="CS362" s="38"/>
      <c r="CT362" s="38"/>
      <c r="CU362" s="38"/>
      <c r="CV362" s="38"/>
      <c r="CW362" s="38"/>
      <c r="CX362" s="38"/>
      <c r="CY362" s="38"/>
      <c r="CZ362" s="38"/>
    </row>
    <row r="363" spans="1:104" s="40" customFormat="1" ht="20.149999999999999" customHeight="1">
      <c r="A363" s="358">
        <f t="shared" si="87"/>
        <v>362</v>
      </c>
      <c r="B363" s="359" t="str">
        <f>'Front Sheet and Checklist'!$C$5</f>
        <v>Swansea Bay UHB</v>
      </c>
      <c r="C363" s="17"/>
      <c r="D363" s="17"/>
      <c r="E363" s="17"/>
      <c r="F363" s="17"/>
      <c r="G363" s="17"/>
      <c r="H363" s="17"/>
      <c r="I363" s="361">
        <f t="shared" si="77"/>
        <v>0</v>
      </c>
      <c r="J363" s="17"/>
      <c r="K363" s="18"/>
      <c r="L363" s="18"/>
      <c r="M363" s="17"/>
      <c r="N363" s="17"/>
      <c r="O363" s="17"/>
      <c r="P363" s="17"/>
      <c r="Q363" s="169"/>
      <c r="R363" s="24"/>
      <c r="S363" s="24"/>
      <c r="T363" s="24"/>
      <c r="U363" s="25"/>
      <c r="V363" s="25"/>
      <c r="W363" s="25"/>
      <c r="X363" s="24"/>
      <c r="Y363" s="24"/>
      <c r="Z363" s="24"/>
      <c r="AA363" s="24"/>
      <c r="AB363" s="24"/>
      <c r="AC363" s="24"/>
      <c r="AD363" s="361">
        <f t="shared" si="76"/>
        <v>0</v>
      </c>
      <c r="AE363" s="359" t="str">
        <f t="shared" si="79"/>
        <v/>
      </c>
      <c r="AF363" s="359" t="str">
        <f t="shared" si="88"/>
        <v/>
      </c>
      <c r="AG363" s="359" t="str">
        <f t="shared" si="80"/>
        <v/>
      </c>
      <c r="AH363" s="359" t="str">
        <f t="shared" si="81"/>
        <v/>
      </c>
      <c r="AI363" s="359" t="str">
        <f t="shared" si="82"/>
        <v/>
      </c>
      <c r="AJ363" s="359" t="str">
        <f t="shared" si="83"/>
        <v/>
      </c>
      <c r="AK363" s="359" t="str">
        <f t="shared" si="85"/>
        <v/>
      </c>
      <c r="AL363" s="359" t="str">
        <f t="shared" si="84"/>
        <v/>
      </c>
      <c r="AM363" s="359" t="str">
        <f t="shared" si="86"/>
        <v/>
      </c>
      <c r="AN363" s="262">
        <f t="shared" si="89"/>
        <v>0</v>
      </c>
      <c r="AO363" s="262" t="str">
        <f>IFERROR(HLOOKUP(AN363,'Ref Lists'!Q$1:AL$2,2,FALSE),'Ref Lists'!$AK$2)</f>
        <v>Savings21</v>
      </c>
      <c r="AP363" s="38"/>
      <c r="AQ363" s="38">
        <f t="shared" si="78"/>
        <v>0</v>
      </c>
      <c r="AR363" s="38"/>
      <c r="AS363" s="38"/>
      <c r="AT363" s="38"/>
      <c r="AU363" s="38"/>
      <c r="AV363" s="38"/>
      <c r="AW363" s="38"/>
      <c r="AX363" s="38"/>
      <c r="AY363" s="38"/>
      <c r="AZ363" s="38"/>
      <c r="BA363" s="38"/>
      <c r="BB363" s="38"/>
      <c r="BC363" s="38"/>
      <c r="BD363" s="38"/>
      <c r="BE363" s="38"/>
      <c r="BF363" s="38"/>
      <c r="BG363" s="38"/>
      <c r="BH363" s="38"/>
      <c r="BI363" s="38"/>
      <c r="BJ363" s="38"/>
      <c r="BK363" s="38"/>
      <c r="BL363" s="38"/>
      <c r="BM363" s="38"/>
      <c r="BN363" s="38"/>
      <c r="BO363" s="38"/>
      <c r="BP363" s="38"/>
      <c r="BQ363" s="38"/>
      <c r="BR363" s="38"/>
      <c r="BS363" s="38"/>
      <c r="BT363" s="38"/>
      <c r="BU363" s="38"/>
      <c r="BV363" s="38"/>
      <c r="BW363" s="38"/>
      <c r="BX363" s="38"/>
      <c r="BY363" s="38"/>
      <c r="BZ363" s="38"/>
      <c r="CA363" s="38"/>
      <c r="CB363" s="38"/>
      <c r="CC363" s="38"/>
      <c r="CD363" s="38"/>
      <c r="CE363" s="38"/>
      <c r="CF363" s="38"/>
      <c r="CG363" s="38"/>
      <c r="CH363" s="38"/>
      <c r="CI363" s="38"/>
      <c r="CJ363" s="38"/>
      <c r="CK363" s="38"/>
      <c r="CL363" s="38"/>
      <c r="CM363" s="38"/>
      <c r="CN363" s="38"/>
      <c r="CO363" s="38"/>
      <c r="CP363" s="38"/>
      <c r="CQ363" s="38"/>
      <c r="CR363" s="38"/>
      <c r="CS363" s="38"/>
      <c r="CT363" s="38"/>
      <c r="CU363" s="38"/>
      <c r="CV363" s="38"/>
      <c r="CW363" s="38"/>
      <c r="CX363" s="38"/>
      <c r="CY363" s="38"/>
      <c r="CZ363" s="38"/>
    </row>
    <row r="364" spans="1:104" s="40" customFormat="1" ht="20.149999999999999" customHeight="1">
      <c r="A364" s="358">
        <f t="shared" si="87"/>
        <v>363</v>
      </c>
      <c r="B364" s="359" t="str">
        <f>'Front Sheet and Checklist'!$C$5</f>
        <v>Swansea Bay UHB</v>
      </c>
      <c r="C364" s="17"/>
      <c r="D364" s="17"/>
      <c r="E364" s="17"/>
      <c r="F364" s="17"/>
      <c r="G364" s="17"/>
      <c r="H364" s="17"/>
      <c r="I364" s="361">
        <f t="shared" si="77"/>
        <v>0</v>
      </c>
      <c r="J364" s="17"/>
      <c r="K364" s="18"/>
      <c r="L364" s="18"/>
      <c r="M364" s="17"/>
      <c r="N364" s="17"/>
      <c r="O364" s="17"/>
      <c r="P364" s="17"/>
      <c r="Q364" s="169"/>
      <c r="R364" s="24"/>
      <c r="S364" s="24"/>
      <c r="T364" s="24"/>
      <c r="U364" s="25"/>
      <c r="V364" s="25"/>
      <c r="W364" s="25"/>
      <c r="X364" s="24"/>
      <c r="Y364" s="24"/>
      <c r="Z364" s="24"/>
      <c r="AA364" s="24"/>
      <c r="AB364" s="24"/>
      <c r="AC364" s="24"/>
      <c r="AD364" s="361">
        <f t="shared" si="76"/>
        <v>0</v>
      </c>
      <c r="AE364" s="359" t="str">
        <f t="shared" si="79"/>
        <v/>
      </c>
      <c r="AF364" s="359" t="str">
        <f t="shared" si="88"/>
        <v/>
      </c>
      <c r="AG364" s="359" t="str">
        <f t="shared" si="80"/>
        <v/>
      </c>
      <c r="AH364" s="359" t="str">
        <f t="shared" si="81"/>
        <v/>
      </c>
      <c r="AI364" s="359" t="str">
        <f t="shared" si="82"/>
        <v/>
      </c>
      <c r="AJ364" s="359" t="str">
        <f t="shared" si="83"/>
        <v/>
      </c>
      <c r="AK364" s="359" t="str">
        <f t="shared" si="85"/>
        <v/>
      </c>
      <c r="AL364" s="359" t="str">
        <f t="shared" si="84"/>
        <v/>
      </c>
      <c r="AM364" s="359" t="str">
        <f t="shared" si="86"/>
        <v/>
      </c>
      <c r="AN364" s="262">
        <f t="shared" si="89"/>
        <v>0</v>
      </c>
      <c r="AO364" s="262" t="str">
        <f>IFERROR(HLOOKUP(AN364,'Ref Lists'!Q$1:AL$2,2,FALSE),'Ref Lists'!$AK$2)</f>
        <v>Savings21</v>
      </c>
      <c r="AP364" s="38"/>
      <c r="AQ364" s="38">
        <f t="shared" si="78"/>
        <v>0</v>
      </c>
      <c r="AR364" s="38"/>
      <c r="AS364" s="38"/>
      <c r="AT364" s="38"/>
      <c r="AU364" s="38"/>
      <c r="AV364" s="38"/>
      <c r="AW364" s="38"/>
      <c r="AX364" s="38"/>
      <c r="AY364" s="38"/>
      <c r="AZ364" s="38"/>
      <c r="BA364" s="38"/>
      <c r="BB364" s="38"/>
      <c r="BC364" s="38"/>
      <c r="BD364" s="38"/>
      <c r="BE364" s="38"/>
      <c r="BF364" s="38"/>
      <c r="BG364" s="38"/>
      <c r="BH364" s="38"/>
      <c r="BI364" s="38"/>
      <c r="BJ364" s="38"/>
      <c r="BK364" s="38"/>
      <c r="BL364" s="38"/>
      <c r="BM364" s="38"/>
      <c r="BN364" s="38"/>
      <c r="BO364" s="38"/>
      <c r="BP364" s="38"/>
      <c r="BQ364" s="38"/>
      <c r="BR364" s="38"/>
      <c r="BS364" s="38"/>
      <c r="BT364" s="38"/>
      <c r="BU364" s="38"/>
      <c r="BV364" s="38"/>
      <c r="BW364" s="38"/>
      <c r="BX364" s="38"/>
      <c r="BY364" s="38"/>
      <c r="BZ364" s="38"/>
      <c r="CA364" s="38"/>
      <c r="CB364" s="38"/>
      <c r="CC364" s="38"/>
      <c r="CD364" s="38"/>
      <c r="CE364" s="38"/>
      <c r="CF364" s="38"/>
      <c r="CG364" s="38"/>
      <c r="CH364" s="38"/>
      <c r="CI364" s="38"/>
      <c r="CJ364" s="38"/>
      <c r="CK364" s="38"/>
      <c r="CL364" s="38"/>
      <c r="CM364" s="38"/>
      <c r="CN364" s="38"/>
      <c r="CO364" s="38"/>
      <c r="CP364" s="38"/>
      <c r="CQ364" s="38"/>
      <c r="CR364" s="38"/>
      <c r="CS364" s="38"/>
      <c r="CT364" s="38"/>
      <c r="CU364" s="38"/>
      <c r="CV364" s="38"/>
      <c r="CW364" s="38"/>
      <c r="CX364" s="38"/>
      <c r="CY364" s="38"/>
      <c r="CZ364" s="38"/>
    </row>
    <row r="365" spans="1:104" s="40" customFormat="1" ht="20.149999999999999" customHeight="1">
      <c r="A365" s="358">
        <f t="shared" si="87"/>
        <v>364</v>
      </c>
      <c r="B365" s="359" t="str">
        <f>'Front Sheet and Checklist'!$C$5</f>
        <v>Swansea Bay UHB</v>
      </c>
      <c r="C365" s="17"/>
      <c r="D365" s="17"/>
      <c r="E365" s="17"/>
      <c r="F365" s="17"/>
      <c r="G365" s="17"/>
      <c r="H365" s="17"/>
      <c r="I365" s="361">
        <f t="shared" si="77"/>
        <v>0</v>
      </c>
      <c r="J365" s="17"/>
      <c r="K365" s="18"/>
      <c r="L365" s="18"/>
      <c r="M365" s="17"/>
      <c r="N365" s="17"/>
      <c r="O365" s="17"/>
      <c r="P365" s="17"/>
      <c r="Q365" s="169"/>
      <c r="R365" s="24"/>
      <c r="S365" s="24"/>
      <c r="T365" s="24"/>
      <c r="U365" s="25"/>
      <c r="V365" s="25"/>
      <c r="W365" s="25"/>
      <c r="X365" s="24"/>
      <c r="Y365" s="24"/>
      <c r="Z365" s="24"/>
      <c r="AA365" s="24"/>
      <c r="AB365" s="24"/>
      <c r="AC365" s="24"/>
      <c r="AD365" s="361">
        <f t="shared" si="76"/>
        <v>0</v>
      </c>
      <c r="AE365" s="359" t="str">
        <f t="shared" si="79"/>
        <v/>
      </c>
      <c r="AF365" s="359" t="str">
        <f t="shared" si="88"/>
        <v/>
      </c>
      <c r="AG365" s="359" t="str">
        <f t="shared" si="80"/>
        <v/>
      </c>
      <c r="AH365" s="359" t="str">
        <f t="shared" si="81"/>
        <v/>
      </c>
      <c r="AI365" s="359" t="str">
        <f t="shared" si="82"/>
        <v/>
      </c>
      <c r="AJ365" s="359" t="str">
        <f t="shared" si="83"/>
        <v/>
      </c>
      <c r="AK365" s="359" t="str">
        <f t="shared" si="85"/>
        <v/>
      </c>
      <c r="AL365" s="359" t="str">
        <f t="shared" si="84"/>
        <v/>
      </c>
      <c r="AM365" s="359" t="str">
        <f t="shared" si="86"/>
        <v/>
      </c>
      <c r="AN365" s="262">
        <f t="shared" si="89"/>
        <v>0</v>
      </c>
      <c r="AO365" s="262" t="str">
        <f>IFERROR(HLOOKUP(AN365,'Ref Lists'!Q$1:AL$2,2,FALSE),'Ref Lists'!$AK$2)</f>
        <v>Savings21</v>
      </c>
      <c r="AP365" s="38"/>
      <c r="AQ365" s="38">
        <f t="shared" si="78"/>
        <v>0</v>
      </c>
      <c r="AR365" s="38"/>
      <c r="AS365" s="38"/>
      <c r="AT365" s="38"/>
      <c r="AU365" s="38"/>
      <c r="AV365" s="38"/>
      <c r="AW365" s="38"/>
      <c r="AX365" s="38"/>
      <c r="AY365" s="38"/>
      <c r="AZ365" s="38"/>
      <c r="BA365" s="38"/>
      <c r="BB365" s="38"/>
      <c r="BC365" s="38"/>
      <c r="BD365" s="38"/>
      <c r="BE365" s="38"/>
      <c r="BF365" s="38"/>
      <c r="BG365" s="38"/>
      <c r="BH365" s="38"/>
      <c r="BI365" s="38"/>
      <c r="BJ365" s="38"/>
      <c r="BK365" s="38"/>
      <c r="BL365" s="38"/>
      <c r="BM365" s="38"/>
      <c r="BN365" s="38"/>
      <c r="BO365" s="38"/>
      <c r="BP365" s="38"/>
      <c r="BQ365" s="38"/>
      <c r="BR365" s="38"/>
      <c r="BS365" s="38"/>
      <c r="BT365" s="38"/>
      <c r="BU365" s="38"/>
      <c r="BV365" s="38"/>
      <c r="BW365" s="38"/>
      <c r="BX365" s="38"/>
      <c r="BY365" s="38"/>
      <c r="BZ365" s="38"/>
      <c r="CA365" s="38"/>
      <c r="CB365" s="38"/>
      <c r="CC365" s="38"/>
      <c r="CD365" s="38"/>
      <c r="CE365" s="38"/>
      <c r="CF365" s="38"/>
      <c r="CG365" s="38"/>
      <c r="CH365" s="38"/>
      <c r="CI365" s="38"/>
      <c r="CJ365" s="38"/>
      <c r="CK365" s="38"/>
      <c r="CL365" s="38"/>
      <c r="CM365" s="38"/>
      <c r="CN365" s="38"/>
      <c r="CO365" s="38"/>
      <c r="CP365" s="38"/>
      <c r="CQ365" s="38"/>
      <c r="CR365" s="38"/>
      <c r="CS365" s="38"/>
      <c r="CT365" s="38"/>
      <c r="CU365" s="38"/>
      <c r="CV365" s="38"/>
      <c r="CW365" s="38"/>
      <c r="CX365" s="38"/>
      <c r="CY365" s="38"/>
      <c r="CZ365" s="38"/>
    </row>
    <row r="366" spans="1:104" s="40" customFormat="1" ht="20.149999999999999" customHeight="1">
      <c r="A366" s="358">
        <f t="shared" si="87"/>
        <v>365</v>
      </c>
      <c r="B366" s="359" t="str">
        <f>'Front Sheet and Checklist'!$C$5</f>
        <v>Swansea Bay UHB</v>
      </c>
      <c r="C366" s="17"/>
      <c r="D366" s="17"/>
      <c r="E366" s="17"/>
      <c r="F366" s="17"/>
      <c r="G366" s="17"/>
      <c r="H366" s="17"/>
      <c r="I366" s="361">
        <f t="shared" si="77"/>
        <v>0</v>
      </c>
      <c r="J366" s="17"/>
      <c r="K366" s="18"/>
      <c r="L366" s="18"/>
      <c r="M366" s="17"/>
      <c r="N366" s="17"/>
      <c r="O366" s="17"/>
      <c r="P366" s="17"/>
      <c r="Q366" s="169"/>
      <c r="R366" s="24"/>
      <c r="S366" s="24"/>
      <c r="T366" s="24"/>
      <c r="U366" s="25"/>
      <c r="V366" s="25"/>
      <c r="W366" s="25"/>
      <c r="X366" s="24"/>
      <c r="Y366" s="24"/>
      <c r="Z366" s="24"/>
      <c r="AA366" s="24"/>
      <c r="AB366" s="24"/>
      <c r="AC366" s="24"/>
      <c r="AD366" s="361">
        <f t="shared" si="76"/>
        <v>0</v>
      </c>
      <c r="AE366" s="359" t="str">
        <f t="shared" si="79"/>
        <v/>
      </c>
      <c r="AF366" s="359" t="str">
        <f t="shared" si="88"/>
        <v/>
      </c>
      <c r="AG366" s="359" t="str">
        <f t="shared" si="80"/>
        <v/>
      </c>
      <c r="AH366" s="359" t="str">
        <f t="shared" si="81"/>
        <v/>
      </c>
      <c r="AI366" s="359" t="str">
        <f t="shared" si="82"/>
        <v/>
      </c>
      <c r="AJ366" s="359" t="str">
        <f t="shared" si="83"/>
        <v/>
      </c>
      <c r="AK366" s="359" t="str">
        <f t="shared" si="85"/>
        <v/>
      </c>
      <c r="AL366" s="359" t="str">
        <f t="shared" si="84"/>
        <v/>
      </c>
      <c r="AM366" s="359" t="str">
        <f t="shared" si="86"/>
        <v/>
      </c>
      <c r="AN366" s="262">
        <f t="shared" si="89"/>
        <v>0</v>
      </c>
      <c r="AO366" s="262" t="str">
        <f>IFERROR(HLOOKUP(AN366,'Ref Lists'!Q$1:AL$2,2,FALSE),'Ref Lists'!$AK$2)</f>
        <v>Savings21</v>
      </c>
      <c r="AP366" s="38"/>
      <c r="AQ366" s="38">
        <f t="shared" si="78"/>
        <v>0</v>
      </c>
      <c r="AR366" s="38"/>
      <c r="AS366" s="38"/>
      <c r="AT366" s="38"/>
      <c r="AU366" s="38"/>
      <c r="AV366" s="38"/>
      <c r="AW366" s="38"/>
      <c r="AX366" s="38"/>
      <c r="AY366" s="38"/>
      <c r="AZ366" s="38"/>
      <c r="BA366" s="38"/>
      <c r="BB366" s="38"/>
      <c r="BC366" s="38"/>
      <c r="BD366" s="38"/>
      <c r="BE366" s="38"/>
      <c r="BF366" s="38"/>
      <c r="BG366" s="38"/>
      <c r="BH366" s="38"/>
      <c r="BI366" s="38"/>
      <c r="BJ366" s="38"/>
      <c r="BK366" s="38"/>
      <c r="BL366" s="38"/>
      <c r="BM366" s="38"/>
      <c r="BN366" s="38"/>
      <c r="BO366" s="38"/>
      <c r="BP366" s="38"/>
      <c r="BQ366" s="38"/>
      <c r="BR366" s="38"/>
      <c r="BS366" s="38"/>
      <c r="BT366" s="38"/>
      <c r="BU366" s="38"/>
      <c r="BV366" s="38"/>
      <c r="BW366" s="38"/>
      <c r="BX366" s="38"/>
      <c r="BY366" s="38"/>
      <c r="BZ366" s="38"/>
      <c r="CA366" s="38"/>
      <c r="CB366" s="38"/>
      <c r="CC366" s="38"/>
      <c r="CD366" s="38"/>
      <c r="CE366" s="38"/>
      <c r="CF366" s="38"/>
      <c r="CG366" s="38"/>
      <c r="CH366" s="38"/>
      <c r="CI366" s="38"/>
      <c r="CJ366" s="38"/>
      <c r="CK366" s="38"/>
      <c r="CL366" s="38"/>
      <c r="CM366" s="38"/>
      <c r="CN366" s="38"/>
      <c r="CO366" s="38"/>
      <c r="CP366" s="38"/>
      <c r="CQ366" s="38"/>
      <c r="CR366" s="38"/>
      <c r="CS366" s="38"/>
      <c r="CT366" s="38"/>
      <c r="CU366" s="38"/>
      <c r="CV366" s="38"/>
      <c r="CW366" s="38"/>
      <c r="CX366" s="38"/>
      <c r="CY366" s="38"/>
      <c r="CZ366" s="38"/>
    </row>
    <row r="367" spans="1:104" s="40" customFormat="1" ht="20.149999999999999" customHeight="1">
      <c r="A367" s="358">
        <f t="shared" si="87"/>
        <v>366</v>
      </c>
      <c r="B367" s="359" t="str">
        <f>'Front Sheet and Checklist'!$C$5</f>
        <v>Swansea Bay UHB</v>
      </c>
      <c r="C367" s="17"/>
      <c r="D367" s="17"/>
      <c r="E367" s="17"/>
      <c r="F367" s="17"/>
      <c r="G367" s="17"/>
      <c r="H367" s="17"/>
      <c r="I367" s="361">
        <f t="shared" si="77"/>
        <v>0</v>
      </c>
      <c r="J367" s="17"/>
      <c r="K367" s="18"/>
      <c r="L367" s="18"/>
      <c r="M367" s="17"/>
      <c r="N367" s="17"/>
      <c r="O367" s="17"/>
      <c r="P367" s="17"/>
      <c r="Q367" s="169"/>
      <c r="R367" s="24"/>
      <c r="S367" s="24"/>
      <c r="T367" s="24"/>
      <c r="U367" s="25"/>
      <c r="V367" s="25"/>
      <c r="W367" s="25"/>
      <c r="X367" s="24"/>
      <c r="Y367" s="24"/>
      <c r="Z367" s="24"/>
      <c r="AA367" s="24"/>
      <c r="AB367" s="24"/>
      <c r="AC367" s="24"/>
      <c r="AD367" s="361">
        <f t="shared" si="76"/>
        <v>0</v>
      </c>
      <c r="AE367" s="359" t="str">
        <f t="shared" si="79"/>
        <v/>
      </c>
      <c r="AF367" s="359" t="str">
        <f t="shared" si="88"/>
        <v/>
      </c>
      <c r="AG367" s="359" t="str">
        <f t="shared" si="80"/>
        <v/>
      </c>
      <c r="AH367" s="359" t="str">
        <f t="shared" si="81"/>
        <v/>
      </c>
      <c r="AI367" s="359" t="str">
        <f t="shared" si="82"/>
        <v/>
      </c>
      <c r="AJ367" s="359" t="str">
        <f t="shared" si="83"/>
        <v/>
      </c>
      <c r="AK367" s="359" t="str">
        <f t="shared" si="85"/>
        <v/>
      </c>
      <c r="AL367" s="359" t="str">
        <f t="shared" si="84"/>
        <v/>
      </c>
      <c r="AM367" s="359" t="str">
        <f t="shared" si="86"/>
        <v/>
      </c>
      <c r="AN367" s="262">
        <f t="shared" si="89"/>
        <v>0</v>
      </c>
      <c r="AO367" s="262" t="str">
        <f>IFERROR(HLOOKUP(AN367,'Ref Lists'!Q$1:AL$2,2,FALSE),'Ref Lists'!$AK$2)</f>
        <v>Savings21</v>
      </c>
      <c r="AP367" s="38"/>
      <c r="AQ367" s="38">
        <f t="shared" si="78"/>
        <v>0</v>
      </c>
      <c r="AR367" s="38"/>
      <c r="AS367" s="38"/>
      <c r="AT367" s="38"/>
      <c r="AU367" s="38"/>
      <c r="AV367" s="38"/>
      <c r="AW367" s="38"/>
      <c r="AX367" s="38"/>
      <c r="AY367" s="38"/>
      <c r="AZ367" s="38"/>
      <c r="BA367" s="38"/>
      <c r="BB367" s="38"/>
      <c r="BC367" s="38"/>
      <c r="BD367" s="38"/>
      <c r="BE367" s="38"/>
      <c r="BF367" s="38"/>
      <c r="BG367" s="38"/>
      <c r="BH367" s="38"/>
      <c r="BI367" s="38"/>
      <c r="BJ367" s="38"/>
      <c r="BK367" s="38"/>
      <c r="BL367" s="38"/>
      <c r="BM367" s="38"/>
      <c r="BN367" s="38"/>
      <c r="BO367" s="38"/>
      <c r="BP367" s="38"/>
      <c r="BQ367" s="38"/>
      <c r="BR367" s="38"/>
      <c r="BS367" s="38"/>
      <c r="BT367" s="38"/>
      <c r="BU367" s="38"/>
      <c r="BV367" s="38"/>
      <c r="BW367" s="38"/>
      <c r="BX367" s="38"/>
      <c r="BY367" s="38"/>
      <c r="BZ367" s="38"/>
      <c r="CA367" s="38"/>
      <c r="CB367" s="38"/>
      <c r="CC367" s="38"/>
      <c r="CD367" s="38"/>
      <c r="CE367" s="38"/>
      <c r="CF367" s="38"/>
      <c r="CG367" s="38"/>
      <c r="CH367" s="38"/>
      <c r="CI367" s="38"/>
      <c r="CJ367" s="38"/>
      <c r="CK367" s="38"/>
      <c r="CL367" s="38"/>
      <c r="CM367" s="38"/>
      <c r="CN367" s="38"/>
      <c r="CO367" s="38"/>
      <c r="CP367" s="38"/>
      <c r="CQ367" s="38"/>
      <c r="CR367" s="38"/>
      <c r="CS367" s="38"/>
      <c r="CT367" s="38"/>
      <c r="CU367" s="38"/>
      <c r="CV367" s="38"/>
      <c r="CW367" s="38"/>
      <c r="CX367" s="38"/>
      <c r="CY367" s="38"/>
      <c r="CZ367" s="38"/>
    </row>
    <row r="368" spans="1:104" s="40" customFormat="1" ht="20.149999999999999" customHeight="1">
      <c r="A368" s="358">
        <f t="shared" si="87"/>
        <v>367</v>
      </c>
      <c r="B368" s="359" t="str">
        <f>'Front Sheet and Checklist'!$C$5</f>
        <v>Swansea Bay UHB</v>
      </c>
      <c r="C368" s="17"/>
      <c r="D368" s="17"/>
      <c r="E368" s="17"/>
      <c r="F368" s="17"/>
      <c r="G368" s="17"/>
      <c r="H368" s="17"/>
      <c r="I368" s="361">
        <f t="shared" si="77"/>
        <v>0</v>
      </c>
      <c r="J368" s="17"/>
      <c r="K368" s="18"/>
      <c r="L368" s="18"/>
      <c r="M368" s="17"/>
      <c r="N368" s="17"/>
      <c r="O368" s="17"/>
      <c r="P368" s="17"/>
      <c r="Q368" s="169"/>
      <c r="R368" s="24"/>
      <c r="S368" s="24"/>
      <c r="T368" s="24"/>
      <c r="U368" s="25"/>
      <c r="V368" s="25"/>
      <c r="W368" s="25"/>
      <c r="X368" s="24"/>
      <c r="Y368" s="24"/>
      <c r="Z368" s="24"/>
      <c r="AA368" s="24"/>
      <c r="AB368" s="24"/>
      <c r="AC368" s="24"/>
      <c r="AD368" s="361">
        <f t="shared" si="76"/>
        <v>0</v>
      </c>
      <c r="AE368" s="359" t="str">
        <f t="shared" si="79"/>
        <v/>
      </c>
      <c r="AF368" s="359" t="str">
        <f t="shared" si="88"/>
        <v/>
      </c>
      <c r="AG368" s="359" t="str">
        <f t="shared" si="80"/>
        <v/>
      </c>
      <c r="AH368" s="359" t="str">
        <f t="shared" si="81"/>
        <v/>
      </c>
      <c r="AI368" s="359" t="str">
        <f t="shared" si="82"/>
        <v/>
      </c>
      <c r="AJ368" s="359" t="str">
        <f t="shared" si="83"/>
        <v/>
      </c>
      <c r="AK368" s="359" t="str">
        <f t="shared" si="85"/>
        <v/>
      </c>
      <c r="AL368" s="359" t="str">
        <f t="shared" si="84"/>
        <v/>
      </c>
      <c r="AM368" s="359" t="str">
        <f t="shared" si="86"/>
        <v/>
      </c>
      <c r="AN368" s="262">
        <f t="shared" si="89"/>
        <v>0</v>
      </c>
      <c r="AO368" s="262" t="str">
        <f>IFERROR(HLOOKUP(AN368,'Ref Lists'!Q$1:AL$2,2,FALSE),'Ref Lists'!$AK$2)</f>
        <v>Savings21</v>
      </c>
      <c r="AP368" s="38"/>
      <c r="AQ368" s="38">
        <f t="shared" si="78"/>
        <v>0</v>
      </c>
      <c r="AR368" s="38"/>
      <c r="AS368" s="38"/>
      <c r="AT368" s="38"/>
      <c r="AU368" s="38"/>
      <c r="AV368" s="38"/>
      <c r="AW368" s="38"/>
      <c r="AX368" s="38"/>
      <c r="AY368" s="38"/>
      <c r="AZ368" s="38"/>
      <c r="BA368" s="38"/>
      <c r="BB368" s="38"/>
      <c r="BC368" s="38"/>
      <c r="BD368" s="38"/>
      <c r="BE368" s="38"/>
      <c r="BF368" s="38"/>
      <c r="BG368" s="38"/>
      <c r="BH368" s="38"/>
      <c r="BI368" s="38"/>
      <c r="BJ368" s="38"/>
      <c r="BK368" s="38"/>
      <c r="BL368" s="38"/>
      <c r="BM368" s="38"/>
      <c r="BN368" s="38"/>
      <c r="BO368" s="38"/>
      <c r="BP368" s="38"/>
      <c r="BQ368" s="38"/>
      <c r="BR368" s="38"/>
      <c r="BS368" s="38"/>
      <c r="BT368" s="38"/>
      <c r="BU368" s="38"/>
      <c r="BV368" s="38"/>
      <c r="BW368" s="38"/>
      <c r="BX368" s="38"/>
      <c r="BY368" s="38"/>
      <c r="BZ368" s="38"/>
      <c r="CA368" s="38"/>
      <c r="CB368" s="38"/>
      <c r="CC368" s="38"/>
      <c r="CD368" s="38"/>
      <c r="CE368" s="38"/>
      <c r="CF368" s="38"/>
      <c r="CG368" s="38"/>
      <c r="CH368" s="38"/>
      <c r="CI368" s="38"/>
      <c r="CJ368" s="38"/>
      <c r="CK368" s="38"/>
      <c r="CL368" s="38"/>
      <c r="CM368" s="38"/>
      <c r="CN368" s="38"/>
      <c r="CO368" s="38"/>
      <c r="CP368" s="38"/>
      <c r="CQ368" s="38"/>
      <c r="CR368" s="38"/>
      <c r="CS368" s="38"/>
      <c r="CT368" s="38"/>
      <c r="CU368" s="38"/>
      <c r="CV368" s="38"/>
      <c r="CW368" s="38"/>
      <c r="CX368" s="38"/>
      <c r="CY368" s="38"/>
      <c r="CZ368" s="38"/>
    </row>
    <row r="369" spans="1:104" s="40" customFormat="1" ht="20.149999999999999" customHeight="1">
      <c r="A369" s="358">
        <f t="shared" si="87"/>
        <v>368</v>
      </c>
      <c r="B369" s="359" t="str">
        <f>'Front Sheet and Checklist'!$C$5</f>
        <v>Swansea Bay UHB</v>
      </c>
      <c r="C369" s="17"/>
      <c r="D369" s="17"/>
      <c r="E369" s="17"/>
      <c r="F369" s="17"/>
      <c r="G369" s="17"/>
      <c r="H369" s="17"/>
      <c r="I369" s="361">
        <f t="shared" si="77"/>
        <v>0</v>
      </c>
      <c r="J369" s="17"/>
      <c r="K369" s="18"/>
      <c r="L369" s="18"/>
      <c r="M369" s="17"/>
      <c r="N369" s="17"/>
      <c r="O369" s="17"/>
      <c r="P369" s="17"/>
      <c r="Q369" s="169"/>
      <c r="R369" s="24"/>
      <c r="S369" s="24"/>
      <c r="T369" s="24"/>
      <c r="U369" s="25"/>
      <c r="V369" s="25"/>
      <c r="W369" s="25"/>
      <c r="X369" s="24"/>
      <c r="Y369" s="24"/>
      <c r="Z369" s="24"/>
      <c r="AA369" s="24"/>
      <c r="AB369" s="24"/>
      <c r="AC369" s="24"/>
      <c r="AD369" s="361">
        <f t="shared" si="76"/>
        <v>0</v>
      </c>
      <c r="AE369" s="359" t="str">
        <f t="shared" si="79"/>
        <v/>
      </c>
      <c r="AF369" s="359" t="str">
        <f t="shared" si="88"/>
        <v/>
      </c>
      <c r="AG369" s="359" t="str">
        <f t="shared" si="80"/>
        <v/>
      </c>
      <c r="AH369" s="359" t="str">
        <f t="shared" si="81"/>
        <v/>
      </c>
      <c r="AI369" s="359" t="str">
        <f t="shared" si="82"/>
        <v/>
      </c>
      <c r="AJ369" s="359" t="str">
        <f t="shared" si="83"/>
        <v/>
      </c>
      <c r="AK369" s="359" t="str">
        <f t="shared" si="85"/>
        <v/>
      </c>
      <c r="AL369" s="359" t="str">
        <f t="shared" si="84"/>
        <v/>
      </c>
      <c r="AM369" s="359" t="str">
        <f t="shared" si="86"/>
        <v/>
      </c>
      <c r="AN369" s="262">
        <f t="shared" si="89"/>
        <v>0</v>
      </c>
      <c r="AO369" s="262" t="str">
        <f>IFERROR(HLOOKUP(AN369,'Ref Lists'!Q$1:AL$2,2,FALSE),'Ref Lists'!$AK$2)</f>
        <v>Savings21</v>
      </c>
      <c r="AP369" s="38"/>
      <c r="AQ369" s="38">
        <f t="shared" si="78"/>
        <v>0</v>
      </c>
      <c r="AR369" s="38"/>
      <c r="AS369" s="38"/>
      <c r="AT369" s="38"/>
      <c r="AU369" s="38"/>
      <c r="AV369" s="38"/>
      <c r="AW369" s="38"/>
      <c r="AX369" s="38"/>
      <c r="AY369" s="38"/>
      <c r="AZ369" s="38"/>
      <c r="BA369" s="38"/>
      <c r="BB369" s="38"/>
      <c r="BC369" s="38"/>
      <c r="BD369" s="38"/>
      <c r="BE369" s="38"/>
      <c r="BF369" s="38"/>
      <c r="BG369" s="38"/>
      <c r="BH369" s="38"/>
      <c r="BI369" s="38"/>
      <c r="BJ369" s="38"/>
      <c r="BK369" s="38"/>
      <c r="BL369" s="38"/>
      <c r="BM369" s="38"/>
      <c r="BN369" s="38"/>
      <c r="BO369" s="38"/>
      <c r="BP369" s="38"/>
      <c r="BQ369" s="38"/>
      <c r="BR369" s="38"/>
      <c r="BS369" s="38"/>
      <c r="BT369" s="38"/>
      <c r="BU369" s="38"/>
      <c r="BV369" s="38"/>
      <c r="BW369" s="38"/>
      <c r="BX369" s="38"/>
      <c r="BY369" s="38"/>
      <c r="BZ369" s="38"/>
      <c r="CA369" s="38"/>
      <c r="CB369" s="38"/>
      <c r="CC369" s="38"/>
      <c r="CD369" s="38"/>
      <c r="CE369" s="38"/>
      <c r="CF369" s="38"/>
      <c r="CG369" s="38"/>
      <c r="CH369" s="38"/>
      <c r="CI369" s="38"/>
      <c r="CJ369" s="38"/>
      <c r="CK369" s="38"/>
      <c r="CL369" s="38"/>
      <c r="CM369" s="38"/>
      <c r="CN369" s="38"/>
      <c r="CO369" s="38"/>
      <c r="CP369" s="38"/>
      <c r="CQ369" s="38"/>
      <c r="CR369" s="38"/>
      <c r="CS369" s="38"/>
      <c r="CT369" s="38"/>
      <c r="CU369" s="38"/>
      <c r="CV369" s="38"/>
      <c r="CW369" s="38"/>
      <c r="CX369" s="38"/>
      <c r="CY369" s="38"/>
      <c r="CZ369" s="38"/>
    </row>
    <row r="370" spans="1:104" s="40" customFormat="1" ht="20.149999999999999" customHeight="1">
      <c r="A370" s="358">
        <f t="shared" si="87"/>
        <v>369</v>
      </c>
      <c r="B370" s="359" t="str">
        <f>'Front Sheet and Checklist'!$C$5</f>
        <v>Swansea Bay UHB</v>
      </c>
      <c r="C370" s="17"/>
      <c r="D370" s="17"/>
      <c r="E370" s="17"/>
      <c r="F370" s="17"/>
      <c r="G370" s="17"/>
      <c r="H370" s="17"/>
      <c r="I370" s="361">
        <f t="shared" si="77"/>
        <v>0</v>
      </c>
      <c r="J370" s="17"/>
      <c r="K370" s="18"/>
      <c r="L370" s="18"/>
      <c r="M370" s="17"/>
      <c r="N370" s="17"/>
      <c r="O370" s="17"/>
      <c r="P370" s="17"/>
      <c r="Q370" s="169"/>
      <c r="R370" s="24"/>
      <c r="S370" s="24"/>
      <c r="T370" s="24"/>
      <c r="U370" s="25"/>
      <c r="V370" s="25"/>
      <c r="W370" s="25"/>
      <c r="X370" s="24"/>
      <c r="Y370" s="24"/>
      <c r="Z370" s="24"/>
      <c r="AA370" s="24"/>
      <c r="AB370" s="24"/>
      <c r="AC370" s="24"/>
      <c r="AD370" s="361">
        <f t="shared" si="76"/>
        <v>0</v>
      </c>
      <c r="AE370" s="359" t="str">
        <f t="shared" si="79"/>
        <v/>
      </c>
      <c r="AF370" s="359" t="str">
        <f t="shared" si="88"/>
        <v/>
      </c>
      <c r="AG370" s="359" t="str">
        <f t="shared" si="80"/>
        <v/>
      </c>
      <c r="AH370" s="359" t="str">
        <f t="shared" si="81"/>
        <v/>
      </c>
      <c r="AI370" s="359" t="str">
        <f t="shared" si="82"/>
        <v/>
      </c>
      <c r="AJ370" s="359" t="str">
        <f t="shared" si="83"/>
        <v/>
      </c>
      <c r="AK370" s="359" t="str">
        <f t="shared" si="85"/>
        <v/>
      </c>
      <c r="AL370" s="359" t="str">
        <f t="shared" si="84"/>
        <v/>
      </c>
      <c r="AM370" s="359" t="str">
        <f t="shared" si="86"/>
        <v/>
      </c>
      <c r="AN370" s="262">
        <f t="shared" si="89"/>
        <v>0</v>
      </c>
      <c r="AO370" s="262" t="str">
        <f>IFERROR(HLOOKUP(AN370,'Ref Lists'!Q$1:AL$2,2,FALSE),'Ref Lists'!$AK$2)</f>
        <v>Savings21</v>
      </c>
      <c r="AP370" s="38"/>
      <c r="AQ370" s="38">
        <f t="shared" si="78"/>
        <v>0</v>
      </c>
      <c r="AR370" s="38"/>
      <c r="AS370" s="38"/>
      <c r="AT370" s="38"/>
      <c r="AU370" s="38"/>
      <c r="AV370" s="38"/>
      <c r="AW370" s="38"/>
      <c r="AX370" s="38"/>
      <c r="AY370" s="38"/>
      <c r="AZ370" s="38"/>
      <c r="BA370" s="38"/>
      <c r="BB370" s="38"/>
      <c r="BC370" s="38"/>
      <c r="BD370" s="38"/>
      <c r="BE370" s="38"/>
      <c r="BF370" s="38"/>
      <c r="BG370" s="38"/>
      <c r="BH370" s="38"/>
      <c r="BI370" s="38"/>
      <c r="BJ370" s="38"/>
      <c r="BK370" s="38"/>
      <c r="BL370" s="38"/>
      <c r="BM370" s="38"/>
      <c r="BN370" s="38"/>
      <c r="BO370" s="38"/>
      <c r="BP370" s="38"/>
      <c r="BQ370" s="38"/>
      <c r="BR370" s="38"/>
      <c r="BS370" s="38"/>
      <c r="BT370" s="38"/>
      <c r="BU370" s="38"/>
      <c r="BV370" s="38"/>
      <c r="BW370" s="38"/>
      <c r="BX370" s="38"/>
      <c r="BY370" s="38"/>
      <c r="BZ370" s="38"/>
      <c r="CA370" s="38"/>
      <c r="CB370" s="38"/>
      <c r="CC370" s="38"/>
      <c r="CD370" s="38"/>
      <c r="CE370" s="38"/>
      <c r="CF370" s="38"/>
      <c r="CG370" s="38"/>
      <c r="CH370" s="38"/>
      <c r="CI370" s="38"/>
      <c r="CJ370" s="38"/>
      <c r="CK370" s="38"/>
      <c r="CL370" s="38"/>
      <c r="CM370" s="38"/>
      <c r="CN370" s="38"/>
      <c r="CO370" s="38"/>
      <c r="CP370" s="38"/>
      <c r="CQ370" s="38"/>
      <c r="CR370" s="38"/>
      <c r="CS370" s="38"/>
      <c r="CT370" s="38"/>
      <c r="CU370" s="38"/>
      <c r="CV370" s="38"/>
      <c r="CW370" s="38"/>
      <c r="CX370" s="38"/>
      <c r="CY370" s="38"/>
      <c r="CZ370" s="38"/>
    </row>
    <row r="371" spans="1:104" s="40" customFormat="1" ht="20.149999999999999" customHeight="1">
      <c r="A371" s="358">
        <f t="shared" si="87"/>
        <v>370</v>
      </c>
      <c r="B371" s="359" t="str">
        <f>'Front Sheet and Checklist'!$C$5</f>
        <v>Swansea Bay UHB</v>
      </c>
      <c r="C371" s="17"/>
      <c r="D371" s="17"/>
      <c r="E371" s="17"/>
      <c r="F371" s="17"/>
      <c r="G371" s="17"/>
      <c r="H371" s="17"/>
      <c r="I371" s="361">
        <f t="shared" si="77"/>
        <v>0</v>
      </c>
      <c r="J371" s="17"/>
      <c r="K371" s="18"/>
      <c r="L371" s="18"/>
      <c r="M371" s="17"/>
      <c r="N371" s="17"/>
      <c r="O371" s="17"/>
      <c r="P371" s="17"/>
      <c r="Q371" s="169"/>
      <c r="R371" s="24"/>
      <c r="S371" s="24"/>
      <c r="T371" s="24"/>
      <c r="U371" s="25"/>
      <c r="V371" s="25"/>
      <c r="W371" s="25"/>
      <c r="X371" s="24"/>
      <c r="Y371" s="24"/>
      <c r="Z371" s="24"/>
      <c r="AA371" s="24"/>
      <c r="AB371" s="24"/>
      <c r="AC371" s="24"/>
      <c r="AD371" s="361">
        <f t="shared" si="76"/>
        <v>0</v>
      </c>
      <c r="AE371" s="359" t="str">
        <f t="shared" si="79"/>
        <v/>
      </c>
      <c r="AF371" s="359" t="str">
        <f t="shared" si="88"/>
        <v/>
      </c>
      <c r="AG371" s="359" t="str">
        <f t="shared" si="80"/>
        <v/>
      </c>
      <c r="AH371" s="359" t="str">
        <f t="shared" si="81"/>
        <v/>
      </c>
      <c r="AI371" s="359" t="str">
        <f t="shared" si="82"/>
        <v/>
      </c>
      <c r="AJ371" s="359" t="str">
        <f t="shared" si="83"/>
        <v/>
      </c>
      <c r="AK371" s="359" t="str">
        <f t="shared" si="85"/>
        <v/>
      </c>
      <c r="AL371" s="359" t="str">
        <f t="shared" si="84"/>
        <v/>
      </c>
      <c r="AM371" s="359" t="str">
        <f t="shared" si="86"/>
        <v/>
      </c>
      <c r="AN371" s="262">
        <f t="shared" si="89"/>
        <v>0</v>
      </c>
      <c r="AO371" s="262" t="str">
        <f>IFERROR(HLOOKUP(AN371,'Ref Lists'!Q$1:AL$2,2,FALSE),'Ref Lists'!$AK$2)</f>
        <v>Savings21</v>
      </c>
      <c r="AP371" s="38"/>
      <c r="AQ371" s="38">
        <f t="shared" si="78"/>
        <v>0</v>
      </c>
      <c r="AR371" s="38"/>
      <c r="AS371" s="38"/>
      <c r="AT371" s="38"/>
      <c r="AU371" s="38"/>
      <c r="AV371" s="38"/>
      <c r="AW371" s="38"/>
      <c r="AX371" s="38"/>
      <c r="AY371" s="38"/>
      <c r="AZ371" s="38"/>
      <c r="BA371" s="38"/>
      <c r="BB371" s="38"/>
      <c r="BC371" s="38"/>
      <c r="BD371" s="38"/>
      <c r="BE371" s="38"/>
      <c r="BF371" s="38"/>
      <c r="BG371" s="38"/>
      <c r="BH371" s="38"/>
      <c r="BI371" s="38"/>
      <c r="BJ371" s="38"/>
      <c r="BK371" s="38"/>
      <c r="BL371" s="38"/>
      <c r="BM371" s="38"/>
      <c r="BN371" s="38"/>
      <c r="BO371" s="38"/>
      <c r="BP371" s="38"/>
      <c r="BQ371" s="38"/>
      <c r="BR371" s="38"/>
      <c r="BS371" s="38"/>
      <c r="BT371" s="38"/>
      <c r="BU371" s="38"/>
      <c r="BV371" s="38"/>
      <c r="BW371" s="38"/>
      <c r="BX371" s="38"/>
      <c r="BY371" s="38"/>
      <c r="BZ371" s="38"/>
      <c r="CA371" s="38"/>
      <c r="CB371" s="38"/>
      <c r="CC371" s="38"/>
      <c r="CD371" s="38"/>
      <c r="CE371" s="38"/>
      <c r="CF371" s="38"/>
      <c r="CG371" s="38"/>
      <c r="CH371" s="38"/>
      <c r="CI371" s="38"/>
      <c r="CJ371" s="38"/>
      <c r="CK371" s="38"/>
      <c r="CL371" s="38"/>
      <c r="CM371" s="38"/>
      <c r="CN371" s="38"/>
      <c r="CO371" s="38"/>
      <c r="CP371" s="38"/>
      <c r="CQ371" s="38"/>
      <c r="CR371" s="38"/>
      <c r="CS371" s="38"/>
      <c r="CT371" s="38"/>
      <c r="CU371" s="38"/>
      <c r="CV371" s="38"/>
      <c r="CW371" s="38"/>
      <c r="CX371" s="38"/>
      <c r="CY371" s="38"/>
      <c r="CZ371" s="38"/>
    </row>
    <row r="372" spans="1:104" s="40" customFormat="1" ht="20.149999999999999" customHeight="1">
      <c r="A372" s="358">
        <f t="shared" si="87"/>
        <v>371</v>
      </c>
      <c r="B372" s="359" t="str">
        <f>'Front Sheet and Checklist'!$C$5</f>
        <v>Swansea Bay UHB</v>
      </c>
      <c r="C372" s="17"/>
      <c r="D372" s="17"/>
      <c r="E372" s="17"/>
      <c r="F372" s="17"/>
      <c r="G372" s="17"/>
      <c r="H372" s="17"/>
      <c r="I372" s="361">
        <f t="shared" si="77"/>
        <v>0</v>
      </c>
      <c r="J372" s="17"/>
      <c r="K372" s="18"/>
      <c r="L372" s="18"/>
      <c r="M372" s="17"/>
      <c r="N372" s="17"/>
      <c r="O372" s="17"/>
      <c r="P372" s="17"/>
      <c r="Q372" s="169"/>
      <c r="R372" s="24"/>
      <c r="S372" s="24"/>
      <c r="T372" s="24"/>
      <c r="U372" s="25"/>
      <c r="V372" s="25"/>
      <c r="W372" s="25"/>
      <c r="X372" s="24"/>
      <c r="Y372" s="24"/>
      <c r="Z372" s="24"/>
      <c r="AA372" s="24"/>
      <c r="AB372" s="24"/>
      <c r="AC372" s="24"/>
      <c r="AD372" s="361">
        <f t="shared" si="76"/>
        <v>0</v>
      </c>
      <c r="AE372" s="359" t="str">
        <f t="shared" si="79"/>
        <v/>
      </c>
      <c r="AF372" s="359" t="str">
        <f t="shared" si="88"/>
        <v/>
      </c>
      <c r="AG372" s="359" t="str">
        <f t="shared" si="80"/>
        <v/>
      </c>
      <c r="AH372" s="359" t="str">
        <f t="shared" si="81"/>
        <v/>
      </c>
      <c r="AI372" s="359" t="str">
        <f t="shared" si="82"/>
        <v/>
      </c>
      <c r="AJ372" s="359" t="str">
        <f t="shared" si="83"/>
        <v/>
      </c>
      <c r="AK372" s="359" t="str">
        <f t="shared" si="85"/>
        <v/>
      </c>
      <c r="AL372" s="359" t="str">
        <f t="shared" si="84"/>
        <v/>
      </c>
      <c r="AM372" s="359" t="str">
        <f t="shared" si="86"/>
        <v/>
      </c>
      <c r="AN372" s="262">
        <f t="shared" si="89"/>
        <v>0</v>
      </c>
      <c r="AO372" s="262" t="str">
        <f>IFERROR(HLOOKUP(AN372,'Ref Lists'!Q$1:AL$2,2,FALSE),'Ref Lists'!$AK$2)</f>
        <v>Savings21</v>
      </c>
      <c r="AP372" s="38"/>
      <c r="AQ372" s="38">
        <f t="shared" si="78"/>
        <v>0</v>
      </c>
      <c r="AR372" s="38"/>
      <c r="AS372" s="38"/>
      <c r="AT372" s="38"/>
      <c r="AU372" s="38"/>
      <c r="AV372" s="38"/>
      <c r="AW372" s="38"/>
      <c r="AX372" s="38"/>
      <c r="AY372" s="38"/>
      <c r="AZ372" s="38"/>
      <c r="BA372" s="38"/>
      <c r="BB372" s="38"/>
      <c r="BC372" s="38"/>
      <c r="BD372" s="38"/>
      <c r="BE372" s="38"/>
      <c r="BF372" s="38"/>
      <c r="BG372" s="38"/>
      <c r="BH372" s="38"/>
      <c r="BI372" s="38"/>
      <c r="BJ372" s="38"/>
      <c r="BK372" s="38"/>
      <c r="BL372" s="38"/>
      <c r="BM372" s="38"/>
      <c r="BN372" s="38"/>
      <c r="BO372" s="38"/>
      <c r="BP372" s="38"/>
      <c r="BQ372" s="38"/>
      <c r="BR372" s="38"/>
      <c r="BS372" s="38"/>
      <c r="BT372" s="38"/>
      <c r="BU372" s="38"/>
      <c r="BV372" s="38"/>
      <c r="BW372" s="38"/>
      <c r="BX372" s="38"/>
      <c r="BY372" s="38"/>
      <c r="BZ372" s="38"/>
      <c r="CA372" s="38"/>
      <c r="CB372" s="38"/>
      <c r="CC372" s="38"/>
      <c r="CD372" s="38"/>
      <c r="CE372" s="38"/>
      <c r="CF372" s="38"/>
      <c r="CG372" s="38"/>
      <c r="CH372" s="38"/>
      <c r="CI372" s="38"/>
      <c r="CJ372" s="38"/>
      <c r="CK372" s="38"/>
      <c r="CL372" s="38"/>
      <c r="CM372" s="38"/>
      <c r="CN372" s="38"/>
      <c r="CO372" s="38"/>
      <c r="CP372" s="38"/>
      <c r="CQ372" s="38"/>
      <c r="CR372" s="38"/>
      <c r="CS372" s="38"/>
      <c r="CT372" s="38"/>
      <c r="CU372" s="38"/>
      <c r="CV372" s="38"/>
      <c r="CW372" s="38"/>
      <c r="CX372" s="38"/>
      <c r="CY372" s="38"/>
      <c r="CZ372" s="38"/>
    </row>
    <row r="373" spans="1:104" s="40" customFormat="1" ht="20.149999999999999" customHeight="1">
      <c r="A373" s="358">
        <f t="shared" si="87"/>
        <v>372</v>
      </c>
      <c r="B373" s="359" t="str">
        <f>'Front Sheet and Checklist'!$C$5</f>
        <v>Swansea Bay UHB</v>
      </c>
      <c r="C373" s="17"/>
      <c r="D373" s="17"/>
      <c r="E373" s="17"/>
      <c r="F373" s="17"/>
      <c r="G373" s="17"/>
      <c r="H373" s="17"/>
      <c r="I373" s="361">
        <f t="shared" si="77"/>
        <v>0</v>
      </c>
      <c r="J373" s="17"/>
      <c r="K373" s="18"/>
      <c r="L373" s="18"/>
      <c r="M373" s="17"/>
      <c r="N373" s="17"/>
      <c r="O373" s="17"/>
      <c r="P373" s="17"/>
      <c r="Q373" s="169"/>
      <c r="R373" s="24"/>
      <c r="S373" s="24"/>
      <c r="T373" s="24"/>
      <c r="U373" s="25"/>
      <c r="V373" s="25"/>
      <c r="W373" s="25"/>
      <c r="X373" s="24"/>
      <c r="Y373" s="24"/>
      <c r="Z373" s="24"/>
      <c r="AA373" s="24"/>
      <c r="AB373" s="24"/>
      <c r="AC373" s="24"/>
      <c r="AD373" s="361">
        <f t="shared" si="76"/>
        <v>0</v>
      </c>
      <c r="AE373" s="359" t="str">
        <f t="shared" si="79"/>
        <v/>
      </c>
      <c r="AF373" s="359" t="str">
        <f t="shared" si="88"/>
        <v/>
      </c>
      <c r="AG373" s="359" t="str">
        <f t="shared" si="80"/>
        <v/>
      </c>
      <c r="AH373" s="359" t="str">
        <f t="shared" si="81"/>
        <v/>
      </c>
      <c r="AI373" s="359" t="str">
        <f t="shared" si="82"/>
        <v/>
      </c>
      <c r="AJ373" s="359" t="str">
        <f t="shared" si="83"/>
        <v/>
      </c>
      <c r="AK373" s="359" t="str">
        <f t="shared" si="85"/>
        <v/>
      </c>
      <c r="AL373" s="359" t="str">
        <f t="shared" si="84"/>
        <v/>
      </c>
      <c r="AM373" s="359" t="str">
        <f t="shared" si="86"/>
        <v/>
      </c>
      <c r="AN373" s="262">
        <f t="shared" si="89"/>
        <v>0</v>
      </c>
      <c r="AO373" s="262" t="str">
        <f>IFERROR(HLOOKUP(AN373,'Ref Lists'!Q$1:AL$2,2,FALSE),'Ref Lists'!$AK$2)</f>
        <v>Savings21</v>
      </c>
      <c r="AP373" s="38"/>
      <c r="AQ373" s="38">
        <f t="shared" si="78"/>
        <v>0</v>
      </c>
      <c r="AR373" s="38"/>
      <c r="AS373" s="38"/>
      <c r="AT373" s="38"/>
      <c r="AU373" s="38"/>
      <c r="AV373" s="38"/>
      <c r="AW373" s="38"/>
      <c r="AX373" s="38"/>
      <c r="AY373" s="38"/>
      <c r="AZ373" s="38"/>
      <c r="BA373" s="38"/>
      <c r="BB373" s="38"/>
      <c r="BC373" s="38"/>
      <c r="BD373" s="38"/>
      <c r="BE373" s="38"/>
      <c r="BF373" s="38"/>
      <c r="BG373" s="38"/>
      <c r="BH373" s="38"/>
      <c r="BI373" s="38"/>
      <c r="BJ373" s="38"/>
      <c r="BK373" s="38"/>
      <c r="BL373" s="38"/>
      <c r="BM373" s="38"/>
      <c r="BN373" s="38"/>
      <c r="BO373" s="38"/>
      <c r="BP373" s="38"/>
      <c r="BQ373" s="38"/>
      <c r="BR373" s="38"/>
      <c r="BS373" s="38"/>
      <c r="BT373" s="38"/>
      <c r="BU373" s="38"/>
      <c r="BV373" s="38"/>
      <c r="BW373" s="38"/>
      <c r="BX373" s="38"/>
      <c r="BY373" s="38"/>
      <c r="BZ373" s="38"/>
      <c r="CA373" s="38"/>
      <c r="CB373" s="38"/>
      <c r="CC373" s="38"/>
      <c r="CD373" s="38"/>
      <c r="CE373" s="38"/>
      <c r="CF373" s="38"/>
      <c r="CG373" s="38"/>
      <c r="CH373" s="38"/>
      <c r="CI373" s="38"/>
      <c r="CJ373" s="38"/>
      <c r="CK373" s="38"/>
      <c r="CL373" s="38"/>
      <c r="CM373" s="38"/>
      <c r="CN373" s="38"/>
      <c r="CO373" s="38"/>
      <c r="CP373" s="38"/>
      <c r="CQ373" s="38"/>
      <c r="CR373" s="38"/>
      <c r="CS373" s="38"/>
      <c r="CT373" s="38"/>
      <c r="CU373" s="38"/>
      <c r="CV373" s="38"/>
      <c r="CW373" s="38"/>
      <c r="CX373" s="38"/>
      <c r="CY373" s="38"/>
      <c r="CZ373" s="38"/>
    </row>
    <row r="374" spans="1:104" s="40" customFormat="1" ht="20.149999999999999" customHeight="1">
      <c r="A374" s="358">
        <f t="shared" si="87"/>
        <v>373</v>
      </c>
      <c r="B374" s="359" t="str">
        <f>'Front Sheet and Checklist'!$C$5</f>
        <v>Swansea Bay UHB</v>
      </c>
      <c r="C374" s="17"/>
      <c r="D374" s="17"/>
      <c r="E374" s="17"/>
      <c r="F374" s="17"/>
      <c r="G374" s="17"/>
      <c r="H374" s="17"/>
      <c r="I374" s="361">
        <f t="shared" si="77"/>
        <v>0</v>
      </c>
      <c r="J374" s="17"/>
      <c r="K374" s="18"/>
      <c r="L374" s="18"/>
      <c r="M374" s="17"/>
      <c r="N374" s="17"/>
      <c r="O374" s="17"/>
      <c r="P374" s="17"/>
      <c r="Q374" s="169"/>
      <c r="R374" s="24"/>
      <c r="S374" s="24"/>
      <c r="T374" s="24"/>
      <c r="U374" s="25"/>
      <c r="V374" s="25"/>
      <c r="W374" s="25"/>
      <c r="X374" s="24"/>
      <c r="Y374" s="24"/>
      <c r="Z374" s="24"/>
      <c r="AA374" s="24"/>
      <c r="AB374" s="24"/>
      <c r="AC374" s="24"/>
      <c r="AD374" s="361">
        <f t="shared" si="76"/>
        <v>0</v>
      </c>
      <c r="AE374" s="359" t="str">
        <f t="shared" si="79"/>
        <v/>
      </c>
      <c r="AF374" s="359" t="str">
        <f t="shared" si="88"/>
        <v/>
      </c>
      <c r="AG374" s="359" t="str">
        <f t="shared" si="80"/>
        <v/>
      </c>
      <c r="AH374" s="359" t="str">
        <f t="shared" si="81"/>
        <v/>
      </c>
      <c r="AI374" s="359" t="str">
        <f t="shared" si="82"/>
        <v/>
      </c>
      <c r="AJ374" s="359" t="str">
        <f t="shared" si="83"/>
        <v/>
      </c>
      <c r="AK374" s="359" t="str">
        <f t="shared" si="85"/>
        <v/>
      </c>
      <c r="AL374" s="359" t="str">
        <f t="shared" si="84"/>
        <v/>
      </c>
      <c r="AM374" s="359" t="str">
        <f t="shared" si="86"/>
        <v/>
      </c>
      <c r="AN374" s="262">
        <f t="shared" si="89"/>
        <v>0</v>
      </c>
      <c r="AO374" s="262" t="str">
        <f>IFERROR(HLOOKUP(AN374,'Ref Lists'!Q$1:AL$2,2,FALSE),'Ref Lists'!$AK$2)</f>
        <v>Savings21</v>
      </c>
      <c r="AP374" s="38"/>
      <c r="AQ374" s="38">
        <f t="shared" si="78"/>
        <v>0</v>
      </c>
      <c r="AR374" s="38"/>
      <c r="AS374" s="38"/>
      <c r="AT374" s="38"/>
      <c r="AU374" s="38"/>
      <c r="AV374" s="38"/>
      <c r="AW374" s="38"/>
      <c r="AX374" s="38"/>
      <c r="AY374" s="38"/>
      <c r="AZ374" s="38"/>
      <c r="BA374" s="38"/>
      <c r="BB374" s="38"/>
      <c r="BC374" s="38"/>
      <c r="BD374" s="38"/>
      <c r="BE374" s="38"/>
      <c r="BF374" s="38"/>
      <c r="BG374" s="38"/>
      <c r="BH374" s="38"/>
      <c r="BI374" s="38"/>
      <c r="BJ374" s="38"/>
      <c r="BK374" s="38"/>
      <c r="BL374" s="38"/>
      <c r="BM374" s="38"/>
      <c r="BN374" s="38"/>
      <c r="BO374" s="38"/>
      <c r="BP374" s="38"/>
      <c r="BQ374" s="38"/>
      <c r="BR374" s="38"/>
      <c r="BS374" s="38"/>
      <c r="BT374" s="38"/>
      <c r="BU374" s="38"/>
      <c r="BV374" s="38"/>
      <c r="BW374" s="38"/>
      <c r="BX374" s="38"/>
      <c r="BY374" s="38"/>
      <c r="BZ374" s="38"/>
      <c r="CA374" s="38"/>
      <c r="CB374" s="38"/>
      <c r="CC374" s="38"/>
      <c r="CD374" s="38"/>
      <c r="CE374" s="38"/>
      <c r="CF374" s="38"/>
      <c r="CG374" s="38"/>
      <c r="CH374" s="38"/>
      <c r="CI374" s="38"/>
      <c r="CJ374" s="38"/>
      <c r="CK374" s="38"/>
      <c r="CL374" s="38"/>
      <c r="CM374" s="38"/>
      <c r="CN374" s="38"/>
      <c r="CO374" s="38"/>
      <c r="CP374" s="38"/>
      <c r="CQ374" s="38"/>
      <c r="CR374" s="38"/>
      <c r="CS374" s="38"/>
      <c r="CT374" s="38"/>
      <c r="CU374" s="38"/>
      <c r="CV374" s="38"/>
      <c r="CW374" s="38"/>
      <c r="CX374" s="38"/>
      <c r="CY374" s="38"/>
      <c r="CZ374" s="38"/>
    </row>
    <row r="375" spans="1:104" s="40" customFormat="1" ht="20.149999999999999" customHeight="1">
      <c r="A375" s="358">
        <f t="shared" si="87"/>
        <v>374</v>
      </c>
      <c r="B375" s="359" t="str">
        <f>'Front Sheet and Checklist'!$C$5</f>
        <v>Swansea Bay UHB</v>
      </c>
      <c r="C375" s="17"/>
      <c r="D375" s="17"/>
      <c r="E375" s="17"/>
      <c r="F375" s="17"/>
      <c r="G375" s="17"/>
      <c r="H375" s="17"/>
      <c r="I375" s="361">
        <f t="shared" si="77"/>
        <v>0</v>
      </c>
      <c r="J375" s="17"/>
      <c r="K375" s="18"/>
      <c r="L375" s="18"/>
      <c r="M375" s="17"/>
      <c r="N375" s="17"/>
      <c r="O375" s="17"/>
      <c r="P375" s="17"/>
      <c r="Q375" s="169"/>
      <c r="R375" s="24"/>
      <c r="S375" s="24"/>
      <c r="T375" s="24"/>
      <c r="U375" s="25"/>
      <c r="V375" s="25"/>
      <c r="W375" s="25"/>
      <c r="X375" s="24"/>
      <c r="Y375" s="24"/>
      <c r="Z375" s="24"/>
      <c r="AA375" s="24"/>
      <c r="AB375" s="24"/>
      <c r="AC375" s="24"/>
      <c r="AD375" s="361">
        <f t="shared" si="76"/>
        <v>0</v>
      </c>
      <c r="AE375" s="359" t="str">
        <f t="shared" si="79"/>
        <v/>
      </c>
      <c r="AF375" s="359" t="str">
        <f t="shared" si="88"/>
        <v/>
      </c>
      <c r="AG375" s="359" t="str">
        <f t="shared" si="80"/>
        <v/>
      </c>
      <c r="AH375" s="359" t="str">
        <f t="shared" si="81"/>
        <v/>
      </c>
      <c r="AI375" s="359" t="str">
        <f t="shared" si="82"/>
        <v/>
      </c>
      <c r="AJ375" s="359" t="str">
        <f t="shared" si="83"/>
        <v/>
      </c>
      <c r="AK375" s="359" t="str">
        <f t="shared" si="85"/>
        <v/>
      </c>
      <c r="AL375" s="359" t="str">
        <f t="shared" si="84"/>
        <v/>
      </c>
      <c r="AM375" s="359" t="str">
        <f t="shared" si="86"/>
        <v/>
      </c>
      <c r="AN375" s="262">
        <f t="shared" si="89"/>
        <v>0</v>
      </c>
      <c r="AO375" s="262" t="str">
        <f>IFERROR(HLOOKUP(AN375,'Ref Lists'!Q$1:AL$2,2,FALSE),'Ref Lists'!$AK$2)</f>
        <v>Savings21</v>
      </c>
      <c r="AP375" s="38"/>
      <c r="AQ375" s="38">
        <f t="shared" si="78"/>
        <v>0</v>
      </c>
      <c r="AR375" s="38"/>
      <c r="AS375" s="38"/>
      <c r="AT375" s="38"/>
      <c r="AU375" s="38"/>
      <c r="AV375" s="38"/>
      <c r="AW375" s="38"/>
      <c r="AX375" s="38"/>
      <c r="AY375" s="38"/>
      <c r="AZ375" s="38"/>
      <c r="BA375" s="38"/>
      <c r="BB375" s="38"/>
      <c r="BC375" s="38"/>
      <c r="BD375" s="38"/>
      <c r="BE375" s="38"/>
      <c r="BF375" s="38"/>
      <c r="BG375" s="38"/>
      <c r="BH375" s="38"/>
      <c r="BI375" s="38"/>
      <c r="BJ375" s="38"/>
      <c r="BK375" s="38"/>
      <c r="BL375" s="38"/>
      <c r="BM375" s="38"/>
      <c r="BN375" s="38"/>
      <c r="BO375" s="38"/>
      <c r="BP375" s="38"/>
      <c r="BQ375" s="38"/>
      <c r="BR375" s="38"/>
      <c r="BS375" s="38"/>
      <c r="BT375" s="38"/>
      <c r="BU375" s="38"/>
      <c r="BV375" s="38"/>
      <c r="BW375" s="38"/>
      <c r="BX375" s="38"/>
      <c r="BY375" s="38"/>
      <c r="BZ375" s="38"/>
      <c r="CA375" s="38"/>
      <c r="CB375" s="38"/>
      <c r="CC375" s="38"/>
      <c r="CD375" s="38"/>
      <c r="CE375" s="38"/>
      <c r="CF375" s="38"/>
      <c r="CG375" s="38"/>
      <c r="CH375" s="38"/>
      <c r="CI375" s="38"/>
      <c r="CJ375" s="38"/>
      <c r="CK375" s="38"/>
      <c r="CL375" s="38"/>
      <c r="CM375" s="38"/>
      <c r="CN375" s="38"/>
      <c r="CO375" s="38"/>
      <c r="CP375" s="38"/>
      <c r="CQ375" s="38"/>
      <c r="CR375" s="38"/>
      <c r="CS375" s="38"/>
      <c r="CT375" s="38"/>
      <c r="CU375" s="38"/>
      <c r="CV375" s="38"/>
      <c r="CW375" s="38"/>
      <c r="CX375" s="38"/>
      <c r="CY375" s="38"/>
      <c r="CZ375" s="38"/>
    </row>
    <row r="376" spans="1:104" s="40" customFormat="1" ht="20.149999999999999" customHeight="1">
      <c r="A376" s="358">
        <f t="shared" si="87"/>
        <v>375</v>
      </c>
      <c r="B376" s="359" t="str">
        <f>'Front Sheet and Checklist'!$C$5</f>
        <v>Swansea Bay UHB</v>
      </c>
      <c r="C376" s="17"/>
      <c r="D376" s="17"/>
      <c r="E376" s="17"/>
      <c r="F376" s="17"/>
      <c r="G376" s="17"/>
      <c r="H376" s="17"/>
      <c r="I376" s="361">
        <f t="shared" si="77"/>
        <v>0</v>
      </c>
      <c r="J376" s="17"/>
      <c r="K376" s="18"/>
      <c r="L376" s="18"/>
      <c r="M376" s="17"/>
      <c r="N376" s="17"/>
      <c r="O376" s="17"/>
      <c r="P376" s="17"/>
      <c r="Q376" s="169"/>
      <c r="R376" s="24"/>
      <c r="S376" s="24"/>
      <c r="T376" s="24"/>
      <c r="U376" s="25"/>
      <c r="V376" s="25"/>
      <c r="W376" s="25"/>
      <c r="X376" s="24"/>
      <c r="Y376" s="24"/>
      <c r="Z376" s="24"/>
      <c r="AA376" s="24"/>
      <c r="AB376" s="24"/>
      <c r="AC376" s="24"/>
      <c r="AD376" s="361">
        <f t="shared" si="76"/>
        <v>0</v>
      </c>
      <c r="AE376" s="359" t="str">
        <f t="shared" si="79"/>
        <v/>
      </c>
      <c r="AF376" s="359" t="str">
        <f t="shared" si="88"/>
        <v/>
      </c>
      <c r="AG376" s="359" t="str">
        <f t="shared" si="80"/>
        <v/>
      </c>
      <c r="AH376" s="359" t="str">
        <f t="shared" si="81"/>
        <v/>
      </c>
      <c r="AI376" s="359" t="str">
        <f t="shared" si="82"/>
        <v/>
      </c>
      <c r="AJ376" s="359" t="str">
        <f t="shared" si="83"/>
        <v/>
      </c>
      <c r="AK376" s="359" t="str">
        <f t="shared" si="85"/>
        <v/>
      </c>
      <c r="AL376" s="359" t="str">
        <f t="shared" si="84"/>
        <v/>
      </c>
      <c r="AM376" s="359" t="str">
        <f t="shared" si="86"/>
        <v/>
      </c>
      <c r="AN376" s="262">
        <f t="shared" si="89"/>
        <v>0</v>
      </c>
      <c r="AO376" s="262" t="str">
        <f>IFERROR(HLOOKUP(AN376,'Ref Lists'!Q$1:AL$2,2,FALSE),'Ref Lists'!$AK$2)</f>
        <v>Savings21</v>
      </c>
      <c r="AP376" s="38"/>
      <c r="AQ376" s="38">
        <f t="shared" si="78"/>
        <v>0</v>
      </c>
      <c r="AR376" s="38"/>
      <c r="AS376" s="38"/>
      <c r="AT376" s="38"/>
      <c r="AU376" s="38"/>
      <c r="AV376" s="38"/>
      <c r="AW376" s="38"/>
      <c r="AX376" s="38"/>
      <c r="AY376" s="38"/>
      <c r="AZ376" s="38"/>
      <c r="BA376" s="38"/>
      <c r="BB376" s="38"/>
      <c r="BC376" s="38"/>
      <c r="BD376" s="38"/>
      <c r="BE376" s="38"/>
      <c r="BF376" s="38"/>
      <c r="BG376" s="38"/>
      <c r="BH376" s="38"/>
      <c r="BI376" s="38"/>
      <c r="BJ376" s="38"/>
      <c r="BK376" s="38"/>
      <c r="BL376" s="38"/>
      <c r="BM376" s="38"/>
      <c r="BN376" s="38"/>
      <c r="BO376" s="38"/>
      <c r="BP376" s="38"/>
      <c r="BQ376" s="38"/>
      <c r="BR376" s="38"/>
      <c r="BS376" s="38"/>
      <c r="BT376" s="38"/>
      <c r="BU376" s="38"/>
      <c r="BV376" s="38"/>
      <c r="BW376" s="38"/>
      <c r="BX376" s="38"/>
      <c r="BY376" s="38"/>
      <c r="BZ376" s="38"/>
      <c r="CA376" s="38"/>
      <c r="CB376" s="38"/>
      <c r="CC376" s="38"/>
      <c r="CD376" s="38"/>
      <c r="CE376" s="38"/>
      <c r="CF376" s="38"/>
      <c r="CG376" s="38"/>
      <c r="CH376" s="38"/>
      <c r="CI376" s="38"/>
      <c r="CJ376" s="38"/>
      <c r="CK376" s="38"/>
      <c r="CL376" s="38"/>
      <c r="CM376" s="38"/>
      <c r="CN376" s="38"/>
      <c r="CO376" s="38"/>
      <c r="CP376" s="38"/>
      <c r="CQ376" s="38"/>
      <c r="CR376" s="38"/>
      <c r="CS376" s="38"/>
      <c r="CT376" s="38"/>
      <c r="CU376" s="38"/>
      <c r="CV376" s="38"/>
      <c r="CW376" s="38"/>
      <c r="CX376" s="38"/>
      <c r="CY376" s="38"/>
      <c r="CZ376" s="38"/>
    </row>
    <row r="377" spans="1:104" s="40" customFormat="1" ht="20.149999999999999" customHeight="1">
      <c r="A377" s="358">
        <f t="shared" si="87"/>
        <v>376</v>
      </c>
      <c r="B377" s="359" t="str">
        <f>'Front Sheet and Checklist'!$C$5</f>
        <v>Swansea Bay UHB</v>
      </c>
      <c r="C377" s="17"/>
      <c r="D377" s="17"/>
      <c r="E377" s="17"/>
      <c r="F377" s="17"/>
      <c r="G377" s="17"/>
      <c r="H377" s="17"/>
      <c r="I377" s="361">
        <f t="shared" si="77"/>
        <v>0</v>
      </c>
      <c r="J377" s="17"/>
      <c r="K377" s="18"/>
      <c r="L377" s="18"/>
      <c r="M377" s="17"/>
      <c r="N377" s="17"/>
      <c r="O377" s="17"/>
      <c r="P377" s="17"/>
      <c r="Q377" s="169"/>
      <c r="R377" s="24"/>
      <c r="S377" s="24"/>
      <c r="T377" s="24"/>
      <c r="U377" s="25"/>
      <c r="V377" s="25"/>
      <c r="W377" s="25"/>
      <c r="X377" s="24"/>
      <c r="Y377" s="24"/>
      <c r="Z377" s="24"/>
      <c r="AA377" s="24"/>
      <c r="AB377" s="24"/>
      <c r="AC377" s="24"/>
      <c r="AD377" s="361">
        <f t="shared" si="76"/>
        <v>0</v>
      </c>
      <c r="AE377" s="359" t="str">
        <f t="shared" si="79"/>
        <v/>
      </c>
      <c r="AF377" s="359" t="str">
        <f t="shared" si="88"/>
        <v/>
      </c>
      <c r="AG377" s="359" t="str">
        <f t="shared" si="80"/>
        <v/>
      </c>
      <c r="AH377" s="359" t="str">
        <f t="shared" si="81"/>
        <v/>
      </c>
      <c r="AI377" s="359" t="str">
        <f t="shared" si="82"/>
        <v/>
      </c>
      <c r="AJ377" s="359" t="str">
        <f t="shared" si="83"/>
        <v/>
      </c>
      <c r="AK377" s="359" t="str">
        <f t="shared" si="85"/>
        <v/>
      </c>
      <c r="AL377" s="359" t="str">
        <f t="shared" si="84"/>
        <v/>
      </c>
      <c r="AM377" s="359" t="str">
        <f t="shared" si="86"/>
        <v/>
      </c>
      <c r="AN377" s="262">
        <f t="shared" si="89"/>
        <v>0</v>
      </c>
      <c r="AO377" s="262" t="str">
        <f>IFERROR(HLOOKUP(AN377,'Ref Lists'!Q$1:AL$2,2,FALSE),'Ref Lists'!$AK$2)</f>
        <v>Savings21</v>
      </c>
      <c r="AP377" s="38"/>
      <c r="AQ377" s="38">
        <f t="shared" si="78"/>
        <v>0</v>
      </c>
      <c r="AR377" s="38"/>
      <c r="AS377" s="38"/>
      <c r="AT377" s="38"/>
      <c r="AU377" s="38"/>
      <c r="AV377" s="38"/>
      <c r="AW377" s="38"/>
      <c r="AX377" s="38"/>
      <c r="AY377" s="38"/>
      <c r="AZ377" s="38"/>
      <c r="BA377" s="38"/>
      <c r="BB377" s="38"/>
      <c r="BC377" s="38"/>
      <c r="BD377" s="38"/>
      <c r="BE377" s="38"/>
      <c r="BF377" s="38"/>
      <c r="BG377" s="38"/>
      <c r="BH377" s="38"/>
      <c r="BI377" s="38"/>
      <c r="BJ377" s="38"/>
      <c r="BK377" s="38"/>
      <c r="BL377" s="38"/>
      <c r="BM377" s="38"/>
      <c r="BN377" s="38"/>
      <c r="BO377" s="38"/>
      <c r="BP377" s="38"/>
      <c r="BQ377" s="38"/>
      <c r="BR377" s="38"/>
      <c r="BS377" s="38"/>
      <c r="BT377" s="38"/>
      <c r="BU377" s="38"/>
      <c r="BV377" s="38"/>
      <c r="BW377" s="38"/>
      <c r="BX377" s="38"/>
      <c r="BY377" s="38"/>
      <c r="BZ377" s="38"/>
      <c r="CA377" s="38"/>
      <c r="CB377" s="38"/>
      <c r="CC377" s="38"/>
      <c r="CD377" s="38"/>
      <c r="CE377" s="38"/>
      <c r="CF377" s="38"/>
      <c r="CG377" s="38"/>
      <c r="CH377" s="38"/>
      <c r="CI377" s="38"/>
      <c r="CJ377" s="38"/>
      <c r="CK377" s="38"/>
      <c r="CL377" s="38"/>
      <c r="CM377" s="38"/>
      <c r="CN377" s="38"/>
      <c r="CO377" s="38"/>
      <c r="CP377" s="38"/>
      <c r="CQ377" s="38"/>
      <c r="CR377" s="38"/>
      <c r="CS377" s="38"/>
      <c r="CT377" s="38"/>
      <c r="CU377" s="38"/>
      <c r="CV377" s="38"/>
      <c r="CW377" s="38"/>
      <c r="CX377" s="38"/>
      <c r="CY377" s="38"/>
      <c r="CZ377" s="38"/>
    </row>
    <row r="378" spans="1:104" s="40" customFormat="1" ht="20.149999999999999" customHeight="1">
      <c r="A378" s="358">
        <f t="shared" si="87"/>
        <v>377</v>
      </c>
      <c r="B378" s="359" t="str">
        <f>'Front Sheet and Checklist'!$C$5</f>
        <v>Swansea Bay UHB</v>
      </c>
      <c r="C378" s="17"/>
      <c r="D378" s="17"/>
      <c r="E378" s="17"/>
      <c r="F378" s="17"/>
      <c r="G378" s="17"/>
      <c r="H378" s="17"/>
      <c r="I378" s="361">
        <f t="shared" si="77"/>
        <v>0</v>
      </c>
      <c r="J378" s="17"/>
      <c r="K378" s="18"/>
      <c r="L378" s="18"/>
      <c r="M378" s="17"/>
      <c r="N378" s="17"/>
      <c r="O378" s="17"/>
      <c r="P378" s="17"/>
      <c r="Q378" s="169"/>
      <c r="R378" s="24"/>
      <c r="S378" s="24"/>
      <c r="T378" s="24"/>
      <c r="U378" s="25"/>
      <c r="V378" s="25"/>
      <c r="W378" s="25"/>
      <c r="X378" s="24"/>
      <c r="Y378" s="24"/>
      <c r="Z378" s="24"/>
      <c r="AA378" s="24"/>
      <c r="AB378" s="24"/>
      <c r="AC378" s="24"/>
      <c r="AD378" s="361">
        <f t="shared" ref="AD378:AD441" si="90">SUM(R378:AC378)</f>
        <v>0</v>
      </c>
      <c r="AE378" s="359" t="str">
        <f t="shared" si="79"/>
        <v/>
      </c>
      <c r="AF378" s="359" t="str">
        <f t="shared" si="88"/>
        <v/>
      </c>
      <c r="AG378" s="359" t="str">
        <f t="shared" si="80"/>
        <v/>
      </c>
      <c r="AH378" s="359" t="str">
        <f t="shared" si="81"/>
        <v/>
      </c>
      <c r="AI378" s="359" t="str">
        <f t="shared" si="82"/>
        <v/>
      </c>
      <c r="AJ378" s="359" t="str">
        <f t="shared" si="83"/>
        <v/>
      </c>
      <c r="AK378" s="359" t="str">
        <f t="shared" si="85"/>
        <v/>
      </c>
      <c r="AL378" s="359" t="str">
        <f t="shared" si="84"/>
        <v/>
      </c>
      <c r="AM378" s="359" t="str">
        <f t="shared" si="86"/>
        <v/>
      </c>
      <c r="AN378" s="262">
        <f t="shared" si="89"/>
        <v>0</v>
      </c>
      <c r="AO378" s="262" t="str">
        <f>IFERROR(HLOOKUP(AN378,'Ref Lists'!Q$1:AL$2,2,FALSE),'Ref Lists'!$AK$2)</f>
        <v>Savings21</v>
      </c>
      <c r="AP378" s="38"/>
      <c r="AQ378" s="38">
        <f t="shared" si="78"/>
        <v>0</v>
      </c>
      <c r="AR378" s="38"/>
      <c r="AS378" s="38"/>
      <c r="AT378" s="38"/>
      <c r="AU378" s="38"/>
      <c r="AV378" s="38"/>
      <c r="AW378" s="38"/>
      <c r="AX378" s="38"/>
      <c r="AY378" s="38"/>
      <c r="AZ378" s="38"/>
      <c r="BA378" s="38"/>
      <c r="BB378" s="38"/>
      <c r="BC378" s="38"/>
      <c r="BD378" s="38"/>
      <c r="BE378" s="38"/>
      <c r="BF378" s="38"/>
      <c r="BG378" s="38"/>
      <c r="BH378" s="38"/>
      <c r="BI378" s="38"/>
      <c r="BJ378" s="38"/>
      <c r="BK378" s="38"/>
      <c r="BL378" s="38"/>
      <c r="BM378" s="38"/>
      <c r="BN378" s="38"/>
      <c r="BO378" s="38"/>
      <c r="BP378" s="38"/>
      <c r="BQ378" s="38"/>
      <c r="BR378" s="38"/>
      <c r="BS378" s="38"/>
      <c r="BT378" s="38"/>
      <c r="BU378" s="38"/>
      <c r="BV378" s="38"/>
      <c r="BW378" s="38"/>
      <c r="BX378" s="38"/>
      <c r="BY378" s="38"/>
      <c r="BZ378" s="38"/>
      <c r="CA378" s="38"/>
      <c r="CB378" s="38"/>
      <c r="CC378" s="38"/>
      <c r="CD378" s="38"/>
      <c r="CE378" s="38"/>
      <c r="CF378" s="38"/>
      <c r="CG378" s="38"/>
      <c r="CH378" s="38"/>
      <c r="CI378" s="38"/>
      <c r="CJ378" s="38"/>
      <c r="CK378" s="38"/>
      <c r="CL378" s="38"/>
      <c r="CM378" s="38"/>
      <c r="CN378" s="38"/>
      <c r="CO378" s="38"/>
      <c r="CP378" s="38"/>
      <c r="CQ378" s="38"/>
      <c r="CR378" s="38"/>
      <c r="CS378" s="38"/>
      <c r="CT378" s="38"/>
      <c r="CU378" s="38"/>
      <c r="CV378" s="38"/>
      <c r="CW378" s="38"/>
      <c r="CX378" s="38"/>
      <c r="CY378" s="38"/>
      <c r="CZ378" s="38"/>
    </row>
    <row r="379" spans="1:104" s="40" customFormat="1" ht="20.149999999999999" customHeight="1">
      <c r="A379" s="358">
        <f t="shared" si="87"/>
        <v>378</v>
      </c>
      <c r="B379" s="359" t="str">
        <f>'Front Sheet and Checklist'!$C$5</f>
        <v>Swansea Bay UHB</v>
      </c>
      <c r="C379" s="17"/>
      <c r="D379" s="17"/>
      <c r="E379" s="17"/>
      <c r="F379" s="17"/>
      <c r="G379" s="17"/>
      <c r="H379" s="17"/>
      <c r="I379" s="361">
        <f t="shared" ref="I379:I442" si="91">AD379</f>
        <v>0</v>
      </c>
      <c r="J379" s="17"/>
      <c r="K379" s="18"/>
      <c r="L379" s="18"/>
      <c r="M379" s="17"/>
      <c r="N379" s="17"/>
      <c r="O379" s="17"/>
      <c r="P379" s="17"/>
      <c r="Q379" s="169"/>
      <c r="R379" s="24"/>
      <c r="S379" s="24"/>
      <c r="T379" s="24"/>
      <c r="U379" s="25"/>
      <c r="V379" s="25"/>
      <c r="W379" s="25"/>
      <c r="X379" s="24"/>
      <c r="Y379" s="24"/>
      <c r="Z379" s="24"/>
      <c r="AA379" s="24"/>
      <c r="AB379" s="24"/>
      <c r="AC379" s="24"/>
      <c r="AD379" s="361">
        <f t="shared" si="90"/>
        <v>0</v>
      </c>
      <c r="AE379" s="359" t="str">
        <f t="shared" si="79"/>
        <v/>
      </c>
      <c r="AF379" s="359" t="str">
        <f t="shared" si="88"/>
        <v/>
      </c>
      <c r="AG379" s="359" t="str">
        <f t="shared" si="80"/>
        <v/>
      </c>
      <c r="AH379" s="359" t="str">
        <f t="shared" si="81"/>
        <v/>
      </c>
      <c r="AI379" s="359" t="str">
        <f t="shared" si="82"/>
        <v/>
      </c>
      <c r="AJ379" s="359" t="str">
        <f t="shared" si="83"/>
        <v/>
      </c>
      <c r="AK379" s="359" t="str">
        <f t="shared" si="85"/>
        <v/>
      </c>
      <c r="AL379" s="359" t="str">
        <f t="shared" si="84"/>
        <v/>
      </c>
      <c r="AM379" s="359" t="str">
        <f t="shared" si="86"/>
        <v/>
      </c>
      <c r="AN379" s="262">
        <f t="shared" si="89"/>
        <v>0</v>
      </c>
      <c r="AO379" s="262" t="str">
        <f>IFERROR(HLOOKUP(AN379,'Ref Lists'!Q$1:AL$2,2,FALSE),'Ref Lists'!$AK$2)</f>
        <v>Savings21</v>
      </c>
      <c r="AP379" s="38"/>
      <c r="AQ379" s="38">
        <f t="shared" ref="AQ379:AQ442" si="92">COUNTIFS(AE379:AL379,"Error")</f>
        <v>0</v>
      </c>
      <c r="AR379" s="38"/>
      <c r="AS379" s="38"/>
      <c r="AT379" s="38"/>
      <c r="AU379" s="38"/>
      <c r="AV379" s="38"/>
      <c r="AW379" s="38"/>
      <c r="AX379" s="38"/>
      <c r="AY379" s="38"/>
      <c r="AZ379" s="38"/>
      <c r="BA379" s="38"/>
      <c r="BB379" s="38"/>
      <c r="BC379" s="38"/>
      <c r="BD379" s="38"/>
      <c r="BE379" s="38"/>
      <c r="BF379" s="38"/>
      <c r="BG379" s="38"/>
      <c r="BH379" s="38"/>
      <c r="BI379" s="38"/>
      <c r="BJ379" s="38"/>
      <c r="BK379" s="38"/>
      <c r="BL379" s="38"/>
      <c r="BM379" s="38"/>
      <c r="BN379" s="38"/>
      <c r="BO379" s="38"/>
      <c r="BP379" s="38"/>
      <c r="BQ379" s="38"/>
      <c r="BR379" s="38"/>
      <c r="BS379" s="38"/>
      <c r="BT379" s="38"/>
      <c r="BU379" s="38"/>
      <c r="BV379" s="38"/>
      <c r="BW379" s="38"/>
      <c r="BX379" s="38"/>
      <c r="BY379" s="38"/>
      <c r="BZ379" s="38"/>
      <c r="CA379" s="38"/>
      <c r="CB379" s="38"/>
      <c r="CC379" s="38"/>
      <c r="CD379" s="38"/>
      <c r="CE379" s="38"/>
      <c r="CF379" s="38"/>
      <c r="CG379" s="38"/>
      <c r="CH379" s="38"/>
      <c r="CI379" s="38"/>
      <c r="CJ379" s="38"/>
      <c r="CK379" s="38"/>
      <c r="CL379" s="38"/>
      <c r="CM379" s="38"/>
      <c r="CN379" s="38"/>
      <c r="CO379" s="38"/>
      <c r="CP379" s="38"/>
      <c r="CQ379" s="38"/>
      <c r="CR379" s="38"/>
      <c r="CS379" s="38"/>
      <c r="CT379" s="38"/>
      <c r="CU379" s="38"/>
      <c r="CV379" s="38"/>
      <c r="CW379" s="38"/>
      <c r="CX379" s="38"/>
      <c r="CY379" s="38"/>
      <c r="CZ379" s="38"/>
    </row>
    <row r="380" spans="1:104" s="40" customFormat="1" ht="20.149999999999999" customHeight="1">
      <c r="A380" s="358">
        <f t="shared" si="87"/>
        <v>379</v>
      </c>
      <c r="B380" s="359" t="str">
        <f>'Front Sheet and Checklist'!$C$5</f>
        <v>Swansea Bay UHB</v>
      </c>
      <c r="C380" s="17"/>
      <c r="D380" s="17"/>
      <c r="E380" s="17"/>
      <c r="F380" s="17"/>
      <c r="G380" s="17"/>
      <c r="H380" s="17"/>
      <c r="I380" s="361">
        <f t="shared" si="91"/>
        <v>0</v>
      </c>
      <c r="J380" s="17"/>
      <c r="K380" s="18"/>
      <c r="L380" s="18"/>
      <c r="M380" s="17"/>
      <c r="N380" s="17"/>
      <c r="O380" s="17"/>
      <c r="P380" s="17"/>
      <c r="Q380" s="169"/>
      <c r="R380" s="24"/>
      <c r="S380" s="24"/>
      <c r="T380" s="24"/>
      <c r="U380" s="25"/>
      <c r="V380" s="25"/>
      <c r="W380" s="25"/>
      <c r="X380" s="24"/>
      <c r="Y380" s="24"/>
      <c r="Z380" s="24"/>
      <c r="AA380" s="24"/>
      <c r="AB380" s="24"/>
      <c r="AC380" s="24"/>
      <c r="AD380" s="361">
        <f t="shared" si="90"/>
        <v>0</v>
      </c>
      <c r="AE380" s="359" t="str">
        <f t="shared" si="79"/>
        <v/>
      </c>
      <c r="AF380" s="359" t="str">
        <f t="shared" si="88"/>
        <v/>
      </c>
      <c r="AG380" s="359" t="str">
        <f t="shared" si="80"/>
        <v/>
      </c>
      <c r="AH380" s="359" t="str">
        <f t="shared" si="81"/>
        <v/>
      </c>
      <c r="AI380" s="359" t="str">
        <f t="shared" si="82"/>
        <v/>
      </c>
      <c r="AJ380" s="359" t="str">
        <f t="shared" si="83"/>
        <v/>
      </c>
      <c r="AK380" s="359" t="str">
        <f t="shared" si="85"/>
        <v/>
      </c>
      <c r="AL380" s="359" t="str">
        <f t="shared" si="84"/>
        <v/>
      </c>
      <c r="AM380" s="359" t="str">
        <f t="shared" si="86"/>
        <v/>
      </c>
      <c r="AN380" s="262">
        <f t="shared" si="89"/>
        <v>0</v>
      </c>
      <c r="AO380" s="262" t="str">
        <f>IFERROR(HLOOKUP(AN380,'Ref Lists'!Q$1:AL$2,2,FALSE),'Ref Lists'!$AK$2)</f>
        <v>Savings21</v>
      </c>
      <c r="AP380" s="38"/>
      <c r="AQ380" s="38">
        <f t="shared" si="92"/>
        <v>0</v>
      </c>
      <c r="AR380" s="38"/>
      <c r="AS380" s="38"/>
      <c r="AT380" s="38"/>
      <c r="AU380" s="38"/>
      <c r="AV380" s="38"/>
      <c r="AW380" s="38"/>
      <c r="AX380" s="38"/>
      <c r="AY380" s="38"/>
      <c r="AZ380" s="38"/>
      <c r="BA380" s="38"/>
      <c r="BB380" s="38"/>
      <c r="BC380" s="38"/>
      <c r="BD380" s="38"/>
      <c r="BE380" s="38"/>
      <c r="BF380" s="38"/>
      <c r="BG380" s="38"/>
      <c r="BH380" s="38"/>
      <c r="BI380" s="38"/>
      <c r="BJ380" s="38"/>
      <c r="BK380" s="38"/>
      <c r="BL380" s="38"/>
      <c r="BM380" s="38"/>
      <c r="BN380" s="38"/>
      <c r="BO380" s="38"/>
      <c r="BP380" s="38"/>
      <c r="BQ380" s="38"/>
      <c r="BR380" s="38"/>
      <c r="BS380" s="38"/>
      <c r="BT380" s="38"/>
      <c r="BU380" s="38"/>
      <c r="BV380" s="38"/>
      <c r="BW380" s="38"/>
      <c r="BX380" s="38"/>
      <c r="BY380" s="38"/>
      <c r="BZ380" s="38"/>
      <c r="CA380" s="38"/>
      <c r="CB380" s="38"/>
      <c r="CC380" s="38"/>
      <c r="CD380" s="38"/>
      <c r="CE380" s="38"/>
      <c r="CF380" s="38"/>
      <c r="CG380" s="38"/>
      <c r="CH380" s="38"/>
      <c r="CI380" s="38"/>
      <c r="CJ380" s="38"/>
      <c r="CK380" s="38"/>
      <c r="CL380" s="38"/>
      <c r="CM380" s="38"/>
      <c r="CN380" s="38"/>
      <c r="CO380" s="38"/>
      <c r="CP380" s="38"/>
      <c r="CQ380" s="38"/>
      <c r="CR380" s="38"/>
      <c r="CS380" s="38"/>
      <c r="CT380" s="38"/>
      <c r="CU380" s="38"/>
      <c r="CV380" s="38"/>
      <c r="CW380" s="38"/>
      <c r="CX380" s="38"/>
      <c r="CY380" s="38"/>
      <c r="CZ380" s="38"/>
    </row>
    <row r="381" spans="1:104" s="40" customFormat="1" ht="20.149999999999999" customHeight="1">
      <c r="A381" s="358">
        <f t="shared" si="87"/>
        <v>380</v>
      </c>
      <c r="B381" s="359" t="str">
        <f>'Front Sheet and Checklist'!$C$5</f>
        <v>Swansea Bay UHB</v>
      </c>
      <c r="C381" s="17"/>
      <c r="D381" s="17"/>
      <c r="E381" s="17"/>
      <c r="F381" s="17"/>
      <c r="G381" s="17"/>
      <c r="H381" s="17"/>
      <c r="I381" s="361">
        <f t="shared" si="91"/>
        <v>0</v>
      </c>
      <c r="J381" s="17"/>
      <c r="K381" s="18"/>
      <c r="L381" s="18"/>
      <c r="M381" s="17"/>
      <c r="N381" s="17"/>
      <c r="O381" s="17"/>
      <c r="P381" s="17"/>
      <c r="Q381" s="169"/>
      <c r="R381" s="24"/>
      <c r="S381" s="24"/>
      <c r="T381" s="24"/>
      <c r="U381" s="25"/>
      <c r="V381" s="25"/>
      <c r="W381" s="25"/>
      <c r="X381" s="24"/>
      <c r="Y381" s="24"/>
      <c r="Z381" s="24"/>
      <c r="AA381" s="24"/>
      <c r="AB381" s="24"/>
      <c r="AC381" s="24"/>
      <c r="AD381" s="361">
        <f t="shared" si="90"/>
        <v>0</v>
      </c>
      <c r="AE381" s="359" t="str">
        <f t="shared" si="79"/>
        <v/>
      </c>
      <c r="AF381" s="359" t="str">
        <f t="shared" si="88"/>
        <v/>
      </c>
      <c r="AG381" s="359" t="str">
        <f t="shared" si="80"/>
        <v/>
      </c>
      <c r="AH381" s="359" t="str">
        <f t="shared" si="81"/>
        <v/>
      </c>
      <c r="AI381" s="359" t="str">
        <f t="shared" si="82"/>
        <v/>
      </c>
      <c r="AJ381" s="359" t="str">
        <f t="shared" si="83"/>
        <v/>
      </c>
      <c r="AK381" s="359" t="str">
        <f t="shared" si="85"/>
        <v/>
      </c>
      <c r="AL381" s="359" t="str">
        <f t="shared" si="84"/>
        <v/>
      </c>
      <c r="AM381" s="359" t="str">
        <f t="shared" si="86"/>
        <v/>
      </c>
      <c r="AN381" s="262">
        <f t="shared" si="89"/>
        <v>0</v>
      </c>
      <c r="AO381" s="262" t="str">
        <f>IFERROR(HLOOKUP(AN381,'Ref Lists'!Q$1:AL$2,2,FALSE),'Ref Lists'!$AK$2)</f>
        <v>Savings21</v>
      </c>
      <c r="AP381" s="38"/>
      <c r="AQ381" s="38">
        <f t="shared" si="92"/>
        <v>0</v>
      </c>
      <c r="AR381" s="38"/>
      <c r="AS381" s="38"/>
      <c r="AT381" s="38"/>
      <c r="AU381" s="38"/>
      <c r="AV381" s="38"/>
      <c r="AW381" s="38"/>
      <c r="AX381" s="38"/>
      <c r="AY381" s="38"/>
      <c r="AZ381" s="38"/>
      <c r="BA381" s="38"/>
      <c r="BB381" s="38"/>
      <c r="BC381" s="38"/>
      <c r="BD381" s="38"/>
      <c r="BE381" s="38"/>
      <c r="BF381" s="38"/>
      <c r="BG381" s="38"/>
      <c r="BH381" s="38"/>
      <c r="BI381" s="38"/>
      <c r="BJ381" s="38"/>
      <c r="BK381" s="38"/>
      <c r="BL381" s="38"/>
      <c r="BM381" s="38"/>
      <c r="BN381" s="38"/>
      <c r="BO381" s="38"/>
      <c r="BP381" s="38"/>
      <c r="BQ381" s="38"/>
      <c r="BR381" s="38"/>
      <c r="BS381" s="38"/>
      <c r="BT381" s="38"/>
      <c r="BU381" s="38"/>
      <c r="BV381" s="38"/>
      <c r="BW381" s="38"/>
      <c r="BX381" s="38"/>
      <c r="BY381" s="38"/>
      <c r="BZ381" s="38"/>
      <c r="CA381" s="38"/>
      <c r="CB381" s="38"/>
      <c r="CC381" s="38"/>
      <c r="CD381" s="38"/>
      <c r="CE381" s="38"/>
      <c r="CF381" s="38"/>
      <c r="CG381" s="38"/>
      <c r="CH381" s="38"/>
      <c r="CI381" s="38"/>
      <c r="CJ381" s="38"/>
      <c r="CK381" s="38"/>
      <c r="CL381" s="38"/>
      <c r="CM381" s="38"/>
      <c r="CN381" s="38"/>
      <c r="CO381" s="38"/>
      <c r="CP381" s="38"/>
      <c r="CQ381" s="38"/>
      <c r="CR381" s="38"/>
      <c r="CS381" s="38"/>
      <c r="CT381" s="38"/>
      <c r="CU381" s="38"/>
      <c r="CV381" s="38"/>
      <c r="CW381" s="38"/>
      <c r="CX381" s="38"/>
      <c r="CY381" s="38"/>
      <c r="CZ381" s="38"/>
    </row>
    <row r="382" spans="1:104" s="40" customFormat="1" ht="20.149999999999999" customHeight="1">
      <c r="A382" s="358">
        <f t="shared" si="87"/>
        <v>381</v>
      </c>
      <c r="B382" s="359" t="str">
        <f>'Front Sheet and Checklist'!$C$5</f>
        <v>Swansea Bay UHB</v>
      </c>
      <c r="C382" s="17"/>
      <c r="D382" s="17"/>
      <c r="E382" s="17"/>
      <c r="F382" s="17"/>
      <c r="G382" s="17"/>
      <c r="H382" s="17"/>
      <c r="I382" s="361">
        <f t="shared" si="91"/>
        <v>0</v>
      </c>
      <c r="J382" s="17"/>
      <c r="K382" s="18"/>
      <c r="L382" s="18"/>
      <c r="M382" s="17"/>
      <c r="N382" s="17"/>
      <c r="O382" s="17"/>
      <c r="P382" s="17"/>
      <c r="Q382" s="169"/>
      <c r="R382" s="24"/>
      <c r="S382" s="24"/>
      <c r="T382" s="24"/>
      <c r="U382" s="25"/>
      <c r="V382" s="25"/>
      <c r="W382" s="25"/>
      <c r="X382" s="24"/>
      <c r="Y382" s="24"/>
      <c r="Z382" s="24"/>
      <c r="AA382" s="24"/>
      <c r="AB382" s="24"/>
      <c r="AC382" s="24"/>
      <c r="AD382" s="361">
        <f t="shared" si="90"/>
        <v>0</v>
      </c>
      <c r="AE382" s="359" t="str">
        <f t="shared" si="79"/>
        <v/>
      </c>
      <c r="AF382" s="359" t="str">
        <f t="shared" si="88"/>
        <v/>
      </c>
      <c r="AG382" s="359" t="str">
        <f t="shared" si="80"/>
        <v/>
      </c>
      <c r="AH382" s="359" t="str">
        <f t="shared" si="81"/>
        <v/>
      </c>
      <c r="AI382" s="359" t="str">
        <f t="shared" si="82"/>
        <v/>
      </c>
      <c r="AJ382" s="359" t="str">
        <f t="shared" si="83"/>
        <v/>
      </c>
      <c r="AK382" s="359" t="str">
        <f t="shared" si="85"/>
        <v/>
      </c>
      <c r="AL382" s="359" t="str">
        <f t="shared" si="84"/>
        <v/>
      </c>
      <c r="AM382" s="359" t="str">
        <f t="shared" si="86"/>
        <v/>
      </c>
      <c r="AN382" s="262">
        <f t="shared" si="89"/>
        <v>0</v>
      </c>
      <c r="AO382" s="262" t="str">
        <f>IFERROR(HLOOKUP(AN382,'Ref Lists'!Q$1:AL$2,2,FALSE),'Ref Lists'!$AK$2)</f>
        <v>Savings21</v>
      </c>
      <c r="AP382" s="38"/>
      <c r="AQ382" s="38">
        <f t="shared" si="92"/>
        <v>0</v>
      </c>
      <c r="AR382" s="38"/>
      <c r="AS382" s="38"/>
      <c r="AT382" s="38"/>
      <c r="AU382" s="38"/>
      <c r="AV382" s="38"/>
      <c r="AW382" s="38"/>
      <c r="AX382" s="38"/>
      <c r="AY382" s="38"/>
      <c r="AZ382" s="38"/>
      <c r="BA382" s="38"/>
      <c r="BB382" s="38"/>
      <c r="BC382" s="38"/>
      <c r="BD382" s="38"/>
      <c r="BE382" s="38"/>
      <c r="BF382" s="38"/>
      <c r="BG382" s="38"/>
      <c r="BH382" s="38"/>
      <c r="BI382" s="38"/>
      <c r="BJ382" s="38"/>
      <c r="BK382" s="38"/>
      <c r="BL382" s="38"/>
      <c r="BM382" s="38"/>
      <c r="BN382" s="38"/>
      <c r="BO382" s="38"/>
      <c r="BP382" s="38"/>
      <c r="BQ382" s="38"/>
      <c r="BR382" s="38"/>
      <c r="BS382" s="38"/>
      <c r="BT382" s="38"/>
      <c r="BU382" s="38"/>
      <c r="BV382" s="38"/>
      <c r="BW382" s="38"/>
      <c r="BX382" s="38"/>
      <c r="BY382" s="38"/>
      <c r="BZ382" s="38"/>
      <c r="CA382" s="38"/>
      <c r="CB382" s="38"/>
      <c r="CC382" s="38"/>
      <c r="CD382" s="38"/>
      <c r="CE382" s="38"/>
      <c r="CF382" s="38"/>
      <c r="CG382" s="38"/>
      <c r="CH382" s="38"/>
      <c r="CI382" s="38"/>
      <c r="CJ382" s="38"/>
      <c r="CK382" s="38"/>
      <c r="CL382" s="38"/>
      <c r="CM382" s="38"/>
      <c r="CN382" s="38"/>
      <c r="CO382" s="38"/>
      <c r="CP382" s="38"/>
      <c r="CQ382" s="38"/>
      <c r="CR382" s="38"/>
      <c r="CS382" s="38"/>
      <c r="CT382" s="38"/>
      <c r="CU382" s="38"/>
      <c r="CV382" s="38"/>
      <c r="CW382" s="38"/>
      <c r="CX382" s="38"/>
      <c r="CY382" s="38"/>
      <c r="CZ382" s="38"/>
    </row>
    <row r="383" spans="1:104" s="40" customFormat="1" ht="20.149999999999999" customHeight="1">
      <c r="A383" s="358">
        <f t="shared" si="87"/>
        <v>382</v>
      </c>
      <c r="B383" s="359" t="str">
        <f>'Front Sheet and Checklist'!$C$5</f>
        <v>Swansea Bay UHB</v>
      </c>
      <c r="C383" s="17"/>
      <c r="D383" s="17"/>
      <c r="E383" s="17"/>
      <c r="F383" s="17"/>
      <c r="G383" s="17"/>
      <c r="H383" s="17"/>
      <c r="I383" s="361">
        <f t="shared" si="91"/>
        <v>0</v>
      </c>
      <c r="J383" s="17"/>
      <c r="K383" s="18"/>
      <c r="L383" s="18"/>
      <c r="M383" s="17"/>
      <c r="N383" s="17"/>
      <c r="O383" s="17"/>
      <c r="P383" s="17"/>
      <c r="Q383" s="169"/>
      <c r="R383" s="24"/>
      <c r="S383" s="24"/>
      <c r="T383" s="24"/>
      <c r="U383" s="25"/>
      <c r="V383" s="25"/>
      <c r="W383" s="25"/>
      <c r="X383" s="24"/>
      <c r="Y383" s="24"/>
      <c r="Z383" s="24"/>
      <c r="AA383" s="24"/>
      <c r="AB383" s="24"/>
      <c r="AC383" s="24"/>
      <c r="AD383" s="361">
        <f t="shared" si="90"/>
        <v>0</v>
      </c>
      <c r="AE383" s="359" t="str">
        <f t="shared" si="79"/>
        <v/>
      </c>
      <c r="AF383" s="359" t="str">
        <f t="shared" si="88"/>
        <v/>
      </c>
      <c r="AG383" s="359" t="str">
        <f t="shared" si="80"/>
        <v/>
      </c>
      <c r="AH383" s="359" t="str">
        <f t="shared" si="81"/>
        <v/>
      </c>
      <c r="AI383" s="359" t="str">
        <f t="shared" si="82"/>
        <v/>
      </c>
      <c r="AJ383" s="359" t="str">
        <f t="shared" si="83"/>
        <v/>
      </c>
      <c r="AK383" s="359" t="str">
        <f t="shared" si="85"/>
        <v/>
      </c>
      <c r="AL383" s="359" t="str">
        <f t="shared" si="84"/>
        <v/>
      </c>
      <c r="AM383" s="359" t="str">
        <f t="shared" si="86"/>
        <v/>
      </c>
      <c r="AN383" s="262">
        <f t="shared" si="89"/>
        <v>0</v>
      </c>
      <c r="AO383" s="262" t="str">
        <f>IFERROR(HLOOKUP(AN383,'Ref Lists'!Q$1:AL$2,2,FALSE),'Ref Lists'!$AK$2)</f>
        <v>Savings21</v>
      </c>
      <c r="AP383" s="38"/>
      <c r="AQ383" s="38">
        <f t="shared" si="92"/>
        <v>0</v>
      </c>
      <c r="AR383" s="38"/>
      <c r="AS383" s="38"/>
      <c r="AT383" s="38"/>
      <c r="AU383" s="38"/>
      <c r="AV383" s="38"/>
      <c r="AW383" s="38"/>
      <c r="AX383" s="38"/>
      <c r="AY383" s="38"/>
      <c r="AZ383" s="38"/>
      <c r="BA383" s="38"/>
      <c r="BB383" s="38"/>
      <c r="BC383" s="38"/>
      <c r="BD383" s="38"/>
      <c r="BE383" s="38"/>
      <c r="BF383" s="38"/>
      <c r="BG383" s="38"/>
      <c r="BH383" s="38"/>
      <c r="BI383" s="38"/>
      <c r="BJ383" s="38"/>
      <c r="BK383" s="38"/>
      <c r="BL383" s="38"/>
      <c r="BM383" s="38"/>
      <c r="BN383" s="38"/>
      <c r="BO383" s="38"/>
      <c r="BP383" s="38"/>
      <c r="BQ383" s="38"/>
      <c r="BR383" s="38"/>
      <c r="BS383" s="38"/>
      <c r="BT383" s="38"/>
      <c r="BU383" s="38"/>
      <c r="BV383" s="38"/>
      <c r="BW383" s="38"/>
      <c r="BX383" s="38"/>
      <c r="BY383" s="38"/>
      <c r="BZ383" s="38"/>
      <c r="CA383" s="38"/>
      <c r="CB383" s="38"/>
      <c r="CC383" s="38"/>
      <c r="CD383" s="38"/>
      <c r="CE383" s="38"/>
      <c r="CF383" s="38"/>
      <c r="CG383" s="38"/>
      <c r="CH383" s="38"/>
      <c r="CI383" s="38"/>
      <c r="CJ383" s="38"/>
      <c r="CK383" s="38"/>
      <c r="CL383" s="38"/>
      <c r="CM383" s="38"/>
      <c r="CN383" s="38"/>
      <c r="CO383" s="38"/>
      <c r="CP383" s="38"/>
      <c r="CQ383" s="38"/>
      <c r="CR383" s="38"/>
      <c r="CS383" s="38"/>
      <c r="CT383" s="38"/>
      <c r="CU383" s="38"/>
      <c r="CV383" s="38"/>
      <c r="CW383" s="38"/>
      <c r="CX383" s="38"/>
      <c r="CY383" s="38"/>
      <c r="CZ383" s="38"/>
    </row>
    <row r="384" spans="1:104" s="40" customFormat="1" ht="20.149999999999999" customHeight="1">
      <c r="A384" s="358">
        <f t="shared" si="87"/>
        <v>383</v>
      </c>
      <c r="B384" s="359" t="str">
        <f>'Front Sheet and Checklist'!$C$5</f>
        <v>Swansea Bay UHB</v>
      </c>
      <c r="C384" s="17"/>
      <c r="D384" s="17"/>
      <c r="E384" s="17"/>
      <c r="F384" s="17"/>
      <c r="G384" s="17"/>
      <c r="H384" s="17"/>
      <c r="I384" s="361">
        <f t="shared" si="91"/>
        <v>0</v>
      </c>
      <c r="J384" s="17"/>
      <c r="K384" s="18"/>
      <c r="L384" s="18"/>
      <c r="M384" s="17"/>
      <c r="N384" s="17"/>
      <c r="O384" s="17"/>
      <c r="P384" s="17"/>
      <c r="Q384" s="169"/>
      <c r="R384" s="24"/>
      <c r="S384" s="24"/>
      <c r="T384" s="24"/>
      <c r="U384" s="25"/>
      <c r="V384" s="25"/>
      <c r="W384" s="25"/>
      <c r="X384" s="24"/>
      <c r="Y384" s="24"/>
      <c r="Z384" s="24"/>
      <c r="AA384" s="24"/>
      <c r="AB384" s="24"/>
      <c r="AC384" s="24"/>
      <c r="AD384" s="361">
        <f t="shared" si="90"/>
        <v>0</v>
      </c>
      <c r="AE384" s="359" t="str">
        <f t="shared" si="79"/>
        <v/>
      </c>
      <c r="AF384" s="359" t="str">
        <f t="shared" si="88"/>
        <v/>
      </c>
      <c r="AG384" s="359" t="str">
        <f t="shared" si="80"/>
        <v/>
      </c>
      <c r="AH384" s="359" t="str">
        <f t="shared" si="81"/>
        <v/>
      </c>
      <c r="AI384" s="359" t="str">
        <f t="shared" si="82"/>
        <v/>
      </c>
      <c r="AJ384" s="359" t="str">
        <f t="shared" si="83"/>
        <v/>
      </c>
      <c r="AK384" s="359" t="str">
        <f t="shared" si="85"/>
        <v/>
      </c>
      <c r="AL384" s="359" t="str">
        <f t="shared" si="84"/>
        <v/>
      </c>
      <c r="AM384" s="359" t="str">
        <f t="shared" si="86"/>
        <v/>
      </c>
      <c r="AN384" s="262">
        <f t="shared" si="89"/>
        <v>0</v>
      </c>
      <c r="AO384" s="262" t="str">
        <f>IFERROR(HLOOKUP(AN384,'Ref Lists'!Q$1:AL$2,2,FALSE),'Ref Lists'!$AK$2)</f>
        <v>Savings21</v>
      </c>
      <c r="AP384" s="38"/>
      <c r="AQ384" s="38">
        <f t="shared" si="92"/>
        <v>0</v>
      </c>
      <c r="AR384" s="38"/>
      <c r="AS384" s="38"/>
      <c r="AT384" s="38"/>
      <c r="AU384" s="38"/>
      <c r="AV384" s="38"/>
      <c r="AW384" s="38"/>
      <c r="AX384" s="38"/>
      <c r="AY384" s="38"/>
      <c r="AZ384" s="38"/>
      <c r="BA384" s="38"/>
      <c r="BB384" s="38"/>
      <c r="BC384" s="38"/>
      <c r="BD384" s="38"/>
      <c r="BE384" s="38"/>
      <c r="BF384" s="38"/>
      <c r="BG384" s="38"/>
      <c r="BH384" s="38"/>
      <c r="BI384" s="38"/>
      <c r="BJ384" s="38"/>
      <c r="BK384" s="38"/>
      <c r="BL384" s="38"/>
      <c r="BM384" s="38"/>
      <c r="BN384" s="38"/>
      <c r="BO384" s="38"/>
      <c r="BP384" s="38"/>
      <c r="BQ384" s="38"/>
      <c r="BR384" s="38"/>
      <c r="BS384" s="38"/>
      <c r="BT384" s="38"/>
      <c r="BU384" s="38"/>
      <c r="BV384" s="38"/>
      <c r="BW384" s="38"/>
      <c r="BX384" s="38"/>
      <c r="BY384" s="38"/>
      <c r="BZ384" s="38"/>
      <c r="CA384" s="38"/>
      <c r="CB384" s="38"/>
      <c r="CC384" s="38"/>
      <c r="CD384" s="38"/>
      <c r="CE384" s="38"/>
      <c r="CF384" s="38"/>
      <c r="CG384" s="38"/>
      <c r="CH384" s="38"/>
      <c r="CI384" s="38"/>
      <c r="CJ384" s="38"/>
      <c r="CK384" s="38"/>
      <c r="CL384" s="38"/>
      <c r="CM384" s="38"/>
      <c r="CN384" s="38"/>
      <c r="CO384" s="38"/>
      <c r="CP384" s="38"/>
      <c r="CQ384" s="38"/>
      <c r="CR384" s="38"/>
      <c r="CS384" s="38"/>
      <c r="CT384" s="38"/>
      <c r="CU384" s="38"/>
      <c r="CV384" s="38"/>
      <c r="CW384" s="38"/>
      <c r="CX384" s="38"/>
      <c r="CY384" s="38"/>
      <c r="CZ384" s="38"/>
    </row>
    <row r="385" spans="1:104" s="40" customFormat="1" ht="20.149999999999999" customHeight="1">
      <c r="A385" s="358">
        <f t="shared" si="87"/>
        <v>384</v>
      </c>
      <c r="B385" s="359" t="str">
        <f>'Front Sheet and Checklist'!$C$5</f>
        <v>Swansea Bay UHB</v>
      </c>
      <c r="C385" s="17"/>
      <c r="D385" s="17"/>
      <c r="E385" s="17"/>
      <c r="F385" s="17"/>
      <c r="G385" s="17"/>
      <c r="H385" s="17"/>
      <c r="I385" s="361">
        <f t="shared" si="91"/>
        <v>0</v>
      </c>
      <c r="J385" s="17"/>
      <c r="K385" s="18"/>
      <c r="L385" s="18"/>
      <c r="M385" s="17"/>
      <c r="N385" s="17"/>
      <c r="O385" s="17"/>
      <c r="P385" s="17"/>
      <c r="Q385" s="169"/>
      <c r="R385" s="24"/>
      <c r="S385" s="24"/>
      <c r="T385" s="24"/>
      <c r="U385" s="25"/>
      <c r="V385" s="25"/>
      <c r="W385" s="25"/>
      <c r="X385" s="24"/>
      <c r="Y385" s="24"/>
      <c r="Z385" s="24"/>
      <c r="AA385" s="24"/>
      <c r="AB385" s="24"/>
      <c r="AC385" s="24"/>
      <c r="AD385" s="361">
        <f t="shared" si="90"/>
        <v>0</v>
      </c>
      <c r="AE385" s="359" t="str">
        <f t="shared" si="79"/>
        <v/>
      </c>
      <c r="AF385" s="359" t="str">
        <f t="shared" si="88"/>
        <v/>
      </c>
      <c r="AG385" s="359" t="str">
        <f t="shared" si="80"/>
        <v/>
      </c>
      <c r="AH385" s="359" t="str">
        <f t="shared" si="81"/>
        <v/>
      </c>
      <c r="AI385" s="359" t="str">
        <f t="shared" si="82"/>
        <v/>
      </c>
      <c r="AJ385" s="359" t="str">
        <f t="shared" si="83"/>
        <v/>
      </c>
      <c r="AK385" s="359" t="str">
        <f t="shared" si="85"/>
        <v/>
      </c>
      <c r="AL385" s="359" t="str">
        <f t="shared" si="84"/>
        <v/>
      </c>
      <c r="AM385" s="359" t="str">
        <f t="shared" si="86"/>
        <v/>
      </c>
      <c r="AN385" s="262">
        <f t="shared" si="89"/>
        <v>0</v>
      </c>
      <c r="AO385" s="262" t="str">
        <f>IFERROR(HLOOKUP(AN385,'Ref Lists'!Q$1:AL$2,2,FALSE),'Ref Lists'!$AK$2)</f>
        <v>Savings21</v>
      </c>
      <c r="AP385" s="38"/>
      <c r="AQ385" s="38">
        <f t="shared" si="92"/>
        <v>0</v>
      </c>
      <c r="AR385" s="38"/>
      <c r="AS385" s="38"/>
      <c r="AT385" s="38"/>
      <c r="AU385" s="38"/>
      <c r="AV385" s="38"/>
      <c r="AW385" s="38"/>
      <c r="AX385" s="38"/>
      <c r="AY385" s="38"/>
      <c r="AZ385" s="38"/>
      <c r="BA385" s="38"/>
      <c r="BB385" s="38"/>
      <c r="BC385" s="38"/>
      <c r="BD385" s="38"/>
      <c r="BE385" s="38"/>
      <c r="BF385" s="38"/>
      <c r="BG385" s="38"/>
      <c r="BH385" s="38"/>
      <c r="BI385" s="38"/>
      <c r="BJ385" s="38"/>
      <c r="BK385" s="38"/>
      <c r="BL385" s="38"/>
      <c r="BM385" s="38"/>
      <c r="BN385" s="38"/>
      <c r="BO385" s="38"/>
      <c r="BP385" s="38"/>
      <c r="BQ385" s="38"/>
      <c r="BR385" s="38"/>
      <c r="BS385" s="38"/>
      <c r="BT385" s="38"/>
      <c r="BU385" s="38"/>
      <c r="BV385" s="38"/>
      <c r="BW385" s="38"/>
      <c r="BX385" s="38"/>
      <c r="BY385" s="38"/>
      <c r="BZ385" s="38"/>
      <c r="CA385" s="38"/>
      <c r="CB385" s="38"/>
      <c r="CC385" s="38"/>
      <c r="CD385" s="38"/>
      <c r="CE385" s="38"/>
      <c r="CF385" s="38"/>
      <c r="CG385" s="38"/>
      <c r="CH385" s="38"/>
      <c r="CI385" s="38"/>
      <c r="CJ385" s="38"/>
      <c r="CK385" s="38"/>
      <c r="CL385" s="38"/>
      <c r="CM385" s="38"/>
      <c r="CN385" s="38"/>
      <c r="CO385" s="38"/>
      <c r="CP385" s="38"/>
      <c r="CQ385" s="38"/>
      <c r="CR385" s="38"/>
      <c r="CS385" s="38"/>
      <c r="CT385" s="38"/>
      <c r="CU385" s="38"/>
      <c r="CV385" s="38"/>
      <c r="CW385" s="38"/>
      <c r="CX385" s="38"/>
      <c r="CY385" s="38"/>
      <c r="CZ385" s="38"/>
    </row>
    <row r="386" spans="1:104" s="40" customFormat="1" ht="20.149999999999999" customHeight="1">
      <c r="A386" s="358">
        <f t="shared" si="87"/>
        <v>385</v>
      </c>
      <c r="B386" s="359" t="str">
        <f>'Front Sheet and Checklist'!$C$5</f>
        <v>Swansea Bay UHB</v>
      </c>
      <c r="C386" s="17"/>
      <c r="D386" s="17"/>
      <c r="E386" s="17"/>
      <c r="F386" s="17"/>
      <c r="G386" s="17"/>
      <c r="H386" s="17"/>
      <c r="I386" s="361">
        <f t="shared" si="91"/>
        <v>0</v>
      </c>
      <c r="J386" s="17"/>
      <c r="K386" s="18"/>
      <c r="L386" s="18"/>
      <c r="M386" s="17"/>
      <c r="N386" s="17"/>
      <c r="O386" s="17"/>
      <c r="P386" s="17"/>
      <c r="Q386" s="169"/>
      <c r="R386" s="24"/>
      <c r="S386" s="24"/>
      <c r="T386" s="24"/>
      <c r="U386" s="25"/>
      <c r="V386" s="25"/>
      <c r="W386" s="25"/>
      <c r="X386" s="24"/>
      <c r="Y386" s="24"/>
      <c r="Z386" s="24"/>
      <c r="AA386" s="24"/>
      <c r="AB386" s="24"/>
      <c r="AC386" s="24"/>
      <c r="AD386" s="361">
        <f t="shared" si="90"/>
        <v>0</v>
      </c>
      <c r="AE386" s="359" t="str">
        <f t="shared" ref="AE386:AE449" si="93">IF(AND(I386&gt;0,H386&lt;&gt;"Income Generation"),IF(AND(H386&lt;&gt;"",D386&lt;&gt;"",E386&lt;&gt;"",F386&lt;&gt;"",C386&lt;&gt;"",G386&lt;&gt;"",K386&lt;&gt;"",L386&lt;&gt;"",M386&lt;&gt;"",N386&lt;&gt;"",P386&lt;&gt;"",Q386&lt;&gt;"",O386&lt;&gt;""),"","ERROR"),"")</f>
        <v/>
      </c>
      <c r="AF386" s="359" t="str">
        <f t="shared" si="88"/>
        <v/>
      </c>
      <c r="AG386" s="359" t="str">
        <f t="shared" ref="AG386:AG449" si="94">IF(AND(I386&gt;0,O386=""),"ERROR","")</f>
        <v/>
      </c>
      <c r="AH386" s="359" t="str">
        <f t="shared" ref="AH386:AH449" si="95">IF(AND(OR(H386="Income Generation"),O386&lt;&gt;""),"ERROR","")</f>
        <v/>
      </c>
      <c r="AI386" s="359" t="str">
        <f t="shared" ref="AI386:AI449" si="96">IF(AND(G386="R",I386&gt;J386),"ERROR","")</f>
        <v/>
      </c>
      <c r="AJ386" s="359" t="str">
        <f t="shared" ref="AJ386:AJ449" si="97">IF(AND(G386="NR",J386&gt;0),"ERROR","")</f>
        <v/>
      </c>
      <c r="AK386" s="359" t="str">
        <f t="shared" si="85"/>
        <v/>
      </c>
      <c r="AL386" s="359" t="str">
        <f t="shared" ref="AL386:AL449" si="98">IF(OR(L386="",L386="N/A"),"",IF(OR(L386&lt;DATEVALUE("01/04/24"),L386&gt;DATEVALUE("31/03/25")),"ERROR",""))</f>
        <v/>
      </c>
      <c r="AM386" s="359" t="str">
        <f t="shared" si="86"/>
        <v/>
      </c>
      <c r="AN386" s="262">
        <f t="shared" si="89"/>
        <v>0</v>
      </c>
      <c r="AO386" s="262" t="str">
        <f>IFERROR(HLOOKUP(AN386,'Ref Lists'!Q$1:AL$2,2,FALSE),'Ref Lists'!$AK$2)</f>
        <v>Savings21</v>
      </c>
      <c r="AP386" s="38"/>
      <c r="AQ386" s="38">
        <f t="shared" si="92"/>
        <v>0</v>
      </c>
      <c r="AR386" s="38"/>
      <c r="AS386" s="38"/>
      <c r="AT386" s="38"/>
      <c r="AU386" s="38"/>
      <c r="AV386" s="38"/>
      <c r="AW386" s="38"/>
      <c r="AX386" s="38"/>
      <c r="AY386" s="38"/>
      <c r="AZ386" s="38"/>
      <c r="BA386" s="38"/>
      <c r="BB386" s="38"/>
      <c r="BC386" s="38"/>
      <c r="BD386" s="38"/>
      <c r="BE386" s="38"/>
      <c r="BF386" s="38"/>
      <c r="BG386" s="38"/>
      <c r="BH386" s="38"/>
      <c r="BI386" s="38"/>
      <c r="BJ386" s="38"/>
      <c r="BK386" s="38"/>
      <c r="BL386" s="38"/>
      <c r="BM386" s="38"/>
      <c r="BN386" s="38"/>
      <c r="BO386" s="38"/>
      <c r="BP386" s="38"/>
      <c r="BQ386" s="38"/>
      <c r="BR386" s="38"/>
      <c r="BS386" s="38"/>
      <c r="BT386" s="38"/>
      <c r="BU386" s="38"/>
      <c r="BV386" s="38"/>
      <c r="BW386" s="38"/>
      <c r="BX386" s="38"/>
      <c r="BY386" s="38"/>
      <c r="BZ386" s="38"/>
      <c r="CA386" s="38"/>
      <c r="CB386" s="38"/>
      <c r="CC386" s="38"/>
      <c r="CD386" s="38"/>
      <c r="CE386" s="38"/>
      <c r="CF386" s="38"/>
      <c r="CG386" s="38"/>
      <c r="CH386" s="38"/>
      <c r="CI386" s="38"/>
      <c r="CJ386" s="38"/>
      <c r="CK386" s="38"/>
      <c r="CL386" s="38"/>
      <c r="CM386" s="38"/>
      <c r="CN386" s="38"/>
      <c r="CO386" s="38"/>
      <c r="CP386" s="38"/>
      <c r="CQ386" s="38"/>
      <c r="CR386" s="38"/>
      <c r="CS386" s="38"/>
      <c r="CT386" s="38"/>
      <c r="CU386" s="38"/>
      <c r="CV386" s="38"/>
      <c r="CW386" s="38"/>
      <c r="CX386" s="38"/>
      <c r="CY386" s="38"/>
      <c r="CZ386" s="38"/>
    </row>
    <row r="387" spans="1:104" s="40" customFormat="1" ht="20.149999999999999" customHeight="1">
      <c r="A387" s="358">
        <f t="shared" si="87"/>
        <v>386</v>
      </c>
      <c r="B387" s="359" t="str">
        <f>'Front Sheet and Checklist'!$C$5</f>
        <v>Swansea Bay UHB</v>
      </c>
      <c r="C387" s="17"/>
      <c r="D387" s="17"/>
      <c r="E387" s="17"/>
      <c r="F387" s="17"/>
      <c r="G387" s="17"/>
      <c r="H387" s="17"/>
      <c r="I387" s="361">
        <f t="shared" si="91"/>
        <v>0</v>
      </c>
      <c r="J387" s="17"/>
      <c r="K387" s="18"/>
      <c r="L387" s="18"/>
      <c r="M387" s="17"/>
      <c r="N387" s="17"/>
      <c r="O387" s="17"/>
      <c r="P387" s="17"/>
      <c r="Q387" s="169"/>
      <c r="R387" s="24"/>
      <c r="S387" s="24"/>
      <c r="T387" s="24"/>
      <c r="U387" s="25"/>
      <c r="V387" s="25"/>
      <c r="W387" s="25"/>
      <c r="X387" s="24"/>
      <c r="Y387" s="24"/>
      <c r="Z387" s="24"/>
      <c r="AA387" s="24"/>
      <c r="AB387" s="24"/>
      <c r="AC387" s="24"/>
      <c r="AD387" s="361">
        <f t="shared" si="90"/>
        <v>0</v>
      </c>
      <c r="AE387" s="359" t="str">
        <f t="shared" si="93"/>
        <v/>
      </c>
      <c r="AF387" s="359" t="str">
        <f t="shared" si="88"/>
        <v/>
      </c>
      <c r="AG387" s="359" t="str">
        <f t="shared" si="94"/>
        <v/>
      </c>
      <c r="AH387" s="359" t="str">
        <f t="shared" si="95"/>
        <v/>
      </c>
      <c r="AI387" s="359" t="str">
        <f t="shared" si="96"/>
        <v/>
      </c>
      <c r="AJ387" s="359" t="str">
        <f t="shared" si="97"/>
        <v/>
      </c>
      <c r="AK387" s="359" t="str">
        <f t="shared" ref="AK387:AK450" si="99">IF(OR(K387="",K387="N/a"),"",IF(OR(K387&lt;DATEVALUE("01/04/24"),K387&gt;DATEVALUE("31/03/25")),"ERROR",""))</f>
        <v/>
      </c>
      <c r="AL387" s="359" t="str">
        <f t="shared" si="98"/>
        <v/>
      </c>
      <c r="AM387" s="359" t="str">
        <f t="shared" ref="AM387:AM450" si="100">IF(COUNTA(T387:AC387)&lt;&gt;COUNT(T387:AC387),"ERROR","")</f>
        <v/>
      </c>
      <c r="AN387" s="262">
        <f t="shared" si="89"/>
        <v>0</v>
      </c>
      <c r="AO387" s="262" t="str">
        <f>IFERROR(HLOOKUP(AN387,'Ref Lists'!Q$1:AL$2,2,FALSE),'Ref Lists'!$AK$2)</f>
        <v>Savings21</v>
      </c>
      <c r="AP387" s="38"/>
      <c r="AQ387" s="38">
        <f t="shared" si="92"/>
        <v>0</v>
      </c>
      <c r="AR387" s="38"/>
      <c r="AS387" s="38"/>
      <c r="AT387" s="38"/>
      <c r="AU387" s="38"/>
      <c r="AV387" s="38"/>
      <c r="AW387" s="38"/>
      <c r="AX387" s="38"/>
      <c r="AY387" s="38"/>
      <c r="AZ387" s="38"/>
      <c r="BA387" s="38"/>
      <c r="BB387" s="38"/>
      <c r="BC387" s="38"/>
      <c r="BD387" s="38"/>
      <c r="BE387" s="38"/>
      <c r="BF387" s="38"/>
      <c r="BG387" s="38"/>
      <c r="BH387" s="38"/>
      <c r="BI387" s="38"/>
      <c r="BJ387" s="38"/>
      <c r="BK387" s="38"/>
      <c r="BL387" s="38"/>
      <c r="BM387" s="38"/>
      <c r="BN387" s="38"/>
      <c r="BO387" s="38"/>
      <c r="BP387" s="38"/>
      <c r="BQ387" s="38"/>
      <c r="BR387" s="38"/>
      <c r="BS387" s="38"/>
      <c r="BT387" s="38"/>
      <c r="BU387" s="38"/>
      <c r="BV387" s="38"/>
      <c r="BW387" s="38"/>
      <c r="BX387" s="38"/>
      <c r="BY387" s="38"/>
      <c r="BZ387" s="38"/>
      <c r="CA387" s="38"/>
      <c r="CB387" s="38"/>
      <c r="CC387" s="38"/>
      <c r="CD387" s="38"/>
      <c r="CE387" s="38"/>
      <c r="CF387" s="38"/>
      <c r="CG387" s="38"/>
      <c r="CH387" s="38"/>
      <c r="CI387" s="38"/>
      <c r="CJ387" s="38"/>
      <c r="CK387" s="38"/>
      <c r="CL387" s="38"/>
      <c r="CM387" s="38"/>
      <c r="CN387" s="38"/>
      <c r="CO387" s="38"/>
      <c r="CP387" s="38"/>
      <c r="CQ387" s="38"/>
      <c r="CR387" s="38"/>
      <c r="CS387" s="38"/>
      <c r="CT387" s="38"/>
      <c r="CU387" s="38"/>
      <c r="CV387" s="38"/>
      <c r="CW387" s="38"/>
      <c r="CX387" s="38"/>
      <c r="CY387" s="38"/>
      <c r="CZ387" s="38"/>
    </row>
    <row r="388" spans="1:104" s="40" customFormat="1" ht="20.149999999999999" customHeight="1">
      <c r="A388" s="358">
        <f t="shared" ref="A388:A451" si="101">+A387+1</f>
        <v>387</v>
      </c>
      <c r="B388" s="359" t="str">
        <f>'Front Sheet and Checklist'!$C$5</f>
        <v>Swansea Bay UHB</v>
      </c>
      <c r="C388" s="17"/>
      <c r="D388" s="17"/>
      <c r="E388" s="17"/>
      <c r="F388" s="17"/>
      <c r="G388" s="17"/>
      <c r="H388" s="17"/>
      <c r="I388" s="361">
        <f t="shared" si="91"/>
        <v>0</v>
      </c>
      <c r="J388" s="17"/>
      <c r="K388" s="18"/>
      <c r="L388" s="18"/>
      <c r="M388" s="17"/>
      <c r="N388" s="17"/>
      <c r="O388" s="17"/>
      <c r="P388" s="17"/>
      <c r="Q388" s="169"/>
      <c r="R388" s="24"/>
      <c r="S388" s="24"/>
      <c r="T388" s="24"/>
      <c r="U388" s="25"/>
      <c r="V388" s="25"/>
      <c r="W388" s="25"/>
      <c r="X388" s="24"/>
      <c r="Y388" s="24"/>
      <c r="Z388" s="24"/>
      <c r="AA388" s="24"/>
      <c r="AB388" s="24"/>
      <c r="AC388" s="24"/>
      <c r="AD388" s="361">
        <f t="shared" si="90"/>
        <v>0</v>
      </c>
      <c r="AE388" s="359" t="str">
        <f t="shared" si="93"/>
        <v/>
      </c>
      <c r="AF388" s="359" t="str">
        <f t="shared" ref="AF388:AF451" si="102">IF(COUNTIF($F$2:$F$1001,F388)&gt;1,"ERROR","")</f>
        <v/>
      </c>
      <c r="AG388" s="359" t="str">
        <f t="shared" si="94"/>
        <v/>
      </c>
      <c r="AH388" s="359" t="str">
        <f t="shared" si="95"/>
        <v/>
      </c>
      <c r="AI388" s="359" t="str">
        <f t="shared" si="96"/>
        <v/>
      </c>
      <c r="AJ388" s="359" t="str">
        <f t="shared" si="97"/>
        <v/>
      </c>
      <c r="AK388" s="359" t="str">
        <f t="shared" si="99"/>
        <v/>
      </c>
      <c r="AL388" s="359" t="str">
        <f t="shared" si="98"/>
        <v/>
      </c>
      <c r="AM388" s="359" t="str">
        <f t="shared" si="100"/>
        <v/>
      </c>
      <c r="AN388" s="262">
        <f t="shared" si="89"/>
        <v>0</v>
      </c>
      <c r="AO388" s="262" t="str">
        <f>IFERROR(HLOOKUP(AN388,'Ref Lists'!Q$1:AL$2,2,FALSE),'Ref Lists'!$AK$2)</f>
        <v>Savings21</v>
      </c>
      <c r="AP388" s="38"/>
      <c r="AQ388" s="38">
        <f t="shared" si="92"/>
        <v>0</v>
      </c>
      <c r="AR388" s="38"/>
      <c r="AS388" s="38"/>
      <c r="AT388" s="38"/>
      <c r="AU388" s="38"/>
      <c r="AV388" s="38"/>
      <c r="AW388" s="38"/>
      <c r="AX388" s="38"/>
      <c r="AY388" s="38"/>
      <c r="AZ388" s="38"/>
      <c r="BA388" s="38"/>
      <c r="BB388" s="38"/>
      <c r="BC388" s="38"/>
      <c r="BD388" s="38"/>
      <c r="BE388" s="38"/>
      <c r="BF388" s="38"/>
      <c r="BG388" s="38"/>
      <c r="BH388" s="38"/>
      <c r="BI388" s="38"/>
      <c r="BJ388" s="38"/>
      <c r="BK388" s="38"/>
      <c r="BL388" s="38"/>
      <c r="BM388" s="38"/>
      <c r="BN388" s="38"/>
      <c r="BO388" s="38"/>
      <c r="BP388" s="38"/>
      <c r="BQ388" s="38"/>
      <c r="BR388" s="38"/>
      <c r="BS388" s="38"/>
      <c r="BT388" s="38"/>
      <c r="BU388" s="38"/>
      <c r="BV388" s="38"/>
      <c r="BW388" s="38"/>
      <c r="BX388" s="38"/>
      <c r="BY388" s="38"/>
      <c r="BZ388" s="38"/>
      <c r="CA388" s="38"/>
      <c r="CB388" s="38"/>
      <c r="CC388" s="38"/>
      <c r="CD388" s="38"/>
      <c r="CE388" s="38"/>
      <c r="CF388" s="38"/>
      <c r="CG388" s="38"/>
      <c r="CH388" s="38"/>
      <c r="CI388" s="38"/>
      <c r="CJ388" s="38"/>
      <c r="CK388" s="38"/>
      <c r="CL388" s="38"/>
      <c r="CM388" s="38"/>
      <c r="CN388" s="38"/>
      <c r="CO388" s="38"/>
      <c r="CP388" s="38"/>
      <c r="CQ388" s="38"/>
      <c r="CR388" s="38"/>
      <c r="CS388" s="38"/>
      <c r="CT388" s="38"/>
      <c r="CU388" s="38"/>
      <c r="CV388" s="38"/>
      <c r="CW388" s="38"/>
      <c r="CX388" s="38"/>
      <c r="CY388" s="38"/>
      <c r="CZ388" s="38"/>
    </row>
    <row r="389" spans="1:104" s="40" customFormat="1" ht="20.149999999999999" customHeight="1">
      <c r="A389" s="358">
        <f t="shared" si="101"/>
        <v>388</v>
      </c>
      <c r="B389" s="359" t="str">
        <f>'Front Sheet and Checklist'!$C$5</f>
        <v>Swansea Bay UHB</v>
      </c>
      <c r="C389" s="17"/>
      <c r="D389" s="17"/>
      <c r="E389" s="17"/>
      <c r="F389" s="17"/>
      <c r="G389" s="17"/>
      <c r="H389" s="17"/>
      <c r="I389" s="361">
        <f t="shared" si="91"/>
        <v>0</v>
      </c>
      <c r="J389" s="17"/>
      <c r="K389" s="18"/>
      <c r="L389" s="18"/>
      <c r="M389" s="17"/>
      <c r="N389" s="17"/>
      <c r="O389" s="17"/>
      <c r="P389" s="17"/>
      <c r="Q389" s="169"/>
      <c r="R389" s="24"/>
      <c r="S389" s="24"/>
      <c r="T389" s="24"/>
      <c r="U389" s="25"/>
      <c r="V389" s="25"/>
      <c r="W389" s="25"/>
      <c r="X389" s="24"/>
      <c r="Y389" s="24"/>
      <c r="Z389" s="24"/>
      <c r="AA389" s="24"/>
      <c r="AB389" s="24"/>
      <c r="AC389" s="24"/>
      <c r="AD389" s="361">
        <f t="shared" si="90"/>
        <v>0</v>
      </c>
      <c r="AE389" s="359" t="str">
        <f t="shared" si="93"/>
        <v/>
      </c>
      <c r="AF389" s="359" t="str">
        <f t="shared" si="102"/>
        <v/>
      </c>
      <c r="AG389" s="359" t="str">
        <f t="shared" si="94"/>
        <v/>
      </c>
      <c r="AH389" s="359" t="str">
        <f t="shared" si="95"/>
        <v/>
      </c>
      <c r="AI389" s="359" t="str">
        <f t="shared" si="96"/>
        <v/>
      </c>
      <c r="AJ389" s="359" t="str">
        <f t="shared" si="97"/>
        <v/>
      </c>
      <c r="AK389" s="359" t="str">
        <f t="shared" si="99"/>
        <v/>
      </c>
      <c r="AL389" s="359" t="str">
        <f t="shared" si="98"/>
        <v/>
      </c>
      <c r="AM389" s="359" t="str">
        <f t="shared" si="100"/>
        <v/>
      </c>
      <c r="AN389" s="262">
        <f t="shared" ref="AN389:AN452" si="103">IF(P389="1) Workforce",_xlfn.CONCAT(P389,O389),IF(P389="5) Pathway",_xlfn.CONCAT(P389,N389),P389))</f>
        <v>0</v>
      </c>
      <c r="AO389" s="262" t="str">
        <f>IFERROR(HLOOKUP(AN389,'Ref Lists'!Q$1:AL$2,2,FALSE),'Ref Lists'!$AK$2)</f>
        <v>Savings21</v>
      </c>
      <c r="AP389" s="38"/>
      <c r="AQ389" s="38">
        <f t="shared" si="92"/>
        <v>0</v>
      </c>
      <c r="AR389" s="38"/>
      <c r="AS389" s="38"/>
      <c r="AT389" s="38"/>
      <c r="AU389" s="38"/>
      <c r="AV389" s="38"/>
      <c r="AW389" s="38"/>
      <c r="AX389" s="38"/>
      <c r="AY389" s="38"/>
      <c r="AZ389" s="38"/>
      <c r="BA389" s="38"/>
      <c r="BB389" s="38"/>
      <c r="BC389" s="38"/>
      <c r="BD389" s="38"/>
      <c r="BE389" s="38"/>
      <c r="BF389" s="38"/>
      <c r="BG389" s="38"/>
      <c r="BH389" s="38"/>
      <c r="BI389" s="38"/>
      <c r="BJ389" s="38"/>
      <c r="BK389" s="38"/>
      <c r="BL389" s="38"/>
      <c r="BM389" s="38"/>
      <c r="BN389" s="38"/>
      <c r="BO389" s="38"/>
      <c r="BP389" s="38"/>
      <c r="BQ389" s="38"/>
      <c r="BR389" s="38"/>
      <c r="BS389" s="38"/>
      <c r="BT389" s="38"/>
      <c r="BU389" s="38"/>
      <c r="BV389" s="38"/>
      <c r="BW389" s="38"/>
      <c r="BX389" s="38"/>
      <c r="BY389" s="38"/>
      <c r="BZ389" s="38"/>
      <c r="CA389" s="38"/>
      <c r="CB389" s="38"/>
      <c r="CC389" s="38"/>
      <c r="CD389" s="38"/>
      <c r="CE389" s="38"/>
      <c r="CF389" s="38"/>
      <c r="CG389" s="38"/>
      <c r="CH389" s="38"/>
      <c r="CI389" s="38"/>
      <c r="CJ389" s="38"/>
      <c r="CK389" s="38"/>
      <c r="CL389" s="38"/>
      <c r="CM389" s="38"/>
      <c r="CN389" s="38"/>
      <c r="CO389" s="38"/>
      <c r="CP389" s="38"/>
      <c r="CQ389" s="38"/>
      <c r="CR389" s="38"/>
      <c r="CS389" s="38"/>
      <c r="CT389" s="38"/>
      <c r="CU389" s="38"/>
      <c r="CV389" s="38"/>
      <c r="CW389" s="38"/>
      <c r="CX389" s="38"/>
      <c r="CY389" s="38"/>
      <c r="CZ389" s="38"/>
    </row>
    <row r="390" spans="1:104" s="40" customFormat="1" ht="20.149999999999999" customHeight="1">
      <c r="A390" s="358">
        <f t="shared" si="101"/>
        <v>389</v>
      </c>
      <c r="B390" s="359" t="str">
        <f>'Front Sheet and Checklist'!$C$5</f>
        <v>Swansea Bay UHB</v>
      </c>
      <c r="C390" s="17"/>
      <c r="D390" s="17"/>
      <c r="E390" s="17"/>
      <c r="F390" s="17"/>
      <c r="G390" s="17"/>
      <c r="H390" s="17"/>
      <c r="I390" s="361">
        <f t="shared" si="91"/>
        <v>0</v>
      </c>
      <c r="J390" s="17"/>
      <c r="K390" s="18"/>
      <c r="L390" s="18"/>
      <c r="M390" s="17"/>
      <c r="N390" s="17"/>
      <c r="O390" s="17"/>
      <c r="P390" s="17"/>
      <c r="Q390" s="169"/>
      <c r="R390" s="24"/>
      <c r="S390" s="24"/>
      <c r="T390" s="24"/>
      <c r="U390" s="25"/>
      <c r="V390" s="25"/>
      <c r="W390" s="25"/>
      <c r="X390" s="24"/>
      <c r="Y390" s="24"/>
      <c r="Z390" s="24"/>
      <c r="AA390" s="24"/>
      <c r="AB390" s="24"/>
      <c r="AC390" s="24"/>
      <c r="AD390" s="361">
        <f t="shared" si="90"/>
        <v>0</v>
      </c>
      <c r="AE390" s="359" t="str">
        <f t="shared" si="93"/>
        <v/>
      </c>
      <c r="AF390" s="359" t="str">
        <f t="shared" si="102"/>
        <v/>
      </c>
      <c r="AG390" s="359" t="str">
        <f t="shared" si="94"/>
        <v/>
      </c>
      <c r="AH390" s="359" t="str">
        <f t="shared" si="95"/>
        <v/>
      </c>
      <c r="AI390" s="359" t="str">
        <f t="shared" si="96"/>
        <v/>
      </c>
      <c r="AJ390" s="359" t="str">
        <f t="shared" si="97"/>
        <v/>
      </c>
      <c r="AK390" s="359" t="str">
        <f t="shared" si="99"/>
        <v/>
      </c>
      <c r="AL390" s="359" t="str">
        <f t="shared" si="98"/>
        <v/>
      </c>
      <c r="AM390" s="359" t="str">
        <f t="shared" si="100"/>
        <v/>
      </c>
      <c r="AN390" s="262">
        <f t="shared" si="103"/>
        <v>0</v>
      </c>
      <c r="AO390" s="262" t="str">
        <f>IFERROR(HLOOKUP(AN390,'Ref Lists'!Q$1:AL$2,2,FALSE),'Ref Lists'!$AK$2)</f>
        <v>Savings21</v>
      </c>
      <c r="AP390" s="38"/>
      <c r="AQ390" s="38">
        <f t="shared" si="92"/>
        <v>0</v>
      </c>
      <c r="AR390" s="38"/>
      <c r="AS390" s="38"/>
      <c r="AT390" s="38"/>
      <c r="AU390" s="38"/>
      <c r="AV390" s="38"/>
      <c r="AW390" s="38"/>
      <c r="AX390" s="38"/>
      <c r="AY390" s="38"/>
      <c r="AZ390" s="38"/>
      <c r="BA390" s="38"/>
      <c r="BB390" s="38"/>
      <c r="BC390" s="38"/>
      <c r="BD390" s="38"/>
      <c r="BE390" s="38"/>
      <c r="BF390" s="38"/>
      <c r="BG390" s="38"/>
      <c r="BH390" s="38"/>
      <c r="BI390" s="38"/>
      <c r="BJ390" s="38"/>
      <c r="BK390" s="38"/>
      <c r="BL390" s="38"/>
      <c r="BM390" s="38"/>
      <c r="BN390" s="38"/>
      <c r="BO390" s="38"/>
      <c r="BP390" s="38"/>
      <c r="BQ390" s="38"/>
      <c r="BR390" s="38"/>
      <c r="BS390" s="38"/>
      <c r="BT390" s="38"/>
      <c r="BU390" s="38"/>
      <c r="BV390" s="38"/>
      <c r="BW390" s="38"/>
      <c r="BX390" s="38"/>
      <c r="BY390" s="38"/>
      <c r="BZ390" s="38"/>
      <c r="CA390" s="38"/>
      <c r="CB390" s="38"/>
      <c r="CC390" s="38"/>
      <c r="CD390" s="38"/>
      <c r="CE390" s="38"/>
      <c r="CF390" s="38"/>
      <c r="CG390" s="38"/>
      <c r="CH390" s="38"/>
      <c r="CI390" s="38"/>
      <c r="CJ390" s="38"/>
      <c r="CK390" s="38"/>
      <c r="CL390" s="38"/>
      <c r="CM390" s="38"/>
      <c r="CN390" s="38"/>
      <c r="CO390" s="38"/>
      <c r="CP390" s="38"/>
      <c r="CQ390" s="38"/>
      <c r="CR390" s="38"/>
      <c r="CS390" s="38"/>
      <c r="CT390" s="38"/>
      <c r="CU390" s="38"/>
      <c r="CV390" s="38"/>
      <c r="CW390" s="38"/>
      <c r="CX390" s="38"/>
      <c r="CY390" s="38"/>
      <c r="CZ390" s="38"/>
    </row>
    <row r="391" spans="1:104" s="40" customFormat="1" ht="20.149999999999999" customHeight="1">
      <c r="A391" s="358">
        <f t="shared" si="101"/>
        <v>390</v>
      </c>
      <c r="B391" s="359" t="str">
        <f>'Front Sheet and Checklist'!$C$5</f>
        <v>Swansea Bay UHB</v>
      </c>
      <c r="C391" s="17"/>
      <c r="D391" s="17"/>
      <c r="E391" s="17"/>
      <c r="F391" s="17"/>
      <c r="G391" s="17"/>
      <c r="H391" s="17"/>
      <c r="I391" s="361">
        <f t="shared" si="91"/>
        <v>0</v>
      </c>
      <c r="J391" s="17"/>
      <c r="K391" s="18"/>
      <c r="L391" s="18"/>
      <c r="M391" s="17"/>
      <c r="N391" s="17"/>
      <c r="O391" s="17"/>
      <c r="P391" s="17"/>
      <c r="Q391" s="169"/>
      <c r="R391" s="24"/>
      <c r="S391" s="24"/>
      <c r="T391" s="24"/>
      <c r="U391" s="25"/>
      <c r="V391" s="25"/>
      <c r="W391" s="25"/>
      <c r="X391" s="24"/>
      <c r="Y391" s="24"/>
      <c r="Z391" s="24"/>
      <c r="AA391" s="24"/>
      <c r="AB391" s="24"/>
      <c r="AC391" s="24"/>
      <c r="AD391" s="361">
        <f t="shared" si="90"/>
        <v>0</v>
      </c>
      <c r="AE391" s="359" t="str">
        <f t="shared" si="93"/>
        <v/>
      </c>
      <c r="AF391" s="359" t="str">
        <f t="shared" si="102"/>
        <v/>
      </c>
      <c r="AG391" s="359" t="str">
        <f t="shared" si="94"/>
        <v/>
      </c>
      <c r="AH391" s="359" t="str">
        <f t="shared" si="95"/>
        <v/>
      </c>
      <c r="AI391" s="359" t="str">
        <f t="shared" si="96"/>
        <v/>
      </c>
      <c r="AJ391" s="359" t="str">
        <f t="shared" si="97"/>
        <v/>
      </c>
      <c r="AK391" s="359" t="str">
        <f t="shared" si="99"/>
        <v/>
      </c>
      <c r="AL391" s="359" t="str">
        <f t="shared" si="98"/>
        <v/>
      </c>
      <c r="AM391" s="359" t="str">
        <f t="shared" si="100"/>
        <v/>
      </c>
      <c r="AN391" s="262">
        <f t="shared" si="103"/>
        <v>0</v>
      </c>
      <c r="AO391" s="262" t="str">
        <f>IFERROR(HLOOKUP(AN391,'Ref Lists'!Q$1:AL$2,2,FALSE),'Ref Lists'!$AK$2)</f>
        <v>Savings21</v>
      </c>
      <c r="AP391" s="38"/>
      <c r="AQ391" s="38">
        <f t="shared" si="92"/>
        <v>0</v>
      </c>
      <c r="AR391" s="38"/>
      <c r="AS391" s="38"/>
      <c r="AT391" s="38"/>
      <c r="AU391" s="38"/>
      <c r="AV391" s="38"/>
      <c r="AW391" s="38"/>
      <c r="AX391" s="38"/>
      <c r="AY391" s="38"/>
      <c r="AZ391" s="38"/>
      <c r="BA391" s="38"/>
      <c r="BB391" s="38"/>
      <c r="BC391" s="38"/>
      <c r="BD391" s="38"/>
      <c r="BE391" s="38"/>
      <c r="BF391" s="38"/>
      <c r="BG391" s="38"/>
      <c r="BH391" s="38"/>
      <c r="BI391" s="38"/>
      <c r="BJ391" s="38"/>
      <c r="BK391" s="38"/>
      <c r="BL391" s="38"/>
      <c r="BM391" s="38"/>
      <c r="BN391" s="38"/>
      <c r="BO391" s="38"/>
      <c r="BP391" s="38"/>
      <c r="BQ391" s="38"/>
      <c r="BR391" s="38"/>
      <c r="BS391" s="38"/>
      <c r="BT391" s="38"/>
      <c r="BU391" s="38"/>
      <c r="BV391" s="38"/>
      <c r="BW391" s="38"/>
      <c r="BX391" s="38"/>
      <c r="BY391" s="38"/>
      <c r="BZ391" s="38"/>
      <c r="CA391" s="38"/>
      <c r="CB391" s="38"/>
      <c r="CC391" s="38"/>
      <c r="CD391" s="38"/>
      <c r="CE391" s="38"/>
      <c r="CF391" s="38"/>
      <c r="CG391" s="38"/>
      <c r="CH391" s="38"/>
      <c r="CI391" s="38"/>
      <c r="CJ391" s="38"/>
      <c r="CK391" s="38"/>
      <c r="CL391" s="38"/>
      <c r="CM391" s="38"/>
      <c r="CN391" s="38"/>
      <c r="CO391" s="38"/>
      <c r="CP391" s="38"/>
      <c r="CQ391" s="38"/>
      <c r="CR391" s="38"/>
      <c r="CS391" s="38"/>
      <c r="CT391" s="38"/>
      <c r="CU391" s="38"/>
      <c r="CV391" s="38"/>
      <c r="CW391" s="38"/>
      <c r="CX391" s="38"/>
      <c r="CY391" s="38"/>
      <c r="CZ391" s="38"/>
    </row>
    <row r="392" spans="1:104" s="40" customFormat="1" ht="20.149999999999999" customHeight="1">
      <c r="A392" s="358">
        <f t="shared" si="101"/>
        <v>391</v>
      </c>
      <c r="B392" s="359" t="str">
        <f>'Front Sheet and Checklist'!$C$5</f>
        <v>Swansea Bay UHB</v>
      </c>
      <c r="C392" s="17"/>
      <c r="D392" s="17"/>
      <c r="E392" s="17"/>
      <c r="F392" s="17"/>
      <c r="G392" s="17"/>
      <c r="H392" s="17"/>
      <c r="I392" s="361">
        <f t="shared" si="91"/>
        <v>0</v>
      </c>
      <c r="J392" s="17"/>
      <c r="K392" s="18"/>
      <c r="L392" s="18"/>
      <c r="M392" s="17"/>
      <c r="N392" s="17"/>
      <c r="O392" s="17"/>
      <c r="P392" s="17"/>
      <c r="Q392" s="169"/>
      <c r="R392" s="24"/>
      <c r="S392" s="24"/>
      <c r="T392" s="24"/>
      <c r="U392" s="25"/>
      <c r="V392" s="25"/>
      <c r="W392" s="25"/>
      <c r="X392" s="24"/>
      <c r="Y392" s="24"/>
      <c r="Z392" s="24"/>
      <c r="AA392" s="24"/>
      <c r="AB392" s="24"/>
      <c r="AC392" s="24"/>
      <c r="AD392" s="361">
        <f t="shared" si="90"/>
        <v>0</v>
      </c>
      <c r="AE392" s="359" t="str">
        <f t="shared" si="93"/>
        <v/>
      </c>
      <c r="AF392" s="359" t="str">
        <f t="shared" si="102"/>
        <v/>
      </c>
      <c r="AG392" s="359" t="str">
        <f t="shared" si="94"/>
        <v/>
      </c>
      <c r="AH392" s="359" t="str">
        <f t="shared" si="95"/>
        <v/>
      </c>
      <c r="AI392" s="359" t="str">
        <f t="shared" si="96"/>
        <v/>
      </c>
      <c r="AJ392" s="359" t="str">
        <f t="shared" si="97"/>
        <v/>
      </c>
      <c r="AK392" s="359" t="str">
        <f t="shared" si="99"/>
        <v/>
      </c>
      <c r="AL392" s="359" t="str">
        <f t="shared" si="98"/>
        <v/>
      </c>
      <c r="AM392" s="359" t="str">
        <f t="shared" si="100"/>
        <v/>
      </c>
      <c r="AN392" s="262">
        <f t="shared" si="103"/>
        <v>0</v>
      </c>
      <c r="AO392" s="262" t="str">
        <f>IFERROR(HLOOKUP(AN392,'Ref Lists'!Q$1:AL$2,2,FALSE),'Ref Lists'!$AK$2)</f>
        <v>Savings21</v>
      </c>
      <c r="AP392" s="38"/>
      <c r="AQ392" s="38">
        <f t="shared" si="92"/>
        <v>0</v>
      </c>
      <c r="AR392" s="38"/>
      <c r="AS392" s="38"/>
      <c r="AT392" s="38"/>
      <c r="AU392" s="38"/>
      <c r="AV392" s="38"/>
      <c r="AW392" s="38"/>
      <c r="AX392" s="38"/>
      <c r="AY392" s="38"/>
      <c r="AZ392" s="38"/>
      <c r="BA392" s="38"/>
      <c r="BB392" s="38"/>
      <c r="BC392" s="38"/>
      <c r="BD392" s="38"/>
      <c r="BE392" s="38"/>
      <c r="BF392" s="38"/>
      <c r="BG392" s="38"/>
      <c r="BH392" s="38"/>
      <c r="BI392" s="38"/>
      <c r="BJ392" s="38"/>
      <c r="BK392" s="38"/>
      <c r="BL392" s="38"/>
      <c r="BM392" s="38"/>
      <c r="BN392" s="38"/>
      <c r="BO392" s="38"/>
      <c r="BP392" s="38"/>
      <c r="BQ392" s="38"/>
      <c r="BR392" s="38"/>
      <c r="BS392" s="38"/>
      <c r="BT392" s="38"/>
      <c r="BU392" s="38"/>
      <c r="BV392" s="38"/>
      <c r="BW392" s="38"/>
      <c r="BX392" s="38"/>
      <c r="BY392" s="38"/>
      <c r="BZ392" s="38"/>
      <c r="CA392" s="38"/>
      <c r="CB392" s="38"/>
      <c r="CC392" s="38"/>
      <c r="CD392" s="38"/>
      <c r="CE392" s="38"/>
      <c r="CF392" s="38"/>
      <c r="CG392" s="38"/>
      <c r="CH392" s="38"/>
      <c r="CI392" s="38"/>
      <c r="CJ392" s="38"/>
      <c r="CK392" s="38"/>
      <c r="CL392" s="38"/>
      <c r="CM392" s="38"/>
      <c r="CN392" s="38"/>
      <c r="CO392" s="38"/>
      <c r="CP392" s="38"/>
      <c r="CQ392" s="38"/>
      <c r="CR392" s="38"/>
      <c r="CS392" s="38"/>
      <c r="CT392" s="38"/>
      <c r="CU392" s="38"/>
      <c r="CV392" s="38"/>
      <c r="CW392" s="38"/>
      <c r="CX392" s="38"/>
      <c r="CY392" s="38"/>
      <c r="CZ392" s="38"/>
    </row>
    <row r="393" spans="1:104" s="40" customFormat="1" ht="20.149999999999999" customHeight="1">
      <c r="A393" s="358">
        <f t="shared" si="101"/>
        <v>392</v>
      </c>
      <c r="B393" s="359" t="str">
        <f>'Front Sheet and Checklist'!$C$5</f>
        <v>Swansea Bay UHB</v>
      </c>
      <c r="C393" s="17"/>
      <c r="D393" s="17"/>
      <c r="E393" s="17"/>
      <c r="F393" s="17"/>
      <c r="G393" s="17"/>
      <c r="H393" s="17"/>
      <c r="I393" s="361">
        <f t="shared" si="91"/>
        <v>0</v>
      </c>
      <c r="J393" s="17"/>
      <c r="K393" s="18"/>
      <c r="L393" s="18"/>
      <c r="M393" s="17"/>
      <c r="N393" s="17"/>
      <c r="O393" s="17"/>
      <c r="P393" s="17"/>
      <c r="Q393" s="169"/>
      <c r="R393" s="24"/>
      <c r="S393" s="24"/>
      <c r="T393" s="24"/>
      <c r="U393" s="25"/>
      <c r="V393" s="25"/>
      <c r="W393" s="25"/>
      <c r="X393" s="24"/>
      <c r="Y393" s="24"/>
      <c r="Z393" s="24"/>
      <c r="AA393" s="24"/>
      <c r="AB393" s="24"/>
      <c r="AC393" s="24"/>
      <c r="AD393" s="361">
        <f t="shared" si="90"/>
        <v>0</v>
      </c>
      <c r="AE393" s="359" t="str">
        <f t="shared" si="93"/>
        <v/>
      </c>
      <c r="AF393" s="359" t="str">
        <f t="shared" si="102"/>
        <v/>
      </c>
      <c r="AG393" s="359" t="str">
        <f t="shared" si="94"/>
        <v/>
      </c>
      <c r="AH393" s="359" t="str">
        <f t="shared" si="95"/>
        <v/>
      </c>
      <c r="AI393" s="359" t="str">
        <f t="shared" si="96"/>
        <v/>
      </c>
      <c r="AJ393" s="359" t="str">
        <f t="shared" si="97"/>
        <v/>
      </c>
      <c r="AK393" s="359" t="str">
        <f t="shared" si="99"/>
        <v/>
      </c>
      <c r="AL393" s="359" t="str">
        <f t="shared" si="98"/>
        <v/>
      </c>
      <c r="AM393" s="359" t="str">
        <f t="shared" si="100"/>
        <v/>
      </c>
      <c r="AN393" s="262">
        <f t="shared" si="103"/>
        <v>0</v>
      </c>
      <c r="AO393" s="262" t="str">
        <f>IFERROR(HLOOKUP(AN393,'Ref Lists'!Q$1:AL$2,2,FALSE),'Ref Lists'!$AK$2)</f>
        <v>Savings21</v>
      </c>
      <c r="AP393" s="38"/>
      <c r="AQ393" s="38">
        <f t="shared" si="92"/>
        <v>0</v>
      </c>
      <c r="AR393" s="38"/>
      <c r="AS393" s="38"/>
      <c r="AT393" s="38"/>
      <c r="AU393" s="38"/>
      <c r="AV393" s="38"/>
      <c r="AW393" s="38"/>
      <c r="AX393" s="38"/>
      <c r="AY393" s="38"/>
      <c r="AZ393" s="38"/>
      <c r="BA393" s="38"/>
      <c r="BB393" s="38"/>
      <c r="BC393" s="38"/>
      <c r="BD393" s="38"/>
      <c r="BE393" s="38"/>
      <c r="BF393" s="38"/>
      <c r="BG393" s="38"/>
      <c r="BH393" s="38"/>
      <c r="BI393" s="38"/>
      <c r="BJ393" s="38"/>
      <c r="BK393" s="38"/>
      <c r="BL393" s="38"/>
      <c r="BM393" s="38"/>
      <c r="BN393" s="38"/>
      <c r="BO393" s="38"/>
      <c r="BP393" s="38"/>
      <c r="BQ393" s="38"/>
      <c r="BR393" s="38"/>
      <c r="BS393" s="38"/>
      <c r="BT393" s="38"/>
      <c r="BU393" s="38"/>
      <c r="BV393" s="38"/>
      <c r="BW393" s="38"/>
      <c r="BX393" s="38"/>
      <c r="BY393" s="38"/>
      <c r="BZ393" s="38"/>
      <c r="CA393" s="38"/>
      <c r="CB393" s="38"/>
      <c r="CC393" s="38"/>
      <c r="CD393" s="38"/>
      <c r="CE393" s="38"/>
      <c r="CF393" s="38"/>
      <c r="CG393" s="38"/>
      <c r="CH393" s="38"/>
      <c r="CI393" s="38"/>
      <c r="CJ393" s="38"/>
      <c r="CK393" s="38"/>
      <c r="CL393" s="38"/>
      <c r="CM393" s="38"/>
      <c r="CN393" s="38"/>
      <c r="CO393" s="38"/>
      <c r="CP393" s="38"/>
      <c r="CQ393" s="38"/>
      <c r="CR393" s="38"/>
      <c r="CS393" s="38"/>
      <c r="CT393" s="38"/>
      <c r="CU393" s="38"/>
      <c r="CV393" s="38"/>
      <c r="CW393" s="38"/>
      <c r="CX393" s="38"/>
      <c r="CY393" s="38"/>
      <c r="CZ393" s="38"/>
    </row>
    <row r="394" spans="1:104" s="40" customFormat="1" ht="20.149999999999999" customHeight="1">
      <c r="A394" s="358">
        <f t="shared" si="101"/>
        <v>393</v>
      </c>
      <c r="B394" s="359" t="str">
        <f>'Front Sheet and Checklist'!$C$5</f>
        <v>Swansea Bay UHB</v>
      </c>
      <c r="C394" s="17"/>
      <c r="D394" s="17"/>
      <c r="E394" s="17"/>
      <c r="F394" s="17"/>
      <c r="G394" s="17"/>
      <c r="H394" s="17"/>
      <c r="I394" s="361">
        <f t="shared" si="91"/>
        <v>0</v>
      </c>
      <c r="J394" s="17"/>
      <c r="K394" s="18"/>
      <c r="L394" s="18"/>
      <c r="M394" s="17"/>
      <c r="N394" s="17"/>
      <c r="O394" s="17"/>
      <c r="P394" s="17"/>
      <c r="Q394" s="169"/>
      <c r="R394" s="24"/>
      <c r="S394" s="24"/>
      <c r="T394" s="24"/>
      <c r="U394" s="25"/>
      <c r="V394" s="25"/>
      <c r="W394" s="25"/>
      <c r="X394" s="24"/>
      <c r="Y394" s="24"/>
      <c r="Z394" s="24"/>
      <c r="AA394" s="24"/>
      <c r="AB394" s="24"/>
      <c r="AC394" s="24"/>
      <c r="AD394" s="361">
        <f t="shared" si="90"/>
        <v>0</v>
      </c>
      <c r="AE394" s="359" t="str">
        <f t="shared" si="93"/>
        <v/>
      </c>
      <c r="AF394" s="359" t="str">
        <f t="shared" si="102"/>
        <v/>
      </c>
      <c r="AG394" s="359" t="str">
        <f t="shared" si="94"/>
        <v/>
      </c>
      <c r="AH394" s="359" t="str">
        <f t="shared" si="95"/>
        <v/>
      </c>
      <c r="AI394" s="359" t="str">
        <f t="shared" si="96"/>
        <v/>
      </c>
      <c r="AJ394" s="359" t="str">
        <f t="shared" si="97"/>
        <v/>
      </c>
      <c r="AK394" s="359" t="str">
        <f t="shared" si="99"/>
        <v/>
      </c>
      <c r="AL394" s="359" t="str">
        <f t="shared" si="98"/>
        <v/>
      </c>
      <c r="AM394" s="359" t="str">
        <f t="shared" si="100"/>
        <v/>
      </c>
      <c r="AN394" s="262">
        <f t="shared" si="103"/>
        <v>0</v>
      </c>
      <c r="AO394" s="262" t="str">
        <f>IFERROR(HLOOKUP(AN394,'Ref Lists'!Q$1:AL$2,2,FALSE),'Ref Lists'!$AK$2)</f>
        <v>Savings21</v>
      </c>
      <c r="AP394" s="38"/>
      <c r="AQ394" s="38">
        <f t="shared" si="92"/>
        <v>0</v>
      </c>
      <c r="AR394" s="38"/>
      <c r="AS394" s="38"/>
      <c r="AT394" s="38"/>
      <c r="AU394" s="38"/>
      <c r="AV394" s="38"/>
      <c r="AW394" s="38"/>
      <c r="AX394" s="38"/>
      <c r="AY394" s="38"/>
      <c r="AZ394" s="38"/>
      <c r="BA394" s="38"/>
      <c r="BB394" s="38"/>
      <c r="BC394" s="38"/>
      <c r="BD394" s="38"/>
      <c r="BE394" s="38"/>
      <c r="BF394" s="38"/>
      <c r="BG394" s="38"/>
      <c r="BH394" s="38"/>
      <c r="BI394" s="38"/>
      <c r="BJ394" s="38"/>
      <c r="BK394" s="38"/>
      <c r="BL394" s="38"/>
      <c r="BM394" s="38"/>
      <c r="BN394" s="38"/>
      <c r="BO394" s="38"/>
      <c r="BP394" s="38"/>
      <c r="BQ394" s="38"/>
      <c r="BR394" s="38"/>
      <c r="BS394" s="38"/>
      <c r="BT394" s="38"/>
      <c r="BU394" s="38"/>
      <c r="BV394" s="38"/>
      <c r="BW394" s="38"/>
      <c r="BX394" s="38"/>
      <c r="BY394" s="38"/>
      <c r="BZ394" s="38"/>
      <c r="CA394" s="38"/>
      <c r="CB394" s="38"/>
      <c r="CC394" s="38"/>
      <c r="CD394" s="38"/>
      <c r="CE394" s="38"/>
      <c r="CF394" s="38"/>
      <c r="CG394" s="38"/>
      <c r="CH394" s="38"/>
      <c r="CI394" s="38"/>
      <c r="CJ394" s="38"/>
      <c r="CK394" s="38"/>
      <c r="CL394" s="38"/>
      <c r="CM394" s="38"/>
      <c r="CN394" s="38"/>
      <c r="CO394" s="38"/>
      <c r="CP394" s="38"/>
      <c r="CQ394" s="38"/>
      <c r="CR394" s="38"/>
      <c r="CS394" s="38"/>
      <c r="CT394" s="38"/>
      <c r="CU394" s="38"/>
      <c r="CV394" s="38"/>
      <c r="CW394" s="38"/>
      <c r="CX394" s="38"/>
      <c r="CY394" s="38"/>
      <c r="CZ394" s="38"/>
    </row>
    <row r="395" spans="1:104" s="40" customFormat="1" ht="20.149999999999999" customHeight="1">
      <c r="A395" s="358">
        <f t="shared" si="101"/>
        <v>394</v>
      </c>
      <c r="B395" s="359" t="str">
        <f>'Front Sheet and Checklist'!$C$5</f>
        <v>Swansea Bay UHB</v>
      </c>
      <c r="C395" s="17"/>
      <c r="D395" s="17"/>
      <c r="E395" s="17"/>
      <c r="F395" s="17"/>
      <c r="G395" s="17"/>
      <c r="H395" s="17"/>
      <c r="I395" s="361">
        <f t="shared" si="91"/>
        <v>0</v>
      </c>
      <c r="J395" s="17"/>
      <c r="K395" s="18"/>
      <c r="L395" s="18"/>
      <c r="M395" s="17"/>
      <c r="N395" s="17"/>
      <c r="O395" s="17"/>
      <c r="P395" s="17"/>
      <c r="Q395" s="169"/>
      <c r="R395" s="24"/>
      <c r="S395" s="24"/>
      <c r="T395" s="24"/>
      <c r="U395" s="25"/>
      <c r="V395" s="25"/>
      <c r="W395" s="25"/>
      <c r="X395" s="24"/>
      <c r="Y395" s="24"/>
      <c r="Z395" s="24"/>
      <c r="AA395" s="24"/>
      <c r="AB395" s="24"/>
      <c r="AC395" s="24"/>
      <c r="AD395" s="361">
        <f t="shared" si="90"/>
        <v>0</v>
      </c>
      <c r="AE395" s="359" t="str">
        <f t="shared" si="93"/>
        <v/>
      </c>
      <c r="AF395" s="359" t="str">
        <f t="shared" si="102"/>
        <v/>
      </c>
      <c r="AG395" s="359" t="str">
        <f t="shared" si="94"/>
        <v/>
      </c>
      <c r="AH395" s="359" t="str">
        <f t="shared" si="95"/>
        <v/>
      </c>
      <c r="AI395" s="359" t="str">
        <f t="shared" si="96"/>
        <v/>
      </c>
      <c r="AJ395" s="359" t="str">
        <f t="shared" si="97"/>
        <v/>
      </c>
      <c r="AK395" s="359" t="str">
        <f t="shared" si="99"/>
        <v/>
      </c>
      <c r="AL395" s="359" t="str">
        <f t="shared" si="98"/>
        <v/>
      </c>
      <c r="AM395" s="359" t="str">
        <f t="shared" si="100"/>
        <v/>
      </c>
      <c r="AN395" s="262">
        <f t="shared" si="103"/>
        <v>0</v>
      </c>
      <c r="AO395" s="262" t="str">
        <f>IFERROR(HLOOKUP(AN395,'Ref Lists'!Q$1:AL$2,2,FALSE),'Ref Lists'!$AK$2)</f>
        <v>Savings21</v>
      </c>
      <c r="AP395" s="38"/>
      <c r="AQ395" s="38">
        <f t="shared" si="92"/>
        <v>0</v>
      </c>
      <c r="AR395" s="38"/>
      <c r="AS395" s="38"/>
      <c r="AT395" s="38"/>
      <c r="AU395" s="38"/>
      <c r="AV395" s="38"/>
      <c r="AW395" s="38"/>
      <c r="AX395" s="38"/>
      <c r="AY395" s="38"/>
      <c r="AZ395" s="38"/>
      <c r="BA395" s="38"/>
      <c r="BB395" s="38"/>
      <c r="BC395" s="38"/>
      <c r="BD395" s="38"/>
      <c r="BE395" s="38"/>
      <c r="BF395" s="38"/>
      <c r="BG395" s="38"/>
      <c r="BH395" s="38"/>
      <c r="BI395" s="38"/>
      <c r="BJ395" s="38"/>
      <c r="BK395" s="38"/>
      <c r="BL395" s="38"/>
      <c r="BM395" s="38"/>
      <c r="BN395" s="38"/>
      <c r="BO395" s="38"/>
      <c r="BP395" s="38"/>
      <c r="BQ395" s="38"/>
      <c r="BR395" s="38"/>
      <c r="BS395" s="38"/>
      <c r="BT395" s="38"/>
      <c r="BU395" s="38"/>
      <c r="BV395" s="38"/>
      <c r="BW395" s="38"/>
      <c r="BX395" s="38"/>
      <c r="BY395" s="38"/>
      <c r="BZ395" s="38"/>
      <c r="CA395" s="38"/>
      <c r="CB395" s="38"/>
      <c r="CC395" s="38"/>
      <c r="CD395" s="38"/>
      <c r="CE395" s="38"/>
      <c r="CF395" s="38"/>
      <c r="CG395" s="38"/>
      <c r="CH395" s="38"/>
      <c r="CI395" s="38"/>
      <c r="CJ395" s="38"/>
      <c r="CK395" s="38"/>
      <c r="CL395" s="38"/>
      <c r="CM395" s="38"/>
      <c r="CN395" s="38"/>
      <c r="CO395" s="38"/>
      <c r="CP395" s="38"/>
      <c r="CQ395" s="38"/>
      <c r="CR395" s="38"/>
      <c r="CS395" s="38"/>
      <c r="CT395" s="38"/>
      <c r="CU395" s="38"/>
      <c r="CV395" s="38"/>
      <c r="CW395" s="38"/>
      <c r="CX395" s="38"/>
      <c r="CY395" s="38"/>
      <c r="CZ395" s="38"/>
    </row>
    <row r="396" spans="1:104" s="40" customFormat="1" ht="20.149999999999999" customHeight="1">
      <c r="A396" s="358">
        <f t="shared" si="101"/>
        <v>395</v>
      </c>
      <c r="B396" s="359" t="str">
        <f>'Front Sheet and Checklist'!$C$5</f>
        <v>Swansea Bay UHB</v>
      </c>
      <c r="C396" s="17"/>
      <c r="D396" s="17"/>
      <c r="E396" s="17"/>
      <c r="F396" s="17"/>
      <c r="G396" s="17"/>
      <c r="H396" s="17"/>
      <c r="I396" s="361">
        <f t="shared" si="91"/>
        <v>0</v>
      </c>
      <c r="J396" s="17"/>
      <c r="K396" s="18"/>
      <c r="L396" s="18"/>
      <c r="M396" s="17"/>
      <c r="N396" s="17"/>
      <c r="O396" s="17"/>
      <c r="P396" s="17"/>
      <c r="Q396" s="169"/>
      <c r="R396" s="24"/>
      <c r="S396" s="24"/>
      <c r="T396" s="24"/>
      <c r="U396" s="25"/>
      <c r="V396" s="25"/>
      <c r="W396" s="25"/>
      <c r="X396" s="24"/>
      <c r="Y396" s="24"/>
      <c r="Z396" s="24"/>
      <c r="AA396" s="24"/>
      <c r="AB396" s="24"/>
      <c r="AC396" s="24"/>
      <c r="AD396" s="361">
        <f t="shared" si="90"/>
        <v>0</v>
      </c>
      <c r="AE396" s="359" t="str">
        <f t="shared" si="93"/>
        <v/>
      </c>
      <c r="AF396" s="359" t="str">
        <f t="shared" si="102"/>
        <v/>
      </c>
      <c r="AG396" s="359" t="str">
        <f t="shared" si="94"/>
        <v/>
      </c>
      <c r="AH396" s="359" t="str">
        <f t="shared" si="95"/>
        <v/>
      </c>
      <c r="AI396" s="359" t="str">
        <f t="shared" si="96"/>
        <v/>
      </c>
      <c r="AJ396" s="359" t="str">
        <f t="shared" si="97"/>
        <v/>
      </c>
      <c r="AK396" s="359" t="str">
        <f t="shared" si="99"/>
        <v/>
      </c>
      <c r="AL396" s="359" t="str">
        <f t="shared" si="98"/>
        <v/>
      </c>
      <c r="AM396" s="359" t="str">
        <f t="shared" si="100"/>
        <v/>
      </c>
      <c r="AN396" s="262">
        <f t="shared" si="103"/>
        <v>0</v>
      </c>
      <c r="AO396" s="262" t="str">
        <f>IFERROR(HLOOKUP(AN396,'Ref Lists'!Q$1:AL$2,2,FALSE),'Ref Lists'!$AK$2)</f>
        <v>Savings21</v>
      </c>
      <c r="AP396" s="38"/>
      <c r="AQ396" s="38">
        <f t="shared" si="92"/>
        <v>0</v>
      </c>
      <c r="AR396" s="38"/>
      <c r="AS396" s="38"/>
      <c r="AT396" s="38"/>
      <c r="AU396" s="38"/>
      <c r="AV396" s="38"/>
      <c r="AW396" s="38"/>
      <c r="AX396" s="38"/>
      <c r="AY396" s="38"/>
      <c r="AZ396" s="38"/>
      <c r="BA396" s="38"/>
      <c r="BB396" s="38"/>
      <c r="BC396" s="38"/>
      <c r="BD396" s="38"/>
      <c r="BE396" s="38"/>
      <c r="BF396" s="38"/>
      <c r="BG396" s="38"/>
      <c r="BH396" s="38"/>
      <c r="BI396" s="38"/>
      <c r="BJ396" s="38"/>
      <c r="BK396" s="38"/>
      <c r="BL396" s="38"/>
      <c r="BM396" s="38"/>
      <c r="BN396" s="38"/>
      <c r="BO396" s="38"/>
      <c r="BP396" s="38"/>
      <c r="BQ396" s="38"/>
      <c r="BR396" s="38"/>
      <c r="BS396" s="38"/>
      <c r="BT396" s="38"/>
      <c r="BU396" s="38"/>
      <c r="BV396" s="38"/>
      <c r="BW396" s="38"/>
      <c r="BX396" s="38"/>
      <c r="BY396" s="38"/>
      <c r="BZ396" s="38"/>
      <c r="CA396" s="38"/>
      <c r="CB396" s="38"/>
      <c r="CC396" s="38"/>
      <c r="CD396" s="38"/>
      <c r="CE396" s="38"/>
      <c r="CF396" s="38"/>
      <c r="CG396" s="38"/>
      <c r="CH396" s="38"/>
      <c r="CI396" s="38"/>
      <c r="CJ396" s="38"/>
      <c r="CK396" s="38"/>
      <c r="CL396" s="38"/>
      <c r="CM396" s="38"/>
      <c r="CN396" s="38"/>
      <c r="CO396" s="38"/>
      <c r="CP396" s="38"/>
      <c r="CQ396" s="38"/>
      <c r="CR396" s="38"/>
      <c r="CS396" s="38"/>
      <c r="CT396" s="38"/>
      <c r="CU396" s="38"/>
      <c r="CV396" s="38"/>
      <c r="CW396" s="38"/>
      <c r="CX396" s="38"/>
      <c r="CY396" s="38"/>
      <c r="CZ396" s="38"/>
    </row>
    <row r="397" spans="1:104" s="40" customFormat="1" ht="20.149999999999999" customHeight="1">
      <c r="A397" s="358">
        <f t="shared" si="101"/>
        <v>396</v>
      </c>
      <c r="B397" s="359" t="str">
        <f>'Front Sheet and Checklist'!$C$5</f>
        <v>Swansea Bay UHB</v>
      </c>
      <c r="C397" s="17"/>
      <c r="D397" s="17"/>
      <c r="E397" s="17"/>
      <c r="F397" s="17"/>
      <c r="G397" s="17"/>
      <c r="H397" s="17"/>
      <c r="I397" s="361">
        <f t="shared" si="91"/>
        <v>0</v>
      </c>
      <c r="J397" s="17"/>
      <c r="K397" s="18"/>
      <c r="L397" s="18"/>
      <c r="M397" s="17"/>
      <c r="N397" s="17"/>
      <c r="O397" s="17"/>
      <c r="P397" s="17"/>
      <c r="Q397" s="169"/>
      <c r="R397" s="24"/>
      <c r="S397" s="24"/>
      <c r="T397" s="24"/>
      <c r="U397" s="25"/>
      <c r="V397" s="25"/>
      <c r="W397" s="25"/>
      <c r="X397" s="24"/>
      <c r="Y397" s="24"/>
      <c r="Z397" s="24"/>
      <c r="AA397" s="24"/>
      <c r="AB397" s="24"/>
      <c r="AC397" s="24"/>
      <c r="AD397" s="361">
        <f t="shared" si="90"/>
        <v>0</v>
      </c>
      <c r="AE397" s="359" t="str">
        <f t="shared" si="93"/>
        <v/>
      </c>
      <c r="AF397" s="359" t="str">
        <f t="shared" si="102"/>
        <v/>
      </c>
      <c r="AG397" s="359" t="str">
        <f t="shared" si="94"/>
        <v/>
      </c>
      <c r="AH397" s="359" t="str">
        <f t="shared" si="95"/>
        <v/>
      </c>
      <c r="AI397" s="359" t="str">
        <f t="shared" si="96"/>
        <v/>
      </c>
      <c r="AJ397" s="359" t="str">
        <f t="shared" si="97"/>
        <v/>
      </c>
      <c r="AK397" s="359" t="str">
        <f t="shared" si="99"/>
        <v/>
      </c>
      <c r="AL397" s="359" t="str">
        <f t="shared" si="98"/>
        <v/>
      </c>
      <c r="AM397" s="359" t="str">
        <f t="shared" si="100"/>
        <v/>
      </c>
      <c r="AN397" s="262">
        <f t="shared" si="103"/>
        <v>0</v>
      </c>
      <c r="AO397" s="262" t="str">
        <f>IFERROR(HLOOKUP(AN397,'Ref Lists'!Q$1:AL$2,2,FALSE),'Ref Lists'!$AK$2)</f>
        <v>Savings21</v>
      </c>
      <c r="AP397" s="38"/>
      <c r="AQ397" s="38">
        <f t="shared" si="92"/>
        <v>0</v>
      </c>
      <c r="AR397" s="38"/>
      <c r="AS397" s="38"/>
      <c r="AT397" s="38"/>
      <c r="AU397" s="38"/>
      <c r="AV397" s="38"/>
      <c r="AW397" s="38"/>
      <c r="AX397" s="38"/>
      <c r="AY397" s="38"/>
      <c r="AZ397" s="38"/>
      <c r="BA397" s="38"/>
      <c r="BB397" s="38"/>
      <c r="BC397" s="38"/>
      <c r="BD397" s="38"/>
      <c r="BE397" s="38"/>
      <c r="BF397" s="38"/>
      <c r="BG397" s="38"/>
      <c r="BH397" s="38"/>
      <c r="BI397" s="38"/>
      <c r="BJ397" s="38"/>
      <c r="BK397" s="38"/>
      <c r="BL397" s="38"/>
      <c r="BM397" s="38"/>
      <c r="BN397" s="38"/>
      <c r="BO397" s="38"/>
      <c r="BP397" s="38"/>
      <c r="BQ397" s="38"/>
      <c r="BR397" s="38"/>
      <c r="BS397" s="38"/>
      <c r="BT397" s="38"/>
      <c r="BU397" s="38"/>
      <c r="BV397" s="38"/>
      <c r="BW397" s="38"/>
      <c r="BX397" s="38"/>
      <c r="BY397" s="38"/>
      <c r="BZ397" s="38"/>
      <c r="CA397" s="38"/>
      <c r="CB397" s="38"/>
      <c r="CC397" s="38"/>
      <c r="CD397" s="38"/>
      <c r="CE397" s="38"/>
      <c r="CF397" s="38"/>
      <c r="CG397" s="38"/>
      <c r="CH397" s="38"/>
      <c r="CI397" s="38"/>
      <c r="CJ397" s="38"/>
      <c r="CK397" s="38"/>
      <c r="CL397" s="38"/>
      <c r="CM397" s="38"/>
      <c r="CN397" s="38"/>
      <c r="CO397" s="38"/>
      <c r="CP397" s="38"/>
      <c r="CQ397" s="38"/>
      <c r="CR397" s="38"/>
      <c r="CS397" s="38"/>
      <c r="CT397" s="38"/>
      <c r="CU397" s="38"/>
      <c r="CV397" s="38"/>
      <c r="CW397" s="38"/>
      <c r="CX397" s="38"/>
      <c r="CY397" s="38"/>
      <c r="CZ397" s="38"/>
    </row>
    <row r="398" spans="1:104" s="40" customFormat="1" ht="20.149999999999999" customHeight="1">
      <c r="A398" s="358">
        <f t="shared" si="101"/>
        <v>397</v>
      </c>
      <c r="B398" s="359" t="str">
        <f>'Front Sheet and Checklist'!$C$5</f>
        <v>Swansea Bay UHB</v>
      </c>
      <c r="C398" s="17"/>
      <c r="D398" s="17"/>
      <c r="E398" s="17"/>
      <c r="F398" s="17"/>
      <c r="G398" s="17"/>
      <c r="H398" s="17"/>
      <c r="I398" s="361">
        <f t="shared" si="91"/>
        <v>0</v>
      </c>
      <c r="J398" s="17"/>
      <c r="K398" s="18"/>
      <c r="L398" s="18"/>
      <c r="M398" s="17"/>
      <c r="N398" s="17"/>
      <c r="O398" s="17"/>
      <c r="P398" s="17"/>
      <c r="Q398" s="169"/>
      <c r="R398" s="24"/>
      <c r="S398" s="24"/>
      <c r="T398" s="24"/>
      <c r="U398" s="25"/>
      <c r="V398" s="25"/>
      <c r="W398" s="25"/>
      <c r="X398" s="24"/>
      <c r="Y398" s="24"/>
      <c r="Z398" s="24"/>
      <c r="AA398" s="24"/>
      <c r="AB398" s="24"/>
      <c r="AC398" s="24"/>
      <c r="AD398" s="361">
        <f t="shared" si="90"/>
        <v>0</v>
      </c>
      <c r="AE398" s="359" t="str">
        <f t="shared" si="93"/>
        <v/>
      </c>
      <c r="AF398" s="359" t="str">
        <f t="shared" si="102"/>
        <v/>
      </c>
      <c r="AG398" s="359" t="str">
        <f t="shared" si="94"/>
        <v/>
      </c>
      <c r="AH398" s="359" t="str">
        <f t="shared" si="95"/>
        <v/>
      </c>
      <c r="AI398" s="359" t="str">
        <f t="shared" si="96"/>
        <v/>
      </c>
      <c r="AJ398" s="359" t="str">
        <f t="shared" si="97"/>
        <v/>
      </c>
      <c r="AK398" s="359" t="str">
        <f t="shared" si="99"/>
        <v/>
      </c>
      <c r="AL398" s="359" t="str">
        <f t="shared" si="98"/>
        <v/>
      </c>
      <c r="AM398" s="359" t="str">
        <f t="shared" si="100"/>
        <v/>
      </c>
      <c r="AN398" s="262">
        <f t="shared" si="103"/>
        <v>0</v>
      </c>
      <c r="AO398" s="262" t="str">
        <f>IFERROR(HLOOKUP(AN398,'Ref Lists'!Q$1:AL$2,2,FALSE),'Ref Lists'!$AK$2)</f>
        <v>Savings21</v>
      </c>
      <c r="AP398" s="38"/>
      <c r="AQ398" s="38">
        <f t="shared" si="92"/>
        <v>0</v>
      </c>
      <c r="AR398" s="38"/>
      <c r="AS398" s="38"/>
      <c r="AT398" s="38"/>
      <c r="AU398" s="38"/>
      <c r="AV398" s="38"/>
      <c r="AW398" s="38"/>
      <c r="AX398" s="38"/>
      <c r="AY398" s="38"/>
      <c r="AZ398" s="38"/>
      <c r="BA398" s="38"/>
      <c r="BB398" s="38"/>
      <c r="BC398" s="38"/>
      <c r="BD398" s="38"/>
      <c r="BE398" s="38"/>
      <c r="BF398" s="38"/>
      <c r="BG398" s="38"/>
      <c r="BH398" s="38"/>
      <c r="BI398" s="38"/>
      <c r="BJ398" s="38"/>
      <c r="BK398" s="38"/>
      <c r="BL398" s="38"/>
      <c r="BM398" s="38"/>
      <c r="BN398" s="38"/>
      <c r="BO398" s="38"/>
      <c r="BP398" s="38"/>
      <c r="BQ398" s="38"/>
      <c r="BR398" s="38"/>
      <c r="BS398" s="38"/>
      <c r="BT398" s="38"/>
      <c r="BU398" s="38"/>
      <c r="BV398" s="38"/>
      <c r="BW398" s="38"/>
      <c r="BX398" s="38"/>
      <c r="BY398" s="38"/>
      <c r="BZ398" s="38"/>
      <c r="CA398" s="38"/>
      <c r="CB398" s="38"/>
      <c r="CC398" s="38"/>
      <c r="CD398" s="38"/>
      <c r="CE398" s="38"/>
      <c r="CF398" s="38"/>
      <c r="CG398" s="38"/>
      <c r="CH398" s="38"/>
      <c r="CI398" s="38"/>
      <c r="CJ398" s="38"/>
      <c r="CK398" s="38"/>
      <c r="CL398" s="38"/>
      <c r="CM398" s="38"/>
      <c r="CN398" s="38"/>
      <c r="CO398" s="38"/>
      <c r="CP398" s="38"/>
      <c r="CQ398" s="38"/>
      <c r="CR398" s="38"/>
      <c r="CS398" s="38"/>
      <c r="CT398" s="38"/>
      <c r="CU398" s="38"/>
      <c r="CV398" s="38"/>
      <c r="CW398" s="38"/>
      <c r="CX398" s="38"/>
      <c r="CY398" s="38"/>
      <c r="CZ398" s="38"/>
    </row>
    <row r="399" spans="1:104" s="40" customFormat="1" ht="20.149999999999999" customHeight="1">
      <c r="A399" s="358">
        <f t="shared" si="101"/>
        <v>398</v>
      </c>
      <c r="B399" s="359" t="str">
        <f>'Front Sheet and Checklist'!$C$5</f>
        <v>Swansea Bay UHB</v>
      </c>
      <c r="C399" s="17"/>
      <c r="D399" s="17"/>
      <c r="E399" s="17"/>
      <c r="F399" s="17"/>
      <c r="G399" s="17"/>
      <c r="H399" s="17"/>
      <c r="I399" s="361">
        <f t="shared" si="91"/>
        <v>0</v>
      </c>
      <c r="J399" s="17"/>
      <c r="K399" s="18"/>
      <c r="L399" s="18"/>
      <c r="M399" s="17"/>
      <c r="N399" s="17"/>
      <c r="O399" s="17"/>
      <c r="P399" s="17"/>
      <c r="Q399" s="169"/>
      <c r="R399" s="24"/>
      <c r="S399" s="24"/>
      <c r="T399" s="24"/>
      <c r="U399" s="25"/>
      <c r="V399" s="25"/>
      <c r="W399" s="25"/>
      <c r="X399" s="24"/>
      <c r="Y399" s="24"/>
      <c r="Z399" s="24"/>
      <c r="AA399" s="24"/>
      <c r="AB399" s="24"/>
      <c r="AC399" s="24"/>
      <c r="AD399" s="361">
        <f t="shared" si="90"/>
        <v>0</v>
      </c>
      <c r="AE399" s="359" t="str">
        <f t="shared" si="93"/>
        <v/>
      </c>
      <c r="AF399" s="359" t="str">
        <f t="shared" si="102"/>
        <v/>
      </c>
      <c r="AG399" s="359" t="str">
        <f t="shared" si="94"/>
        <v/>
      </c>
      <c r="AH399" s="359" t="str">
        <f t="shared" si="95"/>
        <v/>
      </c>
      <c r="AI399" s="359" t="str">
        <f t="shared" si="96"/>
        <v/>
      </c>
      <c r="AJ399" s="359" t="str">
        <f t="shared" si="97"/>
        <v/>
      </c>
      <c r="AK399" s="359" t="str">
        <f t="shared" si="99"/>
        <v/>
      </c>
      <c r="AL399" s="359" t="str">
        <f t="shared" si="98"/>
        <v/>
      </c>
      <c r="AM399" s="359" t="str">
        <f t="shared" si="100"/>
        <v/>
      </c>
      <c r="AN399" s="262">
        <f t="shared" si="103"/>
        <v>0</v>
      </c>
      <c r="AO399" s="262" t="str">
        <f>IFERROR(HLOOKUP(AN399,'Ref Lists'!Q$1:AL$2,2,FALSE),'Ref Lists'!$AK$2)</f>
        <v>Savings21</v>
      </c>
      <c r="AP399" s="38"/>
      <c r="AQ399" s="38">
        <f t="shared" si="92"/>
        <v>0</v>
      </c>
      <c r="AR399" s="38"/>
      <c r="AS399" s="38"/>
      <c r="AT399" s="38"/>
      <c r="AU399" s="38"/>
      <c r="AV399" s="38"/>
      <c r="AW399" s="38"/>
      <c r="AX399" s="38"/>
      <c r="AY399" s="38"/>
      <c r="AZ399" s="38"/>
      <c r="BA399" s="38"/>
      <c r="BB399" s="38"/>
      <c r="BC399" s="38"/>
      <c r="BD399" s="38"/>
      <c r="BE399" s="38"/>
      <c r="BF399" s="38"/>
      <c r="BG399" s="38"/>
      <c r="BH399" s="38"/>
      <c r="BI399" s="38"/>
      <c r="BJ399" s="38"/>
      <c r="BK399" s="38"/>
      <c r="BL399" s="38"/>
      <c r="BM399" s="38"/>
      <c r="BN399" s="38"/>
      <c r="BO399" s="38"/>
      <c r="BP399" s="38"/>
      <c r="BQ399" s="38"/>
      <c r="BR399" s="38"/>
      <c r="BS399" s="38"/>
      <c r="BT399" s="38"/>
      <c r="BU399" s="38"/>
      <c r="BV399" s="38"/>
      <c r="BW399" s="38"/>
      <c r="BX399" s="38"/>
      <c r="BY399" s="38"/>
      <c r="BZ399" s="38"/>
      <c r="CA399" s="38"/>
      <c r="CB399" s="38"/>
      <c r="CC399" s="38"/>
      <c r="CD399" s="38"/>
      <c r="CE399" s="38"/>
      <c r="CF399" s="38"/>
      <c r="CG399" s="38"/>
      <c r="CH399" s="38"/>
      <c r="CI399" s="38"/>
      <c r="CJ399" s="38"/>
      <c r="CK399" s="38"/>
      <c r="CL399" s="38"/>
      <c r="CM399" s="38"/>
      <c r="CN399" s="38"/>
      <c r="CO399" s="38"/>
      <c r="CP399" s="38"/>
      <c r="CQ399" s="38"/>
      <c r="CR399" s="38"/>
      <c r="CS399" s="38"/>
      <c r="CT399" s="38"/>
      <c r="CU399" s="38"/>
      <c r="CV399" s="38"/>
      <c r="CW399" s="38"/>
      <c r="CX399" s="38"/>
      <c r="CY399" s="38"/>
      <c r="CZ399" s="38"/>
    </row>
    <row r="400" spans="1:104" s="40" customFormat="1" ht="20.149999999999999" customHeight="1">
      <c r="A400" s="358">
        <f t="shared" si="101"/>
        <v>399</v>
      </c>
      <c r="B400" s="359" t="str">
        <f>'Front Sheet and Checklist'!$C$5</f>
        <v>Swansea Bay UHB</v>
      </c>
      <c r="C400" s="17"/>
      <c r="D400" s="17"/>
      <c r="E400" s="17"/>
      <c r="F400" s="17"/>
      <c r="G400" s="17"/>
      <c r="H400" s="17"/>
      <c r="I400" s="361">
        <f t="shared" si="91"/>
        <v>0</v>
      </c>
      <c r="J400" s="17"/>
      <c r="K400" s="18"/>
      <c r="L400" s="18"/>
      <c r="M400" s="17"/>
      <c r="N400" s="17"/>
      <c r="O400" s="17"/>
      <c r="P400" s="17"/>
      <c r="Q400" s="169"/>
      <c r="R400" s="24"/>
      <c r="S400" s="24"/>
      <c r="T400" s="24"/>
      <c r="U400" s="25"/>
      <c r="V400" s="25"/>
      <c r="W400" s="25"/>
      <c r="X400" s="24"/>
      <c r="Y400" s="24"/>
      <c r="Z400" s="24"/>
      <c r="AA400" s="24"/>
      <c r="AB400" s="24"/>
      <c r="AC400" s="24"/>
      <c r="AD400" s="361">
        <f t="shared" si="90"/>
        <v>0</v>
      </c>
      <c r="AE400" s="359" t="str">
        <f t="shared" si="93"/>
        <v/>
      </c>
      <c r="AF400" s="359" t="str">
        <f t="shared" si="102"/>
        <v/>
      </c>
      <c r="AG400" s="359" t="str">
        <f t="shared" si="94"/>
        <v/>
      </c>
      <c r="AH400" s="359" t="str">
        <f t="shared" si="95"/>
        <v/>
      </c>
      <c r="AI400" s="359" t="str">
        <f t="shared" si="96"/>
        <v/>
      </c>
      <c r="AJ400" s="359" t="str">
        <f t="shared" si="97"/>
        <v/>
      </c>
      <c r="AK400" s="359" t="str">
        <f t="shared" si="99"/>
        <v/>
      </c>
      <c r="AL400" s="359" t="str">
        <f t="shared" si="98"/>
        <v/>
      </c>
      <c r="AM400" s="359" t="str">
        <f t="shared" si="100"/>
        <v/>
      </c>
      <c r="AN400" s="262">
        <f t="shared" si="103"/>
        <v>0</v>
      </c>
      <c r="AO400" s="262" t="str">
        <f>IFERROR(HLOOKUP(AN400,'Ref Lists'!Q$1:AL$2,2,FALSE),'Ref Lists'!$AK$2)</f>
        <v>Savings21</v>
      </c>
      <c r="AP400" s="38"/>
      <c r="AQ400" s="38">
        <f t="shared" si="92"/>
        <v>0</v>
      </c>
      <c r="AR400" s="38"/>
      <c r="AS400" s="38"/>
      <c r="AT400" s="38"/>
      <c r="AU400" s="38"/>
      <c r="AV400" s="38"/>
      <c r="AW400" s="38"/>
      <c r="AX400" s="38"/>
      <c r="AY400" s="38"/>
      <c r="AZ400" s="38"/>
      <c r="BA400" s="38"/>
      <c r="BB400" s="38"/>
      <c r="BC400" s="38"/>
      <c r="BD400" s="38"/>
      <c r="BE400" s="38"/>
      <c r="BF400" s="38"/>
      <c r="BG400" s="38"/>
      <c r="BH400" s="38"/>
      <c r="BI400" s="38"/>
      <c r="BJ400" s="38"/>
      <c r="BK400" s="38"/>
      <c r="BL400" s="38"/>
      <c r="BM400" s="38"/>
      <c r="BN400" s="38"/>
      <c r="BO400" s="38"/>
      <c r="BP400" s="38"/>
      <c r="BQ400" s="38"/>
      <c r="BR400" s="38"/>
      <c r="BS400" s="38"/>
      <c r="BT400" s="38"/>
      <c r="BU400" s="38"/>
      <c r="BV400" s="38"/>
      <c r="BW400" s="38"/>
      <c r="BX400" s="38"/>
      <c r="BY400" s="38"/>
      <c r="BZ400" s="38"/>
      <c r="CA400" s="38"/>
      <c r="CB400" s="38"/>
      <c r="CC400" s="38"/>
      <c r="CD400" s="38"/>
      <c r="CE400" s="38"/>
      <c r="CF400" s="38"/>
      <c r="CG400" s="38"/>
      <c r="CH400" s="38"/>
      <c r="CI400" s="38"/>
      <c r="CJ400" s="38"/>
      <c r="CK400" s="38"/>
      <c r="CL400" s="38"/>
      <c r="CM400" s="38"/>
      <c r="CN400" s="38"/>
      <c r="CO400" s="38"/>
      <c r="CP400" s="38"/>
      <c r="CQ400" s="38"/>
      <c r="CR400" s="38"/>
      <c r="CS400" s="38"/>
      <c r="CT400" s="38"/>
      <c r="CU400" s="38"/>
      <c r="CV400" s="38"/>
      <c r="CW400" s="38"/>
      <c r="CX400" s="38"/>
      <c r="CY400" s="38"/>
      <c r="CZ400" s="38"/>
    </row>
    <row r="401" spans="1:104" s="40" customFormat="1" ht="20.149999999999999" customHeight="1">
      <c r="A401" s="358">
        <f t="shared" si="101"/>
        <v>400</v>
      </c>
      <c r="B401" s="359" t="str">
        <f>'Front Sheet and Checklist'!$C$5</f>
        <v>Swansea Bay UHB</v>
      </c>
      <c r="C401" s="17"/>
      <c r="D401" s="17"/>
      <c r="E401" s="17"/>
      <c r="F401" s="17"/>
      <c r="G401" s="17"/>
      <c r="H401" s="17"/>
      <c r="I401" s="361">
        <f t="shared" si="91"/>
        <v>0</v>
      </c>
      <c r="J401" s="17"/>
      <c r="K401" s="18"/>
      <c r="L401" s="18"/>
      <c r="M401" s="17"/>
      <c r="N401" s="17"/>
      <c r="O401" s="17"/>
      <c r="P401" s="17"/>
      <c r="Q401" s="169"/>
      <c r="R401" s="24"/>
      <c r="S401" s="24"/>
      <c r="T401" s="24"/>
      <c r="U401" s="25"/>
      <c r="V401" s="25"/>
      <c r="W401" s="25"/>
      <c r="X401" s="24"/>
      <c r="Y401" s="24"/>
      <c r="Z401" s="24"/>
      <c r="AA401" s="24"/>
      <c r="AB401" s="24"/>
      <c r="AC401" s="24"/>
      <c r="AD401" s="361">
        <f t="shared" si="90"/>
        <v>0</v>
      </c>
      <c r="AE401" s="359" t="str">
        <f t="shared" si="93"/>
        <v/>
      </c>
      <c r="AF401" s="359" t="str">
        <f t="shared" si="102"/>
        <v/>
      </c>
      <c r="AG401" s="359" t="str">
        <f t="shared" si="94"/>
        <v/>
      </c>
      <c r="AH401" s="359" t="str">
        <f t="shared" si="95"/>
        <v/>
      </c>
      <c r="AI401" s="359" t="str">
        <f t="shared" si="96"/>
        <v/>
      </c>
      <c r="AJ401" s="359" t="str">
        <f t="shared" si="97"/>
        <v/>
      </c>
      <c r="AK401" s="359" t="str">
        <f t="shared" si="99"/>
        <v/>
      </c>
      <c r="AL401" s="359" t="str">
        <f t="shared" si="98"/>
        <v/>
      </c>
      <c r="AM401" s="359" t="str">
        <f t="shared" si="100"/>
        <v/>
      </c>
      <c r="AN401" s="262">
        <f t="shared" si="103"/>
        <v>0</v>
      </c>
      <c r="AO401" s="262" t="str">
        <f>IFERROR(HLOOKUP(AN401,'Ref Lists'!Q$1:AL$2,2,FALSE),'Ref Lists'!$AK$2)</f>
        <v>Savings21</v>
      </c>
      <c r="AP401" s="38"/>
      <c r="AQ401" s="38">
        <f t="shared" si="92"/>
        <v>0</v>
      </c>
      <c r="AR401" s="38"/>
      <c r="AS401" s="38"/>
      <c r="AT401" s="38"/>
      <c r="AU401" s="38"/>
      <c r="AV401" s="38"/>
      <c r="AW401" s="38"/>
      <c r="AX401" s="38"/>
      <c r="AY401" s="38"/>
      <c r="AZ401" s="38"/>
      <c r="BA401" s="38"/>
      <c r="BB401" s="38"/>
      <c r="BC401" s="38"/>
      <c r="BD401" s="38"/>
      <c r="BE401" s="38"/>
      <c r="BF401" s="38"/>
      <c r="BG401" s="38"/>
      <c r="BH401" s="38"/>
      <c r="BI401" s="38"/>
      <c r="BJ401" s="38"/>
      <c r="BK401" s="38"/>
      <c r="BL401" s="38"/>
      <c r="BM401" s="38"/>
      <c r="BN401" s="38"/>
      <c r="BO401" s="38"/>
      <c r="BP401" s="38"/>
      <c r="BQ401" s="38"/>
      <c r="BR401" s="38"/>
      <c r="BS401" s="38"/>
      <c r="BT401" s="38"/>
      <c r="BU401" s="38"/>
      <c r="BV401" s="38"/>
      <c r="BW401" s="38"/>
      <c r="BX401" s="38"/>
      <c r="BY401" s="38"/>
      <c r="BZ401" s="38"/>
      <c r="CA401" s="38"/>
      <c r="CB401" s="38"/>
      <c r="CC401" s="38"/>
      <c r="CD401" s="38"/>
      <c r="CE401" s="38"/>
      <c r="CF401" s="38"/>
      <c r="CG401" s="38"/>
      <c r="CH401" s="38"/>
      <c r="CI401" s="38"/>
      <c r="CJ401" s="38"/>
      <c r="CK401" s="38"/>
      <c r="CL401" s="38"/>
      <c r="CM401" s="38"/>
      <c r="CN401" s="38"/>
      <c r="CO401" s="38"/>
      <c r="CP401" s="38"/>
      <c r="CQ401" s="38"/>
      <c r="CR401" s="38"/>
      <c r="CS401" s="38"/>
      <c r="CT401" s="38"/>
      <c r="CU401" s="38"/>
      <c r="CV401" s="38"/>
      <c r="CW401" s="38"/>
      <c r="CX401" s="38"/>
      <c r="CY401" s="38"/>
      <c r="CZ401" s="38"/>
    </row>
    <row r="402" spans="1:104" s="40" customFormat="1" ht="20.149999999999999" customHeight="1">
      <c r="A402" s="358">
        <f t="shared" si="101"/>
        <v>401</v>
      </c>
      <c r="B402" s="359" t="str">
        <f>'Front Sheet and Checklist'!$C$5</f>
        <v>Swansea Bay UHB</v>
      </c>
      <c r="C402" s="17"/>
      <c r="D402" s="17"/>
      <c r="E402" s="17"/>
      <c r="F402" s="17"/>
      <c r="G402" s="17"/>
      <c r="H402" s="17"/>
      <c r="I402" s="361">
        <f t="shared" si="91"/>
        <v>0</v>
      </c>
      <c r="J402" s="17"/>
      <c r="K402" s="18"/>
      <c r="L402" s="18"/>
      <c r="M402" s="17"/>
      <c r="N402" s="17"/>
      <c r="O402" s="17"/>
      <c r="P402" s="17"/>
      <c r="Q402" s="169"/>
      <c r="R402" s="24"/>
      <c r="S402" s="24"/>
      <c r="T402" s="24"/>
      <c r="U402" s="25"/>
      <c r="V402" s="25"/>
      <c r="W402" s="25"/>
      <c r="X402" s="24"/>
      <c r="Y402" s="24"/>
      <c r="Z402" s="24"/>
      <c r="AA402" s="24"/>
      <c r="AB402" s="24"/>
      <c r="AC402" s="24"/>
      <c r="AD402" s="361">
        <f t="shared" si="90"/>
        <v>0</v>
      </c>
      <c r="AE402" s="359" t="str">
        <f t="shared" si="93"/>
        <v/>
      </c>
      <c r="AF402" s="359" t="str">
        <f t="shared" si="102"/>
        <v/>
      </c>
      <c r="AG402" s="359" t="str">
        <f t="shared" si="94"/>
        <v/>
      </c>
      <c r="AH402" s="359" t="str">
        <f t="shared" si="95"/>
        <v/>
      </c>
      <c r="AI402" s="359" t="str">
        <f t="shared" si="96"/>
        <v/>
      </c>
      <c r="AJ402" s="359" t="str">
        <f t="shared" si="97"/>
        <v/>
      </c>
      <c r="AK402" s="359" t="str">
        <f t="shared" si="99"/>
        <v/>
      </c>
      <c r="AL402" s="359" t="str">
        <f t="shared" si="98"/>
        <v/>
      </c>
      <c r="AM402" s="359" t="str">
        <f t="shared" si="100"/>
        <v/>
      </c>
      <c r="AN402" s="262">
        <f t="shared" si="103"/>
        <v>0</v>
      </c>
      <c r="AO402" s="262" t="str">
        <f>IFERROR(HLOOKUP(AN402,'Ref Lists'!Q$1:AL$2,2,FALSE),'Ref Lists'!$AK$2)</f>
        <v>Savings21</v>
      </c>
      <c r="AP402" s="38"/>
      <c r="AQ402" s="38">
        <f t="shared" si="92"/>
        <v>0</v>
      </c>
      <c r="AR402" s="38"/>
      <c r="AS402" s="38"/>
      <c r="AT402" s="38"/>
      <c r="AU402" s="38"/>
      <c r="AV402" s="38"/>
      <c r="AW402" s="38"/>
      <c r="AX402" s="38"/>
      <c r="AY402" s="38"/>
      <c r="AZ402" s="38"/>
      <c r="BA402" s="38"/>
      <c r="BB402" s="38"/>
      <c r="BC402" s="38"/>
      <c r="BD402" s="38"/>
      <c r="BE402" s="38"/>
      <c r="BF402" s="38"/>
      <c r="BG402" s="38"/>
      <c r="BH402" s="38"/>
      <c r="BI402" s="38"/>
      <c r="BJ402" s="38"/>
      <c r="BK402" s="38"/>
      <c r="BL402" s="38"/>
      <c r="BM402" s="38"/>
      <c r="BN402" s="38"/>
      <c r="BO402" s="38"/>
      <c r="BP402" s="38"/>
      <c r="BQ402" s="38"/>
      <c r="BR402" s="38"/>
      <c r="BS402" s="38"/>
      <c r="BT402" s="38"/>
      <c r="BU402" s="38"/>
      <c r="BV402" s="38"/>
      <c r="BW402" s="38"/>
      <c r="BX402" s="38"/>
      <c r="BY402" s="38"/>
      <c r="BZ402" s="38"/>
      <c r="CA402" s="38"/>
      <c r="CB402" s="38"/>
      <c r="CC402" s="38"/>
      <c r="CD402" s="38"/>
      <c r="CE402" s="38"/>
      <c r="CF402" s="38"/>
      <c r="CG402" s="38"/>
      <c r="CH402" s="38"/>
      <c r="CI402" s="38"/>
      <c r="CJ402" s="38"/>
      <c r="CK402" s="38"/>
      <c r="CL402" s="38"/>
      <c r="CM402" s="38"/>
      <c r="CN402" s="38"/>
      <c r="CO402" s="38"/>
      <c r="CP402" s="38"/>
      <c r="CQ402" s="38"/>
      <c r="CR402" s="38"/>
      <c r="CS402" s="38"/>
      <c r="CT402" s="38"/>
      <c r="CU402" s="38"/>
      <c r="CV402" s="38"/>
      <c r="CW402" s="38"/>
      <c r="CX402" s="38"/>
      <c r="CY402" s="38"/>
      <c r="CZ402" s="38"/>
    </row>
    <row r="403" spans="1:104" s="40" customFormat="1" ht="20.149999999999999" customHeight="1">
      <c r="A403" s="358">
        <f t="shared" si="101"/>
        <v>402</v>
      </c>
      <c r="B403" s="359" t="str">
        <f>'Front Sheet and Checklist'!$C$5</f>
        <v>Swansea Bay UHB</v>
      </c>
      <c r="C403" s="17"/>
      <c r="D403" s="17"/>
      <c r="E403" s="17"/>
      <c r="F403" s="17"/>
      <c r="G403" s="17"/>
      <c r="H403" s="17"/>
      <c r="I403" s="361">
        <f t="shared" si="91"/>
        <v>0</v>
      </c>
      <c r="J403" s="17"/>
      <c r="K403" s="18"/>
      <c r="L403" s="18"/>
      <c r="M403" s="17"/>
      <c r="N403" s="17"/>
      <c r="O403" s="17"/>
      <c r="P403" s="17"/>
      <c r="Q403" s="169"/>
      <c r="R403" s="24"/>
      <c r="S403" s="24"/>
      <c r="T403" s="24"/>
      <c r="U403" s="25"/>
      <c r="V403" s="25"/>
      <c r="W403" s="25"/>
      <c r="X403" s="24"/>
      <c r="Y403" s="24"/>
      <c r="Z403" s="24"/>
      <c r="AA403" s="24"/>
      <c r="AB403" s="24"/>
      <c r="AC403" s="24"/>
      <c r="AD403" s="361">
        <f t="shared" si="90"/>
        <v>0</v>
      </c>
      <c r="AE403" s="359" t="str">
        <f t="shared" si="93"/>
        <v/>
      </c>
      <c r="AF403" s="359" t="str">
        <f t="shared" si="102"/>
        <v/>
      </c>
      <c r="AG403" s="359" t="str">
        <f t="shared" si="94"/>
        <v/>
      </c>
      <c r="AH403" s="359" t="str">
        <f t="shared" si="95"/>
        <v/>
      </c>
      <c r="AI403" s="359" t="str">
        <f t="shared" si="96"/>
        <v/>
      </c>
      <c r="AJ403" s="359" t="str">
        <f t="shared" si="97"/>
        <v/>
      </c>
      <c r="AK403" s="359" t="str">
        <f t="shared" si="99"/>
        <v/>
      </c>
      <c r="AL403" s="359" t="str">
        <f t="shared" si="98"/>
        <v/>
      </c>
      <c r="AM403" s="359" t="str">
        <f t="shared" si="100"/>
        <v/>
      </c>
      <c r="AN403" s="262">
        <f t="shared" si="103"/>
        <v>0</v>
      </c>
      <c r="AO403" s="262" t="str">
        <f>IFERROR(HLOOKUP(AN403,'Ref Lists'!Q$1:AL$2,2,FALSE),'Ref Lists'!$AK$2)</f>
        <v>Savings21</v>
      </c>
      <c r="AP403" s="38"/>
      <c r="AQ403" s="38">
        <f t="shared" si="92"/>
        <v>0</v>
      </c>
      <c r="AR403" s="38"/>
      <c r="AS403" s="38"/>
      <c r="AT403" s="38"/>
      <c r="AU403" s="38"/>
      <c r="AV403" s="38"/>
      <c r="AW403" s="38"/>
      <c r="AX403" s="38"/>
      <c r="AY403" s="38"/>
      <c r="AZ403" s="38"/>
      <c r="BA403" s="38"/>
      <c r="BB403" s="38"/>
      <c r="BC403" s="38"/>
      <c r="BD403" s="38"/>
      <c r="BE403" s="38"/>
      <c r="BF403" s="38"/>
      <c r="BG403" s="38"/>
      <c r="BH403" s="38"/>
      <c r="BI403" s="38"/>
      <c r="BJ403" s="38"/>
      <c r="BK403" s="38"/>
      <c r="BL403" s="38"/>
      <c r="BM403" s="38"/>
      <c r="BN403" s="38"/>
      <c r="BO403" s="38"/>
      <c r="BP403" s="38"/>
      <c r="BQ403" s="38"/>
      <c r="BR403" s="38"/>
      <c r="BS403" s="38"/>
      <c r="BT403" s="38"/>
      <c r="BU403" s="38"/>
      <c r="BV403" s="38"/>
      <c r="BW403" s="38"/>
      <c r="BX403" s="38"/>
      <c r="BY403" s="38"/>
      <c r="BZ403" s="38"/>
      <c r="CA403" s="38"/>
      <c r="CB403" s="38"/>
      <c r="CC403" s="38"/>
      <c r="CD403" s="38"/>
      <c r="CE403" s="38"/>
      <c r="CF403" s="38"/>
      <c r="CG403" s="38"/>
      <c r="CH403" s="38"/>
      <c r="CI403" s="38"/>
      <c r="CJ403" s="38"/>
      <c r="CK403" s="38"/>
      <c r="CL403" s="38"/>
      <c r="CM403" s="38"/>
      <c r="CN403" s="38"/>
      <c r="CO403" s="38"/>
      <c r="CP403" s="38"/>
      <c r="CQ403" s="38"/>
      <c r="CR403" s="38"/>
      <c r="CS403" s="38"/>
      <c r="CT403" s="38"/>
      <c r="CU403" s="38"/>
      <c r="CV403" s="38"/>
      <c r="CW403" s="38"/>
      <c r="CX403" s="38"/>
      <c r="CY403" s="38"/>
      <c r="CZ403" s="38"/>
    </row>
    <row r="404" spans="1:104" s="40" customFormat="1" ht="20.149999999999999" customHeight="1">
      <c r="A404" s="358">
        <f t="shared" si="101"/>
        <v>403</v>
      </c>
      <c r="B404" s="359" t="str">
        <f>'Front Sheet and Checklist'!$C$5</f>
        <v>Swansea Bay UHB</v>
      </c>
      <c r="C404" s="17"/>
      <c r="D404" s="17"/>
      <c r="E404" s="17"/>
      <c r="F404" s="17"/>
      <c r="G404" s="17"/>
      <c r="H404" s="17"/>
      <c r="I404" s="361">
        <f t="shared" si="91"/>
        <v>0</v>
      </c>
      <c r="J404" s="17"/>
      <c r="K404" s="18"/>
      <c r="L404" s="18"/>
      <c r="M404" s="17"/>
      <c r="N404" s="17"/>
      <c r="O404" s="17"/>
      <c r="P404" s="17"/>
      <c r="Q404" s="169"/>
      <c r="R404" s="24"/>
      <c r="S404" s="24"/>
      <c r="T404" s="24"/>
      <c r="U404" s="25"/>
      <c r="V404" s="25"/>
      <c r="W404" s="25"/>
      <c r="X404" s="24"/>
      <c r="Y404" s="24"/>
      <c r="Z404" s="24"/>
      <c r="AA404" s="24"/>
      <c r="AB404" s="24"/>
      <c r="AC404" s="24"/>
      <c r="AD404" s="361">
        <f t="shared" si="90"/>
        <v>0</v>
      </c>
      <c r="AE404" s="359" t="str">
        <f t="shared" si="93"/>
        <v/>
      </c>
      <c r="AF404" s="359" t="str">
        <f t="shared" si="102"/>
        <v/>
      </c>
      <c r="AG404" s="359" t="str">
        <f t="shared" si="94"/>
        <v/>
      </c>
      <c r="AH404" s="359" t="str">
        <f t="shared" si="95"/>
        <v/>
      </c>
      <c r="AI404" s="359" t="str">
        <f t="shared" si="96"/>
        <v/>
      </c>
      <c r="AJ404" s="359" t="str">
        <f t="shared" si="97"/>
        <v/>
      </c>
      <c r="AK404" s="359" t="str">
        <f t="shared" si="99"/>
        <v/>
      </c>
      <c r="AL404" s="359" t="str">
        <f t="shared" si="98"/>
        <v/>
      </c>
      <c r="AM404" s="359" t="str">
        <f t="shared" si="100"/>
        <v/>
      </c>
      <c r="AN404" s="262">
        <f t="shared" si="103"/>
        <v>0</v>
      </c>
      <c r="AO404" s="262" t="str">
        <f>IFERROR(HLOOKUP(AN404,'Ref Lists'!Q$1:AL$2,2,FALSE),'Ref Lists'!$AK$2)</f>
        <v>Savings21</v>
      </c>
      <c r="AP404" s="38"/>
      <c r="AQ404" s="38">
        <f t="shared" si="92"/>
        <v>0</v>
      </c>
      <c r="AR404" s="38"/>
      <c r="AS404" s="38"/>
      <c r="AT404" s="38"/>
      <c r="AU404" s="38"/>
      <c r="AV404" s="38"/>
      <c r="AW404" s="38"/>
      <c r="AX404" s="38"/>
      <c r="AY404" s="38"/>
      <c r="AZ404" s="38"/>
      <c r="BA404" s="38"/>
      <c r="BB404" s="38"/>
      <c r="BC404" s="38"/>
      <c r="BD404" s="38"/>
      <c r="BE404" s="38"/>
      <c r="BF404" s="38"/>
      <c r="BG404" s="38"/>
      <c r="BH404" s="38"/>
      <c r="BI404" s="38"/>
      <c r="BJ404" s="38"/>
      <c r="BK404" s="38"/>
      <c r="BL404" s="38"/>
      <c r="BM404" s="38"/>
      <c r="BN404" s="38"/>
      <c r="BO404" s="38"/>
      <c r="BP404" s="38"/>
      <c r="BQ404" s="38"/>
      <c r="BR404" s="38"/>
      <c r="BS404" s="38"/>
      <c r="BT404" s="38"/>
      <c r="BU404" s="38"/>
      <c r="BV404" s="38"/>
      <c r="BW404" s="38"/>
      <c r="BX404" s="38"/>
      <c r="BY404" s="38"/>
      <c r="BZ404" s="38"/>
      <c r="CA404" s="38"/>
      <c r="CB404" s="38"/>
      <c r="CC404" s="38"/>
      <c r="CD404" s="38"/>
      <c r="CE404" s="38"/>
      <c r="CF404" s="38"/>
      <c r="CG404" s="38"/>
      <c r="CH404" s="38"/>
      <c r="CI404" s="38"/>
      <c r="CJ404" s="38"/>
      <c r="CK404" s="38"/>
      <c r="CL404" s="38"/>
      <c r="CM404" s="38"/>
      <c r="CN404" s="38"/>
      <c r="CO404" s="38"/>
      <c r="CP404" s="38"/>
      <c r="CQ404" s="38"/>
      <c r="CR404" s="38"/>
      <c r="CS404" s="38"/>
      <c r="CT404" s="38"/>
      <c r="CU404" s="38"/>
      <c r="CV404" s="38"/>
      <c r="CW404" s="38"/>
      <c r="CX404" s="38"/>
      <c r="CY404" s="38"/>
      <c r="CZ404" s="38"/>
    </row>
    <row r="405" spans="1:104" s="40" customFormat="1" ht="20.149999999999999" customHeight="1">
      <c r="A405" s="358">
        <f t="shared" si="101"/>
        <v>404</v>
      </c>
      <c r="B405" s="359" t="str">
        <f>'Front Sheet and Checklist'!$C$5</f>
        <v>Swansea Bay UHB</v>
      </c>
      <c r="C405" s="17"/>
      <c r="D405" s="17"/>
      <c r="E405" s="17"/>
      <c r="F405" s="17"/>
      <c r="G405" s="17"/>
      <c r="H405" s="17"/>
      <c r="I405" s="361">
        <f t="shared" si="91"/>
        <v>0</v>
      </c>
      <c r="J405" s="17"/>
      <c r="K405" s="18"/>
      <c r="L405" s="18"/>
      <c r="M405" s="17"/>
      <c r="N405" s="17"/>
      <c r="O405" s="17"/>
      <c r="P405" s="17"/>
      <c r="Q405" s="169"/>
      <c r="R405" s="24"/>
      <c r="S405" s="24"/>
      <c r="T405" s="24"/>
      <c r="U405" s="25"/>
      <c r="V405" s="25"/>
      <c r="W405" s="25"/>
      <c r="X405" s="24"/>
      <c r="Y405" s="24"/>
      <c r="Z405" s="24"/>
      <c r="AA405" s="24"/>
      <c r="AB405" s="24"/>
      <c r="AC405" s="24"/>
      <c r="AD405" s="361">
        <f t="shared" si="90"/>
        <v>0</v>
      </c>
      <c r="AE405" s="359" t="str">
        <f t="shared" si="93"/>
        <v/>
      </c>
      <c r="AF405" s="359" t="str">
        <f t="shared" si="102"/>
        <v/>
      </c>
      <c r="AG405" s="359" t="str">
        <f t="shared" si="94"/>
        <v/>
      </c>
      <c r="AH405" s="359" t="str">
        <f t="shared" si="95"/>
        <v/>
      </c>
      <c r="AI405" s="359" t="str">
        <f t="shared" si="96"/>
        <v/>
      </c>
      <c r="AJ405" s="359" t="str">
        <f t="shared" si="97"/>
        <v/>
      </c>
      <c r="AK405" s="359" t="str">
        <f t="shared" si="99"/>
        <v/>
      </c>
      <c r="AL405" s="359" t="str">
        <f t="shared" si="98"/>
        <v/>
      </c>
      <c r="AM405" s="359" t="str">
        <f t="shared" si="100"/>
        <v/>
      </c>
      <c r="AN405" s="262">
        <f t="shared" si="103"/>
        <v>0</v>
      </c>
      <c r="AO405" s="262" t="str">
        <f>IFERROR(HLOOKUP(AN405,'Ref Lists'!Q$1:AL$2,2,FALSE),'Ref Lists'!$AK$2)</f>
        <v>Savings21</v>
      </c>
      <c r="AP405" s="38"/>
      <c r="AQ405" s="38">
        <f t="shared" si="92"/>
        <v>0</v>
      </c>
      <c r="AR405" s="38"/>
      <c r="AS405" s="38"/>
      <c r="AT405" s="38"/>
      <c r="AU405" s="38"/>
      <c r="AV405" s="38"/>
      <c r="AW405" s="38"/>
      <c r="AX405" s="38"/>
      <c r="AY405" s="38"/>
      <c r="AZ405" s="38"/>
      <c r="BA405" s="38"/>
      <c r="BB405" s="38"/>
      <c r="BC405" s="38"/>
      <c r="BD405" s="38"/>
      <c r="BE405" s="38"/>
      <c r="BF405" s="38"/>
      <c r="BG405" s="38"/>
      <c r="BH405" s="38"/>
      <c r="BI405" s="38"/>
      <c r="BJ405" s="38"/>
      <c r="BK405" s="38"/>
      <c r="BL405" s="38"/>
      <c r="BM405" s="38"/>
      <c r="BN405" s="38"/>
      <c r="BO405" s="38"/>
      <c r="BP405" s="38"/>
      <c r="BQ405" s="38"/>
      <c r="BR405" s="38"/>
      <c r="BS405" s="38"/>
      <c r="BT405" s="38"/>
      <c r="BU405" s="38"/>
      <c r="BV405" s="38"/>
      <c r="BW405" s="38"/>
      <c r="BX405" s="38"/>
      <c r="BY405" s="38"/>
      <c r="BZ405" s="38"/>
      <c r="CA405" s="38"/>
      <c r="CB405" s="38"/>
      <c r="CC405" s="38"/>
      <c r="CD405" s="38"/>
      <c r="CE405" s="38"/>
      <c r="CF405" s="38"/>
      <c r="CG405" s="38"/>
      <c r="CH405" s="38"/>
      <c r="CI405" s="38"/>
      <c r="CJ405" s="38"/>
      <c r="CK405" s="38"/>
      <c r="CL405" s="38"/>
      <c r="CM405" s="38"/>
      <c r="CN405" s="38"/>
      <c r="CO405" s="38"/>
      <c r="CP405" s="38"/>
      <c r="CQ405" s="38"/>
      <c r="CR405" s="38"/>
      <c r="CS405" s="38"/>
      <c r="CT405" s="38"/>
      <c r="CU405" s="38"/>
      <c r="CV405" s="38"/>
      <c r="CW405" s="38"/>
      <c r="CX405" s="38"/>
      <c r="CY405" s="38"/>
      <c r="CZ405" s="38"/>
    </row>
    <row r="406" spans="1:104" s="40" customFormat="1" ht="20.149999999999999" customHeight="1">
      <c r="A406" s="358">
        <f t="shared" si="101"/>
        <v>405</v>
      </c>
      <c r="B406" s="359" t="str">
        <f>'Front Sheet and Checklist'!$C$5</f>
        <v>Swansea Bay UHB</v>
      </c>
      <c r="C406" s="17"/>
      <c r="D406" s="17"/>
      <c r="E406" s="17"/>
      <c r="F406" s="17"/>
      <c r="G406" s="17"/>
      <c r="H406" s="17"/>
      <c r="I406" s="361">
        <f t="shared" si="91"/>
        <v>0</v>
      </c>
      <c r="J406" s="17"/>
      <c r="K406" s="18"/>
      <c r="L406" s="18"/>
      <c r="M406" s="17"/>
      <c r="N406" s="17"/>
      <c r="O406" s="17"/>
      <c r="P406" s="17"/>
      <c r="Q406" s="169"/>
      <c r="R406" s="24"/>
      <c r="S406" s="24"/>
      <c r="T406" s="24"/>
      <c r="U406" s="25"/>
      <c r="V406" s="25"/>
      <c r="W406" s="25"/>
      <c r="X406" s="24"/>
      <c r="Y406" s="24"/>
      <c r="Z406" s="24"/>
      <c r="AA406" s="24"/>
      <c r="AB406" s="24"/>
      <c r="AC406" s="24"/>
      <c r="AD406" s="361">
        <f t="shared" si="90"/>
        <v>0</v>
      </c>
      <c r="AE406" s="359" t="str">
        <f t="shared" si="93"/>
        <v/>
      </c>
      <c r="AF406" s="359" t="str">
        <f t="shared" si="102"/>
        <v/>
      </c>
      <c r="AG406" s="359" t="str">
        <f t="shared" si="94"/>
        <v/>
      </c>
      <c r="AH406" s="359" t="str">
        <f t="shared" si="95"/>
        <v/>
      </c>
      <c r="AI406" s="359" t="str">
        <f t="shared" si="96"/>
        <v/>
      </c>
      <c r="AJ406" s="359" t="str">
        <f t="shared" si="97"/>
        <v/>
      </c>
      <c r="AK406" s="359" t="str">
        <f t="shared" si="99"/>
        <v/>
      </c>
      <c r="AL406" s="359" t="str">
        <f t="shared" si="98"/>
        <v/>
      </c>
      <c r="AM406" s="359" t="str">
        <f t="shared" si="100"/>
        <v/>
      </c>
      <c r="AN406" s="262">
        <f t="shared" si="103"/>
        <v>0</v>
      </c>
      <c r="AO406" s="262" t="str">
        <f>IFERROR(HLOOKUP(AN406,'Ref Lists'!Q$1:AL$2,2,FALSE),'Ref Lists'!$AK$2)</f>
        <v>Savings21</v>
      </c>
      <c r="AP406" s="38"/>
      <c r="AQ406" s="38">
        <f t="shared" si="92"/>
        <v>0</v>
      </c>
      <c r="AR406" s="38"/>
      <c r="AS406" s="38"/>
      <c r="AT406" s="38"/>
      <c r="AU406" s="38"/>
      <c r="AV406" s="38"/>
      <c r="AW406" s="38"/>
      <c r="AX406" s="38"/>
      <c r="AY406" s="38"/>
      <c r="AZ406" s="38"/>
      <c r="BA406" s="38"/>
      <c r="BB406" s="38"/>
      <c r="BC406" s="38"/>
      <c r="BD406" s="38"/>
      <c r="BE406" s="38"/>
      <c r="BF406" s="38"/>
      <c r="BG406" s="38"/>
      <c r="BH406" s="38"/>
      <c r="BI406" s="38"/>
      <c r="BJ406" s="38"/>
      <c r="BK406" s="38"/>
      <c r="BL406" s="38"/>
      <c r="BM406" s="38"/>
      <c r="BN406" s="38"/>
      <c r="BO406" s="38"/>
      <c r="BP406" s="38"/>
      <c r="BQ406" s="38"/>
      <c r="BR406" s="38"/>
      <c r="BS406" s="38"/>
      <c r="BT406" s="38"/>
      <c r="BU406" s="38"/>
      <c r="BV406" s="38"/>
      <c r="BW406" s="38"/>
      <c r="BX406" s="38"/>
      <c r="BY406" s="38"/>
      <c r="BZ406" s="38"/>
      <c r="CA406" s="38"/>
      <c r="CB406" s="38"/>
      <c r="CC406" s="38"/>
      <c r="CD406" s="38"/>
      <c r="CE406" s="38"/>
      <c r="CF406" s="38"/>
      <c r="CG406" s="38"/>
      <c r="CH406" s="38"/>
      <c r="CI406" s="38"/>
      <c r="CJ406" s="38"/>
      <c r="CK406" s="38"/>
      <c r="CL406" s="38"/>
      <c r="CM406" s="38"/>
      <c r="CN406" s="38"/>
      <c r="CO406" s="38"/>
      <c r="CP406" s="38"/>
      <c r="CQ406" s="38"/>
      <c r="CR406" s="38"/>
      <c r="CS406" s="38"/>
      <c r="CT406" s="38"/>
      <c r="CU406" s="38"/>
      <c r="CV406" s="38"/>
      <c r="CW406" s="38"/>
      <c r="CX406" s="38"/>
      <c r="CY406" s="38"/>
      <c r="CZ406" s="38"/>
    </row>
    <row r="407" spans="1:104" s="40" customFormat="1" ht="20.149999999999999" customHeight="1">
      <c r="A407" s="358">
        <f t="shared" si="101"/>
        <v>406</v>
      </c>
      <c r="B407" s="359" t="str">
        <f>'Front Sheet and Checklist'!$C$5</f>
        <v>Swansea Bay UHB</v>
      </c>
      <c r="C407" s="17"/>
      <c r="D407" s="17"/>
      <c r="E407" s="17"/>
      <c r="F407" s="17"/>
      <c r="G407" s="17"/>
      <c r="H407" s="17"/>
      <c r="I407" s="361">
        <f t="shared" si="91"/>
        <v>0</v>
      </c>
      <c r="J407" s="17"/>
      <c r="K407" s="18"/>
      <c r="L407" s="18"/>
      <c r="M407" s="17"/>
      <c r="N407" s="17"/>
      <c r="O407" s="17"/>
      <c r="P407" s="17"/>
      <c r="Q407" s="169"/>
      <c r="R407" s="24"/>
      <c r="S407" s="24"/>
      <c r="T407" s="24"/>
      <c r="U407" s="25"/>
      <c r="V407" s="25"/>
      <c r="W407" s="25"/>
      <c r="X407" s="24"/>
      <c r="Y407" s="24"/>
      <c r="Z407" s="24"/>
      <c r="AA407" s="24"/>
      <c r="AB407" s="24"/>
      <c r="AC407" s="24"/>
      <c r="AD407" s="361">
        <f t="shared" si="90"/>
        <v>0</v>
      </c>
      <c r="AE407" s="359" t="str">
        <f t="shared" si="93"/>
        <v/>
      </c>
      <c r="AF407" s="359" t="str">
        <f t="shared" si="102"/>
        <v/>
      </c>
      <c r="AG407" s="359" t="str">
        <f t="shared" si="94"/>
        <v/>
      </c>
      <c r="AH407" s="359" t="str">
        <f t="shared" si="95"/>
        <v/>
      </c>
      <c r="AI407" s="359" t="str">
        <f t="shared" si="96"/>
        <v/>
      </c>
      <c r="AJ407" s="359" t="str">
        <f t="shared" si="97"/>
        <v/>
      </c>
      <c r="AK407" s="359" t="str">
        <f t="shared" si="99"/>
        <v/>
      </c>
      <c r="AL407" s="359" t="str">
        <f t="shared" si="98"/>
        <v/>
      </c>
      <c r="AM407" s="359" t="str">
        <f t="shared" si="100"/>
        <v/>
      </c>
      <c r="AN407" s="262">
        <f t="shared" si="103"/>
        <v>0</v>
      </c>
      <c r="AO407" s="262" t="str">
        <f>IFERROR(HLOOKUP(AN407,'Ref Lists'!Q$1:AL$2,2,FALSE),'Ref Lists'!$AK$2)</f>
        <v>Savings21</v>
      </c>
      <c r="AP407" s="38"/>
      <c r="AQ407" s="38">
        <f t="shared" si="92"/>
        <v>0</v>
      </c>
      <c r="AR407" s="38"/>
      <c r="AS407" s="38"/>
      <c r="AT407" s="38"/>
      <c r="AU407" s="38"/>
      <c r="AV407" s="38"/>
      <c r="AW407" s="38"/>
      <c r="AX407" s="38"/>
      <c r="AY407" s="38"/>
      <c r="AZ407" s="38"/>
      <c r="BA407" s="38"/>
      <c r="BB407" s="38"/>
      <c r="BC407" s="38"/>
      <c r="BD407" s="38"/>
      <c r="BE407" s="38"/>
      <c r="BF407" s="38"/>
      <c r="BG407" s="38"/>
      <c r="BH407" s="38"/>
      <c r="BI407" s="38"/>
      <c r="BJ407" s="38"/>
      <c r="BK407" s="38"/>
      <c r="BL407" s="38"/>
      <c r="BM407" s="38"/>
      <c r="BN407" s="38"/>
      <c r="BO407" s="38"/>
      <c r="BP407" s="38"/>
      <c r="BQ407" s="38"/>
      <c r="BR407" s="38"/>
      <c r="BS407" s="38"/>
      <c r="BT407" s="38"/>
      <c r="BU407" s="38"/>
      <c r="BV407" s="38"/>
      <c r="BW407" s="38"/>
      <c r="BX407" s="38"/>
      <c r="BY407" s="38"/>
      <c r="BZ407" s="38"/>
      <c r="CA407" s="38"/>
      <c r="CB407" s="38"/>
      <c r="CC407" s="38"/>
      <c r="CD407" s="38"/>
      <c r="CE407" s="38"/>
      <c r="CF407" s="38"/>
      <c r="CG407" s="38"/>
      <c r="CH407" s="38"/>
      <c r="CI407" s="38"/>
      <c r="CJ407" s="38"/>
      <c r="CK407" s="38"/>
      <c r="CL407" s="38"/>
      <c r="CM407" s="38"/>
      <c r="CN407" s="38"/>
      <c r="CO407" s="38"/>
      <c r="CP407" s="38"/>
      <c r="CQ407" s="38"/>
      <c r="CR407" s="38"/>
      <c r="CS407" s="38"/>
      <c r="CT407" s="38"/>
      <c r="CU407" s="38"/>
      <c r="CV407" s="38"/>
      <c r="CW407" s="38"/>
      <c r="CX407" s="38"/>
      <c r="CY407" s="38"/>
      <c r="CZ407" s="38"/>
    </row>
    <row r="408" spans="1:104" s="40" customFormat="1" ht="20.149999999999999" customHeight="1">
      <c r="A408" s="358">
        <f t="shared" si="101"/>
        <v>407</v>
      </c>
      <c r="B408" s="359" t="str">
        <f>'Front Sheet and Checklist'!$C$5</f>
        <v>Swansea Bay UHB</v>
      </c>
      <c r="C408" s="17"/>
      <c r="D408" s="17"/>
      <c r="E408" s="17"/>
      <c r="F408" s="17"/>
      <c r="G408" s="17"/>
      <c r="H408" s="17"/>
      <c r="I408" s="361">
        <f t="shared" si="91"/>
        <v>0</v>
      </c>
      <c r="J408" s="17"/>
      <c r="K408" s="18"/>
      <c r="L408" s="18"/>
      <c r="M408" s="17"/>
      <c r="N408" s="17"/>
      <c r="O408" s="17"/>
      <c r="P408" s="17"/>
      <c r="Q408" s="169"/>
      <c r="R408" s="24"/>
      <c r="S408" s="24"/>
      <c r="T408" s="24"/>
      <c r="U408" s="25"/>
      <c r="V408" s="25"/>
      <c r="W408" s="25"/>
      <c r="X408" s="24"/>
      <c r="Y408" s="24"/>
      <c r="Z408" s="24"/>
      <c r="AA408" s="24"/>
      <c r="AB408" s="24"/>
      <c r="AC408" s="24"/>
      <c r="AD408" s="361">
        <f t="shared" si="90"/>
        <v>0</v>
      </c>
      <c r="AE408" s="359" t="str">
        <f t="shared" si="93"/>
        <v/>
      </c>
      <c r="AF408" s="359" t="str">
        <f t="shared" si="102"/>
        <v/>
      </c>
      <c r="AG408" s="359" t="str">
        <f t="shared" si="94"/>
        <v/>
      </c>
      <c r="AH408" s="359" t="str">
        <f t="shared" si="95"/>
        <v/>
      </c>
      <c r="AI408" s="359" t="str">
        <f t="shared" si="96"/>
        <v/>
      </c>
      <c r="AJ408" s="359" t="str">
        <f t="shared" si="97"/>
        <v/>
      </c>
      <c r="AK408" s="359" t="str">
        <f t="shared" si="99"/>
        <v/>
      </c>
      <c r="AL408" s="359" t="str">
        <f t="shared" si="98"/>
        <v/>
      </c>
      <c r="AM408" s="359" t="str">
        <f t="shared" si="100"/>
        <v/>
      </c>
      <c r="AN408" s="262">
        <f t="shared" si="103"/>
        <v>0</v>
      </c>
      <c r="AO408" s="262" t="str">
        <f>IFERROR(HLOOKUP(AN408,'Ref Lists'!Q$1:AL$2,2,FALSE),'Ref Lists'!$AK$2)</f>
        <v>Savings21</v>
      </c>
      <c r="AP408" s="38"/>
      <c r="AQ408" s="38">
        <f t="shared" si="92"/>
        <v>0</v>
      </c>
      <c r="AR408" s="38"/>
      <c r="AS408" s="38"/>
      <c r="AT408" s="38"/>
      <c r="AU408" s="38"/>
      <c r="AV408" s="38"/>
      <c r="AW408" s="38"/>
      <c r="AX408" s="38"/>
      <c r="AY408" s="38"/>
      <c r="AZ408" s="38"/>
      <c r="BA408" s="38"/>
      <c r="BB408" s="38"/>
      <c r="BC408" s="38"/>
      <c r="BD408" s="38"/>
      <c r="BE408" s="38"/>
      <c r="BF408" s="38"/>
      <c r="BG408" s="38"/>
      <c r="BH408" s="38"/>
      <c r="BI408" s="38"/>
      <c r="BJ408" s="38"/>
      <c r="BK408" s="38"/>
      <c r="BL408" s="38"/>
      <c r="BM408" s="38"/>
      <c r="BN408" s="38"/>
      <c r="BO408" s="38"/>
      <c r="BP408" s="38"/>
      <c r="BQ408" s="38"/>
      <c r="BR408" s="38"/>
      <c r="BS408" s="38"/>
      <c r="BT408" s="38"/>
      <c r="BU408" s="38"/>
      <c r="BV408" s="38"/>
      <c r="BW408" s="38"/>
      <c r="BX408" s="38"/>
      <c r="BY408" s="38"/>
      <c r="BZ408" s="38"/>
      <c r="CA408" s="38"/>
      <c r="CB408" s="38"/>
      <c r="CC408" s="38"/>
      <c r="CD408" s="38"/>
      <c r="CE408" s="38"/>
      <c r="CF408" s="38"/>
      <c r="CG408" s="38"/>
      <c r="CH408" s="38"/>
      <c r="CI408" s="38"/>
      <c r="CJ408" s="38"/>
      <c r="CK408" s="38"/>
      <c r="CL408" s="38"/>
      <c r="CM408" s="38"/>
      <c r="CN408" s="38"/>
      <c r="CO408" s="38"/>
      <c r="CP408" s="38"/>
      <c r="CQ408" s="38"/>
      <c r="CR408" s="38"/>
      <c r="CS408" s="38"/>
      <c r="CT408" s="38"/>
      <c r="CU408" s="38"/>
      <c r="CV408" s="38"/>
      <c r="CW408" s="38"/>
      <c r="CX408" s="38"/>
      <c r="CY408" s="38"/>
      <c r="CZ408" s="38"/>
    </row>
    <row r="409" spans="1:104" s="40" customFormat="1" ht="20.149999999999999" customHeight="1">
      <c r="A409" s="358">
        <f t="shared" si="101"/>
        <v>408</v>
      </c>
      <c r="B409" s="359" t="str">
        <f>'Front Sheet and Checklist'!$C$5</f>
        <v>Swansea Bay UHB</v>
      </c>
      <c r="C409" s="17"/>
      <c r="D409" s="17"/>
      <c r="E409" s="17"/>
      <c r="F409" s="17"/>
      <c r="G409" s="17"/>
      <c r="H409" s="17"/>
      <c r="I409" s="361">
        <f t="shared" si="91"/>
        <v>0</v>
      </c>
      <c r="J409" s="17"/>
      <c r="K409" s="18"/>
      <c r="L409" s="18"/>
      <c r="M409" s="17"/>
      <c r="N409" s="17"/>
      <c r="O409" s="17"/>
      <c r="P409" s="17"/>
      <c r="Q409" s="169"/>
      <c r="R409" s="24"/>
      <c r="S409" s="24"/>
      <c r="T409" s="24"/>
      <c r="U409" s="25"/>
      <c r="V409" s="25"/>
      <c r="W409" s="25"/>
      <c r="X409" s="24"/>
      <c r="Y409" s="24"/>
      <c r="Z409" s="24"/>
      <c r="AA409" s="24"/>
      <c r="AB409" s="24"/>
      <c r="AC409" s="24"/>
      <c r="AD409" s="361">
        <f t="shared" si="90"/>
        <v>0</v>
      </c>
      <c r="AE409" s="359" t="str">
        <f t="shared" si="93"/>
        <v/>
      </c>
      <c r="AF409" s="359" t="str">
        <f t="shared" si="102"/>
        <v/>
      </c>
      <c r="AG409" s="359" t="str">
        <f t="shared" si="94"/>
        <v/>
      </c>
      <c r="AH409" s="359" t="str">
        <f t="shared" si="95"/>
        <v/>
      </c>
      <c r="AI409" s="359" t="str">
        <f t="shared" si="96"/>
        <v/>
      </c>
      <c r="AJ409" s="359" t="str">
        <f t="shared" si="97"/>
        <v/>
      </c>
      <c r="AK409" s="359" t="str">
        <f t="shared" si="99"/>
        <v/>
      </c>
      <c r="AL409" s="359" t="str">
        <f t="shared" si="98"/>
        <v/>
      </c>
      <c r="AM409" s="359" t="str">
        <f t="shared" si="100"/>
        <v/>
      </c>
      <c r="AN409" s="262">
        <f t="shared" si="103"/>
        <v>0</v>
      </c>
      <c r="AO409" s="262" t="str">
        <f>IFERROR(HLOOKUP(AN409,'Ref Lists'!Q$1:AL$2,2,FALSE),'Ref Lists'!$AK$2)</f>
        <v>Savings21</v>
      </c>
      <c r="AP409" s="38"/>
      <c r="AQ409" s="38">
        <f t="shared" si="92"/>
        <v>0</v>
      </c>
      <c r="AR409" s="38"/>
      <c r="AS409" s="38"/>
      <c r="AT409" s="38"/>
      <c r="AU409" s="38"/>
      <c r="AV409" s="38"/>
      <c r="AW409" s="38"/>
      <c r="AX409" s="38"/>
      <c r="AY409" s="38"/>
      <c r="AZ409" s="38"/>
      <c r="BA409" s="38"/>
      <c r="BB409" s="38"/>
      <c r="BC409" s="38"/>
      <c r="BD409" s="38"/>
      <c r="BE409" s="38"/>
      <c r="BF409" s="38"/>
      <c r="BG409" s="38"/>
      <c r="BH409" s="38"/>
      <c r="BI409" s="38"/>
      <c r="BJ409" s="38"/>
      <c r="BK409" s="38"/>
      <c r="BL409" s="38"/>
      <c r="BM409" s="38"/>
      <c r="BN409" s="38"/>
      <c r="BO409" s="38"/>
      <c r="BP409" s="38"/>
      <c r="BQ409" s="38"/>
      <c r="BR409" s="38"/>
      <c r="BS409" s="38"/>
      <c r="BT409" s="38"/>
      <c r="BU409" s="38"/>
      <c r="BV409" s="38"/>
      <c r="BW409" s="38"/>
      <c r="BX409" s="38"/>
      <c r="BY409" s="38"/>
      <c r="BZ409" s="38"/>
      <c r="CA409" s="38"/>
      <c r="CB409" s="38"/>
      <c r="CC409" s="38"/>
      <c r="CD409" s="38"/>
      <c r="CE409" s="38"/>
      <c r="CF409" s="38"/>
      <c r="CG409" s="38"/>
      <c r="CH409" s="38"/>
      <c r="CI409" s="38"/>
      <c r="CJ409" s="38"/>
      <c r="CK409" s="38"/>
      <c r="CL409" s="38"/>
      <c r="CM409" s="38"/>
      <c r="CN409" s="38"/>
      <c r="CO409" s="38"/>
      <c r="CP409" s="38"/>
      <c r="CQ409" s="38"/>
      <c r="CR409" s="38"/>
      <c r="CS409" s="38"/>
      <c r="CT409" s="38"/>
      <c r="CU409" s="38"/>
      <c r="CV409" s="38"/>
      <c r="CW409" s="38"/>
      <c r="CX409" s="38"/>
      <c r="CY409" s="38"/>
      <c r="CZ409" s="38"/>
    </row>
    <row r="410" spans="1:104" s="40" customFormat="1" ht="20.149999999999999" customHeight="1">
      <c r="A410" s="358">
        <f t="shared" si="101"/>
        <v>409</v>
      </c>
      <c r="B410" s="359" t="str">
        <f>'Front Sheet and Checklist'!$C$5</f>
        <v>Swansea Bay UHB</v>
      </c>
      <c r="C410" s="17"/>
      <c r="D410" s="17"/>
      <c r="E410" s="17"/>
      <c r="F410" s="17"/>
      <c r="G410" s="17"/>
      <c r="H410" s="17"/>
      <c r="I410" s="361">
        <f t="shared" si="91"/>
        <v>0</v>
      </c>
      <c r="J410" s="17"/>
      <c r="K410" s="18"/>
      <c r="L410" s="18"/>
      <c r="M410" s="17"/>
      <c r="N410" s="17"/>
      <c r="O410" s="17"/>
      <c r="P410" s="17"/>
      <c r="Q410" s="169"/>
      <c r="R410" s="24"/>
      <c r="S410" s="24"/>
      <c r="T410" s="24"/>
      <c r="U410" s="25"/>
      <c r="V410" s="25"/>
      <c r="W410" s="25"/>
      <c r="X410" s="24"/>
      <c r="Y410" s="24"/>
      <c r="Z410" s="24"/>
      <c r="AA410" s="24"/>
      <c r="AB410" s="24"/>
      <c r="AC410" s="24"/>
      <c r="AD410" s="361">
        <f t="shared" si="90"/>
        <v>0</v>
      </c>
      <c r="AE410" s="359" t="str">
        <f t="shared" si="93"/>
        <v/>
      </c>
      <c r="AF410" s="359" t="str">
        <f t="shared" si="102"/>
        <v/>
      </c>
      <c r="AG410" s="359" t="str">
        <f t="shared" si="94"/>
        <v/>
      </c>
      <c r="AH410" s="359" t="str">
        <f t="shared" si="95"/>
        <v/>
      </c>
      <c r="AI410" s="359" t="str">
        <f t="shared" si="96"/>
        <v/>
      </c>
      <c r="AJ410" s="359" t="str">
        <f t="shared" si="97"/>
        <v/>
      </c>
      <c r="AK410" s="359" t="str">
        <f t="shared" si="99"/>
        <v/>
      </c>
      <c r="AL410" s="359" t="str">
        <f t="shared" si="98"/>
        <v/>
      </c>
      <c r="AM410" s="359" t="str">
        <f t="shared" si="100"/>
        <v/>
      </c>
      <c r="AN410" s="262">
        <f t="shared" si="103"/>
        <v>0</v>
      </c>
      <c r="AO410" s="262" t="str">
        <f>IFERROR(HLOOKUP(AN410,'Ref Lists'!Q$1:AL$2,2,FALSE),'Ref Lists'!$AK$2)</f>
        <v>Savings21</v>
      </c>
      <c r="AP410" s="38"/>
      <c r="AQ410" s="38">
        <f t="shared" si="92"/>
        <v>0</v>
      </c>
      <c r="AR410" s="38"/>
      <c r="AS410" s="38"/>
      <c r="AT410" s="38"/>
      <c r="AU410" s="38"/>
      <c r="AV410" s="38"/>
      <c r="AW410" s="38"/>
      <c r="AX410" s="38"/>
      <c r="AY410" s="38"/>
      <c r="AZ410" s="38"/>
      <c r="BA410" s="38"/>
      <c r="BB410" s="38"/>
      <c r="BC410" s="38"/>
      <c r="BD410" s="38"/>
      <c r="BE410" s="38"/>
      <c r="BF410" s="38"/>
      <c r="BG410" s="38"/>
      <c r="BH410" s="38"/>
      <c r="BI410" s="38"/>
      <c r="BJ410" s="38"/>
      <c r="BK410" s="38"/>
      <c r="BL410" s="38"/>
      <c r="BM410" s="38"/>
      <c r="BN410" s="38"/>
      <c r="BO410" s="38"/>
      <c r="BP410" s="38"/>
      <c r="BQ410" s="38"/>
      <c r="BR410" s="38"/>
      <c r="BS410" s="38"/>
      <c r="BT410" s="38"/>
      <c r="BU410" s="38"/>
      <c r="BV410" s="38"/>
      <c r="BW410" s="38"/>
      <c r="BX410" s="38"/>
      <c r="BY410" s="38"/>
      <c r="BZ410" s="38"/>
      <c r="CA410" s="38"/>
      <c r="CB410" s="38"/>
      <c r="CC410" s="38"/>
      <c r="CD410" s="38"/>
      <c r="CE410" s="38"/>
      <c r="CF410" s="38"/>
      <c r="CG410" s="38"/>
      <c r="CH410" s="38"/>
      <c r="CI410" s="38"/>
      <c r="CJ410" s="38"/>
      <c r="CK410" s="38"/>
      <c r="CL410" s="38"/>
      <c r="CM410" s="38"/>
      <c r="CN410" s="38"/>
      <c r="CO410" s="38"/>
      <c r="CP410" s="38"/>
      <c r="CQ410" s="38"/>
      <c r="CR410" s="38"/>
      <c r="CS410" s="38"/>
      <c r="CT410" s="38"/>
      <c r="CU410" s="38"/>
      <c r="CV410" s="38"/>
      <c r="CW410" s="38"/>
      <c r="CX410" s="38"/>
      <c r="CY410" s="38"/>
      <c r="CZ410" s="38"/>
    </row>
    <row r="411" spans="1:104" s="40" customFormat="1" ht="20.149999999999999" customHeight="1">
      <c r="A411" s="358">
        <f t="shared" si="101"/>
        <v>410</v>
      </c>
      <c r="B411" s="359" t="str">
        <f>'Front Sheet and Checklist'!$C$5</f>
        <v>Swansea Bay UHB</v>
      </c>
      <c r="C411" s="17"/>
      <c r="D411" s="17"/>
      <c r="E411" s="17"/>
      <c r="F411" s="17"/>
      <c r="G411" s="17"/>
      <c r="H411" s="17"/>
      <c r="I411" s="361">
        <f t="shared" si="91"/>
        <v>0</v>
      </c>
      <c r="J411" s="17"/>
      <c r="K411" s="18"/>
      <c r="L411" s="18"/>
      <c r="M411" s="17"/>
      <c r="N411" s="17"/>
      <c r="O411" s="17"/>
      <c r="P411" s="17"/>
      <c r="Q411" s="169"/>
      <c r="R411" s="24"/>
      <c r="S411" s="24"/>
      <c r="T411" s="24"/>
      <c r="U411" s="25"/>
      <c r="V411" s="25"/>
      <c r="W411" s="25"/>
      <c r="X411" s="24"/>
      <c r="Y411" s="24"/>
      <c r="Z411" s="24"/>
      <c r="AA411" s="24"/>
      <c r="AB411" s="24"/>
      <c r="AC411" s="24"/>
      <c r="AD411" s="361">
        <f t="shared" si="90"/>
        <v>0</v>
      </c>
      <c r="AE411" s="359" t="str">
        <f t="shared" si="93"/>
        <v/>
      </c>
      <c r="AF411" s="359" t="str">
        <f t="shared" si="102"/>
        <v/>
      </c>
      <c r="AG411" s="359" t="str">
        <f t="shared" si="94"/>
        <v/>
      </c>
      <c r="AH411" s="359" t="str">
        <f t="shared" si="95"/>
        <v/>
      </c>
      <c r="AI411" s="359" t="str">
        <f t="shared" si="96"/>
        <v/>
      </c>
      <c r="AJ411" s="359" t="str">
        <f t="shared" si="97"/>
        <v/>
      </c>
      <c r="AK411" s="359" t="str">
        <f t="shared" si="99"/>
        <v/>
      </c>
      <c r="AL411" s="359" t="str">
        <f t="shared" si="98"/>
        <v/>
      </c>
      <c r="AM411" s="359" t="str">
        <f t="shared" si="100"/>
        <v/>
      </c>
      <c r="AN411" s="262">
        <f t="shared" si="103"/>
        <v>0</v>
      </c>
      <c r="AO411" s="262" t="str">
        <f>IFERROR(HLOOKUP(AN411,'Ref Lists'!Q$1:AL$2,2,FALSE),'Ref Lists'!$AK$2)</f>
        <v>Savings21</v>
      </c>
      <c r="AP411" s="38"/>
      <c r="AQ411" s="38">
        <f t="shared" si="92"/>
        <v>0</v>
      </c>
      <c r="AR411" s="38"/>
      <c r="AS411" s="38"/>
      <c r="AT411" s="38"/>
      <c r="AU411" s="38"/>
      <c r="AV411" s="38"/>
      <c r="AW411" s="38"/>
      <c r="AX411" s="38"/>
      <c r="AY411" s="38"/>
      <c r="AZ411" s="38"/>
      <c r="BA411" s="38"/>
      <c r="BB411" s="38"/>
      <c r="BC411" s="38"/>
      <c r="BD411" s="38"/>
      <c r="BE411" s="38"/>
      <c r="BF411" s="38"/>
      <c r="BG411" s="38"/>
      <c r="BH411" s="38"/>
      <c r="BI411" s="38"/>
      <c r="BJ411" s="38"/>
      <c r="BK411" s="38"/>
      <c r="BL411" s="38"/>
      <c r="BM411" s="38"/>
      <c r="BN411" s="38"/>
      <c r="BO411" s="38"/>
      <c r="BP411" s="38"/>
      <c r="BQ411" s="38"/>
      <c r="BR411" s="38"/>
      <c r="BS411" s="38"/>
      <c r="BT411" s="38"/>
      <c r="BU411" s="38"/>
      <c r="BV411" s="38"/>
      <c r="BW411" s="38"/>
      <c r="BX411" s="38"/>
      <c r="BY411" s="38"/>
      <c r="BZ411" s="38"/>
      <c r="CA411" s="38"/>
      <c r="CB411" s="38"/>
      <c r="CC411" s="38"/>
      <c r="CD411" s="38"/>
      <c r="CE411" s="38"/>
      <c r="CF411" s="38"/>
      <c r="CG411" s="38"/>
      <c r="CH411" s="38"/>
      <c r="CI411" s="38"/>
      <c r="CJ411" s="38"/>
      <c r="CK411" s="38"/>
      <c r="CL411" s="38"/>
      <c r="CM411" s="38"/>
      <c r="CN411" s="38"/>
      <c r="CO411" s="38"/>
      <c r="CP411" s="38"/>
      <c r="CQ411" s="38"/>
      <c r="CR411" s="38"/>
      <c r="CS411" s="38"/>
      <c r="CT411" s="38"/>
      <c r="CU411" s="38"/>
      <c r="CV411" s="38"/>
      <c r="CW411" s="38"/>
      <c r="CX411" s="38"/>
      <c r="CY411" s="38"/>
      <c r="CZ411" s="38"/>
    </row>
    <row r="412" spans="1:104" s="40" customFormat="1" ht="20.149999999999999" customHeight="1">
      <c r="A412" s="358">
        <f t="shared" si="101"/>
        <v>411</v>
      </c>
      <c r="B412" s="359" t="str">
        <f>'Front Sheet and Checklist'!$C$5</f>
        <v>Swansea Bay UHB</v>
      </c>
      <c r="C412" s="17"/>
      <c r="D412" s="17"/>
      <c r="E412" s="17"/>
      <c r="F412" s="17"/>
      <c r="G412" s="17"/>
      <c r="H412" s="17"/>
      <c r="I412" s="361">
        <f t="shared" si="91"/>
        <v>0</v>
      </c>
      <c r="J412" s="17"/>
      <c r="K412" s="18"/>
      <c r="L412" s="18"/>
      <c r="M412" s="17"/>
      <c r="N412" s="17"/>
      <c r="O412" s="17"/>
      <c r="P412" s="17"/>
      <c r="Q412" s="169"/>
      <c r="R412" s="24"/>
      <c r="S412" s="24"/>
      <c r="T412" s="24"/>
      <c r="U412" s="25"/>
      <c r="V412" s="25"/>
      <c r="W412" s="25"/>
      <c r="X412" s="24"/>
      <c r="Y412" s="24"/>
      <c r="Z412" s="24"/>
      <c r="AA412" s="24"/>
      <c r="AB412" s="24"/>
      <c r="AC412" s="24"/>
      <c r="AD412" s="361">
        <f t="shared" si="90"/>
        <v>0</v>
      </c>
      <c r="AE412" s="359" t="str">
        <f t="shared" si="93"/>
        <v/>
      </c>
      <c r="AF412" s="359" t="str">
        <f t="shared" si="102"/>
        <v/>
      </c>
      <c r="AG412" s="359" t="str">
        <f t="shared" si="94"/>
        <v/>
      </c>
      <c r="AH412" s="359" t="str">
        <f t="shared" si="95"/>
        <v/>
      </c>
      <c r="AI412" s="359" t="str">
        <f t="shared" si="96"/>
        <v/>
      </c>
      <c r="AJ412" s="359" t="str">
        <f t="shared" si="97"/>
        <v/>
      </c>
      <c r="AK412" s="359" t="str">
        <f t="shared" si="99"/>
        <v/>
      </c>
      <c r="AL412" s="359" t="str">
        <f t="shared" si="98"/>
        <v/>
      </c>
      <c r="AM412" s="359" t="str">
        <f t="shared" si="100"/>
        <v/>
      </c>
      <c r="AN412" s="262">
        <f t="shared" si="103"/>
        <v>0</v>
      </c>
      <c r="AO412" s="262" t="str">
        <f>IFERROR(HLOOKUP(AN412,'Ref Lists'!Q$1:AL$2,2,FALSE),'Ref Lists'!$AK$2)</f>
        <v>Savings21</v>
      </c>
      <c r="AP412" s="38"/>
      <c r="AQ412" s="38">
        <f t="shared" si="92"/>
        <v>0</v>
      </c>
      <c r="AR412" s="38"/>
      <c r="AS412" s="38"/>
      <c r="AT412" s="38"/>
      <c r="AU412" s="38"/>
      <c r="AV412" s="38"/>
      <c r="AW412" s="38"/>
      <c r="AX412" s="38"/>
      <c r="AY412" s="38"/>
      <c r="AZ412" s="38"/>
      <c r="BA412" s="38"/>
      <c r="BB412" s="38"/>
      <c r="BC412" s="38"/>
      <c r="BD412" s="38"/>
      <c r="BE412" s="38"/>
      <c r="BF412" s="38"/>
      <c r="BG412" s="38"/>
      <c r="BH412" s="38"/>
      <c r="BI412" s="38"/>
      <c r="BJ412" s="38"/>
      <c r="BK412" s="38"/>
      <c r="BL412" s="38"/>
      <c r="BM412" s="38"/>
      <c r="BN412" s="38"/>
      <c r="BO412" s="38"/>
      <c r="BP412" s="38"/>
      <c r="BQ412" s="38"/>
      <c r="BR412" s="38"/>
      <c r="BS412" s="38"/>
      <c r="BT412" s="38"/>
      <c r="BU412" s="38"/>
      <c r="BV412" s="38"/>
      <c r="BW412" s="38"/>
      <c r="BX412" s="38"/>
      <c r="BY412" s="38"/>
      <c r="BZ412" s="38"/>
      <c r="CA412" s="38"/>
      <c r="CB412" s="38"/>
      <c r="CC412" s="38"/>
      <c r="CD412" s="38"/>
      <c r="CE412" s="38"/>
      <c r="CF412" s="38"/>
      <c r="CG412" s="38"/>
      <c r="CH412" s="38"/>
      <c r="CI412" s="38"/>
      <c r="CJ412" s="38"/>
      <c r="CK412" s="38"/>
      <c r="CL412" s="38"/>
      <c r="CM412" s="38"/>
      <c r="CN412" s="38"/>
      <c r="CO412" s="38"/>
      <c r="CP412" s="38"/>
      <c r="CQ412" s="38"/>
      <c r="CR412" s="38"/>
      <c r="CS412" s="38"/>
      <c r="CT412" s="38"/>
      <c r="CU412" s="38"/>
      <c r="CV412" s="38"/>
      <c r="CW412" s="38"/>
      <c r="CX412" s="38"/>
      <c r="CY412" s="38"/>
      <c r="CZ412" s="38"/>
    </row>
    <row r="413" spans="1:104" s="40" customFormat="1" ht="20.149999999999999" customHeight="1">
      <c r="A413" s="358">
        <f t="shared" si="101"/>
        <v>412</v>
      </c>
      <c r="B413" s="359" t="str">
        <f>'Front Sheet and Checklist'!$C$5</f>
        <v>Swansea Bay UHB</v>
      </c>
      <c r="C413" s="17"/>
      <c r="D413" s="17"/>
      <c r="E413" s="17"/>
      <c r="F413" s="17"/>
      <c r="G413" s="17"/>
      <c r="H413" s="17"/>
      <c r="I413" s="361">
        <f t="shared" si="91"/>
        <v>0</v>
      </c>
      <c r="J413" s="17"/>
      <c r="K413" s="18"/>
      <c r="L413" s="18"/>
      <c r="M413" s="17"/>
      <c r="N413" s="17"/>
      <c r="O413" s="17"/>
      <c r="P413" s="17"/>
      <c r="Q413" s="169"/>
      <c r="R413" s="24"/>
      <c r="S413" s="24"/>
      <c r="T413" s="24"/>
      <c r="U413" s="25"/>
      <c r="V413" s="25"/>
      <c r="W413" s="25"/>
      <c r="X413" s="24"/>
      <c r="Y413" s="24"/>
      <c r="Z413" s="24"/>
      <c r="AA413" s="24"/>
      <c r="AB413" s="24"/>
      <c r="AC413" s="24"/>
      <c r="AD413" s="361">
        <f t="shared" si="90"/>
        <v>0</v>
      </c>
      <c r="AE413" s="359" t="str">
        <f t="shared" si="93"/>
        <v/>
      </c>
      <c r="AF413" s="359" t="str">
        <f t="shared" si="102"/>
        <v/>
      </c>
      <c r="AG413" s="359" t="str">
        <f t="shared" si="94"/>
        <v/>
      </c>
      <c r="AH413" s="359" t="str">
        <f t="shared" si="95"/>
        <v/>
      </c>
      <c r="AI413" s="359" t="str">
        <f t="shared" si="96"/>
        <v/>
      </c>
      <c r="AJ413" s="359" t="str">
        <f t="shared" si="97"/>
        <v/>
      </c>
      <c r="AK413" s="359" t="str">
        <f t="shared" si="99"/>
        <v/>
      </c>
      <c r="AL413" s="359" t="str">
        <f t="shared" si="98"/>
        <v/>
      </c>
      <c r="AM413" s="359" t="str">
        <f t="shared" si="100"/>
        <v/>
      </c>
      <c r="AN413" s="262">
        <f t="shared" si="103"/>
        <v>0</v>
      </c>
      <c r="AO413" s="262" t="str">
        <f>IFERROR(HLOOKUP(AN413,'Ref Lists'!Q$1:AL$2,2,FALSE),'Ref Lists'!$AK$2)</f>
        <v>Savings21</v>
      </c>
      <c r="AP413" s="38"/>
      <c r="AQ413" s="38">
        <f t="shared" si="92"/>
        <v>0</v>
      </c>
      <c r="AR413" s="38"/>
      <c r="AS413" s="38"/>
      <c r="AT413" s="38"/>
      <c r="AU413" s="38"/>
      <c r="AV413" s="38"/>
      <c r="AW413" s="38"/>
      <c r="AX413" s="38"/>
      <c r="AY413" s="38"/>
      <c r="AZ413" s="38"/>
      <c r="BA413" s="38"/>
      <c r="BB413" s="38"/>
      <c r="BC413" s="38"/>
      <c r="BD413" s="38"/>
      <c r="BE413" s="38"/>
      <c r="BF413" s="38"/>
      <c r="BG413" s="38"/>
      <c r="BH413" s="38"/>
      <c r="BI413" s="38"/>
      <c r="BJ413" s="38"/>
      <c r="BK413" s="38"/>
      <c r="BL413" s="38"/>
      <c r="BM413" s="38"/>
      <c r="BN413" s="38"/>
      <c r="BO413" s="38"/>
      <c r="BP413" s="38"/>
      <c r="BQ413" s="38"/>
      <c r="BR413" s="38"/>
      <c r="BS413" s="38"/>
      <c r="BT413" s="38"/>
      <c r="BU413" s="38"/>
      <c r="BV413" s="38"/>
      <c r="BW413" s="38"/>
      <c r="BX413" s="38"/>
      <c r="BY413" s="38"/>
      <c r="BZ413" s="38"/>
      <c r="CA413" s="38"/>
      <c r="CB413" s="38"/>
      <c r="CC413" s="38"/>
      <c r="CD413" s="38"/>
      <c r="CE413" s="38"/>
      <c r="CF413" s="38"/>
      <c r="CG413" s="38"/>
      <c r="CH413" s="38"/>
      <c r="CI413" s="38"/>
      <c r="CJ413" s="38"/>
      <c r="CK413" s="38"/>
      <c r="CL413" s="38"/>
      <c r="CM413" s="38"/>
      <c r="CN413" s="38"/>
      <c r="CO413" s="38"/>
      <c r="CP413" s="38"/>
      <c r="CQ413" s="38"/>
      <c r="CR413" s="38"/>
      <c r="CS413" s="38"/>
      <c r="CT413" s="38"/>
      <c r="CU413" s="38"/>
      <c r="CV413" s="38"/>
      <c r="CW413" s="38"/>
      <c r="CX413" s="38"/>
      <c r="CY413" s="38"/>
      <c r="CZ413" s="38"/>
    </row>
    <row r="414" spans="1:104" s="40" customFormat="1" ht="20.149999999999999" customHeight="1">
      <c r="A414" s="358">
        <f t="shared" si="101"/>
        <v>413</v>
      </c>
      <c r="B414" s="359" t="str">
        <f>'Front Sheet and Checklist'!$C$5</f>
        <v>Swansea Bay UHB</v>
      </c>
      <c r="C414" s="17"/>
      <c r="D414" s="17"/>
      <c r="E414" s="17"/>
      <c r="F414" s="17"/>
      <c r="G414" s="17"/>
      <c r="H414" s="17"/>
      <c r="I414" s="361">
        <f t="shared" si="91"/>
        <v>0</v>
      </c>
      <c r="J414" s="17"/>
      <c r="K414" s="18"/>
      <c r="L414" s="18"/>
      <c r="M414" s="17"/>
      <c r="N414" s="17"/>
      <c r="O414" s="17"/>
      <c r="P414" s="17"/>
      <c r="Q414" s="169"/>
      <c r="R414" s="24"/>
      <c r="S414" s="24"/>
      <c r="T414" s="24"/>
      <c r="U414" s="25"/>
      <c r="V414" s="25"/>
      <c r="W414" s="25"/>
      <c r="X414" s="24"/>
      <c r="Y414" s="24"/>
      <c r="Z414" s="24"/>
      <c r="AA414" s="24"/>
      <c r="AB414" s="24"/>
      <c r="AC414" s="24"/>
      <c r="AD414" s="361">
        <f t="shared" si="90"/>
        <v>0</v>
      </c>
      <c r="AE414" s="359" t="str">
        <f t="shared" si="93"/>
        <v/>
      </c>
      <c r="AF414" s="359" t="str">
        <f t="shared" si="102"/>
        <v/>
      </c>
      <c r="AG414" s="359" t="str">
        <f t="shared" si="94"/>
        <v/>
      </c>
      <c r="AH414" s="359" t="str">
        <f t="shared" si="95"/>
        <v/>
      </c>
      <c r="AI414" s="359" t="str">
        <f t="shared" si="96"/>
        <v/>
      </c>
      <c r="AJ414" s="359" t="str">
        <f t="shared" si="97"/>
        <v/>
      </c>
      <c r="AK414" s="359" t="str">
        <f t="shared" si="99"/>
        <v/>
      </c>
      <c r="AL414" s="359" t="str">
        <f t="shared" si="98"/>
        <v/>
      </c>
      <c r="AM414" s="359" t="str">
        <f t="shared" si="100"/>
        <v/>
      </c>
      <c r="AN414" s="262">
        <f t="shared" si="103"/>
        <v>0</v>
      </c>
      <c r="AO414" s="262" t="str">
        <f>IFERROR(HLOOKUP(AN414,'Ref Lists'!Q$1:AL$2,2,FALSE),'Ref Lists'!$AK$2)</f>
        <v>Savings21</v>
      </c>
      <c r="AP414" s="38"/>
      <c r="AQ414" s="38">
        <f t="shared" si="92"/>
        <v>0</v>
      </c>
      <c r="AR414" s="38"/>
      <c r="AS414" s="38"/>
      <c r="AT414" s="38"/>
      <c r="AU414" s="38"/>
      <c r="AV414" s="38"/>
      <c r="AW414" s="38"/>
      <c r="AX414" s="38"/>
      <c r="AY414" s="38"/>
      <c r="AZ414" s="38"/>
      <c r="BA414" s="38"/>
      <c r="BB414" s="38"/>
      <c r="BC414" s="38"/>
      <c r="BD414" s="38"/>
      <c r="BE414" s="38"/>
      <c r="BF414" s="38"/>
      <c r="BG414" s="38"/>
      <c r="BH414" s="38"/>
      <c r="BI414" s="38"/>
      <c r="BJ414" s="38"/>
      <c r="BK414" s="38"/>
      <c r="BL414" s="38"/>
      <c r="BM414" s="38"/>
      <c r="BN414" s="38"/>
      <c r="BO414" s="38"/>
      <c r="BP414" s="38"/>
      <c r="BQ414" s="38"/>
      <c r="BR414" s="38"/>
      <c r="BS414" s="38"/>
      <c r="BT414" s="38"/>
      <c r="BU414" s="38"/>
      <c r="BV414" s="38"/>
      <c r="BW414" s="38"/>
      <c r="BX414" s="38"/>
      <c r="BY414" s="38"/>
      <c r="BZ414" s="38"/>
      <c r="CA414" s="38"/>
      <c r="CB414" s="38"/>
      <c r="CC414" s="38"/>
      <c r="CD414" s="38"/>
      <c r="CE414" s="38"/>
      <c r="CF414" s="38"/>
      <c r="CG414" s="38"/>
      <c r="CH414" s="38"/>
      <c r="CI414" s="38"/>
      <c r="CJ414" s="38"/>
      <c r="CK414" s="38"/>
      <c r="CL414" s="38"/>
      <c r="CM414" s="38"/>
      <c r="CN414" s="38"/>
      <c r="CO414" s="38"/>
      <c r="CP414" s="38"/>
      <c r="CQ414" s="38"/>
      <c r="CR414" s="38"/>
      <c r="CS414" s="38"/>
      <c r="CT414" s="38"/>
      <c r="CU414" s="38"/>
      <c r="CV414" s="38"/>
      <c r="CW414" s="38"/>
      <c r="CX414" s="38"/>
      <c r="CY414" s="38"/>
      <c r="CZ414" s="38"/>
    </row>
    <row r="415" spans="1:104" s="40" customFormat="1" ht="20.149999999999999" customHeight="1">
      <c r="A415" s="358">
        <f t="shared" si="101"/>
        <v>414</v>
      </c>
      <c r="B415" s="359" t="str">
        <f>'Front Sheet and Checklist'!$C$5</f>
        <v>Swansea Bay UHB</v>
      </c>
      <c r="C415" s="17"/>
      <c r="D415" s="17"/>
      <c r="E415" s="17"/>
      <c r="F415" s="17"/>
      <c r="G415" s="17"/>
      <c r="H415" s="17"/>
      <c r="I415" s="361">
        <f t="shared" si="91"/>
        <v>0</v>
      </c>
      <c r="J415" s="17"/>
      <c r="K415" s="18"/>
      <c r="L415" s="18"/>
      <c r="M415" s="17"/>
      <c r="N415" s="17"/>
      <c r="O415" s="17"/>
      <c r="P415" s="17"/>
      <c r="Q415" s="169"/>
      <c r="R415" s="24"/>
      <c r="S415" s="24"/>
      <c r="T415" s="24"/>
      <c r="U415" s="25"/>
      <c r="V415" s="25"/>
      <c r="W415" s="25"/>
      <c r="X415" s="24"/>
      <c r="Y415" s="24"/>
      <c r="Z415" s="24"/>
      <c r="AA415" s="24"/>
      <c r="AB415" s="24"/>
      <c r="AC415" s="24"/>
      <c r="AD415" s="361">
        <f t="shared" si="90"/>
        <v>0</v>
      </c>
      <c r="AE415" s="359" t="str">
        <f t="shared" si="93"/>
        <v/>
      </c>
      <c r="AF415" s="359" t="str">
        <f t="shared" si="102"/>
        <v/>
      </c>
      <c r="AG415" s="359" t="str">
        <f t="shared" si="94"/>
        <v/>
      </c>
      <c r="AH415" s="359" t="str">
        <f t="shared" si="95"/>
        <v/>
      </c>
      <c r="AI415" s="359" t="str">
        <f t="shared" si="96"/>
        <v/>
      </c>
      <c r="AJ415" s="359" t="str">
        <f t="shared" si="97"/>
        <v/>
      </c>
      <c r="AK415" s="359" t="str">
        <f t="shared" si="99"/>
        <v/>
      </c>
      <c r="AL415" s="359" t="str">
        <f t="shared" si="98"/>
        <v/>
      </c>
      <c r="AM415" s="359" t="str">
        <f t="shared" si="100"/>
        <v/>
      </c>
      <c r="AN415" s="262">
        <f t="shared" si="103"/>
        <v>0</v>
      </c>
      <c r="AO415" s="262" t="str">
        <f>IFERROR(HLOOKUP(AN415,'Ref Lists'!Q$1:AL$2,2,FALSE),'Ref Lists'!$AK$2)</f>
        <v>Savings21</v>
      </c>
      <c r="AP415" s="38"/>
      <c r="AQ415" s="38">
        <f t="shared" si="92"/>
        <v>0</v>
      </c>
      <c r="AR415" s="38"/>
      <c r="AS415" s="38"/>
      <c r="AT415" s="38"/>
      <c r="AU415" s="38"/>
      <c r="AV415" s="38"/>
      <c r="AW415" s="38"/>
      <c r="AX415" s="38"/>
      <c r="AY415" s="38"/>
      <c r="AZ415" s="38"/>
      <c r="BA415" s="38"/>
      <c r="BB415" s="38"/>
      <c r="BC415" s="38"/>
      <c r="BD415" s="38"/>
      <c r="BE415" s="38"/>
      <c r="BF415" s="38"/>
      <c r="BG415" s="38"/>
      <c r="BH415" s="38"/>
      <c r="BI415" s="38"/>
      <c r="BJ415" s="38"/>
      <c r="BK415" s="38"/>
      <c r="BL415" s="38"/>
      <c r="BM415" s="38"/>
      <c r="BN415" s="38"/>
      <c r="BO415" s="38"/>
      <c r="BP415" s="38"/>
      <c r="BQ415" s="38"/>
      <c r="BR415" s="38"/>
      <c r="BS415" s="38"/>
      <c r="BT415" s="38"/>
      <c r="BU415" s="38"/>
      <c r="BV415" s="38"/>
      <c r="BW415" s="38"/>
      <c r="BX415" s="38"/>
      <c r="BY415" s="38"/>
      <c r="BZ415" s="38"/>
      <c r="CA415" s="38"/>
      <c r="CB415" s="38"/>
      <c r="CC415" s="38"/>
      <c r="CD415" s="38"/>
      <c r="CE415" s="38"/>
      <c r="CF415" s="38"/>
      <c r="CG415" s="38"/>
      <c r="CH415" s="38"/>
      <c r="CI415" s="38"/>
      <c r="CJ415" s="38"/>
      <c r="CK415" s="38"/>
      <c r="CL415" s="38"/>
      <c r="CM415" s="38"/>
      <c r="CN415" s="38"/>
      <c r="CO415" s="38"/>
      <c r="CP415" s="38"/>
      <c r="CQ415" s="38"/>
      <c r="CR415" s="38"/>
      <c r="CS415" s="38"/>
      <c r="CT415" s="38"/>
      <c r="CU415" s="38"/>
      <c r="CV415" s="38"/>
      <c r="CW415" s="38"/>
      <c r="CX415" s="38"/>
      <c r="CY415" s="38"/>
      <c r="CZ415" s="38"/>
    </row>
    <row r="416" spans="1:104" s="40" customFormat="1" ht="20.149999999999999" customHeight="1">
      <c r="A416" s="358">
        <f t="shared" si="101"/>
        <v>415</v>
      </c>
      <c r="B416" s="359" t="str">
        <f>'Front Sheet and Checklist'!$C$5</f>
        <v>Swansea Bay UHB</v>
      </c>
      <c r="C416" s="17"/>
      <c r="D416" s="17"/>
      <c r="E416" s="17"/>
      <c r="F416" s="17"/>
      <c r="G416" s="17"/>
      <c r="H416" s="17"/>
      <c r="I416" s="361">
        <f t="shared" si="91"/>
        <v>0</v>
      </c>
      <c r="J416" s="17"/>
      <c r="K416" s="18"/>
      <c r="L416" s="18"/>
      <c r="M416" s="17"/>
      <c r="N416" s="17"/>
      <c r="O416" s="17"/>
      <c r="P416" s="17"/>
      <c r="Q416" s="169"/>
      <c r="R416" s="24"/>
      <c r="S416" s="24"/>
      <c r="T416" s="24"/>
      <c r="U416" s="25"/>
      <c r="V416" s="25"/>
      <c r="W416" s="25"/>
      <c r="X416" s="24"/>
      <c r="Y416" s="24"/>
      <c r="Z416" s="24"/>
      <c r="AA416" s="24"/>
      <c r="AB416" s="24"/>
      <c r="AC416" s="24"/>
      <c r="AD416" s="361">
        <f t="shared" si="90"/>
        <v>0</v>
      </c>
      <c r="AE416" s="359" t="str">
        <f t="shared" si="93"/>
        <v/>
      </c>
      <c r="AF416" s="359" t="str">
        <f t="shared" si="102"/>
        <v/>
      </c>
      <c r="AG416" s="359" t="str">
        <f t="shared" si="94"/>
        <v/>
      </c>
      <c r="AH416" s="359" t="str">
        <f t="shared" si="95"/>
        <v/>
      </c>
      <c r="AI416" s="359" t="str">
        <f t="shared" si="96"/>
        <v/>
      </c>
      <c r="AJ416" s="359" t="str">
        <f t="shared" si="97"/>
        <v/>
      </c>
      <c r="AK416" s="359" t="str">
        <f t="shared" si="99"/>
        <v/>
      </c>
      <c r="AL416" s="359" t="str">
        <f t="shared" si="98"/>
        <v/>
      </c>
      <c r="AM416" s="359" t="str">
        <f t="shared" si="100"/>
        <v/>
      </c>
      <c r="AN416" s="262">
        <f t="shared" si="103"/>
        <v>0</v>
      </c>
      <c r="AO416" s="262" t="str">
        <f>IFERROR(HLOOKUP(AN416,'Ref Lists'!Q$1:AL$2,2,FALSE),'Ref Lists'!$AK$2)</f>
        <v>Savings21</v>
      </c>
      <c r="AP416" s="38"/>
      <c r="AQ416" s="38">
        <f t="shared" si="92"/>
        <v>0</v>
      </c>
      <c r="AR416" s="38"/>
      <c r="AS416" s="38"/>
      <c r="AT416" s="38"/>
      <c r="AU416" s="38"/>
      <c r="AV416" s="38"/>
      <c r="AW416" s="38"/>
      <c r="AX416" s="38"/>
      <c r="AY416" s="38"/>
      <c r="AZ416" s="38"/>
      <c r="BA416" s="38"/>
      <c r="BB416" s="38"/>
      <c r="BC416" s="38"/>
      <c r="BD416" s="38"/>
      <c r="BE416" s="38"/>
      <c r="BF416" s="38"/>
      <c r="BG416" s="38"/>
      <c r="BH416" s="38"/>
      <c r="BI416" s="38"/>
      <c r="BJ416" s="38"/>
      <c r="BK416" s="38"/>
      <c r="BL416" s="38"/>
      <c r="BM416" s="38"/>
      <c r="BN416" s="38"/>
      <c r="BO416" s="38"/>
      <c r="BP416" s="38"/>
      <c r="BQ416" s="38"/>
      <c r="BR416" s="38"/>
      <c r="BS416" s="38"/>
      <c r="BT416" s="38"/>
      <c r="BU416" s="38"/>
      <c r="BV416" s="38"/>
      <c r="BW416" s="38"/>
      <c r="BX416" s="38"/>
      <c r="BY416" s="38"/>
      <c r="BZ416" s="38"/>
      <c r="CA416" s="38"/>
      <c r="CB416" s="38"/>
      <c r="CC416" s="38"/>
      <c r="CD416" s="38"/>
      <c r="CE416" s="38"/>
      <c r="CF416" s="38"/>
      <c r="CG416" s="38"/>
      <c r="CH416" s="38"/>
      <c r="CI416" s="38"/>
      <c r="CJ416" s="38"/>
      <c r="CK416" s="38"/>
      <c r="CL416" s="38"/>
      <c r="CM416" s="38"/>
      <c r="CN416" s="38"/>
      <c r="CO416" s="38"/>
      <c r="CP416" s="38"/>
      <c r="CQ416" s="38"/>
      <c r="CR416" s="38"/>
      <c r="CS416" s="38"/>
      <c r="CT416" s="38"/>
      <c r="CU416" s="38"/>
      <c r="CV416" s="38"/>
      <c r="CW416" s="38"/>
      <c r="CX416" s="38"/>
      <c r="CY416" s="38"/>
      <c r="CZ416" s="38"/>
    </row>
    <row r="417" spans="1:104" s="40" customFormat="1" ht="20.149999999999999" customHeight="1">
      <c r="A417" s="358">
        <f t="shared" si="101"/>
        <v>416</v>
      </c>
      <c r="B417" s="359" t="str">
        <f>'Front Sheet and Checklist'!$C$5</f>
        <v>Swansea Bay UHB</v>
      </c>
      <c r="C417" s="17"/>
      <c r="D417" s="17"/>
      <c r="E417" s="17"/>
      <c r="F417" s="17"/>
      <c r="G417" s="17"/>
      <c r="H417" s="17"/>
      <c r="I417" s="361">
        <f t="shared" si="91"/>
        <v>0</v>
      </c>
      <c r="J417" s="17"/>
      <c r="K417" s="18"/>
      <c r="L417" s="18"/>
      <c r="M417" s="17"/>
      <c r="N417" s="17"/>
      <c r="O417" s="17"/>
      <c r="P417" s="17"/>
      <c r="Q417" s="169"/>
      <c r="R417" s="24"/>
      <c r="S417" s="24"/>
      <c r="T417" s="24"/>
      <c r="U417" s="25"/>
      <c r="V417" s="25"/>
      <c r="W417" s="25"/>
      <c r="X417" s="24"/>
      <c r="Y417" s="24"/>
      <c r="Z417" s="24"/>
      <c r="AA417" s="24"/>
      <c r="AB417" s="24"/>
      <c r="AC417" s="24"/>
      <c r="AD417" s="361">
        <f t="shared" si="90"/>
        <v>0</v>
      </c>
      <c r="AE417" s="359" t="str">
        <f t="shared" si="93"/>
        <v/>
      </c>
      <c r="AF417" s="359" t="str">
        <f t="shared" si="102"/>
        <v/>
      </c>
      <c r="AG417" s="359" t="str">
        <f t="shared" si="94"/>
        <v/>
      </c>
      <c r="AH417" s="359" t="str">
        <f t="shared" si="95"/>
        <v/>
      </c>
      <c r="AI417" s="359" t="str">
        <f t="shared" si="96"/>
        <v/>
      </c>
      <c r="AJ417" s="359" t="str">
        <f t="shared" si="97"/>
        <v/>
      </c>
      <c r="AK417" s="359" t="str">
        <f t="shared" si="99"/>
        <v/>
      </c>
      <c r="AL417" s="359" t="str">
        <f t="shared" si="98"/>
        <v/>
      </c>
      <c r="AM417" s="359" t="str">
        <f t="shared" si="100"/>
        <v/>
      </c>
      <c r="AN417" s="262">
        <f t="shared" si="103"/>
        <v>0</v>
      </c>
      <c r="AO417" s="262" t="str">
        <f>IFERROR(HLOOKUP(AN417,'Ref Lists'!Q$1:AL$2,2,FALSE),'Ref Lists'!$AK$2)</f>
        <v>Savings21</v>
      </c>
      <c r="AP417" s="38"/>
      <c r="AQ417" s="38">
        <f t="shared" si="92"/>
        <v>0</v>
      </c>
      <c r="AR417" s="38"/>
      <c r="AS417" s="38"/>
      <c r="AT417" s="38"/>
      <c r="AU417" s="38"/>
      <c r="AV417" s="38"/>
      <c r="AW417" s="38"/>
      <c r="AX417" s="38"/>
      <c r="AY417" s="38"/>
      <c r="AZ417" s="38"/>
      <c r="BA417" s="38"/>
      <c r="BB417" s="38"/>
      <c r="BC417" s="38"/>
      <c r="BD417" s="38"/>
      <c r="BE417" s="38"/>
      <c r="BF417" s="38"/>
      <c r="BG417" s="38"/>
      <c r="BH417" s="38"/>
      <c r="BI417" s="38"/>
      <c r="BJ417" s="38"/>
      <c r="BK417" s="38"/>
      <c r="BL417" s="38"/>
      <c r="BM417" s="38"/>
      <c r="BN417" s="38"/>
      <c r="BO417" s="38"/>
      <c r="BP417" s="38"/>
      <c r="BQ417" s="38"/>
      <c r="BR417" s="38"/>
      <c r="BS417" s="38"/>
      <c r="BT417" s="38"/>
      <c r="BU417" s="38"/>
      <c r="BV417" s="38"/>
      <c r="BW417" s="38"/>
      <c r="BX417" s="38"/>
      <c r="BY417" s="38"/>
      <c r="BZ417" s="38"/>
      <c r="CA417" s="38"/>
      <c r="CB417" s="38"/>
      <c r="CC417" s="38"/>
      <c r="CD417" s="38"/>
      <c r="CE417" s="38"/>
      <c r="CF417" s="38"/>
      <c r="CG417" s="38"/>
      <c r="CH417" s="38"/>
      <c r="CI417" s="38"/>
      <c r="CJ417" s="38"/>
      <c r="CK417" s="38"/>
      <c r="CL417" s="38"/>
      <c r="CM417" s="38"/>
      <c r="CN417" s="38"/>
      <c r="CO417" s="38"/>
      <c r="CP417" s="38"/>
      <c r="CQ417" s="38"/>
      <c r="CR417" s="38"/>
      <c r="CS417" s="38"/>
      <c r="CT417" s="38"/>
      <c r="CU417" s="38"/>
      <c r="CV417" s="38"/>
      <c r="CW417" s="38"/>
      <c r="CX417" s="38"/>
      <c r="CY417" s="38"/>
      <c r="CZ417" s="38"/>
    </row>
    <row r="418" spans="1:104" s="40" customFormat="1" ht="20.149999999999999" customHeight="1">
      <c r="A418" s="358">
        <f t="shared" si="101"/>
        <v>417</v>
      </c>
      <c r="B418" s="359" t="str">
        <f>'Front Sheet and Checklist'!$C$5</f>
        <v>Swansea Bay UHB</v>
      </c>
      <c r="C418" s="17"/>
      <c r="D418" s="17"/>
      <c r="E418" s="17"/>
      <c r="F418" s="17"/>
      <c r="G418" s="17"/>
      <c r="H418" s="17"/>
      <c r="I418" s="361">
        <f t="shared" si="91"/>
        <v>0</v>
      </c>
      <c r="J418" s="17"/>
      <c r="K418" s="18"/>
      <c r="L418" s="18"/>
      <c r="M418" s="17"/>
      <c r="N418" s="17"/>
      <c r="O418" s="17"/>
      <c r="P418" s="17"/>
      <c r="Q418" s="169"/>
      <c r="R418" s="24"/>
      <c r="S418" s="24"/>
      <c r="T418" s="24"/>
      <c r="U418" s="25"/>
      <c r="V418" s="25"/>
      <c r="W418" s="25"/>
      <c r="X418" s="24"/>
      <c r="Y418" s="24"/>
      <c r="Z418" s="24"/>
      <c r="AA418" s="24"/>
      <c r="AB418" s="24"/>
      <c r="AC418" s="24"/>
      <c r="AD418" s="361">
        <f t="shared" si="90"/>
        <v>0</v>
      </c>
      <c r="AE418" s="359" t="str">
        <f t="shared" si="93"/>
        <v/>
      </c>
      <c r="AF418" s="359" t="str">
        <f t="shared" si="102"/>
        <v/>
      </c>
      <c r="AG418" s="359" t="str">
        <f t="shared" si="94"/>
        <v/>
      </c>
      <c r="AH418" s="359" t="str">
        <f t="shared" si="95"/>
        <v/>
      </c>
      <c r="AI418" s="359" t="str">
        <f t="shared" si="96"/>
        <v/>
      </c>
      <c r="AJ418" s="359" t="str">
        <f t="shared" si="97"/>
        <v/>
      </c>
      <c r="AK418" s="359" t="str">
        <f t="shared" si="99"/>
        <v/>
      </c>
      <c r="AL418" s="359" t="str">
        <f t="shared" si="98"/>
        <v/>
      </c>
      <c r="AM418" s="359" t="str">
        <f t="shared" si="100"/>
        <v/>
      </c>
      <c r="AN418" s="262">
        <f t="shared" si="103"/>
        <v>0</v>
      </c>
      <c r="AO418" s="262" t="str">
        <f>IFERROR(HLOOKUP(AN418,'Ref Lists'!Q$1:AL$2,2,FALSE),'Ref Lists'!$AK$2)</f>
        <v>Savings21</v>
      </c>
      <c r="AP418" s="38"/>
      <c r="AQ418" s="38">
        <f t="shared" si="92"/>
        <v>0</v>
      </c>
      <c r="AR418" s="38"/>
      <c r="AS418" s="38"/>
      <c r="AT418" s="38"/>
      <c r="AU418" s="38"/>
      <c r="AV418" s="38"/>
      <c r="AW418" s="38"/>
      <c r="AX418" s="38"/>
      <c r="AY418" s="38"/>
      <c r="AZ418" s="38"/>
      <c r="BA418" s="38"/>
      <c r="BB418" s="38"/>
      <c r="BC418" s="38"/>
      <c r="BD418" s="38"/>
      <c r="BE418" s="38"/>
      <c r="BF418" s="38"/>
      <c r="BG418" s="38"/>
      <c r="BH418" s="38"/>
      <c r="BI418" s="38"/>
      <c r="BJ418" s="38"/>
      <c r="BK418" s="38"/>
      <c r="BL418" s="38"/>
      <c r="BM418" s="38"/>
      <c r="BN418" s="38"/>
      <c r="BO418" s="38"/>
      <c r="BP418" s="38"/>
      <c r="BQ418" s="38"/>
      <c r="BR418" s="38"/>
      <c r="BS418" s="38"/>
      <c r="BT418" s="38"/>
      <c r="BU418" s="38"/>
      <c r="BV418" s="38"/>
      <c r="BW418" s="38"/>
      <c r="BX418" s="38"/>
      <c r="BY418" s="38"/>
      <c r="BZ418" s="38"/>
      <c r="CA418" s="38"/>
      <c r="CB418" s="38"/>
      <c r="CC418" s="38"/>
      <c r="CD418" s="38"/>
      <c r="CE418" s="38"/>
      <c r="CF418" s="38"/>
      <c r="CG418" s="38"/>
      <c r="CH418" s="38"/>
      <c r="CI418" s="38"/>
      <c r="CJ418" s="38"/>
      <c r="CK418" s="38"/>
      <c r="CL418" s="38"/>
      <c r="CM418" s="38"/>
      <c r="CN418" s="38"/>
      <c r="CO418" s="38"/>
      <c r="CP418" s="38"/>
      <c r="CQ418" s="38"/>
      <c r="CR418" s="38"/>
      <c r="CS418" s="38"/>
      <c r="CT418" s="38"/>
      <c r="CU418" s="38"/>
      <c r="CV418" s="38"/>
      <c r="CW418" s="38"/>
      <c r="CX418" s="38"/>
      <c r="CY418" s="38"/>
      <c r="CZ418" s="38"/>
    </row>
    <row r="419" spans="1:104" s="40" customFormat="1" ht="20.149999999999999" customHeight="1">
      <c r="A419" s="358">
        <f t="shared" si="101"/>
        <v>418</v>
      </c>
      <c r="B419" s="359" t="str">
        <f>'Front Sheet and Checklist'!$C$5</f>
        <v>Swansea Bay UHB</v>
      </c>
      <c r="C419" s="17"/>
      <c r="D419" s="17"/>
      <c r="E419" s="17"/>
      <c r="F419" s="17"/>
      <c r="G419" s="17"/>
      <c r="H419" s="17"/>
      <c r="I419" s="361">
        <f t="shared" si="91"/>
        <v>0</v>
      </c>
      <c r="J419" s="17"/>
      <c r="K419" s="18"/>
      <c r="L419" s="18"/>
      <c r="M419" s="17"/>
      <c r="N419" s="17"/>
      <c r="O419" s="17"/>
      <c r="P419" s="17"/>
      <c r="Q419" s="169"/>
      <c r="R419" s="24"/>
      <c r="S419" s="24"/>
      <c r="T419" s="24"/>
      <c r="U419" s="25"/>
      <c r="V419" s="25"/>
      <c r="W419" s="25"/>
      <c r="X419" s="24"/>
      <c r="Y419" s="24"/>
      <c r="Z419" s="24"/>
      <c r="AA419" s="24"/>
      <c r="AB419" s="24"/>
      <c r="AC419" s="24"/>
      <c r="AD419" s="361">
        <f t="shared" si="90"/>
        <v>0</v>
      </c>
      <c r="AE419" s="359" t="str">
        <f t="shared" si="93"/>
        <v/>
      </c>
      <c r="AF419" s="359" t="str">
        <f t="shared" si="102"/>
        <v/>
      </c>
      <c r="AG419" s="359" t="str">
        <f t="shared" si="94"/>
        <v/>
      </c>
      <c r="AH419" s="359" t="str">
        <f t="shared" si="95"/>
        <v/>
      </c>
      <c r="AI419" s="359" t="str">
        <f t="shared" si="96"/>
        <v/>
      </c>
      <c r="AJ419" s="359" t="str">
        <f t="shared" si="97"/>
        <v/>
      </c>
      <c r="AK419" s="359" t="str">
        <f t="shared" si="99"/>
        <v/>
      </c>
      <c r="AL419" s="359" t="str">
        <f t="shared" si="98"/>
        <v/>
      </c>
      <c r="AM419" s="359" t="str">
        <f t="shared" si="100"/>
        <v/>
      </c>
      <c r="AN419" s="262">
        <f t="shared" si="103"/>
        <v>0</v>
      </c>
      <c r="AO419" s="262" t="str">
        <f>IFERROR(HLOOKUP(AN419,'Ref Lists'!Q$1:AL$2,2,FALSE),'Ref Lists'!$AK$2)</f>
        <v>Savings21</v>
      </c>
      <c r="AP419" s="38"/>
      <c r="AQ419" s="38">
        <f t="shared" si="92"/>
        <v>0</v>
      </c>
      <c r="AR419" s="38"/>
      <c r="AS419" s="38"/>
      <c r="AT419" s="38"/>
      <c r="AU419" s="38"/>
      <c r="AV419" s="38"/>
      <c r="AW419" s="38"/>
      <c r="AX419" s="38"/>
      <c r="AY419" s="38"/>
      <c r="AZ419" s="38"/>
      <c r="BA419" s="38"/>
      <c r="BB419" s="38"/>
      <c r="BC419" s="38"/>
      <c r="BD419" s="38"/>
      <c r="BE419" s="38"/>
      <c r="BF419" s="38"/>
      <c r="BG419" s="38"/>
      <c r="BH419" s="38"/>
      <c r="BI419" s="38"/>
      <c r="BJ419" s="38"/>
      <c r="BK419" s="38"/>
      <c r="BL419" s="38"/>
      <c r="BM419" s="38"/>
      <c r="BN419" s="38"/>
      <c r="BO419" s="38"/>
      <c r="BP419" s="38"/>
      <c r="BQ419" s="38"/>
      <c r="BR419" s="38"/>
      <c r="BS419" s="38"/>
      <c r="BT419" s="38"/>
      <c r="BU419" s="38"/>
      <c r="BV419" s="38"/>
      <c r="BW419" s="38"/>
      <c r="BX419" s="38"/>
      <c r="BY419" s="38"/>
      <c r="BZ419" s="38"/>
      <c r="CA419" s="38"/>
      <c r="CB419" s="38"/>
      <c r="CC419" s="38"/>
      <c r="CD419" s="38"/>
      <c r="CE419" s="38"/>
      <c r="CF419" s="38"/>
      <c r="CG419" s="38"/>
      <c r="CH419" s="38"/>
      <c r="CI419" s="38"/>
      <c r="CJ419" s="38"/>
      <c r="CK419" s="38"/>
      <c r="CL419" s="38"/>
      <c r="CM419" s="38"/>
      <c r="CN419" s="38"/>
      <c r="CO419" s="38"/>
      <c r="CP419" s="38"/>
      <c r="CQ419" s="38"/>
      <c r="CR419" s="38"/>
      <c r="CS419" s="38"/>
      <c r="CT419" s="38"/>
      <c r="CU419" s="38"/>
      <c r="CV419" s="38"/>
      <c r="CW419" s="38"/>
      <c r="CX419" s="38"/>
      <c r="CY419" s="38"/>
      <c r="CZ419" s="38"/>
    </row>
    <row r="420" spans="1:104" s="40" customFormat="1" ht="20.149999999999999" customHeight="1">
      <c r="A420" s="358">
        <f t="shared" si="101"/>
        <v>419</v>
      </c>
      <c r="B420" s="359" t="str">
        <f>'Front Sheet and Checklist'!$C$5</f>
        <v>Swansea Bay UHB</v>
      </c>
      <c r="C420" s="17"/>
      <c r="D420" s="17"/>
      <c r="E420" s="17"/>
      <c r="F420" s="17"/>
      <c r="G420" s="17"/>
      <c r="H420" s="17"/>
      <c r="I420" s="361">
        <f t="shared" si="91"/>
        <v>0</v>
      </c>
      <c r="J420" s="17"/>
      <c r="K420" s="18"/>
      <c r="L420" s="18"/>
      <c r="M420" s="17"/>
      <c r="N420" s="17"/>
      <c r="O420" s="17"/>
      <c r="P420" s="17"/>
      <c r="Q420" s="169"/>
      <c r="R420" s="24"/>
      <c r="S420" s="24"/>
      <c r="T420" s="24"/>
      <c r="U420" s="25"/>
      <c r="V420" s="25"/>
      <c r="W420" s="25"/>
      <c r="X420" s="24"/>
      <c r="Y420" s="24"/>
      <c r="Z420" s="24"/>
      <c r="AA420" s="24"/>
      <c r="AB420" s="24"/>
      <c r="AC420" s="24"/>
      <c r="AD420" s="361">
        <f t="shared" si="90"/>
        <v>0</v>
      </c>
      <c r="AE420" s="359" t="str">
        <f t="shared" si="93"/>
        <v/>
      </c>
      <c r="AF420" s="359" t="str">
        <f t="shared" si="102"/>
        <v/>
      </c>
      <c r="AG420" s="359" t="str">
        <f t="shared" si="94"/>
        <v/>
      </c>
      <c r="AH420" s="359" t="str">
        <f t="shared" si="95"/>
        <v/>
      </c>
      <c r="AI420" s="359" t="str">
        <f t="shared" si="96"/>
        <v/>
      </c>
      <c r="AJ420" s="359" t="str">
        <f t="shared" si="97"/>
        <v/>
      </c>
      <c r="AK420" s="359" t="str">
        <f t="shared" si="99"/>
        <v/>
      </c>
      <c r="AL420" s="359" t="str">
        <f t="shared" si="98"/>
        <v/>
      </c>
      <c r="AM420" s="359" t="str">
        <f t="shared" si="100"/>
        <v/>
      </c>
      <c r="AN420" s="262">
        <f t="shared" si="103"/>
        <v>0</v>
      </c>
      <c r="AO420" s="262" t="str">
        <f>IFERROR(HLOOKUP(AN420,'Ref Lists'!Q$1:AL$2,2,FALSE),'Ref Lists'!$AK$2)</f>
        <v>Savings21</v>
      </c>
      <c r="AP420" s="38"/>
      <c r="AQ420" s="38">
        <f t="shared" si="92"/>
        <v>0</v>
      </c>
      <c r="AR420" s="38"/>
      <c r="AS420" s="38"/>
      <c r="AT420" s="38"/>
      <c r="AU420" s="38"/>
      <c r="AV420" s="38"/>
      <c r="AW420" s="38"/>
      <c r="AX420" s="38"/>
      <c r="AY420" s="38"/>
      <c r="AZ420" s="38"/>
      <c r="BA420" s="38"/>
      <c r="BB420" s="38"/>
      <c r="BC420" s="38"/>
      <c r="BD420" s="38"/>
      <c r="BE420" s="38"/>
      <c r="BF420" s="38"/>
      <c r="BG420" s="38"/>
      <c r="BH420" s="38"/>
      <c r="BI420" s="38"/>
      <c r="BJ420" s="38"/>
      <c r="BK420" s="38"/>
      <c r="BL420" s="38"/>
      <c r="BM420" s="38"/>
      <c r="BN420" s="38"/>
      <c r="BO420" s="38"/>
      <c r="BP420" s="38"/>
      <c r="BQ420" s="38"/>
      <c r="BR420" s="38"/>
      <c r="BS420" s="38"/>
      <c r="BT420" s="38"/>
      <c r="BU420" s="38"/>
      <c r="BV420" s="38"/>
      <c r="BW420" s="38"/>
      <c r="BX420" s="38"/>
      <c r="BY420" s="38"/>
      <c r="BZ420" s="38"/>
      <c r="CA420" s="38"/>
      <c r="CB420" s="38"/>
      <c r="CC420" s="38"/>
      <c r="CD420" s="38"/>
      <c r="CE420" s="38"/>
      <c r="CF420" s="38"/>
      <c r="CG420" s="38"/>
      <c r="CH420" s="38"/>
      <c r="CI420" s="38"/>
      <c r="CJ420" s="38"/>
      <c r="CK420" s="38"/>
      <c r="CL420" s="38"/>
      <c r="CM420" s="38"/>
      <c r="CN420" s="38"/>
      <c r="CO420" s="38"/>
      <c r="CP420" s="38"/>
      <c r="CQ420" s="38"/>
      <c r="CR420" s="38"/>
      <c r="CS420" s="38"/>
      <c r="CT420" s="38"/>
      <c r="CU420" s="38"/>
      <c r="CV420" s="38"/>
      <c r="CW420" s="38"/>
      <c r="CX420" s="38"/>
      <c r="CY420" s="38"/>
      <c r="CZ420" s="38"/>
    </row>
    <row r="421" spans="1:104" s="40" customFormat="1" ht="20.149999999999999" customHeight="1">
      <c r="A421" s="358">
        <f t="shared" si="101"/>
        <v>420</v>
      </c>
      <c r="B421" s="359" t="str">
        <f>'Front Sheet and Checklist'!$C$5</f>
        <v>Swansea Bay UHB</v>
      </c>
      <c r="C421" s="17"/>
      <c r="D421" s="17"/>
      <c r="E421" s="17"/>
      <c r="F421" s="17"/>
      <c r="G421" s="17"/>
      <c r="H421" s="17"/>
      <c r="I421" s="361">
        <f t="shared" si="91"/>
        <v>0</v>
      </c>
      <c r="J421" s="17"/>
      <c r="K421" s="18"/>
      <c r="L421" s="18"/>
      <c r="M421" s="17"/>
      <c r="N421" s="17"/>
      <c r="O421" s="17"/>
      <c r="P421" s="17"/>
      <c r="Q421" s="169"/>
      <c r="R421" s="24"/>
      <c r="S421" s="24"/>
      <c r="T421" s="24"/>
      <c r="U421" s="25"/>
      <c r="V421" s="25"/>
      <c r="W421" s="25"/>
      <c r="X421" s="24"/>
      <c r="Y421" s="24"/>
      <c r="Z421" s="24"/>
      <c r="AA421" s="24"/>
      <c r="AB421" s="24"/>
      <c r="AC421" s="24"/>
      <c r="AD421" s="361">
        <f t="shared" si="90"/>
        <v>0</v>
      </c>
      <c r="AE421" s="359" t="str">
        <f t="shared" si="93"/>
        <v/>
      </c>
      <c r="AF421" s="359" t="str">
        <f t="shared" si="102"/>
        <v/>
      </c>
      <c r="AG421" s="359" t="str">
        <f t="shared" si="94"/>
        <v/>
      </c>
      <c r="AH421" s="359" t="str">
        <f t="shared" si="95"/>
        <v/>
      </c>
      <c r="AI421" s="359" t="str">
        <f t="shared" si="96"/>
        <v/>
      </c>
      <c r="AJ421" s="359" t="str">
        <f t="shared" si="97"/>
        <v/>
      </c>
      <c r="AK421" s="359" t="str">
        <f t="shared" si="99"/>
        <v/>
      </c>
      <c r="AL421" s="359" t="str">
        <f t="shared" si="98"/>
        <v/>
      </c>
      <c r="AM421" s="359" t="str">
        <f t="shared" si="100"/>
        <v/>
      </c>
      <c r="AN421" s="262">
        <f t="shared" si="103"/>
        <v>0</v>
      </c>
      <c r="AO421" s="262" t="str">
        <f>IFERROR(HLOOKUP(AN421,'Ref Lists'!Q$1:AL$2,2,FALSE),'Ref Lists'!$AK$2)</f>
        <v>Savings21</v>
      </c>
      <c r="AP421" s="38"/>
      <c r="AQ421" s="38">
        <f t="shared" si="92"/>
        <v>0</v>
      </c>
      <c r="AR421" s="38"/>
      <c r="AS421" s="38"/>
      <c r="AT421" s="38"/>
      <c r="AU421" s="38"/>
      <c r="AV421" s="38"/>
      <c r="AW421" s="38"/>
      <c r="AX421" s="38"/>
      <c r="AY421" s="38"/>
      <c r="AZ421" s="38"/>
      <c r="BA421" s="38"/>
      <c r="BB421" s="38"/>
      <c r="BC421" s="38"/>
      <c r="BD421" s="38"/>
      <c r="BE421" s="38"/>
      <c r="BF421" s="38"/>
      <c r="BG421" s="38"/>
      <c r="BH421" s="38"/>
      <c r="BI421" s="38"/>
      <c r="BJ421" s="38"/>
      <c r="BK421" s="38"/>
      <c r="BL421" s="38"/>
      <c r="BM421" s="38"/>
      <c r="BN421" s="38"/>
      <c r="BO421" s="38"/>
      <c r="BP421" s="38"/>
      <c r="BQ421" s="38"/>
      <c r="BR421" s="38"/>
      <c r="BS421" s="38"/>
      <c r="BT421" s="38"/>
      <c r="BU421" s="38"/>
      <c r="BV421" s="38"/>
      <c r="BW421" s="38"/>
      <c r="BX421" s="38"/>
      <c r="BY421" s="38"/>
      <c r="BZ421" s="38"/>
      <c r="CA421" s="38"/>
      <c r="CB421" s="38"/>
      <c r="CC421" s="38"/>
      <c r="CD421" s="38"/>
      <c r="CE421" s="38"/>
      <c r="CF421" s="38"/>
      <c r="CG421" s="38"/>
      <c r="CH421" s="38"/>
      <c r="CI421" s="38"/>
      <c r="CJ421" s="38"/>
      <c r="CK421" s="38"/>
      <c r="CL421" s="38"/>
      <c r="CM421" s="38"/>
      <c r="CN421" s="38"/>
      <c r="CO421" s="38"/>
      <c r="CP421" s="38"/>
      <c r="CQ421" s="38"/>
      <c r="CR421" s="38"/>
      <c r="CS421" s="38"/>
      <c r="CT421" s="38"/>
      <c r="CU421" s="38"/>
      <c r="CV421" s="38"/>
      <c r="CW421" s="38"/>
      <c r="CX421" s="38"/>
      <c r="CY421" s="38"/>
      <c r="CZ421" s="38"/>
    </row>
    <row r="422" spans="1:104" s="40" customFormat="1" ht="20.149999999999999" customHeight="1">
      <c r="A422" s="358">
        <f t="shared" si="101"/>
        <v>421</v>
      </c>
      <c r="B422" s="359" t="str">
        <f>'Front Sheet and Checklist'!$C$5</f>
        <v>Swansea Bay UHB</v>
      </c>
      <c r="C422" s="17"/>
      <c r="D422" s="17"/>
      <c r="E422" s="17"/>
      <c r="F422" s="17"/>
      <c r="G422" s="17"/>
      <c r="H422" s="17"/>
      <c r="I422" s="361">
        <f t="shared" si="91"/>
        <v>0</v>
      </c>
      <c r="J422" s="17"/>
      <c r="K422" s="18"/>
      <c r="L422" s="18"/>
      <c r="M422" s="17"/>
      <c r="N422" s="17"/>
      <c r="O422" s="17"/>
      <c r="P422" s="17"/>
      <c r="Q422" s="169"/>
      <c r="R422" s="24"/>
      <c r="S422" s="24"/>
      <c r="T422" s="24"/>
      <c r="U422" s="25"/>
      <c r="V422" s="25"/>
      <c r="W422" s="25"/>
      <c r="X422" s="24"/>
      <c r="Y422" s="24"/>
      <c r="Z422" s="24"/>
      <c r="AA422" s="24"/>
      <c r="AB422" s="24"/>
      <c r="AC422" s="24"/>
      <c r="AD422" s="361">
        <f t="shared" si="90"/>
        <v>0</v>
      </c>
      <c r="AE422" s="359" t="str">
        <f t="shared" si="93"/>
        <v/>
      </c>
      <c r="AF422" s="359" t="str">
        <f t="shared" si="102"/>
        <v/>
      </c>
      <c r="AG422" s="359" t="str">
        <f t="shared" si="94"/>
        <v/>
      </c>
      <c r="AH422" s="359" t="str">
        <f t="shared" si="95"/>
        <v/>
      </c>
      <c r="AI422" s="359" t="str">
        <f t="shared" si="96"/>
        <v/>
      </c>
      <c r="AJ422" s="359" t="str">
        <f t="shared" si="97"/>
        <v/>
      </c>
      <c r="AK422" s="359" t="str">
        <f t="shared" si="99"/>
        <v/>
      </c>
      <c r="AL422" s="359" t="str">
        <f t="shared" si="98"/>
        <v/>
      </c>
      <c r="AM422" s="359" t="str">
        <f t="shared" si="100"/>
        <v/>
      </c>
      <c r="AN422" s="262">
        <f t="shared" si="103"/>
        <v>0</v>
      </c>
      <c r="AO422" s="262" t="str">
        <f>IFERROR(HLOOKUP(AN422,'Ref Lists'!Q$1:AL$2,2,FALSE),'Ref Lists'!$AK$2)</f>
        <v>Savings21</v>
      </c>
      <c r="AP422" s="38"/>
      <c r="AQ422" s="38">
        <f t="shared" si="92"/>
        <v>0</v>
      </c>
      <c r="AR422" s="38"/>
      <c r="AS422" s="38"/>
      <c r="AT422" s="38"/>
      <c r="AU422" s="38"/>
      <c r="AV422" s="38"/>
      <c r="AW422" s="38"/>
      <c r="AX422" s="38"/>
      <c r="AY422" s="38"/>
      <c r="AZ422" s="38"/>
      <c r="BA422" s="38"/>
      <c r="BB422" s="38"/>
      <c r="BC422" s="38"/>
      <c r="BD422" s="38"/>
      <c r="BE422" s="38"/>
      <c r="BF422" s="38"/>
      <c r="BG422" s="38"/>
      <c r="BH422" s="38"/>
      <c r="BI422" s="38"/>
      <c r="BJ422" s="38"/>
      <c r="BK422" s="38"/>
      <c r="BL422" s="38"/>
      <c r="BM422" s="38"/>
      <c r="BN422" s="38"/>
      <c r="BO422" s="38"/>
      <c r="BP422" s="38"/>
      <c r="BQ422" s="38"/>
      <c r="BR422" s="38"/>
      <c r="BS422" s="38"/>
      <c r="BT422" s="38"/>
      <c r="BU422" s="38"/>
      <c r="BV422" s="38"/>
      <c r="BW422" s="38"/>
      <c r="BX422" s="38"/>
      <c r="BY422" s="38"/>
      <c r="BZ422" s="38"/>
      <c r="CA422" s="38"/>
      <c r="CB422" s="38"/>
      <c r="CC422" s="38"/>
      <c r="CD422" s="38"/>
      <c r="CE422" s="38"/>
      <c r="CF422" s="38"/>
      <c r="CG422" s="38"/>
      <c r="CH422" s="38"/>
      <c r="CI422" s="38"/>
      <c r="CJ422" s="38"/>
      <c r="CK422" s="38"/>
      <c r="CL422" s="38"/>
      <c r="CM422" s="38"/>
      <c r="CN422" s="38"/>
      <c r="CO422" s="38"/>
      <c r="CP422" s="38"/>
      <c r="CQ422" s="38"/>
      <c r="CR422" s="38"/>
      <c r="CS422" s="38"/>
      <c r="CT422" s="38"/>
      <c r="CU422" s="38"/>
      <c r="CV422" s="38"/>
      <c r="CW422" s="38"/>
      <c r="CX422" s="38"/>
      <c r="CY422" s="38"/>
      <c r="CZ422" s="38"/>
    </row>
    <row r="423" spans="1:104" s="40" customFormat="1" ht="20.149999999999999" customHeight="1">
      <c r="A423" s="358">
        <f t="shared" si="101"/>
        <v>422</v>
      </c>
      <c r="B423" s="359" t="str">
        <f>'Front Sheet and Checklist'!$C$5</f>
        <v>Swansea Bay UHB</v>
      </c>
      <c r="C423" s="17"/>
      <c r="D423" s="17"/>
      <c r="E423" s="17"/>
      <c r="F423" s="17"/>
      <c r="G423" s="17"/>
      <c r="H423" s="17"/>
      <c r="I423" s="361">
        <f t="shared" si="91"/>
        <v>0</v>
      </c>
      <c r="J423" s="17"/>
      <c r="K423" s="18"/>
      <c r="L423" s="18"/>
      <c r="M423" s="17"/>
      <c r="N423" s="17"/>
      <c r="O423" s="17"/>
      <c r="P423" s="17"/>
      <c r="Q423" s="169"/>
      <c r="R423" s="24"/>
      <c r="S423" s="24"/>
      <c r="T423" s="24"/>
      <c r="U423" s="25"/>
      <c r="V423" s="25"/>
      <c r="W423" s="25"/>
      <c r="X423" s="24"/>
      <c r="Y423" s="24"/>
      <c r="Z423" s="24"/>
      <c r="AA423" s="24"/>
      <c r="AB423" s="24"/>
      <c r="AC423" s="24"/>
      <c r="AD423" s="361">
        <f t="shared" si="90"/>
        <v>0</v>
      </c>
      <c r="AE423" s="359" t="str">
        <f t="shared" si="93"/>
        <v/>
      </c>
      <c r="AF423" s="359" t="str">
        <f t="shared" si="102"/>
        <v/>
      </c>
      <c r="AG423" s="359" t="str">
        <f t="shared" si="94"/>
        <v/>
      </c>
      <c r="AH423" s="359" t="str">
        <f t="shared" si="95"/>
        <v/>
      </c>
      <c r="AI423" s="359" t="str">
        <f t="shared" si="96"/>
        <v/>
      </c>
      <c r="AJ423" s="359" t="str">
        <f t="shared" si="97"/>
        <v/>
      </c>
      <c r="AK423" s="359" t="str">
        <f t="shared" si="99"/>
        <v/>
      </c>
      <c r="AL423" s="359" t="str">
        <f t="shared" si="98"/>
        <v/>
      </c>
      <c r="AM423" s="359" t="str">
        <f t="shared" si="100"/>
        <v/>
      </c>
      <c r="AN423" s="262">
        <f t="shared" si="103"/>
        <v>0</v>
      </c>
      <c r="AO423" s="262" t="str">
        <f>IFERROR(HLOOKUP(AN423,'Ref Lists'!Q$1:AL$2,2,FALSE),'Ref Lists'!$AK$2)</f>
        <v>Savings21</v>
      </c>
      <c r="AP423" s="38"/>
      <c r="AQ423" s="38">
        <f t="shared" si="92"/>
        <v>0</v>
      </c>
      <c r="AR423" s="38"/>
      <c r="AS423" s="38"/>
      <c r="AT423" s="38"/>
      <c r="AU423" s="38"/>
      <c r="AV423" s="38"/>
      <c r="AW423" s="38"/>
      <c r="AX423" s="38"/>
      <c r="AY423" s="38"/>
      <c r="AZ423" s="38"/>
      <c r="BA423" s="38"/>
      <c r="BB423" s="38"/>
      <c r="BC423" s="38"/>
      <c r="BD423" s="38"/>
      <c r="BE423" s="38"/>
      <c r="BF423" s="38"/>
      <c r="BG423" s="38"/>
      <c r="BH423" s="38"/>
      <c r="BI423" s="38"/>
      <c r="BJ423" s="38"/>
      <c r="BK423" s="38"/>
      <c r="BL423" s="38"/>
      <c r="BM423" s="38"/>
      <c r="BN423" s="38"/>
      <c r="BO423" s="38"/>
      <c r="BP423" s="38"/>
      <c r="BQ423" s="38"/>
      <c r="BR423" s="38"/>
      <c r="BS423" s="38"/>
      <c r="BT423" s="38"/>
      <c r="BU423" s="38"/>
      <c r="BV423" s="38"/>
      <c r="BW423" s="38"/>
      <c r="BX423" s="38"/>
      <c r="BY423" s="38"/>
      <c r="BZ423" s="38"/>
      <c r="CA423" s="38"/>
      <c r="CB423" s="38"/>
      <c r="CC423" s="38"/>
      <c r="CD423" s="38"/>
      <c r="CE423" s="38"/>
      <c r="CF423" s="38"/>
      <c r="CG423" s="38"/>
      <c r="CH423" s="38"/>
      <c r="CI423" s="38"/>
      <c r="CJ423" s="38"/>
      <c r="CK423" s="38"/>
      <c r="CL423" s="38"/>
      <c r="CM423" s="38"/>
      <c r="CN423" s="38"/>
      <c r="CO423" s="38"/>
      <c r="CP423" s="38"/>
      <c r="CQ423" s="38"/>
      <c r="CR423" s="38"/>
      <c r="CS423" s="38"/>
      <c r="CT423" s="38"/>
      <c r="CU423" s="38"/>
      <c r="CV423" s="38"/>
      <c r="CW423" s="38"/>
      <c r="CX423" s="38"/>
      <c r="CY423" s="38"/>
      <c r="CZ423" s="38"/>
    </row>
    <row r="424" spans="1:104" s="40" customFormat="1" ht="20.149999999999999" customHeight="1">
      <c r="A424" s="358">
        <f t="shared" si="101"/>
        <v>423</v>
      </c>
      <c r="B424" s="359" t="str">
        <f>'Front Sheet and Checklist'!$C$5</f>
        <v>Swansea Bay UHB</v>
      </c>
      <c r="C424" s="17"/>
      <c r="D424" s="17"/>
      <c r="E424" s="17"/>
      <c r="F424" s="17"/>
      <c r="G424" s="17"/>
      <c r="H424" s="17"/>
      <c r="I424" s="361">
        <f t="shared" si="91"/>
        <v>0</v>
      </c>
      <c r="J424" s="17"/>
      <c r="K424" s="18"/>
      <c r="L424" s="18"/>
      <c r="M424" s="17"/>
      <c r="N424" s="17"/>
      <c r="O424" s="17"/>
      <c r="P424" s="17"/>
      <c r="Q424" s="169"/>
      <c r="R424" s="24"/>
      <c r="S424" s="24"/>
      <c r="T424" s="24"/>
      <c r="U424" s="25"/>
      <c r="V424" s="25"/>
      <c r="W424" s="25"/>
      <c r="X424" s="24"/>
      <c r="Y424" s="24"/>
      <c r="Z424" s="24"/>
      <c r="AA424" s="24"/>
      <c r="AB424" s="24"/>
      <c r="AC424" s="24"/>
      <c r="AD424" s="361">
        <f t="shared" si="90"/>
        <v>0</v>
      </c>
      <c r="AE424" s="359" t="str">
        <f t="shared" si="93"/>
        <v/>
      </c>
      <c r="AF424" s="359" t="str">
        <f t="shared" si="102"/>
        <v/>
      </c>
      <c r="AG424" s="359" t="str">
        <f t="shared" si="94"/>
        <v/>
      </c>
      <c r="AH424" s="359" t="str">
        <f t="shared" si="95"/>
        <v/>
      </c>
      <c r="AI424" s="359" t="str">
        <f t="shared" si="96"/>
        <v/>
      </c>
      <c r="AJ424" s="359" t="str">
        <f t="shared" si="97"/>
        <v/>
      </c>
      <c r="AK424" s="359" t="str">
        <f t="shared" si="99"/>
        <v/>
      </c>
      <c r="AL424" s="359" t="str">
        <f t="shared" si="98"/>
        <v/>
      </c>
      <c r="AM424" s="359" t="str">
        <f t="shared" si="100"/>
        <v/>
      </c>
      <c r="AN424" s="262">
        <f t="shared" si="103"/>
        <v>0</v>
      </c>
      <c r="AO424" s="262" t="str">
        <f>IFERROR(HLOOKUP(AN424,'Ref Lists'!Q$1:AL$2,2,FALSE),'Ref Lists'!$AK$2)</f>
        <v>Savings21</v>
      </c>
      <c r="AP424" s="38"/>
      <c r="AQ424" s="38">
        <f t="shared" si="92"/>
        <v>0</v>
      </c>
      <c r="AR424" s="38"/>
      <c r="AS424" s="38"/>
      <c r="AT424" s="38"/>
      <c r="AU424" s="38"/>
      <c r="AV424" s="38"/>
      <c r="AW424" s="38"/>
      <c r="AX424" s="38"/>
      <c r="AY424" s="38"/>
      <c r="AZ424" s="38"/>
      <c r="BA424" s="38"/>
      <c r="BB424" s="38"/>
      <c r="BC424" s="38"/>
      <c r="BD424" s="38"/>
      <c r="BE424" s="38"/>
      <c r="BF424" s="38"/>
      <c r="BG424" s="38"/>
      <c r="BH424" s="38"/>
      <c r="BI424" s="38"/>
      <c r="BJ424" s="38"/>
      <c r="BK424" s="38"/>
      <c r="BL424" s="38"/>
      <c r="BM424" s="38"/>
      <c r="BN424" s="38"/>
      <c r="BO424" s="38"/>
      <c r="BP424" s="38"/>
      <c r="BQ424" s="38"/>
      <c r="BR424" s="38"/>
      <c r="BS424" s="38"/>
      <c r="BT424" s="38"/>
      <c r="BU424" s="38"/>
      <c r="BV424" s="38"/>
      <c r="BW424" s="38"/>
      <c r="BX424" s="38"/>
      <c r="BY424" s="38"/>
      <c r="BZ424" s="38"/>
      <c r="CA424" s="38"/>
      <c r="CB424" s="38"/>
      <c r="CC424" s="38"/>
      <c r="CD424" s="38"/>
      <c r="CE424" s="38"/>
      <c r="CF424" s="38"/>
      <c r="CG424" s="38"/>
      <c r="CH424" s="38"/>
      <c r="CI424" s="38"/>
      <c r="CJ424" s="38"/>
      <c r="CK424" s="38"/>
      <c r="CL424" s="38"/>
      <c r="CM424" s="38"/>
      <c r="CN424" s="38"/>
      <c r="CO424" s="38"/>
      <c r="CP424" s="38"/>
      <c r="CQ424" s="38"/>
      <c r="CR424" s="38"/>
      <c r="CS424" s="38"/>
      <c r="CT424" s="38"/>
      <c r="CU424" s="38"/>
      <c r="CV424" s="38"/>
      <c r="CW424" s="38"/>
      <c r="CX424" s="38"/>
      <c r="CY424" s="38"/>
      <c r="CZ424" s="38"/>
    </row>
    <row r="425" spans="1:104" s="40" customFormat="1" ht="20.149999999999999" customHeight="1">
      <c r="A425" s="358">
        <f t="shared" si="101"/>
        <v>424</v>
      </c>
      <c r="B425" s="359" t="str">
        <f>'Front Sheet and Checklist'!$C$5</f>
        <v>Swansea Bay UHB</v>
      </c>
      <c r="C425" s="17"/>
      <c r="D425" s="17"/>
      <c r="E425" s="17"/>
      <c r="F425" s="17"/>
      <c r="G425" s="17"/>
      <c r="H425" s="17"/>
      <c r="I425" s="361">
        <f t="shared" si="91"/>
        <v>0</v>
      </c>
      <c r="J425" s="17"/>
      <c r="K425" s="18"/>
      <c r="L425" s="18"/>
      <c r="M425" s="17"/>
      <c r="N425" s="17"/>
      <c r="O425" s="17"/>
      <c r="P425" s="17"/>
      <c r="Q425" s="169"/>
      <c r="R425" s="24"/>
      <c r="S425" s="24"/>
      <c r="T425" s="24"/>
      <c r="U425" s="25"/>
      <c r="V425" s="25"/>
      <c r="W425" s="25"/>
      <c r="X425" s="24"/>
      <c r="Y425" s="24"/>
      <c r="Z425" s="24"/>
      <c r="AA425" s="24"/>
      <c r="AB425" s="24"/>
      <c r="AC425" s="24"/>
      <c r="AD425" s="361">
        <f t="shared" si="90"/>
        <v>0</v>
      </c>
      <c r="AE425" s="359" t="str">
        <f t="shared" si="93"/>
        <v/>
      </c>
      <c r="AF425" s="359" t="str">
        <f t="shared" si="102"/>
        <v/>
      </c>
      <c r="AG425" s="359" t="str">
        <f t="shared" si="94"/>
        <v/>
      </c>
      <c r="AH425" s="359" t="str">
        <f t="shared" si="95"/>
        <v/>
      </c>
      <c r="AI425" s="359" t="str">
        <f t="shared" si="96"/>
        <v/>
      </c>
      <c r="AJ425" s="359" t="str">
        <f t="shared" si="97"/>
        <v/>
      </c>
      <c r="AK425" s="359" t="str">
        <f t="shared" si="99"/>
        <v/>
      </c>
      <c r="AL425" s="359" t="str">
        <f t="shared" si="98"/>
        <v/>
      </c>
      <c r="AM425" s="359" t="str">
        <f t="shared" si="100"/>
        <v/>
      </c>
      <c r="AN425" s="262">
        <f t="shared" si="103"/>
        <v>0</v>
      </c>
      <c r="AO425" s="262" t="str">
        <f>IFERROR(HLOOKUP(AN425,'Ref Lists'!Q$1:AL$2,2,FALSE),'Ref Lists'!$AK$2)</f>
        <v>Savings21</v>
      </c>
      <c r="AP425" s="38"/>
      <c r="AQ425" s="38">
        <f t="shared" si="92"/>
        <v>0</v>
      </c>
      <c r="AR425" s="38"/>
      <c r="AS425" s="38"/>
      <c r="AT425" s="38"/>
      <c r="AU425" s="38"/>
      <c r="AV425" s="38"/>
      <c r="AW425" s="38"/>
      <c r="AX425" s="38"/>
      <c r="AY425" s="38"/>
      <c r="AZ425" s="38"/>
      <c r="BA425" s="38"/>
      <c r="BB425" s="38"/>
      <c r="BC425" s="38"/>
      <c r="BD425" s="38"/>
      <c r="BE425" s="38"/>
      <c r="BF425" s="38"/>
      <c r="BG425" s="38"/>
      <c r="BH425" s="38"/>
      <c r="BI425" s="38"/>
      <c r="BJ425" s="38"/>
      <c r="BK425" s="38"/>
      <c r="BL425" s="38"/>
      <c r="BM425" s="38"/>
      <c r="BN425" s="38"/>
      <c r="BO425" s="38"/>
      <c r="BP425" s="38"/>
      <c r="BQ425" s="38"/>
      <c r="BR425" s="38"/>
      <c r="BS425" s="38"/>
      <c r="BT425" s="38"/>
      <c r="BU425" s="38"/>
      <c r="BV425" s="38"/>
      <c r="BW425" s="38"/>
      <c r="BX425" s="38"/>
      <c r="BY425" s="38"/>
      <c r="BZ425" s="38"/>
      <c r="CA425" s="38"/>
      <c r="CB425" s="38"/>
      <c r="CC425" s="38"/>
      <c r="CD425" s="38"/>
      <c r="CE425" s="38"/>
      <c r="CF425" s="38"/>
      <c r="CG425" s="38"/>
      <c r="CH425" s="38"/>
      <c r="CI425" s="38"/>
      <c r="CJ425" s="38"/>
      <c r="CK425" s="38"/>
      <c r="CL425" s="38"/>
      <c r="CM425" s="38"/>
      <c r="CN425" s="38"/>
      <c r="CO425" s="38"/>
      <c r="CP425" s="38"/>
      <c r="CQ425" s="38"/>
      <c r="CR425" s="38"/>
      <c r="CS425" s="38"/>
      <c r="CT425" s="38"/>
      <c r="CU425" s="38"/>
      <c r="CV425" s="38"/>
      <c r="CW425" s="38"/>
      <c r="CX425" s="38"/>
      <c r="CY425" s="38"/>
      <c r="CZ425" s="38"/>
    </row>
    <row r="426" spans="1:104" s="40" customFormat="1" ht="20.149999999999999" customHeight="1">
      <c r="A426" s="358">
        <f t="shared" si="101"/>
        <v>425</v>
      </c>
      <c r="B426" s="359" t="str">
        <f>'Front Sheet and Checklist'!$C$5</f>
        <v>Swansea Bay UHB</v>
      </c>
      <c r="C426" s="17"/>
      <c r="D426" s="17"/>
      <c r="E426" s="17"/>
      <c r="F426" s="17"/>
      <c r="G426" s="17"/>
      <c r="H426" s="17"/>
      <c r="I426" s="361">
        <f t="shared" si="91"/>
        <v>0</v>
      </c>
      <c r="J426" s="17"/>
      <c r="K426" s="18"/>
      <c r="L426" s="18"/>
      <c r="M426" s="17"/>
      <c r="N426" s="17"/>
      <c r="O426" s="17"/>
      <c r="P426" s="17"/>
      <c r="Q426" s="169"/>
      <c r="R426" s="24"/>
      <c r="S426" s="24"/>
      <c r="T426" s="24"/>
      <c r="U426" s="25"/>
      <c r="V426" s="25"/>
      <c r="W426" s="25"/>
      <c r="X426" s="24"/>
      <c r="Y426" s="24"/>
      <c r="Z426" s="24"/>
      <c r="AA426" s="24"/>
      <c r="AB426" s="24"/>
      <c r="AC426" s="24"/>
      <c r="AD426" s="361">
        <f t="shared" si="90"/>
        <v>0</v>
      </c>
      <c r="AE426" s="359" t="str">
        <f t="shared" si="93"/>
        <v/>
      </c>
      <c r="AF426" s="359" t="str">
        <f t="shared" si="102"/>
        <v/>
      </c>
      <c r="AG426" s="359" t="str">
        <f t="shared" si="94"/>
        <v/>
      </c>
      <c r="AH426" s="359" t="str">
        <f t="shared" si="95"/>
        <v/>
      </c>
      <c r="AI426" s="359" t="str">
        <f t="shared" si="96"/>
        <v/>
      </c>
      <c r="AJ426" s="359" t="str">
        <f t="shared" si="97"/>
        <v/>
      </c>
      <c r="AK426" s="359" t="str">
        <f t="shared" si="99"/>
        <v/>
      </c>
      <c r="AL426" s="359" t="str">
        <f t="shared" si="98"/>
        <v/>
      </c>
      <c r="AM426" s="359" t="str">
        <f t="shared" si="100"/>
        <v/>
      </c>
      <c r="AN426" s="262">
        <f t="shared" si="103"/>
        <v>0</v>
      </c>
      <c r="AO426" s="262" t="str">
        <f>IFERROR(HLOOKUP(AN426,'Ref Lists'!Q$1:AL$2,2,FALSE),'Ref Lists'!$AK$2)</f>
        <v>Savings21</v>
      </c>
      <c r="AP426" s="38"/>
      <c r="AQ426" s="38">
        <f t="shared" si="92"/>
        <v>0</v>
      </c>
      <c r="AR426" s="38"/>
      <c r="AS426" s="38"/>
      <c r="AT426" s="38"/>
      <c r="AU426" s="38"/>
      <c r="AV426" s="38"/>
      <c r="AW426" s="38"/>
      <c r="AX426" s="38"/>
      <c r="AY426" s="38"/>
      <c r="AZ426" s="38"/>
      <c r="BA426" s="38"/>
      <c r="BB426" s="38"/>
      <c r="BC426" s="38"/>
      <c r="BD426" s="38"/>
      <c r="BE426" s="38"/>
      <c r="BF426" s="38"/>
      <c r="BG426" s="38"/>
      <c r="BH426" s="38"/>
      <c r="BI426" s="38"/>
      <c r="BJ426" s="38"/>
      <c r="BK426" s="38"/>
      <c r="BL426" s="38"/>
      <c r="BM426" s="38"/>
      <c r="BN426" s="38"/>
      <c r="BO426" s="38"/>
      <c r="BP426" s="38"/>
      <c r="BQ426" s="38"/>
      <c r="BR426" s="38"/>
      <c r="BS426" s="38"/>
      <c r="BT426" s="38"/>
      <c r="BU426" s="38"/>
      <c r="BV426" s="38"/>
      <c r="BW426" s="38"/>
      <c r="BX426" s="38"/>
      <c r="BY426" s="38"/>
      <c r="BZ426" s="38"/>
      <c r="CA426" s="38"/>
      <c r="CB426" s="38"/>
      <c r="CC426" s="38"/>
      <c r="CD426" s="38"/>
      <c r="CE426" s="38"/>
      <c r="CF426" s="38"/>
      <c r="CG426" s="38"/>
      <c r="CH426" s="38"/>
      <c r="CI426" s="38"/>
      <c r="CJ426" s="38"/>
      <c r="CK426" s="38"/>
      <c r="CL426" s="38"/>
      <c r="CM426" s="38"/>
      <c r="CN426" s="38"/>
      <c r="CO426" s="38"/>
      <c r="CP426" s="38"/>
      <c r="CQ426" s="38"/>
      <c r="CR426" s="38"/>
      <c r="CS426" s="38"/>
      <c r="CT426" s="38"/>
      <c r="CU426" s="38"/>
      <c r="CV426" s="38"/>
      <c r="CW426" s="38"/>
      <c r="CX426" s="38"/>
      <c r="CY426" s="38"/>
      <c r="CZ426" s="38"/>
    </row>
    <row r="427" spans="1:104" s="40" customFormat="1" ht="20.149999999999999" customHeight="1">
      <c r="A427" s="358">
        <f t="shared" si="101"/>
        <v>426</v>
      </c>
      <c r="B427" s="359" t="str">
        <f>'Front Sheet and Checklist'!$C$5</f>
        <v>Swansea Bay UHB</v>
      </c>
      <c r="C427" s="17"/>
      <c r="D427" s="17"/>
      <c r="E427" s="17"/>
      <c r="F427" s="17"/>
      <c r="G427" s="17"/>
      <c r="H427" s="17"/>
      <c r="I427" s="361">
        <f t="shared" si="91"/>
        <v>0</v>
      </c>
      <c r="J427" s="17"/>
      <c r="K427" s="18"/>
      <c r="L427" s="18"/>
      <c r="M427" s="17"/>
      <c r="N427" s="17"/>
      <c r="O427" s="17"/>
      <c r="P427" s="17"/>
      <c r="Q427" s="169"/>
      <c r="R427" s="24"/>
      <c r="S427" s="24"/>
      <c r="T427" s="24"/>
      <c r="U427" s="25"/>
      <c r="V427" s="25"/>
      <c r="W427" s="25"/>
      <c r="X427" s="24"/>
      <c r="Y427" s="24"/>
      <c r="Z427" s="24"/>
      <c r="AA427" s="24"/>
      <c r="AB427" s="24"/>
      <c r="AC427" s="24"/>
      <c r="AD427" s="361">
        <f t="shared" si="90"/>
        <v>0</v>
      </c>
      <c r="AE427" s="359" t="str">
        <f t="shared" si="93"/>
        <v/>
      </c>
      <c r="AF427" s="359" t="str">
        <f t="shared" si="102"/>
        <v/>
      </c>
      <c r="AG427" s="359" t="str">
        <f t="shared" si="94"/>
        <v/>
      </c>
      <c r="AH427" s="359" t="str">
        <f t="shared" si="95"/>
        <v/>
      </c>
      <c r="AI427" s="359" t="str">
        <f t="shared" si="96"/>
        <v/>
      </c>
      <c r="AJ427" s="359" t="str">
        <f t="shared" si="97"/>
        <v/>
      </c>
      <c r="AK427" s="359" t="str">
        <f t="shared" si="99"/>
        <v/>
      </c>
      <c r="AL427" s="359" t="str">
        <f t="shared" si="98"/>
        <v/>
      </c>
      <c r="AM427" s="359" t="str">
        <f t="shared" si="100"/>
        <v/>
      </c>
      <c r="AN427" s="262">
        <f t="shared" si="103"/>
        <v>0</v>
      </c>
      <c r="AO427" s="262" t="str">
        <f>IFERROR(HLOOKUP(AN427,'Ref Lists'!Q$1:AL$2,2,FALSE),'Ref Lists'!$AK$2)</f>
        <v>Savings21</v>
      </c>
      <c r="AP427" s="38"/>
      <c r="AQ427" s="38">
        <f t="shared" si="92"/>
        <v>0</v>
      </c>
      <c r="AR427" s="38"/>
      <c r="AS427" s="38"/>
      <c r="AT427" s="38"/>
      <c r="AU427" s="38"/>
      <c r="AV427" s="38"/>
      <c r="AW427" s="38"/>
      <c r="AX427" s="38"/>
      <c r="AY427" s="38"/>
      <c r="AZ427" s="38"/>
      <c r="BA427" s="38"/>
      <c r="BB427" s="38"/>
      <c r="BC427" s="38"/>
      <c r="BD427" s="38"/>
      <c r="BE427" s="38"/>
      <c r="BF427" s="38"/>
      <c r="BG427" s="38"/>
      <c r="BH427" s="38"/>
      <c r="BI427" s="38"/>
      <c r="BJ427" s="38"/>
      <c r="BK427" s="38"/>
      <c r="BL427" s="38"/>
      <c r="BM427" s="38"/>
      <c r="BN427" s="38"/>
      <c r="BO427" s="38"/>
      <c r="BP427" s="38"/>
      <c r="BQ427" s="38"/>
      <c r="BR427" s="38"/>
      <c r="BS427" s="38"/>
      <c r="BT427" s="38"/>
      <c r="BU427" s="38"/>
      <c r="BV427" s="38"/>
      <c r="BW427" s="38"/>
      <c r="BX427" s="38"/>
      <c r="BY427" s="38"/>
      <c r="BZ427" s="38"/>
      <c r="CA427" s="38"/>
      <c r="CB427" s="38"/>
      <c r="CC427" s="38"/>
      <c r="CD427" s="38"/>
      <c r="CE427" s="38"/>
      <c r="CF427" s="38"/>
      <c r="CG427" s="38"/>
      <c r="CH427" s="38"/>
      <c r="CI427" s="38"/>
      <c r="CJ427" s="38"/>
      <c r="CK427" s="38"/>
      <c r="CL427" s="38"/>
      <c r="CM427" s="38"/>
      <c r="CN427" s="38"/>
      <c r="CO427" s="38"/>
      <c r="CP427" s="38"/>
      <c r="CQ427" s="38"/>
      <c r="CR427" s="38"/>
      <c r="CS427" s="38"/>
      <c r="CT427" s="38"/>
      <c r="CU427" s="38"/>
      <c r="CV427" s="38"/>
      <c r="CW427" s="38"/>
      <c r="CX427" s="38"/>
      <c r="CY427" s="38"/>
      <c r="CZ427" s="38"/>
    </row>
    <row r="428" spans="1:104" s="40" customFormat="1" ht="20.149999999999999" customHeight="1">
      <c r="A428" s="358">
        <f t="shared" si="101"/>
        <v>427</v>
      </c>
      <c r="B428" s="359" t="str">
        <f>'Front Sheet and Checklist'!$C$5</f>
        <v>Swansea Bay UHB</v>
      </c>
      <c r="C428" s="17"/>
      <c r="D428" s="17"/>
      <c r="E428" s="17"/>
      <c r="F428" s="17"/>
      <c r="G428" s="17"/>
      <c r="H428" s="17"/>
      <c r="I428" s="361">
        <f t="shared" si="91"/>
        <v>0</v>
      </c>
      <c r="J428" s="17"/>
      <c r="K428" s="18"/>
      <c r="L428" s="18"/>
      <c r="M428" s="17"/>
      <c r="N428" s="17"/>
      <c r="O428" s="17"/>
      <c r="P428" s="17"/>
      <c r="Q428" s="169"/>
      <c r="R428" s="24"/>
      <c r="S428" s="24"/>
      <c r="T428" s="24"/>
      <c r="U428" s="25"/>
      <c r="V428" s="25"/>
      <c r="W428" s="25"/>
      <c r="X428" s="24"/>
      <c r="Y428" s="24"/>
      <c r="Z428" s="24"/>
      <c r="AA428" s="24"/>
      <c r="AB428" s="24"/>
      <c r="AC428" s="24"/>
      <c r="AD428" s="361">
        <f t="shared" si="90"/>
        <v>0</v>
      </c>
      <c r="AE428" s="359" t="str">
        <f t="shared" si="93"/>
        <v/>
      </c>
      <c r="AF428" s="359" t="str">
        <f t="shared" si="102"/>
        <v/>
      </c>
      <c r="AG428" s="359" t="str">
        <f t="shared" si="94"/>
        <v/>
      </c>
      <c r="AH428" s="359" t="str">
        <f t="shared" si="95"/>
        <v/>
      </c>
      <c r="AI428" s="359" t="str">
        <f t="shared" si="96"/>
        <v/>
      </c>
      <c r="AJ428" s="359" t="str">
        <f t="shared" si="97"/>
        <v/>
      </c>
      <c r="AK428" s="359" t="str">
        <f t="shared" si="99"/>
        <v/>
      </c>
      <c r="AL428" s="359" t="str">
        <f t="shared" si="98"/>
        <v/>
      </c>
      <c r="AM428" s="359" t="str">
        <f t="shared" si="100"/>
        <v/>
      </c>
      <c r="AN428" s="262">
        <f t="shared" si="103"/>
        <v>0</v>
      </c>
      <c r="AO428" s="262" t="str">
        <f>IFERROR(HLOOKUP(AN428,'Ref Lists'!Q$1:AL$2,2,FALSE),'Ref Lists'!$AK$2)</f>
        <v>Savings21</v>
      </c>
      <c r="AP428" s="38"/>
      <c r="AQ428" s="38">
        <f t="shared" si="92"/>
        <v>0</v>
      </c>
      <c r="AR428" s="38"/>
      <c r="AS428" s="38"/>
      <c r="AT428" s="38"/>
      <c r="AU428" s="38"/>
      <c r="AV428" s="38"/>
      <c r="AW428" s="38"/>
      <c r="AX428" s="38"/>
      <c r="AY428" s="38"/>
      <c r="AZ428" s="38"/>
      <c r="BA428" s="38"/>
      <c r="BB428" s="38"/>
      <c r="BC428" s="38"/>
      <c r="BD428" s="38"/>
      <c r="BE428" s="38"/>
      <c r="BF428" s="38"/>
      <c r="BG428" s="38"/>
      <c r="BH428" s="38"/>
      <c r="BI428" s="38"/>
      <c r="BJ428" s="38"/>
      <c r="BK428" s="38"/>
      <c r="BL428" s="38"/>
      <c r="BM428" s="38"/>
      <c r="BN428" s="38"/>
      <c r="BO428" s="38"/>
      <c r="BP428" s="38"/>
      <c r="BQ428" s="38"/>
      <c r="BR428" s="38"/>
      <c r="BS428" s="38"/>
      <c r="BT428" s="38"/>
      <c r="BU428" s="38"/>
      <c r="BV428" s="38"/>
      <c r="BW428" s="38"/>
      <c r="BX428" s="38"/>
      <c r="BY428" s="38"/>
      <c r="BZ428" s="38"/>
      <c r="CA428" s="38"/>
      <c r="CB428" s="38"/>
      <c r="CC428" s="38"/>
      <c r="CD428" s="38"/>
      <c r="CE428" s="38"/>
      <c r="CF428" s="38"/>
      <c r="CG428" s="38"/>
      <c r="CH428" s="38"/>
      <c r="CI428" s="38"/>
      <c r="CJ428" s="38"/>
      <c r="CK428" s="38"/>
      <c r="CL428" s="38"/>
      <c r="CM428" s="38"/>
      <c r="CN428" s="38"/>
      <c r="CO428" s="38"/>
      <c r="CP428" s="38"/>
      <c r="CQ428" s="38"/>
      <c r="CR428" s="38"/>
      <c r="CS428" s="38"/>
      <c r="CT428" s="38"/>
      <c r="CU428" s="38"/>
      <c r="CV428" s="38"/>
      <c r="CW428" s="38"/>
      <c r="CX428" s="38"/>
      <c r="CY428" s="38"/>
      <c r="CZ428" s="38"/>
    </row>
    <row r="429" spans="1:104" s="40" customFormat="1" ht="20.149999999999999" customHeight="1">
      <c r="A429" s="358">
        <f t="shared" si="101"/>
        <v>428</v>
      </c>
      <c r="B429" s="359" t="str">
        <f>'Front Sheet and Checklist'!$C$5</f>
        <v>Swansea Bay UHB</v>
      </c>
      <c r="C429" s="17"/>
      <c r="D429" s="17"/>
      <c r="E429" s="17"/>
      <c r="F429" s="17"/>
      <c r="G429" s="17"/>
      <c r="H429" s="17"/>
      <c r="I429" s="361">
        <f t="shared" si="91"/>
        <v>0</v>
      </c>
      <c r="J429" s="17"/>
      <c r="K429" s="18"/>
      <c r="L429" s="18"/>
      <c r="M429" s="17"/>
      <c r="N429" s="17"/>
      <c r="O429" s="17"/>
      <c r="P429" s="17"/>
      <c r="Q429" s="169"/>
      <c r="R429" s="24"/>
      <c r="S429" s="24"/>
      <c r="T429" s="24"/>
      <c r="U429" s="25"/>
      <c r="V429" s="25"/>
      <c r="W429" s="25"/>
      <c r="X429" s="24"/>
      <c r="Y429" s="24"/>
      <c r="Z429" s="24"/>
      <c r="AA429" s="24"/>
      <c r="AB429" s="24"/>
      <c r="AC429" s="24"/>
      <c r="AD429" s="361">
        <f t="shared" si="90"/>
        <v>0</v>
      </c>
      <c r="AE429" s="359" t="str">
        <f t="shared" si="93"/>
        <v/>
      </c>
      <c r="AF429" s="359" t="str">
        <f t="shared" si="102"/>
        <v/>
      </c>
      <c r="AG429" s="359" t="str">
        <f t="shared" si="94"/>
        <v/>
      </c>
      <c r="AH429" s="359" t="str">
        <f t="shared" si="95"/>
        <v/>
      </c>
      <c r="AI429" s="359" t="str">
        <f t="shared" si="96"/>
        <v/>
      </c>
      <c r="AJ429" s="359" t="str">
        <f t="shared" si="97"/>
        <v/>
      </c>
      <c r="AK429" s="359" t="str">
        <f t="shared" si="99"/>
        <v/>
      </c>
      <c r="AL429" s="359" t="str">
        <f t="shared" si="98"/>
        <v/>
      </c>
      <c r="AM429" s="359" t="str">
        <f t="shared" si="100"/>
        <v/>
      </c>
      <c r="AN429" s="262">
        <f t="shared" si="103"/>
        <v>0</v>
      </c>
      <c r="AO429" s="262" t="str">
        <f>IFERROR(HLOOKUP(AN429,'Ref Lists'!Q$1:AL$2,2,FALSE),'Ref Lists'!$AK$2)</f>
        <v>Savings21</v>
      </c>
      <c r="AP429" s="38"/>
      <c r="AQ429" s="38">
        <f t="shared" si="92"/>
        <v>0</v>
      </c>
      <c r="AR429" s="38"/>
      <c r="AS429" s="38"/>
      <c r="AT429" s="38"/>
      <c r="AU429" s="38"/>
      <c r="AV429" s="38"/>
      <c r="AW429" s="38"/>
      <c r="AX429" s="38"/>
      <c r="AY429" s="38"/>
      <c r="AZ429" s="38"/>
      <c r="BA429" s="38"/>
      <c r="BB429" s="38"/>
      <c r="BC429" s="38"/>
      <c r="BD429" s="38"/>
      <c r="BE429" s="38"/>
      <c r="BF429" s="38"/>
      <c r="BG429" s="38"/>
      <c r="BH429" s="38"/>
      <c r="BI429" s="38"/>
      <c r="BJ429" s="38"/>
      <c r="BK429" s="38"/>
      <c r="BL429" s="38"/>
      <c r="BM429" s="38"/>
      <c r="BN429" s="38"/>
      <c r="BO429" s="38"/>
      <c r="BP429" s="38"/>
      <c r="BQ429" s="38"/>
      <c r="BR429" s="38"/>
      <c r="BS429" s="38"/>
      <c r="BT429" s="38"/>
      <c r="BU429" s="38"/>
      <c r="BV429" s="38"/>
      <c r="BW429" s="38"/>
      <c r="BX429" s="38"/>
      <c r="BY429" s="38"/>
      <c r="BZ429" s="38"/>
      <c r="CA429" s="38"/>
      <c r="CB429" s="38"/>
      <c r="CC429" s="38"/>
      <c r="CD429" s="38"/>
      <c r="CE429" s="38"/>
      <c r="CF429" s="38"/>
      <c r="CG429" s="38"/>
      <c r="CH429" s="38"/>
      <c r="CI429" s="38"/>
      <c r="CJ429" s="38"/>
      <c r="CK429" s="38"/>
      <c r="CL429" s="38"/>
      <c r="CM429" s="38"/>
      <c r="CN429" s="38"/>
      <c r="CO429" s="38"/>
      <c r="CP429" s="38"/>
      <c r="CQ429" s="38"/>
      <c r="CR429" s="38"/>
      <c r="CS429" s="38"/>
      <c r="CT429" s="38"/>
      <c r="CU429" s="38"/>
      <c r="CV429" s="38"/>
      <c r="CW429" s="38"/>
      <c r="CX429" s="38"/>
      <c r="CY429" s="38"/>
      <c r="CZ429" s="38"/>
    </row>
    <row r="430" spans="1:104" s="40" customFormat="1" ht="20.149999999999999" customHeight="1">
      <c r="A430" s="358">
        <f t="shared" si="101"/>
        <v>429</v>
      </c>
      <c r="B430" s="359" t="str">
        <f>'Front Sheet and Checklist'!$C$5</f>
        <v>Swansea Bay UHB</v>
      </c>
      <c r="C430" s="17"/>
      <c r="D430" s="17"/>
      <c r="E430" s="17"/>
      <c r="F430" s="17"/>
      <c r="G430" s="17"/>
      <c r="H430" s="17"/>
      <c r="I430" s="361">
        <f t="shared" si="91"/>
        <v>0</v>
      </c>
      <c r="J430" s="17"/>
      <c r="K430" s="18"/>
      <c r="L430" s="18"/>
      <c r="M430" s="17"/>
      <c r="N430" s="17"/>
      <c r="O430" s="17"/>
      <c r="P430" s="17"/>
      <c r="Q430" s="169"/>
      <c r="R430" s="24"/>
      <c r="S430" s="24"/>
      <c r="T430" s="24"/>
      <c r="U430" s="25"/>
      <c r="V430" s="25"/>
      <c r="W430" s="25"/>
      <c r="X430" s="24"/>
      <c r="Y430" s="24"/>
      <c r="Z430" s="24"/>
      <c r="AA430" s="24"/>
      <c r="AB430" s="24"/>
      <c r="AC430" s="24"/>
      <c r="AD430" s="361">
        <f t="shared" si="90"/>
        <v>0</v>
      </c>
      <c r="AE430" s="359" t="str">
        <f t="shared" si="93"/>
        <v/>
      </c>
      <c r="AF430" s="359" t="str">
        <f t="shared" si="102"/>
        <v/>
      </c>
      <c r="AG430" s="359" t="str">
        <f t="shared" si="94"/>
        <v/>
      </c>
      <c r="AH430" s="359" t="str">
        <f t="shared" si="95"/>
        <v/>
      </c>
      <c r="AI430" s="359" t="str">
        <f t="shared" si="96"/>
        <v/>
      </c>
      <c r="AJ430" s="359" t="str">
        <f t="shared" si="97"/>
        <v/>
      </c>
      <c r="AK430" s="359" t="str">
        <f t="shared" si="99"/>
        <v/>
      </c>
      <c r="AL430" s="359" t="str">
        <f t="shared" si="98"/>
        <v/>
      </c>
      <c r="AM430" s="359" t="str">
        <f t="shared" si="100"/>
        <v/>
      </c>
      <c r="AN430" s="262">
        <f t="shared" si="103"/>
        <v>0</v>
      </c>
      <c r="AO430" s="262" t="str">
        <f>IFERROR(HLOOKUP(AN430,'Ref Lists'!Q$1:AL$2,2,FALSE),'Ref Lists'!$AK$2)</f>
        <v>Savings21</v>
      </c>
      <c r="AP430" s="38"/>
      <c r="AQ430" s="38">
        <f t="shared" si="92"/>
        <v>0</v>
      </c>
      <c r="AR430" s="38"/>
      <c r="AS430" s="38"/>
      <c r="AT430" s="38"/>
      <c r="AU430" s="38"/>
      <c r="AV430" s="38"/>
      <c r="AW430" s="38"/>
      <c r="AX430" s="38"/>
      <c r="AY430" s="38"/>
      <c r="AZ430" s="38"/>
      <c r="BA430" s="38"/>
      <c r="BB430" s="38"/>
      <c r="BC430" s="38"/>
      <c r="BD430" s="38"/>
      <c r="BE430" s="38"/>
      <c r="BF430" s="38"/>
      <c r="BG430" s="38"/>
      <c r="BH430" s="38"/>
      <c r="BI430" s="38"/>
      <c r="BJ430" s="38"/>
      <c r="BK430" s="38"/>
      <c r="BL430" s="38"/>
      <c r="BM430" s="38"/>
      <c r="BN430" s="38"/>
      <c r="BO430" s="38"/>
      <c r="BP430" s="38"/>
      <c r="BQ430" s="38"/>
      <c r="BR430" s="38"/>
      <c r="BS430" s="38"/>
      <c r="BT430" s="38"/>
      <c r="BU430" s="38"/>
      <c r="BV430" s="38"/>
      <c r="BW430" s="38"/>
      <c r="BX430" s="38"/>
      <c r="BY430" s="38"/>
      <c r="BZ430" s="38"/>
      <c r="CA430" s="38"/>
      <c r="CB430" s="38"/>
      <c r="CC430" s="38"/>
      <c r="CD430" s="38"/>
      <c r="CE430" s="38"/>
      <c r="CF430" s="38"/>
      <c r="CG430" s="38"/>
      <c r="CH430" s="38"/>
      <c r="CI430" s="38"/>
      <c r="CJ430" s="38"/>
      <c r="CK430" s="38"/>
      <c r="CL430" s="38"/>
      <c r="CM430" s="38"/>
      <c r="CN430" s="38"/>
      <c r="CO430" s="38"/>
      <c r="CP430" s="38"/>
      <c r="CQ430" s="38"/>
      <c r="CR430" s="38"/>
      <c r="CS430" s="38"/>
      <c r="CT430" s="38"/>
      <c r="CU430" s="38"/>
      <c r="CV430" s="38"/>
      <c r="CW430" s="38"/>
      <c r="CX430" s="38"/>
      <c r="CY430" s="38"/>
      <c r="CZ430" s="38"/>
    </row>
    <row r="431" spans="1:104" s="40" customFormat="1" ht="20.149999999999999" customHeight="1">
      <c r="A431" s="358">
        <f t="shared" si="101"/>
        <v>430</v>
      </c>
      <c r="B431" s="359" t="str">
        <f>'Front Sheet and Checklist'!$C$5</f>
        <v>Swansea Bay UHB</v>
      </c>
      <c r="C431" s="17"/>
      <c r="D431" s="17"/>
      <c r="E431" s="17"/>
      <c r="F431" s="17"/>
      <c r="G431" s="17"/>
      <c r="H431" s="17"/>
      <c r="I431" s="361">
        <f t="shared" si="91"/>
        <v>0</v>
      </c>
      <c r="J431" s="17"/>
      <c r="K431" s="18"/>
      <c r="L431" s="18"/>
      <c r="M431" s="17"/>
      <c r="N431" s="17"/>
      <c r="O431" s="17"/>
      <c r="P431" s="17"/>
      <c r="Q431" s="169"/>
      <c r="R431" s="24"/>
      <c r="S431" s="24"/>
      <c r="T431" s="24"/>
      <c r="U431" s="25"/>
      <c r="V431" s="25"/>
      <c r="W431" s="25"/>
      <c r="X431" s="24"/>
      <c r="Y431" s="24"/>
      <c r="Z431" s="24"/>
      <c r="AA431" s="24"/>
      <c r="AB431" s="24"/>
      <c r="AC431" s="24"/>
      <c r="AD431" s="361">
        <f t="shared" si="90"/>
        <v>0</v>
      </c>
      <c r="AE431" s="359" t="str">
        <f t="shared" si="93"/>
        <v/>
      </c>
      <c r="AF431" s="359" t="str">
        <f t="shared" si="102"/>
        <v/>
      </c>
      <c r="AG431" s="359" t="str">
        <f t="shared" si="94"/>
        <v/>
      </c>
      <c r="AH431" s="359" t="str">
        <f t="shared" si="95"/>
        <v/>
      </c>
      <c r="AI431" s="359" t="str">
        <f t="shared" si="96"/>
        <v/>
      </c>
      <c r="AJ431" s="359" t="str">
        <f t="shared" si="97"/>
        <v/>
      </c>
      <c r="AK431" s="359" t="str">
        <f t="shared" si="99"/>
        <v/>
      </c>
      <c r="AL431" s="359" t="str">
        <f t="shared" si="98"/>
        <v/>
      </c>
      <c r="AM431" s="359" t="str">
        <f t="shared" si="100"/>
        <v/>
      </c>
      <c r="AN431" s="262">
        <f t="shared" si="103"/>
        <v>0</v>
      </c>
      <c r="AO431" s="262" t="str">
        <f>IFERROR(HLOOKUP(AN431,'Ref Lists'!Q$1:AL$2,2,FALSE),'Ref Lists'!$AK$2)</f>
        <v>Savings21</v>
      </c>
      <c r="AP431" s="38"/>
      <c r="AQ431" s="38">
        <f t="shared" si="92"/>
        <v>0</v>
      </c>
      <c r="AR431" s="38"/>
      <c r="AS431" s="38"/>
      <c r="AT431" s="38"/>
      <c r="AU431" s="38"/>
      <c r="AV431" s="38"/>
      <c r="AW431" s="38"/>
      <c r="AX431" s="38"/>
      <c r="AY431" s="38"/>
      <c r="AZ431" s="38"/>
      <c r="BA431" s="38"/>
      <c r="BB431" s="38"/>
      <c r="BC431" s="38"/>
      <c r="BD431" s="38"/>
      <c r="BE431" s="38"/>
      <c r="BF431" s="38"/>
      <c r="BG431" s="38"/>
      <c r="BH431" s="38"/>
      <c r="BI431" s="38"/>
      <c r="BJ431" s="38"/>
      <c r="BK431" s="38"/>
      <c r="BL431" s="38"/>
      <c r="BM431" s="38"/>
      <c r="BN431" s="38"/>
      <c r="BO431" s="38"/>
      <c r="BP431" s="38"/>
      <c r="BQ431" s="38"/>
      <c r="BR431" s="38"/>
      <c r="BS431" s="38"/>
      <c r="BT431" s="38"/>
      <c r="BU431" s="38"/>
      <c r="BV431" s="38"/>
      <c r="BW431" s="38"/>
      <c r="BX431" s="38"/>
      <c r="BY431" s="38"/>
      <c r="BZ431" s="38"/>
      <c r="CA431" s="38"/>
      <c r="CB431" s="38"/>
      <c r="CC431" s="38"/>
      <c r="CD431" s="38"/>
      <c r="CE431" s="38"/>
      <c r="CF431" s="38"/>
      <c r="CG431" s="38"/>
      <c r="CH431" s="38"/>
      <c r="CI431" s="38"/>
      <c r="CJ431" s="38"/>
      <c r="CK431" s="38"/>
      <c r="CL431" s="38"/>
      <c r="CM431" s="38"/>
      <c r="CN431" s="38"/>
      <c r="CO431" s="38"/>
      <c r="CP431" s="38"/>
      <c r="CQ431" s="38"/>
      <c r="CR431" s="38"/>
      <c r="CS431" s="38"/>
      <c r="CT431" s="38"/>
      <c r="CU431" s="38"/>
      <c r="CV431" s="38"/>
      <c r="CW431" s="38"/>
      <c r="CX431" s="38"/>
      <c r="CY431" s="38"/>
      <c r="CZ431" s="38"/>
    </row>
    <row r="432" spans="1:104" s="40" customFormat="1" ht="20.149999999999999" customHeight="1">
      <c r="A432" s="358">
        <f t="shared" si="101"/>
        <v>431</v>
      </c>
      <c r="B432" s="359" t="str">
        <f>'Front Sheet and Checklist'!$C$5</f>
        <v>Swansea Bay UHB</v>
      </c>
      <c r="C432" s="17"/>
      <c r="D432" s="17"/>
      <c r="E432" s="17"/>
      <c r="F432" s="17"/>
      <c r="G432" s="17"/>
      <c r="H432" s="17"/>
      <c r="I432" s="361">
        <f t="shared" si="91"/>
        <v>0</v>
      </c>
      <c r="J432" s="17"/>
      <c r="K432" s="18"/>
      <c r="L432" s="18"/>
      <c r="M432" s="17"/>
      <c r="N432" s="17"/>
      <c r="O432" s="17"/>
      <c r="P432" s="17"/>
      <c r="Q432" s="169"/>
      <c r="R432" s="24"/>
      <c r="S432" s="24"/>
      <c r="T432" s="24"/>
      <c r="U432" s="25"/>
      <c r="V432" s="25"/>
      <c r="W432" s="25"/>
      <c r="X432" s="24"/>
      <c r="Y432" s="24"/>
      <c r="Z432" s="24"/>
      <c r="AA432" s="24"/>
      <c r="AB432" s="24"/>
      <c r="AC432" s="24"/>
      <c r="AD432" s="361">
        <f t="shared" si="90"/>
        <v>0</v>
      </c>
      <c r="AE432" s="359" t="str">
        <f t="shared" si="93"/>
        <v/>
      </c>
      <c r="AF432" s="359" t="str">
        <f t="shared" si="102"/>
        <v/>
      </c>
      <c r="AG432" s="359" t="str">
        <f t="shared" si="94"/>
        <v/>
      </c>
      <c r="AH432" s="359" t="str">
        <f t="shared" si="95"/>
        <v/>
      </c>
      <c r="AI432" s="359" t="str">
        <f t="shared" si="96"/>
        <v/>
      </c>
      <c r="AJ432" s="359" t="str">
        <f t="shared" si="97"/>
        <v/>
      </c>
      <c r="AK432" s="359" t="str">
        <f t="shared" si="99"/>
        <v/>
      </c>
      <c r="AL432" s="359" t="str">
        <f t="shared" si="98"/>
        <v/>
      </c>
      <c r="AM432" s="359" t="str">
        <f t="shared" si="100"/>
        <v/>
      </c>
      <c r="AN432" s="262">
        <f t="shared" si="103"/>
        <v>0</v>
      </c>
      <c r="AO432" s="262" t="str">
        <f>IFERROR(HLOOKUP(AN432,'Ref Lists'!Q$1:AL$2,2,FALSE),'Ref Lists'!$AK$2)</f>
        <v>Savings21</v>
      </c>
      <c r="AP432" s="38"/>
      <c r="AQ432" s="38">
        <f t="shared" si="92"/>
        <v>0</v>
      </c>
      <c r="AR432" s="38"/>
      <c r="AS432" s="38"/>
      <c r="AT432" s="38"/>
      <c r="AU432" s="38"/>
      <c r="AV432" s="38"/>
      <c r="AW432" s="38"/>
      <c r="AX432" s="38"/>
      <c r="AY432" s="38"/>
      <c r="AZ432" s="38"/>
      <c r="BA432" s="38"/>
      <c r="BB432" s="38"/>
      <c r="BC432" s="38"/>
      <c r="BD432" s="38"/>
      <c r="BE432" s="38"/>
      <c r="BF432" s="38"/>
      <c r="BG432" s="38"/>
      <c r="BH432" s="38"/>
      <c r="BI432" s="38"/>
      <c r="BJ432" s="38"/>
      <c r="BK432" s="38"/>
      <c r="BL432" s="38"/>
      <c r="BM432" s="38"/>
      <c r="BN432" s="38"/>
      <c r="BO432" s="38"/>
      <c r="BP432" s="38"/>
      <c r="BQ432" s="38"/>
      <c r="BR432" s="38"/>
      <c r="BS432" s="38"/>
      <c r="BT432" s="38"/>
      <c r="BU432" s="38"/>
      <c r="BV432" s="38"/>
      <c r="BW432" s="38"/>
      <c r="BX432" s="38"/>
      <c r="BY432" s="38"/>
      <c r="BZ432" s="38"/>
      <c r="CA432" s="38"/>
      <c r="CB432" s="38"/>
      <c r="CC432" s="38"/>
      <c r="CD432" s="38"/>
      <c r="CE432" s="38"/>
      <c r="CF432" s="38"/>
      <c r="CG432" s="38"/>
      <c r="CH432" s="38"/>
      <c r="CI432" s="38"/>
      <c r="CJ432" s="38"/>
      <c r="CK432" s="38"/>
      <c r="CL432" s="38"/>
      <c r="CM432" s="38"/>
      <c r="CN432" s="38"/>
      <c r="CO432" s="38"/>
      <c r="CP432" s="38"/>
      <c r="CQ432" s="38"/>
      <c r="CR432" s="38"/>
      <c r="CS432" s="38"/>
      <c r="CT432" s="38"/>
      <c r="CU432" s="38"/>
      <c r="CV432" s="38"/>
      <c r="CW432" s="38"/>
      <c r="CX432" s="38"/>
      <c r="CY432" s="38"/>
      <c r="CZ432" s="38"/>
    </row>
    <row r="433" spans="1:104" s="40" customFormat="1" ht="20.149999999999999" customHeight="1">
      <c r="A433" s="358">
        <f t="shared" si="101"/>
        <v>432</v>
      </c>
      <c r="B433" s="359" t="str">
        <f>'Front Sheet and Checklist'!$C$5</f>
        <v>Swansea Bay UHB</v>
      </c>
      <c r="C433" s="17"/>
      <c r="D433" s="17"/>
      <c r="E433" s="17"/>
      <c r="F433" s="17"/>
      <c r="G433" s="17"/>
      <c r="H433" s="17"/>
      <c r="I433" s="361">
        <f t="shared" si="91"/>
        <v>0</v>
      </c>
      <c r="J433" s="17"/>
      <c r="K433" s="18"/>
      <c r="L433" s="18"/>
      <c r="M433" s="17"/>
      <c r="N433" s="17"/>
      <c r="O433" s="17"/>
      <c r="P433" s="17"/>
      <c r="Q433" s="169"/>
      <c r="R433" s="24"/>
      <c r="S433" s="24"/>
      <c r="T433" s="24"/>
      <c r="U433" s="25"/>
      <c r="V433" s="25"/>
      <c r="W433" s="25"/>
      <c r="X433" s="24"/>
      <c r="Y433" s="24"/>
      <c r="Z433" s="24"/>
      <c r="AA433" s="24"/>
      <c r="AB433" s="24"/>
      <c r="AC433" s="24"/>
      <c r="AD433" s="361">
        <f t="shared" si="90"/>
        <v>0</v>
      </c>
      <c r="AE433" s="359" t="str">
        <f t="shared" si="93"/>
        <v/>
      </c>
      <c r="AF433" s="359" t="str">
        <f t="shared" si="102"/>
        <v/>
      </c>
      <c r="AG433" s="359" t="str">
        <f t="shared" si="94"/>
        <v/>
      </c>
      <c r="AH433" s="359" t="str">
        <f t="shared" si="95"/>
        <v/>
      </c>
      <c r="AI433" s="359" t="str">
        <f t="shared" si="96"/>
        <v/>
      </c>
      <c r="AJ433" s="359" t="str">
        <f t="shared" si="97"/>
        <v/>
      </c>
      <c r="AK433" s="359" t="str">
        <f t="shared" si="99"/>
        <v/>
      </c>
      <c r="AL433" s="359" t="str">
        <f t="shared" si="98"/>
        <v/>
      </c>
      <c r="AM433" s="359" t="str">
        <f t="shared" si="100"/>
        <v/>
      </c>
      <c r="AN433" s="262">
        <f t="shared" si="103"/>
        <v>0</v>
      </c>
      <c r="AO433" s="262" t="str">
        <f>IFERROR(HLOOKUP(AN433,'Ref Lists'!Q$1:AL$2,2,FALSE),'Ref Lists'!$AK$2)</f>
        <v>Savings21</v>
      </c>
      <c r="AP433" s="38"/>
      <c r="AQ433" s="38">
        <f t="shared" si="92"/>
        <v>0</v>
      </c>
      <c r="AR433" s="38"/>
      <c r="AS433" s="38"/>
      <c r="AT433" s="38"/>
      <c r="AU433" s="38"/>
      <c r="AV433" s="38"/>
      <c r="AW433" s="38"/>
      <c r="AX433" s="38"/>
      <c r="AY433" s="38"/>
      <c r="AZ433" s="38"/>
      <c r="BA433" s="38"/>
      <c r="BB433" s="38"/>
      <c r="BC433" s="38"/>
      <c r="BD433" s="38"/>
      <c r="BE433" s="38"/>
      <c r="BF433" s="38"/>
      <c r="BG433" s="38"/>
      <c r="BH433" s="38"/>
      <c r="BI433" s="38"/>
      <c r="BJ433" s="38"/>
      <c r="BK433" s="38"/>
      <c r="BL433" s="38"/>
      <c r="BM433" s="38"/>
      <c r="BN433" s="38"/>
      <c r="BO433" s="38"/>
      <c r="BP433" s="38"/>
      <c r="BQ433" s="38"/>
      <c r="BR433" s="38"/>
      <c r="BS433" s="38"/>
      <c r="BT433" s="38"/>
      <c r="BU433" s="38"/>
      <c r="BV433" s="38"/>
      <c r="BW433" s="38"/>
      <c r="BX433" s="38"/>
      <c r="BY433" s="38"/>
      <c r="BZ433" s="38"/>
      <c r="CA433" s="38"/>
      <c r="CB433" s="38"/>
      <c r="CC433" s="38"/>
      <c r="CD433" s="38"/>
      <c r="CE433" s="38"/>
      <c r="CF433" s="38"/>
      <c r="CG433" s="38"/>
      <c r="CH433" s="38"/>
      <c r="CI433" s="38"/>
      <c r="CJ433" s="38"/>
      <c r="CK433" s="38"/>
      <c r="CL433" s="38"/>
      <c r="CM433" s="38"/>
      <c r="CN433" s="38"/>
      <c r="CO433" s="38"/>
      <c r="CP433" s="38"/>
      <c r="CQ433" s="38"/>
      <c r="CR433" s="38"/>
      <c r="CS433" s="38"/>
      <c r="CT433" s="38"/>
      <c r="CU433" s="38"/>
      <c r="CV433" s="38"/>
      <c r="CW433" s="38"/>
      <c r="CX433" s="38"/>
      <c r="CY433" s="38"/>
      <c r="CZ433" s="38"/>
    </row>
    <row r="434" spans="1:104" s="40" customFormat="1" ht="20.149999999999999" customHeight="1">
      <c r="A434" s="358">
        <f t="shared" si="101"/>
        <v>433</v>
      </c>
      <c r="B434" s="359" t="str">
        <f>'Front Sheet and Checklist'!$C$5</f>
        <v>Swansea Bay UHB</v>
      </c>
      <c r="C434" s="17"/>
      <c r="D434" s="17"/>
      <c r="E434" s="17"/>
      <c r="F434" s="17"/>
      <c r="G434" s="17"/>
      <c r="H434" s="17"/>
      <c r="I434" s="361">
        <f t="shared" si="91"/>
        <v>0</v>
      </c>
      <c r="J434" s="17"/>
      <c r="K434" s="18"/>
      <c r="L434" s="18"/>
      <c r="M434" s="17"/>
      <c r="N434" s="17"/>
      <c r="O434" s="17"/>
      <c r="P434" s="17"/>
      <c r="Q434" s="169"/>
      <c r="R434" s="24"/>
      <c r="S434" s="24"/>
      <c r="T434" s="24"/>
      <c r="U434" s="25"/>
      <c r="V434" s="25"/>
      <c r="W434" s="25"/>
      <c r="X434" s="24"/>
      <c r="Y434" s="24"/>
      <c r="Z434" s="24"/>
      <c r="AA434" s="24"/>
      <c r="AB434" s="24"/>
      <c r="AC434" s="24"/>
      <c r="AD434" s="361">
        <f t="shared" si="90"/>
        <v>0</v>
      </c>
      <c r="AE434" s="359" t="str">
        <f t="shared" si="93"/>
        <v/>
      </c>
      <c r="AF434" s="359" t="str">
        <f t="shared" si="102"/>
        <v/>
      </c>
      <c r="AG434" s="359" t="str">
        <f t="shared" si="94"/>
        <v/>
      </c>
      <c r="AH434" s="359" t="str">
        <f t="shared" si="95"/>
        <v/>
      </c>
      <c r="AI434" s="359" t="str">
        <f t="shared" si="96"/>
        <v/>
      </c>
      <c r="AJ434" s="359" t="str">
        <f t="shared" si="97"/>
        <v/>
      </c>
      <c r="AK434" s="359" t="str">
        <f t="shared" si="99"/>
        <v/>
      </c>
      <c r="AL434" s="359" t="str">
        <f t="shared" si="98"/>
        <v/>
      </c>
      <c r="AM434" s="359" t="str">
        <f t="shared" si="100"/>
        <v/>
      </c>
      <c r="AN434" s="262">
        <f t="shared" si="103"/>
        <v>0</v>
      </c>
      <c r="AO434" s="262" t="str">
        <f>IFERROR(HLOOKUP(AN434,'Ref Lists'!Q$1:AL$2,2,FALSE),'Ref Lists'!$AK$2)</f>
        <v>Savings21</v>
      </c>
      <c r="AP434" s="38"/>
      <c r="AQ434" s="38">
        <f t="shared" si="92"/>
        <v>0</v>
      </c>
      <c r="AR434" s="38"/>
      <c r="AS434" s="38"/>
      <c r="AT434" s="38"/>
      <c r="AU434" s="38"/>
      <c r="AV434" s="38"/>
      <c r="AW434" s="38"/>
      <c r="AX434" s="38"/>
      <c r="AY434" s="38"/>
      <c r="AZ434" s="38"/>
      <c r="BA434" s="38"/>
      <c r="BB434" s="38"/>
      <c r="BC434" s="38"/>
      <c r="BD434" s="38"/>
      <c r="BE434" s="38"/>
      <c r="BF434" s="38"/>
      <c r="BG434" s="38"/>
      <c r="BH434" s="38"/>
      <c r="BI434" s="38"/>
      <c r="BJ434" s="38"/>
      <c r="BK434" s="38"/>
      <c r="BL434" s="38"/>
      <c r="BM434" s="38"/>
      <c r="BN434" s="38"/>
      <c r="BO434" s="38"/>
      <c r="BP434" s="38"/>
      <c r="BQ434" s="38"/>
      <c r="BR434" s="38"/>
      <c r="BS434" s="38"/>
      <c r="BT434" s="38"/>
      <c r="BU434" s="38"/>
      <c r="BV434" s="38"/>
      <c r="BW434" s="38"/>
      <c r="BX434" s="38"/>
      <c r="BY434" s="38"/>
      <c r="BZ434" s="38"/>
      <c r="CA434" s="38"/>
      <c r="CB434" s="38"/>
      <c r="CC434" s="38"/>
      <c r="CD434" s="38"/>
      <c r="CE434" s="38"/>
      <c r="CF434" s="38"/>
      <c r="CG434" s="38"/>
      <c r="CH434" s="38"/>
      <c r="CI434" s="38"/>
      <c r="CJ434" s="38"/>
      <c r="CK434" s="38"/>
      <c r="CL434" s="38"/>
      <c r="CM434" s="38"/>
      <c r="CN434" s="38"/>
      <c r="CO434" s="38"/>
      <c r="CP434" s="38"/>
      <c r="CQ434" s="38"/>
      <c r="CR434" s="38"/>
      <c r="CS434" s="38"/>
      <c r="CT434" s="38"/>
      <c r="CU434" s="38"/>
      <c r="CV434" s="38"/>
      <c r="CW434" s="38"/>
      <c r="CX434" s="38"/>
      <c r="CY434" s="38"/>
      <c r="CZ434" s="38"/>
    </row>
    <row r="435" spans="1:104" s="40" customFormat="1" ht="20.149999999999999" customHeight="1">
      <c r="A435" s="358">
        <f t="shared" si="101"/>
        <v>434</v>
      </c>
      <c r="B435" s="359" t="str">
        <f>'Front Sheet and Checklist'!$C$5</f>
        <v>Swansea Bay UHB</v>
      </c>
      <c r="C435" s="17"/>
      <c r="D435" s="17"/>
      <c r="E435" s="17"/>
      <c r="F435" s="17"/>
      <c r="G435" s="17"/>
      <c r="H435" s="17"/>
      <c r="I435" s="361">
        <f t="shared" si="91"/>
        <v>0</v>
      </c>
      <c r="J435" s="17"/>
      <c r="K435" s="18"/>
      <c r="L435" s="18"/>
      <c r="M435" s="17"/>
      <c r="N435" s="17"/>
      <c r="O435" s="17"/>
      <c r="P435" s="17"/>
      <c r="Q435" s="169"/>
      <c r="R435" s="24"/>
      <c r="S435" s="24"/>
      <c r="T435" s="24"/>
      <c r="U435" s="25"/>
      <c r="V435" s="25"/>
      <c r="W435" s="25"/>
      <c r="X435" s="24"/>
      <c r="Y435" s="24"/>
      <c r="Z435" s="24"/>
      <c r="AA435" s="24"/>
      <c r="AB435" s="24"/>
      <c r="AC435" s="24"/>
      <c r="AD435" s="361">
        <f t="shared" si="90"/>
        <v>0</v>
      </c>
      <c r="AE435" s="359" t="str">
        <f t="shared" si="93"/>
        <v/>
      </c>
      <c r="AF435" s="359" t="str">
        <f t="shared" si="102"/>
        <v/>
      </c>
      <c r="AG435" s="359" t="str">
        <f t="shared" si="94"/>
        <v/>
      </c>
      <c r="AH435" s="359" t="str">
        <f t="shared" si="95"/>
        <v/>
      </c>
      <c r="AI435" s="359" t="str">
        <f t="shared" si="96"/>
        <v/>
      </c>
      <c r="AJ435" s="359" t="str">
        <f t="shared" si="97"/>
        <v/>
      </c>
      <c r="AK435" s="359" t="str">
        <f t="shared" si="99"/>
        <v/>
      </c>
      <c r="AL435" s="359" t="str">
        <f t="shared" si="98"/>
        <v/>
      </c>
      <c r="AM435" s="359" t="str">
        <f t="shared" si="100"/>
        <v/>
      </c>
      <c r="AN435" s="262">
        <f t="shared" si="103"/>
        <v>0</v>
      </c>
      <c r="AO435" s="262" t="str">
        <f>IFERROR(HLOOKUP(AN435,'Ref Lists'!Q$1:AL$2,2,FALSE),'Ref Lists'!$AK$2)</f>
        <v>Savings21</v>
      </c>
      <c r="AP435" s="38"/>
      <c r="AQ435" s="38">
        <f t="shared" si="92"/>
        <v>0</v>
      </c>
      <c r="AR435" s="38"/>
      <c r="AS435" s="38"/>
      <c r="AT435" s="38"/>
      <c r="AU435" s="38"/>
      <c r="AV435" s="38"/>
      <c r="AW435" s="38"/>
      <c r="AX435" s="38"/>
      <c r="AY435" s="38"/>
      <c r="AZ435" s="38"/>
      <c r="BA435" s="38"/>
      <c r="BB435" s="38"/>
      <c r="BC435" s="38"/>
      <c r="BD435" s="38"/>
      <c r="BE435" s="38"/>
      <c r="BF435" s="38"/>
      <c r="BG435" s="38"/>
      <c r="BH435" s="38"/>
      <c r="BI435" s="38"/>
      <c r="BJ435" s="38"/>
      <c r="BK435" s="38"/>
      <c r="BL435" s="38"/>
      <c r="BM435" s="38"/>
      <c r="BN435" s="38"/>
      <c r="BO435" s="38"/>
      <c r="BP435" s="38"/>
      <c r="BQ435" s="38"/>
      <c r="BR435" s="38"/>
      <c r="BS435" s="38"/>
      <c r="BT435" s="38"/>
      <c r="BU435" s="38"/>
      <c r="BV435" s="38"/>
      <c r="BW435" s="38"/>
      <c r="BX435" s="38"/>
      <c r="BY435" s="38"/>
      <c r="BZ435" s="38"/>
      <c r="CA435" s="38"/>
      <c r="CB435" s="38"/>
      <c r="CC435" s="38"/>
      <c r="CD435" s="38"/>
      <c r="CE435" s="38"/>
      <c r="CF435" s="38"/>
      <c r="CG435" s="38"/>
      <c r="CH435" s="38"/>
      <c r="CI435" s="38"/>
      <c r="CJ435" s="38"/>
      <c r="CK435" s="38"/>
      <c r="CL435" s="38"/>
      <c r="CM435" s="38"/>
      <c r="CN435" s="38"/>
      <c r="CO435" s="38"/>
      <c r="CP435" s="38"/>
      <c r="CQ435" s="38"/>
      <c r="CR435" s="38"/>
      <c r="CS435" s="38"/>
      <c r="CT435" s="38"/>
      <c r="CU435" s="38"/>
      <c r="CV435" s="38"/>
      <c r="CW435" s="38"/>
      <c r="CX435" s="38"/>
      <c r="CY435" s="38"/>
      <c r="CZ435" s="38"/>
    </row>
    <row r="436" spans="1:104" s="40" customFormat="1" ht="20.149999999999999" customHeight="1">
      <c r="A436" s="358">
        <f t="shared" si="101"/>
        <v>435</v>
      </c>
      <c r="B436" s="359" t="str">
        <f>'Front Sheet and Checklist'!$C$5</f>
        <v>Swansea Bay UHB</v>
      </c>
      <c r="C436" s="17"/>
      <c r="D436" s="17"/>
      <c r="E436" s="17"/>
      <c r="F436" s="17"/>
      <c r="G436" s="17"/>
      <c r="H436" s="17"/>
      <c r="I436" s="361">
        <f t="shared" si="91"/>
        <v>0</v>
      </c>
      <c r="J436" s="17"/>
      <c r="K436" s="18"/>
      <c r="L436" s="18"/>
      <c r="M436" s="17"/>
      <c r="N436" s="17"/>
      <c r="O436" s="17"/>
      <c r="P436" s="17"/>
      <c r="Q436" s="169"/>
      <c r="R436" s="24"/>
      <c r="S436" s="24"/>
      <c r="T436" s="24"/>
      <c r="U436" s="25"/>
      <c r="V436" s="25"/>
      <c r="W436" s="25"/>
      <c r="X436" s="24"/>
      <c r="Y436" s="24"/>
      <c r="Z436" s="24"/>
      <c r="AA436" s="24"/>
      <c r="AB436" s="24"/>
      <c r="AC436" s="24"/>
      <c r="AD436" s="361">
        <f t="shared" si="90"/>
        <v>0</v>
      </c>
      <c r="AE436" s="359" t="str">
        <f t="shared" si="93"/>
        <v/>
      </c>
      <c r="AF436" s="359" t="str">
        <f t="shared" si="102"/>
        <v/>
      </c>
      <c r="AG436" s="359" t="str">
        <f t="shared" si="94"/>
        <v/>
      </c>
      <c r="AH436" s="359" t="str">
        <f t="shared" si="95"/>
        <v/>
      </c>
      <c r="AI436" s="359" t="str">
        <f t="shared" si="96"/>
        <v/>
      </c>
      <c r="AJ436" s="359" t="str">
        <f t="shared" si="97"/>
        <v/>
      </c>
      <c r="AK436" s="359" t="str">
        <f t="shared" si="99"/>
        <v/>
      </c>
      <c r="AL436" s="359" t="str">
        <f t="shared" si="98"/>
        <v/>
      </c>
      <c r="AM436" s="359" t="str">
        <f t="shared" si="100"/>
        <v/>
      </c>
      <c r="AN436" s="262">
        <f t="shared" si="103"/>
        <v>0</v>
      </c>
      <c r="AO436" s="262" t="str">
        <f>IFERROR(HLOOKUP(AN436,'Ref Lists'!Q$1:AL$2,2,FALSE),'Ref Lists'!$AK$2)</f>
        <v>Savings21</v>
      </c>
      <c r="AP436" s="38"/>
      <c r="AQ436" s="38">
        <f t="shared" si="92"/>
        <v>0</v>
      </c>
      <c r="AR436" s="38"/>
      <c r="AS436" s="38"/>
      <c r="AT436" s="38"/>
      <c r="AU436" s="38"/>
      <c r="AV436" s="38"/>
      <c r="AW436" s="38"/>
      <c r="AX436" s="38"/>
      <c r="AY436" s="38"/>
      <c r="AZ436" s="38"/>
      <c r="BA436" s="38"/>
      <c r="BB436" s="38"/>
      <c r="BC436" s="38"/>
      <c r="BD436" s="38"/>
      <c r="BE436" s="38"/>
      <c r="BF436" s="38"/>
      <c r="BG436" s="38"/>
      <c r="BH436" s="38"/>
      <c r="BI436" s="38"/>
      <c r="BJ436" s="38"/>
      <c r="BK436" s="38"/>
      <c r="BL436" s="38"/>
      <c r="BM436" s="38"/>
      <c r="BN436" s="38"/>
      <c r="BO436" s="38"/>
      <c r="BP436" s="38"/>
      <c r="BQ436" s="38"/>
      <c r="BR436" s="38"/>
      <c r="BS436" s="38"/>
      <c r="BT436" s="38"/>
      <c r="BU436" s="38"/>
      <c r="BV436" s="38"/>
      <c r="BW436" s="38"/>
      <c r="BX436" s="38"/>
      <c r="BY436" s="38"/>
      <c r="BZ436" s="38"/>
      <c r="CA436" s="38"/>
      <c r="CB436" s="38"/>
      <c r="CC436" s="38"/>
      <c r="CD436" s="38"/>
      <c r="CE436" s="38"/>
      <c r="CF436" s="38"/>
      <c r="CG436" s="38"/>
      <c r="CH436" s="38"/>
      <c r="CI436" s="38"/>
      <c r="CJ436" s="38"/>
      <c r="CK436" s="38"/>
      <c r="CL436" s="38"/>
      <c r="CM436" s="38"/>
      <c r="CN436" s="38"/>
      <c r="CO436" s="38"/>
      <c r="CP436" s="38"/>
      <c r="CQ436" s="38"/>
      <c r="CR436" s="38"/>
      <c r="CS436" s="38"/>
      <c r="CT436" s="38"/>
      <c r="CU436" s="38"/>
      <c r="CV436" s="38"/>
      <c r="CW436" s="38"/>
      <c r="CX436" s="38"/>
      <c r="CY436" s="38"/>
      <c r="CZ436" s="38"/>
    </row>
    <row r="437" spans="1:104" s="40" customFormat="1" ht="20.149999999999999" customHeight="1">
      <c r="A437" s="358">
        <f t="shared" si="101"/>
        <v>436</v>
      </c>
      <c r="B437" s="359" t="str">
        <f>'Front Sheet and Checklist'!$C$5</f>
        <v>Swansea Bay UHB</v>
      </c>
      <c r="C437" s="17"/>
      <c r="D437" s="17"/>
      <c r="E437" s="17"/>
      <c r="F437" s="17"/>
      <c r="G437" s="17"/>
      <c r="H437" s="17"/>
      <c r="I437" s="361">
        <f t="shared" si="91"/>
        <v>0</v>
      </c>
      <c r="J437" s="17"/>
      <c r="K437" s="18"/>
      <c r="L437" s="18"/>
      <c r="M437" s="17"/>
      <c r="N437" s="17"/>
      <c r="O437" s="17"/>
      <c r="P437" s="17"/>
      <c r="Q437" s="169"/>
      <c r="R437" s="24"/>
      <c r="S437" s="24"/>
      <c r="T437" s="24"/>
      <c r="U437" s="25"/>
      <c r="V437" s="25"/>
      <c r="W437" s="25"/>
      <c r="X437" s="24"/>
      <c r="Y437" s="24"/>
      <c r="Z437" s="24"/>
      <c r="AA437" s="24"/>
      <c r="AB437" s="24"/>
      <c r="AC437" s="24"/>
      <c r="AD437" s="361">
        <f t="shared" si="90"/>
        <v>0</v>
      </c>
      <c r="AE437" s="359" t="str">
        <f t="shared" si="93"/>
        <v/>
      </c>
      <c r="AF437" s="359" t="str">
        <f t="shared" si="102"/>
        <v/>
      </c>
      <c r="AG437" s="359" t="str">
        <f t="shared" si="94"/>
        <v/>
      </c>
      <c r="AH437" s="359" t="str">
        <f t="shared" si="95"/>
        <v/>
      </c>
      <c r="AI437" s="359" t="str">
        <f t="shared" si="96"/>
        <v/>
      </c>
      <c r="AJ437" s="359" t="str">
        <f t="shared" si="97"/>
        <v/>
      </c>
      <c r="AK437" s="359" t="str">
        <f t="shared" si="99"/>
        <v/>
      </c>
      <c r="AL437" s="359" t="str">
        <f t="shared" si="98"/>
        <v/>
      </c>
      <c r="AM437" s="359" t="str">
        <f t="shared" si="100"/>
        <v/>
      </c>
      <c r="AN437" s="262">
        <f t="shared" si="103"/>
        <v>0</v>
      </c>
      <c r="AO437" s="262" t="str">
        <f>IFERROR(HLOOKUP(AN437,'Ref Lists'!Q$1:AL$2,2,FALSE),'Ref Lists'!$AK$2)</f>
        <v>Savings21</v>
      </c>
      <c r="AP437" s="38"/>
      <c r="AQ437" s="38">
        <f t="shared" si="92"/>
        <v>0</v>
      </c>
      <c r="AR437" s="38"/>
      <c r="AS437" s="38"/>
      <c r="AT437" s="38"/>
      <c r="AU437" s="38"/>
      <c r="AV437" s="38"/>
      <c r="AW437" s="38"/>
      <c r="AX437" s="38"/>
      <c r="AY437" s="38"/>
      <c r="AZ437" s="38"/>
      <c r="BA437" s="38"/>
      <c r="BB437" s="38"/>
      <c r="BC437" s="38"/>
      <c r="BD437" s="38"/>
      <c r="BE437" s="38"/>
      <c r="BF437" s="38"/>
      <c r="BG437" s="38"/>
      <c r="BH437" s="38"/>
      <c r="BI437" s="38"/>
      <c r="BJ437" s="38"/>
      <c r="BK437" s="38"/>
      <c r="BL437" s="38"/>
      <c r="BM437" s="38"/>
      <c r="BN437" s="38"/>
      <c r="BO437" s="38"/>
      <c r="BP437" s="38"/>
      <c r="BQ437" s="38"/>
      <c r="BR437" s="38"/>
      <c r="BS437" s="38"/>
      <c r="BT437" s="38"/>
      <c r="BU437" s="38"/>
      <c r="BV437" s="38"/>
      <c r="BW437" s="38"/>
      <c r="BX437" s="38"/>
      <c r="BY437" s="38"/>
      <c r="BZ437" s="38"/>
      <c r="CA437" s="38"/>
      <c r="CB437" s="38"/>
      <c r="CC437" s="38"/>
      <c r="CD437" s="38"/>
      <c r="CE437" s="38"/>
      <c r="CF437" s="38"/>
      <c r="CG437" s="38"/>
      <c r="CH437" s="38"/>
      <c r="CI437" s="38"/>
      <c r="CJ437" s="38"/>
      <c r="CK437" s="38"/>
      <c r="CL437" s="38"/>
      <c r="CM437" s="38"/>
      <c r="CN437" s="38"/>
      <c r="CO437" s="38"/>
      <c r="CP437" s="38"/>
      <c r="CQ437" s="38"/>
      <c r="CR437" s="38"/>
      <c r="CS437" s="38"/>
      <c r="CT437" s="38"/>
      <c r="CU437" s="38"/>
      <c r="CV437" s="38"/>
      <c r="CW437" s="38"/>
      <c r="CX437" s="38"/>
      <c r="CY437" s="38"/>
      <c r="CZ437" s="38"/>
    </row>
    <row r="438" spans="1:104" s="40" customFormat="1" ht="20.149999999999999" customHeight="1">
      <c r="A438" s="358">
        <f t="shared" si="101"/>
        <v>437</v>
      </c>
      <c r="B438" s="359" t="str">
        <f>'Front Sheet and Checklist'!$C$5</f>
        <v>Swansea Bay UHB</v>
      </c>
      <c r="C438" s="17"/>
      <c r="D438" s="17"/>
      <c r="E438" s="17"/>
      <c r="F438" s="17"/>
      <c r="G438" s="17"/>
      <c r="H438" s="17"/>
      <c r="I438" s="361">
        <f t="shared" si="91"/>
        <v>0</v>
      </c>
      <c r="J438" s="17"/>
      <c r="K438" s="18"/>
      <c r="L438" s="18"/>
      <c r="M438" s="17"/>
      <c r="N438" s="17"/>
      <c r="O438" s="17"/>
      <c r="P438" s="17"/>
      <c r="Q438" s="169"/>
      <c r="R438" s="24"/>
      <c r="S438" s="24"/>
      <c r="T438" s="24"/>
      <c r="U438" s="25"/>
      <c r="V438" s="25"/>
      <c r="W438" s="25"/>
      <c r="X438" s="24"/>
      <c r="Y438" s="24"/>
      <c r="Z438" s="24"/>
      <c r="AA438" s="24"/>
      <c r="AB438" s="24"/>
      <c r="AC438" s="24"/>
      <c r="AD438" s="361">
        <f t="shared" si="90"/>
        <v>0</v>
      </c>
      <c r="AE438" s="359" t="str">
        <f t="shared" si="93"/>
        <v/>
      </c>
      <c r="AF438" s="359" t="str">
        <f t="shared" si="102"/>
        <v/>
      </c>
      <c r="AG438" s="359" t="str">
        <f t="shared" si="94"/>
        <v/>
      </c>
      <c r="AH438" s="359" t="str">
        <f t="shared" si="95"/>
        <v/>
      </c>
      <c r="AI438" s="359" t="str">
        <f t="shared" si="96"/>
        <v/>
      </c>
      <c r="AJ438" s="359" t="str">
        <f t="shared" si="97"/>
        <v/>
      </c>
      <c r="AK438" s="359" t="str">
        <f t="shared" si="99"/>
        <v/>
      </c>
      <c r="AL438" s="359" t="str">
        <f t="shared" si="98"/>
        <v/>
      </c>
      <c r="AM438" s="359" t="str">
        <f t="shared" si="100"/>
        <v/>
      </c>
      <c r="AN438" s="262">
        <f t="shared" si="103"/>
        <v>0</v>
      </c>
      <c r="AO438" s="262" t="str">
        <f>IFERROR(HLOOKUP(AN438,'Ref Lists'!Q$1:AL$2,2,FALSE),'Ref Lists'!$AK$2)</f>
        <v>Savings21</v>
      </c>
      <c r="AP438" s="38"/>
      <c r="AQ438" s="38">
        <f t="shared" si="92"/>
        <v>0</v>
      </c>
      <c r="AR438" s="38"/>
      <c r="AS438" s="38"/>
      <c r="AT438" s="38"/>
      <c r="AU438" s="38"/>
      <c r="AV438" s="38"/>
      <c r="AW438" s="38"/>
      <c r="AX438" s="38"/>
      <c r="AY438" s="38"/>
      <c r="AZ438" s="38"/>
      <c r="BA438" s="38"/>
      <c r="BB438" s="38"/>
      <c r="BC438" s="38"/>
      <c r="BD438" s="38"/>
      <c r="BE438" s="38"/>
      <c r="BF438" s="38"/>
      <c r="BG438" s="38"/>
      <c r="BH438" s="38"/>
      <c r="BI438" s="38"/>
      <c r="BJ438" s="38"/>
      <c r="BK438" s="38"/>
      <c r="BL438" s="38"/>
      <c r="BM438" s="38"/>
      <c r="BN438" s="38"/>
      <c r="BO438" s="38"/>
      <c r="BP438" s="38"/>
      <c r="BQ438" s="38"/>
      <c r="BR438" s="38"/>
      <c r="BS438" s="38"/>
      <c r="BT438" s="38"/>
      <c r="BU438" s="38"/>
      <c r="BV438" s="38"/>
      <c r="BW438" s="38"/>
      <c r="BX438" s="38"/>
      <c r="BY438" s="38"/>
      <c r="BZ438" s="38"/>
      <c r="CA438" s="38"/>
      <c r="CB438" s="38"/>
      <c r="CC438" s="38"/>
      <c r="CD438" s="38"/>
      <c r="CE438" s="38"/>
      <c r="CF438" s="38"/>
      <c r="CG438" s="38"/>
      <c r="CH438" s="38"/>
      <c r="CI438" s="38"/>
      <c r="CJ438" s="38"/>
      <c r="CK438" s="38"/>
      <c r="CL438" s="38"/>
      <c r="CM438" s="38"/>
      <c r="CN438" s="38"/>
      <c r="CO438" s="38"/>
      <c r="CP438" s="38"/>
      <c r="CQ438" s="38"/>
      <c r="CR438" s="38"/>
      <c r="CS438" s="38"/>
      <c r="CT438" s="38"/>
      <c r="CU438" s="38"/>
      <c r="CV438" s="38"/>
      <c r="CW438" s="38"/>
      <c r="CX438" s="38"/>
      <c r="CY438" s="38"/>
      <c r="CZ438" s="38"/>
    </row>
    <row r="439" spans="1:104" s="40" customFormat="1" ht="20.149999999999999" customHeight="1">
      <c r="A439" s="358">
        <f t="shared" si="101"/>
        <v>438</v>
      </c>
      <c r="B439" s="359" t="str">
        <f>'Front Sheet and Checklist'!$C$5</f>
        <v>Swansea Bay UHB</v>
      </c>
      <c r="C439" s="17"/>
      <c r="D439" s="17"/>
      <c r="E439" s="17"/>
      <c r="F439" s="17"/>
      <c r="G439" s="17"/>
      <c r="H439" s="17"/>
      <c r="I439" s="361">
        <f t="shared" si="91"/>
        <v>0</v>
      </c>
      <c r="J439" s="17"/>
      <c r="K439" s="18"/>
      <c r="L439" s="18"/>
      <c r="M439" s="17"/>
      <c r="N439" s="17"/>
      <c r="O439" s="17"/>
      <c r="P439" s="17"/>
      <c r="Q439" s="169"/>
      <c r="R439" s="24"/>
      <c r="S439" s="24"/>
      <c r="T439" s="24"/>
      <c r="U439" s="25"/>
      <c r="V439" s="25"/>
      <c r="W439" s="25"/>
      <c r="X439" s="24"/>
      <c r="Y439" s="24"/>
      <c r="Z439" s="24"/>
      <c r="AA439" s="24"/>
      <c r="AB439" s="24"/>
      <c r="AC439" s="24"/>
      <c r="AD439" s="361">
        <f t="shared" si="90"/>
        <v>0</v>
      </c>
      <c r="AE439" s="359" t="str">
        <f t="shared" si="93"/>
        <v/>
      </c>
      <c r="AF439" s="359" t="str">
        <f t="shared" si="102"/>
        <v/>
      </c>
      <c r="AG439" s="359" t="str">
        <f t="shared" si="94"/>
        <v/>
      </c>
      <c r="AH439" s="359" t="str">
        <f t="shared" si="95"/>
        <v/>
      </c>
      <c r="AI439" s="359" t="str">
        <f t="shared" si="96"/>
        <v/>
      </c>
      <c r="AJ439" s="359" t="str">
        <f t="shared" si="97"/>
        <v/>
      </c>
      <c r="AK439" s="359" t="str">
        <f t="shared" si="99"/>
        <v/>
      </c>
      <c r="AL439" s="359" t="str">
        <f t="shared" si="98"/>
        <v/>
      </c>
      <c r="AM439" s="359" t="str">
        <f t="shared" si="100"/>
        <v/>
      </c>
      <c r="AN439" s="262">
        <f t="shared" si="103"/>
        <v>0</v>
      </c>
      <c r="AO439" s="262" t="str">
        <f>IFERROR(HLOOKUP(AN439,'Ref Lists'!Q$1:AL$2,2,FALSE),'Ref Lists'!$AK$2)</f>
        <v>Savings21</v>
      </c>
      <c r="AP439" s="38"/>
      <c r="AQ439" s="38">
        <f t="shared" si="92"/>
        <v>0</v>
      </c>
      <c r="AR439" s="38"/>
      <c r="AS439" s="38"/>
      <c r="AT439" s="38"/>
      <c r="AU439" s="38"/>
      <c r="AV439" s="38"/>
      <c r="AW439" s="38"/>
      <c r="AX439" s="38"/>
      <c r="AY439" s="38"/>
      <c r="AZ439" s="38"/>
      <c r="BA439" s="38"/>
      <c r="BB439" s="38"/>
      <c r="BC439" s="38"/>
      <c r="BD439" s="38"/>
      <c r="BE439" s="38"/>
      <c r="BF439" s="38"/>
      <c r="BG439" s="38"/>
      <c r="BH439" s="38"/>
      <c r="BI439" s="38"/>
      <c r="BJ439" s="38"/>
      <c r="BK439" s="38"/>
      <c r="BL439" s="38"/>
      <c r="BM439" s="38"/>
      <c r="BN439" s="38"/>
      <c r="BO439" s="38"/>
      <c r="BP439" s="38"/>
      <c r="BQ439" s="38"/>
      <c r="BR439" s="38"/>
      <c r="BS439" s="38"/>
      <c r="BT439" s="38"/>
      <c r="BU439" s="38"/>
      <c r="BV439" s="38"/>
      <c r="BW439" s="38"/>
      <c r="BX439" s="38"/>
      <c r="BY439" s="38"/>
      <c r="BZ439" s="38"/>
      <c r="CA439" s="38"/>
      <c r="CB439" s="38"/>
      <c r="CC439" s="38"/>
      <c r="CD439" s="38"/>
      <c r="CE439" s="38"/>
      <c r="CF439" s="38"/>
      <c r="CG439" s="38"/>
      <c r="CH439" s="38"/>
      <c r="CI439" s="38"/>
      <c r="CJ439" s="38"/>
      <c r="CK439" s="38"/>
      <c r="CL439" s="38"/>
      <c r="CM439" s="38"/>
      <c r="CN439" s="38"/>
      <c r="CO439" s="38"/>
      <c r="CP439" s="38"/>
      <c r="CQ439" s="38"/>
      <c r="CR439" s="38"/>
      <c r="CS439" s="38"/>
      <c r="CT439" s="38"/>
      <c r="CU439" s="38"/>
      <c r="CV439" s="38"/>
      <c r="CW439" s="38"/>
      <c r="CX439" s="38"/>
      <c r="CY439" s="38"/>
      <c r="CZ439" s="38"/>
    </row>
    <row r="440" spans="1:104" s="40" customFormat="1" ht="20.149999999999999" customHeight="1">
      <c r="A440" s="358">
        <f t="shared" si="101"/>
        <v>439</v>
      </c>
      <c r="B440" s="359" t="str">
        <f>'Front Sheet and Checklist'!$C$5</f>
        <v>Swansea Bay UHB</v>
      </c>
      <c r="C440" s="17"/>
      <c r="D440" s="17"/>
      <c r="E440" s="17"/>
      <c r="F440" s="17"/>
      <c r="G440" s="17"/>
      <c r="H440" s="17"/>
      <c r="I440" s="361">
        <f t="shared" si="91"/>
        <v>0</v>
      </c>
      <c r="J440" s="17"/>
      <c r="K440" s="18"/>
      <c r="L440" s="18"/>
      <c r="M440" s="17"/>
      <c r="N440" s="17"/>
      <c r="O440" s="17"/>
      <c r="P440" s="17"/>
      <c r="Q440" s="169"/>
      <c r="R440" s="24"/>
      <c r="S440" s="24"/>
      <c r="T440" s="24"/>
      <c r="U440" s="25"/>
      <c r="V440" s="25"/>
      <c r="W440" s="25"/>
      <c r="X440" s="24"/>
      <c r="Y440" s="24"/>
      <c r="Z440" s="24"/>
      <c r="AA440" s="24"/>
      <c r="AB440" s="24"/>
      <c r="AC440" s="24"/>
      <c r="AD440" s="361">
        <f t="shared" si="90"/>
        <v>0</v>
      </c>
      <c r="AE440" s="359" t="str">
        <f t="shared" si="93"/>
        <v/>
      </c>
      <c r="AF440" s="359" t="str">
        <f t="shared" si="102"/>
        <v/>
      </c>
      <c r="AG440" s="359" t="str">
        <f t="shared" si="94"/>
        <v/>
      </c>
      <c r="AH440" s="359" t="str">
        <f t="shared" si="95"/>
        <v/>
      </c>
      <c r="AI440" s="359" t="str">
        <f t="shared" si="96"/>
        <v/>
      </c>
      <c r="AJ440" s="359" t="str">
        <f t="shared" si="97"/>
        <v/>
      </c>
      <c r="AK440" s="359" t="str">
        <f t="shared" si="99"/>
        <v/>
      </c>
      <c r="AL440" s="359" t="str">
        <f t="shared" si="98"/>
        <v/>
      </c>
      <c r="AM440" s="359" t="str">
        <f t="shared" si="100"/>
        <v/>
      </c>
      <c r="AN440" s="262">
        <f t="shared" si="103"/>
        <v>0</v>
      </c>
      <c r="AO440" s="262" t="str">
        <f>IFERROR(HLOOKUP(AN440,'Ref Lists'!Q$1:AL$2,2,FALSE),'Ref Lists'!$AK$2)</f>
        <v>Savings21</v>
      </c>
      <c r="AP440" s="38"/>
      <c r="AQ440" s="38">
        <f t="shared" si="92"/>
        <v>0</v>
      </c>
      <c r="AR440" s="38"/>
      <c r="AS440" s="38"/>
      <c r="AT440" s="38"/>
      <c r="AU440" s="38"/>
      <c r="AV440" s="38"/>
      <c r="AW440" s="38"/>
      <c r="AX440" s="38"/>
      <c r="AY440" s="38"/>
      <c r="AZ440" s="38"/>
      <c r="BA440" s="38"/>
      <c r="BB440" s="38"/>
      <c r="BC440" s="38"/>
      <c r="BD440" s="38"/>
      <c r="BE440" s="38"/>
      <c r="BF440" s="38"/>
      <c r="BG440" s="38"/>
      <c r="BH440" s="38"/>
      <c r="BI440" s="38"/>
      <c r="BJ440" s="38"/>
      <c r="BK440" s="38"/>
      <c r="BL440" s="38"/>
      <c r="BM440" s="38"/>
      <c r="BN440" s="38"/>
      <c r="BO440" s="38"/>
      <c r="BP440" s="38"/>
      <c r="BQ440" s="38"/>
      <c r="BR440" s="38"/>
      <c r="BS440" s="38"/>
      <c r="BT440" s="38"/>
      <c r="BU440" s="38"/>
      <c r="BV440" s="38"/>
      <c r="BW440" s="38"/>
      <c r="BX440" s="38"/>
      <c r="BY440" s="38"/>
      <c r="BZ440" s="38"/>
      <c r="CA440" s="38"/>
      <c r="CB440" s="38"/>
      <c r="CC440" s="38"/>
      <c r="CD440" s="38"/>
      <c r="CE440" s="38"/>
      <c r="CF440" s="38"/>
      <c r="CG440" s="38"/>
      <c r="CH440" s="38"/>
      <c r="CI440" s="38"/>
      <c r="CJ440" s="38"/>
      <c r="CK440" s="38"/>
      <c r="CL440" s="38"/>
      <c r="CM440" s="38"/>
      <c r="CN440" s="38"/>
      <c r="CO440" s="38"/>
      <c r="CP440" s="38"/>
      <c r="CQ440" s="38"/>
      <c r="CR440" s="38"/>
      <c r="CS440" s="38"/>
      <c r="CT440" s="38"/>
      <c r="CU440" s="38"/>
      <c r="CV440" s="38"/>
      <c r="CW440" s="38"/>
      <c r="CX440" s="38"/>
      <c r="CY440" s="38"/>
      <c r="CZ440" s="38"/>
    </row>
    <row r="441" spans="1:104" s="40" customFormat="1" ht="20.149999999999999" customHeight="1">
      <c r="A441" s="358">
        <f t="shared" si="101"/>
        <v>440</v>
      </c>
      <c r="B441" s="359" t="str">
        <f>'Front Sheet and Checklist'!$C$5</f>
        <v>Swansea Bay UHB</v>
      </c>
      <c r="C441" s="17"/>
      <c r="D441" s="17"/>
      <c r="E441" s="17"/>
      <c r="F441" s="17"/>
      <c r="G441" s="17"/>
      <c r="H441" s="17"/>
      <c r="I441" s="361">
        <f t="shared" si="91"/>
        <v>0</v>
      </c>
      <c r="J441" s="17"/>
      <c r="K441" s="18"/>
      <c r="L441" s="18"/>
      <c r="M441" s="17"/>
      <c r="N441" s="17"/>
      <c r="O441" s="17"/>
      <c r="P441" s="17"/>
      <c r="Q441" s="169"/>
      <c r="R441" s="24"/>
      <c r="S441" s="24"/>
      <c r="T441" s="24"/>
      <c r="U441" s="25"/>
      <c r="V441" s="25"/>
      <c r="W441" s="25"/>
      <c r="X441" s="24"/>
      <c r="Y441" s="24"/>
      <c r="Z441" s="24"/>
      <c r="AA441" s="24"/>
      <c r="AB441" s="24"/>
      <c r="AC441" s="24"/>
      <c r="AD441" s="361">
        <f t="shared" si="90"/>
        <v>0</v>
      </c>
      <c r="AE441" s="359" t="str">
        <f t="shared" si="93"/>
        <v/>
      </c>
      <c r="AF441" s="359" t="str">
        <f t="shared" si="102"/>
        <v/>
      </c>
      <c r="AG441" s="359" t="str">
        <f t="shared" si="94"/>
        <v/>
      </c>
      <c r="AH441" s="359" t="str">
        <f t="shared" si="95"/>
        <v/>
      </c>
      <c r="AI441" s="359" t="str">
        <f t="shared" si="96"/>
        <v/>
      </c>
      <c r="AJ441" s="359" t="str">
        <f t="shared" si="97"/>
        <v/>
      </c>
      <c r="AK441" s="359" t="str">
        <f t="shared" si="99"/>
        <v/>
      </c>
      <c r="AL441" s="359" t="str">
        <f t="shared" si="98"/>
        <v/>
      </c>
      <c r="AM441" s="359" t="str">
        <f t="shared" si="100"/>
        <v/>
      </c>
      <c r="AN441" s="262">
        <f t="shared" si="103"/>
        <v>0</v>
      </c>
      <c r="AO441" s="262" t="str">
        <f>IFERROR(HLOOKUP(AN441,'Ref Lists'!Q$1:AL$2,2,FALSE),'Ref Lists'!$AK$2)</f>
        <v>Savings21</v>
      </c>
      <c r="AP441" s="38"/>
      <c r="AQ441" s="38">
        <f t="shared" si="92"/>
        <v>0</v>
      </c>
      <c r="AR441" s="38"/>
      <c r="AS441" s="38"/>
      <c r="AT441" s="38"/>
      <c r="AU441" s="38"/>
      <c r="AV441" s="38"/>
      <c r="AW441" s="38"/>
      <c r="AX441" s="38"/>
      <c r="AY441" s="38"/>
      <c r="AZ441" s="38"/>
      <c r="BA441" s="38"/>
      <c r="BB441" s="38"/>
      <c r="BC441" s="38"/>
      <c r="BD441" s="38"/>
      <c r="BE441" s="38"/>
      <c r="BF441" s="38"/>
      <c r="BG441" s="38"/>
      <c r="BH441" s="38"/>
      <c r="BI441" s="38"/>
      <c r="BJ441" s="38"/>
      <c r="BK441" s="38"/>
      <c r="BL441" s="38"/>
      <c r="BM441" s="38"/>
      <c r="BN441" s="38"/>
      <c r="BO441" s="38"/>
      <c r="BP441" s="38"/>
      <c r="BQ441" s="38"/>
      <c r="BR441" s="38"/>
      <c r="BS441" s="38"/>
      <c r="BT441" s="38"/>
      <c r="BU441" s="38"/>
      <c r="BV441" s="38"/>
      <c r="BW441" s="38"/>
      <c r="BX441" s="38"/>
      <c r="BY441" s="38"/>
      <c r="BZ441" s="38"/>
      <c r="CA441" s="38"/>
      <c r="CB441" s="38"/>
      <c r="CC441" s="38"/>
      <c r="CD441" s="38"/>
      <c r="CE441" s="38"/>
      <c r="CF441" s="38"/>
      <c r="CG441" s="38"/>
      <c r="CH441" s="38"/>
      <c r="CI441" s="38"/>
      <c r="CJ441" s="38"/>
      <c r="CK441" s="38"/>
      <c r="CL441" s="38"/>
      <c r="CM441" s="38"/>
      <c r="CN441" s="38"/>
      <c r="CO441" s="38"/>
      <c r="CP441" s="38"/>
      <c r="CQ441" s="38"/>
      <c r="CR441" s="38"/>
      <c r="CS441" s="38"/>
      <c r="CT441" s="38"/>
      <c r="CU441" s="38"/>
      <c r="CV441" s="38"/>
      <c r="CW441" s="38"/>
      <c r="CX441" s="38"/>
      <c r="CY441" s="38"/>
      <c r="CZ441" s="38"/>
    </row>
    <row r="442" spans="1:104" s="40" customFormat="1" ht="20.149999999999999" customHeight="1">
      <c r="A442" s="358">
        <f t="shared" si="101"/>
        <v>441</v>
      </c>
      <c r="B442" s="359" t="str">
        <f>'Front Sheet and Checklist'!$C$5</f>
        <v>Swansea Bay UHB</v>
      </c>
      <c r="C442" s="17"/>
      <c r="D442" s="17"/>
      <c r="E442" s="17"/>
      <c r="F442" s="17"/>
      <c r="G442" s="17"/>
      <c r="H442" s="17"/>
      <c r="I442" s="361">
        <f t="shared" si="91"/>
        <v>0</v>
      </c>
      <c r="J442" s="17"/>
      <c r="K442" s="18"/>
      <c r="L442" s="18"/>
      <c r="M442" s="17"/>
      <c r="N442" s="17"/>
      <c r="O442" s="17"/>
      <c r="P442" s="17"/>
      <c r="Q442" s="169"/>
      <c r="R442" s="24"/>
      <c r="S442" s="24"/>
      <c r="T442" s="24"/>
      <c r="U442" s="25"/>
      <c r="V442" s="25"/>
      <c r="W442" s="25"/>
      <c r="X442" s="24"/>
      <c r="Y442" s="24"/>
      <c r="Z442" s="24"/>
      <c r="AA442" s="24"/>
      <c r="AB442" s="24"/>
      <c r="AC442" s="24"/>
      <c r="AD442" s="361">
        <f t="shared" ref="AD442:AD505" si="104">SUM(R442:AC442)</f>
        <v>0</v>
      </c>
      <c r="AE442" s="359" t="str">
        <f t="shared" si="93"/>
        <v/>
      </c>
      <c r="AF442" s="359" t="str">
        <f t="shared" si="102"/>
        <v/>
      </c>
      <c r="AG442" s="359" t="str">
        <f t="shared" si="94"/>
        <v/>
      </c>
      <c r="AH442" s="359" t="str">
        <f t="shared" si="95"/>
        <v/>
      </c>
      <c r="AI442" s="359" t="str">
        <f t="shared" si="96"/>
        <v/>
      </c>
      <c r="AJ442" s="359" t="str">
        <f t="shared" si="97"/>
        <v/>
      </c>
      <c r="AK442" s="359" t="str">
        <f t="shared" si="99"/>
        <v/>
      </c>
      <c r="AL442" s="359" t="str">
        <f t="shared" si="98"/>
        <v/>
      </c>
      <c r="AM442" s="359" t="str">
        <f t="shared" si="100"/>
        <v/>
      </c>
      <c r="AN442" s="262">
        <f t="shared" si="103"/>
        <v>0</v>
      </c>
      <c r="AO442" s="262" t="str">
        <f>IFERROR(HLOOKUP(AN442,'Ref Lists'!Q$1:AL$2,2,FALSE),'Ref Lists'!$AK$2)</f>
        <v>Savings21</v>
      </c>
      <c r="AP442" s="38"/>
      <c r="AQ442" s="38">
        <f t="shared" si="92"/>
        <v>0</v>
      </c>
      <c r="AR442" s="38"/>
      <c r="AS442" s="38"/>
      <c r="AT442" s="38"/>
      <c r="AU442" s="38"/>
      <c r="AV442" s="38"/>
      <c r="AW442" s="38"/>
      <c r="AX442" s="38"/>
      <c r="AY442" s="38"/>
      <c r="AZ442" s="38"/>
      <c r="BA442" s="38"/>
      <c r="BB442" s="38"/>
      <c r="BC442" s="38"/>
      <c r="BD442" s="38"/>
      <c r="BE442" s="38"/>
      <c r="BF442" s="38"/>
      <c r="BG442" s="38"/>
      <c r="BH442" s="38"/>
      <c r="BI442" s="38"/>
      <c r="BJ442" s="38"/>
      <c r="BK442" s="38"/>
      <c r="BL442" s="38"/>
      <c r="BM442" s="38"/>
      <c r="BN442" s="38"/>
      <c r="BO442" s="38"/>
      <c r="BP442" s="38"/>
      <c r="BQ442" s="38"/>
      <c r="BR442" s="38"/>
      <c r="BS442" s="38"/>
      <c r="BT442" s="38"/>
      <c r="BU442" s="38"/>
      <c r="BV442" s="38"/>
      <c r="BW442" s="38"/>
      <c r="BX442" s="38"/>
      <c r="BY442" s="38"/>
      <c r="BZ442" s="38"/>
      <c r="CA442" s="38"/>
      <c r="CB442" s="38"/>
      <c r="CC442" s="38"/>
      <c r="CD442" s="38"/>
      <c r="CE442" s="38"/>
      <c r="CF442" s="38"/>
      <c r="CG442" s="38"/>
      <c r="CH442" s="38"/>
      <c r="CI442" s="38"/>
      <c r="CJ442" s="38"/>
      <c r="CK442" s="38"/>
      <c r="CL442" s="38"/>
      <c r="CM442" s="38"/>
      <c r="CN442" s="38"/>
      <c r="CO442" s="38"/>
      <c r="CP442" s="38"/>
      <c r="CQ442" s="38"/>
      <c r="CR442" s="38"/>
      <c r="CS442" s="38"/>
      <c r="CT442" s="38"/>
      <c r="CU442" s="38"/>
      <c r="CV442" s="38"/>
      <c r="CW442" s="38"/>
      <c r="CX442" s="38"/>
      <c r="CY442" s="38"/>
      <c r="CZ442" s="38"/>
    </row>
    <row r="443" spans="1:104" s="40" customFormat="1" ht="20.149999999999999" customHeight="1">
      <c r="A443" s="358">
        <f t="shared" si="101"/>
        <v>442</v>
      </c>
      <c r="B443" s="359" t="str">
        <f>'Front Sheet and Checklist'!$C$5</f>
        <v>Swansea Bay UHB</v>
      </c>
      <c r="C443" s="17"/>
      <c r="D443" s="17"/>
      <c r="E443" s="17"/>
      <c r="F443" s="17"/>
      <c r="G443" s="17"/>
      <c r="H443" s="17"/>
      <c r="I443" s="361">
        <f t="shared" ref="I443:I506" si="105">AD443</f>
        <v>0</v>
      </c>
      <c r="J443" s="17"/>
      <c r="K443" s="18"/>
      <c r="L443" s="18"/>
      <c r="M443" s="17"/>
      <c r="N443" s="17"/>
      <c r="O443" s="17"/>
      <c r="P443" s="17"/>
      <c r="Q443" s="169"/>
      <c r="R443" s="24"/>
      <c r="S443" s="24"/>
      <c r="T443" s="24"/>
      <c r="U443" s="25"/>
      <c r="V443" s="25"/>
      <c r="W443" s="25"/>
      <c r="X443" s="24"/>
      <c r="Y443" s="24"/>
      <c r="Z443" s="24"/>
      <c r="AA443" s="24"/>
      <c r="AB443" s="24"/>
      <c r="AC443" s="24"/>
      <c r="AD443" s="361">
        <f t="shared" si="104"/>
        <v>0</v>
      </c>
      <c r="AE443" s="359" t="str">
        <f t="shared" si="93"/>
        <v/>
      </c>
      <c r="AF443" s="359" t="str">
        <f t="shared" si="102"/>
        <v/>
      </c>
      <c r="AG443" s="359" t="str">
        <f t="shared" si="94"/>
        <v/>
      </c>
      <c r="AH443" s="359" t="str">
        <f t="shared" si="95"/>
        <v/>
      </c>
      <c r="AI443" s="359" t="str">
        <f t="shared" si="96"/>
        <v/>
      </c>
      <c r="AJ443" s="359" t="str">
        <f t="shared" si="97"/>
        <v/>
      </c>
      <c r="AK443" s="359" t="str">
        <f t="shared" si="99"/>
        <v/>
      </c>
      <c r="AL443" s="359" t="str">
        <f t="shared" si="98"/>
        <v/>
      </c>
      <c r="AM443" s="359" t="str">
        <f t="shared" si="100"/>
        <v/>
      </c>
      <c r="AN443" s="262">
        <f t="shared" si="103"/>
        <v>0</v>
      </c>
      <c r="AO443" s="262" t="str">
        <f>IFERROR(HLOOKUP(AN443,'Ref Lists'!Q$1:AL$2,2,FALSE),'Ref Lists'!$AK$2)</f>
        <v>Savings21</v>
      </c>
      <c r="AP443" s="38"/>
      <c r="AQ443" s="38">
        <f t="shared" ref="AQ443:AQ506" si="106">COUNTIFS(AE443:AL443,"Error")</f>
        <v>0</v>
      </c>
      <c r="AR443" s="38"/>
      <c r="AS443" s="38"/>
      <c r="AT443" s="38"/>
      <c r="AU443" s="38"/>
      <c r="AV443" s="38"/>
      <c r="AW443" s="38"/>
      <c r="AX443" s="38"/>
      <c r="AY443" s="38"/>
      <c r="AZ443" s="38"/>
      <c r="BA443" s="38"/>
      <c r="BB443" s="38"/>
      <c r="BC443" s="38"/>
      <c r="BD443" s="38"/>
      <c r="BE443" s="38"/>
      <c r="BF443" s="38"/>
      <c r="BG443" s="38"/>
      <c r="BH443" s="38"/>
      <c r="BI443" s="38"/>
      <c r="BJ443" s="38"/>
      <c r="BK443" s="38"/>
      <c r="BL443" s="38"/>
      <c r="BM443" s="38"/>
      <c r="BN443" s="38"/>
      <c r="BO443" s="38"/>
      <c r="BP443" s="38"/>
      <c r="BQ443" s="38"/>
      <c r="BR443" s="38"/>
      <c r="BS443" s="38"/>
      <c r="BT443" s="38"/>
      <c r="BU443" s="38"/>
      <c r="BV443" s="38"/>
      <c r="BW443" s="38"/>
      <c r="BX443" s="38"/>
      <c r="BY443" s="38"/>
      <c r="BZ443" s="38"/>
      <c r="CA443" s="38"/>
      <c r="CB443" s="38"/>
      <c r="CC443" s="38"/>
      <c r="CD443" s="38"/>
      <c r="CE443" s="38"/>
      <c r="CF443" s="38"/>
      <c r="CG443" s="38"/>
      <c r="CH443" s="38"/>
      <c r="CI443" s="38"/>
      <c r="CJ443" s="38"/>
      <c r="CK443" s="38"/>
      <c r="CL443" s="38"/>
      <c r="CM443" s="38"/>
      <c r="CN443" s="38"/>
      <c r="CO443" s="38"/>
      <c r="CP443" s="38"/>
      <c r="CQ443" s="38"/>
      <c r="CR443" s="38"/>
      <c r="CS443" s="38"/>
      <c r="CT443" s="38"/>
      <c r="CU443" s="38"/>
      <c r="CV443" s="38"/>
      <c r="CW443" s="38"/>
      <c r="CX443" s="38"/>
      <c r="CY443" s="38"/>
      <c r="CZ443" s="38"/>
    </row>
    <row r="444" spans="1:104" s="40" customFormat="1" ht="20.149999999999999" customHeight="1">
      <c r="A444" s="358">
        <f t="shared" si="101"/>
        <v>443</v>
      </c>
      <c r="B444" s="359" t="str">
        <f>'Front Sheet and Checklist'!$C$5</f>
        <v>Swansea Bay UHB</v>
      </c>
      <c r="C444" s="17"/>
      <c r="D444" s="17"/>
      <c r="E444" s="17"/>
      <c r="F444" s="17"/>
      <c r="G444" s="17"/>
      <c r="H444" s="17"/>
      <c r="I444" s="361">
        <f t="shared" si="105"/>
        <v>0</v>
      </c>
      <c r="J444" s="17"/>
      <c r="K444" s="18"/>
      <c r="L444" s="18"/>
      <c r="M444" s="17"/>
      <c r="N444" s="17"/>
      <c r="O444" s="17"/>
      <c r="P444" s="17"/>
      <c r="Q444" s="169"/>
      <c r="R444" s="24"/>
      <c r="S444" s="24"/>
      <c r="T444" s="24"/>
      <c r="U444" s="25"/>
      <c r="V444" s="25"/>
      <c r="W444" s="25"/>
      <c r="X444" s="24"/>
      <c r="Y444" s="24"/>
      <c r="Z444" s="24"/>
      <c r="AA444" s="24"/>
      <c r="AB444" s="24"/>
      <c r="AC444" s="24"/>
      <c r="AD444" s="361">
        <f t="shared" si="104"/>
        <v>0</v>
      </c>
      <c r="AE444" s="359" t="str">
        <f t="shared" si="93"/>
        <v/>
      </c>
      <c r="AF444" s="359" t="str">
        <f t="shared" si="102"/>
        <v/>
      </c>
      <c r="AG444" s="359" t="str">
        <f t="shared" si="94"/>
        <v/>
      </c>
      <c r="AH444" s="359" t="str">
        <f t="shared" si="95"/>
        <v/>
      </c>
      <c r="AI444" s="359" t="str">
        <f t="shared" si="96"/>
        <v/>
      </c>
      <c r="AJ444" s="359" t="str">
        <f t="shared" si="97"/>
        <v/>
      </c>
      <c r="AK444" s="359" t="str">
        <f t="shared" si="99"/>
        <v/>
      </c>
      <c r="AL444" s="359" t="str">
        <f t="shared" si="98"/>
        <v/>
      </c>
      <c r="AM444" s="359" t="str">
        <f t="shared" si="100"/>
        <v/>
      </c>
      <c r="AN444" s="262">
        <f t="shared" si="103"/>
        <v>0</v>
      </c>
      <c r="AO444" s="262" t="str">
        <f>IFERROR(HLOOKUP(AN444,'Ref Lists'!Q$1:AL$2,2,FALSE),'Ref Lists'!$AK$2)</f>
        <v>Savings21</v>
      </c>
      <c r="AP444" s="38"/>
      <c r="AQ444" s="38">
        <f t="shared" si="106"/>
        <v>0</v>
      </c>
      <c r="AR444" s="38"/>
      <c r="AS444" s="38"/>
      <c r="AT444" s="38"/>
      <c r="AU444" s="38"/>
      <c r="AV444" s="38"/>
      <c r="AW444" s="38"/>
      <c r="AX444" s="38"/>
      <c r="AY444" s="38"/>
      <c r="AZ444" s="38"/>
      <c r="BA444" s="38"/>
      <c r="BB444" s="38"/>
      <c r="BC444" s="38"/>
      <c r="BD444" s="38"/>
      <c r="BE444" s="38"/>
      <c r="BF444" s="38"/>
      <c r="BG444" s="38"/>
      <c r="BH444" s="38"/>
      <c r="BI444" s="38"/>
      <c r="BJ444" s="38"/>
      <c r="BK444" s="38"/>
      <c r="BL444" s="38"/>
      <c r="BM444" s="38"/>
      <c r="BN444" s="38"/>
      <c r="BO444" s="38"/>
      <c r="BP444" s="38"/>
      <c r="BQ444" s="38"/>
      <c r="BR444" s="38"/>
      <c r="BS444" s="38"/>
      <c r="BT444" s="38"/>
      <c r="BU444" s="38"/>
      <c r="BV444" s="38"/>
      <c r="BW444" s="38"/>
      <c r="BX444" s="38"/>
      <c r="BY444" s="38"/>
      <c r="BZ444" s="38"/>
      <c r="CA444" s="38"/>
      <c r="CB444" s="38"/>
      <c r="CC444" s="38"/>
      <c r="CD444" s="38"/>
      <c r="CE444" s="38"/>
      <c r="CF444" s="38"/>
      <c r="CG444" s="38"/>
      <c r="CH444" s="38"/>
      <c r="CI444" s="38"/>
      <c r="CJ444" s="38"/>
      <c r="CK444" s="38"/>
      <c r="CL444" s="38"/>
      <c r="CM444" s="38"/>
      <c r="CN444" s="38"/>
      <c r="CO444" s="38"/>
      <c r="CP444" s="38"/>
      <c r="CQ444" s="38"/>
      <c r="CR444" s="38"/>
      <c r="CS444" s="38"/>
      <c r="CT444" s="38"/>
      <c r="CU444" s="38"/>
      <c r="CV444" s="38"/>
      <c r="CW444" s="38"/>
      <c r="CX444" s="38"/>
      <c r="CY444" s="38"/>
      <c r="CZ444" s="38"/>
    </row>
    <row r="445" spans="1:104" s="40" customFormat="1" ht="20.149999999999999" customHeight="1">
      <c r="A445" s="358">
        <f t="shared" si="101"/>
        <v>444</v>
      </c>
      <c r="B445" s="359" t="str">
        <f>'Front Sheet and Checklist'!$C$5</f>
        <v>Swansea Bay UHB</v>
      </c>
      <c r="C445" s="17"/>
      <c r="D445" s="17"/>
      <c r="E445" s="17"/>
      <c r="F445" s="17"/>
      <c r="G445" s="17"/>
      <c r="H445" s="17"/>
      <c r="I445" s="361">
        <f t="shared" si="105"/>
        <v>0</v>
      </c>
      <c r="J445" s="17"/>
      <c r="K445" s="18"/>
      <c r="L445" s="18"/>
      <c r="M445" s="17"/>
      <c r="N445" s="17"/>
      <c r="O445" s="17"/>
      <c r="P445" s="17"/>
      <c r="Q445" s="169"/>
      <c r="R445" s="24"/>
      <c r="S445" s="24"/>
      <c r="T445" s="24"/>
      <c r="U445" s="25"/>
      <c r="V445" s="25"/>
      <c r="W445" s="25"/>
      <c r="X445" s="24"/>
      <c r="Y445" s="24"/>
      <c r="Z445" s="24"/>
      <c r="AA445" s="24"/>
      <c r="AB445" s="24"/>
      <c r="AC445" s="24"/>
      <c r="AD445" s="361">
        <f t="shared" si="104"/>
        <v>0</v>
      </c>
      <c r="AE445" s="359" t="str">
        <f t="shared" si="93"/>
        <v/>
      </c>
      <c r="AF445" s="359" t="str">
        <f t="shared" si="102"/>
        <v/>
      </c>
      <c r="AG445" s="359" t="str">
        <f t="shared" si="94"/>
        <v/>
      </c>
      <c r="AH445" s="359" t="str">
        <f t="shared" si="95"/>
        <v/>
      </c>
      <c r="AI445" s="359" t="str">
        <f t="shared" si="96"/>
        <v/>
      </c>
      <c r="AJ445" s="359" t="str">
        <f t="shared" si="97"/>
        <v/>
      </c>
      <c r="AK445" s="359" t="str">
        <f t="shared" si="99"/>
        <v/>
      </c>
      <c r="AL445" s="359" t="str">
        <f t="shared" si="98"/>
        <v/>
      </c>
      <c r="AM445" s="359" t="str">
        <f t="shared" si="100"/>
        <v/>
      </c>
      <c r="AN445" s="262">
        <f t="shared" si="103"/>
        <v>0</v>
      </c>
      <c r="AO445" s="262" t="str">
        <f>IFERROR(HLOOKUP(AN445,'Ref Lists'!Q$1:AL$2,2,FALSE),'Ref Lists'!$AK$2)</f>
        <v>Savings21</v>
      </c>
      <c r="AP445" s="38"/>
      <c r="AQ445" s="38">
        <f t="shared" si="106"/>
        <v>0</v>
      </c>
      <c r="AR445" s="38"/>
      <c r="AS445" s="38"/>
      <c r="AT445" s="38"/>
      <c r="AU445" s="38"/>
      <c r="AV445" s="38"/>
      <c r="AW445" s="38"/>
      <c r="AX445" s="38"/>
      <c r="AY445" s="38"/>
      <c r="AZ445" s="38"/>
      <c r="BA445" s="38"/>
      <c r="BB445" s="38"/>
      <c r="BC445" s="38"/>
      <c r="BD445" s="38"/>
      <c r="BE445" s="38"/>
      <c r="BF445" s="38"/>
      <c r="BG445" s="38"/>
      <c r="BH445" s="38"/>
      <c r="BI445" s="38"/>
      <c r="BJ445" s="38"/>
      <c r="BK445" s="38"/>
      <c r="BL445" s="38"/>
      <c r="BM445" s="38"/>
      <c r="BN445" s="38"/>
      <c r="BO445" s="38"/>
      <c r="BP445" s="38"/>
      <c r="BQ445" s="38"/>
      <c r="BR445" s="38"/>
      <c r="BS445" s="38"/>
      <c r="BT445" s="38"/>
      <c r="BU445" s="38"/>
      <c r="BV445" s="38"/>
      <c r="BW445" s="38"/>
      <c r="BX445" s="38"/>
      <c r="BY445" s="38"/>
      <c r="BZ445" s="38"/>
      <c r="CA445" s="38"/>
      <c r="CB445" s="38"/>
      <c r="CC445" s="38"/>
      <c r="CD445" s="38"/>
      <c r="CE445" s="38"/>
      <c r="CF445" s="38"/>
      <c r="CG445" s="38"/>
      <c r="CH445" s="38"/>
      <c r="CI445" s="38"/>
      <c r="CJ445" s="38"/>
      <c r="CK445" s="38"/>
      <c r="CL445" s="38"/>
      <c r="CM445" s="38"/>
      <c r="CN445" s="38"/>
      <c r="CO445" s="38"/>
      <c r="CP445" s="38"/>
      <c r="CQ445" s="38"/>
      <c r="CR445" s="38"/>
      <c r="CS445" s="38"/>
      <c r="CT445" s="38"/>
      <c r="CU445" s="38"/>
      <c r="CV445" s="38"/>
      <c r="CW445" s="38"/>
      <c r="CX445" s="38"/>
      <c r="CY445" s="38"/>
      <c r="CZ445" s="38"/>
    </row>
    <row r="446" spans="1:104" s="40" customFormat="1" ht="20.149999999999999" customHeight="1">
      <c r="A446" s="358">
        <f t="shared" si="101"/>
        <v>445</v>
      </c>
      <c r="B446" s="359" t="str">
        <f>'Front Sheet and Checklist'!$C$5</f>
        <v>Swansea Bay UHB</v>
      </c>
      <c r="C446" s="17"/>
      <c r="D446" s="17"/>
      <c r="E446" s="17"/>
      <c r="F446" s="17"/>
      <c r="G446" s="17"/>
      <c r="H446" s="17"/>
      <c r="I446" s="361">
        <f t="shared" si="105"/>
        <v>0</v>
      </c>
      <c r="J446" s="17"/>
      <c r="K446" s="18"/>
      <c r="L446" s="18"/>
      <c r="M446" s="17"/>
      <c r="N446" s="17"/>
      <c r="O446" s="17"/>
      <c r="P446" s="17"/>
      <c r="Q446" s="169"/>
      <c r="R446" s="24"/>
      <c r="S446" s="24"/>
      <c r="T446" s="24"/>
      <c r="U446" s="25"/>
      <c r="V446" s="25"/>
      <c r="W446" s="25"/>
      <c r="X446" s="24"/>
      <c r="Y446" s="24"/>
      <c r="Z446" s="24"/>
      <c r="AA446" s="24"/>
      <c r="AB446" s="24"/>
      <c r="AC446" s="24"/>
      <c r="AD446" s="361">
        <f t="shared" si="104"/>
        <v>0</v>
      </c>
      <c r="AE446" s="359" t="str">
        <f t="shared" si="93"/>
        <v/>
      </c>
      <c r="AF446" s="359" t="str">
        <f t="shared" si="102"/>
        <v/>
      </c>
      <c r="AG446" s="359" t="str">
        <f t="shared" si="94"/>
        <v/>
      </c>
      <c r="AH446" s="359" t="str">
        <f t="shared" si="95"/>
        <v/>
      </c>
      <c r="AI446" s="359" t="str">
        <f t="shared" si="96"/>
        <v/>
      </c>
      <c r="AJ446" s="359" t="str">
        <f t="shared" si="97"/>
        <v/>
      </c>
      <c r="AK446" s="359" t="str">
        <f t="shared" si="99"/>
        <v/>
      </c>
      <c r="AL446" s="359" t="str">
        <f t="shared" si="98"/>
        <v/>
      </c>
      <c r="AM446" s="359" t="str">
        <f t="shared" si="100"/>
        <v/>
      </c>
      <c r="AN446" s="262">
        <f t="shared" si="103"/>
        <v>0</v>
      </c>
      <c r="AO446" s="262" t="str">
        <f>IFERROR(HLOOKUP(AN446,'Ref Lists'!Q$1:AL$2,2,FALSE),'Ref Lists'!$AK$2)</f>
        <v>Savings21</v>
      </c>
      <c r="AP446" s="38"/>
      <c r="AQ446" s="38">
        <f t="shared" si="106"/>
        <v>0</v>
      </c>
      <c r="AR446" s="38"/>
      <c r="AS446" s="38"/>
      <c r="AT446" s="38"/>
      <c r="AU446" s="38"/>
      <c r="AV446" s="38"/>
      <c r="AW446" s="38"/>
      <c r="AX446" s="38"/>
      <c r="AY446" s="38"/>
      <c r="AZ446" s="38"/>
      <c r="BA446" s="38"/>
      <c r="BB446" s="38"/>
      <c r="BC446" s="38"/>
      <c r="BD446" s="38"/>
      <c r="BE446" s="38"/>
      <c r="BF446" s="38"/>
      <c r="BG446" s="38"/>
      <c r="BH446" s="38"/>
      <c r="BI446" s="38"/>
      <c r="BJ446" s="38"/>
      <c r="BK446" s="38"/>
      <c r="BL446" s="38"/>
      <c r="BM446" s="38"/>
      <c r="BN446" s="38"/>
      <c r="BO446" s="38"/>
      <c r="BP446" s="38"/>
      <c r="BQ446" s="38"/>
      <c r="BR446" s="38"/>
      <c r="BS446" s="38"/>
      <c r="BT446" s="38"/>
      <c r="BU446" s="38"/>
      <c r="BV446" s="38"/>
      <c r="BW446" s="38"/>
      <c r="BX446" s="38"/>
      <c r="BY446" s="38"/>
      <c r="BZ446" s="38"/>
      <c r="CA446" s="38"/>
      <c r="CB446" s="38"/>
      <c r="CC446" s="38"/>
      <c r="CD446" s="38"/>
      <c r="CE446" s="38"/>
      <c r="CF446" s="38"/>
      <c r="CG446" s="38"/>
      <c r="CH446" s="38"/>
      <c r="CI446" s="38"/>
      <c r="CJ446" s="38"/>
      <c r="CK446" s="38"/>
      <c r="CL446" s="38"/>
      <c r="CM446" s="38"/>
      <c r="CN446" s="38"/>
      <c r="CO446" s="38"/>
      <c r="CP446" s="38"/>
      <c r="CQ446" s="38"/>
      <c r="CR446" s="38"/>
      <c r="CS446" s="38"/>
      <c r="CT446" s="38"/>
      <c r="CU446" s="38"/>
      <c r="CV446" s="38"/>
      <c r="CW446" s="38"/>
      <c r="CX446" s="38"/>
      <c r="CY446" s="38"/>
      <c r="CZ446" s="38"/>
    </row>
    <row r="447" spans="1:104" s="40" customFormat="1" ht="20.149999999999999" customHeight="1">
      <c r="A447" s="358">
        <f t="shared" si="101"/>
        <v>446</v>
      </c>
      <c r="B447" s="359" t="str">
        <f>'Front Sheet and Checklist'!$C$5</f>
        <v>Swansea Bay UHB</v>
      </c>
      <c r="C447" s="17"/>
      <c r="D447" s="17"/>
      <c r="E447" s="17"/>
      <c r="F447" s="17"/>
      <c r="G447" s="17"/>
      <c r="H447" s="17"/>
      <c r="I447" s="361">
        <f t="shared" si="105"/>
        <v>0</v>
      </c>
      <c r="J447" s="17"/>
      <c r="K447" s="18"/>
      <c r="L447" s="18"/>
      <c r="M447" s="17"/>
      <c r="N447" s="17"/>
      <c r="O447" s="17"/>
      <c r="P447" s="17"/>
      <c r="Q447" s="169"/>
      <c r="R447" s="24"/>
      <c r="S447" s="24"/>
      <c r="T447" s="24"/>
      <c r="U447" s="25"/>
      <c r="V447" s="25"/>
      <c r="W447" s="25"/>
      <c r="X447" s="24"/>
      <c r="Y447" s="24"/>
      <c r="Z447" s="24"/>
      <c r="AA447" s="24"/>
      <c r="AB447" s="24"/>
      <c r="AC447" s="24"/>
      <c r="AD447" s="361">
        <f t="shared" si="104"/>
        <v>0</v>
      </c>
      <c r="AE447" s="359" t="str">
        <f t="shared" si="93"/>
        <v/>
      </c>
      <c r="AF447" s="359" t="str">
        <f t="shared" si="102"/>
        <v/>
      </c>
      <c r="AG447" s="359" t="str">
        <f t="shared" si="94"/>
        <v/>
      </c>
      <c r="AH447" s="359" t="str">
        <f t="shared" si="95"/>
        <v/>
      </c>
      <c r="AI447" s="359" t="str">
        <f t="shared" si="96"/>
        <v/>
      </c>
      <c r="AJ447" s="359" t="str">
        <f t="shared" si="97"/>
        <v/>
      </c>
      <c r="AK447" s="359" t="str">
        <f t="shared" si="99"/>
        <v/>
      </c>
      <c r="AL447" s="359" t="str">
        <f t="shared" si="98"/>
        <v/>
      </c>
      <c r="AM447" s="359" t="str">
        <f t="shared" si="100"/>
        <v/>
      </c>
      <c r="AN447" s="262">
        <f t="shared" si="103"/>
        <v>0</v>
      </c>
      <c r="AO447" s="262" t="str">
        <f>IFERROR(HLOOKUP(AN447,'Ref Lists'!Q$1:AL$2,2,FALSE),'Ref Lists'!$AK$2)</f>
        <v>Savings21</v>
      </c>
      <c r="AP447" s="38"/>
      <c r="AQ447" s="38">
        <f t="shared" si="106"/>
        <v>0</v>
      </c>
      <c r="AR447" s="38"/>
      <c r="AS447" s="38"/>
      <c r="AT447" s="38"/>
      <c r="AU447" s="38"/>
      <c r="AV447" s="38"/>
      <c r="AW447" s="38"/>
      <c r="AX447" s="38"/>
      <c r="AY447" s="38"/>
      <c r="AZ447" s="38"/>
      <c r="BA447" s="38"/>
      <c r="BB447" s="38"/>
      <c r="BC447" s="38"/>
      <c r="BD447" s="38"/>
      <c r="BE447" s="38"/>
      <c r="BF447" s="38"/>
      <c r="BG447" s="38"/>
      <c r="BH447" s="38"/>
      <c r="BI447" s="38"/>
      <c r="BJ447" s="38"/>
      <c r="BK447" s="38"/>
      <c r="BL447" s="38"/>
      <c r="BM447" s="38"/>
      <c r="BN447" s="38"/>
      <c r="BO447" s="38"/>
      <c r="BP447" s="38"/>
      <c r="BQ447" s="38"/>
      <c r="BR447" s="38"/>
      <c r="BS447" s="38"/>
      <c r="BT447" s="38"/>
      <c r="BU447" s="38"/>
      <c r="BV447" s="38"/>
      <c r="BW447" s="38"/>
      <c r="BX447" s="38"/>
      <c r="BY447" s="38"/>
      <c r="BZ447" s="38"/>
      <c r="CA447" s="38"/>
      <c r="CB447" s="38"/>
      <c r="CC447" s="38"/>
      <c r="CD447" s="38"/>
      <c r="CE447" s="38"/>
      <c r="CF447" s="38"/>
      <c r="CG447" s="38"/>
      <c r="CH447" s="38"/>
      <c r="CI447" s="38"/>
      <c r="CJ447" s="38"/>
      <c r="CK447" s="38"/>
      <c r="CL447" s="38"/>
      <c r="CM447" s="38"/>
      <c r="CN447" s="38"/>
      <c r="CO447" s="38"/>
      <c r="CP447" s="38"/>
      <c r="CQ447" s="38"/>
      <c r="CR447" s="38"/>
      <c r="CS447" s="38"/>
      <c r="CT447" s="38"/>
      <c r="CU447" s="38"/>
      <c r="CV447" s="38"/>
      <c r="CW447" s="38"/>
      <c r="CX447" s="38"/>
      <c r="CY447" s="38"/>
      <c r="CZ447" s="38"/>
    </row>
    <row r="448" spans="1:104" s="40" customFormat="1" ht="20.149999999999999" customHeight="1">
      <c r="A448" s="358">
        <f t="shared" si="101"/>
        <v>447</v>
      </c>
      <c r="B448" s="359" t="str">
        <f>'Front Sheet and Checklist'!$C$5</f>
        <v>Swansea Bay UHB</v>
      </c>
      <c r="C448" s="17"/>
      <c r="D448" s="17"/>
      <c r="E448" s="17"/>
      <c r="F448" s="17"/>
      <c r="G448" s="17"/>
      <c r="H448" s="17"/>
      <c r="I448" s="361">
        <f t="shared" si="105"/>
        <v>0</v>
      </c>
      <c r="J448" s="17"/>
      <c r="K448" s="18"/>
      <c r="L448" s="18"/>
      <c r="M448" s="17"/>
      <c r="N448" s="17"/>
      <c r="O448" s="17"/>
      <c r="P448" s="17"/>
      <c r="Q448" s="169"/>
      <c r="R448" s="24"/>
      <c r="S448" s="24"/>
      <c r="T448" s="24"/>
      <c r="U448" s="25"/>
      <c r="V448" s="25"/>
      <c r="W448" s="25"/>
      <c r="X448" s="24"/>
      <c r="Y448" s="24"/>
      <c r="Z448" s="24"/>
      <c r="AA448" s="24"/>
      <c r="AB448" s="24"/>
      <c r="AC448" s="24"/>
      <c r="AD448" s="361">
        <f t="shared" si="104"/>
        <v>0</v>
      </c>
      <c r="AE448" s="359" t="str">
        <f t="shared" si="93"/>
        <v/>
      </c>
      <c r="AF448" s="359" t="str">
        <f t="shared" si="102"/>
        <v/>
      </c>
      <c r="AG448" s="359" t="str">
        <f t="shared" si="94"/>
        <v/>
      </c>
      <c r="AH448" s="359" t="str">
        <f t="shared" si="95"/>
        <v/>
      </c>
      <c r="AI448" s="359" t="str">
        <f t="shared" si="96"/>
        <v/>
      </c>
      <c r="AJ448" s="359" t="str">
        <f t="shared" si="97"/>
        <v/>
      </c>
      <c r="AK448" s="359" t="str">
        <f t="shared" si="99"/>
        <v/>
      </c>
      <c r="AL448" s="359" t="str">
        <f t="shared" si="98"/>
        <v/>
      </c>
      <c r="AM448" s="359" t="str">
        <f t="shared" si="100"/>
        <v/>
      </c>
      <c r="AN448" s="262">
        <f t="shared" si="103"/>
        <v>0</v>
      </c>
      <c r="AO448" s="262" t="str">
        <f>IFERROR(HLOOKUP(AN448,'Ref Lists'!Q$1:AL$2,2,FALSE),'Ref Lists'!$AK$2)</f>
        <v>Savings21</v>
      </c>
      <c r="AP448" s="38"/>
      <c r="AQ448" s="38">
        <f t="shared" si="106"/>
        <v>0</v>
      </c>
      <c r="AR448" s="38"/>
      <c r="AS448" s="38"/>
      <c r="AT448" s="38"/>
      <c r="AU448" s="38"/>
      <c r="AV448" s="38"/>
      <c r="AW448" s="38"/>
      <c r="AX448" s="38"/>
      <c r="AY448" s="38"/>
      <c r="AZ448" s="38"/>
      <c r="BA448" s="38"/>
      <c r="BB448" s="38"/>
      <c r="BC448" s="38"/>
      <c r="BD448" s="38"/>
      <c r="BE448" s="38"/>
      <c r="BF448" s="38"/>
      <c r="BG448" s="38"/>
      <c r="BH448" s="38"/>
      <c r="BI448" s="38"/>
      <c r="BJ448" s="38"/>
      <c r="BK448" s="38"/>
      <c r="BL448" s="38"/>
      <c r="BM448" s="38"/>
      <c r="BN448" s="38"/>
      <c r="BO448" s="38"/>
      <c r="BP448" s="38"/>
      <c r="BQ448" s="38"/>
      <c r="BR448" s="38"/>
      <c r="BS448" s="38"/>
      <c r="BT448" s="38"/>
      <c r="BU448" s="38"/>
      <c r="BV448" s="38"/>
      <c r="BW448" s="38"/>
      <c r="BX448" s="38"/>
      <c r="BY448" s="38"/>
      <c r="BZ448" s="38"/>
      <c r="CA448" s="38"/>
      <c r="CB448" s="38"/>
      <c r="CC448" s="38"/>
      <c r="CD448" s="38"/>
      <c r="CE448" s="38"/>
      <c r="CF448" s="38"/>
      <c r="CG448" s="38"/>
      <c r="CH448" s="38"/>
      <c r="CI448" s="38"/>
      <c r="CJ448" s="38"/>
      <c r="CK448" s="38"/>
      <c r="CL448" s="38"/>
      <c r="CM448" s="38"/>
      <c r="CN448" s="38"/>
      <c r="CO448" s="38"/>
      <c r="CP448" s="38"/>
      <c r="CQ448" s="38"/>
      <c r="CR448" s="38"/>
      <c r="CS448" s="38"/>
      <c r="CT448" s="38"/>
      <c r="CU448" s="38"/>
      <c r="CV448" s="38"/>
      <c r="CW448" s="38"/>
      <c r="CX448" s="38"/>
      <c r="CY448" s="38"/>
      <c r="CZ448" s="38"/>
    </row>
    <row r="449" spans="1:104" s="40" customFormat="1" ht="20.149999999999999" customHeight="1">
      <c r="A449" s="358">
        <f t="shared" si="101"/>
        <v>448</v>
      </c>
      <c r="B449" s="359" t="str">
        <f>'Front Sheet and Checklist'!$C$5</f>
        <v>Swansea Bay UHB</v>
      </c>
      <c r="C449" s="17"/>
      <c r="D449" s="17"/>
      <c r="E449" s="17"/>
      <c r="F449" s="17"/>
      <c r="G449" s="17"/>
      <c r="H449" s="17"/>
      <c r="I449" s="361">
        <f t="shared" si="105"/>
        <v>0</v>
      </c>
      <c r="J449" s="17"/>
      <c r="K449" s="18"/>
      <c r="L449" s="18"/>
      <c r="M449" s="17"/>
      <c r="N449" s="17"/>
      <c r="O449" s="17"/>
      <c r="P449" s="17"/>
      <c r="Q449" s="169"/>
      <c r="R449" s="24"/>
      <c r="S449" s="24"/>
      <c r="T449" s="24"/>
      <c r="U449" s="25"/>
      <c r="V449" s="25"/>
      <c r="W449" s="25"/>
      <c r="X449" s="24"/>
      <c r="Y449" s="24"/>
      <c r="Z449" s="24"/>
      <c r="AA449" s="24"/>
      <c r="AB449" s="24"/>
      <c r="AC449" s="24"/>
      <c r="AD449" s="361">
        <f t="shared" si="104"/>
        <v>0</v>
      </c>
      <c r="AE449" s="359" t="str">
        <f t="shared" si="93"/>
        <v/>
      </c>
      <c r="AF449" s="359" t="str">
        <f t="shared" si="102"/>
        <v/>
      </c>
      <c r="AG449" s="359" t="str">
        <f t="shared" si="94"/>
        <v/>
      </c>
      <c r="AH449" s="359" t="str">
        <f t="shared" si="95"/>
        <v/>
      </c>
      <c r="AI449" s="359" t="str">
        <f t="shared" si="96"/>
        <v/>
      </c>
      <c r="AJ449" s="359" t="str">
        <f t="shared" si="97"/>
        <v/>
      </c>
      <c r="AK449" s="359" t="str">
        <f t="shared" si="99"/>
        <v/>
      </c>
      <c r="AL449" s="359" t="str">
        <f t="shared" si="98"/>
        <v/>
      </c>
      <c r="AM449" s="359" t="str">
        <f t="shared" si="100"/>
        <v/>
      </c>
      <c r="AN449" s="262">
        <f t="shared" si="103"/>
        <v>0</v>
      </c>
      <c r="AO449" s="262" t="str">
        <f>IFERROR(HLOOKUP(AN449,'Ref Lists'!Q$1:AL$2,2,FALSE),'Ref Lists'!$AK$2)</f>
        <v>Savings21</v>
      </c>
      <c r="AP449" s="38"/>
      <c r="AQ449" s="38">
        <f t="shared" si="106"/>
        <v>0</v>
      </c>
      <c r="AR449" s="38"/>
      <c r="AS449" s="38"/>
      <c r="AT449" s="38"/>
      <c r="AU449" s="38"/>
      <c r="AV449" s="38"/>
      <c r="AW449" s="38"/>
      <c r="AX449" s="38"/>
      <c r="AY449" s="38"/>
      <c r="AZ449" s="38"/>
      <c r="BA449" s="38"/>
      <c r="BB449" s="38"/>
      <c r="BC449" s="38"/>
      <c r="BD449" s="38"/>
      <c r="BE449" s="38"/>
      <c r="BF449" s="38"/>
      <c r="BG449" s="38"/>
      <c r="BH449" s="38"/>
      <c r="BI449" s="38"/>
      <c r="BJ449" s="38"/>
      <c r="BK449" s="38"/>
      <c r="BL449" s="38"/>
      <c r="BM449" s="38"/>
      <c r="BN449" s="38"/>
      <c r="BO449" s="38"/>
      <c r="BP449" s="38"/>
      <c r="BQ449" s="38"/>
      <c r="BR449" s="38"/>
      <c r="BS449" s="38"/>
      <c r="BT449" s="38"/>
      <c r="BU449" s="38"/>
      <c r="BV449" s="38"/>
      <c r="BW449" s="38"/>
      <c r="BX449" s="38"/>
      <c r="BY449" s="38"/>
      <c r="BZ449" s="38"/>
      <c r="CA449" s="38"/>
      <c r="CB449" s="38"/>
      <c r="CC449" s="38"/>
      <c r="CD449" s="38"/>
      <c r="CE449" s="38"/>
      <c r="CF449" s="38"/>
      <c r="CG449" s="38"/>
      <c r="CH449" s="38"/>
      <c r="CI449" s="38"/>
      <c r="CJ449" s="38"/>
      <c r="CK449" s="38"/>
      <c r="CL449" s="38"/>
      <c r="CM449" s="38"/>
      <c r="CN449" s="38"/>
      <c r="CO449" s="38"/>
      <c r="CP449" s="38"/>
      <c r="CQ449" s="38"/>
      <c r="CR449" s="38"/>
      <c r="CS449" s="38"/>
      <c r="CT449" s="38"/>
      <c r="CU449" s="38"/>
      <c r="CV449" s="38"/>
      <c r="CW449" s="38"/>
      <c r="CX449" s="38"/>
      <c r="CY449" s="38"/>
      <c r="CZ449" s="38"/>
    </row>
    <row r="450" spans="1:104" s="40" customFormat="1" ht="20.149999999999999" customHeight="1">
      <c r="A450" s="358">
        <f t="shared" si="101"/>
        <v>449</v>
      </c>
      <c r="B450" s="359" t="str">
        <f>'Front Sheet and Checklist'!$C$5</f>
        <v>Swansea Bay UHB</v>
      </c>
      <c r="C450" s="17"/>
      <c r="D450" s="17"/>
      <c r="E450" s="17"/>
      <c r="F450" s="17"/>
      <c r="G450" s="17"/>
      <c r="H450" s="17"/>
      <c r="I450" s="361">
        <f t="shared" si="105"/>
        <v>0</v>
      </c>
      <c r="J450" s="17"/>
      <c r="K450" s="18"/>
      <c r="L450" s="18"/>
      <c r="M450" s="17"/>
      <c r="N450" s="17"/>
      <c r="O450" s="17"/>
      <c r="P450" s="17"/>
      <c r="Q450" s="169"/>
      <c r="R450" s="24"/>
      <c r="S450" s="24"/>
      <c r="T450" s="24"/>
      <c r="U450" s="25"/>
      <c r="V450" s="25"/>
      <c r="W450" s="25"/>
      <c r="X450" s="24"/>
      <c r="Y450" s="24"/>
      <c r="Z450" s="24"/>
      <c r="AA450" s="24"/>
      <c r="AB450" s="24"/>
      <c r="AC450" s="24"/>
      <c r="AD450" s="361">
        <f t="shared" si="104"/>
        <v>0</v>
      </c>
      <c r="AE450" s="359" t="str">
        <f t="shared" ref="AE450:AE513" si="107">IF(AND(I450&gt;0,H450&lt;&gt;"Income Generation"),IF(AND(H450&lt;&gt;"",D450&lt;&gt;"",E450&lt;&gt;"",F450&lt;&gt;"",C450&lt;&gt;"",G450&lt;&gt;"",K450&lt;&gt;"",L450&lt;&gt;"",M450&lt;&gt;"",N450&lt;&gt;"",P450&lt;&gt;"",Q450&lt;&gt;"",O450&lt;&gt;""),"","ERROR"),"")</f>
        <v/>
      </c>
      <c r="AF450" s="359" t="str">
        <f t="shared" si="102"/>
        <v/>
      </c>
      <c r="AG450" s="359" t="str">
        <f t="shared" ref="AG450:AG513" si="108">IF(AND(I450&gt;0,O450=""),"ERROR","")</f>
        <v/>
      </c>
      <c r="AH450" s="359" t="str">
        <f t="shared" ref="AH450:AH513" si="109">IF(AND(OR(H450="Income Generation"),O450&lt;&gt;""),"ERROR","")</f>
        <v/>
      </c>
      <c r="AI450" s="359" t="str">
        <f t="shared" ref="AI450:AI513" si="110">IF(AND(G450="R",I450&gt;J450),"ERROR","")</f>
        <v/>
      </c>
      <c r="AJ450" s="359" t="str">
        <f t="shared" ref="AJ450:AJ513" si="111">IF(AND(G450="NR",J450&gt;0),"ERROR","")</f>
        <v/>
      </c>
      <c r="AK450" s="359" t="str">
        <f t="shared" si="99"/>
        <v/>
      </c>
      <c r="AL450" s="359" t="str">
        <f t="shared" ref="AL450:AL513" si="112">IF(OR(L450="",L450="N/A"),"",IF(OR(L450&lt;DATEVALUE("01/04/24"),L450&gt;DATEVALUE("31/03/25")),"ERROR",""))</f>
        <v/>
      </c>
      <c r="AM450" s="359" t="str">
        <f t="shared" si="100"/>
        <v/>
      </c>
      <c r="AN450" s="262">
        <f t="shared" si="103"/>
        <v>0</v>
      </c>
      <c r="AO450" s="262" t="str">
        <f>IFERROR(HLOOKUP(AN450,'Ref Lists'!Q$1:AL$2,2,FALSE),'Ref Lists'!$AK$2)</f>
        <v>Savings21</v>
      </c>
      <c r="AP450" s="38"/>
      <c r="AQ450" s="38">
        <f t="shared" si="106"/>
        <v>0</v>
      </c>
      <c r="AR450" s="38"/>
      <c r="AS450" s="38"/>
      <c r="AT450" s="38"/>
      <c r="AU450" s="38"/>
      <c r="AV450" s="38"/>
      <c r="AW450" s="38"/>
      <c r="AX450" s="38"/>
      <c r="AY450" s="38"/>
      <c r="AZ450" s="38"/>
      <c r="BA450" s="38"/>
      <c r="BB450" s="38"/>
      <c r="BC450" s="38"/>
      <c r="BD450" s="38"/>
      <c r="BE450" s="38"/>
      <c r="BF450" s="38"/>
      <c r="BG450" s="38"/>
      <c r="BH450" s="38"/>
      <c r="BI450" s="38"/>
      <c r="BJ450" s="38"/>
      <c r="BK450" s="38"/>
      <c r="BL450" s="38"/>
      <c r="BM450" s="38"/>
      <c r="BN450" s="38"/>
      <c r="BO450" s="38"/>
      <c r="BP450" s="38"/>
      <c r="BQ450" s="38"/>
      <c r="BR450" s="38"/>
      <c r="BS450" s="38"/>
      <c r="BT450" s="38"/>
      <c r="BU450" s="38"/>
      <c r="BV450" s="38"/>
      <c r="BW450" s="38"/>
      <c r="BX450" s="38"/>
      <c r="BY450" s="38"/>
      <c r="BZ450" s="38"/>
      <c r="CA450" s="38"/>
      <c r="CB450" s="38"/>
      <c r="CC450" s="38"/>
      <c r="CD450" s="38"/>
      <c r="CE450" s="38"/>
      <c r="CF450" s="38"/>
      <c r="CG450" s="38"/>
      <c r="CH450" s="38"/>
      <c r="CI450" s="38"/>
      <c r="CJ450" s="38"/>
      <c r="CK450" s="38"/>
      <c r="CL450" s="38"/>
      <c r="CM450" s="38"/>
      <c r="CN450" s="38"/>
      <c r="CO450" s="38"/>
      <c r="CP450" s="38"/>
      <c r="CQ450" s="38"/>
      <c r="CR450" s="38"/>
      <c r="CS450" s="38"/>
      <c r="CT450" s="38"/>
      <c r="CU450" s="38"/>
      <c r="CV450" s="38"/>
      <c r="CW450" s="38"/>
      <c r="CX450" s="38"/>
      <c r="CY450" s="38"/>
      <c r="CZ450" s="38"/>
    </row>
    <row r="451" spans="1:104" s="40" customFormat="1" ht="20.149999999999999" customHeight="1">
      <c r="A451" s="358">
        <f t="shared" si="101"/>
        <v>450</v>
      </c>
      <c r="B451" s="359" t="str">
        <f>'Front Sheet and Checklist'!$C$5</f>
        <v>Swansea Bay UHB</v>
      </c>
      <c r="C451" s="17"/>
      <c r="D451" s="17"/>
      <c r="E451" s="17"/>
      <c r="F451" s="17"/>
      <c r="G451" s="17"/>
      <c r="H451" s="17"/>
      <c r="I451" s="361">
        <f t="shared" si="105"/>
        <v>0</v>
      </c>
      <c r="J451" s="17"/>
      <c r="K451" s="18"/>
      <c r="L451" s="18"/>
      <c r="M451" s="17"/>
      <c r="N451" s="17"/>
      <c r="O451" s="17"/>
      <c r="P451" s="17"/>
      <c r="Q451" s="169"/>
      <c r="R451" s="24"/>
      <c r="S451" s="24"/>
      <c r="T451" s="24"/>
      <c r="U451" s="25"/>
      <c r="V451" s="25"/>
      <c r="W451" s="25"/>
      <c r="X451" s="24"/>
      <c r="Y451" s="24"/>
      <c r="Z451" s="24"/>
      <c r="AA451" s="24"/>
      <c r="AB451" s="24"/>
      <c r="AC451" s="24"/>
      <c r="AD451" s="361">
        <f t="shared" si="104"/>
        <v>0</v>
      </c>
      <c r="AE451" s="359" t="str">
        <f t="shared" si="107"/>
        <v/>
      </c>
      <c r="AF451" s="359" t="str">
        <f t="shared" si="102"/>
        <v/>
      </c>
      <c r="AG451" s="359" t="str">
        <f t="shared" si="108"/>
        <v/>
      </c>
      <c r="AH451" s="359" t="str">
        <f t="shared" si="109"/>
        <v/>
      </c>
      <c r="AI451" s="359" t="str">
        <f t="shared" si="110"/>
        <v/>
      </c>
      <c r="AJ451" s="359" t="str">
        <f t="shared" si="111"/>
        <v/>
      </c>
      <c r="AK451" s="359" t="str">
        <f t="shared" ref="AK451:AK514" si="113">IF(OR(K451="",K451="N/a"),"",IF(OR(K451&lt;DATEVALUE("01/04/24"),K451&gt;DATEVALUE("31/03/25")),"ERROR",""))</f>
        <v/>
      </c>
      <c r="AL451" s="359" t="str">
        <f t="shared" si="112"/>
        <v/>
      </c>
      <c r="AM451" s="359" t="str">
        <f t="shared" ref="AM451:AM514" si="114">IF(COUNTA(T451:AC451)&lt;&gt;COUNT(T451:AC451),"ERROR","")</f>
        <v/>
      </c>
      <c r="AN451" s="262">
        <f t="shared" si="103"/>
        <v>0</v>
      </c>
      <c r="AO451" s="262" t="str">
        <f>IFERROR(HLOOKUP(AN451,'Ref Lists'!Q$1:AL$2,2,FALSE),'Ref Lists'!$AK$2)</f>
        <v>Savings21</v>
      </c>
      <c r="AP451" s="38"/>
      <c r="AQ451" s="38">
        <f t="shared" si="106"/>
        <v>0</v>
      </c>
      <c r="AR451" s="38"/>
      <c r="AS451" s="38"/>
      <c r="AT451" s="38"/>
      <c r="AU451" s="38"/>
      <c r="AV451" s="38"/>
      <c r="AW451" s="38"/>
      <c r="AX451" s="38"/>
      <c r="AY451" s="38"/>
      <c r="AZ451" s="38"/>
      <c r="BA451" s="38"/>
      <c r="BB451" s="38"/>
      <c r="BC451" s="38"/>
      <c r="BD451" s="38"/>
      <c r="BE451" s="38"/>
      <c r="BF451" s="38"/>
      <c r="BG451" s="38"/>
      <c r="BH451" s="38"/>
      <c r="BI451" s="38"/>
      <c r="BJ451" s="38"/>
      <c r="BK451" s="38"/>
      <c r="BL451" s="38"/>
      <c r="BM451" s="38"/>
      <c r="BN451" s="38"/>
      <c r="BO451" s="38"/>
      <c r="BP451" s="38"/>
      <c r="BQ451" s="38"/>
      <c r="BR451" s="38"/>
      <c r="BS451" s="38"/>
      <c r="BT451" s="38"/>
      <c r="BU451" s="38"/>
      <c r="BV451" s="38"/>
      <c r="BW451" s="38"/>
      <c r="BX451" s="38"/>
      <c r="BY451" s="38"/>
      <c r="BZ451" s="38"/>
      <c r="CA451" s="38"/>
      <c r="CB451" s="38"/>
      <c r="CC451" s="38"/>
      <c r="CD451" s="38"/>
      <c r="CE451" s="38"/>
      <c r="CF451" s="38"/>
      <c r="CG451" s="38"/>
      <c r="CH451" s="38"/>
      <c r="CI451" s="38"/>
      <c r="CJ451" s="38"/>
      <c r="CK451" s="38"/>
      <c r="CL451" s="38"/>
      <c r="CM451" s="38"/>
      <c r="CN451" s="38"/>
      <c r="CO451" s="38"/>
      <c r="CP451" s="38"/>
      <c r="CQ451" s="38"/>
      <c r="CR451" s="38"/>
      <c r="CS451" s="38"/>
      <c r="CT451" s="38"/>
      <c r="CU451" s="38"/>
      <c r="CV451" s="38"/>
      <c r="CW451" s="38"/>
      <c r="CX451" s="38"/>
      <c r="CY451" s="38"/>
      <c r="CZ451" s="38"/>
    </row>
    <row r="452" spans="1:104" s="40" customFormat="1" ht="20.149999999999999" customHeight="1">
      <c r="A452" s="358">
        <f t="shared" ref="A452:A515" si="115">+A451+1</f>
        <v>451</v>
      </c>
      <c r="B452" s="359" t="str">
        <f>'Front Sheet and Checklist'!$C$5</f>
        <v>Swansea Bay UHB</v>
      </c>
      <c r="C452" s="17"/>
      <c r="D452" s="17"/>
      <c r="E452" s="17"/>
      <c r="F452" s="17"/>
      <c r="G452" s="17"/>
      <c r="H452" s="17"/>
      <c r="I452" s="361">
        <f t="shared" si="105"/>
        <v>0</v>
      </c>
      <c r="J452" s="17"/>
      <c r="K452" s="18"/>
      <c r="L452" s="18"/>
      <c r="M452" s="17"/>
      <c r="N452" s="17"/>
      <c r="O452" s="17"/>
      <c r="P452" s="17"/>
      <c r="Q452" s="169"/>
      <c r="R452" s="24"/>
      <c r="S452" s="24"/>
      <c r="T452" s="24"/>
      <c r="U452" s="25"/>
      <c r="V452" s="25"/>
      <c r="W452" s="25"/>
      <c r="X452" s="24"/>
      <c r="Y452" s="24"/>
      <c r="Z452" s="24"/>
      <c r="AA452" s="24"/>
      <c r="AB452" s="24"/>
      <c r="AC452" s="24"/>
      <c r="AD452" s="361">
        <f t="shared" si="104"/>
        <v>0</v>
      </c>
      <c r="AE452" s="359" t="str">
        <f t="shared" si="107"/>
        <v/>
      </c>
      <c r="AF452" s="359" t="str">
        <f t="shared" ref="AF452:AF515" si="116">IF(COUNTIF($F$2:$F$1001,F452)&gt;1,"ERROR","")</f>
        <v/>
      </c>
      <c r="AG452" s="359" t="str">
        <f t="shared" si="108"/>
        <v/>
      </c>
      <c r="AH452" s="359" t="str">
        <f t="shared" si="109"/>
        <v/>
      </c>
      <c r="AI452" s="359" t="str">
        <f t="shared" si="110"/>
        <v/>
      </c>
      <c r="AJ452" s="359" t="str">
        <f t="shared" si="111"/>
        <v/>
      </c>
      <c r="AK452" s="359" t="str">
        <f t="shared" si="113"/>
        <v/>
      </c>
      <c r="AL452" s="359" t="str">
        <f t="shared" si="112"/>
        <v/>
      </c>
      <c r="AM452" s="359" t="str">
        <f t="shared" si="114"/>
        <v/>
      </c>
      <c r="AN452" s="262">
        <f t="shared" si="103"/>
        <v>0</v>
      </c>
      <c r="AO452" s="262" t="str">
        <f>IFERROR(HLOOKUP(AN452,'Ref Lists'!Q$1:AL$2,2,FALSE),'Ref Lists'!$AK$2)</f>
        <v>Savings21</v>
      </c>
      <c r="AP452" s="38"/>
      <c r="AQ452" s="38">
        <f t="shared" si="106"/>
        <v>0</v>
      </c>
      <c r="AR452" s="38"/>
      <c r="AS452" s="38"/>
      <c r="AT452" s="38"/>
      <c r="AU452" s="38"/>
      <c r="AV452" s="38"/>
      <c r="AW452" s="38"/>
      <c r="AX452" s="38"/>
      <c r="AY452" s="38"/>
      <c r="AZ452" s="38"/>
      <c r="BA452" s="38"/>
      <c r="BB452" s="38"/>
      <c r="BC452" s="38"/>
      <c r="BD452" s="38"/>
      <c r="BE452" s="38"/>
      <c r="BF452" s="38"/>
      <c r="BG452" s="38"/>
      <c r="BH452" s="38"/>
      <c r="BI452" s="38"/>
      <c r="BJ452" s="38"/>
      <c r="BK452" s="38"/>
      <c r="BL452" s="38"/>
      <c r="BM452" s="38"/>
      <c r="BN452" s="38"/>
      <c r="BO452" s="38"/>
      <c r="BP452" s="38"/>
      <c r="BQ452" s="38"/>
      <c r="BR452" s="38"/>
      <c r="BS452" s="38"/>
      <c r="BT452" s="38"/>
      <c r="BU452" s="38"/>
      <c r="BV452" s="38"/>
      <c r="BW452" s="38"/>
      <c r="BX452" s="38"/>
      <c r="BY452" s="38"/>
      <c r="BZ452" s="38"/>
      <c r="CA452" s="38"/>
      <c r="CB452" s="38"/>
      <c r="CC452" s="38"/>
      <c r="CD452" s="38"/>
      <c r="CE452" s="38"/>
      <c r="CF452" s="38"/>
      <c r="CG452" s="38"/>
      <c r="CH452" s="38"/>
      <c r="CI452" s="38"/>
      <c r="CJ452" s="38"/>
      <c r="CK452" s="38"/>
      <c r="CL452" s="38"/>
      <c r="CM452" s="38"/>
      <c r="CN452" s="38"/>
      <c r="CO452" s="38"/>
      <c r="CP452" s="38"/>
      <c r="CQ452" s="38"/>
      <c r="CR452" s="38"/>
      <c r="CS452" s="38"/>
      <c r="CT452" s="38"/>
      <c r="CU452" s="38"/>
      <c r="CV452" s="38"/>
      <c r="CW452" s="38"/>
      <c r="CX452" s="38"/>
      <c r="CY452" s="38"/>
      <c r="CZ452" s="38"/>
    </row>
    <row r="453" spans="1:104" s="40" customFormat="1" ht="20.149999999999999" customHeight="1">
      <c r="A453" s="358">
        <f t="shared" si="115"/>
        <v>452</v>
      </c>
      <c r="B453" s="359" t="str">
        <f>'Front Sheet and Checklist'!$C$5</f>
        <v>Swansea Bay UHB</v>
      </c>
      <c r="C453" s="17"/>
      <c r="D453" s="17"/>
      <c r="E453" s="17"/>
      <c r="F453" s="17"/>
      <c r="G453" s="17"/>
      <c r="H453" s="17"/>
      <c r="I453" s="361">
        <f t="shared" si="105"/>
        <v>0</v>
      </c>
      <c r="J453" s="17"/>
      <c r="K453" s="18"/>
      <c r="L453" s="18"/>
      <c r="M453" s="17"/>
      <c r="N453" s="17"/>
      <c r="O453" s="17"/>
      <c r="P453" s="17"/>
      <c r="Q453" s="169"/>
      <c r="R453" s="24"/>
      <c r="S453" s="24"/>
      <c r="T453" s="24"/>
      <c r="U453" s="25"/>
      <c r="V453" s="25"/>
      <c r="W453" s="25"/>
      <c r="X453" s="24"/>
      <c r="Y453" s="24"/>
      <c r="Z453" s="24"/>
      <c r="AA453" s="24"/>
      <c r="AB453" s="24"/>
      <c r="AC453" s="24"/>
      <c r="AD453" s="361">
        <f t="shared" si="104"/>
        <v>0</v>
      </c>
      <c r="AE453" s="359" t="str">
        <f t="shared" si="107"/>
        <v/>
      </c>
      <c r="AF453" s="359" t="str">
        <f t="shared" si="116"/>
        <v/>
      </c>
      <c r="AG453" s="359" t="str">
        <f t="shared" si="108"/>
        <v/>
      </c>
      <c r="AH453" s="359" t="str">
        <f t="shared" si="109"/>
        <v/>
      </c>
      <c r="AI453" s="359" t="str">
        <f t="shared" si="110"/>
        <v/>
      </c>
      <c r="AJ453" s="359" t="str">
        <f t="shared" si="111"/>
        <v/>
      </c>
      <c r="AK453" s="359" t="str">
        <f t="shared" si="113"/>
        <v/>
      </c>
      <c r="AL453" s="359" t="str">
        <f t="shared" si="112"/>
        <v/>
      </c>
      <c r="AM453" s="359" t="str">
        <f t="shared" si="114"/>
        <v/>
      </c>
      <c r="AN453" s="262">
        <f t="shared" ref="AN453:AN516" si="117">IF(P453="1) Workforce",_xlfn.CONCAT(P453,O453),IF(P453="5) Pathway",_xlfn.CONCAT(P453,N453),P453))</f>
        <v>0</v>
      </c>
      <c r="AO453" s="262" t="str">
        <f>IFERROR(HLOOKUP(AN453,'Ref Lists'!Q$1:AL$2,2,FALSE),'Ref Lists'!$AK$2)</f>
        <v>Savings21</v>
      </c>
      <c r="AP453" s="38"/>
      <c r="AQ453" s="38">
        <f t="shared" si="106"/>
        <v>0</v>
      </c>
      <c r="AR453" s="38"/>
      <c r="AS453" s="38"/>
      <c r="AT453" s="38"/>
      <c r="AU453" s="38"/>
      <c r="AV453" s="38"/>
      <c r="AW453" s="38"/>
      <c r="AX453" s="38"/>
      <c r="AY453" s="38"/>
      <c r="AZ453" s="38"/>
      <c r="BA453" s="38"/>
      <c r="BB453" s="38"/>
      <c r="BC453" s="38"/>
      <c r="BD453" s="38"/>
      <c r="BE453" s="38"/>
      <c r="BF453" s="38"/>
      <c r="BG453" s="38"/>
      <c r="BH453" s="38"/>
      <c r="BI453" s="38"/>
      <c r="BJ453" s="38"/>
      <c r="BK453" s="38"/>
      <c r="BL453" s="38"/>
      <c r="BM453" s="38"/>
      <c r="BN453" s="38"/>
      <c r="BO453" s="38"/>
      <c r="BP453" s="38"/>
      <c r="BQ453" s="38"/>
      <c r="BR453" s="38"/>
      <c r="BS453" s="38"/>
      <c r="BT453" s="38"/>
      <c r="BU453" s="38"/>
      <c r="BV453" s="38"/>
      <c r="BW453" s="38"/>
      <c r="BX453" s="38"/>
      <c r="BY453" s="38"/>
      <c r="BZ453" s="38"/>
      <c r="CA453" s="38"/>
      <c r="CB453" s="38"/>
      <c r="CC453" s="38"/>
      <c r="CD453" s="38"/>
      <c r="CE453" s="38"/>
      <c r="CF453" s="38"/>
      <c r="CG453" s="38"/>
      <c r="CH453" s="38"/>
      <c r="CI453" s="38"/>
      <c r="CJ453" s="38"/>
      <c r="CK453" s="38"/>
      <c r="CL453" s="38"/>
      <c r="CM453" s="38"/>
      <c r="CN453" s="38"/>
      <c r="CO453" s="38"/>
      <c r="CP453" s="38"/>
      <c r="CQ453" s="38"/>
      <c r="CR453" s="38"/>
      <c r="CS453" s="38"/>
      <c r="CT453" s="38"/>
      <c r="CU453" s="38"/>
      <c r="CV453" s="38"/>
      <c r="CW453" s="38"/>
      <c r="CX453" s="38"/>
      <c r="CY453" s="38"/>
      <c r="CZ453" s="38"/>
    </row>
    <row r="454" spans="1:104" s="40" customFormat="1" ht="20.149999999999999" customHeight="1">
      <c r="A454" s="358">
        <f t="shared" si="115"/>
        <v>453</v>
      </c>
      <c r="B454" s="359" t="str">
        <f>'Front Sheet and Checklist'!$C$5</f>
        <v>Swansea Bay UHB</v>
      </c>
      <c r="C454" s="17"/>
      <c r="D454" s="17"/>
      <c r="E454" s="17"/>
      <c r="F454" s="17"/>
      <c r="G454" s="17"/>
      <c r="H454" s="17"/>
      <c r="I454" s="361">
        <f t="shared" si="105"/>
        <v>0</v>
      </c>
      <c r="J454" s="17"/>
      <c r="K454" s="18"/>
      <c r="L454" s="18"/>
      <c r="M454" s="17"/>
      <c r="N454" s="17"/>
      <c r="O454" s="17"/>
      <c r="P454" s="17"/>
      <c r="Q454" s="169"/>
      <c r="R454" s="24"/>
      <c r="S454" s="24"/>
      <c r="T454" s="24"/>
      <c r="U454" s="25"/>
      <c r="V454" s="25"/>
      <c r="W454" s="25"/>
      <c r="X454" s="24"/>
      <c r="Y454" s="24"/>
      <c r="Z454" s="24"/>
      <c r="AA454" s="24"/>
      <c r="AB454" s="24"/>
      <c r="AC454" s="24"/>
      <c r="AD454" s="361">
        <f t="shared" si="104"/>
        <v>0</v>
      </c>
      <c r="AE454" s="359" t="str">
        <f t="shared" si="107"/>
        <v/>
      </c>
      <c r="AF454" s="359" t="str">
        <f t="shared" si="116"/>
        <v/>
      </c>
      <c r="AG454" s="359" t="str">
        <f t="shared" si="108"/>
        <v/>
      </c>
      <c r="AH454" s="359" t="str">
        <f t="shared" si="109"/>
        <v/>
      </c>
      <c r="AI454" s="359" t="str">
        <f t="shared" si="110"/>
        <v/>
      </c>
      <c r="AJ454" s="359" t="str">
        <f t="shared" si="111"/>
        <v/>
      </c>
      <c r="AK454" s="359" t="str">
        <f t="shared" si="113"/>
        <v/>
      </c>
      <c r="AL454" s="359" t="str">
        <f t="shared" si="112"/>
        <v/>
      </c>
      <c r="AM454" s="359" t="str">
        <f t="shared" si="114"/>
        <v/>
      </c>
      <c r="AN454" s="262">
        <f t="shared" si="117"/>
        <v>0</v>
      </c>
      <c r="AO454" s="262" t="str">
        <f>IFERROR(HLOOKUP(AN454,'Ref Lists'!Q$1:AL$2,2,FALSE),'Ref Lists'!$AK$2)</f>
        <v>Savings21</v>
      </c>
      <c r="AP454" s="38"/>
      <c r="AQ454" s="38">
        <f t="shared" si="106"/>
        <v>0</v>
      </c>
      <c r="AR454" s="38"/>
      <c r="AS454" s="38"/>
      <c r="AT454" s="38"/>
      <c r="AU454" s="38"/>
      <c r="AV454" s="38"/>
      <c r="AW454" s="38"/>
      <c r="AX454" s="38"/>
      <c r="AY454" s="38"/>
      <c r="AZ454" s="38"/>
      <c r="BA454" s="38"/>
      <c r="BB454" s="38"/>
      <c r="BC454" s="38"/>
      <c r="BD454" s="38"/>
      <c r="BE454" s="38"/>
      <c r="BF454" s="38"/>
      <c r="BG454" s="38"/>
      <c r="BH454" s="38"/>
      <c r="BI454" s="38"/>
      <c r="BJ454" s="38"/>
      <c r="BK454" s="38"/>
      <c r="BL454" s="38"/>
      <c r="BM454" s="38"/>
      <c r="BN454" s="38"/>
      <c r="BO454" s="38"/>
      <c r="BP454" s="38"/>
      <c r="BQ454" s="38"/>
      <c r="BR454" s="38"/>
      <c r="BS454" s="38"/>
      <c r="BT454" s="38"/>
      <c r="BU454" s="38"/>
      <c r="BV454" s="38"/>
      <c r="BW454" s="38"/>
      <c r="BX454" s="38"/>
      <c r="BY454" s="38"/>
      <c r="BZ454" s="38"/>
      <c r="CA454" s="38"/>
      <c r="CB454" s="38"/>
      <c r="CC454" s="38"/>
      <c r="CD454" s="38"/>
      <c r="CE454" s="38"/>
      <c r="CF454" s="38"/>
      <c r="CG454" s="38"/>
      <c r="CH454" s="38"/>
      <c r="CI454" s="38"/>
      <c r="CJ454" s="38"/>
      <c r="CK454" s="38"/>
      <c r="CL454" s="38"/>
      <c r="CM454" s="38"/>
      <c r="CN454" s="38"/>
      <c r="CO454" s="38"/>
      <c r="CP454" s="38"/>
      <c r="CQ454" s="38"/>
      <c r="CR454" s="38"/>
      <c r="CS454" s="38"/>
      <c r="CT454" s="38"/>
      <c r="CU454" s="38"/>
      <c r="CV454" s="38"/>
      <c r="CW454" s="38"/>
      <c r="CX454" s="38"/>
      <c r="CY454" s="38"/>
      <c r="CZ454" s="38"/>
    </row>
    <row r="455" spans="1:104" s="40" customFormat="1" ht="20.149999999999999" customHeight="1">
      <c r="A455" s="358">
        <f t="shared" si="115"/>
        <v>454</v>
      </c>
      <c r="B455" s="359" t="str">
        <f>'Front Sheet and Checklist'!$C$5</f>
        <v>Swansea Bay UHB</v>
      </c>
      <c r="C455" s="17"/>
      <c r="D455" s="17"/>
      <c r="E455" s="17"/>
      <c r="F455" s="17"/>
      <c r="G455" s="17"/>
      <c r="H455" s="17"/>
      <c r="I455" s="361">
        <f t="shared" si="105"/>
        <v>0</v>
      </c>
      <c r="J455" s="17"/>
      <c r="K455" s="18"/>
      <c r="L455" s="18"/>
      <c r="M455" s="17"/>
      <c r="N455" s="17"/>
      <c r="O455" s="17"/>
      <c r="P455" s="17"/>
      <c r="Q455" s="169"/>
      <c r="R455" s="24"/>
      <c r="S455" s="24"/>
      <c r="T455" s="24"/>
      <c r="U455" s="25"/>
      <c r="V455" s="25"/>
      <c r="W455" s="25"/>
      <c r="X455" s="24"/>
      <c r="Y455" s="24"/>
      <c r="Z455" s="24"/>
      <c r="AA455" s="24"/>
      <c r="AB455" s="24"/>
      <c r="AC455" s="24"/>
      <c r="AD455" s="361">
        <f t="shared" si="104"/>
        <v>0</v>
      </c>
      <c r="AE455" s="359" t="str">
        <f t="shared" si="107"/>
        <v/>
      </c>
      <c r="AF455" s="359" t="str">
        <f t="shared" si="116"/>
        <v/>
      </c>
      <c r="AG455" s="359" t="str">
        <f t="shared" si="108"/>
        <v/>
      </c>
      <c r="AH455" s="359" t="str">
        <f t="shared" si="109"/>
        <v/>
      </c>
      <c r="AI455" s="359" t="str">
        <f t="shared" si="110"/>
        <v/>
      </c>
      <c r="AJ455" s="359" t="str">
        <f t="shared" si="111"/>
        <v/>
      </c>
      <c r="AK455" s="359" t="str">
        <f t="shared" si="113"/>
        <v/>
      </c>
      <c r="AL455" s="359" t="str">
        <f t="shared" si="112"/>
        <v/>
      </c>
      <c r="AM455" s="359" t="str">
        <f t="shared" si="114"/>
        <v/>
      </c>
      <c r="AN455" s="262">
        <f t="shared" si="117"/>
        <v>0</v>
      </c>
      <c r="AO455" s="262" t="str">
        <f>IFERROR(HLOOKUP(AN455,'Ref Lists'!Q$1:AL$2,2,FALSE),'Ref Lists'!$AK$2)</f>
        <v>Savings21</v>
      </c>
      <c r="AP455" s="38"/>
      <c r="AQ455" s="38">
        <f t="shared" si="106"/>
        <v>0</v>
      </c>
      <c r="AR455" s="38"/>
      <c r="AS455" s="38"/>
      <c r="AT455" s="38"/>
      <c r="AU455" s="38"/>
      <c r="AV455" s="38"/>
      <c r="AW455" s="38"/>
      <c r="AX455" s="38"/>
      <c r="AY455" s="38"/>
      <c r="AZ455" s="38"/>
      <c r="BA455" s="38"/>
      <c r="BB455" s="38"/>
      <c r="BC455" s="38"/>
      <c r="BD455" s="38"/>
      <c r="BE455" s="38"/>
      <c r="BF455" s="38"/>
      <c r="BG455" s="38"/>
      <c r="BH455" s="38"/>
      <c r="BI455" s="38"/>
      <c r="BJ455" s="38"/>
      <c r="BK455" s="38"/>
      <c r="BL455" s="38"/>
      <c r="BM455" s="38"/>
      <c r="BN455" s="38"/>
      <c r="BO455" s="38"/>
      <c r="BP455" s="38"/>
      <c r="BQ455" s="38"/>
      <c r="BR455" s="38"/>
      <c r="BS455" s="38"/>
      <c r="BT455" s="38"/>
      <c r="BU455" s="38"/>
      <c r="BV455" s="38"/>
      <c r="BW455" s="38"/>
      <c r="BX455" s="38"/>
      <c r="BY455" s="38"/>
      <c r="BZ455" s="38"/>
      <c r="CA455" s="38"/>
      <c r="CB455" s="38"/>
      <c r="CC455" s="38"/>
      <c r="CD455" s="38"/>
      <c r="CE455" s="38"/>
      <c r="CF455" s="38"/>
      <c r="CG455" s="38"/>
      <c r="CH455" s="38"/>
      <c r="CI455" s="38"/>
      <c r="CJ455" s="38"/>
      <c r="CK455" s="38"/>
      <c r="CL455" s="38"/>
      <c r="CM455" s="38"/>
      <c r="CN455" s="38"/>
      <c r="CO455" s="38"/>
      <c r="CP455" s="38"/>
      <c r="CQ455" s="38"/>
      <c r="CR455" s="38"/>
      <c r="CS455" s="38"/>
      <c r="CT455" s="38"/>
      <c r="CU455" s="38"/>
      <c r="CV455" s="38"/>
      <c r="CW455" s="38"/>
      <c r="CX455" s="38"/>
      <c r="CY455" s="38"/>
      <c r="CZ455" s="38"/>
    </row>
    <row r="456" spans="1:104" s="40" customFormat="1" ht="20.149999999999999" customHeight="1">
      <c r="A456" s="358">
        <f t="shared" si="115"/>
        <v>455</v>
      </c>
      <c r="B456" s="359" t="str">
        <f>'Front Sheet and Checklist'!$C$5</f>
        <v>Swansea Bay UHB</v>
      </c>
      <c r="C456" s="17"/>
      <c r="D456" s="17"/>
      <c r="E456" s="17"/>
      <c r="F456" s="17"/>
      <c r="G456" s="17"/>
      <c r="H456" s="17"/>
      <c r="I456" s="361">
        <f t="shared" si="105"/>
        <v>0</v>
      </c>
      <c r="J456" s="17"/>
      <c r="K456" s="18"/>
      <c r="L456" s="18"/>
      <c r="M456" s="17"/>
      <c r="N456" s="17"/>
      <c r="O456" s="17"/>
      <c r="P456" s="17"/>
      <c r="Q456" s="169"/>
      <c r="R456" s="24"/>
      <c r="S456" s="24"/>
      <c r="T456" s="24"/>
      <c r="U456" s="25"/>
      <c r="V456" s="25"/>
      <c r="W456" s="25"/>
      <c r="X456" s="24"/>
      <c r="Y456" s="24"/>
      <c r="Z456" s="24"/>
      <c r="AA456" s="24"/>
      <c r="AB456" s="24"/>
      <c r="AC456" s="24"/>
      <c r="AD456" s="361">
        <f t="shared" si="104"/>
        <v>0</v>
      </c>
      <c r="AE456" s="359" t="str">
        <f t="shared" si="107"/>
        <v/>
      </c>
      <c r="AF456" s="359" t="str">
        <f t="shared" si="116"/>
        <v/>
      </c>
      <c r="AG456" s="359" t="str">
        <f t="shared" si="108"/>
        <v/>
      </c>
      <c r="AH456" s="359" t="str">
        <f t="shared" si="109"/>
        <v/>
      </c>
      <c r="AI456" s="359" t="str">
        <f t="shared" si="110"/>
        <v/>
      </c>
      <c r="AJ456" s="359" t="str">
        <f t="shared" si="111"/>
        <v/>
      </c>
      <c r="AK456" s="359" t="str">
        <f t="shared" si="113"/>
        <v/>
      </c>
      <c r="AL456" s="359" t="str">
        <f t="shared" si="112"/>
        <v/>
      </c>
      <c r="AM456" s="359" t="str">
        <f t="shared" si="114"/>
        <v/>
      </c>
      <c r="AN456" s="262">
        <f t="shared" si="117"/>
        <v>0</v>
      </c>
      <c r="AO456" s="262" t="str">
        <f>IFERROR(HLOOKUP(AN456,'Ref Lists'!Q$1:AL$2,2,FALSE),'Ref Lists'!$AK$2)</f>
        <v>Savings21</v>
      </c>
      <c r="AP456" s="38"/>
      <c r="AQ456" s="38">
        <f t="shared" si="106"/>
        <v>0</v>
      </c>
      <c r="AR456" s="38"/>
      <c r="AS456" s="38"/>
      <c r="AT456" s="38"/>
      <c r="AU456" s="38"/>
      <c r="AV456" s="38"/>
      <c r="AW456" s="38"/>
      <c r="AX456" s="38"/>
      <c r="AY456" s="38"/>
      <c r="AZ456" s="38"/>
      <c r="BA456" s="38"/>
      <c r="BB456" s="38"/>
      <c r="BC456" s="38"/>
      <c r="BD456" s="38"/>
      <c r="BE456" s="38"/>
      <c r="BF456" s="38"/>
      <c r="BG456" s="38"/>
      <c r="BH456" s="38"/>
      <c r="BI456" s="38"/>
      <c r="BJ456" s="38"/>
      <c r="BK456" s="38"/>
      <c r="BL456" s="38"/>
      <c r="BM456" s="38"/>
      <c r="BN456" s="38"/>
      <c r="BO456" s="38"/>
      <c r="BP456" s="38"/>
      <c r="BQ456" s="38"/>
      <c r="BR456" s="38"/>
      <c r="BS456" s="38"/>
      <c r="BT456" s="38"/>
      <c r="BU456" s="38"/>
      <c r="BV456" s="38"/>
      <c r="BW456" s="38"/>
      <c r="BX456" s="38"/>
      <c r="BY456" s="38"/>
      <c r="BZ456" s="38"/>
      <c r="CA456" s="38"/>
      <c r="CB456" s="38"/>
      <c r="CC456" s="38"/>
      <c r="CD456" s="38"/>
      <c r="CE456" s="38"/>
      <c r="CF456" s="38"/>
      <c r="CG456" s="38"/>
      <c r="CH456" s="38"/>
      <c r="CI456" s="38"/>
      <c r="CJ456" s="38"/>
      <c r="CK456" s="38"/>
      <c r="CL456" s="38"/>
      <c r="CM456" s="38"/>
      <c r="CN456" s="38"/>
      <c r="CO456" s="38"/>
      <c r="CP456" s="38"/>
      <c r="CQ456" s="38"/>
      <c r="CR456" s="38"/>
      <c r="CS456" s="38"/>
      <c r="CT456" s="38"/>
      <c r="CU456" s="38"/>
      <c r="CV456" s="38"/>
      <c r="CW456" s="38"/>
      <c r="CX456" s="38"/>
      <c r="CY456" s="38"/>
      <c r="CZ456" s="38"/>
    </row>
    <row r="457" spans="1:104" s="40" customFormat="1" ht="20.149999999999999" customHeight="1">
      <c r="A457" s="358">
        <f t="shared" si="115"/>
        <v>456</v>
      </c>
      <c r="B457" s="359" t="str">
        <f>'Front Sheet and Checklist'!$C$5</f>
        <v>Swansea Bay UHB</v>
      </c>
      <c r="C457" s="17"/>
      <c r="D457" s="17"/>
      <c r="E457" s="17"/>
      <c r="F457" s="17"/>
      <c r="G457" s="17"/>
      <c r="H457" s="17"/>
      <c r="I457" s="361">
        <f t="shared" si="105"/>
        <v>0</v>
      </c>
      <c r="J457" s="17"/>
      <c r="K457" s="18"/>
      <c r="L457" s="18"/>
      <c r="M457" s="17"/>
      <c r="N457" s="17"/>
      <c r="O457" s="17"/>
      <c r="P457" s="17"/>
      <c r="Q457" s="169"/>
      <c r="R457" s="24"/>
      <c r="S457" s="24"/>
      <c r="T457" s="24"/>
      <c r="U457" s="25"/>
      <c r="V457" s="25"/>
      <c r="W457" s="25"/>
      <c r="X457" s="24"/>
      <c r="Y457" s="24"/>
      <c r="Z457" s="24"/>
      <c r="AA457" s="24"/>
      <c r="AB457" s="24"/>
      <c r="AC457" s="24"/>
      <c r="AD457" s="361">
        <f t="shared" si="104"/>
        <v>0</v>
      </c>
      <c r="AE457" s="359" t="str">
        <f t="shared" si="107"/>
        <v/>
      </c>
      <c r="AF457" s="359" t="str">
        <f t="shared" si="116"/>
        <v/>
      </c>
      <c r="AG457" s="359" t="str">
        <f t="shared" si="108"/>
        <v/>
      </c>
      <c r="AH457" s="359" t="str">
        <f t="shared" si="109"/>
        <v/>
      </c>
      <c r="AI457" s="359" t="str">
        <f t="shared" si="110"/>
        <v/>
      </c>
      <c r="AJ457" s="359" t="str">
        <f t="shared" si="111"/>
        <v/>
      </c>
      <c r="AK457" s="359" t="str">
        <f t="shared" si="113"/>
        <v/>
      </c>
      <c r="AL457" s="359" t="str">
        <f t="shared" si="112"/>
        <v/>
      </c>
      <c r="AM457" s="359" t="str">
        <f t="shared" si="114"/>
        <v/>
      </c>
      <c r="AN457" s="262">
        <f t="shared" si="117"/>
        <v>0</v>
      </c>
      <c r="AO457" s="262" t="str">
        <f>IFERROR(HLOOKUP(AN457,'Ref Lists'!Q$1:AL$2,2,FALSE),'Ref Lists'!$AK$2)</f>
        <v>Savings21</v>
      </c>
      <c r="AP457" s="38"/>
      <c r="AQ457" s="38">
        <f t="shared" si="106"/>
        <v>0</v>
      </c>
      <c r="AR457" s="38"/>
      <c r="AS457" s="38"/>
      <c r="AT457" s="38"/>
      <c r="AU457" s="38"/>
      <c r="AV457" s="38"/>
      <c r="AW457" s="38"/>
      <c r="AX457" s="38"/>
      <c r="AY457" s="38"/>
      <c r="AZ457" s="38"/>
      <c r="BA457" s="38"/>
      <c r="BB457" s="38"/>
      <c r="BC457" s="38"/>
      <c r="BD457" s="38"/>
      <c r="BE457" s="38"/>
      <c r="BF457" s="38"/>
      <c r="BG457" s="38"/>
      <c r="BH457" s="38"/>
      <c r="BI457" s="38"/>
      <c r="BJ457" s="38"/>
      <c r="BK457" s="38"/>
      <c r="BL457" s="38"/>
      <c r="BM457" s="38"/>
      <c r="BN457" s="38"/>
      <c r="BO457" s="38"/>
      <c r="BP457" s="38"/>
      <c r="BQ457" s="38"/>
      <c r="BR457" s="38"/>
      <c r="BS457" s="38"/>
      <c r="BT457" s="38"/>
      <c r="BU457" s="38"/>
      <c r="BV457" s="38"/>
      <c r="BW457" s="38"/>
      <c r="BX457" s="38"/>
      <c r="BY457" s="38"/>
      <c r="BZ457" s="38"/>
      <c r="CA457" s="38"/>
      <c r="CB457" s="38"/>
      <c r="CC457" s="38"/>
      <c r="CD457" s="38"/>
      <c r="CE457" s="38"/>
      <c r="CF457" s="38"/>
      <c r="CG457" s="38"/>
      <c r="CH457" s="38"/>
      <c r="CI457" s="38"/>
      <c r="CJ457" s="38"/>
      <c r="CK457" s="38"/>
      <c r="CL457" s="38"/>
      <c r="CM457" s="38"/>
      <c r="CN457" s="38"/>
      <c r="CO457" s="38"/>
      <c r="CP457" s="38"/>
      <c r="CQ457" s="38"/>
      <c r="CR457" s="38"/>
      <c r="CS457" s="38"/>
      <c r="CT457" s="38"/>
      <c r="CU457" s="38"/>
      <c r="CV457" s="38"/>
      <c r="CW457" s="38"/>
      <c r="CX457" s="38"/>
      <c r="CY457" s="38"/>
      <c r="CZ457" s="38"/>
    </row>
    <row r="458" spans="1:104" s="40" customFormat="1" ht="20.149999999999999" customHeight="1">
      <c r="A458" s="358">
        <f t="shared" si="115"/>
        <v>457</v>
      </c>
      <c r="B458" s="359" t="str">
        <f>'Front Sheet and Checklist'!$C$5</f>
        <v>Swansea Bay UHB</v>
      </c>
      <c r="C458" s="17"/>
      <c r="D458" s="17"/>
      <c r="E458" s="17"/>
      <c r="F458" s="17"/>
      <c r="G458" s="17"/>
      <c r="H458" s="17"/>
      <c r="I458" s="361">
        <f t="shared" si="105"/>
        <v>0</v>
      </c>
      <c r="J458" s="17"/>
      <c r="K458" s="18"/>
      <c r="L458" s="18"/>
      <c r="M458" s="17"/>
      <c r="N458" s="17"/>
      <c r="O458" s="17"/>
      <c r="P458" s="17"/>
      <c r="Q458" s="169"/>
      <c r="R458" s="24"/>
      <c r="S458" s="24"/>
      <c r="T458" s="24"/>
      <c r="U458" s="25"/>
      <c r="V458" s="25"/>
      <c r="W458" s="25"/>
      <c r="X458" s="24"/>
      <c r="Y458" s="24"/>
      <c r="Z458" s="24"/>
      <c r="AA458" s="24"/>
      <c r="AB458" s="24"/>
      <c r="AC458" s="24"/>
      <c r="AD458" s="361">
        <f t="shared" si="104"/>
        <v>0</v>
      </c>
      <c r="AE458" s="359" t="str">
        <f t="shared" si="107"/>
        <v/>
      </c>
      <c r="AF458" s="359" t="str">
        <f t="shared" si="116"/>
        <v/>
      </c>
      <c r="AG458" s="359" t="str">
        <f t="shared" si="108"/>
        <v/>
      </c>
      <c r="AH458" s="359" t="str">
        <f t="shared" si="109"/>
        <v/>
      </c>
      <c r="AI458" s="359" t="str">
        <f t="shared" si="110"/>
        <v/>
      </c>
      <c r="AJ458" s="359" t="str">
        <f t="shared" si="111"/>
        <v/>
      </c>
      <c r="AK458" s="359" t="str">
        <f t="shared" si="113"/>
        <v/>
      </c>
      <c r="AL458" s="359" t="str">
        <f t="shared" si="112"/>
        <v/>
      </c>
      <c r="AM458" s="359" t="str">
        <f t="shared" si="114"/>
        <v/>
      </c>
      <c r="AN458" s="262">
        <f t="shared" si="117"/>
        <v>0</v>
      </c>
      <c r="AO458" s="262" t="str">
        <f>IFERROR(HLOOKUP(AN458,'Ref Lists'!Q$1:AL$2,2,FALSE),'Ref Lists'!$AK$2)</f>
        <v>Savings21</v>
      </c>
      <c r="AP458" s="38"/>
      <c r="AQ458" s="38">
        <f t="shared" si="106"/>
        <v>0</v>
      </c>
      <c r="AR458" s="38"/>
      <c r="AS458" s="38"/>
      <c r="AT458" s="38"/>
      <c r="AU458" s="38"/>
      <c r="AV458" s="38"/>
      <c r="AW458" s="38"/>
      <c r="AX458" s="38"/>
      <c r="AY458" s="38"/>
      <c r="AZ458" s="38"/>
      <c r="BA458" s="38"/>
      <c r="BB458" s="38"/>
      <c r="BC458" s="38"/>
      <c r="BD458" s="38"/>
      <c r="BE458" s="38"/>
      <c r="BF458" s="38"/>
      <c r="BG458" s="38"/>
      <c r="BH458" s="38"/>
      <c r="BI458" s="38"/>
      <c r="BJ458" s="38"/>
      <c r="BK458" s="38"/>
      <c r="BL458" s="38"/>
      <c r="BM458" s="38"/>
      <c r="BN458" s="38"/>
      <c r="BO458" s="38"/>
      <c r="BP458" s="38"/>
      <c r="BQ458" s="38"/>
      <c r="BR458" s="38"/>
      <c r="BS458" s="38"/>
      <c r="BT458" s="38"/>
      <c r="BU458" s="38"/>
      <c r="BV458" s="38"/>
      <c r="BW458" s="38"/>
      <c r="BX458" s="38"/>
      <c r="BY458" s="38"/>
      <c r="BZ458" s="38"/>
      <c r="CA458" s="38"/>
      <c r="CB458" s="38"/>
      <c r="CC458" s="38"/>
      <c r="CD458" s="38"/>
      <c r="CE458" s="38"/>
      <c r="CF458" s="38"/>
      <c r="CG458" s="38"/>
      <c r="CH458" s="38"/>
      <c r="CI458" s="38"/>
      <c r="CJ458" s="38"/>
      <c r="CK458" s="38"/>
      <c r="CL458" s="38"/>
      <c r="CM458" s="38"/>
      <c r="CN458" s="38"/>
      <c r="CO458" s="38"/>
      <c r="CP458" s="38"/>
      <c r="CQ458" s="38"/>
      <c r="CR458" s="38"/>
      <c r="CS458" s="38"/>
      <c r="CT458" s="38"/>
      <c r="CU458" s="38"/>
      <c r="CV458" s="38"/>
      <c r="CW458" s="38"/>
      <c r="CX458" s="38"/>
      <c r="CY458" s="38"/>
      <c r="CZ458" s="38"/>
    </row>
    <row r="459" spans="1:104" s="40" customFormat="1" ht="20.149999999999999" customHeight="1">
      <c r="A459" s="358">
        <f t="shared" si="115"/>
        <v>458</v>
      </c>
      <c r="B459" s="359" t="str">
        <f>'Front Sheet and Checklist'!$C$5</f>
        <v>Swansea Bay UHB</v>
      </c>
      <c r="C459" s="17"/>
      <c r="D459" s="17"/>
      <c r="E459" s="17"/>
      <c r="F459" s="17"/>
      <c r="G459" s="17"/>
      <c r="H459" s="17"/>
      <c r="I459" s="361">
        <f t="shared" si="105"/>
        <v>0</v>
      </c>
      <c r="J459" s="17"/>
      <c r="K459" s="18"/>
      <c r="L459" s="18"/>
      <c r="M459" s="17"/>
      <c r="N459" s="17"/>
      <c r="O459" s="17"/>
      <c r="P459" s="17"/>
      <c r="Q459" s="169"/>
      <c r="R459" s="24"/>
      <c r="S459" s="24"/>
      <c r="T459" s="24"/>
      <c r="U459" s="25"/>
      <c r="V459" s="25"/>
      <c r="W459" s="25"/>
      <c r="X459" s="24"/>
      <c r="Y459" s="24"/>
      <c r="Z459" s="24"/>
      <c r="AA459" s="24"/>
      <c r="AB459" s="24"/>
      <c r="AC459" s="24"/>
      <c r="AD459" s="361">
        <f t="shared" si="104"/>
        <v>0</v>
      </c>
      <c r="AE459" s="359" t="str">
        <f t="shared" si="107"/>
        <v/>
      </c>
      <c r="AF459" s="359" t="str">
        <f t="shared" si="116"/>
        <v/>
      </c>
      <c r="AG459" s="359" t="str">
        <f t="shared" si="108"/>
        <v/>
      </c>
      <c r="AH459" s="359" t="str">
        <f t="shared" si="109"/>
        <v/>
      </c>
      <c r="AI459" s="359" t="str">
        <f t="shared" si="110"/>
        <v/>
      </c>
      <c r="AJ459" s="359" t="str">
        <f t="shared" si="111"/>
        <v/>
      </c>
      <c r="AK459" s="359" t="str">
        <f t="shared" si="113"/>
        <v/>
      </c>
      <c r="AL459" s="359" t="str">
        <f t="shared" si="112"/>
        <v/>
      </c>
      <c r="AM459" s="359" t="str">
        <f t="shared" si="114"/>
        <v/>
      </c>
      <c r="AN459" s="262">
        <f t="shared" si="117"/>
        <v>0</v>
      </c>
      <c r="AO459" s="262" t="str">
        <f>IFERROR(HLOOKUP(AN459,'Ref Lists'!Q$1:AL$2,2,FALSE),'Ref Lists'!$AK$2)</f>
        <v>Savings21</v>
      </c>
      <c r="AP459" s="38"/>
      <c r="AQ459" s="38">
        <f t="shared" si="106"/>
        <v>0</v>
      </c>
      <c r="AR459" s="38"/>
      <c r="AS459" s="38"/>
      <c r="AT459" s="38"/>
      <c r="AU459" s="38"/>
      <c r="AV459" s="38"/>
      <c r="AW459" s="38"/>
      <c r="AX459" s="38"/>
      <c r="AY459" s="38"/>
      <c r="AZ459" s="38"/>
      <c r="BA459" s="38"/>
      <c r="BB459" s="38"/>
      <c r="BC459" s="38"/>
      <c r="BD459" s="38"/>
      <c r="BE459" s="38"/>
      <c r="BF459" s="38"/>
      <c r="BG459" s="38"/>
      <c r="BH459" s="38"/>
      <c r="BI459" s="38"/>
      <c r="BJ459" s="38"/>
      <c r="BK459" s="38"/>
      <c r="BL459" s="38"/>
      <c r="BM459" s="38"/>
      <c r="BN459" s="38"/>
      <c r="BO459" s="38"/>
      <c r="BP459" s="38"/>
      <c r="BQ459" s="38"/>
      <c r="BR459" s="38"/>
      <c r="BS459" s="38"/>
      <c r="BT459" s="38"/>
      <c r="BU459" s="38"/>
      <c r="BV459" s="38"/>
      <c r="BW459" s="38"/>
      <c r="BX459" s="38"/>
      <c r="BY459" s="38"/>
      <c r="BZ459" s="38"/>
      <c r="CA459" s="38"/>
      <c r="CB459" s="38"/>
      <c r="CC459" s="38"/>
      <c r="CD459" s="38"/>
      <c r="CE459" s="38"/>
      <c r="CF459" s="38"/>
      <c r="CG459" s="38"/>
      <c r="CH459" s="38"/>
      <c r="CI459" s="38"/>
      <c r="CJ459" s="38"/>
      <c r="CK459" s="38"/>
      <c r="CL459" s="38"/>
      <c r="CM459" s="38"/>
      <c r="CN459" s="38"/>
      <c r="CO459" s="38"/>
      <c r="CP459" s="38"/>
      <c r="CQ459" s="38"/>
      <c r="CR459" s="38"/>
      <c r="CS459" s="38"/>
      <c r="CT459" s="38"/>
      <c r="CU459" s="38"/>
      <c r="CV459" s="38"/>
      <c r="CW459" s="38"/>
      <c r="CX459" s="38"/>
      <c r="CY459" s="38"/>
      <c r="CZ459" s="38"/>
    </row>
    <row r="460" spans="1:104" s="40" customFormat="1" ht="20.149999999999999" customHeight="1">
      <c r="A460" s="358">
        <f t="shared" si="115"/>
        <v>459</v>
      </c>
      <c r="B460" s="359" t="str">
        <f>'Front Sheet and Checklist'!$C$5</f>
        <v>Swansea Bay UHB</v>
      </c>
      <c r="C460" s="17"/>
      <c r="D460" s="17"/>
      <c r="E460" s="17"/>
      <c r="F460" s="17"/>
      <c r="G460" s="17"/>
      <c r="H460" s="17"/>
      <c r="I460" s="361">
        <f t="shared" si="105"/>
        <v>0</v>
      </c>
      <c r="J460" s="17"/>
      <c r="K460" s="18"/>
      <c r="L460" s="18"/>
      <c r="M460" s="17"/>
      <c r="N460" s="17"/>
      <c r="O460" s="17"/>
      <c r="P460" s="17"/>
      <c r="Q460" s="169"/>
      <c r="R460" s="24"/>
      <c r="S460" s="24"/>
      <c r="T460" s="24"/>
      <c r="U460" s="25"/>
      <c r="V460" s="25"/>
      <c r="W460" s="25"/>
      <c r="X460" s="24"/>
      <c r="Y460" s="24"/>
      <c r="Z460" s="24"/>
      <c r="AA460" s="24"/>
      <c r="AB460" s="24"/>
      <c r="AC460" s="24"/>
      <c r="AD460" s="361">
        <f t="shared" si="104"/>
        <v>0</v>
      </c>
      <c r="AE460" s="359" t="str">
        <f t="shared" si="107"/>
        <v/>
      </c>
      <c r="AF460" s="359" t="str">
        <f t="shared" si="116"/>
        <v/>
      </c>
      <c r="AG460" s="359" t="str">
        <f t="shared" si="108"/>
        <v/>
      </c>
      <c r="AH460" s="359" t="str">
        <f t="shared" si="109"/>
        <v/>
      </c>
      <c r="AI460" s="359" t="str">
        <f t="shared" si="110"/>
        <v/>
      </c>
      <c r="AJ460" s="359" t="str">
        <f t="shared" si="111"/>
        <v/>
      </c>
      <c r="AK460" s="359" t="str">
        <f t="shared" si="113"/>
        <v/>
      </c>
      <c r="AL460" s="359" t="str">
        <f t="shared" si="112"/>
        <v/>
      </c>
      <c r="AM460" s="359" t="str">
        <f t="shared" si="114"/>
        <v/>
      </c>
      <c r="AN460" s="262">
        <f t="shared" si="117"/>
        <v>0</v>
      </c>
      <c r="AO460" s="262" t="str">
        <f>IFERROR(HLOOKUP(AN460,'Ref Lists'!Q$1:AL$2,2,FALSE),'Ref Lists'!$AK$2)</f>
        <v>Savings21</v>
      </c>
      <c r="AP460" s="38"/>
      <c r="AQ460" s="38">
        <f t="shared" si="106"/>
        <v>0</v>
      </c>
      <c r="AR460" s="38"/>
      <c r="AS460" s="38"/>
      <c r="AT460" s="38"/>
      <c r="AU460" s="38"/>
      <c r="AV460" s="38"/>
      <c r="AW460" s="38"/>
      <c r="AX460" s="38"/>
      <c r="AY460" s="38"/>
      <c r="AZ460" s="38"/>
      <c r="BA460" s="38"/>
      <c r="BB460" s="38"/>
      <c r="BC460" s="38"/>
      <c r="BD460" s="38"/>
      <c r="BE460" s="38"/>
      <c r="BF460" s="38"/>
      <c r="BG460" s="38"/>
      <c r="BH460" s="38"/>
      <c r="BI460" s="38"/>
      <c r="BJ460" s="38"/>
      <c r="BK460" s="38"/>
      <c r="BL460" s="38"/>
      <c r="BM460" s="38"/>
      <c r="BN460" s="38"/>
      <c r="BO460" s="38"/>
      <c r="BP460" s="38"/>
      <c r="BQ460" s="38"/>
      <c r="BR460" s="38"/>
      <c r="BS460" s="38"/>
      <c r="BT460" s="38"/>
      <c r="BU460" s="38"/>
      <c r="BV460" s="38"/>
      <c r="BW460" s="38"/>
      <c r="BX460" s="38"/>
      <c r="BY460" s="38"/>
      <c r="BZ460" s="38"/>
      <c r="CA460" s="38"/>
      <c r="CB460" s="38"/>
      <c r="CC460" s="38"/>
      <c r="CD460" s="38"/>
      <c r="CE460" s="38"/>
      <c r="CF460" s="38"/>
      <c r="CG460" s="38"/>
      <c r="CH460" s="38"/>
      <c r="CI460" s="38"/>
      <c r="CJ460" s="38"/>
      <c r="CK460" s="38"/>
      <c r="CL460" s="38"/>
      <c r="CM460" s="38"/>
      <c r="CN460" s="38"/>
      <c r="CO460" s="38"/>
      <c r="CP460" s="38"/>
      <c r="CQ460" s="38"/>
      <c r="CR460" s="38"/>
      <c r="CS460" s="38"/>
      <c r="CT460" s="38"/>
      <c r="CU460" s="38"/>
      <c r="CV460" s="38"/>
      <c r="CW460" s="38"/>
      <c r="CX460" s="38"/>
      <c r="CY460" s="38"/>
      <c r="CZ460" s="38"/>
    </row>
    <row r="461" spans="1:104" s="40" customFormat="1" ht="20.149999999999999" customHeight="1">
      <c r="A461" s="358">
        <f t="shared" si="115"/>
        <v>460</v>
      </c>
      <c r="B461" s="359" t="str">
        <f>'Front Sheet and Checklist'!$C$5</f>
        <v>Swansea Bay UHB</v>
      </c>
      <c r="C461" s="17"/>
      <c r="D461" s="17"/>
      <c r="E461" s="17"/>
      <c r="F461" s="17"/>
      <c r="G461" s="17"/>
      <c r="H461" s="17"/>
      <c r="I461" s="361">
        <f t="shared" si="105"/>
        <v>0</v>
      </c>
      <c r="J461" s="17"/>
      <c r="K461" s="18"/>
      <c r="L461" s="18"/>
      <c r="M461" s="17"/>
      <c r="N461" s="17"/>
      <c r="O461" s="17"/>
      <c r="P461" s="17"/>
      <c r="Q461" s="169"/>
      <c r="R461" s="24"/>
      <c r="S461" s="24"/>
      <c r="T461" s="24"/>
      <c r="U461" s="25"/>
      <c r="V461" s="25"/>
      <c r="W461" s="25"/>
      <c r="X461" s="24"/>
      <c r="Y461" s="24"/>
      <c r="Z461" s="24"/>
      <c r="AA461" s="24"/>
      <c r="AB461" s="24"/>
      <c r="AC461" s="24"/>
      <c r="AD461" s="361">
        <f t="shared" si="104"/>
        <v>0</v>
      </c>
      <c r="AE461" s="359" t="str">
        <f t="shared" si="107"/>
        <v/>
      </c>
      <c r="AF461" s="359" t="str">
        <f t="shared" si="116"/>
        <v/>
      </c>
      <c r="AG461" s="359" t="str">
        <f t="shared" si="108"/>
        <v/>
      </c>
      <c r="AH461" s="359" t="str">
        <f t="shared" si="109"/>
        <v/>
      </c>
      <c r="AI461" s="359" t="str">
        <f t="shared" si="110"/>
        <v/>
      </c>
      <c r="AJ461" s="359" t="str">
        <f t="shared" si="111"/>
        <v/>
      </c>
      <c r="AK461" s="359" t="str">
        <f t="shared" si="113"/>
        <v/>
      </c>
      <c r="AL461" s="359" t="str">
        <f t="shared" si="112"/>
        <v/>
      </c>
      <c r="AM461" s="359" t="str">
        <f t="shared" si="114"/>
        <v/>
      </c>
      <c r="AN461" s="262">
        <f t="shared" si="117"/>
        <v>0</v>
      </c>
      <c r="AO461" s="262" t="str">
        <f>IFERROR(HLOOKUP(AN461,'Ref Lists'!Q$1:AL$2,2,FALSE),'Ref Lists'!$AK$2)</f>
        <v>Savings21</v>
      </c>
      <c r="AP461" s="38"/>
      <c r="AQ461" s="38">
        <f t="shared" si="106"/>
        <v>0</v>
      </c>
      <c r="AR461" s="38"/>
      <c r="AS461" s="38"/>
      <c r="AT461" s="38"/>
      <c r="AU461" s="38"/>
      <c r="AV461" s="38"/>
      <c r="AW461" s="38"/>
      <c r="AX461" s="38"/>
      <c r="AY461" s="38"/>
      <c r="AZ461" s="38"/>
      <c r="BA461" s="38"/>
      <c r="BB461" s="38"/>
      <c r="BC461" s="38"/>
      <c r="BD461" s="38"/>
      <c r="BE461" s="38"/>
      <c r="BF461" s="38"/>
      <c r="BG461" s="38"/>
      <c r="BH461" s="38"/>
      <c r="BI461" s="38"/>
      <c r="BJ461" s="38"/>
      <c r="BK461" s="38"/>
      <c r="BL461" s="38"/>
      <c r="BM461" s="38"/>
      <c r="BN461" s="38"/>
      <c r="BO461" s="38"/>
      <c r="BP461" s="38"/>
      <c r="BQ461" s="38"/>
      <c r="BR461" s="38"/>
      <c r="BS461" s="38"/>
      <c r="BT461" s="38"/>
      <c r="BU461" s="38"/>
      <c r="BV461" s="38"/>
      <c r="BW461" s="38"/>
      <c r="BX461" s="38"/>
      <c r="BY461" s="38"/>
      <c r="BZ461" s="38"/>
      <c r="CA461" s="38"/>
      <c r="CB461" s="38"/>
      <c r="CC461" s="38"/>
      <c r="CD461" s="38"/>
      <c r="CE461" s="38"/>
      <c r="CF461" s="38"/>
      <c r="CG461" s="38"/>
      <c r="CH461" s="38"/>
      <c r="CI461" s="38"/>
      <c r="CJ461" s="38"/>
      <c r="CK461" s="38"/>
      <c r="CL461" s="38"/>
      <c r="CM461" s="38"/>
      <c r="CN461" s="38"/>
      <c r="CO461" s="38"/>
      <c r="CP461" s="38"/>
      <c r="CQ461" s="38"/>
      <c r="CR461" s="38"/>
      <c r="CS461" s="38"/>
      <c r="CT461" s="38"/>
      <c r="CU461" s="38"/>
      <c r="CV461" s="38"/>
      <c r="CW461" s="38"/>
      <c r="CX461" s="38"/>
      <c r="CY461" s="38"/>
      <c r="CZ461" s="38"/>
    </row>
    <row r="462" spans="1:104" s="40" customFormat="1" ht="20.149999999999999" customHeight="1">
      <c r="A462" s="358">
        <f t="shared" si="115"/>
        <v>461</v>
      </c>
      <c r="B462" s="359" t="str">
        <f>'Front Sheet and Checklist'!$C$5</f>
        <v>Swansea Bay UHB</v>
      </c>
      <c r="C462" s="17"/>
      <c r="D462" s="17"/>
      <c r="E462" s="17"/>
      <c r="F462" s="17"/>
      <c r="G462" s="17"/>
      <c r="H462" s="17"/>
      <c r="I462" s="361">
        <f t="shared" si="105"/>
        <v>0</v>
      </c>
      <c r="J462" s="17"/>
      <c r="K462" s="18"/>
      <c r="L462" s="18"/>
      <c r="M462" s="17"/>
      <c r="N462" s="17"/>
      <c r="O462" s="17"/>
      <c r="P462" s="17"/>
      <c r="Q462" s="169"/>
      <c r="R462" s="24"/>
      <c r="S462" s="24"/>
      <c r="T462" s="24"/>
      <c r="U462" s="25"/>
      <c r="V462" s="25"/>
      <c r="W462" s="25"/>
      <c r="X462" s="24"/>
      <c r="Y462" s="24"/>
      <c r="Z462" s="24"/>
      <c r="AA462" s="24"/>
      <c r="AB462" s="24"/>
      <c r="AC462" s="24"/>
      <c r="AD462" s="361">
        <f t="shared" si="104"/>
        <v>0</v>
      </c>
      <c r="AE462" s="359" t="str">
        <f t="shared" si="107"/>
        <v/>
      </c>
      <c r="AF462" s="359" t="str">
        <f t="shared" si="116"/>
        <v/>
      </c>
      <c r="AG462" s="359" t="str">
        <f t="shared" si="108"/>
        <v/>
      </c>
      <c r="AH462" s="359" t="str">
        <f t="shared" si="109"/>
        <v/>
      </c>
      <c r="AI462" s="359" t="str">
        <f t="shared" si="110"/>
        <v/>
      </c>
      <c r="AJ462" s="359" t="str">
        <f t="shared" si="111"/>
        <v/>
      </c>
      <c r="AK462" s="359" t="str">
        <f t="shared" si="113"/>
        <v/>
      </c>
      <c r="AL462" s="359" t="str">
        <f t="shared" si="112"/>
        <v/>
      </c>
      <c r="AM462" s="359" t="str">
        <f t="shared" si="114"/>
        <v/>
      </c>
      <c r="AN462" s="262">
        <f t="shared" si="117"/>
        <v>0</v>
      </c>
      <c r="AO462" s="262" t="str">
        <f>IFERROR(HLOOKUP(AN462,'Ref Lists'!Q$1:AL$2,2,FALSE),'Ref Lists'!$AK$2)</f>
        <v>Savings21</v>
      </c>
      <c r="AP462" s="38"/>
      <c r="AQ462" s="38">
        <f t="shared" si="106"/>
        <v>0</v>
      </c>
      <c r="AR462" s="38"/>
      <c r="AS462" s="38"/>
      <c r="AT462" s="38"/>
      <c r="AU462" s="38"/>
      <c r="AV462" s="38"/>
      <c r="AW462" s="38"/>
      <c r="AX462" s="38"/>
      <c r="AY462" s="38"/>
      <c r="AZ462" s="38"/>
      <c r="BA462" s="38"/>
      <c r="BB462" s="38"/>
      <c r="BC462" s="38"/>
      <c r="BD462" s="38"/>
      <c r="BE462" s="38"/>
      <c r="BF462" s="38"/>
      <c r="BG462" s="38"/>
      <c r="BH462" s="38"/>
      <c r="BI462" s="38"/>
      <c r="BJ462" s="38"/>
      <c r="BK462" s="38"/>
      <c r="BL462" s="38"/>
      <c r="BM462" s="38"/>
      <c r="BN462" s="38"/>
      <c r="BO462" s="38"/>
      <c r="BP462" s="38"/>
      <c r="BQ462" s="38"/>
      <c r="BR462" s="38"/>
      <c r="BS462" s="38"/>
      <c r="BT462" s="38"/>
      <c r="BU462" s="38"/>
      <c r="BV462" s="38"/>
      <c r="BW462" s="38"/>
      <c r="BX462" s="38"/>
      <c r="BY462" s="38"/>
      <c r="BZ462" s="38"/>
      <c r="CA462" s="38"/>
      <c r="CB462" s="38"/>
      <c r="CC462" s="38"/>
      <c r="CD462" s="38"/>
      <c r="CE462" s="38"/>
      <c r="CF462" s="38"/>
      <c r="CG462" s="38"/>
      <c r="CH462" s="38"/>
      <c r="CI462" s="38"/>
      <c r="CJ462" s="38"/>
      <c r="CK462" s="38"/>
      <c r="CL462" s="38"/>
      <c r="CM462" s="38"/>
      <c r="CN462" s="38"/>
      <c r="CO462" s="38"/>
      <c r="CP462" s="38"/>
      <c r="CQ462" s="38"/>
      <c r="CR462" s="38"/>
      <c r="CS462" s="38"/>
      <c r="CT462" s="38"/>
      <c r="CU462" s="38"/>
      <c r="CV462" s="38"/>
      <c r="CW462" s="38"/>
      <c r="CX462" s="38"/>
      <c r="CY462" s="38"/>
      <c r="CZ462" s="38"/>
    </row>
    <row r="463" spans="1:104" s="40" customFormat="1" ht="20.149999999999999" customHeight="1">
      <c r="A463" s="358">
        <f t="shared" si="115"/>
        <v>462</v>
      </c>
      <c r="B463" s="359" t="str">
        <f>'Front Sheet and Checklist'!$C$5</f>
        <v>Swansea Bay UHB</v>
      </c>
      <c r="C463" s="17"/>
      <c r="D463" s="17"/>
      <c r="E463" s="17"/>
      <c r="F463" s="17"/>
      <c r="G463" s="17"/>
      <c r="H463" s="17"/>
      <c r="I463" s="361">
        <f t="shared" si="105"/>
        <v>0</v>
      </c>
      <c r="J463" s="17"/>
      <c r="K463" s="18"/>
      <c r="L463" s="18"/>
      <c r="M463" s="17"/>
      <c r="N463" s="17"/>
      <c r="O463" s="17"/>
      <c r="P463" s="17"/>
      <c r="Q463" s="169"/>
      <c r="R463" s="24"/>
      <c r="S463" s="24"/>
      <c r="T463" s="24"/>
      <c r="U463" s="25"/>
      <c r="V463" s="25"/>
      <c r="W463" s="25"/>
      <c r="X463" s="24"/>
      <c r="Y463" s="24"/>
      <c r="Z463" s="24"/>
      <c r="AA463" s="24"/>
      <c r="AB463" s="24"/>
      <c r="AC463" s="24"/>
      <c r="AD463" s="361">
        <f t="shared" si="104"/>
        <v>0</v>
      </c>
      <c r="AE463" s="359" t="str">
        <f t="shared" si="107"/>
        <v/>
      </c>
      <c r="AF463" s="359" t="str">
        <f t="shared" si="116"/>
        <v/>
      </c>
      <c r="AG463" s="359" t="str">
        <f t="shared" si="108"/>
        <v/>
      </c>
      <c r="AH463" s="359" t="str">
        <f t="shared" si="109"/>
        <v/>
      </c>
      <c r="AI463" s="359" t="str">
        <f t="shared" si="110"/>
        <v/>
      </c>
      <c r="AJ463" s="359" t="str">
        <f t="shared" si="111"/>
        <v/>
      </c>
      <c r="AK463" s="359" t="str">
        <f t="shared" si="113"/>
        <v/>
      </c>
      <c r="AL463" s="359" t="str">
        <f t="shared" si="112"/>
        <v/>
      </c>
      <c r="AM463" s="359" t="str">
        <f t="shared" si="114"/>
        <v/>
      </c>
      <c r="AN463" s="262">
        <f t="shared" si="117"/>
        <v>0</v>
      </c>
      <c r="AO463" s="262" t="str">
        <f>IFERROR(HLOOKUP(AN463,'Ref Lists'!Q$1:AL$2,2,FALSE),'Ref Lists'!$AK$2)</f>
        <v>Savings21</v>
      </c>
      <c r="AP463" s="38"/>
      <c r="AQ463" s="38">
        <f t="shared" si="106"/>
        <v>0</v>
      </c>
      <c r="AR463" s="38"/>
      <c r="AS463" s="38"/>
      <c r="AT463" s="38"/>
      <c r="AU463" s="38"/>
      <c r="AV463" s="38"/>
      <c r="AW463" s="38"/>
      <c r="AX463" s="38"/>
      <c r="AY463" s="38"/>
      <c r="AZ463" s="38"/>
      <c r="BA463" s="38"/>
      <c r="BB463" s="38"/>
      <c r="BC463" s="38"/>
      <c r="BD463" s="38"/>
      <c r="BE463" s="38"/>
      <c r="BF463" s="38"/>
      <c r="BG463" s="38"/>
      <c r="BH463" s="38"/>
      <c r="BI463" s="38"/>
      <c r="BJ463" s="38"/>
      <c r="BK463" s="38"/>
      <c r="BL463" s="38"/>
      <c r="BM463" s="38"/>
      <c r="BN463" s="38"/>
      <c r="BO463" s="38"/>
      <c r="BP463" s="38"/>
      <c r="BQ463" s="38"/>
      <c r="BR463" s="38"/>
      <c r="BS463" s="38"/>
      <c r="BT463" s="38"/>
      <c r="BU463" s="38"/>
      <c r="BV463" s="38"/>
      <c r="BW463" s="38"/>
      <c r="BX463" s="38"/>
      <c r="BY463" s="38"/>
      <c r="BZ463" s="38"/>
      <c r="CA463" s="38"/>
      <c r="CB463" s="38"/>
      <c r="CC463" s="38"/>
      <c r="CD463" s="38"/>
      <c r="CE463" s="38"/>
      <c r="CF463" s="38"/>
      <c r="CG463" s="38"/>
      <c r="CH463" s="38"/>
      <c r="CI463" s="38"/>
      <c r="CJ463" s="38"/>
      <c r="CK463" s="38"/>
      <c r="CL463" s="38"/>
      <c r="CM463" s="38"/>
      <c r="CN463" s="38"/>
      <c r="CO463" s="38"/>
      <c r="CP463" s="38"/>
      <c r="CQ463" s="38"/>
      <c r="CR463" s="38"/>
      <c r="CS463" s="38"/>
      <c r="CT463" s="38"/>
      <c r="CU463" s="38"/>
      <c r="CV463" s="38"/>
      <c r="CW463" s="38"/>
      <c r="CX463" s="38"/>
      <c r="CY463" s="38"/>
      <c r="CZ463" s="38"/>
    </row>
    <row r="464" spans="1:104" s="40" customFormat="1" ht="20.149999999999999" customHeight="1">
      <c r="A464" s="358">
        <f t="shared" si="115"/>
        <v>463</v>
      </c>
      <c r="B464" s="359" t="str">
        <f>'Front Sheet and Checklist'!$C$5</f>
        <v>Swansea Bay UHB</v>
      </c>
      <c r="C464" s="17"/>
      <c r="D464" s="17"/>
      <c r="E464" s="17"/>
      <c r="F464" s="17"/>
      <c r="G464" s="17"/>
      <c r="H464" s="17"/>
      <c r="I464" s="361">
        <f t="shared" si="105"/>
        <v>0</v>
      </c>
      <c r="J464" s="17"/>
      <c r="K464" s="18"/>
      <c r="L464" s="18"/>
      <c r="M464" s="17"/>
      <c r="N464" s="17"/>
      <c r="O464" s="17"/>
      <c r="P464" s="17"/>
      <c r="Q464" s="169"/>
      <c r="R464" s="24"/>
      <c r="S464" s="24"/>
      <c r="T464" s="24"/>
      <c r="U464" s="25"/>
      <c r="V464" s="25"/>
      <c r="W464" s="25"/>
      <c r="X464" s="24"/>
      <c r="Y464" s="24"/>
      <c r="Z464" s="24"/>
      <c r="AA464" s="24"/>
      <c r="AB464" s="24"/>
      <c r="AC464" s="24"/>
      <c r="AD464" s="361">
        <f t="shared" si="104"/>
        <v>0</v>
      </c>
      <c r="AE464" s="359" t="str">
        <f t="shared" si="107"/>
        <v/>
      </c>
      <c r="AF464" s="359" t="str">
        <f t="shared" si="116"/>
        <v/>
      </c>
      <c r="AG464" s="359" t="str">
        <f t="shared" si="108"/>
        <v/>
      </c>
      <c r="AH464" s="359" t="str">
        <f t="shared" si="109"/>
        <v/>
      </c>
      <c r="AI464" s="359" t="str">
        <f t="shared" si="110"/>
        <v/>
      </c>
      <c r="AJ464" s="359" t="str">
        <f t="shared" si="111"/>
        <v/>
      </c>
      <c r="AK464" s="359" t="str">
        <f t="shared" si="113"/>
        <v/>
      </c>
      <c r="AL464" s="359" t="str">
        <f t="shared" si="112"/>
        <v/>
      </c>
      <c r="AM464" s="359" t="str">
        <f t="shared" si="114"/>
        <v/>
      </c>
      <c r="AN464" s="262">
        <f t="shared" si="117"/>
        <v>0</v>
      </c>
      <c r="AO464" s="262" t="str">
        <f>IFERROR(HLOOKUP(AN464,'Ref Lists'!Q$1:AL$2,2,FALSE),'Ref Lists'!$AK$2)</f>
        <v>Savings21</v>
      </c>
      <c r="AP464" s="38"/>
      <c r="AQ464" s="38">
        <f t="shared" si="106"/>
        <v>0</v>
      </c>
      <c r="AR464" s="38"/>
      <c r="AS464" s="38"/>
      <c r="AT464" s="38"/>
      <c r="AU464" s="38"/>
      <c r="AV464" s="38"/>
      <c r="AW464" s="38"/>
      <c r="AX464" s="38"/>
      <c r="AY464" s="38"/>
      <c r="AZ464" s="38"/>
      <c r="BA464" s="38"/>
      <c r="BB464" s="38"/>
      <c r="BC464" s="38"/>
      <c r="BD464" s="38"/>
      <c r="BE464" s="38"/>
      <c r="BF464" s="38"/>
      <c r="BG464" s="38"/>
      <c r="BH464" s="38"/>
      <c r="BI464" s="38"/>
      <c r="BJ464" s="38"/>
      <c r="BK464" s="38"/>
      <c r="BL464" s="38"/>
      <c r="BM464" s="38"/>
      <c r="BN464" s="38"/>
      <c r="BO464" s="38"/>
      <c r="BP464" s="38"/>
      <c r="BQ464" s="38"/>
      <c r="BR464" s="38"/>
      <c r="BS464" s="38"/>
      <c r="BT464" s="38"/>
      <c r="BU464" s="38"/>
      <c r="BV464" s="38"/>
      <c r="BW464" s="38"/>
      <c r="BX464" s="38"/>
      <c r="BY464" s="38"/>
      <c r="BZ464" s="38"/>
      <c r="CA464" s="38"/>
      <c r="CB464" s="38"/>
      <c r="CC464" s="38"/>
      <c r="CD464" s="38"/>
      <c r="CE464" s="38"/>
      <c r="CF464" s="38"/>
      <c r="CG464" s="38"/>
      <c r="CH464" s="38"/>
      <c r="CI464" s="38"/>
      <c r="CJ464" s="38"/>
      <c r="CK464" s="38"/>
      <c r="CL464" s="38"/>
      <c r="CM464" s="38"/>
      <c r="CN464" s="38"/>
      <c r="CO464" s="38"/>
      <c r="CP464" s="38"/>
      <c r="CQ464" s="38"/>
      <c r="CR464" s="38"/>
      <c r="CS464" s="38"/>
      <c r="CT464" s="38"/>
      <c r="CU464" s="38"/>
      <c r="CV464" s="38"/>
      <c r="CW464" s="38"/>
      <c r="CX464" s="38"/>
      <c r="CY464" s="38"/>
      <c r="CZ464" s="38"/>
    </row>
    <row r="465" spans="1:104" s="40" customFormat="1" ht="20.149999999999999" customHeight="1">
      <c r="A465" s="358">
        <f t="shared" si="115"/>
        <v>464</v>
      </c>
      <c r="B465" s="359" t="str">
        <f>'Front Sheet and Checklist'!$C$5</f>
        <v>Swansea Bay UHB</v>
      </c>
      <c r="C465" s="17"/>
      <c r="D465" s="17"/>
      <c r="E465" s="17"/>
      <c r="F465" s="17"/>
      <c r="G465" s="17"/>
      <c r="H465" s="17"/>
      <c r="I465" s="361">
        <f t="shared" si="105"/>
        <v>0</v>
      </c>
      <c r="J465" s="17"/>
      <c r="K465" s="18"/>
      <c r="L465" s="18"/>
      <c r="M465" s="17"/>
      <c r="N465" s="17"/>
      <c r="O465" s="17"/>
      <c r="P465" s="17"/>
      <c r="Q465" s="169"/>
      <c r="R465" s="24"/>
      <c r="S465" s="24"/>
      <c r="T465" s="24"/>
      <c r="U465" s="25"/>
      <c r="V465" s="25"/>
      <c r="W465" s="25"/>
      <c r="X465" s="24"/>
      <c r="Y465" s="24"/>
      <c r="Z465" s="24"/>
      <c r="AA465" s="24"/>
      <c r="AB465" s="24"/>
      <c r="AC465" s="24"/>
      <c r="AD465" s="361">
        <f t="shared" si="104"/>
        <v>0</v>
      </c>
      <c r="AE465" s="359" t="str">
        <f t="shared" si="107"/>
        <v/>
      </c>
      <c r="AF465" s="359" t="str">
        <f t="shared" si="116"/>
        <v/>
      </c>
      <c r="AG465" s="359" t="str">
        <f t="shared" si="108"/>
        <v/>
      </c>
      <c r="AH465" s="359" t="str">
        <f t="shared" si="109"/>
        <v/>
      </c>
      <c r="AI465" s="359" t="str">
        <f t="shared" si="110"/>
        <v/>
      </c>
      <c r="AJ465" s="359" t="str">
        <f t="shared" si="111"/>
        <v/>
      </c>
      <c r="AK465" s="359" t="str">
        <f t="shared" si="113"/>
        <v/>
      </c>
      <c r="AL465" s="359" t="str">
        <f t="shared" si="112"/>
        <v/>
      </c>
      <c r="AM465" s="359" t="str">
        <f t="shared" si="114"/>
        <v/>
      </c>
      <c r="AN465" s="262">
        <f t="shared" si="117"/>
        <v>0</v>
      </c>
      <c r="AO465" s="262" t="str">
        <f>IFERROR(HLOOKUP(AN465,'Ref Lists'!Q$1:AL$2,2,FALSE),'Ref Lists'!$AK$2)</f>
        <v>Savings21</v>
      </c>
      <c r="AP465" s="38"/>
      <c r="AQ465" s="38">
        <f t="shared" si="106"/>
        <v>0</v>
      </c>
      <c r="AR465" s="38"/>
      <c r="AS465" s="38"/>
      <c r="AT465" s="38"/>
      <c r="AU465" s="38"/>
      <c r="AV465" s="38"/>
      <c r="AW465" s="38"/>
      <c r="AX465" s="38"/>
      <c r="AY465" s="38"/>
      <c r="AZ465" s="38"/>
      <c r="BA465" s="38"/>
      <c r="BB465" s="38"/>
      <c r="BC465" s="38"/>
      <c r="BD465" s="38"/>
      <c r="BE465" s="38"/>
      <c r="BF465" s="38"/>
      <c r="BG465" s="38"/>
      <c r="BH465" s="38"/>
      <c r="BI465" s="38"/>
      <c r="BJ465" s="38"/>
      <c r="BK465" s="38"/>
      <c r="BL465" s="38"/>
      <c r="BM465" s="38"/>
      <c r="BN465" s="38"/>
      <c r="BO465" s="38"/>
      <c r="BP465" s="38"/>
      <c r="BQ465" s="38"/>
      <c r="BR465" s="38"/>
      <c r="BS465" s="38"/>
      <c r="BT465" s="38"/>
      <c r="BU465" s="38"/>
      <c r="BV465" s="38"/>
      <c r="BW465" s="38"/>
      <c r="BX465" s="38"/>
      <c r="BY465" s="38"/>
      <c r="BZ465" s="38"/>
      <c r="CA465" s="38"/>
      <c r="CB465" s="38"/>
      <c r="CC465" s="38"/>
      <c r="CD465" s="38"/>
      <c r="CE465" s="38"/>
      <c r="CF465" s="38"/>
      <c r="CG465" s="38"/>
      <c r="CH465" s="38"/>
      <c r="CI465" s="38"/>
      <c r="CJ465" s="38"/>
      <c r="CK465" s="38"/>
      <c r="CL465" s="38"/>
      <c r="CM465" s="38"/>
      <c r="CN465" s="38"/>
      <c r="CO465" s="38"/>
      <c r="CP465" s="38"/>
      <c r="CQ465" s="38"/>
      <c r="CR465" s="38"/>
      <c r="CS465" s="38"/>
      <c r="CT465" s="38"/>
      <c r="CU465" s="38"/>
      <c r="CV465" s="38"/>
      <c r="CW465" s="38"/>
      <c r="CX465" s="38"/>
      <c r="CY465" s="38"/>
      <c r="CZ465" s="38"/>
    </row>
    <row r="466" spans="1:104" s="40" customFormat="1" ht="20.149999999999999" customHeight="1">
      <c r="A466" s="358">
        <f t="shared" si="115"/>
        <v>465</v>
      </c>
      <c r="B466" s="359" t="str">
        <f>'Front Sheet and Checklist'!$C$5</f>
        <v>Swansea Bay UHB</v>
      </c>
      <c r="C466" s="17"/>
      <c r="D466" s="17"/>
      <c r="E466" s="17"/>
      <c r="F466" s="17"/>
      <c r="G466" s="17"/>
      <c r="H466" s="17"/>
      <c r="I466" s="361">
        <f t="shared" si="105"/>
        <v>0</v>
      </c>
      <c r="J466" s="17"/>
      <c r="K466" s="18"/>
      <c r="L466" s="18"/>
      <c r="M466" s="17"/>
      <c r="N466" s="17"/>
      <c r="O466" s="17"/>
      <c r="P466" s="17"/>
      <c r="Q466" s="169"/>
      <c r="R466" s="24"/>
      <c r="S466" s="24"/>
      <c r="T466" s="24"/>
      <c r="U466" s="25"/>
      <c r="V466" s="25"/>
      <c r="W466" s="25"/>
      <c r="X466" s="24"/>
      <c r="Y466" s="24"/>
      <c r="Z466" s="24"/>
      <c r="AA466" s="24"/>
      <c r="AB466" s="24"/>
      <c r="AC466" s="24"/>
      <c r="AD466" s="361">
        <f t="shared" si="104"/>
        <v>0</v>
      </c>
      <c r="AE466" s="359" t="str">
        <f t="shared" si="107"/>
        <v/>
      </c>
      <c r="AF466" s="359" t="str">
        <f t="shared" si="116"/>
        <v/>
      </c>
      <c r="AG466" s="359" t="str">
        <f t="shared" si="108"/>
        <v/>
      </c>
      <c r="AH466" s="359" t="str">
        <f t="shared" si="109"/>
        <v/>
      </c>
      <c r="AI466" s="359" t="str">
        <f t="shared" si="110"/>
        <v/>
      </c>
      <c r="AJ466" s="359" t="str">
        <f t="shared" si="111"/>
        <v/>
      </c>
      <c r="AK466" s="359" t="str">
        <f t="shared" si="113"/>
        <v/>
      </c>
      <c r="AL466" s="359" t="str">
        <f t="shared" si="112"/>
        <v/>
      </c>
      <c r="AM466" s="359" t="str">
        <f t="shared" si="114"/>
        <v/>
      </c>
      <c r="AN466" s="262">
        <f t="shared" si="117"/>
        <v>0</v>
      </c>
      <c r="AO466" s="262" t="str">
        <f>IFERROR(HLOOKUP(AN466,'Ref Lists'!Q$1:AL$2,2,FALSE),'Ref Lists'!$AK$2)</f>
        <v>Savings21</v>
      </c>
      <c r="AP466" s="38"/>
      <c r="AQ466" s="38">
        <f t="shared" si="106"/>
        <v>0</v>
      </c>
      <c r="AR466" s="38"/>
      <c r="AS466" s="38"/>
      <c r="AT466" s="38"/>
      <c r="AU466" s="38"/>
      <c r="AV466" s="38"/>
      <c r="AW466" s="38"/>
      <c r="AX466" s="38"/>
      <c r="AY466" s="38"/>
      <c r="AZ466" s="38"/>
      <c r="BA466" s="38"/>
      <c r="BB466" s="38"/>
      <c r="BC466" s="38"/>
      <c r="BD466" s="38"/>
      <c r="BE466" s="38"/>
      <c r="BF466" s="38"/>
      <c r="BG466" s="38"/>
      <c r="BH466" s="38"/>
      <c r="BI466" s="38"/>
      <c r="BJ466" s="38"/>
      <c r="BK466" s="38"/>
      <c r="BL466" s="38"/>
      <c r="BM466" s="38"/>
      <c r="BN466" s="38"/>
      <c r="BO466" s="38"/>
      <c r="BP466" s="38"/>
      <c r="BQ466" s="38"/>
      <c r="BR466" s="38"/>
      <c r="BS466" s="38"/>
      <c r="BT466" s="38"/>
      <c r="BU466" s="38"/>
      <c r="BV466" s="38"/>
      <c r="BW466" s="38"/>
      <c r="BX466" s="38"/>
      <c r="BY466" s="38"/>
      <c r="BZ466" s="38"/>
      <c r="CA466" s="38"/>
      <c r="CB466" s="38"/>
      <c r="CC466" s="38"/>
      <c r="CD466" s="38"/>
      <c r="CE466" s="38"/>
      <c r="CF466" s="38"/>
      <c r="CG466" s="38"/>
      <c r="CH466" s="38"/>
      <c r="CI466" s="38"/>
      <c r="CJ466" s="38"/>
      <c r="CK466" s="38"/>
      <c r="CL466" s="38"/>
      <c r="CM466" s="38"/>
      <c r="CN466" s="38"/>
      <c r="CO466" s="38"/>
      <c r="CP466" s="38"/>
      <c r="CQ466" s="38"/>
      <c r="CR466" s="38"/>
      <c r="CS466" s="38"/>
      <c r="CT466" s="38"/>
      <c r="CU466" s="38"/>
      <c r="CV466" s="38"/>
      <c r="CW466" s="38"/>
      <c r="CX466" s="38"/>
      <c r="CY466" s="38"/>
      <c r="CZ466" s="38"/>
    </row>
    <row r="467" spans="1:104" s="40" customFormat="1" ht="20.149999999999999" customHeight="1">
      <c r="A467" s="358">
        <f t="shared" si="115"/>
        <v>466</v>
      </c>
      <c r="B467" s="359" t="str">
        <f>'Front Sheet and Checklist'!$C$5</f>
        <v>Swansea Bay UHB</v>
      </c>
      <c r="C467" s="17"/>
      <c r="D467" s="17"/>
      <c r="E467" s="17"/>
      <c r="F467" s="17"/>
      <c r="G467" s="17"/>
      <c r="H467" s="17"/>
      <c r="I467" s="361">
        <f t="shared" si="105"/>
        <v>0</v>
      </c>
      <c r="J467" s="17"/>
      <c r="K467" s="18"/>
      <c r="L467" s="18"/>
      <c r="M467" s="17"/>
      <c r="N467" s="17"/>
      <c r="O467" s="17"/>
      <c r="P467" s="17"/>
      <c r="Q467" s="169"/>
      <c r="R467" s="24"/>
      <c r="S467" s="24"/>
      <c r="T467" s="24"/>
      <c r="U467" s="25"/>
      <c r="V467" s="25"/>
      <c r="W467" s="25"/>
      <c r="X467" s="24"/>
      <c r="Y467" s="24"/>
      <c r="Z467" s="24"/>
      <c r="AA467" s="24"/>
      <c r="AB467" s="24"/>
      <c r="AC467" s="24"/>
      <c r="AD467" s="361">
        <f t="shared" si="104"/>
        <v>0</v>
      </c>
      <c r="AE467" s="359" t="str">
        <f t="shared" si="107"/>
        <v/>
      </c>
      <c r="AF467" s="359" t="str">
        <f t="shared" si="116"/>
        <v/>
      </c>
      <c r="AG467" s="359" t="str">
        <f t="shared" si="108"/>
        <v/>
      </c>
      <c r="AH467" s="359" t="str">
        <f t="shared" si="109"/>
        <v/>
      </c>
      <c r="AI467" s="359" t="str">
        <f t="shared" si="110"/>
        <v/>
      </c>
      <c r="AJ467" s="359" t="str">
        <f t="shared" si="111"/>
        <v/>
      </c>
      <c r="AK467" s="359" t="str">
        <f t="shared" si="113"/>
        <v/>
      </c>
      <c r="AL467" s="359" t="str">
        <f t="shared" si="112"/>
        <v/>
      </c>
      <c r="AM467" s="359" t="str">
        <f t="shared" si="114"/>
        <v/>
      </c>
      <c r="AN467" s="262">
        <f t="shared" si="117"/>
        <v>0</v>
      </c>
      <c r="AO467" s="262" t="str">
        <f>IFERROR(HLOOKUP(AN467,'Ref Lists'!Q$1:AL$2,2,FALSE),'Ref Lists'!$AK$2)</f>
        <v>Savings21</v>
      </c>
      <c r="AP467" s="38"/>
      <c r="AQ467" s="38">
        <f t="shared" si="106"/>
        <v>0</v>
      </c>
      <c r="AR467" s="38"/>
      <c r="AS467" s="38"/>
      <c r="AT467" s="38"/>
      <c r="AU467" s="38"/>
      <c r="AV467" s="38"/>
      <c r="AW467" s="38"/>
      <c r="AX467" s="38"/>
      <c r="AY467" s="38"/>
      <c r="AZ467" s="38"/>
      <c r="BA467" s="38"/>
      <c r="BB467" s="38"/>
      <c r="BC467" s="38"/>
      <c r="BD467" s="38"/>
      <c r="BE467" s="38"/>
      <c r="BF467" s="38"/>
      <c r="BG467" s="38"/>
      <c r="BH467" s="38"/>
      <c r="BI467" s="38"/>
      <c r="BJ467" s="38"/>
      <c r="BK467" s="38"/>
      <c r="BL467" s="38"/>
      <c r="BM467" s="38"/>
      <c r="BN467" s="38"/>
      <c r="BO467" s="38"/>
      <c r="BP467" s="38"/>
      <c r="BQ467" s="38"/>
      <c r="BR467" s="38"/>
      <c r="BS467" s="38"/>
      <c r="BT467" s="38"/>
      <c r="BU467" s="38"/>
      <c r="BV467" s="38"/>
      <c r="BW467" s="38"/>
      <c r="BX467" s="38"/>
      <c r="BY467" s="38"/>
      <c r="BZ467" s="38"/>
      <c r="CA467" s="38"/>
      <c r="CB467" s="38"/>
      <c r="CC467" s="38"/>
      <c r="CD467" s="38"/>
      <c r="CE467" s="38"/>
      <c r="CF467" s="38"/>
      <c r="CG467" s="38"/>
      <c r="CH467" s="38"/>
      <c r="CI467" s="38"/>
      <c r="CJ467" s="38"/>
      <c r="CK467" s="38"/>
      <c r="CL467" s="38"/>
      <c r="CM467" s="38"/>
      <c r="CN467" s="38"/>
      <c r="CO467" s="38"/>
      <c r="CP467" s="38"/>
      <c r="CQ467" s="38"/>
      <c r="CR467" s="38"/>
      <c r="CS467" s="38"/>
      <c r="CT467" s="38"/>
      <c r="CU467" s="38"/>
      <c r="CV467" s="38"/>
      <c r="CW467" s="38"/>
      <c r="CX467" s="38"/>
      <c r="CY467" s="38"/>
      <c r="CZ467" s="38"/>
    </row>
    <row r="468" spans="1:104" s="40" customFormat="1" ht="20.149999999999999" customHeight="1">
      <c r="A468" s="358">
        <f t="shared" si="115"/>
        <v>467</v>
      </c>
      <c r="B468" s="359" t="str">
        <f>'Front Sheet and Checklist'!$C$5</f>
        <v>Swansea Bay UHB</v>
      </c>
      <c r="C468" s="17"/>
      <c r="D468" s="17"/>
      <c r="E468" s="17"/>
      <c r="F468" s="17"/>
      <c r="G468" s="17"/>
      <c r="H468" s="17"/>
      <c r="I468" s="361">
        <f t="shared" si="105"/>
        <v>0</v>
      </c>
      <c r="J468" s="17"/>
      <c r="K468" s="18"/>
      <c r="L468" s="18"/>
      <c r="M468" s="17"/>
      <c r="N468" s="17"/>
      <c r="O468" s="17"/>
      <c r="P468" s="17"/>
      <c r="Q468" s="169"/>
      <c r="R468" s="24"/>
      <c r="S468" s="24"/>
      <c r="T468" s="24"/>
      <c r="U468" s="25"/>
      <c r="V468" s="25"/>
      <c r="W468" s="25"/>
      <c r="X468" s="24"/>
      <c r="Y468" s="24"/>
      <c r="Z468" s="24"/>
      <c r="AA468" s="24"/>
      <c r="AB468" s="24"/>
      <c r="AC468" s="24"/>
      <c r="AD468" s="361">
        <f t="shared" si="104"/>
        <v>0</v>
      </c>
      <c r="AE468" s="359" t="str">
        <f t="shared" si="107"/>
        <v/>
      </c>
      <c r="AF468" s="359" t="str">
        <f t="shared" si="116"/>
        <v/>
      </c>
      <c r="AG468" s="359" t="str">
        <f t="shared" si="108"/>
        <v/>
      </c>
      <c r="AH468" s="359" t="str">
        <f t="shared" si="109"/>
        <v/>
      </c>
      <c r="AI468" s="359" t="str">
        <f t="shared" si="110"/>
        <v/>
      </c>
      <c r="AJ468" s="359" t="str">
        <f t="shared" si="111"/>
        <v/>
      </c>
      <c r="AK468" s="359" t="str">
        <f t="shared" si="113"/>
        <v/>
      </c>
      <c r="AL468" s="359" t="str">
        <f t="shared" si="112"/>
        <v/>
      </c>
      <c r="AM468" s="359" t="str">
        <f t="shared" si="114"/>
        <v/>
      </c>
      <c r="AN468" s="262">
        <f t="shared" si="117"/>
        <v>0</v>
      </c>
      <c r="AO468" s="262" t="str">
        <f>IFERROR(HLOOKUP(AN468,'Ref Lists'!Q$1:AL$2,2,FALSE),'Ref Lists'!$AK$2)</f>
        <v>Savings21</v>
      </c>
      <c r="AP468" s="38"/>
      <c r="AQ468" s="38">
        <f t="shared" si="106"/>
        <v>0</v>
      </c>
      <c r="AR468" s="38"/>
      <c r="AS468" s="38"/>
      <c r="AT468" s="38"/>
      <c r="AU468" s="38"/>
      <c r="AV468" s="38"/>
      <c r="AW468" s="38"/>
      <c r="AX468" s="38"/>
      <c r="AY468" s="38"/>
      <c r="AZ468" s="38"/>
      <c r="BA468" s="38"/>
      <c r="BB468" s="38"/>
      <c r="BC468" s="38"/>
      <c r="BD468" s="38"/>
      <c r="BE468" s="38"/>
      <c r="BF468" s="38"/>
      <c r="BG468" s="38"/>
      <c r="BH468" s="38"/>
      <c r="BI468" s="38"/>
      <c r="BJ468" s="38"/>
      <c r="BK468" s="38"/>
      <c r="BL468" s="38"/>
      <c r="BM468" s="38"/>
      <c r="BN468" s="38"/>
      <c r="BO468" s="38"/>
      <c r="BP468" s="38"/>
      <c r="BQ468" s="38"/>
      <c r="BR468" s="38"/>
      <c r="BS468" s="38"/>
      <c r="BT468" s="38"/>
      <c r="BU468" s="38"/>
      <c r="BV468" s="38"/>
      <c r="BW468" s="38"/>
      <c r="BX468" s="38"/>
      <c r="BY468" s="38"/>
      <c r="BZ468" s="38"/>
      <c r="CA468" s="38"/>
      <c r="CB468" s="38"/>
      <c r="CC468" s="38"/>
      <c r="CD468" s="38"/>
      <c r="CE468" s="38"/>
      <c r="CF468" s="38"/>
      <c r="CG468" s="38"/>
      <c r="CH468" s="38"/>
      <c r="CI468" s="38"/>
      <c r="CJ468" s="38"/>
      <c r="CK468" s="38"/>
      <c r="CL468" s="38"/>
      <c r="CM468" s="38"/>
      <c r="CN468" s="38"/>
      <c r="CO468" s="38"/>
      <c r="CP468" s="38"/>
      <c r="CQ468" s="38"/>
      <c r="CR468" s="38"/>
      <c r="CS468" s="38"/>
      <c r="CT468" s="38"/>
      <c r="CU468" s="38"/>
      <c r="CV468" s="38"/>
      <c r="CW468" s="38"/>
      <c r="CX468" s="38"/>
      <c r="CY468" s="38"/>
      <c r="CZ468" s="38"/>
    </row>
    <row r="469" spans="1:104" s="40" customFormat="1" ht="20.149999999999999" customHeight="1">
      <c r="A469" s="358">
        <f t="shared" si="115"/>
        <v>468</v>
      </c>
      <c r="B469" s="359" t="str">
        <f>'Front Sheet and Checklist'!$C$5</f>
        <v>Swansea Bay UHB</v>
      </c>
      <c r="C469" s="17"/>
      <c r="D469" s="17"/>
      <c r="E469" s="17"/>
      <c r="F469" s="17"/>
      <c r="G469" s="17"/>
      <c r="H469" s="17"/>
      <c r="I469" s="361">
        <f t="shared" si="105"/>
        <v>0</v>
      </c>
      <c r="J469" s="17"/>
      <c r="K469" s="18"/>
      <c r="L469" s="18"/>
      <c r="M469" s="17"/>
      <c r="N469" s="17"/>
      <c r="O469" s="17"/>
      <c r="P469" s="17"/>
      <c r="Q469" s="169"/>
      <c r="R469" s="24"/>
      <c r="S469" s="24"/>
      <c r="T469" s="24"/>
      <c r="U469" s="25"/>
      <c r="V469" s="25"/>
      <c r="W469" s="25"/>
      <c r="X469" s="24"/>
      <c r="Y469" s="24"/>
      <c r="Z469" s="24"/>
      <c r="AA469" s="24"/>
      <c r="AB469" s="24"/>
      <c r="AC469" s="24"/>
      <c r="AD469" s="361">
        <f t="shared" si="104"/>
        <v>0</v>
      </c>
      <c r="AE469" s="359" t="str">
        <f t="shared" si="107"/>
        <v/>
      </c>
      <c r="AF469" s="359" t="str">
        <f t="shared" si="116"/>
        <v/>
      </c>
      <c r="AG469" s="359" t="str">
        <f t="shared" si="108"/>
        <v/>
      </c>
      <c r="AH469" s="359" t="str">
        <f t="shared" si="109"/>
        <v/>
      </c>
      <c r="AI469" s="359" t="str">
        <f t="shared" si="110"/>
        <v/>
      </c>
      <c r="AJ469" s="359" t="str">
        <f t="shared" si="111"/>
        <v/>
      </c>
      <c r="AK469" s="359" t="str">
        <f t="shared" si="113"/>
        <v/>
      </c>
      <c r="AL469" s="359" t="str">
        <f t="shared" si="112"/>
        <v/>
      </c>
      <c r="AM469" s="359" t="str">
        <f t="shared" si="114"/>
        <v/>
      </c>
      <c r="AN469" s="262">
        <f t="shared" si="117"/>
        <v>0</v>
      </c>
      <c r="AO469" s="262" t="str">
        <f>IFERROR(HLOOKUP(AN469,'Ref Lists'!Q$1:AL$2,2,FALSE),'Ref Lists'!$AK$2)</f>
        <v>Savings21</v>
      </c>
      <c r="AP469" s="38"/>
      <c r="AQ469" s="38">
        <f t="shared" si="106"/>
        <v>0</v>
      </c>
      <c r="AR469" s="38"/>
      <c r="AS469" s="38"/>
      <c r="AT469" s="38"/>
      <c r="AU469" s="38"/>
      <c r="AV469" s="38"/>
      <c r="AW469" s="38"/>
      <c r="AX469" s="38"/>
      <c r="AY469" s="38"/>
      <c r="AZ469" s="38"/>
      <c r="BA469" s="38"/>
      <c r="BB469" s="38"/>
      <c r="BC469" s="38"/>
      <c r="BD469" s="38"/>
      <c r="BE469" s="38"/>
      <c r="BF469" s="38"/>
      <c r="BG469" s="38"/>
      <c r="BH469" s="38"/>
      <c r="BI469" s="38"/>
      <c r="BJ469" s="38"/>
      <c r="BK469" s="38"/>
      <c r="BL469" s="38"/>
      <c r="BM469" s="38"/>
      <c r="BN469" s="38"/>
      <c r="BO469" s="38"/>
      <c r="BP469" s="38"/>
      <c r="BQ469" s="38"/>
      <c r="BR469" s="38"/>
      <c r="BS469" s="38"/>
      <c r="BT469" s="38"/>
      <c r="BU469" s="38"/>
      <c r="BV469" s="38"/>
      <c r="BW469" s="38"/>
      <c r="BX469" s="38"/>
      <c r="BY469" s="38"/>
      <c r="BZ469" s="38"/>
      <c r="CA469" s="38"/>
      <c r="CB469" s="38"/>
      <c r="CC469" s="38"/>
      <c r="CD469" s="38"/>
      <c r="CE469" s="38"/>
      <c r="CF469" s="38"/>
      <c r="CG469" s="38"/>
      <c r="CH469" s="38"/>
      <c r="CI469" s="38"/>
      <c r="CJ469" s="38"/>
      <c r="CK469" s="38"/>
      <c r="CL469" s="38"/>
      <c r="CM469" s="38"/>
      <c r="CN469" s="38"/>
      <c r="CO469" s="38"/>
      <c r="CP469" s="38"/>
      <c r="CQ469" s="38"/>
      <c r="CR469" s="38"/>
      <c r="CS469" s="38"/>
      <c r="CT469" s="38"/>
      <c r="CU469" s="38"/>
      <c r="CV469" s="38"/>
      <c r="CW469" s="38"/>
      <c r="CX469" s="38"/>
      <c r="CY469" s="38"/>
      <c r="CZ469" s="38"/>
    </row>
    <row r="470" spans="1:104" s="40" customFormat="1" ht="20.149999999999999" customHeight="1">
      <c r="A470" s="358">
        <f t="shared" si="115"/>
        <v>469</v>
      </c>
      <c r="B470" s="359" t="str">
        <f>'Front Sheet and Checklist'!$C$5</f>
        <v>Swansea Bay UHB</v>
      </c>
      <c r="C470" s="17"/>
      <c r="D470" s="17"/>
      <c r="E470" s="17"/>
      <c r="F470" s="17"/>
      <c r="G470" s="17"/>
      <c r="H470" s="17"/>
      <c r="I470" s="361">
        <f t="shared" si="105"/>
        <v>0</v>
      </c>
      <c r="J470" s="17"/>
      <c r="K470" s="18"/>
      <c r="L470" s="18"/>
      <c r="M470" s="17"/>
      <c r="N470" s="17"/>
      <c r="O470" s="17"/>
      <c r="P470" s="17"/>
      <c r="Q470" s="169"/>
      <c r="R470" s="24"/>
      <c r="S470" s="24"/>
      <c r="T470" s="24"/>
      <c r="U470" s="25"/>
      <c r="V470" s="25"/>
      <c r="W470" s="25"/>
      <c r="X470" s="24"/>
      <c r="Y470" s="24"/>
      <c r="Z470" s="24"/>
      <c r="AA470" s="24"/>
      <c r="AB470" s="24"/>
      <c r="AC470" s="24"/>
      <c r="AD470" s="361">
        <f t="shared" si="104"/>
        <v>0</v>
      </c>
      <c r="AE470" s="359" t="str">
        <f t="shared" si="107"/>
        <v/>
      </c>
      <c r="AF470" s="359" t="str">
        <f t="shared" si="116"/>
        <v/>
      </c>
      <c r="AG470" s="359" t="str">
        <f t="shared" si="108"/>
        <v/>
      </c>
      <c r="AH470" s="359" t="str">
        <f t="shared" si="109"/>
        <v/>
      </c>
      <c r="AI470" s="359" t="str">
        <f t="shared" si="110"/>
        <v/>
      </c>
      <c r="AJ470" s="359" t="str">
        <f t="shared" si="111"/>
        <v/>
      </c>
      <c r="AK470" s="359" t="str">
        <f t="shared" si="113"/>
        <v/>
      </c>
      <c r="AL470" s="359" t="str">
        <f t="shared" si="112"/>
        <v/>
      </c>
      <c r="AM470" s="359" t="str">
        <f t="shared" si="114"/>
        <v/>
      </c>
      <c r="AN470" s="262">
        <f t="shared" si="117"/>
        <v>0</v>
      </c>
      <c r="AO470" s="262" t="str">
        <f>IFERROR(HLOOKUP(AN470,'Ref Lists'!Q$1:AL$2,2,FALSE),'Ref Lists'!$AK$2)</f>
        <v>Savings21</v>
      </c>
      <c r="AP470" s="38"/>
      <c r="AQ470" s="38">
        <f t="shared" si="106"/>
        <v>0</v>
      </c>
      <c r="AR470" s="38"/>
      <c r="AS470" s="38"/>
      <c r="AT470" s="38"/>
      <c r="AU470" s="38"/>
      <c r="AV470" s="38"/>
      <c r="AW470" s="38"/>
      <c r="AX470" s="38"/>
      <c r="AY470" s="38"/>
      <c r="AZ470" s="38"/>
      <c r="BA470" s="38"/>
      <c r="BB470" s="38"/>
      <c r="BC470" s="38"/>
      <c r="BD470" s="38"/>
      <c r="BE470" s="38"/>
      <c r="BF470" s="38"/>
      <c r="BG470" s="38"/>
      <c r="BH470" s="38"/>
      <c r="BI470" s="38"/>
      <c r="BJ470" s="38"/>
      <c r="BK470" s="38"/>
      <c r="BL470" s="38"/>
      <c r="BM470" s="38"/>
      <c r="BN470" s="38"/>
      <c r="BO470" s="38"/>
      <c r="BP470" s="38"/>
      <c r="BQ470" s="38"/>
      <c r="BR470" s="38"/>
      <c r="BS470" s="38"/>
      <c r="BT470" s="38"/>
      <c r="BU470" s="38"/>
      <c r="BV470" s="38"/>
      <c r="BW470" s="38"/>
      <c r="BX470" s="38"/>
      <c r="BY470" s="38"/>
      <c r="BZ470" s="38"/>
      <c r="CA470" s="38"/>
      <c r="CB470" s="38"/>
      <c r="CC470" s="38"/>
      <c r="CD470" s="38"/>
      <c r="CE470" s="38"/>
      <c r="CF470" s="38"/>
      <c r="CG470" s="38"/>
      <c r="CH470" s="38"/>
      <c r="CI470" s="38"/>
      <c r="CJ470" s="38"/>
      <c r="CK470" s="38"/>
      <c r="CL470" s="38"/>
      <c r="CM470" s="38"/>
      <c r="CN470" s="38"/>
      <c r="CO470" s="38"/>
      <c r="CP470" s="38"/>
      <c r="CQ470" s="38"/>
      <c r="CR470" s="38"/>
      <c r="CS470" s="38"/>
      <c r="CT470" s="38"/>
      <c r="CU470" s="38"/>
      <c r="CV470" s="38"/>
      <c r="CW470" s="38"/>
      <c r="CX470" s="38"/>
      <c r="CY470" s="38"/>
      <c r="CZ470" s="38"/>
    </row>
    <row r="471" spans="1:104" s="40" customFormat="1" ht="20.149999999999999" customHeight="1">
      <c r="A471" s="358">
        <f t="shared" si="115"/>
        <v>470</v>
      </c>
      <c r="B471" s="359" t="str">
        <f>'Front Sheet and Checklist'!$C$5</f>
        <v>Swansea Bay UHB</v>
      </c>
      <c r="C471" s="17"/>
      <c r="D471" s="17"/>
      <c r="E471" s="17"/>
      <c r="F471" s="17"/>
      <c r="G471" s="17"/>
      <c r="H471" s="17"/>
      <c r="I471" s="361">
        <f t="shared" si="105"/>
        <v>0</v>
      </c>
      <c r="J471" s="17"/>
      <c r="K471" s="18"/>
      <c r="L471" s="18"/>
      <c r="M471" s="17"/>
      <c r="N471" s="17"/>
      <c r="O471" s="17"/>
      <c r="P471" s="17"/>
      <c r="Q471" s="169"/>
      <c r="R471" s="24"/>
      <c r="S471" s="24"/>
      <c r="T471" s="24"/>
      <c r="U471" s="25"/>
      <c r="V471" s="25"/>
      <c r="W471" s="25"/>
      <c r="X471" s="24"/>
      <c r="Y471" s="24"/>
      <c r="Z471" s="24"/>
      <c r="AA471" s="24"/>
      <c r="AB471" s="24"/>
      <c r="AC471" s="24"/>
      <c r="AD471" s="361">
        <f t="shared" si="104"/>
        <v>0</v>
      </c>
      <c r="AE471" s="359" t="str">
        <f t="shared" si="107"/>
        <v/>
      </c>
      <c r="AF471" s="359" t="str">
        <f t="shared" si="116"/>
        <v/>
      </c>
      <c r="AG471" s="359" t="str">
        <f t="shared" si="108"/>
        <v/>
      </c>
      <c r="AH471" s="359" t="str">
        <f t="shared" si="109"/>
        <v/>
      </c>
      <c r="AI471" s="359" t="str">
        <f t="shared" si="110"/>
        <v/>
      </c>
      <c r="AJ471" s="359" t="str">
        <f t="shared" si="111"/>
        <v/>
      </c>
      <c r="AK471" s="359" t="str">
        <f t="shared" si="113"/>
        <v/>
      </c>
      <c r="AL471" s="359" t="str">
        <f t="shared" si="112"/>
        <v/>
      </c>
      <c r="AM471" s="359" t="str">
        <f t="shared" si="114"/>
        <v/>
      </c>
      <c r="AN471" s="262">
        <f t="shared" si="117"/>
        <v>0</v>
      </c>
      <c r="AO471" s="262" t="str">
        <f>IFERROR(HLOOKUP(AN471,'Ref Lists'!Q$1:AL$2,2,FALSE),'Ref Lists'!$AK$2)</f>
        <v>Savings21</v>
      </c>
      <c r="AP471" s="38"/>
      <c r="AQ471" s="38">
        <f t="shared" si="106"/>
        <v>0</v>
      </c>
      <c r="AR471" s="38"/>
      <c r="AS471" s="38"/>
      <c r="AT471" s="38"/>
      <c r="AU471" s="38"/>
      <c r="AV471" s="38"/>
      <c r="AW471" s="38"/>
      <c r="AX471" s="38"/>
      <c r="AY471" s="38"/>
      <c r="AZ471" s="38"/>
      <c r="BA471" s="38"/>
      <c r="BB471" s="38"/>
      <c r="BC471" s="38"/>
      <c r="BD471" s="38"/>
      <c r="BE471" s="38"/>
      <c r="BF471" s="38"/>
      <c r="BG471" s="38"/>
      <c r="BH471" s="38"/>
      <c r="BI471" s="38"/>
      <c r="BJ471" s="38"/>
      <c r="BK471" s="38"/>
      <c r="BL471" s="38"/>
      <c r="BM471" s="38"/>
      <c r="BN471" s="38"/>
      <c r="BO471" s="38"/>
      <c r="BP471" s="38"/>
      <c r="BQ471" s="38"/>
      <c r="BR471" s="38"/>
      <c r="BS471" s="38"/>
      <c r="BT471" s="38"/>
      <c r="BU471" s="38"/>
      <c r="BV471" s="38"/>
      <c r="BW471" s="38"/>
      <c r="BX471" s="38"/>
      <c r="BY471" s="38"/>
      <c r="BZ471" s="38"/>
      <c r="CA471" s="38"/>
      <c r="CB471" s="38"/>
      <c r="CC471" s="38"/>
      <c r="CD471" s="38"/>
      <c r="CE471" s="38"/>
      <c r="CF471" s="38"/>
      <c r="CG471" s="38"/>
      <c r="CH471" s="38"/>
      <c r="CI471" s="38"/>
      <c r="CJ471" s="38"/>
      <c r="CK471" s="38"/>
      <c r="CL471" s="38"/>
      <c r="CM471" s="38"/>
      <c r="CN471" s="38"/>
      <c r="CO471" s="38"/>
      <c r="CP471" s="38"/>
      <c r="CQ471" s="38"/>
      <c r="CR471" s="38"/>
      <c r="CS471" s="38"/>
      <c r="CT471" s="38"/>
      <c r="CU471" s="38"/>
      <c r="CV471" s="38"/>
      <c r="CW471" s="38"/>
      <c r="CX471" s="38"/>
      <c r="CY471" s="38"/>
      <c r="CZ471" s="38"/>
    </row>
    <row r="472" spans="1:104" s="40" customFormat="1" ht="20.149999999999999" customHeight="1">
      <c r="A472" s="358">
        <f t="shared" si="115"/>
        <v>471</v>
      </c>
      <c r="B472" s="359" t="str">
        <f>'Front Sheet and Checklist'!$C$5</f>
        <v>Swansea Bay UHB</v>
      </c>
      <c r="C472" s="17"/>
      <c r="D472" s="17"/>
      <c r="E472" s="17"/>
      <c r="F472" s="17"/>
      <c r="G472" s="17"/>
      <c r="H472" s="17"/>
      <c r="I472" s="361">
        <f t="shared" si="105"/>
        <v>0</v>
      </c>
      <c r="J472" s="17"/>
      <c r="K472" s="18"/>
      <c r="L472" s="18"/>
      <c r="M472" s="17"/>
      <c r="N472" s="17"/>
      <c r="O472" s="17"/>
      <c r="P472" s="17"/>
      <c r="Q472" s="169"/>
      <c r="R472" s="24"/>
      <c r="S472" s="24"/>
      <c r="T472" s="24"/>
      <c r="U472" s="25"/>
      <c r="V472" s="25"/>
      <c r="W472" s="25"/>
      <c r="X472" s="24"/>
      <c r="Y472" s="24"/>
      <c r="Z472" s="24"/>
      <c r="AA472" s="24"/>
      <c r="AB472" s="24"/>
      <c r="AC472" s="24"/>
      <c r="AD472" s="361">
        <f t="shared" si="104"/>
        <v>0</v>
      </c>
      <c r="AE472" s="359" t="str">
        <f t="shared" si="107"/>
        <v/>
      </c>
      <c r="AF472" s="359" t="str">
        <f t="shared" si="116"/>
        <v/>
      </c>
      <c r="AG472" s="359" t="str">
        <f t="shared" si="108"/>
        <v/>
      </c>
      <c r="AH472" s="359" t="str">
        <f t="shared" si="109"/>
        <v/>
      </c>
      <c r="AI472" s="359" t="str">
        <f t="shared" si="110"/>
        <v/>
      </c>
      <c r="AJ472" s="359" t="str">
        <f t="shared" si="111"/>
        <v/>
      </c>
      <c r="AK472" s="359" t="str">
        <f t="shared" si="113"/>
        <v/>
      </c>
      <c r="AL472" s="359" t="str">
        <f t="shared" si="112"/>
        <v/>
      </c>
      <c r="AM472" s="359" t="str">
        <f t="shared" si="114"/>
        <v/>
      </c>
      <c r="AN472" s="262">
        <f t="shared" si="117"/>
        <v>0</v>
      </c>
      <c r="AO472" s="262" t="str">
        <f>IFERROR(HLOOKUP(AN472,'Ref Lists'!Q$1:AL$2,2,FALSE),'Ref Lists'!$AK$2)</f>
        <v>Savings21</v>
      </c>
      <c r="AP472" s="38"/>
      <c r="AQ472" s="38">
        <f t="shared" si="106"/>
        <v>0</v>
      </c>
      <c r="AR472" s="38"/>
      <c r="AS472" s="38"/>
      <c r="AT472" s="38"/>
      <c r="AU472" s="38"/>
      <c r="AV472" s="38"/>
      <c r="AW472" s="38"/>
      <c r="AX472" s="38"/>
      <c r="AY472" s="38"/>
      <c r="AZ472" s="38"/>
      <c r="BA472" s="38"/>
      <c r="BB472" s="38"/>
      <c r="BC472" s="38"/>
      <c r="BD472" s="38"/>
      <c r="BE472" s="38"/>
      <c r="BF472" s="38"/>
      <c r="BG472" s="38"/>
      <c r="BH472" s="38"/>
      <c r="BI472" s="38"/>
      <c r="BJ472" s="38"/>
      <c r="BK472" s="38"/>
      <c r="BL472" s="38"/>
      <c r="BM472" s="38"/>
      <c r="BN472" s="38"/>
      <c r="BO472" s="38"/>
      <c r="BP472" s="38"/>
      <c r="BQ472" s="38"/>
      <c r="BR472" s="38"/>
      <c r="BS472" s="38"/>
      <c r="BT472" s="38"/>
      <c r="BU472" s="38"/>
      <c r="BV472" s="38"/>
      <c r="BW472" s="38"/>
      <c r="BX472" s="38"/>
      <c r="BY472" s="38"/>
      <c r="BZ472" s="38"/>
      <c r="CA472" s="38"/>
      <c r="CB472" s="38"/>
      <c r="CC472" s="38"/>
      <c r="CD472" s="38"/>
      <c r="CE472" s="38"/>
      <c r="CF472" s="38"/>
      <c r="CG472" s="38"/>
      <c r="CH472" s="38"/>
      <c r="CI472" s="38"/>
      <c r="CJ472" s="38"/>
      <c r="CK472" s="38"/>
      <c r="CL472" s="38"/>
      <c r="CM472" s="38"/>
      <c r="CN472" s="38"/>
      <c r="CO472" s="38"/>
      <c r="CP472" s="38"/>
      <c r="CQ472" s="38"/>
      <c r="CR472" s="38"/>
      <c r="CS472" s="38"/>
      <c r="CT472" s="38"/>
      <c r="CU472" s="38"/>
      <c r="CV472" s="38"/>
      <c r="CW472" s="38"/>
      <c r="CX472" s="38"/>
      <c r="CY472" s="38"/>
      <c r="CZ472" s="38"/>
    </row>
    <row r="473" spans="1:104" s="40" customFormat="1" ht="20.149999999999999" customHeight="1">
      <c r="A473" s="358">
        <f t="shared" si="115"/>
        <v>472</v>
      </c>
      <c r="B473" s="359" t="str">
        <f>'Front Sheet and Checklist'!$C$5</f>
        <v>Swansea Bay UHB</v>
      </c>
      <c r="C473" s="17"/>
      <c r="D473" s="17"/>
      <c r="E473" s="17"/>
      <c r="F473" s="17"/>
      <c r="G473" s="17"/>
      <c r="H473" s="17"/>
      <c r="I473" s="361">
        <f t="shared" si="105"/>
        <v>0</v>
      </c>
      <c r="J473" s="17"/>
      <c r="K473" s="18"/>
      <c r="L473" s="18"/>
      <c r="M473" s="17"/>
      <c r="N473" s="17"/>
      <c r="O473" s="17"/>
      <c r="P473" s="17"/>
      <c r="Q473" s="169"/>
      <c r="R473" s="24"/>
      <c r="S473" s="24"/>
      <c r="T473" s="24"/>
      <c r="U473" s="25"/>
      <c r="V473" s="25"/>
      <c r="W473" s="25"/>
      <c r="X473" s="24"/>
      <c r="Y473" s="24"/>
      <c r="Z473" s="24"/>
      <c r="AA473" s="24"/>
      <c r="AB473" s="24"/>
      <c r="AC473" s="24"/>
      <c r="AD473" s="361">
        <f t="shared" si="104"/>
        <v>0</v>
      </c>
      <c r="AE473" s="359" t="str">
        <f t="shared" si="107"/>
        <v/>
      </c>
      <c r="AF473" s="359" t="str">
        <f t="shared" si="116"/>
        <v/>
      </c>
      <c r="AG473" s="359" t="str">
        <f t="shared" si="108"/>
        <v/>
      </c>
      <c r="AH473" s="359" t="str">
        <f t="shared" si="109"/>
        <v/>
      </c>
      <c r="AI473" s="359" t="str">
        <f t="shared" si="110"/>
        <v/>
      </c>
      <c r="AJ473" s="359" t="str">
        <f t="shared" si="111"/>
        <v/>
      </c>
      <c r="AK473" s="359" t="str">
        <f t="shared" si="113"/>
        <v/>
      </c>
      <c r="AL473" s="359" t="str">
        <f t="shared" si="112"/>
        <v/>
      </c>
      <c r="AM473" s="359" t="str">
        <f t="shared" si="114"/>
        <v/>
      </c>
      <c r="AN473" s="262">
        <f t="shared" si="117"/>
        <v>0</v>
      </c>
      <c r="AO473" s="262" t="str">
        <f>IFERROR(HLOOKUP(AN473,'Ref Lists'!Q$1:AL$2,2,FALSE),'Ref Lists'!$AK$2)</f>
        <v>Savings21</v>
      </c>
      <c r="AP473" s="38"/>
      <c r="AQ473" s="38">
        <f t="shared" si="106"/>
        <v>0</v>
      </c>
      <c r="AR473" s="38"/>
      <c r="AS473" s="38"/>
      <c r="AT473" s="38"/>
      <c r="AU473" s="38"/>
      <c r="AV473" s="38"/>
      <c r="AW473" s="38"/>
      <c r="AX473" s="38"/>
      <c r="AY473" s="38"/>
      <c r="AZ473" s="38"/>
      <c r="BA473" s="38"/>
      <c r="BB473" s="38"/>
      <c r="BC473" s="38"/>
      <c r="BD473" s="38"/>
      <c r="BE473" s="38"/>
      <c r="BF473" s="38"/>
      <c r="BG473" s="38"/>
      <c r="BH473" s="38"/>
      <c r="BI473" s="38"/>
      <c r="BJ473" s="38"/>
      <c r="BK473" s="38"/>
      <c r="BL473" s="38"/>
      <c r="BM473" s="38"/>
      <c r="BN473" s="38"/>
      <c r="BO473" s="38"/>
      <c r="BP473" s="38"/>
      <c r="BQ473" s="38"/>
      <c r="BR473" s="38"/>
      <c r="BS473" s="38"/>
      <c r="BT473" s="38"/>
      <c r="BU473" s="38"/>
      <c r="BV473" s="38"/>
      <c r="BW473" s="38"/>
      <c r="BX473" s="38"/>
      <c r="BY473" s="38"/>
      <c r="BZ473" s="38"/>
      <c r="CA473" s="38"/>
      <c r="CB473" s="38"/>
      <c r="CC473" s="38"/>
      <c r="CD473" s="38"/>
      <c r="CE473" s="38"/>
      <c r="CF473" s="38"/>
      <c r="CG473" s="38"/>
      <c r="CH473" s="38"/>
      <c r="CI473" s="38"/>
      <c r="CJ473" s="38"/>
      <c r="CK473" s="38"/>
      <c r="CL473" s="38"/>
      <c r="CM473" s="38"/>
      <c r="CN473" s="38"/>
      <c r="CO473" s="38"/>
      <c r="CP473" s="38"/>
      <c r="CQ473" s="38"/>
      <c r="CR473" s="38"/>
      <c r="CS473" s="38"/>
      <c r="CT473" s="38"/>
      <c r="CU473" s="38"/>
      <c r="CV473" s="38"/>
      <c r="CW473" s="38"/>
      <c r="CX473" s="38"/>
      <c r="CY473" s="38"/>
      <c r="CZ473" s="38"/>
    </row>
    <row r="474" spans="1:104" s="40" customFormat="1" ht="20.149999999999999" customHeight="1">
      <c r="A474" s="358">
        <f t="shared" si="115"/>
        <v>473</v>
      </c>
      <c r="B474" s="359" t="str">
        <f>'Front Sheet and Checklist'!$C$5</f>
        <v>Swansea Bay UHB</v>
      </c>
      <c r="C474" s="17"/>
      <c r="D474" s="17"/>
      <c r="E474" s="17"/>
      <c r="F474" s="17"/>
      <c r="G474" s="17"/>
      <c r="H474" s="17"/>
      <c r="I474" s="361">
        <f t="shared" si="105"/>
        <v>0</v>
      </c>
      <c r="J474" s="17"/>
      <c r="K474" s="18"/>
      <c r="L474" s="18"/>
      <c r="M474" s="17"/>
      <c r="N474" s="17"/>
      <c r="O474" s="17"/>
      <c r="P474" s="17"/>
      <c r="Q474" s="169"/>
      <c r="R474" s="24"/>
      <c r="S474" s="24"/>
      <c r="T474" s="24"/>
      <c r="U474" s="25"/>
      <c r="V474" s="25"/>
      <c r="W474" s="25"/>
      <c r="X474" s="24"/>
      <c r="Y474" s="24"/>
      <c r="Z474" s="24"/>
      <c r="AA474" s="24"/>
      <c r="AB474" s="24"/>
      <c r="AC474" s="24"/>
      <c r="AD474" s="361">
        <f t="shared" si="104"/>
        <v>0</v>
      </c>
      <c r="AE474" s="359" t="str">
        <f t="shared" si="107"/>
        <v/>
      </c>
      <c r="AF474" s="359" t="str">
        <f t="shared" si="116"/>
        <v/>
      </c>
      <c r="AG474" s="359" t="str">
        <f t="shared" si="108"/>
        <v/>
      </c>
      <c r="AH474" s="359" t="str">
        <f t="shared" si="109"/>
        <v/>
      </c>
      <c r="AI474" s="359" t="str">
        <f t="shared" si="110"/>
        <v/>
      </c>
      <c r="AJ474" s="359" t="str">
        <f t="shared" si="111"/>
        <v/>
      </c>
      <c r="AK474" s="359" t="str">
        <f t="shared" si="113"/>
        <v/>
      </c>
      <c r="AL474" s="359" t="str">
        <f t="shared" si="112"/>
        <v/>
      </c>
      <c r="AM474" s="359" t="str">
        <f t="shared" si="114"/>
        <v/>
      </c>
      <c r="AN474" s="262">
        <f t="shared" si="117"/>
        <v>0</v>
      </c>
      <c r="AO474" s="262" t="str">
        <f>IFERROR(HLOOKUP(AN474,'Ref Lists'!Q$1:AL$2,2,FALSE),'Ref Lists'!$AK$2)</f>
        <v>Savings21</v>
      </c>
      <c r="AP474" s="38"/>
      <c r="AQ474" s="38">
        <f t="shared" si="106"/>
        <v>0</v>
      </c>
      <c r="AR474" s="38"/>
      <c r="AS474" s="38"/>
      <c r="AT474" s="38"/>
      <c r="AU474" s="38"/>
      <c r="AV474" s="38"/>
      <c r="AW474" s="38"/>
      <c r="AX474" s="38"/>
      <c r="AY474" s="38"/>
      <c r="AZ474" s="38"/>
      <c r="BA474" s="38"/>
      <c r="BB474" s="38"/>
      <c r="BC474" s="38"/>
      <c r="BD474" s="38"/>
      <c r="BE474" s="38"/>
      <c r="BF474" s="38"/>
      <c r="BG474" s="38"/>
      <c r="BH474" s="38"/>
      <c r="BI474" s="38"/>
      <c r="BJ474" s="38"/>
      <c r="BK474" s="38"/>
      <c r="BL474" s="38"/>
      <c r="BM474" s="38"/>
      <c r="BN474" s="38"/>
      <c r="BO474" s="38"/>
      <c r="BP474" s="38"/>
      <c r="BQ474" s="38"/>
      <c r="BR474" s="38"/>
      <c r="BS474" s="38"/>
      <c r="BT474" s="38"/>
      <c r="BU474" s="38"/>
      <c r="BV474" s="38"/>
      <c r="BW474" s="38"/>
      <c r="BX474" s="38"/>
      <c r="BY474" s="38"/>
      <c r="BZ474" s="38"/>
      <c r="CA474" s="38"/>
      <c r="CB474" s="38"/>
      <c r="CC474" s="38"/>
      <c r="CD474" s="38"/>
      <c r="CE474" s="38"/>
      <c r="CF474" s="38"/>
      <c r="CG474" s="38"/>
      <c r="CH474" s="38"/>
      <c r="CI474" s="38"/>
      <c r="CJ474" s="38"/>
      <c r="CK474" s="38"/>
      <c r="CL474" s="38"/>
      <c r="CM474" s="38"/>
      <c r="CN474" s="38"/>
      <c r="CO474" s="38"/>
      <c r="CP474" s="38"/>
      <c r="CQ474" s="38"/>
      <c r="CR474" s="38"/>
      <c r="CS474" s="38"/>
      <c r="CT474" s="38"/>
      <c r="CU474" s="38"/>
      <c r="CV474" s="38"/>
      <c r="CW474" s="38"/>
      <c r="CX474" s="38"/>
      <c r="CY474" s="38"/>
      <c r="CZ474" s="38"/>
    </row>
    <row r="475" spans="1:104" s="40" customFormat="1" ht="20.149999999999999" customHeight="1">
      <c r="A475" s="358">
        <f t="shared" si="115"/>
        <v>474</v>
      </c>
      <c r="B475" s="359" t="str">
        <f>'Front Sheet and Checklist'!$C$5</f>
        <v>Swansea Bay UHB</v>
      </c>
      <c r="C475" s="17"/>
      <c r="D475" s="17"/>
      <c r="E475" s="17"/>
      <c r="F475" s="17"/>
      <c r="G475" s="17"/>
      <c r="H475" s="17"/>
      <c r="I475" s="361">
        <f t="shared" si="105"/>
        <v>0</v>
      </c>
      <c r="J475" s="17"/>
      <c r="K475" s="18"/>
      <c r="L475" s="18"/>
      <c r="M475" s="17"/>
      <c r="N475" s="17"/>
      <c r="O475" s="17"/>
      <c r="P475" s="17"/>
      <c r="Q475" s="169"/>
      <c r="R475" s="24"/>
      <c r="S475" s="24"/>
      <c r="T475" s="24"/>
      <c r="U475" s="25"/>
      <c r="V475" s="25"/>
      <c r="W475" s="25"/>
      <c r="X475" s="24"/>
      <c r="Y475" s="24"/>
      <c r="Z475" s="24"/>
      <c r="AA475" s="24"/>
      <c r="AB475" s="24"/>
      <c r="AC475" s="24"/>
      <c r="AD475" s="361">
        <f t="shared" si="104"/>
        <v>0</v>
      </c>
      <c r="AE475" s="359" t="str">
        <f t="shared" si="107"/>
        <v/>
      </c>
      <c r="AF475" s="359" t="str">
        <f t="shared" si="116"/>
        <v/>
      </c>
      <c r="AG475" s="359" t="str">
        <f t="shared" si="108"/>
        <v/>
      </c>
      <c r="AH475" s="359" t="str">
        <f t="shared" si="109"/>
        <v/>
      </c>
      <c r="AI475" s="359" t="str">
        <f t="shared" si="110"/>
        <v/>
      </c>
      <c r="AJ475" s="359" t="str">
        <f t="shared" si="111"/>
        <v/>
      </c>
      <c r="AK475" s="359" t="str">
        <f t="shared" si="113"/>
        <v/>
      </c>
      <c r="AL475" s="359" t="str">
        <f t="shared" si="112"/>
        <v/>
      </c>
      <c r="AM475" s="359" t="str">
        <f t="shared" si="114"/>
        <v/>
      </c>
      <c r="AN475" s="262">
        <f t="shared" si="117"/>
        <v>0</v>
      </c>
      <c r="AO475" s="262" t="str">
        <f>IFERROR(HLOOKUP(AN475,'Ref Lists'!Q$1:AL$2,2,FALSE),'Ref Lists'!$AK$2)</f>
        <v>Savings21</v>
      </c>
      <c r="AP475" s="38"/>
      <c r="AQ475" s="38">
        <f t="shared" si="106"/>
        <v>0</v>
      </c>
      <c r="AR475" s="38"/>
      <c r="AS475" s="38"/>
      <c r="AT475" s="38"/>
      <c r="AU475" s="38"/>
      <c r="AV475" s="38"/>
      <c r="AW475" s="38"/>
      <c r="AX475" s="38"/>
      <c r="AY475" s="38"/>
      <c r="AZ475" s="38"/>
      <c r="BA475" s="38"/>
      <c r="BB475" s="38"/>
      <c r="BC475" s="38"/>
      <c r="BD475" s="38"/>
      <c r="BE475" s="38"/>
      <c r="BF475" s="38"/>
      <c r="BG475" s="38"/>
      <c r="BH475" s="38"/>
      <c r="BI475" s="38"/>
      <c r="BJ475" s="38"/>
      <c r="BK475" s="38"/>
      <c r="BL475" s="38"/>
      <c r="BM475" s="38"/>
      <c r="BN475" s="38"/>
      <c r="BO475" s="38"/>
      <c r="BP475" s="38"/>
      <c r="BQ475" s="38"/>
      <c r="BR475" s="38"/>
      <c r="BS475" s="38"/>
      <c r="BT475" s="38"/>
      <c r="BU475" s="38"/>
      <c r="BV475" s="38"/>
      <c r="BW475" s="38"/>
      <c r="BX475" s="38"/>
      <c r="BY475" s="38"/>
      <c r="BZ475" s="38"/>
      <c r="CA475" s="38"/>
      <c r="CB475" s="38"/>
      <c r="CC475" s="38"/>
      <c r="CD475" s="38"/>
      <c r="CE475" s="38"/>
      <c r="CF475" s="38"/>
      <c r="CG475" s="38"/>
      <c r="CH475" s="38"/>
      <c r="CI475" s="38"/>
      <c r="CJ475" s="38"/>
      <c r="CK475" s="38"/>
      <c r="CL475" s="38"/>
      <c r="CM475" s="38"/>
      <c r="CN475" s="38"/>
      <c r="CO475" s="38"/>
      <c r="CP475" s="38"/>
      <c r="CQ475" s="38"/>
      <c r="CR475" s="38"/>
      <c r="CS475" s="38"/>
      <c r="CT475" s="38"/>
      <c r="CU475" s="38"/>
      <c r="CV475" s="38"/>
      <c r="CW475" s="38"/>
      <c r="CX475" s="38"/>
      <c r="CY475" s="38"/>
      <c r="CZ475" s="38"/>
    </row>
    <row r="476" spans="1:104" s="40" customFormat="1" ht="20.149999999999999" customHeight="1">
      <c r="A476" s="358">
        <f t="shared" si="115"/>
        <v>475</v>
      </c>
      <c r="B476" s="359" t="str">
        <f>'Front Sheet and Checklist'!$C$5</f>
        <v>Swansea Bay UHB</v>
      </c>
      <c r="C476" s="17"/>
      <c r="D476" s="17"/>
      <c r="E476" s="17"/>
      <c r="F476" s="17"/>
      <c r="G476" s="17"/>
      <c r="H476" s="17"/>
      <c r="I476" s="361">
        <f t="shared" si="105"/>
        <v>0</v>
      </c>
      <c r="J476" s="17"/>
      <c r="K476" s="18"/>
      <c r="L476" s="18"/>
      <c r="M476" s="17"/>
      <c r="N476" s="17"/>
      <c r="O476" s="17"/>
      <c r="P476" s="17"/>
      <c r="Q476" s="169"/>
      <c r="R476" s="24"/>
      <c r="S476" s="24"/>
      <c r="T476" s="24"/>
      <c r="U476" s="25"/>
      <c r="V476" s="25"/>
      <c r="W476" s="25"/>
      <c r="X476" s="24"/>
      <c r="Y476" s="24"/>
      <c r="Z476" s="24"/>
      <c r="AA476" s="24"/>
      <c r="AB476" s="24"/>
      <c r="AC476" s="24"/>
      <c r="AD476" s="361">
        <f t="shared" si="104"/>
        <v>0</v>
      </c>
      <c r="AE476" s="359" t="str">
        <f t="shared" si="107"/>
        <v/>
      </c>
      <c r="AF476" s="359" t="str">
        <f t="shared" si="116"/>
        <v/>
      </c>
      <c r="AG476" s="359" t="str">
        <f t="shared" si="108"/>
        <v/>
      </c>
      <c r="AH476" s="359" t="str">
        <f t="shared" si="109"/>
        <v/>
      </c>
      <c r="AI476" s="359" t="str">
        <f t="shared" si="110"/>
        <v/>
      </c>
      <c r="AJ476" s="359" t="str">
        <f t="shared" si="111"/>
        <v/>
      </c>
      <c r="AK476" s="359" t="str">
        <f t="shared" si="113"/>
        <v/>
      </c>
      <c r="AL476" s="359" t="str">
        <f t="shared" si="112"/>
        <v/>
      </c>
      <c r="AM476" s="359" t="str">
        <f t="shared" si="114"/>
        <v/>
      </c>
      <c r="AN476" s="262">
        <f t="shared" si="117"/>
        <v>0</v>
      </c>
      <c r="AO476" s="262" t="str">
        <f>IFERROR(HLOOKUP(AN476,'Ref Lists'!Q$1:AL$2,2,FALSE),'Ref Lists'!$AK$2)</f>
        <v>Savings21</v>
      </c>
      <c r="AP476" s="38"/>
      <c r="AQ476" s="38">
        <f t="shared" si="106"/>
        <v>0</v>
      </c>
      <c r="AR476" s="38"/>
      <c r="AS476" s="38"/>
      <c r="AT476" s="38"/>
      <c r="AU476" s="38"/>
      <c r="AV476" s="38"/>
      <c r="AW476" s="38"/>
      <c r="AX476" s="38"/>
      <c r="AY476" s="38"/>
      <c r="AZ476" s="38"/>
      <c r="BA476" s="38"/>
      <c r="BB476" s="38"/>
      <c r="BC476" s="38"/>
      <c r="BD476" s="38"/>
      <c r="BE476" s="38"/>
      <c r="BF476" s="38"/>
      <c r="BG476" s="38"/>
      <c r="BH476" s="38"/>
      <c r="BI476" s="38"/>
      <c r="BJ476" s="38"/>
      <c r="BK476" s="38"/>
      <c r="BL476" s="38"/>
      <c r="BM476" s="38"/>
      <c r="BN476" s="38"/>
      <c r="BO476" s="38"/>
      <c r="BP476" s="38"/>
      <c r="BQ476" s="38"/>
      <c r="BR476" s="38"/>
      <c r="BS476" s="38"/>
      <c r="BT476" s="38"/>
      <c r="BU476" s="38"/>
      <c r="BV476" s="38"/>
      <c r="BW476" s="38"/>
      <c r="BX476" s="38"/>
      <c r="BY476" s="38"/>
      <c r="BZ476" s="38"/>
      <c r="CA476" s="38"/>
      <c r="CB476" s="38"/>
      <c r="CC476" s="38"/>
      <c r="CD476" s="38"/>
      <c r="CE476" s="38"/>
      <c r="CF476" s="38"/>
      <c r="CG476" s="38"/>
      <c r="CH476" s="38"/>
      <c r="CI476" s="38"/>
      <c r="CJ476" s="38"/>
      <c r="CK476" s="38"/>
      <c r="CL476" s="38"/>
      <c r="CM476" s="38"/>
      <c r="CN476" s="38"/>
      <c r="CO476" s="38"/>
      <c r="CP476" s="38"/>
      <c r="CQ476" s="38"/>
      <c r="CR476" s="38"/>
      <c r="CS476" s="38"/>
      <c r="CT476" s="38"/>
      <c r="CU476" s="38"/>
      <c r="CV476" s="38"/>
      <c r="CW476" s="38"/>
      <c r="CX476" s="38"/>
      <c r="CY476" s="38"/>
      <c r="CZ476" s="38"/>
    </row>
    <row r="477" spans="1:104" s="40" customFormat="1" ht="20.149999999999999" customHeight="1">
      <c r="A477" s="358">
        <f t="shared" si="115"/>
        <v>476</v>
      </c>
      <c r="B477" s="359" t="str">
        <f>'Front Sheet and Checklist'!$C$5</f>
        <v>Swansea Bay UHB</v>
      </c>
      <c r="C477" s="17"/>
      <c r="D477" s="17"/>
      <c r="E477" s="17"/>
      <c r="F477" s="17"/>
      <c r="G477" s="17"/>
      <c r="H477" s="17"/>
      <c r="I477" s="361">
        <f t="shared" si="105"/>
        <v>0</v>
      </c>
      <c r="J477" s="17"/>
      <c r="K477" s="18"/>
      <c r="L477" s="18"/>
      <c r="M477" s="17"/>
      <c r="N477" s="17"/>
      <c r="O477" s="17"/>
      <c r="P477" s="17"/>
      <c r="Q477" s="169"/>
      <c r="R477" s="24"/>
      <c r="S477" s="24"/>
      <c r="T477" s="24"/>
      <c r="U477" s="25"/>
      <c r="V477" s="25"/>
      <c r="W477" s="25"/>
      <c r="X477" s="24"/>
      <c r="Y477" s="24"/>
      <c r="Z477" s="24"/>
      <c r="AA477" s="24"/>
      <c r="AB477" s="24"/>
      <c r="AC477" s="24"/>
      <c r="AD477" s="361">
        <f t="shared" si="104"/>
        <v>0</v>
      </c>
      <c r="AE477" s="359" t="str">
        <f t="shared" si="107"/>
        <v/>
      </c>
      <c r="AF477" s="359" t="str">
        <f t="shared" si="116"/>
        <v/>
      </c>
      <c r="AG477" s="359" t="str">
        <f t="shared" si="108"/>
        <v/>
      </c>
      <c r="AH477" s="359" t="str">
        <f t="shared" si="109"/>
        <v/>
      </c>
      <c r="AI477" s="359" t="str">
        <f t="shared" si="110"/>
        <v/>
      </c>
      <c r="AJ477" s="359" t="str">
        <f t="shared" si="111"/>
        <v/>
      </c>
      <c r="AK477" s="359" t="str">
        <f t="shared" si="113"/>
        <v/>
      </c>
      <c r="AL477" s="359" t="str">
        <f t="shared" si="112"/>
        <v/>
      </c>
      <c r="AM477" s="359" t="str">
        <f t="shared" si="114"/>
        <v/>
      </c>
      <c r="AN477" s="262">
        <f t="shared" si="117"/>
        <v>0</v>
      </c>
      <c r="AO477" s="262" t="str">
        <f>IFERROR(HLOOKUP(AN477,'Ref Lists'!Q$1:AL$2,2,FALSE),'Ref Lists'!$AK$2)</f>
        <v>Savings21</v>
      </c>
      <c r="AP477" s="38"/>
      <c r="AQ477" s="38">
        <f t="shared" si="106"/>
        <v>0</v>
      </c>
      <c r="AR477" s="38"/>
      <c r="AS477" s="38"/>
      <c r="AT477" s="38"/>
      <c r="AU477" s="38"/>
      <c r="AV477" s="38"/>
      <c r="AW477" s="38"/>
      <c r="AX477" s="38"/>
      <c r="AY477" s="38"/>
      <c r="AZ477" s="38"/>
      <c r="BA477" s="38"/>
      <c r="BB477" s="38"/>
      <c r="BC477" s="38"/>
      <c r="BD477" s="38"/>
      <c r="BE477" s="38"/>
      <c r="BF477" s="38"/>
      <c r="BG477" s="38"/>
      <c r="BH477" s="38"/>
      <c r="BI477" s="38"/>
      <c r="BJ477" s="38"/>
      <c r="BK477" s="38"/>
      <c r="BL477" s="38"/>
      <c r="BM477" s="38"/>
      <c r="BN477" s="38"/>
      <c r="BO477" s="38"/>
      <c r="BP477" s="38"/>
      <c r="BQ477" s="38"/>
      <c r="BR477" s="38"/>
      <c r="BS477" s="38"/>
      <c r="BT477" s="38"/>
      <c r="BU477" s="38"/>
      <c r="BV477" s="38"/>
      <c r="BW477" s="38"/>
      <c r="BX477" s="38"/>
      <c r="BY477" s="38"/>
      <c r="BZ477" s="38"/>
      <c r="CA477" s="38"/>
      <c r="CB477" s="38"/>
      <c r="CC477" s="38"/>
      <c r="CD477" s="38"/>
      <c r="CE477" s="38"/>
      <c r="CF477" s="38"/>
      <c r="CG477" s="38"/>
      <c r="CH477" s="38"/>
      <c r="CI477" s="38"/>
      <c r="CJ477" s="38"/>
      <c r="CK477" s="38"/>
      <c r="CL477" s="38"/>
      <c r="CM477" s="38"/>
      <c r="CN477" s="38"/>
      <c r="CO477" s="38"/>
      <c r="CP477" s="38"/>
      <c r="CQ477" s="38"/>
      <c r="CR477" s="38"/>
      <c r="CS477" s="38"/>
      <c r="CT477" s="38"/>
      <c r="CU477" s="38"/>
      <c r="CV477" s="38"/>
      <c r="CW477" s="38"/>
      <c r="CX477" s="38"/>
      <c r="CY477" s="38"/>
      <c r="CZ477" s="38"/>
    </row>
    <row r="478" spans="1:104" s="40" customFormat="1" ht="20.149999999999999" customHeight="1">
      <c r="A478" s="358">
        <f t="shared" si="115"/>
        <v>477</v>
      </c>
      <c r="B478" s="359" t="str">
        <f>'Front Sheet and Checklist'!$C$5</f>
        <v>Swansea Bay UHB</v>
      </c>
      <c r="C478" s="17"/>
      <c r="D478" s="17"/>
      <c r="E478" s="17"/>
      <c r="F478" s="17"/>
      <c r="G478" s="17"/>
      <c r="H478" s="17"/>
      <c r="I478" s="361">
        <f t="shared" si="105"/>
        <v>0</v>
      </c>
      <c r="J478" s="17"/>
      <c r="K478" s="18"/>
      <c r="L478" s="18"/>
      <c r="M478" s="17"/>
      <c r="N478" s="17"/>
      <c r="O478" s="17"/>
      <c r="P478" s="17"/>
      <c r="Q478" s="169"/>
      <c r="R478" s="24"/>
      <c r="S478" s="24"/>
      <c r="T478" s="24"/>
      <c r="U478" s="25"/>
      <c r="V478" s="25"/>
      <c r="W478" s="25"/>
      <c r="X478" s="24"/>
      <c r="Y478" s="24"/>
      <c r="Z478" s="24"/>
      <c r="AA478" s="24"/>
      <c r="AB478" s="24"/>
      <c r="AC478" s="24"/>
      <c r="AD478" s="361">
        <f t="shared" si="104"/>
        <v>0</v>
      </c>
      <c r="AE478" s="359" t="str">
        <f t="shared" si="107"/>
        <v/>
      </c>
      <c r="AF478" s="359" t="str">
        <f t="shared" si="116"/>
        <v/>
      </c>
      <c r="AG478" s="359" t="str">
        <f t="shared" si="108"/>
        <v/>
      </c>
      <c r="AH478" s="359" t="str">
        <f t="shared" si="109"/>
        <v/>
      </c>
      <c r="AI478" s="359" t="str">
        <f t="shared" si="110"/>
        <v/>
      </c>
      <c r="AJ478" s="359" t="str">
        <f t="shared" si="111"/>
        <v/>
      </c>
      <c r="AK478" s="359" t="str">
        <f t="shared" si="113"/>
        <v/>
      </c>
      <c r="AL478" s="359" t="str">
        <f t="shared" si="112"/>
        <v/>
      </c>
      <c r="AM478" s="359" t="str">
        <f t="shared" si="114"/>
        <v/>
      </c>
      <c r="AN478" s="262">
        <f t="shared" si="117"/>
        <v>0</v>
      </c>
      <c r="AO478" s="262" t="str">
        <f>IFERROR(HLOOKUP(AN478,'Ref Lists'!Q$1:AL$2,2,FALSE),'Ref Lists'!$AK$2)</f>
        <v>Savings21</v>
      </c>
      <c r="AP478" s="38"/>
      <c r="AQ478" s="38">
        <f t="shared" si="106"/>
        <v>0</v>
      </c>
      <c r="AR478" s="38"/>
      <c r="AS478" s="38"/>
      <c r="AT478" s="38"/>
      <c r="AU478" s="38"/>
      <c r="AV478" s="38"/>
      <c r="AW478" s="38"/>
      <c r="AX478" s="38"/>
      <c r="AY478" s="38"/>
      <c r="AZ478" s="38"/>
      <c r="BA478" s="38"/>
      <c r="BB478" s="38"/>
      <c r="BC478" s="38"/>
      <c r="BD478" s="38"/>
      <c r="BE478" s="38"/>
      <c r="BF478" s="38"/>
      <c r="BG478" s="38"/>
      <c r="BH478" s="38"/>
      <c r="BI478" s="38"/>
      <c r="BJ478" s="38"/>
      <c r="BK478" s="38"/>
      <c r="BL478" s="38"/>
      <c r="BM478" s="38"/>
      <c r="BN478" s="38"/>
      <c r="BO478" s="38"/>
      <c r="BP478" s="38"/>
      <c r="BQ478" s="38"/>
      <c r="BR478" s="38"/>
      <c r="BS478" s="38"/>
      <c r="BT478" s="38"/>
      <c r="BU478" s="38"/>
      <c r="BV478" s="38"/>
      <c r="BW478" s="38"/>
      <c r="BX478" s="38"/>
      <c r="BY478" s="38"/>
      <c r="BZ478" s="38"/>
      <c r="CA478" s="38"/>
      <c r="CB478" s="38"/>
      <c r="CC478" s="38"/>
      <c r="CD478" s="38"/>
      <c r="CE478" s="38"/>
      <c r="CF478" s="38"/>
      <c r="CG478" s="38"/>
      <c r="CH478" s="38"/>
      <c r="CI478" s="38"/>
      <c r="CJ478" s="38"/>
      <c r="CK478" s="38"/>
      <c r="CL478" s="38"/>
      <c r="CM478" s="38"/>
      <c r="CN478" s="38"/>
      <c r="CO478" s="38"/>
      <c r="CP478" s="38"/>
      <c r="CQ478" s="38"/>
      <c r="CR478" s="38"/>
      <c r="CS478" s="38"/>
      <c r="CT478" s="38"/>
      <c r="CU478" s="38"/>
      <c r="CV478" s="38"/>
      <c r="CW478" s="38"/>
      <c r="CX478" s="38"/>
      <c r="CY478" s="38"/>
      <c r="CZ478" s="38"/>
    </row>
    <row r="479" spans="1:104" s="40" customFormat="1" ht="20.149999999999999" customHeight="1">
      <c r="A479" s="358">
        <f t="shared" si="115"/>
        <v>478</v>
      </c>
      <c r="B479" s="359" t="str">
        <f>'Front Sheet and Checklist'!$C$5</f>
        <v>Swansea Bay UHB</v>
      </c>
      <c r="C479" s="17"/>
      <c r="D479" s="17"/>
      <c r="E479" s="17"/>
      <c r="F479" s="17"/>
      <c r="G479" s="17"/>
      <c r="H479" s="17"/>
      <c r="I479" s="361">
        <f t="shared" si="105"/>
        <v>0</v>
      </c>
      <c r="J479" s="17"/>
      <c r="K479" s="18"/>
      <c r="L479" s="18"/>
      <c r="M479" s="17"/>
      <c r="N479" s="17"/>
      <c r="O479" s="17"/>
      <c r="P479" s="17"/>
      <c r="Q479" s="169"/>
      <c r="R479" s="24"/>
      <c r="S479" s="24"/>
      <c r="T479" s="24"/>
      <c r="U479" s="25"/>
      <c r="V479" s="25"/>
      <c r="W479" s="25"/>
      <c r="X479" s="24"/>
      <c r="Y479" s="24"/>
      <c r="Z479" s="24"/>
      <c r="AA479" s="24"/>
      <c r="AB479" s="24"/>
      <c r="AC479" s="24"/>
      <c r="AD479" s="361">
        <f t="shared" si="104"/>
        <v>0</v>
      </c>
      <c r="AE479" s="359" t="str">
        <f t="shared" si="107"/>
        <v/>
      </c>
      <c r="AF479" s="359" t="str">
        <f t="shared" si="116"/>
        <v/>
      </c>
      <c r="AG479" s="359" t="str">
        <f t="shared" si="108"/>
        <v/>
      </c>
      <c r="AH479" s="359" t="str">
        <f t="shared" si="109"/>
        <v/>
      </c>
      <c r="AI479" s="359" t="str">
        <f t="shared" si="110"/>
        <v/>
      </c>
      <c r="AJ479" s="359" t="str">
        <f t="shared" si="111"/>
        <v/>
      </c>
      <c r="AK479" s="359" t="str">
        <f t="shared" si="113"/>
        <v/>
      </c>
      <c r="AL479" s="359" t="str">
        <f t="shared" si="112"/>
        <v/>
      </c>
      <c r="AM479" s="359" t="str">
        <f t="shared" si="114"/>
        <v/>
      </c>
      <c r="AN479" s="262">
        <f t="shared" si="117"/>
        <v>0</v>
      </c>
      <c r="AO479" s="262" t="str">
        <f>IFERROR(HLOOKUP(AN479,'Ref Lists'!Q$1:AL$2,2,FALSE),'Ref Lists'!$AK$2)</f>
        <v>Savings21</v>
      </c>
      <c r="AP479" s="38"/>
      <c r="AQ479" s="38">
        <f t="shared" si="106"/>
        <v>0</v>
      </c>
      <c r="AR479" s="38"/>
      <c r="AS479" s="38"/>
      <c r="AT479" s="38"/>
      <c r="AU479" s="38"/>
      <c r="AV479" s="38"/>
      <c r="AW479" s="38"/>
      <c r="AX479" s="38"/>
      <c r="AY479" s="38"/>
      <c r="AZ479" s="38"/>
      <c r="BA479" s="38"/>
      <c r="BB479" s="38"/>
      <c r="BC479" s="38"/>
      <c r="BD479" s="38"/>
      <c r="BE479" s="38"/>
      <c r="BF479" s="38"/>
      <c r="BG479" s="38"/>
      <c r="BH479" s="38"/>
      <c r="BI479" s="38"/>
      <c r="BJ479" s="38"/>
      <c r="BK479" s="38"/>
      <c r="BL479" s="38"/>
      <c r="BM479" s="38"/>
      <c r="BN479" s="38"/>
      <c r="BO479" s="38"/>
      <c r="BP479" s="38"/>
      <c r="BQ479" s="38"/>
      <c r="BR479" s="38"/>
      <c r="BS479" s="38"/>
      <c r="BT479" s="38"/>
      <c r="BU479" s="38"/>
      <c r="BV479" s="38"/>
      <c r="BW479" s="38"/>
      <c r="BX479" s="38"/>
      <c r="BY479" s="38"/>
      <c r="BZ479" s="38"/>
      <c r="CA479" s="38"/>
      <c r="CB479" s="38"/>
      <c r="CC479" s="38"/>
      <c r="CD479" s="38"/>
      <c r="CE479" s="38"/>
      <c r="CF479" s="38"/>
      <c r="CG479" s="38"/>
      <c r="CH479" s="38"/>
      <c r="CI479" s="38"/>
      <c r="CJ479" s="38"/>
      <c r="CK479" s="38"/>
      <c r="CL479" s="38"/>
      <c r="CM479" s="38"/>
      <c r="CN479" s="38"/>
      <c r="CO479" s="38"/>
      <c r="CP479" s="38"/>
      <c r="CQ479" s="38"/>
      <c r="CR479" s="38"/>
      <c r="CS479" s="38"/>
      <c r="CT479" s="38"/>
      <c r="CU479" s="38"/>
      <c r="CV479" s="38"/>
      <c r="CW479" s="38"/>
      <c r="CX479" s="38"/>
      <c r="CY479" s="38"/>
      <c r="CZ479" s="38"/>
    </row>
    <row r="480" spans="1:104" s="40" customFormat="1" ht="20.149999999999999" customHeight="1">
      <c r="A480" s="358">
        <f t="shared" si="115"/>
        <v>479</v>
      </c>
      <c r="B480" s="359" t="str">
        <f>'Front Sheet and Checklist'!$C$5</f>
        <v>Swansea Bay UHB</v>
      </c>
      <c r="C480" s="17"/>
      <c r="D480" s="17"/>
      <c r="E480" s="17"/>
      <c r="F480" s="17"/>
      <c r="G480" s="17"/>
      <c r="H480" s="17"/>
      <c r="I480" s="361">
        <f t="shared" si="105"/>
        <v>0</v>
      </c>
      <c r="J480" s="17"/>
      <c r="K480" s="18"/>
      <c r="L480" s="18"/>
      <c r="M480" s="17"/>
      <c r="N480" s="17"/>
      <c r="O480" s="17"/>
      <c r="P480" s="17"/>
      <c r="Q480" s="169"/>
      <c r="R480" s="24"/>
      <c r="S480" s="24"/>
      <c r="T480" s="24"/>
      <c r="U480" s="25"/>
      <c r="V480" s="25"/>
      <c r="W480" s="25"/>
      <c r="X480" s="24"/>
      <c r="Y480" s="24"/>
      <c r="Z480" s="24"/>
      <c r="AA480" s="24"/>
      <c r="AB480" s="24"/>
      <c r="AC480" s="24"/>
      <c r="AD480" s="361">
        <f t="shared" si="104"/>
        <v>0</v>
      </c>
      <c r="AE480" s="359" t="str">
        <f t="shared" si="107"/>
        <v/>
      </c>
      <c r="AF480" s="359" t="str">
        <f t="shared" si="116"/>
        <v/>
      </c>
      <c r="AG480" s="359" t="str">
        <f t="shared" si="108"/>
        <v/>
      </c>
      <c r="AH480" s="359" t="str">
        <f t="shared" si="109"/>
        <v/>
      </c>
      <c r="AI480" s="359" t="str">
        <f t="shared" si="110"/>
        <v/>
      </c>
      <c r="AJ480" s="359" t="str">
        <f t="shared" si="111"/>
        <v/>
      </c>
      <c r="AK480" s="359" t="str">
        <f t="shared" si="113"/>
        <v/>
      </c>
      <c r="AL480" s="359" t="str">
        <f t="shared" si="112"/>
        <v/>
      </c>
      <c r="AM480" s="359" t="str">
        <f t="shared" si="114"/>
        <v/>
      </c>
      <c r="AN480" s="262">
        <f t="shared" si="117"/>
        <v>0</v>
      </c>
      <c r="AO480" s="262" t="str">
        <f>IFERROR(HLOOKUP(AN480,'Ref Lists'!Q$1:AL$2,2,FALSE),'Ref Lists'!$AK$2)</f>
        <v>Savings21</v>
      </c>
      <c r="AP480" s="38"/>
      <c r="AQ480" s="38">
        <f t="shared" si="106"/>
        <v>0</v>
      </c>
      <c r="AR480" s="38"/>
      <c r="AS480" s="38"/>
      <c r="AT480" s="38"/>
      <c r="AU480" s="38"/>
      <c r="AV480" s="38"/>
      <c r="AW480" s="38"/>
      <c r="AX480" s="38"/>
      <c r="AY480" s="38"/>
      <c r="AZ480" s="38"/>
      <c r="BA480" s="38"/>
      <c r="BB480" s="38"/>
      <c r="BC480" s="38"/>
      <c r="BD480" s="38"/>
      <c r="BE480" s="38"/>
      <c r="BF480" s="38"/>
      <c r="BG480" s="38"/>
      <c r="BH480" s="38"/>
      <c r="BI480" s="38"/>
      <c r="BJ480" s="38"/>
      <c r="BK480" s="38"/>
      <c r="BL480" s="38"/>
      <c r="BM480" s="38"/>
      <c r="BN480" s="38"/>
      <c r="BO480" s="38"/>
      <c r="BP480" s="38"/>
      <c r="BQ480" s="38"/>
      <c r="BR480" s="38"/>
      <c r="BS480" s="38"/>
      <c r="BT480" s="38"/>
      <c r="BU480" s="38"/>
      <c r="BV480" s="38"/>
      <c r="BW480" s="38"/>
      <c r="BX480" s="38"/>
      <c r="BY480" s="38"/>
      <c r="BZ480" s="38"/>
      <c r="CA480" s="38"/>
      <c r="CB480" s="38"/>
      <c r="CC480" s="38"/>
      <c r="CD480" s="38"/>
      <c r="CE480" s="38"/>
      <c r="CF480" s="38"/>
      <c r="CG480" s="38"/>
      <c r="CH480" s="38"/>
      <c r="CI480" s="38"/>
      <c r="CJ480" s="38"/>
      <c r="CK480" s="38"/>
      <c r="CL480" s="38"/>
      <c r="CM480" s="38"/>
      <c r="CN480" s="38"/>
      <c r="CO480" s="38"/>
      <c r="CP480" s="38"/>
      <c r="CQ480" s="38"/>
      <c r="CR480" s="38"/>
      <c r="CS480" s="38"/>
      <c r="CT480" s="38"/>
      <c r="CU480" s="38"/>
      <c r="CV480" s="38"/>
      <c r="CW480" s="38"/>
      <c r="CX480" s="38"/>
      <c r="CY480" s="38"/>
      <c r="CZ480" s="38"/>
    </row>
    <row r="481" spans="1:104" s="40" customFormat="1" ht="20.149999999999999" customHeight="1">
      <c r="A481" s="358">
        <f t="shared" si="115"/>
        <v>480</v>
      </c>
      <c r="B481" s="359" t="str">
        <f>'Front Sheet and Checklist'!$C$5</f>
        <v>Swansea Bay UHB</v>
      </c>
      <c r="C481" s="17"/>
      <c r="D481" s="17"/>
      <c r="E481" s="17"/>
      <c r="F481" s="17"/>
      <c r="G481" s="17"/>
      <c r="H481" s="17"/>
      <c r="I481" s="361">
        <f t="shared" si="105"/>
        <v>0</v>
      </c>
      <c r="J481" s="17"/>
      <c r="K481" s="18"/>
      <c r="L481" s="18"/>
      <c r="M481" s="17"/>
      <c r="N481" s="17"/>
      <c r="O481" s="17"/>
      <c r="P481" s="17"/>
      <c r="Q481" s="169"/>
      <c r="R481" s="24"/>
      <c r="S481" s="24"/>
      <c r="T481" s="24"/>
      <c r="U481" s="25"/>
      <c r="V481" s="25"/>
      <c r="W481" s="25"/>
      <c r="X481" s="24"/>
      <c r="Y481" s="24"/>
      <c r="Z481" s="24"/>
      <c r="AA481" s="24"/>
      <c r="AB481" s="24"/>
      <c r="AC481" s="24"/>
      <c r="AD481" s="361">
        <f t="shared" si="104"/>
        <v>0</v>
      </c>
      <c r="AE481" s="359" t="str">
        <f t="shared" si="107"/>
        <v/>
      </c>
      <c r="AF481" s="359" t="str">
        <f t="shared" si="116"/>
        <v/>
      </c>
      <c r="AG481" s="359" t="str">
        <f t="shared" si="108"/>
        <v/>
      </c>
      <c r="AH481" s="359" t="str">
        <f t="shared" si="109"/>
        <v/>
      </c>
      <c r="AI481" s="359" t="str">
        <f t="shared" si="110"/>
        <v/>
      </c>
      <c r="AJ481" s="359" t="str">
        <f t="shared" si="111"/>
        <v/>
      </c>
      <c r="AK481" s="359" t="str">
        <f t="shared" si="113"/>
        <v/>
      </c>
      <c r="AL481" s="359" t="str">
        <f t="shared" si="112"/>
        <v/>
      </c>
      <c r="AM481" s="359" t="str">
        <f t="shared" si="114"/>
        <v/>
      </c>
      <c r="AN481" s="262">
        <f t="shared" si="117"/>
        <v>0</v>
      </c>
      <c r="AO481" s="262" t="str">
        <f>IFERROR(HLOOKUP(AN481,'Ref Lists'!Q$1:AL$2,2,FALSE),'Ref Lists'!$AK$2)</f>
        <v>Savings21</v>
      </c>
      <c r="AP481" s="38"/>
      <c r="AQ481" s="38">
        <f t="shared" si="106"/>
        <v>0</v>
      </c>
      <c r="AR481" s="38"/>
      <c r="AS481" s="38"/>
      <c r="AT481" s="38"/>
      <c r="AU481" s="38"/>
      <c r="AV481" s="38"/>
      <c r="AW481" s="38"/>
      <c r="AX481" s="38"/>
      <c r="AY481" s="38"/>
      <c r="AZ481" s="38"/>
      <c r="BA481" s="38"/>
      <c r="BB481" s="38"/>
      <c r="BC481" s="38"/>
      <c r="BD481" s="38"/>
      <c r="BE481" s="38"/>
      <c r="BF481" s="38"/>
      <c r="BG481" s="38"/>
      <c r="BH481" s="38"/>
      <c r="BI481" s="38"/>
      <c r="BJ481" s="38"/>
      <c r="BK481" s="38"/>
      <c r="BL481" s="38"/>
      <c r="BM481" s="38"/>
      <c r="BN481" s="38"/>
      <c r="BO481" s="38"/>
      <c r="BP481" s="38"/>
      <c r="BQ481" s="38"/>
      <c r="BR481" s="38"/>
      <c r="BS481" s="38"/>
      <c r="BT481" s="38"/>
      <c r="BU481" s="38"/>
      <c r="BV481" s="38"/>
      <c r="BW481" s="38"/>
      <c r="BX481" s="38"/>
      <c r="BY481" s="38"/>
      <c r="BZ481" s="38"/>
      <c r="CA481" s="38"/>
      <c r="CB481" s="38"/>
      <c r="CC481" s="38"/>
      <c r="CD481" s="38"/>
      <c r="CE481" s="38"/>
      <c r="CF481" s="38"/>
      <c r="CG481" s="38"/>
      <c r="CH481" s="38"/>
      <c r="CI481" s="38"/>
      <c r="CJ481" s="38"/>
      <c r="CK481" s="38"/>
      <c r="CL481" s="38"/>
      <c r="CM481" s="38"/>
      <c r="CN481" s="38"/>
      <c r="CO481" s="38"/>
      <c r="CP481" s="38"/>
      <c r="CQ481" s="38"/>
      <c r="CR481" s="38"/>
      <c r="CS481" s="38"/>
      <c r="CT481" s="38"/>
      <c r="CU481" s="38"/>
      <c r="CV481" s="38"/>
      <c r="CW481" s="38"/>
      <c r="CX481" s="38"/>
      <c r="CY481" s="38"/>
      <c r="CZ481" s="38"/>
    </row>
    <row r="482" spans="1:104" s="40" customFormat="1" ht="20.149999999999999" customHeight="1">
      <c r="A482" s="358">
        <f t="shared" si="115"/>
        <v>481</v>
      </c>
      <c r="B482" s="359" t="str">
        <f>'Front Sheet and Checklist'!$C$5</f>
        <v>Swansea Bay UHB</v>
      </c>
      <c r="C482" s="17"/>
      <c r="D482" s="17"/>
      <c r="E482" s="17"/>
      <c r="F482" s="17"/>
      <c r="G482" s="17"/>
      <c r="H482" s="17"/>
      <c r="I482" s="361">
        <f t="shared" si="105"/>
        <v>0</v>
      </c>
      <c r="J482" s="17"/>
      <c r="K482" s="18"/>
      <c r="L482" s="18"/>
      <c r="M482" s="17"/>
      <c r="N482" s="17"/>
      <c r="O482" s="17"/>
      <c r="P482" s="17"/>
      <c r="Q482" s="169"/>
      <c r="R482" s="24"/>
      <c r="S482" s="24"/>
      <c r="T482" s="24"/>
      <c r="U482" s="25"/>
      <c r="V482" s="25"/>
      <c r="W482" s="25"/>
      <c r="X482" s="24"/>
      <c r="Y482" s="24"/>
      <c r="Z482" s="24"/>
      <c r="AA482" s="24"/>
      <c r="AB482" s="24"/>
      <c r="AC482" s="24"/>
      <c r="AD482" s="361">
        <f t="shared" si="104"/>
        <v>0</v>
      </c>
      <c r="AE482" s="359" t="str">
        <f t="shared" si="107"/>
        <v/>
      </c>
      <c r="AF482" s="359" t="str">
        <f t="shared" si="116"/>
        <v/>
      </c>
      <c r="AG482" s="359" t="str">
        <f t="shared" si="108"/>
        <v/>
      </c>
      <c r="AH482" s="359" t="str">
        <f t="shared" si="109"/>
        <v/>
      </c>
      <c r="AI482" s="359" t="str">
        <f t="shared" si="110"/>
        <v/>
      </c>
      <c r="AJ482" s="359" t="str">
        <f t="shared" si="111"/>
        <v/>
      </c>
      <c r="AK482" s="359" t="str">
        <f t="shared" si="113"/>
        <v/>
      </c>
      <c r="AL482" s="359" t="str">
        <f t="shared" si="112"/>
        <v/>
      </c>
      <c r="AM482" s="359" t="str">
        <f t="shared" si="114"/>
        <v/>
      </c>
      <c r="AN482" s="262">
        <f t="shared" si="117"/>
        <v>0</v>
      </c>
      <c r="AO482" s="262" t="str">
        <f>IFERROR(HLOOKUP(AN482,'Ref Lists'!Q$1:AL$2,2,FALSE),'Ref Lists'!$AK$2)</f>
        <v>Savings21</v>
      </c>
      <c r="AP482" s="38"/>
      <c r="AQ482" s="38">
        <f t="shared" si="106"/>
        <v>0</v>
      </c>
      <c r="AR482" s="38"/>
      <c r="AS482" s="38"/>
      <c r="AT482" s="38"/>
      <c r="AU482" s="38"/>
      <c r="AV482" s="38"/>
      <c r="AW482" s="38"/>
      <c r="AX482" s="38"/>
      <c r="AY482" s="38"/>
      <c r="AZ482" s="38"/>
      <c r="BA482" s="38"/>
      <c r="BB482" s="38"/>
      <c r="BC482" s="38"/>
      <c r="BD482" s="38"/>
      <c r="BE482" s="38"/>
      <c r="BF482" s="38"/>
      <c r="BG482" s="38"/>
      <c r="BH482" s="38"/>
      <c r="BI482" s="38"/>
      <c r="BJ482" s="38"/>
      <c r="BK482" s="38"/>
      <c r="BL482" s="38"/>
      <c r="BM482" s="38"/>
      <c r="BN482" s="38"/>
      <c r="BO482" s="38"/>
      <c r="BP482" s="38"/>
      <c r="BQ482" s="38"/>
      <c r="BR482" s="38"/>
      <c r="BS482" s="38"/>
      <c r="BT482" s="38"/>
      <c r="BU482" s="38"/>
      <c r="BV482" s="38"/>
      <c r="BW482" s="38"/>
      <c r="BX482" s="38"/>
      <c r="BY482" s="38"/>
      <c r="BZ482" s="38"/>
      <c r="CA482" s="38"/>
      <c r="CB482" s="38"/>
      <c r="CC482" s="38"/>
      <c r="CD482" s="38"/>
      <c r="CE482" s="38"/>
      <c r="CF482" s="38"/>
      <c r="CG482" s="38"/>
      <c r="CH482" s="38"/>
      <c r="CI482" s="38"/>
      <c r="CJ482" s="38"/>
      <c r="CK482" s="38"/>
      <c r="CL482" s="38"/>
      <c r="CM482" s="38"/>
      <c r="CN482" s="38"/>
      <c r="CO482" s="38"/>
      <c r="CP482" s="38"/>
      <c r="CQ482" s="38"/>
      <c r="CR482" s="38"/>
      <c r="CS482" s="38"/>
      <c r="CT482" s="38"/>
      <c r="CU482" s="38"/>
      <c r="CV482" s="38"/>
      <c r="CW482" s="38"/>
      <c r="CX482" s="38"/>
      <c r="CY482" s="38"/>
      <c r="CZ482" s="38"/>
    </row>
    <row r="483" spans="1:104" s="40" customFormat="1" ht="20.149999999999999" customHeight="1">
      <c r="A483" s="358">
        <f t="shared" si="115"/>
        <v>482</v>
      </c>
      <c r="B483" s="359" t="str">
        <f>'Front Sheet and Checklist'!$C$5</f>
        <v>Swansea Bay UHB</v>
      </c>
      <c r="C483" s="17"/>
      <c r="D483" s="17"/>
      <c r="E483" s="17"/>
      <c r="F483" s="17"/>
      <c r="G483" s="17"/>
      <c r="H483" s="17"/>
      <c r="I483" s="361">
        <f t="shared" si="105"/>
        <v>0</v>
      </c>
      <c r="J483" s="17"/>
      <c r="K483" s="18"/>
      <c r="L483" s="18"/>
      <c r="M483" s="17"/>
      <c r="N483" s="17"/>
      <c r="O483" s="17"/>
      <c r="P483" s="17"/>
      <c r="Q483" s="169"/>
      <c r="R483" s="24"/>
      <c r="S483" s="24"/>
      <c r="T483" s="24"/>
      <c r="U483" s="25"/>
      <c r="V483" s="25"/>
      <c r="W483" s="25"/>
      <c r="X483" s="24"/>
      <c r="Y483" s="24"/>
      <c r="Z483" s="24"/>
      <c r="AA483" s="24"/>
      <c r="AB483" s="24"/>
      <c r="AC483" s="24"/>
      <c r="AD483" s="361">
        <f t="shared" si="104"/>
        <v>0</v>
      </c>
      <c r="AE483" s="359" t="str">
        <f t="shared" si="107"/>
        <v/>
      </c>
      <c r="AF483" s="359" t="str">
        <f t="shared" si="116"/>
        <v/>
      </c>
      <c r="AG483" s="359" t="str">
        <f t="shared" si="108"/>
        <v/>
      </c>
      <c r="AH483" s="359" t="str">
        <f t="shared" si="109"/>
        <v/>
      </c>
      <c r="AI483" s="359" t="str">
        <f t="shared" si="110"/>
        <v/>
      </c>
      <c r="AJ483" s="359" t="str">
        <f t="shared" si="111"/>
        <v/>
      </c>
      <c r="AK483" s="359" t="str">
        <f t="shared" si="113"/>
        <v/>
      </c>
      <c r="AL483" s="359" t="str">
        <f t="shared" si="112"/>
        <v/>
      </c>
      <c r="AM483" s="359" t="str">
        <f t="shared" si="114"/>
        <v/>
      </c>
      <c r="AN483" s="262">
        <f t="shared" si="117"/>
        <v>0</v>
      </c>
      <c r="AO483" s="262" t="str">
        <f>IFERROR(HLOOKUP(AN483,'Ref Lists'!Q$1:AL$2,2,FALSE),'Ref Lists'!$AK$2)</f>
        <v>Savings21</v>
      </c>
      <c r="AP483" s="38"/>
      <c r="AQ483" s="38">
        <f t="shared" si="106"/>
        <v>0</v>
      </c>
      <c r="AR483" s="38"/>
      <c r="AS483" s="38"/>
      <c r="AT483" s="38"/>
      <c r="AU483" s="38"/>
      <c r="AV483" s="38"/>
      <c r="AW483" s="38"/>
      <c r="AX483" s="38"/>
      <c r="AY483" s="38"/>
      <c r="AZ483" s="38"/>
      <c r="BA483" s="38"/>
      <c r="BB483" s="38"/>
      <c r="BC483" s="38"/>
      <c r="BD483" s="38"/>
      <c r="BE483" s="38"/>
      <c r="BF483" s="38"/>
      <c r="BG483" s="38"/>
      <c r="BH483" s="38"/>
      <c r="BI483" s="38"/>
      <c r="BJ483" s="38"/>
      <c r="BK483" s="38"/>
      <c r="BL483" s="38"/>
      <c r="BM483" s="38"/>
      <c r="BN483" s="38"/>
      <c r="BO483" s="38"/>
      <c r="BP483" s="38"/>
      <c r="BQ483" s="38"/>
      <c r="BR483" s="38"/>
      <c r="BS483" s="38"/>
      <c r="BT483" s="38"/>
      <c r="BU483" s="38"/>
      <c r="BV483" s="38"/>
      <c r="BW483" s="38"/>
      <c r="BX483" s="38"/>
      <c r="BY483" s="38"/>
      <c r="BZ483" s="38"/>
      <c r="CA483" s="38"/>
      <c r="CB483" s="38"/>
      <c r="CC483" s="38"/>
      <c r="CD483" s="38"/>
      <c r="CE483" s="38"/>
      <c r="CF483" s="38"/>
      <c r="CG483" s="38"/>
      <c r="CH483" s="38"/>
      <c r="CI483" s="38"/>
      <c r="CJ483" s="38"/>
      <c r="CK483" s="38"/>
      <c r="CL483" s="38"/>
      <c r="CM483" s="38"/>
      <c r="CN483" s="38"/>
      <c r="CO483" s="38"/>
      <c r="CP483" s="38"/>
      <c r="CQ483" s="38"/>
      <c r="CR483" s="38"/>
      <c r="CS483" s="38"/>
      <c r="CT483" s="38"/>
      <c r="CU483" s="38"/>
      <c r="CV483" s="38"/>
      <c r="CW483" s="38"/>
      <c r="CX483" s="38"/>
      <c r="CY483" s="38"/>
      <c r="CZ483" s="38"/>
    </row>
    <row r="484" spans="1:104" s="40" customFormat="1" ht="20.149999999999999" customHeight="1">
      <c r="A484" s="358">
        <f t="shared" si="115"/>
        <v>483</v>
      </c>
      <c r="B484" s="359" t="str">
        <f>'Front Sheet and Checklist'!$C$5</f>
        <v>Swansea Bay UHB</v>
      </c>
      <c r="C484" s="17"/>
      <c r="D484" s="17"/>
      <c r="E484" s="17"/>
      <c r="F484" s="17"/>
      <c r="G484" s="17"/>
      <c r="H484" s="17"/>
      <c r="I484" s="361">
        <f t="shared" si="105"/>
        <v>0</v>
      </c>
      <c r="J484" s="17"/>
      <c r="K484" s="18"/>
      <c r="L484" s="18"/>
      <c r="M484" s="17"/>
      <c r="N484" s="17"/>
      <c r="O484" s="17"/>
      <c r="P484" s="17"/>
      <c r="Q484" s="169"/>
      <c r="R484" s="24"/>
      <c r="S484" s="24"/>
      <c r="T484" s="24"/>
      <c r="U484" s="25"/>
      <c r="V484" s="25"/>
      <c r="W484" s="25"/>
      <c r="X484" s="24"/>
      <c r="Y484" s="24"/>
      <c r="Z484" s="24"/>
      <c r="AA484" s="24"/>
      <c r="AB484" s="24"/>
      <c r="AC484" s="24"/>
      <c r="AD484" s="361">
        <f t="shared" si="104"/>
        <v>0</v>
      </c>
      <c r="AE484" s="359" t="str">
        <f t="shared" si="107"/>
        <v/>
      </c>
      <c r="AF484" s="359" t="str">
        <f t="shared" si="116"/>
        <v/>
      </c>
      <c r="AG484" s="359" t="str">
        <f t="shared" si="108"/>
        <v/>
      </c>
      <c r="AH484" s="359" t="str">
        <f t="shared" si="109"/>
        <v/>
      </c>
      <c r="AI484" s="359" t="str">
        <f t="shared" si="110"/>
        <v/>
      </c>
      <c r="AJ484" s="359" t="str">
        <f t="shared" si="111"/>
        <v/>
      </c>
      <c r="AK484" s="359" t="str">
        <f t="shared" si="113"/>
        <v/>
      </c>
      <c r="AL484" s="359" t="str">
        <f t="shared" si="112"/>
        <v/>
      </c>
      <c r="AM484" s="359" t="str">
        <f t="shared" si="114"/>
        <v/>
      </c>
      <c r="AN484" s="262">
        <f t="shared" si="117"/>
        <v>0</v>
      </c>
      <c r="AO484" s="262" t="str">
        <f>IFERROR(HLOOKUP(AN484,'Ref Lists'!Q$1:AL$2,2,FALSE),'Ref Lists'!$AK$2)</f>
        <v>Savings21</v>
      </c>
      <c r="AP484" s="38"/>
      <c r="AQ484" s="38">
        <f t="shared" si="106"/>
        <v>0</v>
      </c>
      <c r="AR484" s="38"/>
      <c r="AS484" s="38"/>
      <c r="AT484" s="38"/>
      <c r="AU484" s="38"/>
      <c r="AV484" s="38"/>
      <c r="AW484" s="38"/>
      <c r="AX484" s="38"/>
      <c r="AY484" s="38"/>
      <c r="AZ484" s="38"/>
      <c r="BA484" s="38"/>
      <c r="BB484" s="38"/>
      <c r="BC484" s="38"/>
      <c r="BD484" s="38"/>
      <c r="BE484" s="38"/>
      <c r="BF484" s="38"/>
      <c r="BG484" s="38"/>
      <c r="BH484" s="38"/>
      <c r="BI484" s="38"/>
      <c r="BJ484" s="38"/>
      <c r="BK484" s="38"/>
      <c r="BL484" s="38"/>
      <c r="BM484" s="38"/>
      <c r="BN484" s="38"/>
      <c r="BO484" s="38"/>
      <c r="BP484" s="38"/>
      <c r="BQ484" s="38"/>
      <c r="BR484" s="38"/>
      <c r="BS484" s="38"/>
      <c r="BT484" s="38"/>
      <c r="BU484" s="38"/>
      <c r="BV484" s="38"/>
      <c r="BW484" s="38"/>
      <c r="BX484" s="38"/>
      <c r="BY484" s="38"/>
      <c r="BZ484" s="38"/>
      <c r="CA484" s="38"/>
      <c r="CB484" s="38"/>
      <c r="CC484" s="38"/>
      <c r="CD484" s="38"/>
      <c r="CE484" s="38"/>
      <c r="CF484" s="38"/>
      <c r="CG484" s="38"/>
      <c r="CH484" s="38"/>
      <c r="CI484" s="38"/>
      <c r="CJ484" s="38"/>
      <c r="CK484" s="38"/>
      <c r="CL484" s="38"/>
      <c r="CM484" s="38"/>
      <c r="CN484" s="38"/>
      <c r="CO484" s="38"/>
      <c r="CP484" s="38"/>
      <c r="CQ484" s="38"/>
      <c r="CR484" s="38"/>
      <c r="CS484" s="38"/>
      <c r="CT484" s="38"/>
      <c r="CU484" s="38"/>
      <c r="CV484" s="38"/>
      <c r="CW484" s="38"/>
      <c r="CX484" s="38"/>
      <c r="CY484" s="38"/>
      <c r="CZ484" s="38"/>
    </row>
    <row r="485" spans="1:104" s="40" customFormat="1" ht="20.149999999999999" customHeight="1">
      <c r="A485" s="358">
        <f t="shared" si="115"/>
        <v>484</v>
      </c>
      <c r="B485" s="359" t="str">
        <f>'Front Sheet and Checklist'!$C$5</f>
        <v>Swansea Bay UHB</v>
      </c>
      <c r="C485" s="17"/>
      <c r="D485" s="17"/>
      <c r="E485" s="17"/>
      <c r="F485" s="17"/>
      <c r="G485" s="17"/>
      <c r="H485" s="17"/>
      <c r="I485" s="361">
        <f t="shared" si="105"/>
        <v>0</v>
      </c>
      <c r="J485" s="17"/>
      <c r="K485" s="18"/>
      <c r="L485" s="18"/>
      <c r="M485" s="17"/>
      <c r="N485" s="17"/>
      <c r="O485" s="17"/>
      <c r="P485" s="17"/>
      <c r="Q485" s="169"/>
      <c r="R485" s="24"/>
      <c r="S485" s="24"/>
      <c r="T485" s="24"/>
      <c r="U485" s="25"/>
      <c r="V485" s="25"/>
      <c r="W485" s="25"/>
      <c r="X485" s="24"/>
      <c r="Y485" s="24"/>
      <c r="Z485" s="24"/>
      <c r="AA485" s="24"/>
      <c r="AB485" s="24"/>
      <c r="AC485" s="24"/>
      <c r="AD485" s="361">
        <f t="shared" si="104"/>
        <v>0</v>
      </c>
      <c r="AE485" s="359" t="str">
        <f t="shared" si="107"/>
        <v/>
      </c>
      <c r="AF485" s="359" t="str">
        <f t="shared" si="116"/>
        <v/>
      </c>
      <c r="AG485" s="359" t="str">
        <f t="shared" si="108"/>
        <v/>
      </c>
      <c r="AH485" s="359" t="str">
        <f t="shared" si="109"/>
        <v/>
      </c>
      <c r="AI485" s="359" t="str">
        <f t="shared" si="110"/>
        <v/>
      </c>
      <c r="AJ485" s="359" t="str">
        <f t="shared" si="111"/>
        <v/>
      </c>
      <c r="AK485" s="359" t="str">
        <f t="shared" si="113"/>
        <v/>
      </c>
      <c r="AL485" s="359" t="str">
        <f t="shared" si="112"/>
        <v/>
      </c>
      <c r="AM485" s="359" t="str">
        <f t="shared" si="114"/>
        <v/>
      </c>
      <c r="AN485" s="262">
        <f t="shared" si="117"/>
        <v>0</v>
      </c>
      <c r="AO485" s="262" t="str">
        <f>IFERROR(HLOOKUP(AN485,'Ref Lists'!Q$1:AL$2,2,FALSE),'Ref Lists'!$AK$2)</f>
        <v>Savings21</v>
      </c>
      <c r="AP485" s="38"/>
      <c r="AQ485" s="38">
        <f t="shared" si="106"/>
        <v>0</v>
      </c>
      <c r="AR485" s="38"/>
      <c r="AS485" s="38"/>
      <c r="AT485" s="38"/>
      <c r="AU485" s="38"/>
      <c r="AV485" s="38"/>
      <c r="AW485" s="38"/>
      <c r="AX485" s="38"/>
      <c r="AY485" s="38"/>
      <c r="AZ485" s="38"/>
      <c r="BA485" s="38"/>
      <c r="BB485" s="38"/>
      <c r="BC485" s="38"/>
      <c r="BD485" s="38"/>
      <c r="BE485" s="38"/>
      <c r="BF485" s="38"/>
      <c r="BG485" s="38"/>
      <c r="BH485" s="38"/>
      <c r="BI485" s="38"/>
      <c r="BJ485" s="38"/>
      <c r="BK485" s="38"/>
      <c r="BL485" s="38"/>
      <c r="BM485" s="38"/>
      <c r="BN485" s="38"/>
      <c r="BO485" s="38"/>
      <c r="BP485" s="38"/>
      <c r="BQ485" s="38"/>
      <c r="BR485" s="38"/>
      <c r="BS485" s="38"/>
      <c r="BT485" s="38"/>
      <c r="BU485" s="38"/>
      <c r="BV485" s="38"/>
      <c r="BW485" s="38"/>
      <c r="BX485" s="38"/>
      <c r="BY485" s="38"/>
      <c r="BZ485" s="38"/>
      <c r="CA485" s="38"/>
      <c r="CB485" s="38"/>
      <c r="CC485" s="38"/>
      <c r="CD485" s="38"/>
      <c r="CE485" s="38"/>
      <c r="CF485" s="38"/>
      <c r="CG485" s="38"/>
      <c r="CH485" s="38"/>
      <c r="CI485" s="38"/>
      <c r="CJ485" s="38"/>
      <c r="CK485" s="38"/>
      <c r="CL485" s="38"/>
      <c r="CM485" s="38"/>
      <c r="CN485" s="38"/>
      <c r="CO485" s="38"/>
      <c r="CP485" s="38"/>
      <c r="CQ485" s="38"/>
      <c r="CR485" s="38"/>
      <c r="CS485" s="38"/>
      <c r="CT485" s="38"/>
      <c r="CU485" s="38"/>
      <c r="CV485" s="38"/>
      <c r="CW485" s="38"/>
      <c r="CX485" s="38"/>
      <c r="CY485" s="38"/>
      <c r="CZ485" s="38"/>
    </row>
    <row r="486" spans="1:104" s="40" customFormat="1" ht="20.149999999999999" customHeight="1">
      <c r="A486" s="358">
        <f t="shared" si="115"/>
        <v>485</v>
      </c>
      <c r="B486" s="359" t="str">
        <f>'Front Sheet and Checklist'!$C$5</f>
        <v>Swansea Bay UHB</v>
      </c>
      <c r="C486" s="17"/>
      <c r="D486" s="17"/>
      <c r="E486" s="17"/>
      <c r="F486" s="17"/>
      <c r="G486" s="17"/>
      <c r="H486" s="17"/>
      <c r="I486" s="361">
        <f t="shared" si="105"/>
        <v>0</v>
      </c>
      <c r="J486" s="17"/>
      <c r="K486" s="18"/>
      <c r="L486" s="18"/>
      <c r="M486" s="17"/>
      <c r="N486" s="17"/>
      <c r="O486" s="17"/>
      <c r="P486" s="17"/>
      <c r="Q486" s="169"/>
      <c r="R486" s="24"/>
      <c r="S486" s="24"/>
      <c r="T486" s="24"/>
      <c r="U486" s="25"/>
      <c r="V486" s="25"/>
      <c r="W486" s="25"/>
      <c r="X486" s="24"/>
      <c r="Y486" s="24"/>
      <c r="Z486" s="24"/>
      <c r="AA486" s="24"/>
      <c r="AB486" s="24"/>
      <c r="AC486" s="24"/>
      <c r="AD486" s="361">
        <f t="shared" si="104"/>
        <v>0</v>
      </c>
      <c r="AE486" s="359" t="str">
        <f t="shared" si="107"/>
        <v/>
      </c>
      <c r="AF486" s="359" t="str">
        <f t="shared" si="116"/>
        <v/>
      </c>
      <c r="AG486" s="359" t="str">
        <f t="shared" si="108"/>
        <v/>
      </c>
      <c r="AH486" s="359" t="str">
        <f t="shared" si="109"/>
        <v/>
      </c>
      <c r="AI486" s="359" t="str">
        <f t="shared" si="110"/>
        <v/>
      </c>
      <c r="AJ486" s="359" t="str">
        <f t="shared" si="111"/>
        <v/>
      </c>
      <c r="AK486" s="359" t="str">
        <f t="shared" si="113"/>
        <v/>
      </c>
      <c r="AL486" s="359" t="str">
        <f t="shared" si="112"/>
        <v/>
      </c>
      <c r="AM486" s="359" t="str">
        <f t="shared" si="114"/>
        <v/>
      </c>
      <c r="AN486" s="262">
        <f t="shared" si="117"/>
        <v>0</v>
      </c>
      <c r="AO486" s="262" t="str">
        <f>IFERROR(HLOOKUP(AN486,'Ref Lists'!Q$1:AL$2,2,FALSE),'Ref Lists'!$AK$2)</f>
        <v>Savings21</v>
      </c>
      <c r="AP486" s="38"/>
      <c r="AQ486" s="38">
        <f t="shared" si="106"/>
        <v>0</v>
      </c>
      <c r="AR486" s="38"/>
      <c r="AS486" s="38"/>
      <c r="AT486" s="38"/>
      <c r="AU486" s="38"/>
      <c r="AV486" s="38"/>
      <c r="AW486" s="38"/>
      <c r="AX486" s="38"/>
      <c r="AY486" s="38"/>
      <c r="AZ486" s="38"/>
      <c r="BA486" s="38"/>
      <c r="BB486" s="38"/>
      <c r="BC486" s="38"/>
      <c r="BD486" s="38"/>
      <c r="BE486" s="38"/>
      <c r="BF486" s="38"/>
      <c r="BG486" s="38"/>
      <c r="BH486" s="38"/>
      <c r="BI486" s="38"/>
      <c r="BJ486" s="38"/>
      <c r="BK486" s="38"/>
      <c r="BL486" s="38"/>
      <c r="BM486" s="38"/>
      <c r="BN486" s="38"/>
      <c r="BO486" s="38"/>
      <c r="BP486" s="38"/>
      <c r="BQ486" s="38"/>
      <c r="BR486" s="38"/>
      <c r="BS486" s="38"/>
      <c r="BT486" s="38"/>
      <c r="BU486" s="38"/>
      <c r="BV486" s="38"/>
      <c r="BW486" s="38"/>
      <c r="BX486" s="38"/>
      <c r="BY486" s="38"/>
      <c r="BZ486" s="38"/>
      <c r="CA486" s="38"/>
      <c r="CB486" s="38"/>
      <c r="CC486" s="38"/>
      <c r="CD486" s="38"/>
      <c r="CE486" s="38"/>
      <c r="CF486" s="38"/>
      <c r="CG486" s="38"/>
      <c r="CH486" s="38"/>
      <c r="CI486" s="38"/>
      <c r="CJ486" s="38"/>
      <c r="CK486" s="38"/>
      <c r="CL486" s="38"/>
      <c r="CM486" s="38"/>
      <c r="CN486" s="38"/>
      <c r="CO486" s="38"/>
      <c r="CP486" s="38"/>
      <c r="CQ486" s="38"/>
      <c r="CR486" s="38"/>
      <c r="CS486" s="38"/>
      <c r="CT486" s="38"/>
      <c r="CU486" s="38"/>
      <c r="CV486" s="38"/>
      <c r="CW486" s="38"/>
      <c r="CX486" s="38"/>
      <c r="CY486" s="38"/>
      <c r="CZ486" s="38"/>
    </row>
    <row r="487" spans="1:104" s="40" customFormat="1" ht="20.149999999999999" customHeight="1">
      <c r="A487" s="358">
        <f t="shared" si="115"/>
        <v>486</v>
      </c>
      <c r="B487" s="359" t="str">
        <f>'Front Sheet and Checklist'!$C$5</f>
        <v>Swansea Bay UHB</v>
      </c>
      <c r="C487" s="17"/>
      <c r="D487" s="17"/>
      <c r="E487" s="17"/>
      <c r="F487" s="17"/>
      <c r="G487" s="17"/>
      <c r="H487" s="17"/>
      <c r="I487" s="361">
        <f t="shared" si="105"/>
        <v>0</v>
      </c>
      <c r="J487" s="17"/>
      <c r="K487" s="18"/>
      <c r="L487" s="18"/>
      <c r="M487" s="17"/>
      <c r="N487" s="17"/>
      <c r="O487" s="17"/>
      <c r="P487" s="17"/>
      <c r="Q487" s="169"/>
      <c r="R487" s="24"/>
      <c r="S487" s="24"/>
      <c r="T487" s="24"/>
      <c r="U487" s="25"/>
      <c r="V487" s="25"/>
      <c r="W487" s="25"/>
      <c r="X487" s="24"/>
      <c r="Y487" s="24"/>
      <c r="Z487" s="24"/>
      <c r="AA487" s="24"/>
      <c r="AB487" s="24"/>
      <c r="AC487" s="24"/>
      <c r="AD487" s="361">
        <f t="shared" si="104"/>
        <v>0</v>
      </c>
      <c r="AE487" s="359" t="str">
        <f t="shared" si="107"/>
        <v/>
      </c>
      <c r="AF487" s="359" t="str">
        <f t="shared" si="116"/>
        <v/>
      </c>
      <c r="AG487" s="359" t="str">
        <f t="shared" si="108"/>
        <v/>
      </c>
      <c r="AH487" s="359" t="str">
        <f t="shared" si="109"/>
        <v/>
      </c>
      <c r="AI487" s="359" t="str">
        <f t="shared" si="110"/>
        <v/>
      </c>
      <c r="AJ487" s="359" t="str">
        <f t="shared" si="111"/>
        <v/>
      </c>
      <c r="AK487" s="359" t="str">
        <f t="shared" si="113"/>
        <v/>
      </c>
      <c r="AL487" s="359" t="str">
        <f t="shared" si="112"/>
        <v/>
      </c>
      <c r="AM487" s="359" t="str">
        <f t="shared" si="114"/>
        <v/>
      </c>
      <c r="AN487" s="262">
        <f t="shared" si="117"/>
        <v>0</v>
      </c>
      <c r="AO487" s="262" t="str">
        <f>IFERROR(HLOOKUP(AN487,'Ref Lists'!Q$1:AL$2,2,FALSE),'Ref Lists'!$AK$2)</f>
        <v>Savings21</v>
      </c>
      <c r="AP487" s="38"/>
      <c r="AQ487" s="38">
        <f t="shared" si="106"/>
        <v>0</v>
      </c>
      <c r="AR487" s="38"/>
      <c r="AS487" s="38"/>
      <c r="AT487" s="38"/>
      <c r="AU487" s="38"/>
      <c r="AV487" s="38"/>
      <c r="AW487" s="38"/>
      <c r="AX487" s="38"/>
      <c r="AY487" s="38"/>
      <c r="AZ487" s="38"/>
      <c r="BA487" s="38"/>
      <c r="BB487" s="38"/>
      <c r="BC487" s="38"/>
      <c r="BD487" s="38"/>
      <c r="BE487" s="38"/>
      <c r="BF487" s="38"/>
      <c r="BG487" s="38"/>
      <c r="BH487" s="38"/>
      <c r="BI487" s="38"/>
      <c r="BJ487" s="38"/>
      <c r="BK487" s="38"/>
      <c r="BL487" s="38"/>
      <c r="BM487" s="38"/>
      <c r="BN487" s="38"/>
      <c r="BO487" s="38"/>
      <c r="BP487" s="38"/>
      <c r="BQ487" s="38"/>
      <c r="BR487" s="38"/>
      <c r="BS487" s="38"/>
      <c r="BT487" s="38"/>
      <c r="BU487" s="38"/>
      <c r="BV487" s="38"/>
      <c r="BW487" s="38"/>
      <c r="BX487" s="38"/>
      <c r="BY487" s="38"/>
      <c r="BZ487" s="38"/>
      <c r="CA487" s="38"/>
      <c r="CB487" s="38"/>
      <c r="CC487" s="38"/>
      <c r="CD487" s="38"/>
      <c r="CE487" s="38"/>
      <c r="CF487" s="38"/>
      <c r="CG487" s="38"/>
      <c r="CH487" s="38"/>
      <c r="CI487" s="38"/>
      <c r="CJ487" s="38"/>
      <c r="CK487" s="38"/>
      <c r="CL487" s="38"/>
      <c r="CM487" s="38"/>
      <c r="CN487" s="38"/>
      <c r="CO487" s="38"/>
      <c r="CP487" s="38"/>
      <c r="CQ487" s="38"/>
      <c r="CR487" s="38"/>
      <c r="CS487" s="38"/>
      <c r="CT487" s="38"/>
      <c r="CU487" s="38"/>
      <c r="CV487" s="38"/>
      <c r="CW487" s="38"/>
      <c r="CX487" s="38"/>
      <c r="CY487" s="38"/>
      <c r="CZ487" s="38"/>
    </row>
    <row r="488" spans="1:104" s="40" customFormat="1" ht="20.149999999999999" customHeight="1">
      <c r="A488" s="358">
        <f t="shared" si="115"/>
        <v>487</v>
      </c>
      <c r="B488" s="359" t="str">
        <f>'Front Sheet and Checklist'!$C$5</f>
        <v>Swansea Bay UHB</v>
      </c>
      <c r="C488" s="17"/>
      <c r="D488" s="17"/>
      <c r="E488" s="17"/>
      <c r="F488" s="17"/>
      <c r="G488" s="17"/>
      <c r="H488" s="17"/>
      <c r="I488" s="361">
        <f t="shared" si="105"/>
        <v>0</v>
      </c>
      <c r="J488" s="17"/>
      <c r="K488" s="18"/>
      <c r="L488" s="18"/>
      <c r="M488" s="17"/>
      <c r="N488" s="17"/>
      <c r="O488" s="17"/>
      <c r="P488" s="17"/>
      <c r="Q488" s="169"/>
      <c r="R488" s="24"/>
      <c r="S488" s="24"/>
      <c r="T488" s="24"/>
      <c r="U488" s="25"/>
      <c r="V488" s="25"/>
      <c r="W488" s="25"/>
      <c r="X488" s="24"/>
      <c r="Y488" s="24"/>
      <c r="Z488" s="24"/>
      <c r="AA488" s="24"/>
      <c r="AB488" s="24"/>
      <c r="AC488" s="24"/>
      <c r="AD488" s="361">
        <f t="shared" si="104"/>
        <v>0</v>
      </c>
      <c r="AE488" s="359" t="str">
        <f t="shared" si="107"/>
        <v/>
      </c>
      <c r="AF488" s="359" t="str">
        <f t="shared" si="116"/>
        <v/>
      </c>
      <c r="AG488" s="359" t="str">
        <f t="shared" si="108"/>
        <v/>
      </c>
      <c r="AH488" s="359" t="str">
        <f t="shared" si="109"/>
        <v/>
      </c>
      <c r="AI488" s="359" t="str">
        <f t="shared" si="110"/>
        <v/>
      </c>
      <c r="AJ488" s="359" t="str">
        <f t="shared" si="111"/>
        <v/>
      </c>
      <c r="AK488" s="359" t="str">
        <f t="shared" si="113"/>
        <v/>
      </c>
      <c r="AL488" s="359" t="str">
        <f t="shared" si="112"/>
        <v/>
      </c>
      <c r="AM488" s="359" t="str">
        <f t="shared" si="114"/>
        <v/>
      </c>
      <c r="AN488" s="262">
        <f t="shared" si="117"/>
        <v>0</v>
      </c>
      <c r="AO488" s="262" t="str">
        <f>IFERROR(HLOOKUP(AN488,'Ref Lists'!Q$1:AL$2,2,FALSE),'Ref Lists'!$AK$2)</f>
        <v>Savings21</v>
      </c>
      <c r="AP488" s="38"/>
      <c r="AQ488" s="38">
        <f t="shared" si="106"/>
        <v>0</v>
      </c>
      <c r="AR488" s="38"/>
      <c r="AS488" s="38"/>
      <c r="AT488" s="38"/>
      <c r="AU488" s="38"/>
      <c r="AV488" s="38"/>
      <c r="AW488" s="38"/>
      <c r="AX488" s="38"/>
      <c r="AY488" s="38"/>
      <c r="AZ488" s="38"/>
      <c r="BA488" s="38"/>
      <c r="BB488" s="38"/>
      <c r="BC488" s="38"/>
      <c r="BD488" s="38"/>
      <c r="BE488" s="38"/>
      <c r="BF488" s="38"/>
      <c r="BG488" s="38"/>
      <c r="BH488" s="38"/>
      <c r="BI488" s="38"/>
      <c r="BJ488" s="38"/>
      <c r="BK488" s="38"/>
      <c r="BL488" s="38"/>
      <c r="BM488" s="38"/>
      <c r="BN488" s="38"/>
      <c r="BO488" s="38"/>
      <c r="BP488" s="38"/>
      <c r="BQ488" s="38"/>
      <c r="BR488" s="38"/>
      <c r="BS488" s="38"/>
      <c r="BT488" s="38"/>
      <c r="BU488" s="38"/>
      <c r="BV488" s="38"/>
      <c r="BW488" s="38"/>
      <c r="BX488" s="38"/>
      <c r="BY488" s="38"/>
      <c r="BZ488" s="38"/>
      <c r="CA488" s="38"/>
      <c r="CB488" s="38"/>
      <c r="CC488" s="38"/>
      <c r="CD488" s="38"/>
      <c r="CE488" s="38"/>
      <c r="CF488" s="38"/>
      <c r="CG488" s="38"/>
      <c r="CH488" s="38"/>
      <c r="CI488" s="38"/>
      <c r="CJ488" s="38"/>
      <c r="CK488" s="38"/>
      <c r="CL488" s="38"/>
      <c r="CM488" s="38"/>
      <c r="CN488" s="38"/>
      <c r="CO488" s="38"/>
      <c r="CP488" s="38"/>
      <c r="CQ488" s="38"/>
      <c r="CR488" s="38"/>
      <c r="CS488" s="38"/>
      <c r="CT488" s="38"/>
      <c r="CU488" s="38"/>
      <c r="CV488" s="38"/>
      <c r="CW488" s="38"/>
      <c r="CX488" s="38"/>
      <c r="CY488" s="38"/>
      <c r="CZ488" s="38"/>
    </row>
    <row r="489" spans="1:104" s="40" customFormat="1" ht="20.149999999999999" customHeight="1">
      <c r="A489" s="358">
        <f t="shared" si="115"/>
        <v>488</v>
      </c>
      <c r="B489" s="359" t="str">
        <f>'Front Sheet and Checklist'!$C$5</f>
        <v>Swansea Bay UHB</v>
      </c>
      <c r="C489" s="17"/>
      <c r="D489" s="17"/>
      <c r="E489" s="17"/>
      <c r="F489" s="17"/>
      <c r="G489" s="17"/>
      <c r="H489" s="17"/>
      <c r="I489" s="361">
        <f t="shared" si="105"/>
        <v>0</v>
      </c>
      <c r="J489" s="17"/>
      <c r="K489" s="18"/>
      <c r="L489" s="18"/>
      <c r="M489" s="17"/>
      <c r="N489" s="17"/>
      <c r="O489" s="17"/>
      <c r="P489" s="17"/>
      <c r="Q489" s="169"/>
      <c r="R489" s="24"/>
      <c r="S489" s="24"/>
      <c r="T489" s="24"/>
      <c r="U489" s="25"/>
      <c r="V489" s="25"/>
      <c r="W489" s="25"/>
      <c r="X489" s="24"/>
      <c r="Y489" s="24"/>
      <c r="Z489" s="24"/>
      <c r="AA489" s="24"/>
      <c r="AB489" s="24"/>
      <c r="AC489" s="24"/>
      <c r="AD489" s="361">
        <f t="shared" si="104"/>
        <v>0</v>
      </c>
      <c r="AE489" s="359" t="str">
        <f t="shared" si="107"/>
        <v/>
      </c>
      <c r="AF489" s="359" t="str">
        <f t="shared" si="116"/>
        <v/>
      </c>
      <c r="AG489" s="359" t="str">
        <f t="shared" si="108"/>
        <v/>
      </c>
      <c r="AH489" s="359" t="str">
        <f t="shared" si="109"/>
        <v/>
      </c>
      <c r="AI489" s="359" t="str">
        <f t="shared" si="110"/>
        <v/>
      </c>
      <c r="AJ489" s="359" t="str">
        <f t="shared" si="111"/>
        <v/>
      </c>
      <c r="AK489" s="359" t="str">
        <f t="shared" si="113"/>
        <v/>
      </c>
      <c r="AL489" s="359" t="str">
        <f t="shared" si="112"/>
        <v/>
      </c>
      <c r="AM489" s="359" t="str">
        <f t="shared" si="114"/>
        <v/>
      </c>
      <c r="AN489" s="262">
        <f t="shared" si="117"/>
        <v>0</v>
      </c>
      <c r="AO489" s="262" t="str">
        <f>IFERROR(HLOOKUP(AN489,'Ref Lists'!Q$1:AL$2,2,FALSE),'Ref Lists'!$AK$2)</f>
        <v>Savings21</v>
      </c>
      <c r="AP489" s="38"/>
      <c r="AQ489" s="38">
        <f t="shared" si="106"/>
        <v>0</v>
      </c>
      <c r="AR489" s="38"/>
      <c r="AS489" s="38"/>
      <c r="AT489" s="38"/>
      <c r="AU489" s="38"/>
      <c r="AV489" s="38"/>
      <c r="AW489" s="38"/>
      <c r="AX489" s="38"/>
      <c r="AY489" s="38"/>
      <c r="AZ489" s="38"/>
      <c r="BA489" s="38"/>
      <c r="BB489" s="38"/>
      <c r="BC489" s="38"/>
      <c r="BD489" s="38"/>
      <c r="BE489" s="38"/>
      <c r="BF489" s="38"/>
      <c r="BG489" s="38"/>
      <c r="BH489" s="38"/>
      <c r="BI489" s="38"/>
      <c r="BJ489" s="38"/>
      <c r="BK489" s="38"/>
      <c r="BL489" s="38"/>
      <c r="BM489" s="38"/>
      <c r="BN489" s="38"/>
      <c r="BO489" s="38"/>
      <c r="BP489" s="38"/>
      <c r="BQ489" s="38"/>
      <c r="BR489" s="38"/>
      <c r="BS489" s="38"/>
      <c r="BT489" s="38"/>
      <c r="BU489" s="38"/>
      <c r="BV489" s="38"/>
      <c r="BW489" s="38"/>
      <c r="BX489" s="38"/>
      <c r="BY489" s="38"/>
      <c r="BZ489" s="38"/>
      <c r="CA489" s="38"/>
      <c r="CB489" s="38"/>
      <c r="CC489" s="38"/>
      <c r="CD489" s="38"/>
      <c r="CE489" s="38"/>
      <c r="CF489" s="38"/>
      <c r="CG489" s="38"/>
      <c r="CH489" s="38"/>
      <c r="CI489" s="38"/>
      <c r="CJ489" s="38"/>
      <c r="CK489" s="38"/>
      <c r="CL489" s="38"/>
      <c r="CM489" s="38"/>
      <c r="CN489" s="38"/>
      <c r="CO489" s="38"/>
      <c r="CP489" s="38"/>
      <c r="CQ489" s="38"/>
      <c r="CR489" s="38"/>
      <c r="CS489" s="38"/>
      <c r="CT489" s="38"/>
      <c r="CU489" s="38"/>
      <c r="CV489" s="38"/>
      <c r="CW489" s="38"/>
      <c r="CX489" s="38"/>
      <c r="CY489" s="38"/>
      <c r="CZ489" s="38"/>
    </row>
    <row r="490" spans="1:104" s="40" customFormat="1" ht="20.149999999999999" customHeight="1">
      <c r="A490" s="358">
        <f t="shared" si="115"/>
        <v>489</v>
      </c>
      <c r="B490" s="359" t="str">
        <f>'Front Sheet and Checklist'!$C$5</f>
        <v>Swansea Bay UHB</v>
      </c>
      <c r="C490" s="17"/>
      <c r="D490" s="17"/>
      <c r="E490" s="17"/>
      <c r="F490" s="17"/>
      <c r="G490" s="17"/>
      <c r="H490" s="17"/>
      <c r="I490" s="361">
        <f t="shared" si="105"/>
        <v>0</v>
      </c>
      <c r="J490" s="17"/>
      <c r="K490" s="18"/>
      <c r="L490" s="18"/>
      <c r="M490" s="17"/>
      <c r="N490" s="17"/>
      <c r="O490" s="17"/>
      <c r="P490" s="17"/>
      <c r="Q490" s="169"/>
      <c r="R490" s="24"/>
      <c r="S490" s="24"/>
      <c r="T490" s="24"/>
      <c r="U490" s="25"/>
      <c r="V490" s="25"/>
      <c r="W490" s="25"/>
      <c r="X490" s="24"/>
      <c r="Y490" s="24"/>
      <c r="Z490" s="24"/>
      <c r="AA490" s="24"/>
      <c r="AB490" s="24"/>
      <c r="AC490" s="24"/>
      <c r="AD490" s="361">
        <f t="shared" si="104"/>
        <v>0</v>
      </c>
      <c r="AE490" s="359" t="str">
        <f t="shared" si="107"/>
        <v/>
      </c>
      <c r="AF490" s="359" t="str">
        <f t="shared" si="116"/>
        <v/>
      </c>
      <c r="AG490" s="359" t="str">
        <f t="shared" si="108"/>
        <v/>
      </c>
      <c r="AH490" s="359" t="str">
        <f t="shared" si="109"/>
        <v/>
      </c>
      <c r="AI490" s="359" t="str">
        <f t="shared" si="110"/>
        <v/>
      </c>
      <c r="AJ490" s="359" t="str">
        <f t="shared" si="111"/>
        <v/>
      </c>
      <c r="AK490" s="359" t="str">
        <f t="shared" si="113"/>
        <v/>
      </c>
      <c r="AL490" s="359" t="str">
        <f t="shared" si="112"/>
        <v/>
      </c>
      <c r="AM490" s="359" t="str">
        <f t="shared" si="114"/>
        <v/>
      </c>
      <c r="AN490" s="262">
        <f t="shared" si="117"/>
        <v>0</v>
      </c>
      <c r="AO490" s="262" t="str">
        <f>IFERROR(HLOOKUP(AN490,'Ref Lists'!Q$1:AL$2,2,FALSE),'Ref Lists'!$AK$2)</f>
        <v>Savings21</v>
      </c>
      <c r="AP490" s="38"/>
      <c r="AQ490" s="38">
        <f t="shared" si="106"/>
        <v>0</v>
      </c>
      <c r="AR490" s="38"/>
      <c r="AS490" s="38"/>
      <c r="AT490" s="38"/>
      <c r="AU490" s="38"/>
      <c r="AV490" s="38"/>
      <c r="AW490" s="38"/>
      <c r="AX490" s="38"/>
      <c r="AY490" s="38"/>
      <c r="AZ490" s="38"/>
      <c r="BA490" s="38"/>
      <c r="BB490" s="38"/>
      <c r="BC490" s="38"/>
      <c r="BD490" s="38"/>
      <c r="BE490" s="38"/>
      <c r="BF490" s="38"/>
      <c r="BG490" s="38"/>
      <c r="BH490" s="38"/>
      <c r="BI490" s="38"/>
      <c r="BJ490" s="38"/>
      <c r="BK490" s="38"/>
      <c r="BL490" s="38"/>
      <c r="BM490" s="38"/>
      <c r="BN490" s="38"/>
      <c r="BO490" s="38"/>
      <c r="BP490" s="38"/>
      <c r="BQ490" s="38"/>
      <c r="BR490" s="38"/>
      <c r="BS490" s="38"/>
      <c r="BT490" s="38"/>
      <c r="BU490" s="38"/>
      <c r="BV490" s="38"/>
      <c r="BW490" s="38"/>
      <c r="BX490" s="38"/>
      <c r="BY490" s="38"/>
      <c r="BZ490" s="38"/>
      <c r="CA490" s="38"/>
      <c r="CB490" s="38"/>
      <c r="CC490" s="38"/>
      <c r="CD490" s="38"/>
      <c r="CE490" s="38"/>
      <c r="CF490" s="38"/>
      <c r="CG490" s="38"/>
      <c r="CH490" s="38"/>
      <c r="CI490" s="38"/>
      <c r="CJ490" s="38"/>
      <c r="CK490" s="38"/>
      <c r="CL490" s="38"/>
      <c r="CM490" s="38"/>
      <c r="CN490" s="38"/>
      <c r="CO490" s="38"/>
      <c r="CP490" s="38"/>
      <c r="CQ490" s="38"/>
      <c r="CR490" s="38"/>
      <c r="CS490" s="38"/>
      <c r="CT490" s="38"/>
      <c r="CU490" s="38"/>
      <c r="CV490" s="38"/>
      <c r="CW490" s="38"/>
      <c r="CX490" s="38"/>
      <c r="CY490" s="38"/>
      <c r="CZ490" s="38"/>
    </row>
    <row r="491" spans="1:104" s="40" customFormat="1" ht="20.149999999999999" customHeight="1">
      <c r="A491" s="358">
        <f t="shared" si="115"/>
        <v>490</v>
      </c>
      <c r="B491" s="359" t="str">
        <f>'Front Sheet and Checklist'!$C$5</f>
        <v>Swansea Bay UHB</v>
      </c>
      <c r="C491" s="17"/>
      <c r="D491" s="17"/>
      <c r="E491" s="17"/>
      <c r="F491" s="17"/>
      <c r="G491" s="17"/>
      <c r="H491" s="17"/>
      <c r="I491" s="361">
        <f t="shared" si="105"/>
        <v>0</v>
      </c>
      <c r="J491" s="17"/>
      <c r="K491" s="18"/>
      <c r="L491" s="18"/>
      <c r="M491" s="17"/>
      <c r="N491" s="17"/>
      <c r="O491" s="17"/>
      <c r="P491" s="17"/>
      <c r="Q491" s="169"/>
      <c r="R491" s="24"/>
      <c r="S491" s="24"/>
      <c r="T491" s="24"/>
      <c r="U491" s="25"/>
      <c r="V491" s="25"/>
      <c r="W491" s="25"/>
      <c r="X491" s="24"/>
      <c r="Y491" s="24"/>
      <c r="Z491" s="24"/>
      <c r="AA491" s="24"/>
      <c r="AB491" s="24"/>
      <c r="AC491" s="24"/>
      <c r="AD491" s="361">
        <f t="shared" si="104"/>
        <v>0</v>
      </c>
      <c r="AE491" s="359" t="str">
        <f t="shared" si="107"/>
        <v/>
      </c>
      <c r="AF491" s="359" t="str">
        <f t="shared" si="116"/>
        <v/>
      </c>
      <c r="AG491" s="359" t="str">
        <f t="shared" si="108"/>
        <v/>
      </c>
      <c r="AH491" s="359" t="str">
        <f t="shared" si="109"/>
        <v/>
      </c>
      <c r="AI491" s="359" t="str">
        <f t="shared" si="110"/>
        <v/>
      </c>
      <c r="AJ491" s="359" t="str">
        <f t="shared" si="111"/>
        <v/>
      </c>
      <c r="AK491" s="359" t="str">
        <f t="shared" si="113"/>
        <v/>
      </c>
      <c r="AL491" s="359" t="str">
        <f t="shared" si="112"/>
        <v/>
      </c>
      <c r="AM491" s="359" t="str">
        <f t="shared" si="114"/>
        <v/>
      </c>
      <c r="AN491" s="262">
        <f t="shared" si="117"/>
        <v>0</v>
      </c>
      <c r="AO491" s="262" t="str">
        <f>IFERROR(HLOOKUP(AN491,'Ref Lists'!Q$1:AL$2,2,FALSE),'Ref Lists'!$AK$2)</f>
        <v>Savings21</v>
      </c>
      <c r="AP491" s="38"/>
      <c r="AQ491" s="38">
        <f t="shared" si="106"/>
        <v>0</v>
      </c>
      <c r="AR491" s="38"/>
      <c r="AS491" s="38"/>
      <c r="AT491" s="38"/>
      <c r="AU491" s="38"/>
      <c r="AV491" s="38"/>
      <c r="AW491" s="38"/>
      <c r="AX491" s="38"/>
      <c r="AY491" s="38"/>
      <c r="AZ491" s="38"/>
      <c r="BA491" s="38"/>
      <c r="BB491" s="38"/>
      <c r="BC491" s="38"/>
      <c r="BD491" s="38"/>
      <c r="BE491" s="38"/>
      <c r="BF491" s="38"/>
      <c r="BG491" s="38"/>
      <c r="BH491" s="38"/>
      <c r="BI491" s="38"/>
      <c r="BJ491" s="38"/>
      <c r="BK491" s="38"/>
      <c r="BL491" s="38"/>
      <c r="BM491" s="38"/>
      <c r="BN491" s="38"/>
      <c r="BO491" s="38"/>
      <c r="BP491" s="38"/>
      <c r="BQ491" s="38"/>
      <c r="BR491" s="38"/>
      <c r="BS491" s="38"/>
      <c r="BT491" s="38"/>
      <c r="BU491" s="38"/>
      <c r="BV491" s="38"/>
      <c r="BW491" s="38"/>
      <c r="BX491" s="38"/>
      <c r="BY491" s="38"/>
      <c r="BZ491" s="38"/>
      <c r="CA491" s="38"/>
      <c r="CB491" s="38"/>
      <c r="CC491" s="38"/>
      <c r="CD491" s="38"/>
      <c r="CE491" s="38"/>
      <c r="CF491" s="38"/>
      <c r="CG491" s="38"/>
      <c r="CH491" s="38"/>
      <c r="CI491" s="38"/>
      <c r="CJ491" s="38"/>
      <c r="CK491" s="38"/>
      <c r="CL491" s="38"/>
      <c r="CM491" s="38"/>
      <c r="CN491" s="38"/>
      <c r="CO491" s="38"/>
      <c r="CP491" s="38"/>
      <c r="CQ491" s="38"/>
      <c r="CR491" s="38"/>
      <c r="CS491" s="38"/>
      <c r="CT491" s="38"/>
      <c r="CU491" s="38"/>
      <c r="CV491" s="38"/>
      <c r="CW491" s="38"/>
      <c r="CX491" s="38"/>
      <c r="CY491" s="38"/>
      <c r="CZ491" s="38"/>
    </row>
    <row r="492" spans="1:104" s="40" customFormat="1" ht="20.149999999999999" customHeight="1">
      <c r="A492" s="358">
        <f t="shared" si="115"/>
        <v>491</v>
      </c>
      <c r="B492" s="359" t="str">
        <f>'Front Sheet and Checklist'!$C$5</f>
        <v>Swansea Bay UHB</v>
      </c>
      <c r="C492" s="17"/>
      <c r="D492" s="17"/>
      <c r="E492" s="17"/>
      <c r="F492" s="17"/>
      <c r="G492" s="17"/>
      <c r="H492" s="17"/>
      <c r="I492" s="361">
        <f t="shared" si="105"/>
        <v>0</v>
      </c>
      <c r="J492" s="17"/>
      <c r="K492" s="18"/>
      <c r="L492" s="18"/>
      <c r="M492" s="17"/>
      <c r="N492" s="17"/>
      <c r="O492" s="17"/>
      <c r="P492" s="17"/>
      <c r="Q492" s="169"/>
      <c r="R492" s="24"/>
      <c r="S492" s="24"/>
      <c r="T492" s="24"/>
      <c r="U492" s="25"/>
      <c r="V492" s="25"/>
      <c r="W492" s="25"/>
      <c r="X492" s="24"/>
      <c r="Y492" s="24"/>
      <c r="Z492" s="24"/>
      <c r="AA492" s="24"/>
      <c r="AB492" s="24"/>
      <c r="AC492" s="24"/>
      <c r="AD492" s="361">
        <f t="shared" si="104"/>
        <v>0</v>
      </c>
      <c r="AE492" s="359" t="str">
        <f t="shared" si="107"/>
        <v/>
      </c>
      <c r="AF492" s="359" t="str">
        <f t="shared" si="116"/>
        <v/>
      </c>
      <c r="AG492" s="359" t="str">
        <f t="shared" si="108"/>
        <v/>
      </c>
      <c r="AH492" s="359" t="str">
        <f t="shared" si="109"/>
        <v/>
      </c>
      <c r="AI492" s="359" t="str">
        <f t="shared" si="110"/>
        <v/>
      </c>
      <c r="AJ492" s="359" t="str">
        <f t="shared" si="111"/>
        <v/>
      </c>
      <c r="AK492" s="359" t="str">
        <f t="shared" si="113"/>
        <v/>
      </c>
      <c r="AL492" s="359" t="str">
        <f t="shared" si="112"/>
        <v/>
      </c>
      <c r="AM492" s="359" t="str">
        <f t="shared" si="114"/>
        <v/>
      </c>
      <c r="AN492" s="262">
        <f t="shared" si="117"/>
        <v>0</v>
      </c>
      <c r="AO492" s="262" t="str">
        <f>IFERROR(HLOOKUP(AN492,'Ref Lists'!Q$1:AL$2,2,FALSE),'Ref Lists'!$AK$2)</f>
        <v>Savings21</v>
      </c>
      <c r="AP492" s="38"/>
      <c r="AQ492" s="38">
        <f t="shared" si="106"/>
        <v>0</v>
      </c>
      <c r="AR492" s="38"/>
      <c r="AS492" s="38"/>
      <c r="AT492" s="38"/>
      <c r="AU492" s="38"/>
      <c r="AV492" s="38"/>
      <c r="AW492" s="38"/>
      <c r="AX492" s="38"/>
      <c r="AY492" s="38"/>
      <c r="AZ492" s="38"/>
      <c r="BA492" s="38"/>
      <c r="BB492" s="38"/>
      <c r="BC492" s="38"/>
      <c r="BD492" s="38"/>
      <c r="BE492" s="38"/>
      <c r="BF492" s="38"/>
      <c r="BG492" s="38"/>
      <c r="BH492" s="38"/>
      <c r="BI492" s="38"/>
      <c r="BJ492" s="38"/>
      <c r="BK492" s="38"/>
      <c r="BL492" s="38"/>
      <c r="BM492" s="38"/>
      <c r="BN492" s="38"/>
      <c r="BO492" s="38"/>
      <c r="BP492" s="38"/>
      <c r="BQ492" s="38"/>
      <c r="BR492" s="38"/>
      <c r="BS492" s="38"/>
      <c r="BT492" s="38"/>
      <c r="BU492" s="38"/>
      <c r="BV492" s="38"/>
      <c r="BW492" s="38"/>
      <c r="BX492" s="38"/>
      <c r="BY492" s="38"/>
      <c r="BZ492" s="38"/>
      <c r="CA492" s="38"/>
      <c r="CB492" s="38"/>
      <c r="CC492" s="38"/>
      <c r="CD492" s="38"/>
      <c r="CE492" s="38"/>
      <c r="CF492" s="38"/>
      <c r="CG492" s="38"/>
      <c r="CH492" s="38"/>
      <c r="CI492" s="38"/>
      <c r="CJ492" s="38"/>
      <c r="CK492" s="38"/>
      <c r="CL492" s="38"/>
      <c r="CM492" s="38"/>
      <c r="CN492" s="38"/>
      <c r="CO492" s="38"/>
      <c r="CP492" s="38"/>
      <c r="CQ492" s="38"/>
      <c r="CR492" s="38"/>
      <c r="CS492" s="38"/>
      <c r="CT492" s="38"/>
      <c r="CU492" s="38"/>
      <c r="CV492" s="38"/>
      <c r="CW492" s="38"/>
      <c r="CX492" s="38"/>
      <c r="CY492" s="38"/>
      <c r="CZ492" s="38"/>
    </row>
    <row r="493" spans="1:104" s="40" customFormat="1" ht="20.149999999999999" customHeight="1">
      <c r="A493" s="358">
        <f t="shared" si="115"/>
        <v>492</v>
      </c>
      <c r="B493" s="359" t="str">
        <f>'Front Sheet and Checklist'!$C$5</f>
        <v>Swansea Bay UHB</v>
      </c>
      <c r="C493" s="17"/>
      <c r="D493" s="17"/>
      <c r="E493" s="17"/>
      <c r="F493" s="17"/>
      <c r="G493" s="17"/>
      <c r="H493" s="17"/>
      <c r="I493" s="361">
        <f t="shared" si="105"/>
        <v>0</v>
      </c>
      <c r="J493" s="17"/>
      <c r="K493" s="18"/>
      <c r="L493" s="18"/>
      <c r="M493" s="17"/>
      <c r="N493" s="17"/>
      <c r="O493" s="17"/>
      <c r="P493" s="17"/>
      <c r="Q493" s="169"/>
      <c r="R493" s="24"/>
      <c r="S493" s="24"/>
      <c r="T493" s="24"/>
      <c r="U493" s="25"/>
      <c r="V493" s="25"/>
      <c r="W493" s="25"/>
      <c r="X493" s="24"/>
      <c r="Y493" s="24"/>
      <c r="Z493" s="24"/>
      <c r="AA493" s="24"/>
      <c r="AB493" s="24"/>
      <c r="AC493" s="24"/>
      <c r="AD493" s="361">
        <f t="shared" si="104"/>
        <v>0</v>
      </c>
      <c r="AE493" s="359" t="str">
        <f t="shared" si="107"/>
        <v/>
      </c>
      <c r="AF493" s="359" t="str">
        <f t="shared" si="116"/>
        <v/>
      </c>
      <c r="AG493" s="359" t="str">
        <f t="shared" si="108"/>
        <v/>
      </c>
      <c r="AH493" s="359" t="str">
        <f t="shared" si="109"/>
        <v/>
      </c>
      <c r="AI493" s="359" t="str">
        <f t="shared" si="110"/>
        <v/>
      </c>
      <c r="AJ493" s="359" t="str">
        <f t="shared" si="111"/>
        <v/>
      </c>
      <c r="AK493" s="359" t="str">
        <f t="shared" si="113"/>
        <v/>
      </c>
      <c r="AL493" s="359" t="str">
        <f t="shared" si="112"/>
        <v/>
      </c>
      <c r="AM493" s="359" t="str">
        <f t="shared" si="114"/>
        <v/>
      </c>
      <c r="AN493" s="262">
        <f t="shared" si="117"/>
        <v>0</v>
      </c>
      <c r="AO493" s="262" t="str">
        <f>IFERROR(HLOOKUP(AN493,'Ref Lists'!Q$1:AL$2,2,FALSE),'Ref Lists'!$AK$2)</f>
        <v>Savings21</v>
      </c>
      <c r="AP493" s="38"/>
      <c r="AQ493" s="38">
        <f t="shared" si="106"/>
        <v>0</v>
      </c>
      <c r="AR493" s="38"/>
      <c r="AS493" s="38"/>
      <c r="AT493" s="38"/>
      <c r="AU493" s="38"/>
      <c r="AV493" s="38"/>
      <c r="AW493" s="38"/>
      <c r="AX493" s="38"/>
      <c r="AY493" s="38"/>
      <c r="AZ493" s="38"/>
      <c r="BA493" s="38"/>
      <c r="BB493" s="38"/>
      <c r="BC493" s="38"/>
      <c r="BD493" s="38"/>
      <c r="BE493" s="38"/>
      <c r="BF493" s="38"/>
      <c r="BG493" s="38"/>
      <c r="BH493" s="38"/>
      <c r="BI493" s="38"/>
      <c r="BJ493" s="38"/>
      <c r="BK493" s="38"/>
      <c r="BL493" s="38"/>
      <c r="BM493" s="38"/>
      <c r="BN493" s="38"/>
      <c r="BO493" s="38"/>
      <c r="BP493" s="38"/>
      <c r="BQ493" s="38"/>
      <c r="BR493" s="38"/>
      <c r="BS493" s="38"/>
      <c r="BT493" s="38"/>
      <c r="BU493" s="38"/>
      <c r="BV493" s="38"/>
      <c r="BW493" s="38"/>
      <c r="BX493" s="38"/>
      <c r="BY493" s="38"/>
      <c r="BZ493" s="38"/>
      <c r="CA493" s="38"/>
      <c r="CB493" s="38"/>
      <c r="CC493" s="38"/>
      <c r="CD493" s="38"/>
      <c r="CE493" s="38"/>
      <c r="CF493" s="38"/>
      <c r="CG493" s="38"/>
      <c r="CH493" s="38"/>
      <c r="CI493" s="38"/>
      <c r="CJ493" s="38"/>
      <c r="CK493" s="38"/>
      <c r="CL493" s="38"/>
      <c r="CM493" s="38"/>
      <c r="CN493" s="38"/>
      <c r="CO493" s="38"/>
      <c r="CP493" s="38"/>
      <c r="CQ493" s="38"/>
      <c r="CR493" s="38"/>
      <c r="CS493" s="38"/>
      <c r="CT493" s="38"/>
      <c r="CU493" s="38"/>
      <c r="CV493" s="38"/>
      <c r="CW493" s="38"/>
      <c r="CX493" s="38"/>
      <c r="CY493" s="38"/>
      <c r="CZ493" s="38"/>
    </row>
    <row r="494" spans="1:104" s="40" customFormat="1" ht="20.149999999999999" customHeight="1">
      <c r="A494" s="358">
        <f t="shared" si="115"/>
        <v>493</v>
      </c>
      <c r="B494" s="359" t="str">
        <f>'Front Sheet and Checklist'!$C$5</f>
        <v>Swansea Bay UHB</v>
      </c>
      <c r="C494" s="17"/>
      <c r="D494" s="17"/>
      <c r="E494" s="17"/>
      <c r="F494" s="17"/>
      <c r="G494" s="17"/>
      <c r="H494" s="17"/>
      <c r="I494" s="361">
        <f t="shared" si="105"/>
        <v>0</v>
      </c>
      <c r="J494" s="17"/>
      <c r="K494" s="18"/>
      <c r="L494" s="18"/>
      <c r="M494" s="17"/>
      <c r="N494" s="17"/>
      <c r="O494" s="17"/>
      <c r="P494" s="17"/>
      <c r="Q494" s="169"/>
      <c r="R494" s="24"/>
      <c r="S494" s="24"/>
      <c r="T494" s="24"/>
      <c r="U494" s="25"/>
      <c r="V494" s="25"/>
      <c r="W494" s="25"/>
      <c r="X494" s="24"/>
      <c r="Y494" s="24"/>
      <c r="Z494" s="24"/>
      <c r="AA494" s="24"/>
      <c r="AB494" s="24"/>
      <c r="AC494" s="24"/>
      <c r="AD494" s="361">
        <f t="shared" si="104"/>
        <v>0</v>
      </c>
      <c r="AE494" s="359" t="str">
        <f t="shared" si="107"/>
        <v/>
      </c>
      <c r="AF494" s="359" t="str">
        <f t="shared" si="116"/>
        <v/>
      </c>
      <c r="AG494" s="359" t="str">
        <f t="shared" si="108"/>
        <v/>
      </c>
      <c r="AH494" s="359" t="str">
        <f t="shared" si="109"/>
        <v/>
      </c>
      <c r="AI494" s="359" t="str">
        <f t="shared" si="110"/>
        <v/>
      </c>
      <c r="AJ494" s="359" t="str">
        <f t="shared" si="111"/>
        <v/>
      </c>
      <c r="AK494" s="359" t="str">
        <f t="shared" si="113"/>
        <v/>
      </c>
      <c r="AL494" s="359" t="str">
        <f t="shared" si="112"/>
        <v/>
      </c>
      <c r="AM494" s="359" t="str">
        <f t="shared" si="114"/>
        <v/>
      </c>
      <c r="AN494" s="262">
        <f t="shared" si="117"/>
        <v>0</v>
      </c>
      <c r="AO494" s="262" t="str">
        <f>IFERROR(HLOOKUP(AN494,'Ref Lists'!Q$1:AL$2,2,FALSE),'Ref Lists'!$AK$2)</f>
        <v>Savings21</v>
      </c>
      <c r="AP494" s="38"/>
      <c r="AQ494" s="38">
        <f t="shared" si="106"/>
        <v>0</v>
      </c>
      <c r="AR494" s="38"/>
      <c r="AS494" s="38"/>
      <c r="AT494" s="38"/>
      <c r="AU494" s="38"/>
      <c r="AV494" s="38"/>
      <c r="AW494" s="38"/>
      <c r="AX494" s="38"/>
      <c r="AY494" s="38"/>
      <c r="AZ494" s="38"/>
      <c r="BA494" s="38"/>
      <c r="BB494" s="38"/>
      <c r="BC494" s="38"/>
      <c r="BD494" s="38"/>
      <c r="BE494" s="38"/>
      <c r="BF494" s="38"/>
      <c r="BG494" s="38"/>
      <c r="BH494" s="38"/>
      <c r="BI494" s="38"/>
      <c r="BJ494" s="38"/>
      <c r="BK494" s="38"/>
      <c r="BL494" s="38"/>
      <c r="BM494" s="38"/>
      <c r="BN494" s="38"/>
      <c r="BO494" s="38"/>
      <c r="BP494" s="38"/>
      <c r="BQ494" s="38"/>
      <c r="BR494" s="38"/>
      <c r="BS494" s="38"/>
      <c r="BT494" s="38"/>
      <c r="BU494" s="38"/>
      <c r="BV494" s="38"/>
      <c r="BW494" s="38"/>
      <c r="BX494" s="38"/>
      <c r="BY494" s="38"/>
      <c r="BZ494" s="38"/>
      <c r="CA494" s="38"/>
      <c r="CB494" s="38"/>
      <c r="CC494" s="38"/>
      <c r="CD494" s="38"/>
      <c r="CE494" s="38"/>
      <c r="CF494" s="38"/>
      <c r="CG494" s="38"/>
      <c r="CH494" s="38"/>
      <c r="CI494" s="38"/>
      <c r="CJ494" s="38"/>
      <c r="CK494" s="38"/>
      <c r="CL494" s="38"/>
      <c r="CM494" s="38"/>
      <c r="CN494" s="38"/>
      <c r="CO494" s="38"/>
      <c r="CP494" s="38"/>
      <c r="CQ494" s="38"/>
      <c r="CR494" s="38"/>
      <c r="CS494" s="38"/>
      <c r="CT494" s="38"/>
      <c r="CU494" s="38"/>
      <c r="CV494" s="38"/>
      <c r="CW494" s="38"/>
      <c r="CX494" s="38"/>
      <c r="CY494" s="38"/>
      <c r="CZ494" s="38"/>
    </row>
    <row r="495" spans="1:104" s="40" customFormat="1" ht="20.149999999999999" customHeight="1">
      <c r="A495" s="358">
        <f t="shared" si="115"/>
        <v>494</v>
      </c>
      <c r="B495" s="359" t="str">
        <f>'Front Sheet and Checklist'!$C$5</f>
        <v>Swansea Bay UHB</v>
      </c>
      <c r="C495" s="17"/>
      <c r="D495" s="17"/>
      <c r="E495" s="17"/>
      <c r="F495" s="17"/>
      <c r="G495" s="17"/>
      <c r="H495" s="17"/>
      <c r="I495" s="361">
        <f t="shared" si="105"/>
        <v>0</v>
      </c>
      <c r="J495" s="17"/>
      <c r="K495" s="18"/>
      <c r="L495" s="18"/>
      <c r="M495" s="17"/>
      <c r="N495" s="17"/>
      <c r="O495" s="17"/>
      <c r="P495" s="17"/>
      <c r="Q495" s="169"/>
      <c r="R495" s="24"/>
      <c r="S495" s="24"/>
      <c r="T495" s="24"/>
      <c r="U495" s="25"/>
      <c r="V495" s="25"/>
      <c r="W495" s="25"/>
      <c r="X495" s="24"/>
      <c r="Y495" s="24"/>
      <c r="Z495" s="24"/>
      <c r="AA495" s="24"/>
      <c r="AB495" s="24"/>
      <c r="AC495" s="24"/>
      <c r="AD495" s="361">
        <f t="shared" si="104"/>
        <v>0</v>
      </c>
      <c r="AE495" s="359" t="str">
        <f t="shared" si="107"/>
        <v/>
      </c>
      <c r="AF495" s="359" t="str">
        <f t="shared" si="116"/>
        <v/>
      </c>
      <c r="AG495" s="359" t="str">
        <f t="shared" si="108"/>
        <v/>
      </c>
      <c r="AH495" s="359" t="str">
        <f t="shared" si="109"/>
        <v/>
      </c>
      <c r="AI495" s="359" t="str">
        <f t="shared" si="110"/>
        <v/>
      </c>
      <c r="AJ495" s="359" t="str">
        <f t="shared" si="111"/>
        <v/>
      </c>
      <c r="AK495" s="359" t="str">
        <f t="shared" si="113"/>
        <v/>
      </c>
      <c r="AL495" s="359" t="str">
        <f t="shared" si="112"/>
        <v/>
      </c>
      <c r="AM495" s="359" t="str">
        <f t="shared" si="114"/>
        <v/>
      </c>
      <c r="AN495" s="262">
        <f t="shared" si="117"/>
        <v>0</v>
      </c>
      <c r="AO495" s="262" t="str">
        <f>IFERROR(HLOOKUP(AN495,'Ref Lists'!Q$1:AL$2,2,FALSE),'Ref Lists'!$AK$2)</f>
        <v>Savings21</v>
      </c>
      <c r="AP495" s="38"/>
      <c r="AQ495" s="38">
        <f t="shared" si="106"/>
        <v>0</v>
      </c>
      <c r="AR495" s="38"/>
      <c r="AS495" s="38"/>
      <c r="AT495" s="38"/>
      <c r="AU495" s="38"/>
      <c r="AV495" s="38"/>
      <c r="AW495" s="38"/>
      <c r="AX495" s="38"/>
      <c r="AY495" s="38"/>
      <c r="AZ495" s="38"/>
      <c r="BA495" s="38"/>
      <c r="BB495" s="38"/>
      <c r="BC495" s="38"/>
      <c r="BD495" s="38"/>
      <c r="BE495" s="38"/>
      <c r="BF495" s="38"/>
      <c r="BG495" s="38"/>
      <c r="BH495" s="38"/>
      <c r="BI495" s="38"/>
      <c r="BJ495" s="38"/>
      <c r="BK495" s="38"/>
      <c r="BL495" s="38"/>
      <c r="BM495" s="38"/>
      <c r="BN495" s="38"/>
      <c r="BO495" s="38"/>
      <c r="BP495" s="38"/>
      <c r="BQ495" s="38"/>
      <c r="BR495" s="38"/>
      <c r="BS495" s="38"/>
      <c r="BT495" s="38"/>
      <c r="BU495" s="38"/>
      <c r="BV495" s="38"/>
      <c r="BW495" s="38"/>
      <c r="BX495" s="38"/>
      <c r="BY495" s="38"/>
      <c r="BZ495" s="38"/>
      <c r="CA495" s="38"/>
      <c r="CB495" s="38"/>
      <c r="CC495" s="38"/>
      <c r="CD495" s="38"/>
      <c r="CE495" s="38"/>
      <c r="CF495" s="38"/>
      <c r="CG495" s="38"/>
      <c r="CH495" s="38"/>
      <c r="CI495" s="38"/>
      <c r="CJ495" s="38"/>
      <c r="CK495" s="38"/>
      <c r="CL495" s="38"/>
      <c r="CM495" s="38"/>
      <c r="CN495" s="38"/>
      <c r="CO495" s="38"/>
      <c r="CP495" s="38"/>
      <c r="CQ495" s="38"/>
      <c r="CR495" s="38"/>
      <c r="CS495" s="38"/>
      <c r="CT495" s="38"/>
      <c r="CU495" s="38"/>
      <c r="CV495" s="38"/>
      <c r="CW495" s="38"/>
      <c r="CX495" s="38"/>
      <c r="CY495" s="38"/>
      <c r="CZ495" s="38"/>
    </row>
    <row r="496" spans="1:104" s="40" customFormat="1" ht="20.149999999999999" customHeight="1">
      <c r="A496" s="358">
        <f t="shared" si="115"/>
        <v>495</v>
      </c>
      <c r="B496" s="359" t="str">
        <f>'Front Sheet and Checklist'!$C$5</f>
        <v>Swansea Bay UHB</v>
      </c>
      <c r="C496" s="17"/>
      <c r="D496" s="17"/>
      <c r="E496" s="17"/>
      <c r="F496" s="17"/>
      <c r="G496" s="17"/>
      <c r="H496" s="17"/>
      <c r="I496" s="361">
        <f t="shared" si="105"/>
        <v>0</v>
      </c>
      <c r="J496" s="17"/>
      <c r="K496" s="18"/>
      <c r="L496" s="18"/>
      <c r="M496" s="17"/>
      <c r="N496" s="17"/>
      <c r="O496" s="17"/>
      <c r="P496" s="17"/>
      <c r="Q496" s="169"/>
      <c r="R496" s="24"/>
      <c r="S496" s="24"/>
      <c r="T496" s="24"/>
      <c r="U496" s="25"/>
      <c r="V496" s="25"/>
      <c r="W496" s="25"/>
      <c r="X496" s="24"/>
      <c r="Y496" s="24"/>
      <c r="Z496" s="24"/>
      <c r="AA496" s="24"/>
      <c r="AB496" s="24"/>
      <c r="AC496" s="24"/>
      <c r="AD496" s="361">
        <f t="shared" si="104"/>
        <v>0</v>
      </c>
      <c r="AE496" s="359" t="str">
        <f t="shared" si="107"/>
        <v/>
      </c>
      <c r="AF496" s="359" t="str">
        <f t="shared" si="116"/>
        <v/>
      </c>
      <c r="AG496" s="359" t="str">
        <f t="shared" si="108"/>
        <v/>
      </c>
      <c r="AH496" s="359" t="str">
        <f t="shared" si="109"/>
        <v/>
      </c>
      <c r="AI496" s="359" t="str">
        <f t="shared" si="110"/>
        <v/>
      </c>
      <c r="AJ496" s="359" t="str">
        <f t="shared" si="111"/>
        <v/>
      </c>
      <c r="AK496" s="359" t="str">
        <f t="shared" si="113"/>
        <v/>
      </c>
      <c r="AL496" s="359" t="str">
        <f t="shared" si="112"/>
        <v/>
      </c>
      <c r="AM496" s="359" t="str">
        <f t="shared" si="114"/>
        <v/>
      </c>
      <c r="AN496" s="262">
        <f t="shared" si="117"/>
        <v>0</v>
      </c>
      <c r="AO496" s="262" t="str">
        <f>IFERROR(HLOOKUP(AN496,'Ref Lists'!Q$1:AL$2,2,FALSE),'Ref Lists'!$AK$2)</f>
        <v>Savings21</v>
      </c>
      <c r="AP496" s="38"/>
      <c r="AQ496" s="38">
        <f t="shared" si="106"/>
        <v>0</v>
      </c>
      <c r="AR496" s="38"/>
      <c r="AS496" s="38"/>
      <c r="AT496" s="38"/>
      <c r="AU496" s="38"/>
      <c r="AV496" s="38"/>
      <c r="AW496" s="38"/>
      <c r="AX496" s="38"/>
      <c r="AY496" s="38"/>
      <c r="AZ496" s="38"/>
      <c r="BA496" s="38"/>
      <c r="BB496" s="38"/>
      <c r="BC496" s="38"/>
      <c r="BD496" s="38"/>
      <c r="BE496" s="38"/>
      <c r="BF496" s="38"/>
      <c r="BG496" s="38"/>
      <c r="BH496" s="38"/>
      <c r="BI496" s="38"/>
      <c r="BJ496" s="38"/>
      <c r="BK496" s="38"/>
      <c r="BL496" s="38"/>
      <c r="BM496" s="38"/>
      <c r="BN496" s="38"/>
      <c r="BO496" s="38"/>
      <c r="BP496" s="38"/>
      <c r="BQ496" s="38"/>
      <c r="BR496" s="38"/>
      <c r="BS496" s="38"/>
      <c r="BT496" s="38"/>
      <c r="BU496" s="38"/>
      <c r="BV496" s="38"/>
      <c r="BW496" s="38"/>
      <c r="BX496" s="38"/>
      <c r="BY496" s="38"/>
      <c r="BZ496" s="38"/>
      <c r="CA496" s="38"/>
      <c r="CB496" s="38"/>
      <c r="CC496" s="38"/>
      <c r="CD496" s="38"/>
      <c r="CE496" s="38"/>
      <c r="CF496" s="38"/>
      <c r="CG496" s="38"/>
      <c r="CH496" s="38"/>
      <c r="CI496" s="38"/>
      <c r="CJ496" s="38"/>
      <c r="CK496" s="38"/>
      <c r="CL496" s="38"/>
      <c r="CM496" s="38"/>
      <c r="CN496" s="38"/>
      <c r="CO496" s="38"/>
      <c r="CP496" s="38"/>
      <c r="CQ496" s="38"/>
      <c r="CR496" s="38"/>
      <c r="CS496" s="38"/>
      <c r="CT496" s="38"/>
      <c r="CU496" s="38"/>
      <c r="CV496" s="38"/>
      <c r="CW496" s="38"/>
      <c r="CX496" s="38"/>
      <c r="CY496" s="38"/>
      <c r="CZ496" s="38"/>
    </row>
    <row r="497" spans="1:104" s="40" customFormat="1" ht="20.149999999999999" customHeight="1">
      <c r="A497" s="358">
        <f t="shared" si="115"/>
        <v>496</v>
      </c>
      <c r="B497" s="359" t="str">
        <f>'Front Sheet and Checklist'!$C$5</f>
        <v>Swansea Bay UHB</v>
      </c>
      <c r="C497" s="17"/>
      <c r="D497" s="17"/>
      <c r="E497" s="17"/>
      <c r="F497" s="17"/>
      <c r="G497" s="17"/>
      <c r="H497" s="17"/>
      <c r="I497" s="361">
        <f t="shared" si="105"/>
        <v>0</v>
      </c>
      <c r="J497" s="17"/>
      <c r="K497" s="18"/>
      <c r="L497" s="18"/>
      <c r="M497" s="17"/>
      <c r="N497" s="17"/>
      <c r="O497" s="17"/>
      <c r="P497" s="17"/>
      <c r="Q497" s="169"/>
      <c r="R497" s="24"/>
      <c r="S497" s="24"/>
      <c r="T497" s="24"/>
      <c r="U497" s="25"/>
      <c r="V497" s="25"/>
      <c r="W497" s="25"/>
      <c r="X497" s="24"/>
      <c r="Y497" s="24"/>
      <c r="Z497" s="24"/>
      <c r="AA497" s="24"/>
      <c r="AB497" s="24"/>
      <c r="AC497" s="24"/>
      <c r="AD497" s="361">
        <f t="shared" si="104"/>
        <v>0</v>
      </c>
      <c r="AE497" s="359" t="str">
        <f t="shared" si="107"/>
        <v/>
      </c>
      <c r="AF497" s="359" t="str">
        <f t="shared" si="116"/>
        <v/>
      </c>
      <c r="AG497" s="359" t="str">
        <f t="shared" si="108"/>
        <v/>
      </c>
      <c r="AH497" s="359" t="str">
        <f t="shared" si="109"/>
        <v/>
      </c>
      <c r="AI497" s="359" t="str">
        <f t="shared" si="110"/>
        <v/>
      </c>
      <c r="AJ497" s="359" t="str">
        <f t="shared" si="111"/>
        <v/>
      </c>
      <c r="AK497" s="359" t="str">
        <f t="shared" si="113"/>
        <v/>
      </c>
      <c r="AL497" s="359" t="str">
        <f t="shared" si="112"/>
        <v/>
      </c>
      <c r="AM497" s="359" t="str">
        <f t="shared" si="114"/>
        <v/>
      </c>
      <c r="AN497" s="262">
        <f t="shared" si="117"/>
        <v>0</v>
      </c>
      <c r="AO497" s="262" t="str">
        <f>IFERROR(HLOOKUP(AN497,'Ref Lists'!Q$1:AL$2,2,FALSE),'Ref Lists'!$AK$2)</f>
        <v>Savings21</v>
      </c>
      <c r="AP497" s="38"/>
      <c r="AQ497" s="38">
        <f t="shared" si="106"/>
        <v>0</v>
      </c>
      <c r="AR497" s="38"/>
      <c r="AS497" s="38"/>
      <c r="AT497" s="38"/>
      <c r="AU497" s="38"/>
      <c r="AV497" s="38"/>
      <c r="AW497" s="38"/>
      <c r="AX497" s="38"/>
      <c r="AY497" s="38"/>
      <c r="AZ497" s="38"/>
      <c r="BA497" s="38"/>
      <c r="BB497" s="38"/>
      <c r="BC497" s="38"/>
      <c r="BD497" s="38"/>
      <c r="BE497" s="38"/>
      <c r="BF497" s="38"/>
      <c r="BG497" s="38"/>
      <c r="BH497" s="38"/>
      <c r="BI497" s="38"/>
      <c r="BJ497" s="38"/>
      <c r="BK497" s="38"/>
      <c r="BL497" s="38"/>
      <c r="BM497" s="38"/>
      <c r="BN497" s="38"/>
      <c r="BO497" s="38"/>
      <c r="BP497" s="38"/>
      <c r="BQ497" s="38"/>
      <c r="BR497" s="38"/>
      <c r="BS497" s="38"/>
      <c r="BT497" s="38"/>
      <c r="BU497" s="38"/>
      <c r="BV497" s="38"/>
      <c r="BW497" s="38"/>
      <c r="BX497" s="38"/>
      <c r="BY497" s="38"/>
      <c r="BZ497" s="38"/>
      <c r="CA497" s="38"/>
      <c r="CB497" s="38"/>
      <c r="CC497" s="38"/>
      <c r="CD497" s="38"/>
      <c r="CE497" s="38"/>
      <c r="CF497" s="38"/>
      <c r="CG497" s="38"/>
      <c r="CH497" s="38"/>
      <c r="CI497" s="38"/>
      <c r="CJ497" s="38"/>
      <c r="CK497" s="38"/>
      <c r="CL497" s="38"/>
      <c r="CM497" s="38"/>
      <c r="CN497" s="38"/>
      <c r="CO497" s="38"/>
      <c r="CP497" s="38"/>
      <c r="CQ497" s="38"/>
      <c r="CR497" s="38"/>
      <c r="CS497" s="38"/>
      <c r="CT497" s="38"/>
      <c r="CU497" s="38"/>
      <c r="CV497" s="38"/>
      <c r="CW497" s="38"/>
      <c r="CX497" s="38"/>
      <c r="CY497" s="38"/>
      <c r="CZ497" s="38"/>
    </row>
    <row r="498" spans="1:104" s="40" customFormat="1" ht="20.149999999999999" customHeight="1">
      <c r="A498" s="358">
        <f t="shared" si="115"/>
        <v>497</v>
      </c>
      <c r="B498" s="359" t="str">
        <f>'Front Sheet and Checklist'!$C$5</f>
        <v>Swansea Bay UHB</v>
      </c>
      <c r="C498" s="17"/>
      <c r="D498" s="17"/>
      <c r="E498" s="17"/>
      <c r="F498" s="17"/>
      <c r="G498" s="17"/>
      <c r="H498" s="17"/>
      <c r="I498" s="361">
        <f t="shared" si="105"/>
        <v>0</v>
      </c>
      <c r="J498" s="17"/>
      <c r="K498" s="18"/>
      <c r="L498" s="18"/>
      <c r="M498" s="17"/>
      <c r="N498" s="17"/>
      <c r="O498" s="17"/>
      <c r="P498" s="17"/>
      <c r="Q498" s="169"/>
      <c r="R498" s="24"/>
      <c r="S498" s="24"/>
      <c r="T498" s="24"/>
      <c r="U498" s="25"/>
      <c r="V498" s="25"/>
      <c r="W498" s="25"/>
      <c r="X498" s="24"/>
      <c r="Y498" s="24"/>
      <c r="Z498" s="24"/>
      <c r="AA498" s="24"/>
      <c r="AB498" s="24"/>
      <c r="AC498" s="24"/>
      <c r="AD498" s="361">
        <f t="shared" si="104"/>
        <v>0</v>
      </c>
      <c r="AE498" s="359" t="str">
        <f t="shared" si="107"/>
        <v/>
      </c>
      <c r="AF498" s="359" t="str">
        <f t="shared" si="116"/>
        <v/>
      </c>
      <c r="AG498" s="359" t="str">
        <f t="shared" si="108"/>
        <v/>
      </c>
      <c r="AH498" s="359" t="str">
        <f t="shared" si="109"/>
        <v/>
      </c>
      <c r="AI498" s="359" t="str">
        <f t="shared" si="110"/>
        <v/>
      </c>
      <c r="AJ498" s="359" t="str">
        <f t="shared" si="111"/>
        <v/>
      </c>
      <c r="AK498" s="359" t="str">
        <f t="shared" si="113"/>
        <v/>
      </c>
      <c r="AL498" s="359" t="str">
        <f t="shared" si="112"/>
        <v/>
      </c>
      <c r="AM498" s="359" t="str">
        <f t="shared" si="114"/>
        <v/>
      </c>
      <c r="AN498" s="262">
        <f t="shared" si="117"/>
        <v>0</v>
      </c>
      <c r="AO498" s="262" t="str">
        <f>IFERROR(HLOOKUP(AN498,'Ref Lists'!Q$1:AL$2,2,FALSE),'Ref Lists'!$AK$2)</f>
        <v>Savings21</v>
      </c>
      <c r="AP498" s="38"/>
      <c r="AQ498" s="38">
        <f t="shared" si="106"/>
        <v>0</v>
      </c>
      <c r="AR498" s="38"/>
      <c r="AS498" s="38"/>
      <c r="AT498" s="38"/>
      <c r="AU498" s="38"/>
      <c r="AV498" s="38"/>
      <c r="AW498" s="38"/>
      <c r="AX498" s="38"/>
      <c r="AY498" s="38"/>
      <c r="AZ498" s="38"/>
      <c r="BA498" s="38"/>
      <c r="BB498" s="38"/>
      <c r="BC498" s="38"/>
      <c r="BD498" s="38"/>
      <c r="BE498" s="38"/>
      <c r="BF498" s="38"/>
      <c r="BG498" s="38"/>
      <c r="BH498" s="38"/>
      <c r="BI498" s="38"/>
      <c r="BJ498" s="38"/>
      <c r="BK498" s="38"/>
      <c r="BL498" s="38"/>
      <c r="BM498" s="38"/>
      <c r="BN498" s="38"/>
      <c r="BO498" s="38"/>
      <c r="BP498" s="38"/>
      <c r="BQ498" s="38"/>
      <c r="BR498" s="38"/>
      <c r="BS498" s="38"/>
      <c r="BT498" s="38"/>
      <c r="BU498" s="38"/>
      <c r="BV498" s="38"/>
      <c r="BW498" s="38"/>
      <c r="BX498" s="38"/>
      <c r="BY498" s="38"/>
      <c r="BZ498" s="38"/>
      <c r="CA498" s="38"/>
      <c r="CB498" s="38"/>
      <c r="CC498" s="38"/>
      <c r="CD498" s="38"/>
      <c r="CE498" s="38"/>
      <c r="CF498" s="38"/>
      <c r="CG498" s="38"/>
      <c r="CH498" s="38"/>
      <c r="CI498" s="38"/>
      <c r="CJ498" s="38"/>
      <c r="CK498" s="38"/>
      <c r="CL498" s="38"/>
      <c r="CM498" s="38"/>
      <c r="CN498" s="38"/>
      <c r="CO498" s="38"/>
      <c r="CP498" s="38"/>
      <c r="CQ498" s="38"/>
      <c r="CR498" s="38"/>
      <c r="CS498" s="38"/>
      <c r="CT498" s="38"/>
      <c r="CU498" s="38"/>
      <c r="CV498" s="38"/>
      <c r="CW498" s="38"/>
      <c r="CX498" s="38"/>
      <c r="CY498" s="38"/>
      <c r="CZ498" s="38"/>
    </row>
    <row r="499" spans="1:104" s="40" customFormat="1" ht="20.149999999999999" customHeight="1">
      <c r="A499" s="358">
        <f t="shared" si="115"/>
        <v>498</v>
      </c>
      <c r="B499" s="359" t="str">
        <f>'Front Sheet and Checklist'!$C$5</f>
        <v>Swansea Bay UHB</v>
      </c>
      <c r="C499" s="17"/>
      <c r="D499" s="17"/>
      <c r="E499" s="17"/>
      <c r="F499" s="17"/>
      <c r="G499" s="17"/>
      <c r="H499" s="17"/>
      <c r="I499" s="361">
        <f t="shared" si="105"/>
        <v>0</v>
      </c>
      <c r="J499" s="17"/>
      <c r="K499" s="18"/>
      <c r="L499" s="18"/>
      <c r="M499" s="17"/>
      <c r="N499" s="17"/>
      <c r="O499" s="17"/>
      <c r="P499" s="17"/>
      <c r="Q499" s="169"/>
      <c r="R499" s="24"/>
      <c r="S499" s="24"/>
      <c r="T499" s="24"/>
      <c r="U499" s="25"/>
      <c r="V499" s="25"/>
      <c r="W499" s="25"/>
      <c r="X499" s="24"/>
      <c r="Y499" s="24"/>
      <c r="Z499" s="24"/>
      <c r="AA499" s="24"/>
      <c r="AB499" s="24"/>
      <c r="AC499" s="24"/>
      <c r="AD499" s="361">
        <f t="shared" si="104"/>
        <v>0</v>
      </c>
      <c r="AE499" s="359" t="str">
        <f t="shared" si="107"/>
        <v/>
      </c>
      <c r="AF499" s="359" t="str">
        <f t="shared" si="116"/>
        <v/>
      </c>
      <c r="AG499" s="359" t="str">
        <f t="shared" si="108"/>
        <v/>
      </c>
      <c r="AH499" s="359" t="str">
        <f t="shared" si="109"/>
        <v/>
      </c>
      <c r="AI499" s="359" t="str">
        <f t="shared" si="110"/>
        <v/>
      </c>
      <c r="AJ499" s="359" t="str">
        <f t="shared" si="111"/>
        <v/>
      </c>
      <c r="AK499" s="359" t="str">
        <f t="shared" si="113"/>
        <v/>
      </c>
      <c r="AL499" s="359" t="str">
        <f t="shared" si="112"/>
        <v/>
      </c>
      <c r="AM499" s="359" t="str">
        <f t="shared" si="114"/>
        <v/>
      </c>
      <c r="AN499" s="262">
        <f t="shared" si="117"/>
        <v>0</v>
      </c>
      <c r="AO499" s="262" t="str">
        <f>IFERROR(HLOOKUP(AN499,'Ref Lists'!Q$1:AL$2,2,FALSE),'Ref Lists'!$AK$2)</f>
        <v>Savings21</v>
      </c>
      <c r="AP499" s="38"/>
      <c r="AQ499" s="38">
        <f t="shared" si="106"/>
        <v>0</v>
      </c>
      <c r="AR499" s="38"/>
      <c r="AS499" s="38"/>
      <c r="AT499" s="38"/>
      <c r="AU499" s="38"/>
      <c r="AV499" s="38"/>
      <c r="AW499" s="38"/>
      <c r="AX499" s="38"/>
      <c r="AY499" s="38"/>
      <c r="AZ499" s="38"/>
      <c r="BA499" s="38"/>
      <c r="BB499" s="38"/>
      <c r="BC499" s="38"/>
      <c r="BD499" s="38"/>
      <c r="BE499" s="38"/>
      <c r="BF499" s="38"/>
      <c r="BG499" s="38"/>
      <c r="BH499" s="38"/>
      <c r="BI499" s="38"/>
      <c r="BJ499" s="38"/>
      <c r="BK499" s="38"/>
      <c r="BL499" s="38"/>
      <c r="BM499" s="38"/>
      <c r="BN499" s="38"/>
      <c r="BO499" s="38"/>
      <c r="BP499" s="38"/>
      <c r="BQ499" s="38"/>
      <c r="BR499" s="38"/>
      <c r="BS499" s="38"/>
      <c r="BT499" s="38"/>
      <c r="BU499" s="38"/>
      <c r="BV499" s="38"/>
      <c r="BW499" s="38"/>
      <c r="BX499" s="38"/>
      <c r="BY499" s="38"/>
      <c r="BZ499" s="38"/>
      <c r="CA499" s="38"/>
      <c r="CB499" s="38"/>
      <c r="CC499" s="38"/>
      <c r="CD499" s="38"/>
      <c r="CE499" s="38"/>
      <c r="CF499" s="38"/>
      <c r="CG499" s="38"/>
      <c r="CH499" s="38"/>
      <c r="CI499" s="38"/>
      <c r="CJ499" s="38"/>
      <c r="CK499" s="38"/>
      <c r="CL499" s="38"/>
      <c r="CM499" s="38"/>
      <c r="CN499" s="38"/>
      <c r="CO499" s="38"/>
      <c r="CP499" s="38"/>
      <c r="CQ499" s="38"/>
      <c r="CR499" s="38"/>
      <c r="CS499" s="38"/>
      <c r="CT499" s="38"/>
      <c r="CU499" s="38"/>
      <c r="CV499" s="38"/>
      <c r="CW499" s="38"/>
      <c r="CX499" s="38"/>
      <c r="CY499" s="38"/>
      <c r="CZ499" s="38"/>
    </row>
    <row r="500" spans="1:104" s="40" customFormat="1" ht="20.149999999999999" customHeight="1">
      <c r="A500" s="358">
        <f t="shared" si="115"/>
        <v>499</v>
      </c>
      <c r="B500" s="359" t="str">
        <f>'Front Sheet and Checklist'!$C$5</f>
        <v>Swansea Bay UHB</v>
      </c>
      <c r="C500" s="17"/>
      <c r="D500" s="17"/>
      <c r="E500" s="17"/>
      <c r="F500" s="17"/>
      <c r="G500" s="17"/>
      <c r="H500" s="17"/>
      <c r="I500" s="361">
        <f t="shared" si="105"/>
        <v>0</v>
      </c>
      <c r="J500" s="17"/>
      <c r="K500" s="18"/>
      <c r="L500" s="18"/>
      <c r="M500" s="17"/>
      <c r="N500" s="17"/>
      <c r="O500" s="17"/>
      <c r="P500" s="17"/>
      <c r="Q500" s="169"/>
      <c r="R500" s="24"/>
      <c r="S500" s="24"/>
      <c r="T500" s="24"/>
      <c r="U500" s="25"/>
      <c r="V500" s="25"/>
      <c r="W500" s="25"/>
      <c r="X500" s="24"/>
      <c r="Y500" s="24"/>
      <c r="Z500" s="24"/>
      <c r="AA500" s="24"/>
      <c r="AB500" s="24"/>
      <c r="AC500" s="24"/>
      <c r="AD500" s="361">
        <f t="shared" si="104"/>
        <v>0</v>
      </c>
      <c r="AE500" s="359" t="str">
        <f t="shared" si="107"/>
        <v/>
      </c>
      <c r="AF500" s="359" t="str">
        <f t="shared" si="116"/>
        <v/>
      </c>
      <c r="AG500" s="359" t="str">
        <f t="shared" si="108"/>
        <v/>
      </c>
      <c r="AH500" s="359" t="str">
        <f t="shared" si="109"/>
        <v/>
      </c>
      <c r="AI500" s="359" t="str">
        <f t="shared" si="110"/>
        <v/>
      </c>
      <c r="AJ500" s="359" t="str">
        <f t="shared" si="111"/>
        <v/>
      </c>
      <c r="AK500" s="359" t="str">
        <f t="shared" si="113"/>
        <v/>
      </c>
      <c r="AL500" s="359" t="str">
        <f t="shared" si="112"/>
        <v/>
      </c>
      <c r="AM500" s="359" t="str">
        <f t="shared" si="114"/>
        <v/>
      </c>
      <c r="AN500" s="262">
        <f t="shared" si="117"/>
        <v>0</v>
      </c>
      <c r="AO500" s="262" t="str">
        <f>IFERROR(HLOOKUP(AN500,'Ref Lists'!Q$1:AL$2,2,FALSE),'Ref Lists'!$AK$2)</f>
        <v>Savings21</v>
      </c>
      <c r="AP500" s="38"/>
      <c r="AQ500" s="38">
        <f t="shared" si="106"/>
        <v>0</v>
      </c>
      <c r="AR500" s="38"/>
      <c r="AS500" s="38"/>
      <c r="AT500" s="38"/>
      <c r="AU500" s="38"/>
      <c r="AV500" s="38"/>
      <c r="AW500" s="38"/>
      <c r="AX500" s="38"/>
      <c r="AY500" s="38"/>
      <c r="AZ500" s="38"/>
      <c r="BA500" s="38"/>
      <c r="BB500" s="38"/>
      <c r="BC500" s="38"/>
      <c r="BD500" s="38"/>
      <c r="BE500" s="38"/>
      <c r="BF500" s="38"/>
      <c r="BG500" s="38"/>
      <c r="BH500" s="38"/>
      <c r="BI500" s="38"/>
      <c r="BJ500" s="38"/>
      <c r="BK500" s="38"/>
      <c r="BL500" s="38"/>
      <c r="BM500" s="38"/>
      <c r="BN500" s="38"/>
      <c r="BO500" s="38"/>
      <c r="BP500" s="38"/>
      <c r="BQ500" s="38"/>
      <c r="BR500" s="38"/>
      <c r="BS500" s="38"/>
      <c r="BT500" s="38"/>
      <c r="BU500" s="38"/>
      <c r="BV500" s="38"/>
      <c r="BW500" s="38"/>
      <c r="BX500" s="38"/>
      <c r="BY500" s="38"/>
      <c r="BZ500" s="38"/>
      <c r="CA500" s="38"/>
      <c r="CB500" s="38"/>
      <c r="CC500" s="38"/>
      <c r="CD500" s="38"/>
      <c r="CE500" s="38"/>
      <c r="CF500" s="38"/>
      <c r="CG500" s="38"/>
      <c r="CH500" s="38"/>
      <c r="CI500" s="38"/>
      <c r="CJ500" s="38"/>
      <c r="CK500" s="38"/>
      <c r="CL500" s="38"/>
      <c r="CM500" s="38"/>
      <c r="CN500" s="38"/>
      <c r="CO500" s="38"/>
      <c r="CP500" s="38"/>
      <c r="CQ500" s="38"/>
      <c r="CR500" s="38"/>
      <c r="CS500" s="38"/>
      <c r="CT500" s="38"/>
      <c r="CU500" s="38"/>
      <c r="CV500" s="38"/>
      <c r="CW500" s="38"/>
      <c r="CX500" s="38"/>
      <c r="CY500" s="38"/>
      <c r="CZ500" s="38"/>
    </row>
    <row r="501" spans="1:104" s="40" customFormat="1" ht="20.149999999999999" customHeight="1">
      <c r="A501" s="358">
        <f t="shared" si="115"/>
        <v>500</v>
      </c>
      <c r="B501" s="359" t="str">
        <f>'Front Sheet and Checklist'!$C$5</f>
        <v>Swansea Bay UHB</v>
      </c>
      <c r="C501" s="17"/>
      <c r="D501" s="17"/>
      <c r="E501" s="17"/>
      <c r="F501" s="17"/>
      <c r="G501" s="17"/>
      <c r="H501" s="17"/>
      <c r="I501" s="361">
        <f t="shared" si="105"/>
        <v>0</v>
      </c>
      <c r="J501" s="17"/>
      <c r="K501" s="18"/>
      <c r="L501" s="18"/>
      <c r="M501" s="17"/>
      <c r="N501" s="17"/>
      <c r="O501" s="17"/>
      <c r="P501" s="17"/>
      <c r="Q501" s="169"/>
      <c r="R501" s="24"/>
      <c r="S501" s="24"/>
      <c r="T501" s="24"/>
      <c r="U501" s="25"/>
      <c r="V501" s="25"/>
      <c r="W501" s="25"/>
      <c r="X501" s="24"/>
      <c r="Y501" s="24"/>
      <c r="Z501" s="24"/>
      <c r="AA501" s="24"/>
      <c r="AB501" s="24"/>
      <c r="AC501" s="24"/>
      <c r="AD501" s="361">
        <f t="shared" si="104"/>
        <v>0</v>
      </c>
      <c r="AE501" s="359" t="str">
        <f t="shared" si="107"/>
        <v/>
      </c>
      <c r="AF501" s="359" t="str">
        <f t="shared" si="116"/>
        <v/>
      </c>
      <c r="AG501" s="359" t="str">
        <f t="shared" si="108"/>
        <v/>
      </c>
      <c r="AH501" s="359" t="str">
        <f t="shared" si="109"/>
        <v/>
      </c>
      <c r="AI501" s="359" t="str">
        <f t="shared" si="110"/>
        <v/>
      </c>
      <c r="AJ501" s="359" t="str">
        <f t="shared" si="111"/>
        <v/>
      </c>
      <c r="AK501" s="359" t="str">
        <f t="shared" si="113"/>
        <v/>
      </c>
      <c r="AL501" s="359" t="str">
        <f t="shared" si="112"/>
        <v/>
      </c>
      <c r="AM501" s="359" t="str">
        <f t="shared" si="114"/>
        <v/>
      </c>
      <c r="AN501" s="262">
        <f t="shared" si="117"/>
        <v>0</v>
      </c>
      <c r="AO501" s="262" t="str">
        <f>IFERROR(HLOOKUP(AN501,'Ref Lists'!Q$1:AL$2,2,FALSE),'Ref Lists'!$AK$2)</f>
        <v>Savings21</v>
      </c>
      <c r="AP501" s="38"/>
      <c r="AQ501" s="38">
        <f t="shared" si="106"/>
        <v>0</v>
      </c>
      <c r="AR501" s="38"/>
      <c r="AS501" s="38"/>
      <c r="AT501" s="38"/>
      <c r="AU501" s="38"/>
      <c r="AV501" s="38"/>
      <c r="AW501" s="38"/>
      <c r="AX501" s="38"/>
      <c r="AY501" s="38"/>
      <c r="AZ501" s="38"/>
      <c r="BA501" s="38"/>
      <c r="BB501" s="38"/>
      <c r="BC501" s="38"/>
      <c r="BD501" s="38"/>
      <c r="BE501" s="38"/>
      <c r="BF501" s="38"/>
      <c r="BG501" s="38"/>
      <c r="BH501" s="38"/>
      <c r="BI501" s="38"/>
      <c r="BJ501" s="38"/>
      <c r="BK501" s="38"/>
      <c r="BL501" s="38"/>
      <c r="BM501" s="38"/>
      <c r="BN501" s="38"/>
      <c r="BO501" s="38"/>
      <c r="BP501" s="38"/>
      <c r="BQ501" s="38"/>
      <c r="BR501" s="38"/>
      <c r="BS501" s="38"/>
      <c r="BT501" s="38"/>
      <c r="BU501" s="38"/>
      <c r="BV501" s="38"/>
      <c r="BW501" s="38"/>
      <c r="BX501" s="38"/>
      <c r="BY501" s="38"/>
      <c r="BZ501" s="38"/>
      <c r="CA501" s="38"/>
      <c r="CB501" s="38"/>
      <c r="CC501" s="38"/>
      <c r="CD501" s="38"/>
      <c r="CE501" s="38"/>
      <c r="CF501" s="38"/>
      <c r="CG501" s="38"/>
      <c r="CH501" s="38"/>
      <c r="CI501" s="38"/>
      <c r="CJ501" s="38"/>
      <c r="CK501" s="38"/>
      <c r="CL501" s="38"/>
      <c r="CM501" s="38"/>
      <c r="CN501" s="38"/>
      <c r="CO501" s="38"/>
      <c r="CP501" s="38"/>
      <c r="CQ501" s="38"/>
      <c r="CR501" s="38"/>
      <c r="CS501" s="38"/>
      <c r="CT501" s="38"/>
      <c r="CU501" s="38"/>
      <c r="CV501" s="38"/>
      <c r="CW501" s="38"/>
      <c r="CX501" s="38"/>
      <c r="CY501" s="38"/>
      <c r="CZ501" s="38"/>
    </row>
    <row r="502" spans="1:104" s="40" customFormat="1" ht="20.149999999999999" customHeight="1">
      <c r="A502" s="358">
        <f t="shared" si="115"/>
        <v>501</v>
      </c>
      <c r="B502" s="359" t="str">
        <f>'Front Sheet and Checklist'!$C$5</f>
        <v>Swansea Bay UHB</v>
      </c>
      <c r="C502" s="17"/>
      <c r="D502" s="17"/>
      <c r="E502" s="17"/>
      <c r="F502" s="17"/>
      <c r="G502" s="17"/>
      <c r="H502" s="17"/>
      <c r="I502" s="361">
        <f t="shared" si="105"/>
        <v>0</v>
      </c>
      <c r="J502" s="17"/>
      <c r="K502" s="18"/>
      <c r="L502" s="18"/>
      <c r="M502" s="17"/>
      <c r="N502" s="17"/>
      <c r="O502" s="17"/>
      <c r="P502" s="17"/>
      <c r="Q502" s="169"/>
      <c r="R502" s="24"/>
      <c r="S502" s="24"/>
      <c r="T502" s="24"/>
      <c r="U502" s="25"/>
      <c r="V502" s="25"/>
      <c r="W502" s="25"/>
      <c r="X502" s="24"/>
      <c r="Y502" s="24"/>
      <c r="Z502" s="24"/>
      <c r="AA502" s="24"/>
      <c r="AB502" s="24"/>
      <c r="AC502" s="24"/>
      <c r="AD502" s="361">
        <f t="shared" si="104"/>
        <v>0</v>
      </c>
      <c r="AE502" s="359" t="str">
        <f t="shared" si="107"/>
        <v/>
      </c>
      <c r="AF502" s="359" t="str">
        <f t="shared" si="116"/>
        <v/>
      </c>
      <c r="AG502" s="359" t="str">
        <f t="shared" si="108"/>
        <v/>
      </c>
      <c r="AH502" s="359" t="str">
        <f t="shared" si="109"/>
        <v/>
      </c>
      <c r="AI502" s="359" t="str">
        <f t="shared" si="110"/>
        <v/>
      </c>
      <c r="AJ502" s="359" t="str">
        <f t="shared" si="111"/>
        <v/>
      </c>
      <c r="AK502" s="359" t="str">
        <f t="shared" si="113"/>
        <v/>
      </c>
      <c r="AL502" s="359" t="str">
        <f t="shared" si="112"/>
        <v/>
      </c>
      <c r="AM502" s="359" t="str">
        <f t="shared" si="114"/>
        <v/>
      </c>
      <c r="AN502" s="262">
        <f t="shared" si="117"/>
        <v>0</v>
      </c>
      <c r="AO502" s="262" t="str">
        <f>IFERROR(HLOOKUP(AN502,'Ref Lists'!Q$1:AL$2,2,FALSE),'Ref Lists'!$AK$2)</f>
        <v>Savings21</v>
      </c>
      <c r="AP502" s="38"/>
      <c r="AQ502" s="38">
        <f t="shared" si="106"/>
        <v>0</v>
      </c>
      <c r="AR502" s="38"/>
      <c r="AS502" s="38"/>
      <c r="AT502" s="38"/>
      <c r="AU502" s="38"/>
      <c r="AV502" s="38"/>
      <c r="AW502" s="38"/>
      <c r="AX502" s="38"/>
      <c r="AY502" s="38"/>
      <c r="AZ502" s="38"/>
      <c r="BA502" s="38"/>
      <c r="BB502" s="38"/>
      <c r="BC502" s="38"/>
      <c r="BD502" s="38"/>
      <c r="BE502" s="38"/>
      <c r="BF502" s="38"/>
      <c r="BG502" s="38"/>
      <c r="BH502" s="38"/>
      <c r="BI502" s="38"/>
      <c r="BJ502" s="38"/>
      <c r="BK502" s="38"/>
      <c r="BL502" s="38"/>
      <c r="BM502" s="38"/>
      <c r="BN502" s="38"/>
      <c r="BO502" s="38"/>
      <c r="BP502" s="38"/>
      <c r="BQ502" s="38"/>
      <c r="BR502" s="38"/>
      <c r="BS502" s="38"/>
      <c r="BT502" s="38"/>
      <c r="BU502" s="38"/>
      <c r="BV502" s="38"/>
      <c r="BW502" s="38"/>
      <c r="BX502" s="38"/>
      <c r="BY502" s="38"/>
      <c r="BZ502" s="38"/>
      <c r="CA502" s="38"/>
      <c r="CB502" s="38"/>
      <c r="CC502" s="38"/>
      <c r="CD502" s="38"/>
      <c r="CE502" s="38"/>
      <c r="CF502" s="38"/>
      <c r="CG502" s="38"/>
      <c r="CH502" s="38"/>
      <c r="CI502" s="38"/>
      <c r="CJ502" s="38"/>
      <c r="CK502" s="38"/>
      <c r="CL502" s="38"/>
      <c r="CM502" s="38"/>
      <c r="CN502" s="38"/>
      <c r="CO502" s="38"/>
      <c r="CP502" s="38"/>
      <c r="CQ502" s="38"/>
      <c r="CR502" s="38"/>
      <c r="CS502" s="38"/>
      <c r="CT502" s="38"/>
      <c r="CU502" s="38"/>
      <c r="CV502" s="38"/>
      <c r="CW502" s="38"/>
      <c r="CX502" s="38"/>
      <c r="CY502" s="38"/>
      <c r="CZ502" s="38"/>
    </row>
    <row r="503" spans="1:104" s="40" customFormat="1" ht="20.149999999999999" customHeight="1">
      <c r="A503" s="358">
        <f t="shared" si="115"/>
        <v>502</v>
      </c>
      <c r="B503" s="359" t="str">
        <f>'Front Sheet and Checklist'!$C$5</f>
        <v>Swansea Bay UHB</v>
      </c>
      <c r="C503" s="17"/>
      <c r="D503" s="17"/>
      <c r="E503" s="17"/>
      <c r="F503" s="17"/>
      <c r="G503" s="17"/>
      <c r="H503" s="17"/>
      <c r="I503" s="361">
        <f t="shared" si="105"/>
        <v>0</v>
      </c>
      <c r="J503" s="17"/>
      <c r="K503" s="18"/>
      <c r="L503" s="18"/>
      <c r="M503" s="17"/>
      <c r="N503" s="17"/>
      <c r="O503" s="17"/>
      <c r="P503" s="17"/>
      <c r="Q503" s="169"/>
      <c r="R503" s="24"/>
      <c r="S503" s="24"/>
      <c r="T503" s="24"/>
      <c r="U503" s="25"/>
      <c r="V503" s="25"/>
      <c r="W503" s="25"/>
      <c r="X503" s="24"/>
      <c r="Y503" s="24"/>
      <c r="Z503" s="24"/>
      <c r="AA503" s="24"/>
      <c r="AB503" s="24"/>
      <c r="AC503" s="24"/>
      <c r="AD503" s="361">
        <f t="shared" si="104"/>
        <v>0</v>
      </c>
      <c r="AE503" s="359" t="str">
        <f t="shared" si="107"/>
        <v/>
      </c>
      <c r="AF503" s="359" t="str">
        <f t="shared" si="116"/>
        <v/>
      </c>
      <c r="AG503" s="359" t="str">
        <f t="shared" si="108"/>
        <v/>
      </c>
      <c r="AH503" s="359" t="str">
        <f t="shared" si="109"/>
        <v/>
      </c>
      <c r="AI503" s="359" t="str">
        <f t="shared" si="110"/>
        <v/>
      </c>
      <c r="AJ503" s="359" t="str">
        <f t="shared" si="111"/>
        <v/>
      </c>
      <c r="AK503" s="359" t="str">
        <f t="shared" si="113"/>
        <v/>
      </c>
      <c r="AL503" s="359" t="str">
        <f t="shared" si="112"/>
        <v/>
      </c>
      <c r="AM503" s="359" t="str">
        <f t="shared" si="114"/>
        <v/>
      </c>
      <c r="AN503" s="262">
        <f t="shared" si="117"/>
        <v>0</v>
      </c>
      <c r="AO503" s="262" t="str">
        <f>IFERROR(HLOOKUP(AN503,'Ref Lists'!Q$1:AL$2,2,FALSE),'Ref Lists'!$AK$2)</f>
        <v>Savings21</v>
      </c>
      <c r="AP503" s="38"/>
      <c r="AQ503" s="38">
        <f t="shared" si="106"/>
        <v>0</v>
      </c>
      <c r="AR503" s="38"/>
      <c r="AS503" s="38"/>
      <c r="AT503" s="38"/>
      <c r="AU503" s="38"/>
      <c r="AV503" s="38"/>
      <c r="AW503" s="38"/>
      <c r="AX503" s="38"/>
      <c r="AY503" s="38"/>
      <c r="AZ503" s="38"/>
      <c r="BA503" s="38"/>
      <c r="BB503" s="38"/>
      <c r="BC503" s="38"/>
      <c r="BD503" s="38"/>
      <c r="BE503" s="38"/>
      <c r="BF503" s="38"/>
      <c r="BG503" s="38"/>
      <c r="BH503" s="38"/>
      <c r="BI503" s="38"/>
      <c r="BJ503" s="38"/>
      <c r="BK503" s="38"/>
      <c r="BL503" s="38"/>
      <c r="BM503" s="38"/>
      <c r="BN503" s="38"/>
      <c r="BO503" s="38"/>
      <c r="BP503" s="38"/>
      <c r="BQ503" s="38"/>
      <c r="BR503" s="38"/>
      <c r="BS503" s="38"/>
      <c r="BT503" s="38"/>
      <c r="BU503" s="38"/>
      <c r="BV503" s="38"/>
      <c r="BW503" s="38"/>
      <c r="BX503" s="38"/>
      <c r="BY503" s="38"/>
      <c r="BZ503" s="38"/>
      <c r="CA503" s="38"/>
      <c r="CB503" s="38"/>
      <c r="CC503" s="38"/>
      <c r="CD503" s="38"/>
      <c r="CE503" s="38"/>
      <c r="CF503" s="38"/>
      <c r="CG503" s="38"/>
      <c r="CH503" s="38"/>
      <c r="CI503" s="38"/>
      <c r="CJ503" s="38"/>
      <c r="CK503" s="38"/>
      <c r="CL503" s="38"/>
      <c r="CM503" s="38"/>
      <c r="CN503" s="38"/>
      <c r="CO503" s="38"/>
      <c r="CP503" s="38"/>
      <c r="CQ503" s="38"/>
      <c r="CR503" s="38"/>
      <c r="CS503" s="38"/>
      <c r="CT503" s="38"/>
      <c r="CU503" s="38"/>
      <c r="CV503" s="38"/>
      <c r="CW503" s="38"/>
      <c r="CX503" s="38"/>
      <c r="CY503" s="38"/>
      <c r="CZ503" s="38"/>
    </row>
    <row r="504" spans="1:104" s="40" customFormat="1" ht="20.149999999999999" customHeight="1">
      <c r="A504" s="358">
        <f t="shared" si="115"/>
        <v>503</v>
      </c>
      <c r="B504" s="359" t="str">
        <f>'Front Sheet and Checklist'!$C$5</f>
        <v>Swansea Bay UHB</v>
      </c>
      <c r="C504" s="17"/>
      <c r="D504" s="17"/>
      <c r="E504" s="17"/>
      <c r="F504" s="17"/>
      <c r="G504" s="17"/>
      <c r="H504" s="17"/>
      <c r="I504" s="361">
        <f t="shared" si="105"/>
        <v>0</v>
      </c>
      <c r="J504" s="17"/>
      <c r="K504" s="18"/>
      <c r="L504" s="18"/>
      <c r="M504" s="17"/>
      <c r="N504" s="17"/>
      <c r="O504" s="17"/>
      <c r="P504" s="17"/>
      <c r="Q504" s="169"/>
      <c r="R504" s="24"/>
      <c r="S504" s="24"/>
      <c r="T504" s="24"/>
      <c r="U504" s="25"/>
      <c r="V504" s="25"/>
      <c r="W504" s="25"/>
      <c r="X504" s="24"/>
      <c r="Y504" s="24"/>
      <c r="Z504" s="24"/>
      <c r="AA504" s="24"/>
      <c r="AB504" s="24"/>
      <c r="AC504" s="24"/>
      <c r="AD504" s="361">
        <f t="shared" si="104"/>
        <v>0</v>
      </c>
      <c r="AE504" s="359" t="str">
        <f t="shared" si="107"/>
        <v/>
      </c>
      <c r="AF504" s="359" t="str">
        <f t="shared" si="116"/>
        <v/>
      </c>
      <c r="AG504" s="359" t="str">
        <f t="shared" si="108"/>
        <v/>
      </c>
      <c r="AH504" s="359" t="str">
        <f t="shared" si="109"/>
        <v/>
      </c>
      <c r="AI504" s="359" t="str">
        <f t="shared" si="110"/>
        <v/>
      </c>
      <c r="AJ504" s="359" t="str">
        <f t="shared" si="111"/>
        <v/>
      </c>
      <c r="AK504" s="359" t="str">
        <f t="shared" si="113"/>
        <v/>
      </c>
      <c r="AL504" s="359" t="str">
        <f t="shared" si="112"/>
        <v/>
      </c>
      <c r="AM504" s="359" t="str">
        <f t="shared" si="114"/>
        <v/>
      </c>
      <c r="AN504" s="262">
        <f t="shared" si="117"/>
        <v>0</v>
      </c>
      <c r="AO504" s="262" t="str">
        <f>IFERROR(HLOOKUP(AN504,'Ref Lists'!Q$1:AL$2,2,FALSE),'Ref Lists'!$AK$2)</f>
        <v>Savings21</v>
      </c>
      <c r="AP504" s="38"/>
      <c r="AQ504" s="38">
        <f t="shared" si="106"/>
        <v>0</v>
      </c>
      <c r="AR504" s="38"/>
      <c r="AS504" s="38"/>
      <c r="AT504" s="38"/>
      <c r="AU504" s="38"/>
      <c r="AV504" s="38"/>
      <c r="AW504" s="38"/>
      <c r="AX504" s="38"/>
      <c r="AY504" s="38"/>
      <c r="AZ504" s="38"/>
      <c r="BA504" s="38"/>
      <c r="BB504" s="38"/>
      <c r="BC504" s="38"/>
      <c r="BD504" s="38"/>
      <c r="BE504" s="38"/>
      <c r="BF504" s="38"/>
      <c r="BG504" s="38"/>
      <c r="BH504" s="38"/>
      <c r="BI504" s="38"/>
      <c r="BJ504" s="38"/>
      <c r="BK504" s="38"/>
      <c r="BL504" s="38"/>
      <c r="BM504" s="38"/>
      <c r="BN504" s="38"/>
      <c r="BO504" s="38"/>
      <c r="BP504" s="38"/>
      <c r="BQ504" s="38"/>
      <c r="BR504" s="38"/>
      <c r="BS504" s="38"/>
      <c r="BT504" s="38"/>
      <c r="BU504" s="38"/>
      <c r="BV504" s="38"/>
      <c r="BW504" s="38"/>
      <c r="BX504" s="38"/>
      <c r="BY504" s="38"/>
      <c r="BZ504" s="38"/>
      <c r="CA504" s="38"/>
      <c r="CB504" s="38"/>
      <c r="CC504" s="38"/>
      <c r="CD504" s="38"/>
      <c r="CE504" s="38"/>
      <c r="CF504" s="38"/>
      <c r="CG504" s="38"/>
      <c r="CH504" s="38"/>
      <c r="CI504" s="38"/>
      <c r="CJ504" s="38"/>
      <c r="CK504" s="38"/>
      <c r="CL504" s="38"/>
      <c r="CM504" s="38"/>
      <c r="CN504" s="38"/>
      <c r="CO504" s="38"/>
      <c r="CP504" s="38"/>
      <c r="CQ504" s="38"/>
      <c r="CR504" s="38"/>
      <c r="CS504" s="38"/>
      <c r="CT504" s="38"/>
      <c r="CU504" s="38"/>
      <c r="CV504" s="38"/>
      <c r="CW504" s="38"/>
      <c r="CX504" s="38"/>
      <c r="CY504" s="38"/>
      <c r="CZ504" s="38"/>
    </row>
    <row r="505" spans="1:104" s="40" customFormat="1" ht="20.149999999999999" customHeight="1">
      <c r="A505" s="358">
        <f t="shared" si="115"/>
        <v>504</v>
      </c>
      <c r="B505" s="359" t="str">
        <f>'Front Sheet and Checklist'!$C$5</f>
        <v>Swansea Bay UHB</v>
      </c>
      <c r="C505" s="17"/>
      <c r="D505" s="17"/>
      <c r="E505" s="17"/>
      <c r="F505" s="17"/>
      <c r="G505" s="17"/>
      <c r="H505" s="17"/>
      <c r="I505" s="361">
        <f t="shared" si="105"/>
        <v>0</v>
      </c>
      <c r="J505" s="17"/>
      <c r="K505" s="18"/>
      <c r="L505" s="18"/>
      <c r="M505" s="17"/>
      <c r="N505" s="17"/>
      <c r="O505" s="17"/>
      <c r="P505" s="17"/>
      <c r="Q505" s="169"/>
      <c r="R505" s="24"/>
      <c r="S505" s="24"/>
      <c r="T505" s="24"/>
      <c r="U505" s="25"/>
      <c r="V505" s="25"/>
      <c r="W505" s="25"/>
      <c r="X505" s="24"/>
      <c r="Y505" s="24"/>
      <c r="Z505" s="24"/>
      <c r="AA505" s="24"/>
      <c r="AB505" s="24"/>
      <c r="AC505" s="24"/>
      <c r="AD505" s="361">
        <f t="shared" si="104"/>
        <v>0</v>
      </c>
      <c r="AE505" s="359" t="str">
        <f t="shared" si="107"/>
        <v/>
      </c>
      <c r="AF505" s="359" t="str">
        <f t="shared" si="116"/>
        <v/>
      </c>
      <c r="AG505" s="359" t="str">
        <f t="shared" si="108"/>
        <v/>
      </c>
      <c r="AH505" s="359" t="str">
        <f t="shared" si="109"/>
        <v/>
      </c>
      <c r="AI505" s="359" t="str">
        <f t="shared" si="110"/>
        <v/>
      </c>
      <c r="AJ505" s="359" t="str">
        <f t="shared" si="111"/>
        <v/>
      </c>
      <c r="AK505" s="359" t="str">
        <f t="shared" si="113"/>
        <v/>
      </c>
      <c r="AL505" s="359" t="str">
        <f t="shared" si="112"/>
        <v/>
      </c>
      <c r="AM505" s="359" t="str">
        <f t="shared" si="114"/>
        <v/>
      </c>
      <c r="AN505" s="262">
        <f t="shared" si="117"/>
        <v>0</v>
      </c>
      <c r="AO505" s="262" t="str">
        <f>IFERROR(HLOOKUP(AN505,'Ref Lists'!Q$1:AL$2,2,FALSE),'Ref Lists'!$AK$2)</f>
        <v>Savings21</v>
      </c>
      <c r="AP505" s="38"/>
      <c r="AQ505" s="38">
        <f t="shared" si="106"/>
        <v>0</v>
      </c>
      <c r="AR505" s="38"/>
      <c r="AS505" s="38"/>
      <c r="AT505" s="38"/>
      <c r="AU505" s="38"/>
      <c r="AV505" s="38"/>
      <c r="AW505" s="38"/>
      <c r="AX505" s="38"/>
      <c r="AY505" s="38"/>
      <c r="AZ505" s="38"/>
      <c r="BA505" s="38"/>
      <c r="BB505" s="38"/>
      <c r="BC505" s="38"/>
      <c r="BD505" s="38"/>
      <c r="BE505" s="38"/>
      <c r="BF505" s="38"/>
      <c r="BG505" s="38"/>
      <c r="BH505" s="38"/>
      <c r="BI505" s="38"/>
      <c r="BJ505" s="38"/>
      <c r="BK505" s="38"/>
      <c r="BL505" s="38"/>
      <c r="BM505" s="38"/>
      <c r="BN505" s="38"/>
      <c r="BO505" s="38"/>
      <c r="BP505" s="38"/>
      <c r="BQ505" s="38"/>
      <c r="BR505" s="38"/>
      <c r="BS505" s="38"/>
      <c r="BT505" s="38"/>
      <c r="BU505" s="38"/>
      <c r="BV505" s="38"/>
      <c r="BW505" s="38"/>
      <c r="BX505" s="38"/>
      <c r="BY505" s="38"/>
      <c r="BZ505" s="38"/>
      <c r="CA505" s="38"/>
      <c r="CB505" s="38"/>
      <c r="CC505" s="38"/>
      <c r="CD505" s="38"/>
      <c r="CE505" s="38"/>
      <c r="CF505" s="38"/>
      <c r="CG505" s="38"/>
      <c r="CH505" s="38"/>
      <c r="CI505" s="38"/>
      <c r="CJ505" s="38"/>
      <c r="CK505" s="38"/>
      <c r="CL505" s="38"/>
      <c r="CM505" s="38"/>
      <c r="CN505" s="38"/>
      <c r="CO505" s="38"/>
      <c r="CP505" s="38"/>
      <c r="CQ505" s="38"/>
      <c r="CR505" s="38"/>
      <c r="CS505" s="38"/>
      <c r="CT505" s="38"/>
      <c r="CU505" s="38"/>
      <c r="CV505" s="38"/>
      <c r="CW505" s="38"/>
      <c r="CX505" s="38"/>
      <c r="CY505" s="38"/>
      <c r="CZ505" s="38"/>
    </row>
    <row r="506" spans="1:104" s="40" customFormat="1" ht="20.149999999999999" customHeight="1">
      <c r="A506" s="358">
        <f t="shared" si="115"/>
        <v>505</v>
      </c>
      <c r="B506" s="359" t="str">
        <f>'Front Sheet and Checklist'!$C$5</f>
        <v>Swansea Bay UHB</v>
      </c>
      <c r="C506" s="17"/>
      <c r="D506" s="17"/>
      <c r="E506" s="17"/>
      <c r="F506" s="17"/>
      <c r="G506" s="17"/>
      <c r="H506" s="17"/>
      <c r="I506" s="361">
        <f t="shared" si="105"/>
        <v>0</v>
      </c>
      <c r="J506" s="17"/>
      <c r="K506" s="18"/>
      <c r="L506" s="18"/>
      <c r="M506" s="17"/>
      <c r="N506" s="17"/>
      <c r="O506" s="17"/>
      <c r="P506" s="17"/>
      <c r="Q506" s="169"/>
      <c r="R506" s="24"/>
      <c r="S506" s="24"/>
      <c r="T506" s="24"/>
      <c r="U506" s="25"/>
      <c r="V506" s="25"/>
      <c r="W506" s="25"/>
      <c r="X506" s="24"/>
      <c r="Y506" s="24"/>
      <c r="Z506" s="24"/>
      <c r="AA506" s="24"/>
      <c r="AB506" s="24"/>
      <c r="AC506" s="24"/>
      <c r="AD506" s="361">
        <f t="shared" ref="AD506:AD569" si="118">SUM(R506:AC506)</f>
        <v>0</v>
      </c>
      <c r="AE506" s="359" t="str">
        <f t="shared" si="107"/>
        <v/>
      </c>
      <c r="AF506" s="359" t="str">
        <f t="shared" si="116"/>
        <v/>
      </c>
      <c r="AG506" s="359" t="str">
        <f t="shared" si="108"/>
        <v/>
      </c>
      <c r="AH506" s="359" t="str">
        <f t="shared" si="109"/>
        <v/>
      </c>
      <c r="AI506" s="359" t="str">
        <f t="shared" si="110"/>
        <v/>
      </c>
      <c r="AJ506" s="359" t="str">
        <f t="shared" si="111"/>
        <v/>
      </c>
      <c r="AK506" s="359" t="str">
        <f t="shared" si="113"/>
        <v/>
      </c>
      <c r="AL506" s="359" t="str">
        <f t="shared" si="112"/>
        <v/>
      </c>
      <c r="AM506" s="359" t="str">
        <f t="shared" si="114"/>
        <v/>
      </c>
      <c r="AN506" s="262">
        <f t="shared" si="117"/>
        <v>0</v>
      </c>
      <c r="AO506" s="262" t="str">
        <f>IFERROR(HLOOKUP(AN506,'Ref Lists'!Q$1:AL$2,2,FALSE),'Ref Lists'!$AK$2)</f>
        <v>Savings21</v>
      </c>
      <c r="AP506" s="38"/>
      <c r="AQ506" s="38">
        <f t="shared" si="106"/>
        <v>0</v>
      </c>
      <c r="AR506" s="38"/>
      <c r="AS506" s="38"/>
      <c r="AT506" s="38"/>
      <c r="AU506" s="38"/>
      <c r="AV506" s="38"/>
      <c r="AW506" s="38"/>
      <c r="AX506" s="38"/>
      <c r="AY506" s="38"/>
      <c r="AZ506" s="38"/>
      <c r="BA506" s="38"/>
      <c r="BB506" s="38"/>
      <c r="BC506" s="38"/>
      <c r="BD506" s="38"/>
      <c r="BE506" s="38"/>
      <c r="BF506" s="38"/>
      <c r="BG506" s="38"/>
      <c r="BH506" s="38"/>
      <c r="BI506" s="38"/>
      <c r="BJ506" s="38"/>
      <c r="BK506" s="38"/>
      <c r="BL506" s="38"/>
      <c r="BM506" s="38"/>
      <c r="BN506" s="38"/>
      <c r="BO506" s="38"/>
      <c r="BP506" s="38"/>
      <c r="BQ506" s="38"/>
      <c r="BR506" s="38"/>
      <c r="BS506" s="38"/>
      <c r="BT506" s="38"/>
      <c r="BU506" s="38"/>
      <c r="BV506" s="38"/>
      <c r="BW506" s="38"/>
      <c r="BX506" s="38"/>
      <c r="BY506" s="38"/>
      <c r="BZ506" s="38"/>
      <c r="CA506" s="38"/>
      <c r="CB506" s="38"/>
      <c r="CC506" s="38"/>
      <c r="CD506" s="38"/>
      <c r="CE506" s="38"/>
      <c r="CF506" s="38"/>
      <c r="CG506" s="38"/>
      <c r="CH506" s="38"/>
      <c r="CI506" s="38"/>
      <c r="CJ506" s="38"/>
      <c r="CK506" s="38"/>
      <c r="CL506" s="38"/>
      <c r="CM506" s="38"/>
      <c r="CN506" s="38"/>
      <c r="CO506" s="38"/>
      <c r="CP506" s="38"/>
      <c r="CQ506" s="38"/>
      <c r="CR506" s="38"/>
      <c r="CS506" s="38"/>
      <c r="CT506" s="38"/>
      <c r="CU506" s="38"/>
      <c r="CV506" s="38"/>
      <c r="CW506" s="38"/>
      <c r="CX506" s="38"/>
      <c r="CY506" s="38"/>
      <c r="CZ506" s="38"/>
    </row>
    <row r="507" spans="1:104" s="40" customFormat="1" ht="20.149999999999999" customHeight="1">
      <c r="A507" s="358">
        <f t="shared" si="115"/>
        <v>506</v>
      </c>
      <c r="B507" s="359" t="str">
        <f>'Front Sheet and Checklist'!$C$5</f>
        <v>Swansea Bay UHB</v>
      </c>
      <c r="C507" s="17"/>
      <c r="D507" s="17"/>
      <c r="E507" s="17"/>
      <c r="F507" s="17"/>
      <c r="G507" s="17"/>
      <c r="H507" s="17"/>
      <c r="I507" s="361">
        <f t="shared" ref="I507:I570" si="119">AD507</f>
        <v>0</v>
      </c>
      <c r="J507" s="17"/>
      <c r="K507" s="18"/>
      <c r="L507" s="18"/>
      <c r="M507" s="17"/>
      <c r="N507" s="17"/>
      <c r="O507" s="17"/>
      <c r="P507" s="17"/>
      <c r="Q507" s="169"/>
      <c r="R507" s="24"/>
      <c r="S507" s="24"/>
      <c r="T507" s="24"/>
      <c r="U507" s="25"/>
      <c r="V507" s="25"/>
      <c r="W507" s="25"/>
      <c r="X507" s="24"/>
      <c r="Y507" s="24"/>
      <c r="Z507" s="24"/>
      <c r="AA507" s="24"/>
      <c r="AB507" s="24"/>
      <c r="AC507" s="24"/>
      <c r="AD507" s="361">
        <f t="shared" si="118"/>
        <v>0</v>
      </c>
      <c r="AE507" s="359" t="str">
        <f t="shared" si="107"/>
        <v/>
      </c>
      <c r="AF507" s="359" t="str">
        <f t="shared" si="116"/>
        <v/>
      </c>
      <c r="AG507" s="359" t="str">
        <f t="shared" si="108"/>
        <v/>
      </c>
      <c r="AH507" s="359" t="str">
        <f t="shared" si="109"/>
        <v/>
      </c>
      <c r="AI507" s="359" t="str">
        <f t="shared" si="110"/>
        <v/>
      </c>
      <c r="AJ507" s="359" t="str">
        <f t="shared" si="111"/>
        <v/>
      </c>
      <c r="AK507" s="359" t="str">
        <f t="shared" si="113"/>
        <v/>
      </c>
      <c r="AL507" s="359" t="str">
        <f t="shared" si="112"/>
        <v/>
      </c>
      <c r="AM507" s="359" t="str">
        <f t="shared" si="114"/>
        <v/>
      </c>
      <c r="AN507" s="262">
        <f t="shared" si="117"/>
        <v>0</v>
      </c>
      <c r="AO507" s="262" t="str">
        <f>IFERROR(HLOOKUP(AN507,'Ref Lists'!Q$1:AL$2,2,FALSE),'Ref Lists'!$AK$2)</f>
        <v>Savings21</v>
      </c>
      <c r="AP507" s="38"/>
      <c r="AQ507" s="38">
        <f t="shared" ref="AQ507:AQ570" si="120">COUNTIFS(AE507:AL507,"Error")</f>
        <v>0</v>
      </c>
      <c r="AR507" s="38"/>
      <c r="AS507" s="38"/>
      <c r="AT507" s="38"/>
      <c r="AU507" s="38"/>
      <c r="AV507" s="38"/>
      <c r="AW507" s="38"/>
      <c r="AX507" s="38"/>
      <c r="AY507" s="38"/>
      <c r="AZ507" s="38"/>
      <c r="BA507" s="38"/>
      <c r="BB507" s="38"/>
      <c r="BC507" s="38"/>
      <c r="BD507" s="38"/>
      <c r="BE507" s="38"/>
      <c r="BF507" s="38"/>
      <c r="BG507" s="38"/>
      <c r="BH507" s="38"/>
      <c r="BI507" s="38"/>
      <c r="BJ507" s="38"/>
      <c r="BK507" s="38"/>
      <c r="BL507" s="38"/>
      <c r="BM507" s="38"/>
      <c r="BN507" s="38"/>
      <c r="BO507" s="38"/>
      <c r="BP507" s="38"/>
      <c r="BQ507" s="38"/>
      <c r="BR507" s="38"/>
      <c r="BS507" s="38"/>
      <c r="BT507" s="38"/>
      <c r="BU507" s="38"/>
      <c r="BV507" s="38"/>
      <c r="BW507" s="38"/>
      <c r="BX507" s="38"/>
      <c r="BY507" s="38"/>
      <c r="BZ507" s="38"/>
      <c r="CA507" s="38"/>
      <c r="CB507" s="38"/>
      <c r="CC507" s="38"/>
      <c r="CD507" s="38"/>
      <c r="CE507" s="38"/>
      <c r="CF507" s="38"/>
      <c r="CG507" s="38"/>
      <c r="CH507" s="38"/>
      <c r="CI507" s="38"/>
      <c r="CJ507" s="38"/>
      <c r="CK507" s="38"/>
      <c r="CL507" s="38"/>
      <c r="CM507" s="38"/>
      <c r="CN507" s="38"/>
      <c r="CO507" s="38"/>
      <c r="CP507" s="38"/>
      <c r="CQ507" s="38"/>
      <c r="CR507" s="38"/>
      <c r="CS507" s="38"/>
      <c r="CT507" s="38"/>
      <c r="CU507" s="38"/>
      <c r="CV507" s="38"/>
      <c r="CW507" s="38"/>
      <c r="CX507" s="38"/>
      <c r="CY507" s="38"/>
      <c r="CZ507" s="38"/>
    </row>
    <row r="508" spans="1:104" s="40" customFormat="1" ht="20.149999999999999" customHeight="1">
      <c r="A508" s="358">
        <f t="shared" si="115"/>
        <v>507</v>
      </c>
      <c r="B508" s="359" t="str">
        <f>'Front Sheet and Checklist'!$C$5</f>
        <v>Swansea Bay UHB</v>
      </c>
      <c r="C508" s="17"/>
      <c r="D508" s="17"/>
      <c r="E508" s="17"/>
      <c r="F508" s="17"/>
      <c r="G508" s="17"/>
      <c r="H508" s="17"/>
      <c r="I508" s="361">
        <f t="shared" si="119"/>
        <v>0</v>
      </c>
      <c r="J508" s="17"/>
      <c r="K508" s="18"/>
      <c r="L508" s="18"/>
      <c r="M508" s="17"/>
      <c r="N508" s="17"/>
      <c r="O508" s="17"/>
      <c r="P508" s="17"/>
      <c r="Q508" s="169"/>
      <c r="R508" s="24"/>
      <c r="S508" s="24"/>
      <c r="T508" s="24"/>
      <c r="U508" s="25"/>
      <c r="V508" s="25"/>
      <c r="W508" s="25"/>
      <c r="X508" s="24"/>
      <c r="Y508" s="24"/>
      <c r="Z508" s="24"/>
      <c r="AA508" s="24"/>
      <c r="AB508" s="24"/>
      <c r="AC508" s="24"/>
      <c r="AD508" s="361">
        <f t="shared" si="118"/>
        <v>0</v>
      </c>
      <c r="AE508" s="359" t="str">
        <f t="shared" si="107"/>
        <v/>
      </c>
      <c r="AF508" s="359" t="str">
        <f t="shared" si="116"/>
        <v/>
      </c>
      <c r="AG508" s="359" t="str">
        <f t="shared" si="108"/>
        <v/>
      </c>
      <c r="AH508" s="359" t="str">
        <f t="shared" si="109"/>
        <v/>
      </c>
      <c r="AI508" s="359" t="str">
        <f t="shared" si="110"/>
        <v/>
      </c>
      <c r="AJ508" s="359" t="str">
        <f t="shared" si="111"/>
        <v/>
      </c>
      <c r="AK508" s="359" t="str">
        <f t="shared" si="113"/>
        <v/>
      </c>
      <c r="AL508" s="359" t="str">
        <f t="shared" si="112"/>
        <v/>
      </c>
      <c r="AM508" s="359" t="str">
        <f t="shared" si="114"/>
        <v/>
      </c>
      <c r="AN508" s="262">
        <f t="shared" si="117"/>
        <v>0</v>
      </c>
      <c r="AO508" s="262" t="str">
        <f>IFERROR(HLOOKUP(AN508,'Ref Lists'!Q$1:AL$2,2,FALSE),'Ref Lists'!$AK$2)</f>
        <v>Savings21</v>
      </c>
      <c r="AP508" s="38"/>
      <c r="AQ508" s="38">
        <f t="shared" si="120"/>
        <v>0</v>
      </c>
      <c r="AR508" s="38"/>
      <c r="AS508" s="38"/>
      <c r="AT508" s="38"/>
      <c r="AU508" s="38"/>
      <c r="AV508" s="38"/>
      <c r="AW508" s="38"/>
      <c r="AX508" s="38"/>
      <c r="AY508" s="38"/>
      <c r="AZ508" s="38"/>
      <c r="BA508" s="38"/>
      <c r="BB508" s="38"/>
      <c r="BC508" s="38"/>
      <c r="BD508" s="38"/>
      <c r="BE508" s="38"/>
      <c r="BF508" s="38"/>
      <c r="BG508" s="38"/>
      <c r="BH508" s="38"/>
      <c r="BI508" s="38"/>
      <c r="BJ508" s="38"/>
      <c r="BK508" s="38"/>
      <c r="BL508" s="38"/>
      <c r="BM508" s="38"/>
      <c r="BN508" s="38"/>
      <c r="BO508" s="38"/>
      <c r="BP508" s="38"/>
      <c r="BQ508" s="38"/>
      <c r="BR508" s="38"/>
      <c r="BS508" s="38"/>
      <c r="BT508" s="38"/>
      <c r="BU508" s="38"/>
      <c r="BV508" s="38"/>
      <c r="BW508" s="38"/>
      <c r="BX508" s="38"/>
      <c r="BY508" s="38"/>
      <c r="BZ508" s="38"/>
      <c r="CA508" s="38"/>
      <c r="CB508" s="38"/>
      <c r="CC508" s="38"/>
      <c r="CD508" s="38"/>
      <c r="CE508" s="38"/>
      <c r="CF508" s="38"/>
      <c r="CG508" s="38"/>
      <c r="CH508" s="38"/>
      <c r="CI508" s="38"/>
      <c r="CJ508" s="38"/>
      <c r="CK508" s="38"/>
      <c r="CL508" s="38"/>
      <c r="CM508" s="38"/>
      <c r="CN508" s="38"/>
      <c r="CO508" s="38"/>
      <c r="CP508" s="38"/>
      <c r="CQ508" s="38"/>
      <c r="CR508" s="38"/>
      <c r="CS508" s="38"/>
      <c r="CT508" s="38"/>
      <c r="CU508" s="38"/>
      <c r="CV508" s="38"/>
      <c r="CW508" s="38"/>
      <c r="CX508" s="38"/>
      <c r="CY508" s="38"/>
      <c r="CZ508" s="38"/>
    </row>
    <row r="509" spans="1:104" s="40" customFormat="1" ht="20.149999999999999" customHeight="1">
      <c r="A509" s="358">
        <f t="shared" si="115"/>
        <v>508</v>
      </c>
      <c r="B509" s="359" t="str">
        <f>'Front Sheet and Checklist'!$C$5</f>
        <v>Swansea Bay UHB</v>
      </c>
      <c r="C509" s="17"/>
      <c r="D509" s="17"/>
      <c r="E509" s="17"/>
      <c r="F509" s="17"/>
      <c r="G509" s="17"/>
      <c r="H509" s="17"/>
      <c r="I509" s="361">
        <f t="shared" si="119"/>
        <v>0</v>
      </c>
      <c r="J509" s="17"/>
      <c r="K509" s="18"/>
      <c r="L509" s="18"/>
      <c r="M509" s="17"/>
      <c r="N509" s="17"/>
      <c r="O509" s="17"/>
      <c r="P509" s="17"/>
      <c r="Q509" s="169"/>
      <c r="R509" s="24"/>
      <c r="S509" s="24"/>
      <c r="T509" s="24"/>
      <c r="U509" s="25"/>
      <c r="V509" s="25"/>
      <c r="W509" s="25"/>
      <c r="X509" s="24"/>
      <c r="Y509" s="24"/>
      <c r="Z509" s="24"/>
      <c r="AA509" s="24"/>
      <c r="AB509" s="24"/>
      <c r="AC509" s="24"/>
      <c r="AD509" s="361">
        <f t="shared" si="118"/>
        <v>0</v>
      </c>
      <c r="AE509" s="359" t="str">
        <f t="shared" si="107"/>
        <v/>
      </c>
      <c r="AF509" s="359" t="str">
        <f t="shared" si="116"/>
        <v/>
      </c>
      <c r="AG509" s="359" t="str">
        <f t="shared" si="108"/>
        <v/>
      </c>
      <c r="AH509" s="359" t="str">
        <f t="shared" si="109"/>
        <v/>
      </c>
      <c r="AI509" s="359" t="str">
        <f t="shared" si="110"/>
        <v/>
      </c>
      <c r="AJ509" s="359" t="str">
        <f t="shared" si="111"/>
        <v/>
      </c>
      <c r="AK509" s="359" t="str">
        <f t="shared" si="113"/>
        <v/>
      </c>
      <c r="AL509" s="359" t="str">
        <f t="shared" si="112"/>
        <v/>
      </c>
      <c r="AM509" s="359" t="str">
        <f t="shared" si="114"/>
        <v/>
      </c>
      <c r="AN509" s="262">
        <f t="shared" si="117"/>
        <v>0</v>
      </c>
      <c r="AO509" s="262" t="str">
        <f>IFERROR(HLOOKUP(AN509,'Ref Lists'!Q$1:AL$2,2,FALSE),'Ref Lists'!$AK$2)</f>
        <v>Savings21</v>
      </c>
      <c r="AP509" s="38"/>
      <c r="AQ509" s="38">
        <f t="shared" si="120"/>
        <v>0</v>
      </c>
      <c r="AR509" s="38"/>
      <c r="AS509" s="38"/>
      <c r="AT509" s="38"/>
      <c r="AU509" s="38"/>
      <c r="AV509" s="38"/>
      <c r="AW509" s="38"/>
      <c r="AX509" s="38"/>
      <c r="AY509" s="38"/>
      <c r="AZ509" s="38"/>
      <c r="BA509" s="38"/>
      <c r="BB509" s="38"/>
      <c r="BC509" s="38"/>
      <c r="BD509" s="38"/>
      <c r="BE509" s="38"/>
      <c r="BF509" s="38"/>
      <c r="BG509" s="38"/>
      <c r="BH509" s="38"/>
      <c r="BI509" s="38"/>
      <c r="BJ509" s="38"/>
      <c r="BK509" s="38"/>
      <c r="BL509" s="38"/>
      <c r="BM509" s="38"/>
      <c r="BN509" s="38"/>
      <c r="BO509" s="38"/>
      <c r="BP509" s="38"/>
      <c r="BQ509" s="38"/>
      <c r="BR509" s="38"/>
      <c r="BS509" s="38"/>
      <c r="BT509" s="38"/>
      <c r="BU509" s="38"/>
      <c r="BV509" s="38"/>
      <c r="BW509" s="38"/>
      <c r="BX509" s="38"/>
      <c r="BY509" s="38"/>
      <c r="BZ509" s="38"/>
      <c r="CA509" s="38"/>
      <c r="CB509" s="38"/>
      <c r="CC509" s="38"/>
      <c r="CD509" s="38"/>
      <c r="CE509" s="38"/>
      <c r="CF509" s="38"/>
      <c r="CG509" s="38"/>
      <c r="CH509" s="38"/>
      <c r="CI509" s="38"/>
      <c r="CJ509" s="38"/>
      <c r="CK509" s="38"/>
      <c r="CL509" s="38"/>
      <c r="CM509" s="38"/>
      <c r="CN509" s="38"/>
      <c r="CO509" s="38"/>
      <c r="CP509" s="38"/>
      <c r="CQ509" s="38"/>
      <c r="CR509" s="38"/>
      <c r="CS509" s="38"/>
      <c r="CT509" s="38"/>
      <c r="CU509" s="38"/>
      <c r="CV509" s="38"/>
      <c r="CW509" s="38"/>
      <c r="CX509" s="38"/>
      <c r="CY509" s="38"/>
      <c r="CZ509" s="38"/>
    </row>
    <row r="510" spans="1:104" s="40" customFormat="1" ht="20.149999999999999" customHeight="1">
      <c r="A510" s="358">
        <f t="shared" si="115"/>
        <v>509</v>
      </c>
      <c r="B510" s="359" t="str">
        <f>'Front Sheet and Checklist'!$C$5</f>
        <v>Swansea Bay UHB</v>
      </c>
      <c r="C510" s="17"/>
      <c r="D510" s="17"/>
      <c r="E510" s="17"/>
      <c r="F510" s="17"/>
      <c r="G510" s="17"/>
      <c r="H510" s="17"/>
      <c r="I510" s="361">
        <f t="shared" si="119"/>
        <v>0</v>
      </c>
      <c r="J510" s="17"/>
      <c r="K510" s="18"/>
      <c r="L510" s="18"/>
      <c r="M510" s="17"/>
      <c r="N510" s="17"/>
      <c r="O510" s="17"/>
      <c r="P510" s="17"/>
      <c r="Q510" s="169"/>
      <c r="R510" s="24"/>
      <c r="S510" s="24"/>
      <c r="T510" s="24"/>
      <c r="U510" s="25"/>
      <c r="V510" s="25"/>
      <c r="W510" s="25"/>
      <c r="X510" s="24"/>
      <c r="Y510" s="24"/>
      <c r="Z510" s="24"/>
      <c r="AA510" s="24"/>
      <c r="AB510" s="24"/>
      <c r="AC510" s="24"/>
      <c r="AD510" s="361">
        <f t="shared" si="118"/>
        <v>0</v>
      </c>
      <c r="AE510" s="359" t="str">
        <f t="shared" si="107"/>
        <v/>
      </c>
      <c r="AF510" s="359" t="str">
        <f t="shared" si="116"/>
        <v/>
      </c>
      <c r="AG510" s="359" t="str">
        <f t="shared" si="108"/>
        <v/>
      </c>
      <c r="AH510" s="359" t="str">
        <f t="shared" si="109"/>
        <v/>
      </c>
      <c r="AI510" s="359" t="str">
        <f t="shared" si="110"/>
        <v/>
      </c>
      <c r="AJ510" s="359" t="str">
        <f t="shared" si="111"/>
        <v/>
      </c>
      <c r="AK510" s="359" t="str">
        <f t="shared" si="113"/>
        <v/>
      </c>
      <c r="AL510" s="359" t="str">
        <f t="shared" si="112"/>
        <v/>
      </c>
      <c r="AM510" s="359" t="str">
        <f t="shared" si="114"/>
        <v/>
      </c>
      <c r="AN510" s="262">
        <f t="shared" si="117"/>
        <v>0</v>
      </c>
      <c r="AO510" s="262" t="str">
        <f>IFERROR(HLOOKUP(AN510,'Ref Lists'!Q$1:AL$2,2,FALSE),'Ref Lists'!$AK$2)</f>
        <v>Savings21</v>
      </c>
      <c r="AP510" s="38"/>
      <c r="AQ510" s="38">
        <f t="shared" si="120"/>
        <v>0</v>
      </c>
      <c r="AR510" s="38"/>
      <c r="AS510" s="38"/>
      <c r="AT510" s="38"/>
      <c r="AU510" s="38"/>
      <c r="AV510" s="38"/>
      <c r="AW510" s="38"/>
      <c r="AX510" s="38"/>
      <c r="AY510" s="38"/>
      <c r="AZ510" s="38"/>
      <c r="BA510" s="38"/>
      <c r="BB510" s="38"/>
      <c r="BC510" s="38"/>
      <c r="BD510" s="38"/>
      <c r="BE510" s="38"/>
      <c r="BF510" s="38"/>
      <c r="BG510" s="38"/>
      <c r="BH510" s="38"/>
      <c r="BI510" s="38"/>
      <c r="BJ510" s="38"/>
      <c r="BK510" s="38"/>
      <c r="BL510" s="38"/>
      <c r="BM510" s="38"/>
      <c r="BN510" s="38"/>
      <c r="BO510" s="38"/>
      <c r="BP510" s="38"/>
      <c r="BQ510" s="38"/>
      <c r="BR510" s="38"/>
      <c r="BS510" s="38"/>
      <c r="BT510" s="38"/>
      <c r="BU510" s="38"/>
      <c r="BV510" s="38"/>
      <c r="BW510" s="38"/>
      <c r="BX510" s="38"/>
      <c r="BY510" s="38"/>
      <c r="BZ510" s="38"/>
      <c r="CA510" s="38"/>
      <c r="CB510" s="38"/>
      <c r="CC510" s="38"/>
      <c r="CD510" s="38"/>
      <c r="CE510" s="38"/>
      <c r="CF510" s="38"/>
      <c r="CG510" s="38"/>
      <c r="CH510" s="38"/>
      <c r="CI510" s="38"/>
      <c r="CJ510" s="38"/>
      <c r="CK510" s="38"/>
      <c r="CL510" s="38"/>
      <c r="CM510" s="38"/>
      <c r="CN510" s="38"/>
      <c r="CO510" s="38"/>
      <c r="CP510" s="38"/>
      <c r="CQ510" s="38"/>
      <c r="CR510" s="38"/>
      <c r="CS510" s="38"/>
      <c r="CT510" s="38"/>
      <c r="CU510" s="38"/>
      <c r="CV510" s="38"/>
      <c r="CW510" s="38"/>
      <c r="CX510" s="38"/>
      <c r="CY510" s="38"/>
      <c r="CZ510" s="38"/>
    </row>
    <row r="511" spans="1:104" s="40" customFormat="1" ht="20.149999999999999" customHeight="1">
      <c r="A511" s="358">
        <f t="shared" si="115"/>
        <v>510</v>
      </c>
      <c r="B511" s="359" t="str">
        <f>'Front Sheet and Checklist'!$C$5</f>
        <v>Swansea Bay UHB</v>
      </c>
      <c r="C511" s="17"/>
      <c r="D511" s="17"/>
      <c r="E511" s="17"/>
      <c r="F511" s="17"/>
      <c r="G511" s="17"/>
      <c r="H511" s="17"/>
      <c r="I511" s="361">
        <f t="shared" si="119"/>
        <v>0</v>
      </c>
      <c r="J511" s="17"/>
      <c r="K511" s="18"/>
      <c r="L511" s="18"/>
      <c r="M511" s="17"/>
      <c r="N511" s="17"/>
      <c r="O511" s="17"/>
      <c r="P511" s="17"/>
      <c r="Q511" s="169"/>
      <c r="R511" s="24"/>
      <c r="S511" s="24"/>
      <c r="T511" s="24"/>
      <c r="U511" s="25"/>
      <c r="V511" s="25"/>
      <c r="W511" s="25"/>
      <c r="X511" s="24"/>
      <c r="Y511" s="24"/>
      <c r="Z511" s="24"/>
      <c r="AA511" s="24"/>
      <c r="AB511" s="24"/>
      <c r="AC511" s="24"/>
      <c r="AD511" s="361">
        <f t="shared" si="118"/>
        <v>0</v>
      </c>
      <c r="AE511" s="359" t="str">
        <f t="shared" si="107"/>
        <v/>
      </c>
      <c r="AF511" s="359" t="str">
        <f t="shared" si="116"/>
        <v/>
      </c>
      <c r="AG511" s="359" t="str">
        <f t="shared" si="108"/>
        <v/>
      </c>
      <c r="AH511" s="359" t="str">
        <f t="shared" si="109"/>
        <v/>
      </c>
      <c r="AI511" s="359" t="str">
        <f t="shared" si="110"/>
        <v/>
      </c>
      <c r="AJ511" s="359" t="str">
        <f t="shared" si="111"/>
        <v/>
      </c>
      <c r="AK511" s="359" t="str">
        <f t="shared" si="113"/>
        <v/>
      </c>
      <c r="AL511" s="359" t="str">
        <f t="shared" si="112"/>
        <v/>
      </c>
      <c r="AM511" s="359" t="str">
        <f t="shared" si="114"/>
        <v/>
      </c>
      <c r="AN511" s="262">
        <f t="shared" si="117"/>
        <v>0</v>
      </c>
      <c r="AO511" s="262" t="str">
        <f>IFERROR(HLOOKUP(AN511,'Ref Lists'!Q$1:AL$2,2,FALSE),'Ref Lists'!$AK$2)</f>
        <v>Savings21</v>
      </c>
      <c r="AP511" s="38"/>
      <c r="AQ511" s="38">
        <f t="shared" si="120"/>
        <v>0</v>
      </c>
      <c r="AR511" s="38"/>
      <c r="AS511" s="38"/>
      <c r="AT511" s="38"/>
      <c r="AU511" s="38"/>
      <c r="AV511" s="38"/>
      <c r="AW511" s="38"/>
      <c r="AX511" s="38"/>
      <c r="AY511" s="38"/>
      <c r="AZ511" s="38"/>
      <c r="BA511" s="38"/>
      <c r="BB511" s="38"/>
      <c r="BC511" s="38"/>
      <c r="BD511" s="38"/>
      <c r="BE511" s="38"/>
      <c r="BF511" s="38"/>
      <c r="BG511" s="38"/>
      <c r="BH511" s="38"/>
      <c r="BI511" s="38"/>
      <c r="BJ511" s="38"/>
      <c r="BK511" s="38"/>
      <c r="BL511" s="38"/>
      <c r="BM511" s="38"/>
      <c r="BN511" s="38"/>
      <c r="BO511" s="38"/>
      <c r="BP511" s="38"/>
      <c r="BQ511" s="38"/>
      <c r="BR511" s="38"/>
      <c r="BS511" s="38"/>
      <c r="BT511" s="38"/>
      <c r="BU511" s="38"/>
      <c r="BV511" s="38"/>
      <c r="BW511" s="38"/>
      <c r="BX511" s="38"/>
      <c r="BY511" s="38"/>
      <c r="BZ511" s="38"/>
      <c r="CA511" s="38"/>
      <c r="CB511" s="38"/>
      <c r="CC511" s="38"/>
      <c r="CD511" s="38"/>
      <c r="CE511" s="38"/>
      <c r="CF511" s="38"/>
      <c r="CG511" s="38"/>
      <c r="CH511" s="38"/>
      <c r="CI511" s="38"/>
      <c r="CJ511" s="38"/>
      <c r="CK511" s="38"/>
      <c r="CL511" s="38"/>
      <c r="CM511" s="38"/>
      <c r="CN511" s="38"/>
      <c r="CO511" s="38"/>
      <c r="CP511" s="38"/>
      <c r="CQ511" s="38"/>
      <c r="CR511" s="38"/>
      <c r="CS511" s="38"/>
      <c r="CT511" s="38"/>
      <c r="CU511" s="38"/>
      <c r="CV511" s="38"/>
      <c r="CW511" s="38"/>
      <c r="CX511" s="38"/>
      <c r="CY511" s="38"/>
      <c r="CZ511" s="38"/>
    </row>
    <row r="512" spans="1:104" s="40" customFormat="1" ht="20.149999999999999" customHeight="1">
      <c r="A512" s="358">
        <f t="shared" si="115"/>
        <v>511</v>
      </c>
      <c r="B512" s="359" t="str">
        <f>'Front Sheet and Checklist'!$C$5</f>
        <v>Swansea Bay UHB</v>
      </c>
      <c r="C512" s="17"/>
      <c r="D512" s="17"/>
      <c r="E512" s="17"/>
      <c r="F512" s="17"/>
      <c r="G512" s="17"/>
      <c r="H512" s="17"/>
      <c r="I512" s="361">
        <f t="shared" si="119"/>
        <v>0</v>
      </c>
      <c r="J512" s="17"/>
      <c r="K512" s="18"/>
      <c r="L512" s="18"/>
      <c r="M512" s="17"/>
      <c r="N512" s="17"/>
      <c r="O512" s="17"/>
      <c r="P512" s="17"/>
      <c r="Q512" s="169"/>
      <c r="R512" s="24"/>
      <c r="S512" s="24"/>
      <c r="T512" s="24"/>
      <c r="U512" s="25"/>
      <c r="V512" s="25"/>
      <c r="W512" s="25"/>
      <c r="X512" s="24"/>
      <c r="Y512" s="24"/>
      <c r="Z512" s="24"/>
      <c r="AA512" s="24"/>
      <c r="AB512" s="24"/>
      <c r="AC512" s="24"/>
      <c r="AD512" s="361">
        <f t="shared" si="118"/>
        <v>0</v>
      </c>
      <c r="AE512" s="359" t="str">
        <f t="shared" si="107"/>
        <v/>
      </c>
      <c r="AF512" s="359" t="str">
        <f t="shared" si="116"/>
        <v/>
      </c>
      <c r="AG512" s="359" t="str">
        <f t="shared" si="108"/>
        <v/>
      </c>
      <c r="AH512" s="359" t="str">
        <f t="shared" si="109"/>
        <v/>
      </c>
      <c r="AI512" s="359" t="str">
        <f t="shared" si="110"/>
        <v/>
      </c>
      <c r="AJ512" s="359" t="str">
        <f t="shared" si="111"/>
        <v/>
      </c>
      <c r="AK512" s="359" t="str">
        <f t="shared" si="113"/>
        <v/>
      </c>
      <c r="AL512" s="359" t="str">
        <f t="shared" si="112"/>
        <v/>
      </c>
      <c r="AM512" s="359" t="str">
        <f t="shared" si="114"/>
        <v/>
      </c>
      <c r="AN512" s="262">
        <f t="shared" si="117"/>
        <v>0</v>
      </c>
      <c r="AO512" s="262" t="str">
        <f>IFERROR(HLOOKUP(AN512,'Ref Lists'!Q$1:AL$2,2,FALSE),'Ref Lists'!$AK$2)</f>
        <v>Savings21</v>
      </c>
      <c r="AP512" s="38"/>
      <c r="AQ512" s="38">
        <f t="shared" si="120"/>
        <v>0</v>
      </c>
      <c r="AR512" s="38"/>
      <c r="AS512" s="38"/>
      <c r="AT512" s="38"/>
      <c r="AU512" s="38"/>
      <c r="AV512" s="38"/>
      <c r="AW512" s="38"/>
      <c r="AX512" s="38"/>
      <c r="AY512" s="38"/>
      <c r="AZ512" s="38"/>
      <c r="BA512" s="38"/>
      <c r="BB512" s="38"/>
      <c r="BC512" s="38"/>
      <c r="BD512" s="38"/>
      <c r="BE512" s="38"/>
      <c r="BF512" s="38"/>
      <c r="BG512" s="38"/>
      <c r="BH512" s="38"/>
      <c r="BI512" s="38"/>
      <c r="BJ512" s="38"/>
      <c r="BK512" s="38"/>
      <c r="BL512" s="38"/>
      <c r="BM512" s="38"/>
      <c r="BN512" s="38"/>
      <c r="BO512" s="38"/>
      <c r="BP512" s="38"/>
      <c r="BQ512" s="38"/>
      <c r="BR512" s="38"/>
      <c r="BS512" s="38"/>
      <c r="BT512" s="38"/>
      <c r="BU512" s="38"/>
      <c r="BV512" s="38"/>
      <c r="BW512" s="38"/>
      <c r="BX512" s="38"/>
      <c r="BY512" s="38"/>
      <c r="BZ512" s="38"/>
      <c r="CA512" s="38"/>
      <c r="CB512" s="38"/>
      <c r="CC512" s="38"/>
      <c r="CD512" s="38"/>
      <c r="CE512" s="38"/>
      <c r="CF512" s="38"/>
      <c r="CG512" s="38"/>
      <c r="CH512" s="38"/>
      <c r="CI512" s="38"/>
      <c r="CJ512" s="38"/>
      <c r="CK512" s="38"/>
      <c r="CL512" s="38"/>
      <c r="CM512" s="38"/>
      <c r="CN512" s="38"/>
      <c r="CO512" s="38"/>
      <c r="CP512" s="38"/>
      <c r="CQ512" s="38"/>
      <c r="CR512" s="38"/>
      <c r="CS512" s="38"/>
      <c r="CT512" s="38"/>
      <c r="CU512" s="38"/>
      <c r="CV512" s="38"/>
      <c r="CW512" s="38"/>
      <c r="CX512" s="38"/>
      <c r="CY512" s="38"/>
      <c r="CZ512" s="38"/>
    </row>
    <row r="513" spans="1:104" s="40" customFormat="1" ht="20.149999999999999" customHeight="1">
      <c r="A513" s="358">
        <f t="shared" si="115"/>
        <v>512</v>
      </c>
      <c r="B513" s="359" t="str">
        <f>'Front Sheet and Checklist'!$C$5</f>
        <v>Swansea Bay UHB</v>
      </c>
      <c r="C513" s="17"/>
      <c r="D513" s="17"/>
      <c r="E513" s="17"/>
      <c r="F513" s="17"/>
      <c r="G513" s="17"/>
      <c r="H513" s="17"/>
      <c r="I513" s="361">
        <f t="shared" si="119"/>
        <v>0</v>
      </c>
      <c r="J513" s="17"/>
      <c r="K513" s="18"/>
      <c r="L513" s="18"/>
      <c r="M513" s="17"/>
      <c r="N513" s="17"/>
      <c r="O513" s="17"/>
      <c r="P513" s="17"/>
      <c r="Q513" s="169"/>
      <c r="R513" s="24"/>
      <c r="S513" s="24"/>
      <c r="T513" s="24"/>
      <c r="U513" s="25"/>
      <c r="V513" s="25"/>
      <c r="W513" s="25"/>
      <c r="X513" s="24"/>
      <c r="Y513" s="24"/>
      <c r="Z513" s="24"/>
      <c r="AA513" s="24"/>
      <c r="AB513" s="24"/>
      <c r="AC513" s="24"/>
      <c r="AD513" s="361">
        <f t="shared" si="118"/>
        <v>0</v>
      </c>
      <c r="AE513" s="359" t="str">
        <f t="shared" si="107"/>
        <v/>
      </c>
      <c r="AF513" s="359" t="str">
        <f t="shared" si="116"/>
        <v/>
      </c>
      <c r="AG513" s="359" t="str">
        <f t="shared" si="108"/>
        <v/>
      </c>
      <c r="AH513" s="359" t="str">
        <f t="shared" si="109"/>
        <v/>
      </c>
      <c r="AI513" s="359" t="str">
        <f t="shared" si="110"/>
        <v/>
      </c>
      <c r="AJ513" s="359" t="str">
        <f t="shared" si="111"/>
        <v/>
      </c>
      <c r="AK513" s="359" t="str">
        <f t="shared" si="113"/>
        <v/>
      </c>
      <c r="AL513" s="359" t="str">
        <f t="shared" si="112"/>
        <v/>
      </c>
      <c r="AM513" s="359" t="str">
        <f t="shared" si="114"/>
        <v/>
      </c>
      <c r="AN513" s="262">
        <f t="shared" si="117"/>
        <v>0</v>
      </c>
      <c r="AO513" s="262" t="str">
        <f>IFERROR(HLOOKUP(AN513,'Ref Lists'!Q$1:AL$2,2,FALSE),'Ref Lists'!$AK$2)</f>
        <v>Savings21</v>
      </c>
      <c r="AP513" s="38"/>
      <c r="AQ513" s="38">
        <f t="shared" si="120"/>
        <v>0</v>
      </c>
      <c r="AR513" s="38"/>
      <c r="AS513" s="38"/>
      <c r="AT513" s="38"/>
      <c r="AU513" s="38"/>
      <c r="AV513" s="38"/>
      <c r="AW513" s="38"/>
      <c r="AX513" s="38"/>
      <c r="AY513" s="38"/>
      <c r="AZ513" s="38"/>
      <c r="BA513" s="38"/>
      <c r="BB513" s="38"/>
      <c r="BC513" s="38"/>
      <c r="BD513" s="38"/>
      <c r="BE513" s="38"/>
      <c r="BF513" s="38"/>
      <c r="BG513" s="38"/>
      <c r="BH513" s="38"/>
      <c r="BI513" s="38"/>
      <c r="BJ513" s="38"/>
      <c r="BK513" s="38"/>
      <c r="BL513" s="38"/>
      <c r="BM513" s="38"/>
      <c r="BN513" s="38"/>
      <c r="BO513" s="38"/>
      <c r="BP513" s="38"/>
      <c r="BQ513" s="38"/>
      <c r="BR513" s="38"/>
      <c r="BS513" s="38"/>
      <c r="BT513" s="38"/>
      <c r="BU513" s="38"/>
      <c r="BV513" s="38"/>
      <c r="BW513" s="38"/>
      <c r="BX513" s="38"/>
      <c r="BY513" s="38"/>
      <c r="BZ513" s="38"/>
      <c r="CA513" s="38"/>
      <c r="CB513" s="38"/>
      <c r="CC513" s="38"/>
      <c r="CD513" s="38"/>
      <c r="CE513" s="38"/>
      <c r="CF513" s="38"/>
      <c r="CG513" s="38"/>
      <c r="CH513" s="38"/>
      <c r="CI513" s="38"/>
      <c r="CJ513" s="38"/>
      <c r="CK513" s="38"/>
      <c r="CL513" s="38"/>
      <c r="CM513" s="38"/>
      <c r="CN513" s="38"/>
      <c r="CO513" s="38"/>
      <c r="CP513" s="38"/>
      <c r="CQ513" s="38"/>
      <c r="CR513" s="38"/>
      <c r="CS513" s="38"/>
      <c r="CT513" s="38"/>
      <c r="CU513" s="38"/>
      <c r="CV513" s="38"/>
      <c r="CW513" s="38"/>
      <c r="CX513" s="38"/>
      <c r="CY513" s="38"/>
      <c r="CZ513" s="38"/>
    </row>
    <row r="514" spans="1:104" s="40" customFormat="1" ht="20.149999999999999" customHeight="1">
      <c r="A514" s="358">
        <f t="shared" si="115"/>
        <v>513</v>
      </c>
      <c r="B514" s="359" t="str">
        <f>'Front Sheet and Checklist'!$C$5</f>
        <v>Swansea Bay UHB</v>
      </c>
      <c r="C514" s="17"/>
      <c r="D514" s="17"/>
      <c r="E514" s="17"/>
      <c r="F514" s="17"/>
      <c r="G514" s="17"/>
      <c r="H514" s="17"/>
      <c r="I514" s="361">
        <f t="shared" si="119"/>
        <v>0</v>
      </c>
      <c r="J514" s="17"/>
      <c r="K514" s="18"/>
      <c r="L514" s="18"/>
      <c r="M514" s="17"/>
      <c r="N514" s="17"/>
      <c r="O514" s="17"/>
      <c r="P514" s="17"/>
      <c r="Q514" s="169"/>
      <c r="R514" s="24"/>
      <c r="S514" s="24"/>
      <c r="T514" s="24"/>
      <c r="U514" s="25"/>
      <c r="V514" s="25"/>
      <c r="W514" s="25"/>
      <c r="X514" s="24"/>
      <c r="Y514" s="24"/>
      <c r="Z514" s="24"/>
      <c r="AA514" s="24"/>
      <c r="AB514" s="24"/>
      <c r="AC514" s="24"/>
      <c r="AD514" s="361">
        <f t="shared" si="118"/>
        <v>0</v>
      </c>
      <c r="AE514" s="359" t="str">
        <f t="shared" ref="AE514:AE577" si="121">IF(AND(I514&gt;0,H514&lt;&gt;"Income Generation"),IF(AND(H514&lt;&gt;"",D514&lt;&gt;"",E514&lt;&gt;"",F514&lt;&gt;"",C514&lt;&gt;"",G514&lt;&gt;"",K514&lt;&gt;"",L514&lt;&gt;"",M514&lt;&gt;"",N514&lt;&gt;"",P514&lt;&gt;"",Q514&lt;&gt;"",O514&lt;&gt;""),"","ERROR"),"")</f>
        <v/>
      </c>
      <c r="AF514" s="359" t="str">
        <f t="shared" si="116"/>
        <v/>
      </c>
      <c r="AG514" s="359" t="str">
        <f t="shared" ref="AG514:AG577" si="122">IF(AND(I514&gt;0,O514=""),"ERROR","")</f>
        <v/>
      </c>
      <c r="AH514" s="359" t="str">
        <f t="shared" ref="AH514:AH577" si="123">IF(AND(OR(H514="Income Generation"),O514&lt;&gt;""),"ERROR","")</f>
        <v/>
      </c>
      <c r="AI514" s="359" t="str">
        <f t="shared" ref="AI514:AI577" si="124">IF(AND(G514="R",I514&gt;J514),"ERROR","")</f>
        <v/>
      </c>
      <c r="AJ514" s="359" t="str">
        <f t="shared" ref="AJ514:AJ577" si="125">IF(AND(G514="NR",J514&gt;0),"ERROR","")</f>
        <v/>
      </c>
      <c r="AK514" s="359" t="str">
        <f t="shared" si="113"/>
        <v/>
      </c>
      <c r="AL514" s="359" t="str">
        <f t="shared" ref="AL514:AL577" si="126">IF(OR(L514="",L514="N/A"),"",IF(OR(L514&lt;DATEVALUE("01/04/24"),L514&gt;DATEVALUE("31/03/25")),"ERROR",""))</f>
        <v/>
      </c>
      <c r="AM514" s="359" t="str">
        <f t="shared" si="114"/>
        <v/>
      </c>
      <c r="AN514" s="262">
        <f t="shared" si="117"/>
        <v>0</v>
      </c>
      <c r="AO514" s="262" t="str">
        <f>IFERROR(HLOOKUP(AN514,'Ref Lists'!Q$1:AL$2,2,FALSE),'Ref Lists'!$AK$2)</f>
        <v>Savings21</v>
      </c>
      <c r="AP514" s="38"/>
      <c r="AQ514" s="38">
        <f t="shared" si="120"/>
        <v>0</v>
      </c>
      <c r="AR514" s="38"/>
      <c r="AS514" s="38"/>
      <c r="AT514" s="38"/>
      <c r="AU514" s="38"/>
      <c r="AV514" s="38"/>
      <c r="AW514" s="38"/>
      <c r="AX514" s="38"/>
      <c r="AY514" s="38"/>
      <c r="AZ514" s="38"/>
      <c r="BA514" s="38"/>
      <c r="BB514" s="38"/>
      <c r="BC514" s="38"/>
      <c r="BD514" s="38"/>
      <c r="BE514" s="38"/>
      <c r="BF514" s="38"/>
      <c r="BG514" s="38"/>
      <c r="BH514" s="38"/>
      <c r="BI514" s="38"/>
      <c r="BJ514" s="38"/>
      <c r="BK514" s="38"/>
      <c r="BL514" s="38"/>
      <c r="BM514" s="38"/>
      <c r="BN514" s="38"/>
      <c r="BO514" s="38"/>
      <c r="BP514" s="38"/>
      <c r="BQ514" s="38"/>
      <c r="BR514" s="38"/>
      <c r="BS514" s="38"/>
      <c r="BT514" s="38"/>
      <c r="BU514" s="38"/>
      <c r="BV514" s="38"/>
      <c r="BW514" s="38"/>
      <c r="BX514" s="38"/>
      <c r="BY514" s="38"/>
      <c r="BZ514" s="38"/>
      <c r="CA514" s="38"/>
      <c r="CB514" s="38"/>
      <c r="CC514" s="38"/>
      <c r="CD514" s="38"/>
      <c r="CE514" s="38"/>
      <c r="CF514" s="38"/>
      <c r="CG514" s="38"/>
      <c r="CH514" s="38"/>
      <c r="CI514" s="38"/>
      <c r="CJ514" s="38"/>
      <c r="CK514" s="38"/>
      <c r="CL514" s="38"/>
      <c r="CM514" s="38"/>
      <c r="CN514" s="38"/>
      <c r="CO514" s="38"/>
      <c r="CP514" s="38"/>
      <c r="CQ514" s="38"/>
      <c r="CR514" s="38"/>
      <c r="CS514" s="38"/>
      <c r="CT514" s="38"/>
      <c r="CU514" s="38"/>
      <c r="CV514" s="38"/>
      <c r="CW514" s="38"/>
      <c r="CX514" s="38"/>
      <c r="CY514" s="38"/>
      <c r="CZ514" s="38"/>
    </row>
    <row r="515" spans="1:104" s="40" customFormat="1" ht="20.149999999999999" customHeight="1">
      <c r="A515" s="358">
        <f t="shared" si="115"/>
        <v>514</v>
      </c>
      <c r="B515" s="359" t="str">
        <f>'Front Sheet and Checklist'!$C$5</f>
        <v>Swansea Bay UHB</v>
      </c>
      <c r="C515" s="17"/>
      <c r="D515" s="17"/>
      <c r="E515" s="17"/>
      <c r="F515" s="17"/>
      <c r="G515" s="17"/>
      <c r="H515" s="17"/>
      <c r="I515" s="361">
        <f t="shared" si="119"/>
        <v>0</v>
      </c>
      <c r="J515" s="17"/>
      <c r="K515" s="18"/>
      <c r="L515" s="18"/>
      <c r="M515" s="17"/>
      <c r="N515" s="17"/>
      <c r="O515" s="17"/>
      <c r="P515" s="17"/>
      <c r="Q515" s="169"/>
      <c r="R515" s="24"/>
      <c r="S515" s="24"/>
      <c r="T515" s="24"/>
      <c r="U515" s="25"/>
      <c r="V515" s="25"/>
      <c r="W515" s="25"/>
      <c r="X515" s="24"/>
      <c r="Y515" s="24"/>
      <c r="Z515" s="24"/>
      <c r="AA515" s="24"/>
      <c r="AB515" s="24"/>
      <c r="AC515" s="24"/>
      <c r="AD515" s="361">
        <f t="shared" si="118"/>
        <v>0</v>
      </c>
      <c r="AE515" s="359" t="str">
        <f t="shared" si="121"/>
        <v/>
      </c>
      <c r="AF515" s="359" t="str">
        <f t="shared" si="116"/>
        <v/>
      </c>
      <c r="AG515" s="359" t="str">
        <f t="shared" si="122"/>
        <v/>
      </c>
      <c r="AH515" s="359" t="str">
        <f t="shared" si="123"/>
        <v/>
      </c>
      <c r="AI515" s="359" t="str">
        <f t="shared" si="124"/>
        <v/>
      </c>
      <c r="AJ515" s="359" t="str">
        <f t="shared" si="125"/>
        <v/>
      </c>
      <c r="AK515" s="359" t="str">
        <f t="shared" ref="AK515:AK578" si="127">IF(OR(K515="",K515="N/a"),"",IF(OR(K515&lt;DATEVALUE("01/04/24"),K515&gt;DATEVALUE("31/03/25")),"ERROR",""))</f>
        <v/>
      </c>
      <c r="AL515" s="359" t="str">
        <f t="shared" si="126"/>
        <v/>
      </c>
      <c r="AM515" s="359" t="str">
        <f t="shared" ref="AM515:AM578" si="128">IF(COUNTA(T515:AC515)&lt;&gt;COUNT(T515:AC515),"ERROR","")</f>
        <v/>
      </c>
      <c r="AN515" s="262">
        <f t="shared" si="117"/>
        <v>0</v>
      </c>
      <c r="AO515" s="262" t="str">
        <f>IFERROR(HLOOKUP(AN515,'Ref Lists'!Q$1:AL$2,2,FALSE),'Ref Lists'!$AK$2)</f>
        <v>Savings21</v>
      </c>
      <c r="AP515" s="38"/>
      <c r="AQ515" s="38">
        <f t="shared" si="120"/>
        <v>0</v>
      </c>
      <c r="AR515" s="38"/>
      <c r="AS515" s="38"/>
      <c r="AT515" s="38"/>
      <c r="AU515" s="38"/>
      <c r="AV515" s="38"/>
      <c r="AW515" s="38"/>
      <c r="AX515" s="38"/>
      <c r="AY515" s="38"/>
      <c r="AZ515" s="38"/>
      <c r="BA515" s="38"/>
      <c r="BB515" s="38"/>
      <c r="BC515" s="38"/>
      <c r="BD515" s="38"/>
      <c r="BE515" s="38"/>
      <c r="BF515" s="38"/>
      <c r="BG515" s="38"/>
      <c r="BH515" s="38"/>
      <c r="BI515" s="38"/>
      <c r="BJ515" s="38"/>
      <c r="BK515" s="38"/>
      <c r="BL515" s="38"/>
      <c r="BM515" s="38"/>
      <c r="BN515" s="38"/>
      <c r="BO515" s="38"/>
      <c r="BP515" s="38"/>
      <c r="BQ515" s="38"/>
      <c r="BR515" s="38"/>
      <c r="BS515" s="38"/>
      <c r="BT515" s="38"/>
      <c r="BU515" s="38"/>
      <c r="BV515" s="38"/>
      <c r="BW515" s="38"/>
      <c r="BX515" s="38"/>
      <c r="BY515" s="38"/>
      <c r="BZ515" s="38"/>
      <c r="CA515" s="38"/>
      <c r="CB515" s="38"/>
      <c r="CC515" s="38"/>
      <c r="CD515" s="38"/>
      <c r="CE515" s="38"/>
      <c r="CF515" s="38"/>
      <c r="CG515" s="38"/>
      <c r="CH515" s="38"/>
      <c r="CI515" s="38"/>
      <c r="CJ515" s="38"/>
      <c r="CK515" s="38"/>
      <c r="CL515" s="38"/>
      <c r="CM515" s="38"/>
      <c r="CN515" s="38"/>
      <c r="CO515" s="38"/>
      <c r="CP515" s="38"/>
      <c r="CQ515" s="38"/>
      <c r="CR515" s="38"/>
      <c r="CS515" s="38"/>
      <c r="CT515" s="38"/>
      <c r="CU515" s="38"/>
      <c r="CV515" s="38"/>
      <c r="CW515" s="38"/>
      <c r="CX515" s="38"/>
      <c r="CY515" s="38"/>
      <c r="CZ515" s="38"/>
    </row>
    <row r="516" spans="1:104" s="40" customFormat="1" ht="20.149999999999999" customHeight="1">
      <c r="A516" s="358">
        <f t="shared" ref="A516:A579" si="129">+A515+1</f>
        <v>515</v>
      </c>
      <c r="B516" s="359" t="str">
        <f>'Front Sheet and Checklist'!$C$5</f>
        <v>Swansea Bay UHB</v>
      </c>
      <c r="C516" s="17"/>
      <c r="D516" s="17"/>
      <c r="E516" s="17"/>
      <c r="F516" s="17"/>
      <c r="G516" s="17"/>
      <c r="H516" s="17"/>
      <c r="I516" s="361">
        <f t="shared" si="119"/>
        <v>0</v>
      </c>
      <c r="J516" s="17"/>
      <c r="K516" s="18"/>
      <c r="L516" s="18"/>
      <c r="M516" s="17"/>
      <c r="N516" s="17"/>
      <c r="O516" s="17"/>
      <c r="P516" s="17"/>
      <c r="Q516" s="169"/>
      <c r="R516" s="24"/>
      <c r="S516" s="24"/>
      <c r="T516" s="24"/>
      <c r="U516" s="25"/>
      <c r="V516" s="25"/>
      <c r="W516" s="25"/>
      <c r="X516" s="24"/>
      <c r="Y516" s="24"/>
      <c r="Z516" s="24"/>
      <c r="AA516" s="24"/>
      <c r="AB516" s="24"/>
      <c r="AC516" s="24"/>
      <c r="AD516" s="361">
        <f t="shared" si="118"/>
        <v>0</v>
      </c>
      <c r="AE516" s="359" t="str">
        <f t="shared" si="121"/>
        <v/>
      </c>
      <c r="AF516" s="359" t="str">
        <f t="shared" ref="AF516:AF579" si="130">IF(COUNTIF($F$2:$F$1001,F516)&gt;1,"ERROR","")</f>
        <v/>
      </c>
      <c r="AG516" s="359" t="str">
        <f t="shared" si="122"/>
        <v/>
      </c>
      <c r="AH516" s="359" t="str">
        <f t="shared" si="123"/>
        <v/>
      </c>
      <c r="AI516" s="359" t="str">
        <f t="shared" si="124"/>
        <v/>
      </c>
      <c r="AJ516" s="359" t="str">
        <f t="shared" si="125"/>
        <v/>
      </c>
      <c r="AK516" s="359" t="str">
        <f t="shared" si="127"/>
        <v/>
      </c>
      <c r="AL516" s="359" t="str">
        <f t="shared" si="126"/>
        <v/>
      </c>
      <c r="AM516" s="359" t="str">
        <f t="shared" si="128"/>
        <v/>
      </c>
      <c r="AN516" s="262">
        <f t="shared" si="117"/>
        <v>0</v>
      </c>
      <c r="AO516" s="262" t="str">
        <f>IFERROR(HLOOKUP(AN516,'Ref Lists'!Q$1:AL$2,2,FALSE),'Ref Lists'!$AK$2)</f>
        <v>Savings21</v>
      </c>
      <c r="AP516" s="38"/>
      <c r="AQ516" s="38">
        <f t="shared" si="120"/>
        <v>0</v>
      </c>
      <c r="AR516" s="38"/>
      <c r="AS516" s="38"/>
      <c r="AT516" s="38"/>
      <c r="AU516" s="38"/>
      <c r="AV516" s="38"/>
      <c r="AW516" s="38"/>
      <c r="AX516" s="38"/>
      <c r="AY516" s="38"/>
      <c r="AZ516" s="38"/>
      <c r="BA516" s="38"/>
      <c r="BB516" s="38"/>
      <c r="BC516" s="38"/>
      <c r="BD516" s="38"/>
      <c r="BE516" s="38"/>
      <c r="BF516" s="38"/>
      <c r="BG516" s="38"/>
      <c r="BH516" s="38"/>
      <c r="BI516" s="38"/>
      <c r="BJ516" s="38"/>
      <c r="BK516" s="38"/>
      <c r="BL516" s="38"/>
      <c r="BM516" s="38"/>
      <c r="BN516" s="38"/>
      <c r="BO516" s="38"/>
      <c r="BP516" s="38"/>
      <c r="BQ516" s="38"/>
      <c r="BR516" s="38"/>
      <c r="BS516" s="38"/>
      <c r="BT516" s="38"/>
      <c r="BU516" s="38"/>
      <c r="BV516" s="38"/>
      <c r="BW516" s="38"/>
      <c r="BX516" s="38"/>
      <c r="BY516" s="38"/>
      <c r="BZ516" s="38"/>
      <c r="CA516" s="38"/>
      <c r="CB516" s="38"/>
      <c r="CC516" s="38"/>
      <c r="CD516" s="38"/>
      <c r="CE516" s="38"/>
      <c r="CF516" s="38"/>
      <c r="CG516" s="38"/>
      <c r="CH516" s="38"/>
      <c r="CI516" s="38"/>
      <c r="CJ516" s="38"/>
      <c r="CK516" s="38"/>
      <c r="CL516" s="38"/>
      <c r="CM516" s="38"/>
      <c r="CN516" s="38"/>
      <c r="CO516" s="38"/>
      <c r="CP516" s="38"/>
      <c r="CQ516" s="38"/>
      <c r="CR516" s="38"/>
      <c r="CS516" s="38"/>
      <c r="CT516" s="38"/>
      <c r="CU516" s="38"/>
      <c r="CV516" s="38"/>
      <c r="CW516" s="38"/>
      <c r="CX516" s="38"/>
      <c r="CY516" s="38"/>
      <c r="CZ516" s="38"/>
    </row>
    <row r="517" spans="1:104" s="40" customFormat="1" ht="20.149999999999999" customHeight="1">
      <c r="A517" s="358">
        <f t="shared" si="129"/>
        <v>516</v>
      </c>
      <c r="B517" s="359" t="str">
        <f>'Front Sheet and Checklist'!$C$5</f>
        <v>Swansea Bay UHB</v>
      </c>
      <c r="C517" s="17"/>
      <c r="D517" s="17"/>
      <c r="E517" s="17"/>
      <c r="F517" s="17"/>
      <c r="G517" s="17"/>
      <c r="H517" s="17"/>
      <c r="I517" s="361">
        <f t="shared" si="119"/>
        <v>0</v>
      </c>
      <c r="J517" s="17"/>
      <c r="K517" s="18"/>
      <c r="L517" s="18"/>
      <c r="M517" s="17"/>
      <c r="N517" s="17"/>
      <c r="O517" s="17"/>
      <c r="P517" s="17"/>
      <c r="Q517" s="169"/>
      <c r="R517" s="24"/>
      <c r="S517" s="24"/>
      <c r="T517" s="24"/>
      <c r="U517" s="25"/>
      <c r="V517" s="25"/>
      <c r="W517" s="25"/>
      <c r="X517" s="24"/>
      <c r="Y517" s="24"/>
      <c r="Z517" s="24"/>
      <c r="AA517" s="24"/>
      <c r="AB517" s="24"/>
      <c r="AC517" s="24"/>
      <c r="AD517" s="361">
        <f t="shared" si="118"/>
        <v>0</v>
      </c>
      <c r="AE517" s="359" t="str">
        <f t="shared" si="121"/>
        <v/>
      </c>
      <c r="AF517" s="359" t="str">
        <f t="shared" si="130"/>
        <v/>
      </c>
      <c r="AG517" s="359" t="str">
        <f t="shared" si="122"/>
        <v/>
      </c>
      <c r="AH517" s="359" t="str">
        <f t="shared" si="123"/>
        <v/>
      </c>
      <c r="AI517" s="359" t="str">
        <f t="shared" si="124"/>
        <v/>
      </c>
      <c r="AJ517" s="359" t="str">
        <f t="shared" si="125"/>
        <v/>
      </c>
      <c r="AK517" s="359" t="str">
        <f t="shared" si="127"/>
        <v/>
      </c>
      <c r="AL517" s="359" t="str">
        <f t="shared" si="126"/>
        <v/>
      </c>
      <c r="AM517" s="359" t="str">
        <f t="shared" si="128"/>
        <v/>
      </c>
      <c r="AN517" s="262">
        <f t="shared" ref="AN517:AN580" si="131">IF(P517="1) Workforce",_xlfn.CONCAT(P517,O517),IF(P517="5) Pathway",_xlfn.CONCAT(P517,N517),P517))</f>
        <v>0</v>
      </c>
      <c r="AO517" s="262" t="str">
        <f>IFERROR(HLOOKUP(AN517,'Ref Lists'!Q$1:AL$2,2,FALSE),'Ref Lists'!$AK$2)</f>
        <v>Savings21</v>
      </c>
      <c r="AP517" s="38"/>
      <c r="AQ517" s="38">
        <f t="shared" si="120"/>
        <v>0</v>
      </c>
      <c r="AR517" s="38"/>
      <c r="AS517" s="38"/>
      <c r="AT517" s="38"/>
      <c r="AU517" s="38"/>
      <c r="AV517" s="38"/>
      <c r="AW517" s="38"/>
      <c r="AX517" s="38"/>
      <c r="AY517" s="38"/>
      <c r="AZ517" s="38"/>
      <c r="BA517" s="38"/>
      <c r="BB517" s="38"/>
      <c r="BC517" s="38"/>
      <c r="BD517" s="38"/>
      <c r="BE517" s="38"/>
      <c r="BF517" s="38"/>
      <c r="BG517" s="38"/>
      <c r="BH517" s="38"/>
      <c r="BI517" s="38"/>
      <c r="BJ517" s="38"/>
      <c r="BK517" s="38"/>
      <c r="BL517" s="38"/>
      <c r="BM517" s="38"/>
      <c r="BN517" s="38"/>
      <c r="BO517" s="38"/>
      <c r="BP517" s="38"/>
      <c r="BQ517" s="38"/>
      <c r="BR517" s="38"/>
      <c r="BS517" s="38"/>
      <c r="BT517" s="38"/>
      <c r="BU517" s="38"/>
      <c r="BV517" s="38"/>
      <c r="BW517" s="38"/>
      <c r="BX517" s="38"/>
      <c r="BY517" s="38"/>
      <c r="BZ517" s="38"/>
      <c r="CA517" s="38"/>
      <c r="CB517" s="38"/>
      <c r="CC517" s="38"/>
      <c r="CD517" s="38"/>
      <c r="CE517" s="38"/>
      <c r="CF517" s="38"/>
      <c r="CG517" s="38"/>
      <c r="CH517" s="38"/>
      <c r="CI517" s="38"/>
      <c r="CJ517" s="38"/>
      <c r="CK517" s="38"/>
      <c r="CL517" s="38"/>
      <c r="CM517" s="38"/>
      <c r="CN517" s="38"/>
      <c r="CO517" s="38"/>
      <c r="CP517" s="38"/>
      <c r="CQ517" s="38"/>
      <c r="CR517" s="38"/>
      <c r="CS517" s="38"/>
      <c r="CT517" s="38"/>
      <c r="CU517" s="38"/>
      <c r="CV517" s="38"/>
      <c r="CW517" s="38"/>
      <c r="CX517" s="38"/>
      <c r="CY517" s="38"/>
      <c r="CZ517" s="38"/>
    </row>
    <row r="518" spans="1:104" s="40" customFormat="1" ht="20.149999999999999" customHeight="1">
      <c r="A518" s="358">
        <f t="shared" si="129"/>
        <v>517</v>
      </c>
      <c r="B518" s="359" t="str">
        <f>'Front Sheet and Checklist'!$C$5</f>
        <v>Swansea Bay UHB</v>
      </c>
      <c r="C518" s="17"/>
      <c r="D518" s="17"/>
      <c r="E518" s="17"/>
      <c r="F518" s="17"/>
      <c r="G518" s="17"/>
      <c r="H518" s="17"/>
      <c r="I518" s="361">
        <f t="shared" si="119"/>
        <v>0</v>
      </c>
      <c r="J518" s="17"/>
      <c r="K518" s="18"/>
      <c r="L518" s="18"/>
      <c r="M518" s="17"/>
      <c r="N518" s="17"/>
      <c r="O518" s="17"/>
      <c r="P518" s="17"/>
      <c r="Q518" s="169"/>
      <c r="R518" s="24"/>
      <c r="S518" s="24"/>
      <c r="T518" s="24"/>
      <c r="U518" s="25"/>
      <c r="V518" s="25"/>
      <c r="W518" s="25"/>
      <c r="X518" s="24"/>
      <c r="Y518" s="24"/>
      <c r="Z518" s="24"/>
      <c r="AA518" s="24"/>
      <c r="AB518" s="24"/>
      <c r="AC518" s="24"/>
      <c r="AD518" s="361">
        <f t="shared" si="118"/>
        <v>0</v>
      </c>
      <c r="AE518" s="359" t="str">
        <f t="shared" si="121"/>
        <v/>
      </c>
      <c r="AF518" s="359" t="str">
        <f t="shared" si="130"/>
        <v/>
      </c>
      <c r="AG518" s="359" t="str">
        <f t="shared" si="122"/>
        <v/>
      </c>
      <c r="AH518" s="359" t="str">
        <f t="shared" si="123"/>
        <v/>
      </c>
      <c r="AI518" s="359" t="str">
        <f t="shared" si="124"/>
        <v/>
      </c>
      <c r="AJ518" s="359" t="str">
        <f t="shared" si="125"/>
        <v/>
      </c>
      <c r="AK518" s="359" t="str">
        <f t="shared" si="127"/>
        <v/>
      </c>
      <c r="AL518" s="359" t="str">
        <f t="shared" si="126"/>
        <v/>
      </c>
      <c r="AM518" s="359" t="str">
        <f t="shared" si="128"/>
        <v/>
      </c>
      <c r="AN518" s="262">
        <f t="shared" si="131"/>
        <v>0</v>
      </c>
      <c r="AO518" s="262" t="str">
        <f>IFERROR(HLOOKUP(AN518,'Ref Lists'!Q$1:AL$2,2,FALSE),'Ref Lists'!$AK$2)</f>
        <v>Savings21</v>
      </c>
      <c r="AP518" s="38"/>
      <c r="AQ518" s="38">
        <f t="shared" si="120"/>
        <v>0</v>
      </c>
      <c r="AR518" s="38"/>
      <c r="AS518" s="38"/>
      <c r="AT518" s="38"/>
      <c r="AU518" s="38"/>
      <c r="AV518" s="38"/>
      <c r="AW518" s="38"/>
      <c r="AX518" s="38"/>
      <c r="AY518" s="38"/>
      <c r="AZ518" s="38"/>
      <c r="BA518" s="38"/>
      <c r="BB518" s="38"/>
      <c r="BC518" s="38"/>
      <c r="BD518" s="38"/>
      <c r="BE518" s="38"/>
      <c r="BF518" s="38"/>
      <c r="BG518" s="38"/>
      <c r="BH518" s="38"/>
      <c r="BI518" s="38"/>
      <c r="BJ518" s="38"/>
      <c r="BK518" s="38"/>
      <c r="BL518" s="38"/>
      <c r="BM518" s="38"/>
      <c r="BN518" s="38"/>
      <c r="BO518" s="38"/>
      <c r="BP518" s="38"/>
      <c r="BQ518" s="38"/>
      <c r="BR518" s="38"/>
      <c r="BS518" s="38"/>
      <c r="BT518" s="38"/>
      <c r="BU518" s="38"/>
      <c r="BV518" s="38"/>
      <c r="BW518" s="38"/>
      <c r="BX518" s="38"/>
      <c r="BY518" s="38"/>
      <c r="BZ518" s="38"/>
      <c r="CA518" s="38"/>
      <c r="CB518" s="38"/>
      <c r="CC518" s="38"/>
      <c r="CD518" s="38"/>
      <c r="CE518" s="38"/>
      <c r="CF518" s="38"/>
      <c r="CG518" s="38"/>
      <c r="CH518" s="38"/>
      <c r="CI518" s="38"/>
      <c r="CJ518" s="38"/>
      <c r="CK518" s="38"/>
      <c r="CL518" s="38"/>
      <c r="CM518" s="38"/>
      <c r="CN518" s="38"/>
      <c r="CO518" s="38"/>
      <c r="CP518" s="38"/>
      <c r="CQ518" s="38"/>
      <c r="CR518" s="38"/>
      <c r="CS518" s="38"/>
      <c r="CT518" s="38"/>
      <c r="CU518" s="38"/>
      <c r="CV518" s="38"/>
      <c r="CW518" s="38"/>
      <c r="CX518" s="38"/>
      <c r="CY518" s="38"/>
      <c r="CZ518" s="38"/>
    </row>
    <row r="519" spans="1:104" s="40" customFormat="1" ht="20.149999999999999" customHeight="1">
      <c r="A519" s="358">
        <f t="shared" si="129"/>
        <v>518</v>
      </c>
      <c r="B519" s="359" t="str">
        <f>'Front Sheet and Checklist'!$C$5</f>
        <v>Swansea Bay UHB</v>
      </c>
      <c r="C519" s="17"/>
      <c r="D519" s="17"/>
      <c r="E519" s="17"/>
      <c r="F519" s="17"/>
      <c r="G519" s="17"/>
      <c r="H519" s="17"/>
      <c r="I519" s="361">
        <f t="shared" si="119"/>
        <v>0</v>
      </c>
      <c r="J519" s="17"/>
      <c r="K519" s="18"/>
      <c r="L519" s="18"/>
      <c r="M519" s="17"/>
      <c r="N519" s="17"/>
      <c r="O519" s="17"/>
      <c r="P519" s="17"/>
      <c r="Q519" s="169"/>
      <c r="R519" s="24"/>
      <c r="S519" s="24"/>
      <c r="T519" s="24"/>
      <c r="U519" s="25"/>
      <c r="V519" s="25"/>
      <c r="W519" s="25"/>
      <c r="X519" s="24"/>
      <c r="Y519" s="24"/>
      <c r="Z519" s="24"/>
      <c r="AA519" s="24"/>
      <c r="AB519" s="24"/>
      <c r="AC519" s="24"/>
      <c r="AD519" s="361">
        <f t="shared" si="118"/>
        <v>0</v>
      </c>
      <c r="AE519" s="359" t="str">
        <f t="shared" si="121"/>
        <v/>
      </c>
      <c r="AF519" s="359" t="str">
        <f t="shared" si="130"/>
        <v/>
      </c>
      <c r="AG519" s="359" t="str">
        <f t="shared" si="122"/>
        <v/>
      </c>
      <c r="AH519" s="359" t="str">
        <f t="shared" si="123"/>
        <v/>
      </c>
      <c r="AI519" s="359" t="str">
        <f t="shared" si="124"/>
        <v/>
      </c>
      <c r="AJ519" s="359" t="str">
        <f t="shared" si="125"/>
        <v/>
      </c>
      <c r="AK519" s="359" t="str">
        <f t="shared" si="127"/>
        <v/>
      </c>
      <c r="AL519" s="359" t="str">
        <f t="shared" si="126"/>
        <v/>
      </c>
      <c r="AM519" s="359" t="str">
        <f t="shared" si="128"/>
        <v/>
      </c>
      <c r="AN519" s="262">
        <f t="shared" si="131"/>
        <v>0</v>
      </c>
      <c r="AO519" s="262" t="str">
        <f>IFERROR(HLOOKUP(AN519,'Ref Lists'!Q$1:AL$2,2,FALSE),'Ref Lists'!$AK$2)</f>
        <v>Savings21</v>
      </c>
      <c r="AP519" s="38"/>
      <c r="AQ519" s="38">
        <f t="shared" si="120"/>
        <v>0</v>
      </c>
      <c r="AR519" s="38"/>
      <c r="AS519" s="38"/>
      <c r="AT519" s="38"/>
      <c r="AU519" s="38"/>
      <c r="AV519" s="38"/>
      <c r="AW519" s="38"/>
      <c r="AX519" s="38"/>
      <c r="AY519" s="38"/>
      <c r="AZ519" s="38"/>
      <c r="BA519" s="38"/>
      <c r="BB519" s="38"/>
      <c r="BC519" s="38"/>
      <c r="BD519" s="38"/>
      <c r="BE519" s="38"/>
      <c r="BF519" s="38"/>
      <c r="BG519" s="38"/>
      <c r="BH519" s="38"/>
      <c r="BI519" s="38"/>
      <c r="BJ519" s="38"/>
      <c r="BK519" s="38"/>
      <c r="BL519" s="38"/>
      <c r="BM519" s="38"/>
      <c r="BN519" s="38"/>
      <c r="BO519" s="38"/>
      <c r="BP519" s="38"/>
      <c r="BQ519" s="38"/>
      <c r="BR519" s="38"/>
      <c r="BS519" s="38"/>
      <c r="BT519" s="38"/>
      <c r="BU519" s="38"/>
      <c r="BV519" s="38"/>
      <c r="BW519" s="38"/>
      <c r="BX519" s="38"/>
      <c r="BY519" s="38"/>
      <c r="BZ519" s="38"/>
      <c r="CA519" s="38"/>
      <c r="CB519" s="38"/>
      <c r="CC519" s="38"/>
      <c r="CD519" s="38"/>
      <c r="CE519" s="38"/>
      <c r="CF519" s="38"/>
      <c r="CG519" s="38"/>
      <c r="CH519" s="38"/>
      <c r="CI519" s="38"/>
      <c r="CJ519" s="38"/>
      <c r="CK519" s="38"/>
      <c r="CL519" s="38"/>
      <c r="CM519" s="38"/>
      <c r="CN519" s="38"/>
      <c r="CO519" s="38"/>
      <c r="CP519" s="38"/>
      <c r="CQ519" s="38"/>
      <c r="CR519" s="38"/>
      <c r="CS519" s="38"/>
      <c r="CT519" s="38"/>
      <c r="CU519" s="38"/>
      <c r="CV519" s="38"/>
      <c r="CW519" s="38"/>
      <c r="CX519" s="38"/>
      <c r="CY519" s="38"/>
      <c r="CZ519" s="38"/>
    </row>
    <row r="520" spans="1:104" s="40" customFormat="1" ht="20.149999999999999" customHeight="1">
      <c r="A520" s="358">
        <f t="shared" si="129"/>
        <v>519</v>
      </c>
      <c r="B520" s="359" t="str">
        <f>'Front Sheet and Checklist'!$C$5</f>
        <v>Swansea Bay UHB</v>
      </c>
      <c r="C520" s="17"/>
      <c r="D520" s="17"/>
      <c r="E520" s="17"/>
      <c r="F520" s="17"/>
      <c r="G520" s="17"/>
      <c r="H520" s="17"/>
      <c r="I520" s="361">
        <f t="shared" si="119"/>
        <v>0</v>
      </c>
      <c r="J520" s="17"/>
      <c r="K520" s="18"/>
      <c r="L520" s="18"/>
      <c r="M520" s="17"/>
      <c r="N520" s="17"/>
      <c r="O520" s="17"/>
      <c r="P520" s="17"/>
      <c r="Q520" s="169"/>
      <c r="R520" s="24"/>
      <c r="S520" s="24"/>
      <c r="T520" s="24"/>
      <c r="U520" s="25"/>
      <c r="V520" s="25"/>
      <c r="W520" s="25"/>
      <c r="X520" s="24"/>
      <c r="Y520" s="24"/>
      <c r="Z520" s="24"/>
      <c r="AA520" s="24"/>
      <c r="AB520" s="24"/>
      <c r="AC520" s="24"/>
      <c r="AD520" s="361">
        <f t="shared" si="118"/>
        <v>0</v>
      </c>
      <c r="AE520" s="359" t="str">
        <f t="shared" si="121"/>
        <v/>
      </c>
      <c r="AF520" s="359" t="str">
        <f t="shared" si="130"/>
        <v/>
      </c>
      <c r="AG520" s="359" t="str">
        <f t="shared" si="122"/>
        <v/>
      </c>
      <c r="AH520" s="359" t="str">
        <f t="shared" si="123"/>
        <v/>
      </c>
      <c r="AI520" s="359" t="str">
        <f t="shared" si="124"/>
        <v/>
      </c>
      <c r="AJ520" s="359" t="str">
        <f t="shared" si="125"/>
        <v/>
      </c>
      <c r="AK520" s="359" t="str">
        <f t="shared" si="127"/>
        <v/>
      </c>
      <c r="AL520" s="359" t="str">
        <f t="shared" si="126"/>
        <v/>
      </c>
      <c r="AM520" s="359" t="str">
        <f t="shared" si="128"/>
        <v/>
      </c>
      <c r="AN520" s="262">
        <f t="shared" si="131"/>
        <v>0</v>
      </c>
      <c r="AO520" s="262" t="str">
        <f>IFERROR(HLOOKUP(AN520,'Ref Lists'!Q$1:AL$2,2,FALSE),'Ref Lists'!$AK$2)</f>
        <v>Savings21</v>
      </c>
      <c r="AP520" s="38"/>
      <c r="AQ520" s="38">
        <f t="shared" si="120"/>
        <v>0</v>
      </c>
      <c r="AR520" s="38"/>
      <c r="AS520" s="38"/>
      <c r="AT520" s="38"/>
      <c r="AU520" s="38"/>
      <c r="AV520" s="38"/>
      <c r="AW520" s="38"/>
      <c r="AX520" s="38"/>
      <c r="AY520" s="38"/>
      <c r="AZ520" s="38"/>
      <c r="BA520" s="38"/>
      <c r="BB520" s="38"/>
      <c r="BC520" s="38"/>
      <c r="BD520" s="38"/>
      <c r="BE520" s="38"/>
      <c r="BF520" s="38"/>
      <c r="BG520" s="38"/>
      <c r="BH520" s="38"/>
      <c r="BI520" s="38"/>
      <c r="BJ520" s="38"/>
      <c r="BK520" s="38"/>
      <c r="BL520" s="38"/>
      <c r="BM520" s="38"/>
      <c r="BN520" s="38"/>
      <c r="BO520" s="38"/>
      <c r="BP520" s="38"/>
      <c r="BQ520" s="38"/>
      <c r="BR520" s="38"/>
      <c r="BS520" s="38"/>
      <c r="BT520" s="38"/>
      <c r="BU520" s="38"/>
      <c r="BV520" s="38"/>
      <c r="BW520" s="38"/>
      <c r="BX520" s="38"/>
      <c r="BY520" s="38"/>
      <c r="BZ520" s="38"/>
      <c r="CA520" s="38"/>
      <c r="CB520" s="38"/>
      <c r="CC520" s="38"/>
      <c r="CD520" s="38"/>
      <c r="CE520" s="38"/>
      <c r="CF520" s="38"/>
      <c r="CG520" s="38"/>
      <c r="CH520" s="38"/>
      <c r="CI520" s="38"/>
      <c r="CJ520" s="38"/>
      <c r="CK520" s="38"/>
      <c r="CL520" s="38"/>
      <c r="CM520" s="38"/>
      <c r="CN520" s="38"/>
      <c r="CO520" s="38"/>
      <c r="CP520" s="38"/>
      <c r="CQ520" s="38"/>
      <c r="CR520" s="38"/>
      <c r="CS520" s="38"/>
      <c r="CT520" s="38"/>
      <c r="CU520" s="38"/>
      <c r="CV520" s="38"/>
      <c r="CW520" s="38"/>
      <c r="CX520" s="38"/>
      <c r="CY520" s="38"/>
      <c r="CZ520" s="38"/>
    </row>
    <row r="521" spans="1:104" s="40" customFormat="1" ht="20.149999999999999" customHeight="1">
      <c r="A521" s="358">
        <f t="shared" si="129"/>
        <v>520</v>
      </c>
      <c r="B521" s="359" t="str">
        <f>'Front Sheet and Checklist'!$C$5</f>
        <v>Swansea Bay UHB</v>
      </c>
      <c r="C521" s="17"/>
      <c r="D521" s="17"/>
      <c r="E521" s="17"/>
      <c r="F521" s="17"/>
      <c r="G521" s="17"/>
      <c r="H521" s="17"/>
      <c r="I521" s="361">
        <f t="shared" si="119"/>
        <v>0</v>
      </c>
      <c r="J521" s="17"/>
      <c r="K521" s="18"/>
      <c r="L521" s="18"/>
      <c r="M521" s="17"/>
      <c r="N521" s="17"/>
      <c r="O521" s="17"/>
      <c r="P521" s="17"/>
      <c r="Q521" s="169"/>
      <c r="R521" s="24"/>
      <c r="S521" s="24"/>
      <c r="T521" s="24"/>
      <c r="U521" s="25"/>
      <c r="V521" s="25"/>
      <c r="W521" s="25"/>
      <c r="X521" s="24"/>
      <c r="Y521" s="24"/>
      <c r="Z521" s="24"/>
      <c r="AA521" s="24"/>
      <c r="AB521" s="24"/>
      <c r="AC521" s="24"/>
      <c r="AD521" s="361">
        <f t="shared" si="118"/>
        <v>0</v>
      </c>
      <c r="AE521" s="359" t="str">
        <f t="shared" si="121"/>
        <v/>
      </c>
      <c r="AF521" s="359" t="str">
        <f t="shared" si="130"/>
        <v/>
      </c>
      <c r="AG521" s="359" t="str">
        <f t="shared" si="122"/>
        <v/>
      </c>
      <c r="AH521" s="359" t="str">
        <f t="shared" si="123"/>
        <v/>
      </c>
      <c r="AI521" s="359" t="str">
        <f t="shared" si="124"/>
        <v/>
      </c>
      <c r="AJ521" s="359" t="str">
        <f t="shared" si="125"/>
        <v/>
      </c>
      <c r="AK521" s="359" t="str">
        <f t="shared" si="127"/>
        <v/>
      </c>
      <c r="AL521" s="359" t="str">
        <f t="shared" si="126"/>
        <v/>
      </c>
      <c r="AM521" s="359" t="str">
        <f t="shared" si="128"/>
        <v/>
      </c>
      <c r="AN521" s="262">
        <f t="shared" si="131"/>
        <v>0</v>
      </c>
      <c r="AO521" s="262" t="str">
        <f>IFERROR(HLOOKUP(AN521,'Ref Lists'!Q$1:AL$2,2,FALSE),'Ref Lists'!$AK$2)</f>
        <v>Savings21</v>
      </c>
      <c r="AP521" s="38"/>
      <c r="AQ521" s="38">
        <f t="shared" si="120"/>
        <v>0</v>
      </c>
      <c r="AR521" s="38"/>
      <c r="AS521" s="38"/>
      <c r="AT521" s="38"/>
      <c r="AU521" s="38"/>
      <c r="AV521" s="38"/>
      <c r="AW521" s="38"/>
      <c r="AX521" s="38"/>
      <c r="AY521" s="38"/>
      <c r="AZ521" s="38"/>
      <c r="BA521" s="38"/>
      <c r="BB521" s="38"/>
      <c r="BC521" s="38"/>
      <c r="BD521" s="38"/>
      <c r="BE521" s="38"/>
      <c r="BF521" s="38"/>
      <c r="BG521" s="38"/>
      <c r="BH521" s="38"/>
      <c r="BI521" s="38"/>
      <c r="BJ521" s="38"/>
      <c r="BK521" s="38"/>
      <c r="BL521" s="38"/>
      <c r="BM521" s="38"/>
      <c r="BN521" s="38"/>
      <c r="BO521" s="38"/>
      <c r="BP521" s="38"/>
      <c r="BQ521" s="38"/>
      <c r="BR521" s="38"/>
      <c r="BS521" s="38"/>
      <c r="BT521" s="38"/>
      <c r="BU521" s="38"/>
      <c r="BV521" s="38"/>
      <c r="BW521" s="38"/>
      <c r="BX521" s="38"/>
      <c r="BY521" s="38"/>
      <c r="BZ521" s="38"/>
      <c r="CA521" s="38"/>
      <c r="CB521" s="38"/>
      <c r="CC521" s="38"/>
      <c r="CD521" s="38"/>
      <c r="CE521" s="38"/>
      <c r="CF521" s="38"/>
      <c r="CG521" s="38"/>
      <c r="CH521" s="38"/>
      <c r="CI521" s="38"/>
      <c r="CJ521" s="38"/>
      <c r="CK521" s="38"/>
      <c r="CL521" s="38"/>
      <c r="CM521" s="38"/>
      <c r="CN521" s="38"/>
      <c r="CO521" s="38"/>
      <c r="CP521" s="38"/>
      <c r="CQ521" s="38"/>
      <c r="CR521" s="38"/>
      <c r="CS521" s="38"/>
      <c r="CT521" s="38"/>
      <c r="CU521" s="38"/>
      <c r="CV521" s="38"/>
      <c r="CW521" s="38"/>
      <c r="CX521" s="38"/>
      <c r="CY521" s="38"/>
      <c r="CZ521" s="38"/>
    </row>
    <row r="522" spans="1:104" s="40" customFormat="1" ht="20.149999999999999" customHeight="1">
      <c r="A522" s="358">
        <f t="shared" si="129"/>
        <v>521</v>
      </c>
      <c r="B522" s="359" t="str">
        <f>'Front Sheet and Checklist'!$C$5</f>
        <v>Swansea Bay UHB</v>
      </c>
      <c r="C522" s="17"/>
      <c r="D522" s="17"/>
      <c r="E522" s="17"/>
      <c r="F522" s="17"/>
      <c r="G522" s="17"/>
      <c r="H522" s="17"/>
      <c r="I522" s="361">
        <f t="shared" si="119"/>
        <v>0</v>
      </c>
      <c r="J522" s="17"/>
      <c r="K522" s="18"/>
      <c r="L522" s="18"/>
      <c r="M522" s="17"/>
      <c r="N522" s="17"/>
      <c r="O522" s="17"/>
      <c r="P522" s="17"/>
      <c r="Q522" s="169"/>
      <c r="R522" s="24"/>
      <c r="S522" s="24"/>
      <c r="T522" s="24"/>
      <c r="U522" s="25"/>
      <c r="V522" s="25"/>
      <c r="W522" s="25"/>
      <c r="X522" s="24"/>
      <c r="Y522" s="24"/>
      <c r="Z522" s="24"/>
      <c r="AA522" s="24"/>
      <c r="AB522" s="24"/>
      <c r="AC522" s="24"/>
      <c r="AD522" s="361">
        <f t="shared" si="118"/>
        <v>0</v>
      </c>
      <c r="AE522" s="359" t="str">
        <f t="shared" si="121"/>
        <v/>
      </c>
      <c r="AF522" s="359" t="str">
        <f t="shared" si="130"/>
        <v/>
      </c>
      <c r="AG522" s="359" t="str">
        <f t="shared" si="122"/>
        <v/>
      </c>
      <c r="AH522" s="359" t="str">
        <f t="shared" si="123"/>
        <v/>
      </c>
      <c r="AI522" s="359" t="str">
        <f t="shared" si="124"/>
        <v/>
      </c>
      <c r="AJ522" s="359" t="str">
        <f t="shared" si="125"/>
        <v/>
      </c>
      <c r="AK522" s="359" t="str">
        <f t="shared" si="127"/>
        <v/>
      </c>
      <c r="AL522" s="359" t="str">
        <f t="shared" si="126"/>
        <v/>
      </c>
      <c r="AM522" s="359" t="str">
        <f t="shared" si="128"/>
        <v/>
      </c>
      <c r="AN522" s="262">
        <f t="shared" si="131"/>
        <v>0</v>
      </c>
      <c r="AO522" s="262" t="str">
        <f>IFERROR(HLOOKUP(AN522,'Ref Lists'!Q$1:AL$2,2,FALSE),'Ref Lists'!$AK$2)</f>
        <v>Savings21</v>
      </c>
      <c r="AP522" s="38"/>
      <c r="AQ522" s="38">
        <f t="shared" si="120"/>
        <v>0</v>
      </c>
      <c r="AR522" s="38"/>
      <c r="AS522" s="38"/>
      <c r="AT522" s="38"/>
      <c r="AU522" s="38"/>
      <c r="AV522" s="38"/>
      <c r="AW522" s="38"/>
      <c r="AX522" s="38"/>
      <c r="AY522" s="38"/>
      <c r="AZ522" s="38"/>
      <c r="BA522" s="38"/>
      <c r="BB522" s="38"/>
      <c r="BC522" s="38"/>
      <c r="BD522" s="38"/>
      <c r="BE522" s="38"/>
      <c r="BF522" s="38"/>
      <c r="BG522" s="38"/>
      <c r="BH522" s="38"/>
      <c r="BI522" s="38"/>
      <c r="BJ522" s="38"/>
      <c r="BK522" s="38"/>
      <c r="BL522" s="38"/>
      <c r="BM522" s="38"/>
      <c r="BN522" s="38"/>
      <c r="BO522" s="38"/>
      <c r="BP522" s="38"/>
      <c r="BQ522" s="38"/>
      <c r="BR522" s="38"/>
      <c r="BS522" s="38"/>
      <c r="BT522" s="38"/>
      <c r="BU522" s="38"/>
      <c r="BV522" s="38"/>
      <c r="BW522" s="38"/>
      <c r="BX522" s="38"/>
      <c r="BY522" s="38"/>
      <c r="BZ522" s="38"/>
      <c r="CA522" s="38"/>
      <c r="CB522" s="38"/>
      <c r="CC522" s="38"/>
      <c r="CD522" s="38"/>
      <c r="CE522" s="38"/>
      <c r="CF522" s="38"/>
      <c r="CG522" s="38"/>
      <c r="CH522" s="38"/>
      <c r="CI522" s="38"/>
      <c r="CJ522" s="38"/>
      <c r="CK522" s="38"/>
      <c r="CL522" s="38"/>
      <c r="CM522" s="38"/>
      <c r="CN522" s="38"/>
      <c r="CO522" s="38"/>
      <c r="CP522" s="38"/>
      <c r="CQ522" s="38"/>
      <c r="CR522" s="38"/>
      <c r="CS522" s="38"/>
      <c r="CT522" s="38"/>
      <c r="CU522" s="38"/>
      <c r="CV522" s="38"/>
      <c r="CW522" s="38"/>
      <c r="CX522" s="38"/>
      <c r="CY522" s="38"/>
      <c r="CZ522" s="38"/>
    </row>
    <row r="523" spans="1:104" s="40" customFormat="1" ht="20.149999999999999" customHeight="1">
      <c r="A523" s="358">
        <f t="shared" si="129"/>
        <v>522</v>
      </c>
      <c r="B523" s="359" t="str">
        <f>'Front Sheet and Checklist'!$C$5</f>
        <v>Swansea Bay UHB</v>
      </c>
      <c r="C523" s="17"/>
      <c r="D523" s="17"/>
      <c r="E523" s="17"/>
      <c r="F523" s="17"/>
      <c r="G523" s="17"/>
      <c r="H523" s="17"/>
      <c r="I523" s="361">
        <f t="shared" si="119"/>
        <v>0</v>
      </c>
      <c r="J523" s="17"/>
      <c r="K523" s="18"/>
      <c r="L523" s="18"/>
      <c r="M523" s="17"/>
      <c r="N523" s="17"/>
      <c r="O523" s="17"/>
      <c r="P523" s="17"/>
      <c r="Q523" s="169"/>
      <c r="R523" s="24"/>
      <c r="S523" s="24"/>
      <c r="T523" s="24"/>
      <c r="U523" s="25"/>
      <c r="V523" s="25"/>
      <c r="W523" s="25"/>
      <c r="X523" s="24"/>
      <c r="Y523" s="24"/>
      <c r="Z523" s="24"/>
      <c r="AA523" s="24"/>
      <c r="AB523" s="24"/>
      <c r="AC523" s="24"/>
      <c r="AD523" s="361">
        <f t="shared" si="118"/>
        <v>0</v>
      </c>
      <c r="AE523" s="359" t="str">
        <f t="shared" si="121"/>
        <v/>
      </c>
      <c r="AF523" s="359" t="str">
        <f t="shared" si="130"/>
        <v/>
      </c>
      <c r="AG523" s="359" t="str">
        <f t="shared" si="122"/>
        <v/>
      </c>
      <c r="AH523" s="359" t="str">
        <f t="shared" si="123"/>
        <v/>
      </c>
      <c r="AI523" s="359" t="str">
        <f t="shared" si="124"/>
        <v/>
      </c>
      <c r="AJ523" s="359" t="str">
        <f t="shared" si="125"/>
        <v/>
      </c>
      <c r="AK523" s="359" t="str">
        <f t="shared" si="127"/>
        <v/>
      </c>
      <c r="AL523" s="359" t="str">
        <f t="shared" si="126"/>
        <v/>
      </c>
      <c r="AM523" s="359" t="str">
        <f t="shared" si="128"/>
        <v/>
      </c>
      <c r="AN523" s="262">
        <f t="shared" si="131"/>
        <v>0</v>
      </c>
      <c r="AO523" s="262" t="str">
        <f>IFERROR(HLOOKUP(AN523,'Ref Lists'!Q$1:AL$2,2,FALSE),'Ref Lists'!$AK$2)</f>
        <v>Savings21</v>
      </c>
      <c r="AP523" s="38"/>
      <c r="AQ523" s="38">
        <f t="shared" si="120"/>
        <v>0</v>
      </c>
      <c r="AR523" s="38"/>
      <c r="AS523" s="38"/>
      <c r="AT523" s="38"/>
      <c r="AU523" s="38"/>
      <c r="AV523" s="38"/>
      <c r="AW523" s="38"/>
      <c r="AX523" s="38"/>
      <c r="AY523" s="38"/>
      <c r="AZ523" s="38"/>
      <c r="BA523" s="38"/>
      <c r="BB523" s="38"/>
      <c r="BC523" s="38"/>
      <c r="BD523" s="38"/>
      <c r="BE523" s="38"/>
      <c r="BF523" s="38"/>
      <c r="BG523" s="38"/>
      <c r="BH523" s="38"/>
      <c r="BI523" s="38"/>
      <c r="BJ523" s="38"/>
      <c r="BK523" s="38"/>
      <c r="BL523" s="38"/>
      <c r="BM523" s="38"/>
      <c r="BN523" s="38"/>
      <c r="BO523" s="38"/>
      <c r="BP523" s="38"/>
      <c r="BQ523" s="38"/>
      <c r="BR523" s="38"/>
      <c r="BS523" s="38"/>
      <c r="BT523" s="38"/>
      <c r="BU523" s="38"/>
      <c r="BV523" s="38"/>
      <c r="BW523" s="38"/>
      <c r="BX523" s="38"/>
      <c r="BY523" s="38"/>
      <c r="BZ523" s="38"/>
      <c r="CA523" s="38"/>
      <c r="CB523" s="38"/>
      <c r="CC523" s="38"/>
      <c r="CD523" s="38"/>
      <c r="CE523" s="38"/>
      <c r="CF523" s="38"/>
      <c r="CG523" s="38"/>
      <c r="CH523" s="38"/>
      <c r="CI523" s="38"/>
      <c r="CJ523" s="38"/>
      <c r="CK523" s="38"/>
      <c r="CL523" s="38"/>
      <c r="CM523" s="38"/>
      <c r="CN523" s="38"/>
      <c r="CO523" s="38"/>
      <c r="CP523" s="38"/>
      <c r="CQ523" s="38"/>
      <c r="CR523" s="38"/>
      <c r="CS523" s="38"/>
      <c r="CT523" s="38"/>
      <c r="CU523" s="38"/>
      <c r="CV523" s="38"/>
      <c r="CW523" s="38"/>
      <c r="CX523" s="38"/>
      <c r="CY523" s="38"/>
      <c r="CZ523" s="38"/>
    </row>
    <row r="524" spans="1:104" s="40" customFormat="1" ht="20.149999999999999" customHeight="1">
      <c r="A524" s="358">
        <f t="shared" si="129"/>
        <v>523</v>
      </c>
      <c r="B524" s="359" t="str">
        <f>'Front Sheet and Checklist'!$C$5</f>
        <v>Swansea Bay UHB</v>
      </c>
      <c r="C524" s="17"/>
      <c r="D524" s="17"/>
      <c r="E524" s="17"/>
      <c r="F524" s="17"/>
      <c r="G524" s="17"/>
      <c r="H524" s="17"/>
      <c r="I524" s="361">
        <f t="shared" si="119"/>
        <v>0</v>
      </c>
      <c r="J524" s="17"/>
      <c r="K524" s="18"/>
      <c r="L524" s="18"/>
      <c r="M524" s="17"/>
      <c r="N524" s="17"/>
      <c r="O524" s="17"/>
      <c r="P524" s="17"/>
      <c r="Q524" s="169"/>
      <c r="R524" s="24"/>
      <c r="S524" s="24"/>
      <c r="T524" s="24"/>
      <c r="U524" s="25"/>
      <c r="V524" s="25"/>
      <c r="W524" s="25"/>
      <c r="X524" s="24"/>
      <c r="Y524" s="24"/>
      <c r="Z524" s="24"/>
      <c r="AA524" s="24"/>
      <c r="AB524" s="24"/>
      <c r="AC524" s="24"/>
      <c r="AD524" s="361">
        <f t="shared" si="118"/>
        <v>0</v>
      </c>
      <c r="AE524" s="359" t="str">
        <f t="shared" si="121"/>
        <v/>
      </c>
      <c r="AF524" s="359" t="str">
        <f t="shared" si="130"/>
        <v/>
      </c>
      <c r="AG524" s="359" t="str">
        <f t="shared" si="122"/>
        <v/>
      </c>
      <c r="AH524" s="359" t="str">
        <f t="shared" si="123"/>
        <v/>
      </c>
      <c r="AI524" s="359" t="str">
        <f t="shared" si="124"/>
        <v/>
      </c>
      <c r="AJ524" s="359" t="str">
        <f t="shared" si="125"/>
        <v/>
      </c>
      <c r="AK524" s="359" t="str">
        <f t="shared" si="127"/>
        <v/>
      </c>
      <c r="AL524" s="359" t="str">
        <f t="shared" si="126"/>
        <v/>
      </c>
      <c r="AM524" s="359" t="str">
        <f t="shared" si="128"/>
        <v/>
      </c>
      <c r="AN524" s="262">
        <f t="shared" si="131"/>
        <v>0</v>
      </c>
      <c r="AO524" s="262" t="str">
        <f>IFERROR(HLOOKUP(AN524,'Ref Lists'!Q$1:AL$2,2,FALSE),'Ref Lists'!$AK$2)</f>
        <v>Savings21</v>
      </c>
      <c r="AP524" s="38"/>
      <c r="AQ524" s="38">
        <f t="shared" si="120"/>
        <v>0</v>
      </c>
      <c r="AR524" s="38"/>
      <c r="AS524" s="38"/>
      <c r="AT524" s="38"/>
      <c r="AU524" s="38"/>
      <c r="AV524" s="38"/>
      <c r="AW524" s="38"/>
      <c r="AX524" s="38"/>
      <c r="AY524" s="38"/>
      <c r="AZ524" s="38"/>
      <c r="BA524" s="38"/>
      <c r="BB524" s="38"/>
      <c r="BC524" s="38"/>
      <c r="BD524" s="38"/>
      <c r="BE524" s="38"/>
      <c r="BF524" s="38"/>
      <c r="BG524" s="38"/>
      <c r="BH524" s="38"/>
      <c r="BI524" s="38"/>
      <c r="BJ524" s="38"/>
      <c r="BK524" s="38"/>
      <c r="BL524" s="38"/>
      <c r="BM524" s="38"/>
      <c r="BN524" s="38"/>
      <c r="BO524" s="38"/>
      <c r="BP524" s="38"/>
      <c r="BQ524" s="38"/>
      <c r="BR524" s="38"/>
      <c r="BS524" s="38"/>
      <c r="BT524" s="38"/>
      <c r="BU524" s="38"/>
      <c r="BV524" s="38"/>
      <c r="BW524" s="38"/>
      <c r="BX524" s="38"/>
      <c r="BY524" s="38"/>
      <c r="BZ524" s="38"/>
      <c r="CA524" s="38"/>
      <c r="CB524" s="38"/>
      <c r="CC524" s="38"/>
      <c r="CD524" s="38"/>
      <c r="CE524" s="38"/>
      <c r="CF524" s="38"/>
      <c r="CG524" s="38"/>
      <c r="CH524" s="38"/>
      <c r="CI524" s="38"/>
      <c r="CJ524" s="38"/>
      <c r="CK524" s="38"/>
      <c r="CL524" s="38"/>
      <c r="CM524" s="38"/>
      <c r="CN524" s="38"/>
      <c r="CO524" s="38"/>
      <c r="CP524" s="38"/>
      <c r="CQ524" s="38"/>
      <c r="CR524" s="38"/>
      <c r="CS524" s="38"/>
      <c r="CT524" s="38"/>
      <c r="CU524" s="38"/>
      <c r="CV524" s="38"/>
      <c r="CW524" s="38"/>
      <c r="CX524" s="38"/>
      <c r="CY524" s="38"/>
      <c r="CZ524" s="38"/>
    </row>
    <row r="525" spans="1:104" s="40" customFormat="1" ht="20.149999999999999" customHeight="1">
      <c r="A525" s="358">
        <f t="shared" si="129"/>
        <v>524</v>
      </c>
      <c r="B525" s="359" t="str">
        <f>'Front Sheet and Checklist'!$C$5</f>
        <v>Swansea Bay UHB</v>
      </c>
      <c r="C525" s="17"/>
      <c r="D525" s="17"/>
      <c r="E525" s="17"/>
      <c r="F525" s="17"/>
      <c r="G525" s="17"/>
      <c r="H525" s="17"/>
      <c r="I525" s="361">
        <f t="shared" si="119"/>
        <v>0</v>
      </c>
      <c r="J525" s="17"/>
      <c r="K525" s="18"/>
      <c r="L525" s="18"/>
      <c r="M525" s="17"/>
      <c r="N525" s="17"/>
      <c r="O525" s="17"/>
      <c r="P525" s="17"/>
      <c r="Q525" s="169"/>
      <c r="R525" s="24"/>
      <c r="S525" s="24"/>
      <c r="T525" s="24"/>
      <c r="U525" s="25"/>
      <c r="V525" s="25"/>
      <c r="W525" s="25"/>
      <c r="X525" s="24"/>
      <c r="Y525" s="24"/>
      <c r="Z525" s="24"/>
      <c r="AA525" s="24"/>
      <c r="AB525" s="24"/>
      <c r="AC525" s="24"/>
      <c r="AD525" s="361">
        <f t="shared" si="118"/>
        <v>0</v>
      </c>
      <c r="AE525" s="359" t="str">
        <f t="shared" si="121"/>
        <v/>
      </c>
      <c r="AF525" s="359" t="str">
        <f t="shared" si="130"/>
        <v/>
      </c>
      <c r="AG525" s="359" t="str">
        <f t="shared" si="122"/>
        <v/>
      </c>
      <c r="AH525" s="359" t="str">
        <f t="shared" si="123"/>
        <v/>
      </c>
      <c r="AI525" s="359" t="str">
        <f t="shared" si="124"/>
        <v/>
      </c>
      <c r="AJ525" s="359" t="str">
        <f t="shared" si="125"/>
        <v/>
      </c>
      <c r="AK525" s="359" t="str">
        <f t="shared" si="127"/>
        <v/>
      </c>
      <c r="AL525" s="359" t="str">
        <f t="shared" si="126"/>
        <v/>
      </c>
      <c r="AM525" s="359" t="str">
        <f t="shared" si="128"/>
        <v/>
      </c>
      <c r="AN525" s="262">
        <f t="shared" si="131"/>
        <v>0</v>
      </c>
      <c r="AO525" s="262" t="str">
        <f>IFERROR(HLOOKUP(AN525,'Ref Lists'!Q$1:AL$2,2,FALSE),'Ref Lists'!$AK$2)</f>
        <v>Savings21</v>
      </c>
      <c r="AP525" s="38"/>
      <c r="AQ525" s="38">
        <f t="shared" si="120"/>
        <v>0</v>
      </c>
      <c r="AR525" s="38"/>
      <c r="AS525" s="38"/>
      <c r="AT525" s="38"/>
      <c r="AU525" s="38"/>
      <c r="AV525" s="38"/>
      <c r="AW525" s="38"/>
      <c r="AX525" s="38"/>
      <c r="AY525" s="38"/>
      <c r="AZ525" s="38"/>
      <c r="BA525" s="38"/>
      <c r="BB525" s="38"/>
      <c r="BC525" s="38"/>
      <c r="BD525" s="38"/>
      <c r="BE525" s="38"/>
      <c r="BF525" s="38"/>
      <c r="BG525" s="38"/>
      <c r="BH525" s="38"/>
      <c r="BI525" s="38"/>
      <c r="BJ525" s="38"/>
      <c r="BK525" s="38"/>
      <c r="BL525" s="38"/>
      <c r="BM525" s="38"/>
      <c r="BN525" s="38"/>
      <c r="BO525" s="38"/>
      <c r="BP525" s="38"/>
      <c r="BQ525" s="38"/>
      <c r="BR525" s="38"/>
      <c r="BS525" s="38"/>
      <c r="BT525" s="38"/>
      <c r="BU525" s="38"/>
      <c r="BV525" s="38"/>
      <c r="BW525" s="38"/>
      <c r="BX525" s="38"/>
      <c r="BY525" s="38"/>
      <c r="BZ525" s="38"/>
      <c r="CA525" s="38"/>
      <c r="CB525" s="38"/>
      <c r="CC525" s="38"/>
      <c r="CD525" s="38"/>
      <c r="CE525" s="38"/>
      <c r="CF525" s="38"/>
      <c r="CG525" s="38"/>
      <c r="CH525" s="38"/>
      <c r="CI525" s="38"/>
      <c r="CJ525" s="38"/>
      <c r="CK525" s="38"/>
      <c r="CL525" s="38"/>
      <c r="CM525" s="38"/>
      <c r="CN525" s="38"/>
      <c r="CO525" s="38"/>
      <c r="CP525" s="38"/>
      <c r="CQ525" s="38"/>
      <c r="CR525" s="38"/>
      <c r="CS525" s="38"/>
      <c r="CT525" s="38"/>
      <c r="CU525" s="38"/>
      <c r="CV525" s="38"/>
      <c r="CW525" s="38"/>
      <c r="CX525" s="38"/>
      <c r="CY525" s="38"/>
      <c r="CZ525" s="38"/>
    </row>
    <row r="526" spans="1:104" s="40" customFormat="1" ht="20.149999999999999" customHeight="1">
      <c r="A526" s="358">
        <f t="shared" si="129"/>
        <v>525</v>
      </c>
      <c r="B526" s="359" t="str">
        <f>'Front Sheet and Checklist'!$C$5</f>
        <v>Swansea Bay UHB</v>
      </c>
      <c r="C526" s="17"/>
      <c r="D526" s="17"/>
      <c r="E526" s="17"/>
      <c r="F526" s="17"/>
      <c r="G526" s="17"/>
      <c r="H526" s="17"/>
      <c r="I526" s="361">
        <f t="shared" si="119"/>
        <v>0</v>
      </c>
      <c r="J526" s="17"/>
      <c r="K526" s="18"/>
      <c r="L526" s="18"/>
      <c r="M526" s="17"/>
      <c r="N526" s="17"/>
      <c r="O526" s="17"/>
      <c r="P526" s="17"/>
      <c r="Q526" s="169"/>
      <c r="R526" s="24"/>
      <c r="S526" s="24"/>
      <c r="T526" s="24"/>
      <c r="U526" s="25"/>
      <c r="V526" s="25"/>
      <c r="W526" s="25"/>
      <c r="X526" s="24"/>
      <c r="Y526" s="24"/>
      <c r="Z526" s="24"/>
      <c r="AA526" s="24"/>
      <c r="AB526" s="24"/>
      <c r="AC526" s="24"/>
      <c r="AD526" s="361">
        <f t="shared" si="118"/>
        <v>0</v>
      </c>
      <c r="AE526" s="359" t="str">
        <f t="shared" si="121"/>
        <v/>
      </c>
      <c r="AF526" s="359" t="str">
        <f t="shared" si="130"/>
        <v/>
      </c>
      <c r="AG526" s="359" t="str">
        <f t="shared" si="122"/>
        <v/>
      </c>
      <c r="AH526" s="359" t="str">
        <f t="shared" si="123"/>
        <v/>
      </c>
      <c r="AI526" s="359" t="str">
        <f t="shared" si="124"/>
        <v/>
      </c>
      <c r="AJ526" s="359" t="str">
        <f t="shared" si="125"/>
        <v/>
      </c>
      <c r="AK526" s="359" t="str">
        <f t="shared" si="127"/>
        <v/>
      </c>
      <c r="AL526" s="359" t="str">
        <f t="shared" si="126"/>
        <v/>
      </c>
      <c r="AM526" s="359" t="str">
        <f t="shared" si="128"/>
        <v/>
      </c>
      <c r="AN526" s="262">
        <f t="shared" si="131"/>
        <v>0</v>
      </c>
      <c r="AO526" s="262" t="str">
        <f>IFERROR(HLOOKUP(AN526,'Ref Lists'!Q$1:AL$2,2,FALSE),'Ref Lists'!$AK$2)</f>
        <v>Savings21</v>
      </c>
      <c r="AP526" s="38"/>
      <c r="AQ526" s="38">
        <f t="shared" si="120"/>
        <v>0</v>
      </c>
      <c r="AR526" s="38"/>
      <c r="AS526" s="38"/>
      <c r="AT526" s="38"/>
      <c r="AU526" s="38"/>
      <c r="AV526" s="38"/>
      <c r="AW526" s="38"/>
      <c r="AX526" s="38"/>
      <c r="AY526" s="38"/>
      <c r="AZ526" s="38"/>
      <c r="BA526" s="38"/>
      <c r="BB526" s="38"/>
      <c r="BC526" s="38"/>
      <c r="BD526" s="38"/>
      <c r="BE526" s="38"/>
      <c r="BF526" s="38"/>
      <c r="BG526" s="38"/>
      <c r="BH526" s="38"/>
      <c r="BI526" s="38"/>
      <c r="BJ526" s="38"/>
      <c r="BK526" s="38"/>
      <c r="BL526" s="38"/>
      <c r="BM526" s="38"/>
      <c r="BN526" s="38"/>
      <c r="BO526" s="38"/>
      <c r="BP526" s="38"/>
      <c r="BQ526" s="38"/>
      <c r="BR526" s="38"/>
      <c r="BS526" s="38"/>
      <c r="BT526" s="38"/>
      <c r="BU526" s="38"/>
      <c r="BV526" s="38"/>
      <c r="BW526" s="38"/>
      <c r="BX526" s="38"/>
      <c r="BY526" s="38"/>
      <c r="BZ526" s="38"/>
      <c r="CA526" s="38"/>
      <c r="CB526" s="38"/>
      <c r="CC526" s="38"/>
      <c r="CD526" s="38"/>
      <c r="CE526" s="38"/>
      <c r="CF526" s="38"/>
      <c r="CG526" s="38"/>
      <c r="CH526" s="38"/>
      <c r="CI526" s="38"/>
      <c r="CJ526" s="38"/>
      <c r="CK526" s="38"/>
      <c r="CL526" s="38"/>
      <c r="CM526" s="38"/>
      <c r="CN526" s="38"/>
      <c r="CO526" s="38"/>
      <c r="CP526" s="38"/>
      <c r="CQ526" s="38"/>
      <c r="CR526" s="38"/>
      <c r="CS526" s="38"/>
      <c r="CT526" s="38"/>
      <c r="CU526" s="38"/>
      <c r="CV526" s="38"/>
      <c r="CW526" s="38"/>
      <c r="CX526" s="38"/>
      <c r="CY526" s="38"/>
      <c r="CZ526" s="38"/>
    </row>
    <row r="527" spans="1:104" s="40" customFormat="1" ht="20.149999999999999" customHeight="1">
      <c r="A527" s="358">
        <f t="shared" si="129"/>
        <v>526</v>
      </c>
      <c r="B527" s="359" t="str">
        <f>'Front Sheet and Checklist'!$C$5</f>
        <v>Swansea Bay UHB</v>
      </c>
      <c r="C527" s="17"/>
      <c r="D527" s="17"/>
      <c r="E527" s="17"/>
      <c r="F527" s="17"/>
      <c r="G527" s="17"/>
      <c r="H527" s="17"/>
      <c r="I527" s="361">
        <f t="shared" si="119"/>
        <v>0</v>
      </c>
      <c r="J527" s="17"/>
      <c r="K527" s="18"/>
      <c r="L527" s="18"/>
      <c r="M527" s="17"/>
      <c r="N527" s="17"/>
      <c r="O527" s="17"/>
      <c r="P527" s="17"/>
      <c r="Q527" s="169"/>
      <c r="R527" s="24"/>
      <c r="S527" s="24"/>
      <c r="T527" s="24"/>
      <c r="U527" s="25"/>
      <c r="V527" s="25"/>
      <c r="W527" s="25"/>
      <c r="X527" s="24"/>
      <c r="Y527" s="24"/>
      <c r="Z527" s="24"/>
      <c r="AA527" s="24"/>
      <c r="AB527" s="24"/>
      <c r="AC527" s="24"/>
      <c r="AD527" s="361">
        <f t="shared" si="118"/>
        <v>0</v>
      </c>
      <c r="AE527" s="359" t="str">
        <f t="shared" si="121"/>
        <v/>
      </c>
      <c r="AF527" s="359" t="str">
        <f t="shared" si="130"/>
        <v/>
      </c>
      <c r="AG527" s="359" t="str">
        <f t="shared" si="122"/>
        <v/>
      </c>
      <c r="AH527" s="359" t="str">
        <f t="shared" si="123"/>
        <v/>
      </c>
      <c r="AI527" s="359" t="str">
        <f t="shared" si="124"/>
        <v/>
      </c>
      <c r="AJ527" s="359" t="str">
        <f t="shared" si="125"/>
        <v/>
      </c>
      <c r="AK527" s="359" t="str">
        <f t="shared" si="127"/>
        <v/>
      </c>
      <c r="AL527" s="359" t="str">
        <f t="shared" si="126"/>
        <v/>
      </c>
      <c r="AM527" s="359" t="str">
        <f t="shared" si="128"/>
        <v/>
      </c>
      <c r="AN527" s="262">
        <f t="shared" si="131"/>
        <v>0</v>
      </c>
      <c r="AO527" s="262" t="str">
        <f>IFERROR(HLOOKUP(AN527,'Ref Lists'!Q$1:AL$2,2,FALSE),'Ref Lists'!$AK$2)</f>
        <v>Savings21</v>
      </c>
      <c r="AP527" s="38"/>
      <c r="AQ527" s="38">
        <f t="shared" si="120"/>
        <v>0</v>
      </c>
      <c r="AR527" s="38"/>
      <c r="AS527" s="38"/>
      <c r="AT527" s="38"/>
      <c r="AU527" s="38"/>
      <c r="AV527" s="38"/>
      <c r="AW527" s="38"/>
      <c r="AX527" s="38"/>
      <c r="AY527" s="38"/>
      <c r="AZ527" s="38"/>
      <c r="BA527" s="38"/>
      <c r="BB527" s="38"/>
      <c r="BC527" s="38"/>
      <c r="BD527" s="38"/>
      <c r="BE527" s="38"/>
      <c r="BF527" s="38"/>
      <c r="BG527" s="38"/>
      <c r="BH527" s="38"/>
      <c r="BI527" s="38"/>
      <c r="BJ527" s="38"/>
      <c r="BK527" s="38"/>
      <c r="BL527" s="38"/>
      <c r="BM527" s="38"/>
      <c r="BN527" s="38"/>
      <c r="BO527" s="38"/>
      <c r="BP527" s="38"/>
      <c r="BQ527" s="38"/>
      <c r="BR527" s="38"/>
      <c r="BS527" s="38"/>
      <c r="BT527" s="38"/>
      <c r="BU527" s="38"/>
      <c r="BV527" s="38"/>
      <c r="BW527" s="38"/>
      <c r="BX527" s="38"/>
      <c r="BY527" s="38"/>
      <c r="BZ527" s="38"/>
      <c r="CA527" s="38"/>
      <c r="CB527" s="38"/>
      <c r="CC527" s="38"/>
      <c r="CD527" s="38"/>
      <c r="CE527" s="38"/>
      <c r="CF527" s="38"/>
      <c r="CG527" s="38"/>
      <c r="CH527" s="38"/>
      <c r="CI527" s="38"/>
      <c r="CJ527" s="38"/>
      <c r="CK527" s="38"/>
      <c r="CL527" s="38"/>
      <c r="CM527" s="38"/>
      <c r="CN527" s="38"/>
      <c r="CO527" s="38"/>
      <c r="CP527" s="38"/>
      <c r="CQ527" s="38"/>
      <c r="CR527" s="38"/>
      <c r="CS527" s="38"/>
      <c r="CT527" s="38"/>
      <c r="CU527" s="38"/>
      <c r="CV527" s="38"/>
      <c r="CW527" s="38"/>
      <c r="CX527" s="38"/>
      <c r="CY527" s="38"/>
      <c r="CZ527" s="38"/>
    </row>
    <row r="528" spans="1:104" s="40" customFormat="1" ht="20.149999999999999" customHeight="1">
      <c r="A528" s="358">
        <f t="shared" si="129"/>
        <v>527</v>
      </c>
      <c r="B528" s="359" t="str">
        <f>'Front Sheet and Checklist'!$C$5</f>
        <v>Swansea Bay UHB</v>
      </c>
      <c r="C528" s="17"/>
      <c r="D528" s="17"/>
      <c r="E528" s="17"/>
      <c r="F528" s="17"/>
      <c r="G528" s="17"/>
      <c r="H528" s="17"/>
      <c r="I528" s="361">
        <f t="shared" si="119"/>
        <v>0</v>
      </c>
      <c r="J528" s="17"/>
      <c r="K528" s="18"/>
      <c r="L528" s="18"/>
      <c r="M528" s="17"/>
      <c r="N528" s="17"/>
      <c r="O528" s="17"/>
      <c r="P528" s="17"/>
      <c r="Q528" s="169"/>
      <c r="R528" s="24"/>
      <c r="S528" s="24"/>
      <c r="T528" s="24"/>
      <c r="U528" s="25"/>
      <c r="V528" s="25"/>
      <c r="W528" s="25"/>
      <c r="X528" s="24"/>
      <c r="Y528" s="24"/>
      <c r="Z528" s="24"/>
      <c r="AA528" s="24"/>
      <c r="AB528" s="24"/>
      <c r="AC528" s="24"/>
      <c r="AD528" s="361">
        <f t="shared" si="118"/>
        <v>0</v>
      </c>
      <c r="AE528" s="359" t="str">
        <f t="shared" si="121"/>
        <v/>
      </c>
      <c r="AF528" s="359" t="str">
        <f t="shared" si="130"/>
        <v/>
      </c>
      <c r="AG528" s="359" t="str">
        <f t="shared" si="122"/>
        <v/>
      </c>
      <c r="AH528" s="359" t="str">
        <f t="shared" si="123"/>
        <v/>
      </c>
      <c r="AI528" s="359" t="str">
        <f t="shared" si="124"/>
        <v/>
      </c>
      <c r="AJ528" s="359" t="str">
        <f t="shared" si="125"/>
        <v/>
      </c>
      <c r="AK528" s="359" t="str">
        <f t="shared" si="127"/>
        <v/>
      </c>
      <c r="AL528" s="359" t="str">
        <f t="shared" si="126"/>
        <v/>
      </c>
      <c r="AM528" s="359" t="str">
        <f t="shared" si="128"/>
        <v/>
      </c>
      <c r="AN528" s="262">
        <f t="shared" si="131"/>
        <v>0</v>
      </c>
      <c r="AO528" s="262" t="str">
        <f>IFERROR(HLOOKUP(AN528,'Ref Lists'!Q$1:AL$2,2,FALSE),'Ref Lists'!$AK$2)</f>
        <v>Savings21</v>
      </c>
      <c r="AP528" s="38"/>
      <c r="AQ528" s="38">
        <f t="shared" si="120"/>
        <v>0</v>
      </c>
      <c r="AR528" s="38"/>
      <c r="AS528" s="38"/>
      <c r="AT528" s="38"/>
      <c r="AU528" s="38"/>
      <c r="AV528" s="38"/>
      <c r="AW528" s="38"/>
      <c r="AX528" s="38"/>
      <c r="AY528" s="38"/>
      <c r="AZ528" s="38"/>
      <c r="BA528" s="38"/>
      <c r="BB528" s="38"/>
      <c r="BC528" s="38"/>
      <c r="BD528" s="38"/>
      <c r="BE528" s="38"/>
      <c r="BF528" s="38"/>
      <c r="BG528" s="38"/>
      <c r="BH528" s="38"/>
      <c r="BI528" s="38"/>
      <c r="BJ528" s="38"/>
      <c r="BK528" s="38"/>
      <c r="BL528" s="38"/>
      <c r="BM528" s="38"/>
      <c r="BN528" s="38"/>
      <c r="BO528" s="38"/>
      <c r="BP528" s="38"/>
      <c r="BQ528" s="38"/>
      <c r="BR528" s="38"/>
      <c r="BS528" s="38"/>
      <c r="BT528" s="38"/>
      <c r="BU528" s="38"/>
      <c r="BV528" s="38"/>
      <c r="BW528" s="38"/>
      <c r="BX528" s="38"/>
      <c r="BY528" s="38"/>
      <c r="BZ528" s="38"/>
      <c r="CA528" s="38"/>
      <c r="CB528" s="38"/>
      <c r="CC528" s="38"/>
      <c r="CD528" s="38"/>
      <c r="CE528" s="38"/>
      <c r="CF528" s="38"/>
      <c r="CG528" s="38"/>
      <c r="CH528" s="38"/>
      <c r="CI528" s="38"/>
      <c r="CJ528" s="38"/>
      <c r="CK528" s="38"/>
      <c r="CL528" s="38"/>
      <c r="CM528" s="38"/>
      <c r="CN528" s="38"/>
      <c r="CO528" s="38"/>
      <c r="CP528" s="38"/>
      <c r="CQ528" s="38"/>
      <c r="CR528" s="38"/>
      <c r="CS528" s="38"/>
      <c r="CT528" s="38"/>
      <c r="CU528" s="38"/>
      <c r="CV528" s="38"/>
      <c r="CW528" s="38"/>
      <c r="CX528" s="38"/>
      <c r="CY528" s="38"/>
      <c r="CZ528" s="38"/>
    </row>
    <row r="529" spans="1:104" s="40" customFormat="1" ht="20.149999999999999" customHeight="1">
      <c r="A529" s="358">
        <f t="shared" si="129"/>
        <v>528</v>
      </c>
      <c r="B529" s="359" t="str">
        <f>'Front Sheet and Checklist'!$C$5</f>
        <v>Swansea Bay UHB</v>
      </c>
      <c r="C529" s="17"/>
      <c r="D529" s="17"/>
      <c r="E529" s="17"/>
      <c r="F529" s="17"/>
      <c r="G529" s="17"/>
      <c r="H529" s="17"/>
      <c r="I529" s="361">
        <f t="shared" si="119"/>
        <v>0</v>
      </c>
      <c r="J529" s="17"/>
      <c r="K529" s="18"/>
      <c r="L529" s="18"/>
      <c r="M529" s="17"/>
      <c r="N529" s="17"/>
      <c r="O529" s="17"/>
      <c r="P529" s="17"/>
      <c r="Q529" s="169"/>
      <c r="R529" s="24"/>
      <c r="S529" s="24"/>
      <c r="T529" s="24"/>
      <c r="U529" s="25"/>
      <c r="V529" s="25"/>
      <c r="W529" s="25"/>
      <c r="X529" s="24"/>
      <c r="Y529" s="24"/>
      <c r="Z529" s="24"/>
      <c r="AA529" s="24"/>
      <c r="AB529" s="24"/>
      <c r="AC529" s="24"/>
      <c r="AD529" s="361">
        <f t="shared" si="118"/>
        <v>0</v>
      </c>
      <c r="AE529" s="359" t="str">
        <f t="shared" si="121"/>
        <v/>
      </c>
      <c r="AF529" s="359" t="str">
        <f t="shared" si="130"/>
        <v/>
      </c>
      <c r="AG529" s="359" t="str">
        <f t="shared" si="122"/>
        <v/>
      </c>
      <c r="AH529" s="359" t="str">
        <f t="shared" si="123"/>
        <v/>
      </c>
      <c r="AI529" s="359" t="str">
        <f t="shared" si="124"/>
        <v/>
      </c>
      <c r="AJ529" s="359" t="str">
        <f t="shared" si="125"/>
        <v/>
      </c>
      <c r="AK529" s="359" t="str">
        <f t="shared" si="127"/>
        <v/>
      </c>
      <c r="AL529" s="359" t="str">
        <f t="shared" si="126"/>
        <v/>
      </c>
      <c r="AM529" s="359" t="str">
        <f t="shared" si="128"/>
        <v/>
      </c>
      <c r="AN529" s="262">
        <f t="shared" si="131"/>
        <v>0</v>
      </c>
      <c r="AO529" s="262" t="str">
        <f>IFERROR(HLOOKUP(AN529,'Ref Lists'!Q$1:AL$2,2,FALSE),'Ref Lists'!$AK$2)</f>
        <v>Savings21</v>
      </c>
      <c r="AP529" s="38"/>
      <c r="AQ529" s="38">
        <f t="shared" si="120"/>
        <v>0</v>
      </c>
      <c r="AR529" s="38"/>
      <c r="AS529" s="38"/>
      <c r="AT529" s="38"/>
      <c r="AU529" s="38"/>
      <c r="AV529" s="38"/>
      <c r="AW529" s="38"/>
      <c r="AX529" s="38"/>
      <c r="AY529" s="38"/>
      <c r="AZ529" s="38"/>
      <c r="BA529" s="38"/>
      <c r="BB529" s="38"/>
      <c r="BC529" s="38"/>
      <c r="BD529" s="38"/>
      <c r="BE529" s="38"/>
      <c r="BF529" s="38"/>
      <c r="BG529" s="38"/>
      <c r="BH529" s="38"/>
      <c r="BI529" s="38"/>
      <c r="BJ529" s="38"/>
      <c r="BK529" s="38"/>
      <c r="BL529" s="38"/>
      <c r="BM529" s="38"/>
      <c r="BN529" s="38"/>
      <c r="BO529" s="38"/>
      <c r="BP529" s="38"/>
      <c r="BQ529" s="38"/>
      <c r="BR529" s="38"/>
      <c r="BS529" s="38"/>
      <c r="BT529" s="38"/>
      <c r="BU529" s="38"/>
      <c r="BV529" s="38"/>
      <c r="BW529" s="38"/>
      <c r="BX529" s="38"/>
      <c r="BY529" s="38"/>
      <c r="BZ529" s="38"/>
      <c r="CA529" s="38"/>
      <c r="CB529" s="38"/>
      <c r="CC529" s="38"/>
      <c r="CD529" s="38"/>
      <c r="CE529" s="38"/>
      <c r="CF529" s="38"/>
      <c r="CG529" s="38"/>
      <c r="CH529" s="38"/>
      <c r="CI529" s="38"/>
      <c r="CJ529" s="38"/>
      <c r="CK529" s="38"/>
      <c r="CL529" s="38"/>
      <c r="CM529" s="38"/>
      <c r="CN529" s="38"/>
      <c r="CO529" s="38"/>
      <c r="CP529" s="38"/>
      <c r="CQ529" s="38"/>
      <c r="CR529" s="38"/>
      <c r="CS529" s="38"/>
      <c r="CT529" s="38"/>
      <c r="CU529" s="38"/>
      <c r="CV529" s="38"/>
      <c r="CW529" s="38"/>
      <c r="CX529" s="38"/>
      <c r="CY529" s="38"/>
      <c r="CZ529" s="38"/>
    </row>
    <row r="530" spans="1:104" s="40" customFormat="1" ht="20.149999999999999" customHeight="1">
      <c r="A530" s="358">
        <f t="shared" si="129"/>
        <v>529</v>
      </c>
      <c r="B530" s="359" t="str">
        <f>'Front Sheet and Checklist'!$C$5</f>
        <v>Swansea Bay UHB</v>
      </c>
      <c r="C530" s="17"/>
      <c r="D530" s="17"/>
      <c r="E530" s="17"/>
      <c r="F530" s="17"/>
      <c r="G530" s="17"/>
      <c r="H530" s="17"/>
      <c r="I530" s="361">
        <f t="shared" si="119"/>
        <v>0</v>
      </c>
      <c r="J530" s="17"/>
      <c r="K530" s="18"/>
      <c r="L530" s="18"/>
      <c r="M530" s="17"/>
      <c r="N530" s="17"/>
      <c r="O530" s="17"/>
      <c r="P530" s="17"/>
      <c r="Q530" s="169"/>
      <c r="R530" s="24"/>
      <c r="S530" s="24"/>
      <c r="T530" s="24"/>
      <c r="U530" s="25"/>
      <c r="V530" s="25"/>
      <c r="W530" s="25"/>
      <c r="X530" s="24"/>
      <c r="Y530" s="24"/>
      <c r="Z530" s="24"/>
      <c r="AA530" s="24"/>
      <c r="AB530" s="24"/>
      <c r="AC530" s="24"/>
      <c r="AD530" s="361">
        <f t="shared" si="118"/>
        <v>0</v>
      </c>
      <c r="AE530" s="359" t="str">
        <f t="shared" si="121"/>
        <v/>
      </c>
      <c r="AF530" s="359" t="str">
        <f t="shared" si="130"/>
        <v/>
      </c>
      <c r="AG530" s="359" t="str">
        <f t="shared" si="122"/>
        <v/>
      </c>
      <c r="AH530" s="359" t="str">
        <f t="shared" si="123"/>
        <v/>
      </c>
      <c r="AI530" s="359" t="str">
        <f t="shared" si="124"/>
        <v/>
      </c>
      <c r="AJ530" s="359" t="str">
        <f t="shared" si="125"/>
        <v/>
      </c>
      <c r="AK530" s="359" t="str">
        <f t="shared" si="127"/>
        <v/>
      </c>
      <c r="AL530" s="359" t="str">
        <f t="shared" si="126"/>
        <v/>
      </c>
      <c r="AM530" s="359" t="str">
        <f t="shared" si="128"/>
        <v/>
      </c>
      <c r="AN530" s="262">
        <f t="shared" si="131"/>
        <v>0</v>
      </c>
      <c r="AO530" s="262" t="str">
        <f>IFERROR(HLOOKUP(AN530,'Ref Lists'!Q$1:AL$2,2,FALSE),'Ref Lists'!$AK$2)</f>
        <v>Savings21</v>
      </c>
      <c r="AP530" s="38"/>
      <c r="AQ530" s="38">
        <f t="shared" si="120"/>
        <v>0</v>
      </c>
      <c r="AR530" s="38"/>
      <c r="AS530" s="38"/>
      <c r="AT530" s="38"/>
      <c r="AU530" s="38"/>
      <c r="AV530" s="38"/>
      <c r="AW530" s="38"/>
      <c r="AX530" s="38"/>
      <c r="AY530" s="38"/>
      <c r="AZ530" s="38"/>
      <c r="BA530" s="38"/>
      <c r="BB530" s="38"/>
      <c r="BC530" s="38"/>
      <c r="BD530" s="38"/>
      <c r="BE530" s="38"/>
      <c r="BF530" s="38"/>
      <c r="BG530" s="38"/>
      <c r="BH530" s="38"/>
      <c r="BI530" s="38"/>
      <c r="BJ530" s="38"/>
      <c r="BK530" s="38"/>
      <c r="BL530" s="38"/>
      <c r="BM530" s="38"/>
      <c r="BN530" s="38"/>
      <c r="BO530" s="38"/>
      <c r="BP530" s="38"/>
      <c r="BQ530" s="38"/>
      <c r="BR530" s="38"/>
      <c r="BS530" s="38"/>
      <c r="BT530" s="38"/>
      <c r="BU530" s="38"/>
      <c r="BV530" s="38"/>
      <c r="BW530" s="38"/>
      <c r="BX530" s="38"/>
      <c r="BY530" s="38"/>
      <c r="BZ530" s="38"/>
      <c r="CA530" s="38"/>
      <c r="CB530" s="38"/>
      <c r="CC530" s="38"/>
      <c r="CD530" s="38"/>
      <c r="CE530" s="38"/>
      <c r="CF530" s="38"/>
      <c r="CG530" s="38"/>
      <c r="CH530" s="38"/>
      <c r="CI530" s="38"/>
      <c r="CJ530" s="38"/>
      <c r="CK530" s="38"/>
      <c r="CL530" s="38"/>
      <c r="CM530" s="38"/>
      <c r="CN530" s="38"/>
      <c r="CO530" s="38"/>
      <c r="CP530" s="38"/>
      <c r="CQ530" s="38"/>
      <c r="CR530" s="38"/>
      <c r="CS530" s="38"/>
      <c r="CT530" s="38"/>
      <c r="CU530" s="38"/>
      <c r="CV530" s="38"/>
      <c r="CW530" s="38"/>
      <c r="CX530" s="38"/>
      <c r="CY530" s="38"/>
      <c r="CZ530" s="38"/>
    </row>
    <row r="531" spans="1:104" s="40" customFormat="1" ht="20.149999999999999" customHeight="1">
      <c r="A531" s="358">
        <f t="shared" si="129"/>
        <v>530</v>
      </c>
      <c r="B531" s="359" t="str">
        <f>'Front Sheet and Checklist'!$C$5</f>
        <v>Swansea Bay UHB</v>
      </c>
      <c r="C531" s="17"/>
      <c r="D531" s="17"/>
      <c r="E531" s="17"/>
      <c r="F531" s="17"/>
      <c r="G531" s="17"/>
      <c r="H531" s="17"/>
      <c r="I531" s="361">
        <f t="shared" si="119"/>
        <v>0</v>
      </c>
      <c r="J531" s="17"/>
      <c r="K531" s="18"/>
      <c r="L531" s="18"/>
      <c r="M531" s="17"/>
      <c r="N531" s="17"/>
      <c r="O531" s="17"/>
      <c r="P531" s="17"/>
      <c r="Q531" s="169"/>
      <c r="R531" s="24"/>
      <c r="S531" s="24"/>
      <c r="T531" s="24"/>
      <c r="U531" s="25"/>
      <c r="V531" s="25"/>
      <c r="W531" s="25"/>
      <c r="X531" s="24"/>
      <c r="Y531" s="24"/>
      <c r="Z531" s="24"/>
      <c r="AA531" s="24"/>
      <c r="AB531" s="24"/>
      <c r="AC531" s="24"/>
      <c r="AD531" s="361">
        <f t="shared" si="118"/>
        <v>0</v>
      </c>
      <c r="AE531" s="359" t="str">
        <f t="shared" si="121"/>
        <v/>
      </c>
      <c r="AF531" s="359" t="str">
        <f t="shared" si="130"/>
        <v/>
      </c>
      <c r="AG531" s="359" t="str">
        <f t="shared" si="122"/>
        <v/>
      </c>
      <c r="AH531" s="359" t="str">
        <f t="shared" si="123"/>
        <v/>
      </c>
      <c r="AI531" s="359" t="str">
        <f t="shared" si="124"/>
        <v/>
      </c>
      <c r="AJ531" s="359" t="str">
        <f t="shared" si="125"/>
        <v/>
      </c>
      <c r="AK531" s="359" t="str">
        <f t="shared" si="127"/>
        <v/>
      </c>
      <c r="AL531" s="359" t="str">
        <f t="shared" si="126"/>
        <v/>
      </c>
      <c r="AM531" s="359" t="str">
        <f t="shared" si="128"/>
        <v/>
      </c>
      <c r="AN531" s="262">
        <f t="shared" si="131"/>
        <v>0</v>
      </c>
      <c r="AO531" s="262" t="str">
        <f>IFERROR(HLOOKUP(AN531,'Ref Lists'!Q$1:AL$2,2,FALSE),'Ref Lists'!$AK$2)</f>
        <v>Savings21</v>
      </c>
      <c r="AP531" s="38"/>
      <c r="AQ531" s="38">
        <f t="shared" si="120"/>
        <v>0</v>
      </c>
      <c r="AR531" s="38"/>
      <c r="AS531" s="38"/>
      <c r="AT531" s="38"/>
      <c r="AU531" s="38"/>
      <c r="AV531" s="38"/>
      <c r="AW531" s="38"/>
      <c r="AX531" s="38"/>
      <c r="AY531" s="38"/>
      <c r="AZ531" s="38"/>
      <c r="BA531" s="38"/>
      <c r="BB531" s="38"/>
      <c r="BC531" s="38"/>
      <c r="BD531" s="38"/>
      <c r="BE531" s="38"/>
      <c r="BF531" s="38"/>
      <c r="BG531" s="38"/>
      <c r="BH531" s="38"/>
      <c r="BI531" s="38"/>
      <c r="BJ531" s="38"/>
      <c r="BK531" s="38"/>
      <c r="BL531" s="38"/>
      <c r="BM531" s="38"/>
      <c r="BN531" s="38"/>
      <c r="BO531" s="38"/>
      <c r="BP531" s="38"/>
      <c r="BQ531" s="38"/>
      <c r="BR531" s="38"/>
      <c r="BS531" s="38"/>
      <c r="BT531" s="38"/>
      <c r="BU531" s="38"/>
      <c r="BV531" s="38"/>
      <c r="BW531" s="38"/>
      <c r="BX531" s="38"/>
      <c r="BY531" s="38"/>
      <c r="BZ531" s="38"/>
      <c r="CA531" s="38"/>
      <c r="CB531" s="38"/>
      <c r="CC531" s="38"/>
      <c r="CD531" s="38"/>
      <c r="CE531" s="38"/>
      <c r="CF531" s="38"/>
      <c r="CG531" s="38"/>
      <c r="CH531" s="38"/>
      <c r="CI531" s="38"/>
      <c r="CJ531" s="38"/>
      <c r="CK531" s="38"/>
      <c r="CL531" s="38"/>
      <c r="CM531" s="38"/>
      <c r="CN531" s="38"/>
      <c r="CO531" s="38"/>
      <c r="CP531" s="38"/>
      <c r="CQ531" s="38"/>
      <c r="CR531" s="38"/>
      <c r="CS531" s="38"/>
      <c r="CT531" s="38"/>
      <c r="CU531" s="38"/>
      <c r="CV531" s="38"/>
      <c r="CW531" s="38"/>
      <c r="CX531" s="38"/>
      <c r="CY531" s="38"/>
      <c r="CZ531" s="38"/>
    </row>
    <row r="532" spans="1:104" s="40" customFormat="1" ht="20.149999999999999" customHeight="1">
      <c r="A532" s="358">
        <f t="shared" si="129"/>
        <v>531</v>
      </c>
      <c r="B532" s="359" t="str">
        <f>'Front Sheet and Checklist'!$C$5</f>
        <v>Swansea Bay UHB</v>
      </c>
      <c r="C532" s="17"/>
      <c r="D532" s="17"/>
      <c r="E532" s="17"/>
      <c r="F532" s="17"/>
      <c r="G532" s="17"/>
      <c r="H532" s="17"/>
      <c r="I532" s="361">
        <f t="shared" si="119"/>
        <v>0</v>
      </c>
      <c r="J532" s="17"/>
      <c r="K532" s="18"/>
      <c r="L532" s="18"/>
      <c r="M532" s="17"/>
      <c r="N532" s="17"/>
      <c r="O532" s="17"/>
      <c r="P532" s="17"/>
      <c r="Q532" s="169"/>
      <c r="R532" s="24"/>
      <c r="S532" s="24"/>
      <c r="T532" s="24"/>
      <c r="U532" s="25"/>
      <c r="V532" s="25"/>
      <c r="W532" s="25"/>
      <c r="X532" s="24"/>
      <c r="Y532" s="24"/>
      <c r="Z532" s="24"/>
      <c r="AA532" s="24"/>
      <c r="AB532" s="24"/>
      <c r="AC532" s="24"/>
      <c r="AD532" s="361">
        <f t="shared" si="118"/>
        <v>0</v>
      </c>
      <c r="AE532" s="359" t="str">
        <f t="shared" si="121"/>
        <v/>
      </c>
      <c r="AF532" s="359" t="str">
        <f t="shared" si="130"/>
        <v/>
      </c>
      <c r="AG532" s="359" t="str">
        <f t="shared" si="122"/>
        <v/>
      </c>
      <c r="AH532" s="359" t="str">
        <f t="shared" si="123"/>
        <v/>
      </c>
      <c r="AI532" s="359" t="str">
        <f t="shared" si="124"/>
        <v/>
      </c>
      <c r="AJ532" s="359" t="str">
        <f t="shared" si="125"/>
        <v/>
      </c>
      <c r="AK532" s="359" t="str">
        <f t="shared" si="127"/>
        <v/>
      </c>
      <c r="AL532" s="359" t="str">
        <f t="shared" si="126"/>
        <v/>
      </c>
      <c r="AM532" s="359" t="str">
        <f t="shared" si="128"/>
        <v/>
      </c>
      <c r="AN532" s="262">
        <f t="shared" si="131"/>
        <v>0</v>
      </c>
      <c r="AO532" s="262" t="str">
        <f>IFERROR(HLOOKUP(AN532,'Ref Lists'!Q$1:AL$2,2,FALSE),'Ref Lists'!$AK$2)</f>
        <v>Savings21</v>
      </c>
      <c r="AP532" s="38"/>
      <c r="AQ532" s="38">
        <f t="shared" si="120"/>
        <v>0</v>
      </c>
      <c r="AR532" s="38"/>
      <c r="AS532" s="38"/>
      <c r="AT532" s="38"/>
      <c r="AU532" s="38"/>
      <c r="AV532" s="38"/>
      <c r="AW532" s="38"/>
      <c r="AX532" s="38"/>
      <c r="AY532" s="38"/>
      <c r="AZ532" s="38"/>
      <c r="BA532" s="38"/>
      <c r="BB532" s="38"/>
      <c r="BC532" s="38"/>
      <c r="BD532" s="38"/>
      <c r="BE532" s="38"/>
      <c r="BF532" s="38"/>
      <c r="BG532" s="38"/>
      <c r="BH532" s="38"/>
      <c r="BI532" s="38"/>
      <c r="BJ532" s="38"/>
      <c r="BK532" s="38"/>
      <c r="BL532" s="38"/>
      <c r="BM532" s="38"/>
      <c r="BN532" s="38"/>
      <c r="BO532" s="38"/>
      <c r="BP532" s="38"/>
      <c r="BQ532" s="38"/>
      <c r="BR532" s="38"/>
      <c r="BS532" s="38"/>
      <c r="BT532" s="38"/>
      <c r="BU532" s="38"/>
      <c r="BV532" s="38"/>
      <c r="BW532" s="38"/>
      <c r="BX532" s="38"/>
      <c r="BY532" s="38"/>
      <c r="BZ532" s="38"/>
      <c r="CA532" s="38"/>
      <c r="CB532" s="38"/>
      <c r="CC532" s="38"/>
      <c r="CD532" s="38"/>
      <c r="CE532" s="38"/>
      <c r="CF532" s="38"/>
      <c r="CG532" s="38"/>
      <c r="CH532" s="38"/>
      <c r="CI532" s="38"/>
      <c r="CJ532" s="38"/>
      <c r="CK532" s="38"/>
      <c r="CL532" s="38"/>
      <c r="CM532" s="38"/>
      <c r="CN532" s="38"/>
      <c r="CO532" s="38"/>
      <c r="CP532" s="38"/>
      <c r="CQ532" s="38"/>
      <c r="CR532" s="38"/>
      <c r="CS532" s="38"/>
      <c r="CT532" s="38"/>
      <c r="CU532" s="38"/>
      <c r="CV532" s="38"/>
      <c r="CW532" s="38"/>
      <c r="CX532" s="38"/>
      <c r="CY532" s="38"/>
      <c r="CZ532" s="38"/>
    </row>
    <row r="533" spans="1:104" s="40" customFormat="1" ht="20.149999999999999" customHeight="1">
      <c r="A533" s="358">
        <f t="shared" si="129"/>
        <v>532</v>
      </c>
      <c r="B533" s="359" t="str">
        <f>'Front Sheet and Checklist'!$C$5</f>
        <v>Swansea Bay UHB</v>
      </c>
      <c r="C533" s="17"/>
      <c r="D533" s="17"/>
      <c r="E533" s="17"/>
      <c r="F533" s="17"/>
      <c r="G533" s="17"/>
      <c r="H533" s="17"/>
      <c r="I533" s="361">
        <f t="shared" si="119"/>
        <v>0</v>
      </c>
      <c r="J533" s="17"/>
      <c r="K533" s="18"/>
      <c r="L533" s="18"/>
      <c r="M533" s="17"/>
      <c r="N533" s="17"/>
      <c r="O533" s="17"/>
      <c r="P533" s="17"/>
      <c r="Q533" s="169"/>
      <c r="R533" s="24"/>
      <c r="S533" s="24"/>
      <c r="T533" s="24"/>
      <c r="U533" s="25"/>
      <c r="V533" s="25"/>
      <c r="W533" s="25"/>
      <c r="X533" s="24"/>
      <c r="Y533" s="24"/>
      <c r="Z533" s="24"/>
      <c r="AA533" s="24"/>
      <c r="AB533" s="24"/>
      <c r="AC533" s="24"/>
      <c r="AD533" s="361">
        <f t="shared" si="118"/>
        <v>0</v>
      </c>
      <c r="AE533" s="359" t="str">
        <f t="shared" si="121"/>
        <v/>
      </c>
      <c r="AF533" s="359" t="str">
        <f t="shared" si="130"/>
        <v/>
      </c>
      <c r="AG533" s="359" t="str">
        <f t="shared" si="122"/>
        <v/>
      </c>
      <c r="AH533" s="359" t="str">
        <f t="shared" si="123"/>
        <v/>
      </c>
      <c r="AI533" s="359" t="str">
        <f t="shared" si="124"/>
        <v/>
      </c>
      <c r="AJ533" s="359" t="str">
        <f t="shared" si="125"/>
        <v/>
      </c>
      <c r="AK533" s="359" t="str">
        <f t="shared" si="127"/>
        <v/>
      </c>
      <c r="AL533" s="359" t="str">
        <f t="shared" si="126"/>
        <v/>
      </c>
      <c r="AM533" s="359" t="str">
        <f t="shared" si="128"/>
        <v/>
      </c>
      <c r="AN533" s="262">
        <f t="shared" si="131"/>
        <v>0</v>
      </c>
      <c r="AO533" s="262" t="str">
        <f>IFERROR(HLOOKUP(AN533,'Ref Lists'!Q$1:AL$2,2,FALSE),'Ref Lists'!$AK$2)</f>
        <v>Savings21</v>
      </c>
      <c r="AP533" s="38"/>
      <c r="AQ533" s="38">
        <f t="shared" si="120"/>
        <v>0</v>
      </c>
      <c r="AR533" s="38"/>
      <c r="AS533" s="38"/>
      <c r="AT533" s="38"/>
      <c r="AU533" s="38"/>
      <c r="AV533" s="38"/>
      <c r="AW533" s="38"/>
      <c r="AX533" s="38"/>
      <c r="AY533" s="38"/>
      <c r="AZ533" s="38"/>
      <c r="BA533" s="38"/>
      <c r="BB533" s="38"/>
      <c r="BC533" s="38"/>
      <c r="BD533" s="38"/>
      <c r="BE533" s="38"/>
      <c r="BF533" s="38"/>
      <c r="BG533" s="38"/>
      <c r="BH533" s="38"/>
      <c r="BI533" s="38"/>
      <c r="BJ533" s="38"/>
      <c r="BK533" s="38"/>
      <c r="BL533" s="38"/>
      <c r="BM533" s="38"/>
      <c r="BN533" s="38"/>
      <c r="BO533" s="38"/>
      <c r="BP533" s="38"/>
      <c r="BQ533" s="38"/>
      <c r="BR533" s="38"/>
      <c r="BS533" s="38"/>
      <c r="BT533" s="38"/>
      <c r="BU533" s="38"/>
      <c r="BV533" s="38"/>
      <c r="BW533" s="38"/>
      <c r="BX533" s="38"/>
      <c r="BY533" s="38"/>
      <c r="BZ533" s="38"/>
      <c r="CA533" s="38"/>
      <c r="CB533" s="38"/>
      <c r="CC533" s="38"/>
      <c r="CD533" s="38"/>
      <c r="CE533" s="38"/>
      <c r="CF533" s="38"/>
      <c r="CG533" s="38"/>
      <c r="CH533" s="38"/>
      <c r="CI533" s="38"/>
      <c r="CJ533" s="38"/>
      <c r="CK533" s="38"/>
      <c r="CL533" s="38"/>
      <c r="CM533" s="38"/>
      <c r="CN533" s="38"/>
      <c r="CO533" s="38"/>
      <c r="CP533" s="38"/>
      <c r="CQ533" s="38"/>
      <c r="CR533" s="38"/>
      <c r="CS533" s="38"/>
      <c r="CT533" s="38"/>
      <c r="CU533" s="38"/>
      <c r="CV533" s="38"/>
      <c r="CW533" s="38"/>
      <c r="CX533" s="38"/>
      <c r="CY533" s="38"/>
      <c r="CZ533" s="38"/>
    </row>
    <row r="534" spans="1:104" s="40" customFormat="1" ht="20.149999999999999" customHeight="1">
      <c r="A534" s="358">
        <f t="shared" si="129"/>
        <v>533</v>
      </c>
      <c r="B534" s="359" t="str">
        <f>'Front Sheet and Checklist'!$C$5</f>
        <v>Swansea Bay UHB</v>
      </c>
      <c r="C534" s="17"/>
      <c r="D534" s="17"/>
      <c r="E534" s="17"/>
      <c r="F534" s="17"/>
      <c r="G534" s="17"/>
      <c r="H534" s="17"/>
      <c r="I534" s="361">
        <f t="shared" si="119"/>
        <v>0</v>
      </c>
      <c r="J534" s="17"/>
      <c r="K534" s="18"/>
      <c r="L534" s="18"/>
      <c r="M534" s="17"/>
      <c r="N534" s="17"/>
      <c r="O534" s="17"/>
      <c r="P534" s="17"/>
      <c r="Q534" s="169"/>
      <c r="R534" s="24"/>
      <c r="S534" s="24"/>
      <c r="T534" s="24"/>
      <c r="U534" s="25"/>
      <c r="V534" s="25"/>
      <c r="W534" s="25"/>
      <c r="X534" s="24"/>
      <c r="Y534" s="24"/>
      <c r="Z534" s="24"/>
      <c r="AA534" s="24"/>
      <c r="AB534" s="24"/>
      <c r="AC534" s="24"/>
      <c r="AD534" s="361">
        <f t="shared" si="118"/>
        <v>0</v>
      </c>
      <c r="AE534" s="359" t="str">
        <f t="shared" si="121"/>
        <v/>
      </c>
      <c r="AF534" s="359" t="str">
        <f t="shared" si="130"/>
        <v/>
      </c>
      <c r="AG534" s="359" t="str">
        <f t="shared" si="122"/>
        <v/>
      </c>
      <c r="AH534" s="359" t="str">
        <f t="shared" si="123"/>
        <v/>
      </c>
      <c r="AI534" s="359" t="str">
        <f t="shared" si="124"/>
        <v/>
      </c>
      <c r="AJ534" s="359" t="str">
        <f t="shared" si="125"/>
        <v/>
      </c>
      <c r="AK534" s="359" t="str">
        <f t="shared" si="127"/>
        <v/>
      </c>
      <c r="AL534" s="359" t="str">
        <f t="shared" si="126"/>
        <v/>
      </c>
      <c r="AM534" s="359" t="str">
        <f t="shared" si="128"/>
        <v/>
      </c>
      <c r="AN534" s="262">
        <f t="shared" si="131"/>
        <v>0</v>
      </c>
      <c r="AO534" s="262" t="str">
        <f>IFERROR(HLOOKUP(AN534,'Ref Lists'!Q$1:AL$2,2,FALSE),'Ref Lists'!$AK$2)</f>
        <v>Savings21</v>
      </c>
      <c r="AP534" s="38"/>
      <c r="AQ534" s="38">
        <f t="shared" si="120"/>
        <v>0</v>
      </c>
      <c r="AR534" s="38"/>
      <c r="AS534" s="38"/>
      <c r="AT534" s="38"/>
      <c r="AU534" s="38"/>
      <c r="AV534" s="38"/>
      <c r="AW534" s="38"/>
      <c r="AX534" s="38"/>
      <c r="AY534" s="38"/>
      <c r="AZ534" s="38"/>
      <c r="BA534" s="38"/>
      <c r="BB534" s="38"/>
      <c r="BC534" s="38"/>
      <c r="BD534" s="38"/>
      <c r="BE534" s="38"/>
      <c r="BF534" s="38"/>
      <c r="BG534" s="38"/>
      <c r="BH534" s="38"/>
      <c r="BI534" s="38"/>
      <c r="BJ534" s="38"/>
      <c r="BK534" s="38"/>
      <c r="BL534" s="38"/>
      <c r="BM534" s="38"/>
      <c r="BN534" s="38"/>
      <c r="BO534" s="38"/>
      <c r="BP534" s="38"/>
      <c r="BQ534" s="38"/>
      <c r="BR534" s="38"/>
      <c r="BS534" s="38"/>
      <c r="BT534" s="38"/>
      <c r="BU534" s="38"/>
      <c r="BV534" s="38"/>
      <c r="BW534" s="38"/>
      <c r="BX534" s="38"/>
      <c r="BY534" s="38"/>
      <c r="BZ534" s="38"/>
      <c r="CA534" s="38"/>
      <c r="CB534" s="38"/>
      <c r="CC534" s="38"/>
      <c r="CD534" s="38"/>
      <c r="CE534" s="38"/>
      <c r="CF534" s="38"/>
      <c r="CG534" s="38"/>
      <c r="CH534" s="38"/>
      <c r="CI534" s="38"/>
      <c r="CJ534" s="38"/>
      <c r="CK534" s="38"/>
      <c r="CL534" s="38"/>
      <c r="CM534" s="38"/>
      <c r="CN534" s="38"/>
      <c r="CO534" s="38"/>
      <c r="CP534" s="38"/>
      <c r="CQ534" s="38"/>
      <c r="CR534" s="38"/>
      <c r="CS534" s="38"/>
      <c r="CT534" s="38"/>
      <c r="CU534" s="38"/>
      <c r="CV534" s="38"/>
      <c r="CW534" s="38"/>
      <c r="CX534" s="38"/>
      <c r="CY534" s="38"/>
      <c r="CZ534" s="38"/>
    </row>
    <row r="535" spans="1:104" s="40" customFormat="1" ht="20.149999999999999" customHeight="1">
      <c r="A535" s="358">
        <f t="shared" si="129"/>
        <v>534</v>
      </c>
      <c r="B535" s="359" t="str">
        <f>'Front Sheet and Checklist'!$C$5</f>
        <v>Swansea Bay UHB</v>
      </c>
      <c r="C535" s="17"/>
      <c r="D535" s="17"/>
      <c r="E535" s="17"/>
      <c r="F535" s="17"/>
      <c r="G535" s="17"/>
      <c r="H535" s="17"/>
      <c r="I535" s="361">
        <f t="shared" si="119"/>
        <v>0</v>
      </c>
      <c r="J535" s="17"/>
      <c r="K535" s="18"/>
      <c r="L535" s="18"/>
      <c r="M535" s="17"/>
      <c r="N535" s="17"/>
      <c r="O535" s="17"/>
      <c r="P535" s="17"/>
      <c r="Q535" s="169"/>
      <c r="R535" s="24"/>
      <c r="S535" s="24"/>
      <c r="T535" s="24"/>
      <c r="U535" s="25"/>
      <c r="V535" s="25"/>
      <c r="W535" s="25"/>
      <c r="X535" s="24"/>
      <c r="Y535" s="24"/>
      <c r="Z535" s="24"/>
      <c r="AA535" s="24"/>
      <c r="AB535" s="24"/>
      <c r="AC535" s="24"/>
      <c r="AD535" s="361">
        <f t="shared" si="118"/>
        <v>0</v>
      </c>
      <c r="AE535" s="359" t="str">
        <f t="shared" si="121"/>
        <v/>
      </c>
      <c r="AF535" s="359" t="str">
        <f t="shared" si="130"/>
        <v/>
      </c>
      <c r="AG535" s="359" t="str">
        <f t="shared" si="122"/>
        <v/>
      </c>
      <c r="AH535" s="359" t="str">
        <f t="shared" si="123"/>
        <v/>
      </c>
      <c r="AI535" s="359" t="str">
        <f t="shared" si="124"/>
        <v/>
      </c>
      <c r="AJ535" s="359" t="str">
        <f t="shared" si="125"/>
        <v/>
      </c>
      <c r="AK535" s="359" t="str">
        <f t="shared" si="127"/>
        <v/>
      </c>
      <c r="AL535" s="359" t="str">
        <f t="shared" si="126"/>
        <v/>
      </c>
      <c r="AM535" s="359" t="str">
        <f t="shared" si="128"/>
        <v/>
      </c>
      <c r="AN535" s="262">
        <f t="shared" si="131"/>
        <v>0</v>
      </c>
      <c r="AO535" s="262" t="str">
        <f>IFERROR(HLOOKUP(AN535,'Ref Lists'!Q$1:AL$2,2,FALSE),'Ref Lists'!$AK$2)</f>
        <v>Savings21</v>
      </c>
      <c r="AP535" s="38"/>
      <c r="AQ535" s="38">
        <f t="shared" si="120"/>
        <v>0</v>
      </c>
      <c r="AR535" s="38"/>
      <c r="AS535" s="38"/>
      <c r="AT535" s="38"/>
      <c r="AU535" s="38"/>
      <c r="AV535" s="38"/>
      <c r="AW535" s="38"/>
      <c r="AX535" s="38"/>
      <c r="AY535" s="38"/>
      <c r="AZ535" s="38"/>
      <c r="BA535" s="38"/>
      <c r="BB535" s="38"/>
      <c r="BC535" s="38"/>
      <c r="BD535" s="38"/>
      <c r="BE535" s="38"/>
      <c r="BF535" s="38"/>
      <c r="BG535" s="38"/>
      <c r="BH535" s="38"/>
      <c r="BI535" s="38"/>
      <c r="BJ535" s="38"/>
      <c r="BK535" s="38"/>
      <c r="BL535" s="38"/>
      <c r="BM535" s="38"/>
      <c r="BN535" s="38"/>
      <c r="BO535" s="38"/>
      <c r="BP535" s="38"/>
      <c r="BQ535" s="38"/>
      <c r="BR535" s="38"/>
      <c r="BS535" s="38"/>
      <c r="BT535" s="38"/>
      <c r="BU535" s="38"/>
      <c r="BV535" s="38"/>
      <c r="BW535" s="38"/>
      <c r="BX535" s="38"/>
      <c r="BY535" s="38"/>
      <c r="BZ535" s="38"/>
      <c r="CA535" s="38"/>
      <c r="CB535" s="38"/>
      <c r="CC535" s="38"/>
      <c r="CD535" s="38"/>
      <c r="CE535" s="38"/>
      <c r="CF535" s="38"/>
      <c r="CG535" s="38"/>
      <c r="CH535" s="38"/>
      <c r="CI535" s="38"/>
      <c r="CJ535" s="38"/>
      <c r="CK535" s="38"/>
      <c r="CL535" s="38"/>
      <c r="CM535" s="38"/>
      <c r="CN535" s="38"/>
      <c r="CO535" s="38"/>
      <c r="CP535" s="38"/>
      <c r="CQ535" s="38"/>
      <c r="CR535" s="38"/>
      <c r="CS535" s="38"/>
      <c r="CT535" s="38"/>
      <c r="CU535" s="38"/>
      <c r="CV535" s="38"/>
      <c r="CW535" s="38"/>
      <c r="CX535" s="38"/>
      <c r="CY535" s="38"/>
      <c r="CZ535" s="38"/>
    </row>
    <row r="536" spans="1:104" s="40" customFormat="1" ht="20.149999999999999" customHeight="1">
      <c r="A536" s="358">
        <f t="shared" si="129"/>
        <v>535</v>
      </c>
      <c r="B536" s="359" t="str">
        <f>'Front Sheet and Checklist'!$C$5</f>
        <v>Swansea Bay UHB</v>
      </c>
      <c r="C536" s="17"/>
      <c r="D536" s="17"/>
      <c r="E536" s="17"/>
      <c r="F536" s="17"/>
      <c r="G536" s="17"/>
      <c r="H536" s="17"/>
      <c r="I536" s="361">
        <f t="shared" si="119"/>
        <v>0</v>
      </c>
      <c r="J536" s="17"/>
      <c r="K536" s="18"/>
      <c r="L536" s="18"/>
      <c r="M536" s="17"/>
      <c r="N536" s="17"/>
      <c r="O536" s="17"/>
      <c r="P536" s="17"/>
      <c r="Q536" s="169"/>
      <c r="R536" s="24"/>
      <c r="S536" s="24"/>
      <c r="T536" s="24"/>
      <c r="U536" s="25"/>
      <c r="V536" s="25"/>
      <c r="W536" s="25"/>
      <c r="X536" s="24"/>
      <c r="Y536" s="24"/>
      <c r="Z536" s="24"/>
      <c r="AA536" s="24"/>
      <c r="AB536" s="24"/>
      <c r="AC536" s="24"/>
      <c r="AD536" s="361">
        <f t="shared" si="118"/>
        <v>0</v>
      </c>
      <c r="AE536" s="359" t="str">
        <f t="shared" si="121"/>
        <v/>
      </c>
      <c r="AF536" s="359" t="str">
        <f t="shared" si="130"/>
        <v/>
      </c>
      <c r="AG536" s="359" t="str">
        <f t="shared" si="122"/>
        <v/>
      </c>
      <c r="AH536" s="359" t="str">
        <f t="shared" si="123"/>
        <v/>
      </c>
      <c r="AI536" s="359" t="str">
        <f t="shared" si="124"/>
        <v/>
      </c>
      <c r="AJ536" s="359" t="str">
        <f t="shared" si="125"/>
        <v/>
      </c>
      <c r="AK536" s="359" t="str">
        <f t="shared" si="127"/>
        <v/>
      </c>
      <c r="AL536" s="359" t="str">
        <f t="shared" si="126"/>
        <v/>
      </c>
      <c r="AM536" s="359" t="str">
        <f t="shared" si="128"/>
        <v/>
      </c>
      <c r="AN536" s="262">
        <f t="shared" si="131"/>
        <v>0</v>
      </c>
      <c r="AO536" s="262" t="str">
        <f>IFERROR(HLOOKUP(AN536,'Ref Lists'!Q$1:AL$2,2,FALSE),'Ref Lists'!$AK$2)</f>
        <v>Savings21</v>
      </c>
      <c r="AP536" s="38"/>
      <c r="AQ536" s="38">
        <f t="shared" si="120"/>
        <v>0</v>
      </c>
      <c r="AR536" s="38"/>
      <c r="AS536" s="38"/>
      <c r="AT536" s="38"/>
      <c r="AU536" s="38"/>
      <c r="AV536" s="38"/>
      <c r="AW536" s="38"/>
      <c r="AX536" s="38"/>
      <c r="AY536" s="38"/>
      <c r="AZ536" s="38"/>
      <c r="BA536" s="38"/>
      <c r="BB536" s="38"/>
      <c r="BC536" s="38"/>
      <c r="BD536" s="38"/>
      <c r="BE536" s="38"/>
      <c r="BF536" s="38"/>
      <c r="BG536" s="38"/>
      <c r="BH536" s="38"/>
      <c r="BI536" s="38"/>
      <c r="BJ536" s="38"/>
      <c r="BK536" s="38"/>
      <c r="BL536" s="38"/>
      <c r="BM536" s="38"/>
      <c r="BN536" s="38"/>
      <c r="BO536" s="38"/>
      <c r="BP536" s="38"/>
      <c r="BQ536" s="38"/>
      <c r="BR536" s="38"/>
      <c r="BS536" s="38"/>
      <c r="BT536" s="38"/>
      <c r="BU536" s="38"/>
      <c r="BV536" s="38"/>
      <c r="BW536" s="38"/>
      <c r="BX536" s="38"/>
      <c r="BY536" s="38"/>
      <c r="BZ536" s="38"/>
      <c r="CA536" s="38"/>
      <c r="CB536" s="38"/>
      <c r="CC536" s="38"/>
      <c r="CD536" s="38"/>
      <c r="CE536" s="38"/>
      <c r="CF536" s="38"/>
      <c r="CG536" s="38"/>
      <c r="CH536" s="38"/>
      <c r="CI536" s="38"/>
      <c r="CJ536" s="38"/>
      <c r="CK536" s="38"/>
      <c r="CL536" s="38"/>
      <c r="CM536" s="38"/>
      <c r="CN536" s="38"/>
      <c r="CO536" s="38"/>
      <c r="CP536" s="38"/>
      <c r="CQ536" s="38"/>
      <c r="CR536" s="38"/>
      <c r="CS536" s="38"/>
      <c r="CT536" s="38"/>
      <c r="CU536" s="38"/>
      <c r="CV536" s="38"/>
      <c r="CW536" s="38"/>
      <c r="CX536" s="38"/>
      <c r="CY536" s="38"/>
      <c r="CZ536" s="38"/>
    </row>
    <row r="537" spans="1:104" s="40" customFormat="1" ht="20.149999999999999" customHeight="1">
      <c r="A537" s="358">
        <f t="shared" si="129"/>
        <v>536</v>
      </c>
      <c r="B537" s="359" t="str">
        <f>'Front Sheet and Checklist'!$C$5</f>
        <v>Swansea Bay UHB</v>
      </c>
      <c r="C537" s="17"/>
      <c r="D537" s="17"/>
      <c r="E537" s="17"/>
      <c r="F537" s="17"/>
      <c r="G537" s="17"/>
      <c r="H537" s="17"/>
      <c r="I537" s="361">
        <f t="shared" si="119"/>
        <v>0</v>
      </c>
      <c r="J537" s="17"/>
      <c r="K537" s="18"/>
      <c r="L537" s="18"/>
      <c r="M537" s="17"/>
      <c r="N537" s="17"/>
      <c r="O537" s="17"/>
      <c r="P537" s="17"/>
      <c r="Q537" s="169"/>
      <c r="R537" s="24"/>
      <c r="S537" s="24"/>
      <c r="T537" s="24"/>
      <c r="U537" s="25"/>
      <c r="V537" s="25"/>
      <c r="W537" s="25"/>
      <c r="X537" s="24"/>
      <c r="Y537" s="24"/>
      <c r="Z537" s="24"/>
      <c r="AA537" s="24"/>
      <c r="AB537" s="24"/>
      <c r="AC537" s="24"/>
      <c r="AD537" s="361">
        <f t="shared" si="118"/>
        <v>0</v>
      </c>
      <c r="AE537" s="359" t="str">
        <f t="shared" si="121"/>
        <v/>
      </c>
      <c r="AF537" s="359" t="str">
        <f t="shared" si="130"/>
        <v/>
      </c>
      <c r="AG537" s="359" t="str">
        <f t="shared" si="122"/>
        <v/>
      </c>
      <c r="AH537" s="359" t="str">
        <f t="shared" si="123"/>
        <v/>
      </c>
      <c r="AI537" s="359" t="str">
        <f t="shared" si="124"/>
        <v/>
      </c>
      <c r="AJ537" s="359" t="str">
        <f t="shared" si="125"/>
        <v/>
      </c>
      <c r="AK537" s="359" t="str">
        <f t="shared" si="127"/>
        <v/>
      </c>
      <c r="AL537" s="359" t="str">
        <f t="shared" si="126"/>
        <v/>
      </c>
      <c r="AM537" s="359" t="str">
        <f t="shared" si="128"/>
        <v/>
      </c>
      <c r="AN537" s="262">
        <f t="shared" si="131"/>
        <v>0</v>
      </c>
      <c r="AO537" s="262" t="str">
        <f>IFERROR(HLOOKUP(AN537,'Ref Lists'!Q$1:AL$2,2,FALSE),'Ref Lists'!$AK$2)</f>
        <v>Savings21</v>
      </c>
      <c r="AP537" s="38"/>
      <c r="AQ537" s="38">
        <f t="shared" si="120"/>
        <v>0</v>
      </c>
      <c r="AR537" s="38"/>
      <c r="AS537" s="38"/>
      <c r="AT537" s="38"/>
      <c r="AU537" s="38"/>
      <c r="AV537" s="38"/>
      <c r="AW537" s="38"/>
      <c r="AX537" s="38"/>
      <c r="AY537" s="38"/>
      <c r="AZ537" s="38"/>
      <c r="BA537" s="38"/>
      <c r="BB537" s="38"/>
      <c r="BC537" s="38"/>
      <c r="BD537" s="38"/>
      <c r="BE537" s="38"/>
      <c r="BF537" s="38"/>
      <c r="BG537" s="38"/>
      <c r="BH537" s="38"/>
      <c r="BI537" s="38"/>
      <c r="BJ537" s="38"/>
      <c r="BK537" s="38"/>
      <c r="BL537" s="38"/>
      <c r="BM537" s="38"/>
      <c r="BN537" s="38"/>
      <c r="BO537" s="38"/>
      <c r="BP537" s="38"/>
      <c r="BQ537" s="38"/>
      <c r="BR537" s="38"/>
      <c r="BS537" s="38"/>
      <c r="BT537" s="38"/>
      <c r="BU537" s="38"/>
      <c r="BV537" s="38"/>
      <c r="BW537" s="38"/>
      <c r="BX537" s="38"/>
      <c r="BY537" s="38"/>
      <c r="BZ537" s="38"/>
      <c r="CA537" s="38"/>
      <c r="CB537" s="38"/>
      <c r="CC537" s="38"/>
      <c r="CD537" s="38"/>
      <c r="CE537" s="38"/>
      <c r="CF537" s="38"/>
      <c r="CG537" s="38"/>
      <c r="CH537" s="38"/>
      <c r="CI537" s="38"/>
      <c r="CJ537" s="38"/>
      <c r="CK537" s="38"/>
      <c r="CL537" s="38"/>
      <c r="CM537" s="38"/>
      <c r="CN537" s="38"/>
      <c r="CO537" s="38"/>
      <c r="CP537" s="38"/>
      <c r="CQ537" s="38"/>
      <c r="CR537" s="38"/>
      <c r="CS537" s="38"/>
      <c r="CT537" s="38"/>
      <c r="CU537" s="38"/>
      <c r="CV537" s="38"/>
      <c r="CW537" s="38"/>
      <c r="CX537" s="38"/>
      <c r="CY537" s="38"/>
      <c r="CZ537" s="38"/>
    </row>
    <row r="538" spans="1:104" s="40" customFormat="1" ht="20.149999999999999" customHeight="1">
      <c r="A538" s="358">
        <f t="shared" si="129"/>
        <v>537</v>
      </c>
      <c r="B538" s="359" t="str">
        <f>'Front Sheet and Checklist'!$C$5</f>
        <v>Swansea Bay UHB</v>
      </c>
      <c r="C538" s="17"/>
      <c r="D538" s="17"/>
      <c r="E538" s="17"/>
      <c r="F538" s="17"/>
      <c r="G538" s="17"/>
      <c r="H538" s="17"/>
      <c r="I538" s="361">
        <f t="shared" si="119"/>
        <v>0</v>
      </c>
      <c r="J538" s="17"/>
      <c r="K538" s="18"/>
      <c r="L538" s="18"/>
      <c r="M538" s="17"/>
      <c r="N538" s="17"/>
      <c r="O538" s="17"/>
      <c r="P538" s="17"/>
      <c r="Q538" s="169"/>
      <c r="R538" s="24"/>
      <c r="S538" s="24"/>
      <c r="T538" s="24"/>
      <c r="U538" s="25"/>
      <c r="V538" s="25"/>
      <c r="W538" s="25"/>
      <c r="X538" s="24"/>
      <c r="Y538" s="24"/>
      <c r="Z538" s="24"/>
      <c r="AA538" s="24"/>
      <c r="AB538" s="24"/>
      <c r="AC538" s="24"/>
      <c r="AD538" s="361">
        <f t="shared" si="118"/>
        <v>0</v>
      </c>
      <c r="AE538" s="359" t="str">
        <f t="shared" si="121"/>
        <v/>
      </c>
      <c r="AF538" s="359" t="str">
        <f t="shared" si="130"/>
        <v/>
      </c>
      <c r="AG538" s="359" t="str">
        <f t="shared" si="122"/>
        <v/>
      </c>
      <c r="AH538" s="359" t="str">
        <f t="shared" si="123"/>
        <v/>
      </c>
      <c r="AI538" s="359" t="str">
        <f t="shared" si="124"/>
        <v/>
      </c>
      <c r="AJ538" s="359" t="str">
        <f t="shared" si="125"/>
        <v/>
      </c>
      <c r="AK538" s="359" t="str">
        <f t="shared" si="127"/>
        <v/>
      </c>
      <c r="AL538" s="359" t="str">
        <f t="shared" si="126"/>
        <v/>
      </c>
      <c r="AM538" s="359" t="str">
        <f t="shared" si="128"/>
        <v/>
      </c>
      <c r="AN538" s="262">
        <f t="shared" si="131"/>
        <v>0</v>
      </c>
      <c r="AO538" s="262" t="str">
        <f>IFERROR(HLOOKUP(AN538,'Ref Lists'!Q$1:AL$2,2,FALSE),'Ref Lists'!$AK$2)</f>
        <v>Savings21</v>
      </c>
      <c r="AP538" s="38"/>
      <c r="AQ538" s="38">
        <f t="shared" si="120"/>
        <v>0</v>
      </c>
      <c r="AR538" s="38"/>
      <c r="AS538" s="38"/>
      <c r="AT538" s="38"/>
      <c r="AU538" s="38"/>
      <c r="AV538" s="38"/>
      <c r="AW538" s="38"/>
      <c r="AX538" s="38"/>
      <c r="AY538" s="38"/>
      <c r="AZ538" s="38"/>
      <c r="BA538" s="38"/>
      <c r="BB538" s="38"/>
      <c r="BC538" s="38"/>
      <c r="BD538" s="38"/>
      <c r="BE538" s="38"/>
      <c r="BF538" s="38"/>
      <c r="BG538" s="38"/>
      <c r="BH538" s="38"/>
      <c r="BI538" s="38"/>
      <c r="BJ538" s="38"/>
      <c r="BK538" s="38"/>
      <c r="BL538" s="38"/>
      <c r="BM538" s="38"/>
      <c r="BN538" s="38"/>
      <c r="BO538" s="38"/>
      <c r="BP538" s="38"/>
      <c r="BQ538" s="38"/>
      <c r="BR538" s="38"/>
      <c r="BS538" s="38"/>
      <c r="BT538" s="38"/>
      <c r="BU538" s="38"/>
      <c r="BV538" s="38"/>
      <c r="BW538" s="38"/>
      <c r="BX538" s="38"/>
      <c r="BY538" s="38"/>
      <c r="BZ538" s="38"/>
      <c r="CA538" s="38"/>
      <c r="CB538" s="38"/>
      <c r="CC538" s="38"/>
      <c r="CD538" s="38"/>
      <c r="CE538" s="38"/>
      <c r="CF538" s="38"/>
      <c r="CG538" s="38"/>
      <c r="CH538" s="38"/>
      <c r="CI538" s="38"/>
      <c r="CJ538" s="38"/>
      <c r="CK538" s="38"/>
      <c r="CL538" s="38"/>
      <c r="CM538" s="38"/>
      <c r="CN538" s="38"/>
      <c r="CO538" s="38"/>
      <c r="CP538" s="38"/>
      <c r="CQ538" s="38"/>
      <c r="CR538" s="38"/>
      <c r="CS538" s="38"/>
      <c r="CT538" s="38"/>
      <c r="CU538" s="38"/>
      <c r="CV538" s="38"/>
      <c r="CW538" s="38"/>
      <c r="CX538" s="38"/>
      <c r="CY538" s="38"/>
      <c r="CZ538" s="38"/>
    </row>
    <row r="539" spans="1:104" s="40" customFormat="1" ht="20.149999999999999" customHeight="1">
      <c r="A539" s="358">
        <f t="shared" si="129"/>
        <v>538</v>
      </c>
      <c r="B539" s="359" t="str">
        <f>'Front Sheet and Checklist'!$C$5</f>
        <v>Swansea Bay UHB</v>
      </c>
      <c r="C539" s="17"/>
      <c r="D539" s="17"/>
      <c r="E539" s="17"/>
      <c r="F539" s="17"/>
      <c r="G539" s="17"/>
      <c r="H539" s="17"/>
      <c r="I539" s="361">
        <f t="shared" si="119"/>
        <v>0</v>
      </c>
      <c r="J539" s="17"/>
      <c r="K539" s="18"/>
      <c r="L539" s="18"/>
      <c r="M539" s="17"/>
      <c r="N539" s="17"/>
      <c r="O539" s="17"/>
      <c r="P539" s="17"/>
      <c r="Q539" s="169"/>
      <c r="R539" s="24"/>
      <c r="S539" s="24"/>
      <c r="T539" s="24"/>
      <c r="U539" s="25"/>
      <c r="V539" s="25"/>
      <c r="W539" s="25"/>
      <c r="X539" s="24"/>
      <c r="Y539" s="24"/>
      <c r="Z539" s="24"/>
      <c r="AA539" s="24"/>
      <c r="AB539" s="24"/>
      <c r="AC539" s="24"/>
      <c r="AD539" s="361">
        <f t="shared" si="118"/>
        <v>0</v>
      </c>
      <c r="AE539" s="359" t="str">
        <f t="shared" si="121"/>
        <v/>
      </c>
      <c r="AF539" s="359" t="str">
        <f t="shared" si="130"/>
        <v/>
      </c>
      <c r="AG539" s="359" t="str">
        <f t="shared" si="122"/>
        <v/>
      </c>
      <c r="AH539" s="359" t="str">
        <f t="shared" si="123"/>
        <v/>
      </c>
      <c r="AI539" s="359" t="str">
        <f t="shared" si="124"/>
        <v/>
      </c>
      <c r="AJ539" s="359" t="str">
        <f t="shared" si="125"/>
        <v/>
      </c>
      <c r="AK539" s="359" t="str">
        <f t="shared" si="127"/>
        <v/>
      </c>
      <c r="AL539" s="359" t="str">
        <f t="shared" si="126"/>
        <v/>
      </c>
      <c r="AM539" s="359" t="str">
        <f t="shared" si="128"/>
        <v/>
      </c>
      <c r="AN539" s="262">
        <f t="shared" si="131"/>
        <v>0</v>
      </c>
      <c r="AO539" s="262" t="str">
        <f>IFERROR(HLOOKUP(AN539,'Ref Lists'!Q$1:AL$2,2,FALSE),'Ref Lists'!$AK$2)</f>
        <v>Savings21</v>
      </c>
      <c r="AP539" s="38"/>
      <c r="AQ539" s="38">
        <f t="shared" si="120"/>
        <v>0</v>
      </c>
      <c r="AR539" s="38"/>
      <c r="AS539" s="38"/>
      <c r="AT539" s="38"/>
      <c r="AU539" s="38"/>
      <c r="AV539" s="38"/>
      <c r="AW539" s="38"/>
      <c r="AX539" s="38"/>
      <c r="AY539" s="38"/>
      <c r="AZ539" s="38"/>
      <c r="BA539" s="38"/>
      <c r="BB539" s="38"/>
      <c r="BC539" s="38"/>
      <c r="BD539" s="38"/>
      <c r="BE539" s="38"/>
      <c r="BF539" s="38"/>
      <c r="BG539" s="38"/>
      <c r="BH539" s="38"/>
      <c r="BI539" s="38"/>
      <c r="BJ539" s="38"/>
      <c r="BK539" s="38"/>
      <c r="BL539" s="38"/>
      <c r="BM539" s="38"/>
      <c r="BN539" s="38"/>
      <c r="BO539" s="38"/>
      <c r="BP539" s="38"/>
      <c r="BQ539" s="38"/>
      <c r="BR539" s="38"/>
      <c r="BS539" s="38"/>
      <c r="BT539" s="38"/>
      <c r="BU539" s="38"/>
      <c r="BV539" s="38"/>
      <c r="BW539" s="38"/>
      <c r="BX539" s="38"/>
      <c r="BY539" s="38"/>
      <c r="BZ539" s="38"/>
      <c r="CA539" s="38"/>
      <c r="CB539" s="38"/>
      <c r="CC539" s="38"/>
      <c r="CD539" s="38"/>
      <c r="CE539" s="38"/>
      <c r="CF539" s="38"/>
      <c r="CG539" s="38"/>
      <c r="CH539" s="38"/>
      <c r="CI539" s="38"/>
      <c r="CJ539" s="38"/>
      <c r="CK539" s="38"/>
      <c r="CL539" s="38"/>
      <c r="CM539" s="38"/>
      <c r="CN539" s="38"/>
      <c r="CO539" s="38"/>
      <c r="CP539" s="38"/>
      <c r="CQ539" s="38"/>
      <c r="CR539" s="38"/>
      <c r="CS539" s="38"/>
      <c r="CT539" s="38"/>
      <c r="CU539" s="38"/>
      <c r="CV539" s="38"/>
      <c r="CW539" s="38"/>
      <c r="CX539" s="38"/>
      <c r="CY539" s="38"/>
      <c r="CZ539" s="38"/>
    </row>
    <row r="540" spans="1:104" s="40" customFormat="1" ht="20.149999999999999" customHeight="1">
      <c r="A540" s="358">
        <f t="shared" si="129"/>
        <v>539</v>
      </c>
      <c r="B540" s="359" t="str">
        <f>'Front Sheet and Checklist'!$C$5</f>
        <v>Swansea Bay UHB</v>
      </c>
      <c r="C540" s="17"/>
      <c r="D540" s="17"/>
      <c r="E540" s="17"/>
      <c r="F540" s="17"/>
      <c r="G540" s="17"/>
      <c r="H540" s="17"/>
      <c r="I540" s="361">
        <f t="shared" si="119"/>
        <v>0</v>
      </c>
      <c r="J540" s="17"/>
      <c r="K540" s="18"/>
      <c r="L540" s="18"/>
      <c r="M540" s="17"/>
      <c r="N540" s="17"/>
      <c r="O540" s="17"/>
      <c r="P540" s="17"/>
      <c r="Q540" s="169"/>
      <c r="R540" s="24"/>
      <c r="S540" s="24"/>
      <c r="T540" s="24"/>
      <c r="U540" s="25"/>
      <c r="V540" s="25"/>
      <c r="W540" s="25"/>
      <c r="X540" s="24"/>
      <c r="Y540" s="24"/>
      <c r="Z540" s="24"/>
      <c r="AA540" s="24"/>
      <c r="AB540" s="24"/>
      <c r="AC540" s="24"/>
      <c r="AD540" s="361">
        <f t="shared" si="118"/>
        <v>0</v>
      </c>
      <c r="AE540" s="359" t="str">
        <f t="shared" si="121"/>
        <v/>
      </c>
      <c r="AF540" s="359" t="str">
        <f t="shared" si="130"/>
        <v/>
      </c>
      <c r="AG540" s="359" t="str">
        <f t="shared" si="122"/>
        <v/>
      </c>
      <c r="AH540" s="359" t="str">
        <f t="shared" si="123"/>
        <v/>
      </c>
      <c r="AI540" s="359" t="str">
        <f t="shared" si="124"/>
        <v/>
      </c>
      <c r="AJ540" s="359" t="str">
        <f t="shared" si="125"/>
        <v/>
      </c>
      <c r="AK540" s="359" t="str">
        <f t="shared" si="127"/>
        <v/>
      </c>
      <c r="AL540" s="359" t="str">
        <f t="shared" si="126"/>
        <v/>
      </c>
      <c r="AM540" s="359" t="str">
        <f t="shared" si="128"/>
        <v/>
      </c>
      <c r="AN540" s="262">
        <f t="shared" si="131"/>
        <v>0</v>
      </c>
      <c r="AO540" s="262" t="str">
        <f>IFERROR(HLOOKUP(AN540,'Ref Lists'!Q$1:AL$2,2,FALSE),'Ref Lists'!$AK$2)</f>
        <v>Savings21</v>
      </c>
      <c r="AP540" s="38"/>
      <c r="AQ540" s="38">
        <f t="shared" si="120"/>
        <v>0</v>
      </c>
      <c r="AR540" s="38"/>
      <c r="AS540" s="38"/>
      <c r="AT540" s="38"/>
      <c r="AU540" s="38"/>
      <c r="AV540" s="38"/>
      <c r="AW540" s="38"/>
      <c r="AX540" s="38"/>
      <c r="AY540" s="38"/>
      <c r="AZ540" s="38"/>
      <c r="BA540" s="38"/>
      <c r="BB540" s="38"/>
      <c r="BC540" s="38"/>
      <c r="BD540" s="38"/>
      <c r="BE540" s="38"/>
      <c r="BF540" s="38"/>
      <c r="BG540" s="38"/>
      <c r="BH540" s="38"/>
      <c r="BI540" s="38"/>
      <c r="BJ540" s="38"/>
      <c r="BK540" s="38"/>
      <c r="BL540" s="38"/>
      <c r="BM540" s="38"/>
      <c r="BN540" s="38"/>
      <c r="BO540" s="38"/>
      <c r="BP540" s="38"/>
      <c r="BQ540" s="38"/>
      <c r="BR540" s="38"/>
      <c r="BS540" s="38"/>
      <c r="BT540" s="38"/>
      <c r="BU540" s="38"/>
      <c r="BV540" s="38"/>
      <c r="BW540" s="38"/>
      <c r="BX540" s="38"/>
      <c r="BY540" s="38"/>
      <c r="BZ540" s="38"/>
      <c r="CA540" s="38"/>
      <c r="CB540" s="38"/>
      <c r="CC540" s="38"/>
      <c r="CD540" s="38"/>
      <c r="CE540" s="38"/>
      <c r="CF540" s="38"/>
      <c r="CG540" s="38"/>
      <c r="CH540" s="38"/>
      <c r="CI540" s="38"/>
      <c r="CJ540" s="38"/>
      <c r="CK540" s="38"/>
      <c r="CL540" s="38"/>
      <c r="CM540" s="38"/>
      <c r="CN540" s="38"/>
      <c r="CO540" s="38"/>
      <c r="CP540" s="38"/>
      <c r="CQ540" s="38"/>
      <c r="CR540" s="38"/>
      <c r="CS540" s="38"/>
      <c r="CT540" s="38"/>
      <c r="CU540" s="38"/>
      <c r="CV540" s="38"/>
      <c r="CW540" s="38"/>
      <c r="CX540" s="38"/>
      <c r="CY540" s="38"/>
      <c r="CZ540" s="38"/>
    </row>
    <row r="541" spans="1:104" s="40" customFormat="1" ht="20.149999999999999" customHeight="1">
      <c r="A541" s="358">
        <f t="shared" si="129"/>
        <v>540</v>
      </c>
      <c r="B541" s="359" t="str">
        <f>'Front Sheet and Checklist'!$C$5</f>
        <v>Swansea Bay UHB</v>
      </c>
      <c r="C541" s="17"/>
      <c r="D541" s="17"/>
      <c r="E541" s="17"/>
      <c r="F541" s="17"/>
      <c r="G541" s="17"/>
      <c r="H541" s="17"/>
      <c r="I541" s="361">
        <f t="shared" si="119"/>
        <v>0</v>
      </c>
      <c r="J541" s="17"/>
      <c r="K541" s="18"/>
      <c r="L541" s="18"/>
      <c r="M541" s="17"/>
      <c r="N541" s="17"/>
      <c r="O541" s="17"/>
      <c r="P541" s="17"/>
      <c r="Q541" s="169"/>
      <c r="R541" s="24"/>
      <c r="S541" s="24"/>
      <c r="T541" s="24"/>
      <c r="U541" s="25"/>
      <c r="V541" s="25"/>
      <c r="W541" s="25"/>
      <c r="X541" s="24"/>
      <c r="Y541" s="24"/>
      <c r="Z541" s="24"/>
      <c r="AA541" s="24"/>
      <c r="AB541" s="24"/>
      <c r="AC541" s="24"/>
      <c r="AD541" s="361">
        <f t="shared" si="118"/>
        <v>0</v>
      </c>
      <c r="AE541" s="359" t="str">
        <f t="shared" si="121"/>
        <v/>
      </c>
      <c r="AF541" s="359" t="str">
        <f t="shared" si="130"/>
        <v/>
      </c>
      <c r="AG541" s="359" t="str">
        <f t="shared" si="122"/>
        <v/>
      </c>
      <c r="AH541" s="359" t="str">
        <f t="shared" si="123"/>
        <v/>
      </c>
      <c r="AI541" s="359" t="str">
        <f t="shared" si="124"/>
        <v/>
      </c>
      <c r="AJ541" s="359" t="str">
        <f t="shared" si="125"/>
        <v/>
      </c>
      <c r="AK541" s="359" t="str">
        <f t="shared" si="127"/>
        <v/>
      </c>
      <c r="AL541" s="359" t="str">
        <f t="shared" si="126"/>
        <v/>
      </c>
      <c r="AM541" s="359" t="str">
        <f t="shared" si="128"/>
        <v/>
      </c>
      <c r="AN541" s="262">
        <f t="shared" si="131"/>
        <v>0</v>
      </c>
      <c r="AO541" s="262" t="str">
        <f>IFERROR(HLOOKUP(AN541,'Ref Lists'!Q$1:AL$2,2,FALSE),'Ref Lists'!$AK$2)</f>
        <v>Savings21</v>
      </c>
      <c r="AP541" s="38"/>
      <c r="AQ541" s="38">
        <f t="shared" si="120"/>
        <v>0</v>
      </c>
      <c r="AR541" s="38"/>
      <c r="AS541" s="38"/>
      <c r="AT541" s="38"/>
      <c r="AU541" s="38"/>
      <c r="AV541" s="38"/>
      <c r="AW541" s="38"/>
      <c r="AX541" s="38"/>
      <c r="AY541" s="38"/>
      <c r="AZ541" s="38"/>
      <c r="BA541" s="38"/>
      <c r="BB541" s="38"/>
      <c r="BC541" s="38"/>
      <c r="BD541" s="38"/>
      <c r="BE541" s="38"/>
      <c r="BF541" s="38"/>
      <c r="BG541" s="38"/>
      <c r="BH541" s="38"/>
      <c r="BI541" s="38"/>
      <c r="BJ541" s="38"/>
      <c r="BK541" s="38"/>
      <c r="BL541" s="38"/>
      <c r="BM541" s="38"/>
      <c r="BN541" s="38"/>
      <c r="BO541" s="38"/>
      <c r="BP541" s="38"/>
      <c r="BQ541" s="38"/>
      <c r="BR541" s="38"/>
      <c r="BS541" s="38"/>
      <c r="BT541" s="38"/>
      <c r="BU541" s="38"/>
      <c r="BV541" s="38"/>
      <c r="BW541" s="38"/>
      <c r="BX541" s="38"/>
      <c r="BY541" s="38"/>
      <c r="BZ541" s="38"/>
      <c r="CA541" s="38"/>
      <c r="CB541" s="38"/>
      <c r="CC541" s="38"/>
      <c r="CD541" s="38"/>
      <c r="CE541" s="38"/>
      <c r="CF541" s="38"/>
      <c r="CG541" s="38"/>
      <c r="CH541" s="38"/>
      <c r="CI541" s="38"/>
      <c r="CJ541" s="38"/>
      <c r="CK541" s="38"/>
      <c r="CL541" s="38"/>
      <c r="CM541" s="38"/>
      <c r="CN541" s="38"/>
      <c r="CO541" s="38"/>
      <c r="CP541" s="38"/>
      <c r="CQ541" s="38"/>
      <c r="CR541" s="38"/>
      <c r="CS541" s="38"/>
      <c r="CT541" s="38"/>
      <c r="CU541" s="38"/>
      <c r="CV541" s="38"/>
      <c r="CW541" s="38"/>
      <c r="CX541" s="38"/>
      <c r="CY541" s="38"/>
      <c r="CZ541" s="38"/>
    </row>
    <row r="542" spans="1:104" s="40" customFormat="1" ht="20.149999999999999" customHeight="1">
      <c r="A542" s="358">
        <f t="shared" si="129"/>
        <v>541</v>
      </c>
      <c r="B542" s="359" t="str">
        <f>'Front Sheet and Checklist'!$C$5</f>
        <v>Swansea Bay UHB</v>
      </c>
      <c r="C542" s="17"/>
      <c r="D542" s="17"/>
      <c r="E542" s="17"/>
      <c r="F542" s="17"/>
      <c r="G542" s="17"/>
      <c r="H542" s="17"/>
      <c r="I542" s="361">
        <f t="shared" si="119"/>
        <v>0</v>
      </c>
      <c r="J542" s="17"/>
      <c r="K542" s="18"/>
      <c r="L542" s="18"/>
      <c r="M542" s="17"/>
      <c r="N542" s="17"/>
      <c r="O542" s="17"/>
      <c r="P542" s="17"/>
      <c r="Q542" s="169"/>
      <c r="R542" s="24"/>
      <c r="S542" s="24"/>
      <c r="T542" s="24"/>
      <c r="U542" s="25"/>
      <c r="V542" s="25"/>
      <c r="W542" s="25"/>
      <c r="X542" s="24"/>
      <c r="Y542" s="24"/>
      <c r="Z542" s="24"/>
      <c r="AA542" s="24"/>
      <c r="AB542" s="24"/>
      <c r="AC542" s="24"/>
      <c r="AD542" s="361">
        <f t="shared" si="118"/>
        <v>0</v>
      </c>
      <c r="AE542" s="359" t="str">
        <f t="shared" si="121"/>
        <v/>
      </c>
      <c r="AF542" s="359" t="str">
        <f t="shared" si="130"/>
        <v/>
      </c>
      <c r="AG542" s="359" t="str">
        <f t="shared" si="122"/>
        <v/>
      </c>
      <c r="AH542" s="359" t="str">
        <f t="shared" si="123"/>
        <v/>
      </c>
      <c r="AI542" s="359" t="str">
        <f t="shared" si="124"/>
        <v/>
      </c>
      <c r="AJ542" s="359" t="str">
        <f t="shared" si="125"/>
        <v/>
      </c>
      <c r="AK542" s="359" t="str">
        <f t="shared" si="127"/>
        <v/>
      </c>
      <c r="AL542" s="359" t="str">
        <f t="shared" si="126"/>
        <v/>
      </c>
      <c r="AM542" s="359" t="str">
        <f t="shared" si="128"/>
        <v/>
      </c>
      <c r="AN542" s="262">
        <f t="shared" si="131"/>
        <v>0</v>
      </c>
      <c r="AO542" s="262" t="str">
        <f>IFERROR(HLOOKUP(AN542,'Ref Lists'!Q$1:AL$2,2,FALSE),'Ref Lists'!$AK$2)</f>
        <v>Savings21</v>
      </c>
      <c r="AP542" s="38"/>
      <c r="AQ542" s="38">
        <f t="shared" si="120"/>
        <v>0</v>
      </c>
      <c r="AR542" s="38"/>
      <c r="AS542" s="38"/>
      <c r="AT542" s="38"/>
      <c r="AU542" s="38"/>
      <c r="AV542" s="38"/>
      <c r="AW542" s="38"/>
      <c r="AX542" s="38"/>
      <c r="AY542" s="38"/>
      <c r="AZ542" s="38"/>
      <c r="BA542" s="38"/>
      <c r="BB542" s="38"/>
      <c r="BC542" s="38"/>
      <c r="BD542" s="38"/>
      <c r="BE542" s="38"/>
      <c r="BF542" s="38"/>
      <c r="BG542" s="38"/>
      <c r="BH542" s="38"/>
      <c r="BI542" s="38"/>
      <c r="BJ542" s="38"/>
      <c r="BK542" s="38"/>
      <c r="BL542" s="38"/>
      <c r="BM542" s="38"/>
      <c r="BN542" s="38"/>
      <c r="BO542" s="38"/>
      <c r="BP542" s="38"/>
      <c r="BQ542" s="38"/>
      <c r="BR542" s="38"/>
      <c r="BS542" s="38"/>
      <c r="BT542" s="38"/>
      <c r="BU542" s="38"/>
      <c r="BV542" s="38"/>
      <c r="BW542" s="38"/>
      <c r="BX542" s="38"/>
      <c r="BY542" s="38"/>
      <c r="BZ542" s="38"/>
      <c r="CA542" s="38"/>
      <c r="CB542" s="38"/>
      <c r="CC542" s="38"/>
      <c r="CD542" s="38"/>
      <c r="CE542" s="38"/>
      <c r="CF542" s="38"/>
      <c r="CG542" s="38"/>
      <c r="CH542" s="38"/>
      <c r="CI542" s="38"/>
      <c r="CJ542" s="38"/>
      <c r="CK542" s="38"/>
      <c r="CL542" s="38"/>
      <c r="CM542" s="38"/>
      <c r="CN542" s="38"/>
      <c r="CO542" s="38"/>
      <c r="CP542" s="38"/>
      <c r="CQ542" s="38"/>
      <c r="CR542" s="38"/>
      <c r="CS542" s="38"/>
      <c r="CT542" s="38"/>
      <c r="CU542" s="38"/>
      <c r="CV542" s="38"/>
      <c r="CW542" s="38"/>
      <c r="CX542" s="38"/>
      <c r="CY542" s="38"/>
      <c r="CZ542" s="38"/>
    </row>
    <row r="543" spans="1:104" s="40" customFormat="1" ht="20.149999999999999" customHeight="1">
      <c r="A543" s="358">
        <f t="shared" si="129"/>
        <v>542</v>
      </c>
      <c r="B543" s="359" t="str">
        <f>'Front Sheet and Checklist'!$C$5</f>
        <v>Swansea Bay UHB</v>
      </c>
      <c r="C543" s="17"/>
      <c r="D543" s="17"/>
      <c r="E543" s="17"/>
      <c r="F543" s="17"/>
      <c r="G543" s="17"/>
      <c r="H543" s="17"/>
      <c r="I543" s="361">
        <f t="shared" si="119"/>
        <v>0</v>
      </c>
      <c r="J543" s="17"/>
      <c r="K543" s="18"/>
      <c r="L543" s="18"/>
      <c r="M543" s="17"/>
      <c r="N543" s="17"/>
      <c r="O543" s="17"/>
      <c r="P543" s="17"/>
      <c r="Q543" s="169"/>
      <c r="R543" s="24"/>
      <c r="S543" s="24"/>
      <c r="T543" s="24"/>
      <c r="U543" s="25"/>
      <c r="V543" s="25"/>
      <c r="W543" s="25"/>
      <c r="X543" s="24"/>
      <c r="Y543" s="24"/>
      <c r="Z543" s="24"/>
      <c r="AA543" s="24"/>
      <c r="AB543" s="24"/>
      <c r="AC543" s="24"/>
      <c r="AD543" s="361">
        <f t="shared" si="118"/>
        <v>0</v>
      </c>
      <c r="AE543" s="359" t="str">
        <f t="shared" si="121"/>
        <v/>
      </c>
      <c r="AF543" s="359" t="str">
        <f t="shared" si="130"/>
        <v/>
      </c>
      <c r="AG543" s="359" t="str">
        <f t="shared" si="122"/>
        <v/>
      </c>
      <c r="AH543" s="359" t="str">
        <f t="shared" si="123"/>
        <v/>
      </c>
      <c r="AI543" s="359" t="str">
        <f t="shared" si="124"/>
        <v/>
      </c>
      <c r="AJ543" s="359" t="str">
        <f t="shared" si="125"/>
        <v/>
      </c>
      <c r="AK543" s="359" t="str">
        <f t="shared" si="127"/>
        <v/>
      </c>
      <c r="AL543" s="359" t="str">
        <f t="shared" si="126"/>
        <v/>
      </c>
      <c r="AM543" s="359" t="str">
        <f t="shared" si="128"/>
        <v/>
      </c>
      <c r="AN543" s="262">
        <f t="shared" si="131"/>
        <v>0</v>
      </c>
      <c r="AO543" s="262" t="str">
        <f>IFERROR(HLOOKUP(AN543,'Ref Lists'!Q$1:AL$2,2,FALSE),'Ref Lists'!$AK$2)</f>
        <v>Savings21</v>
      </c>
      <c r="AP543" s="38"/>
      <c r="AQ543" s="38">
        <f t="shared" si="120"/>
        <v>0</v>
      </c>
      <c r="AR543" s="38"/>
      <c r="AS543" s="38"/>
      <c r="AT543" s="38"/>
      <c r="AU543" s="38"/>
      <c r="AV543" s="38"/>
      <c r="AW543" s="38"/>
      <c r="AX543" s="38"/>
      <c r="AY543" s="38"/>
      <c r="AZ543" s="38"/>
      <c r="BA543" s="38"/>
      <c r="BB543" s="38"/>
      <c r="BC543" s="38"/>
      <c r="BD543" s="38"/>
      <c r="BE543" s="38"/>
      <c r="BF543" s="38"/>
      <c r="BG543" s="38"/>
      <c r="BH543" s="38"/>
      <c r="BI543" s="38"/>
      <c r="BJ543" s="38"/>
      <c r="BK543" s="38"/>
      <c r="BL543" s="38"/>
      <c r="BM543" s="38"/>
      <c r="BN543" s="38"/>
      <c r="BO543" s="38"/>
      <c r="BP543" s="38"/>
      <c r="BQ543" s="38"/>
      <c r="BR543" s="38"/>
      <c r="BS543" s="38"/>
      <c r="BT543" s="38"/>
      <c r="BU543" s="38"/>
      <c r="BV543" s="38"/>
      <c r="BW543" s="38"/>
      <c r="BX543" s="38"/>
      <c r="BY543" s="38"/>
      <c r="BZ543" s="38"/>
      <c r="CA543" s="38"/>
      <c r="CB543" s="38"/>
      <c r="CC543" s="38"/>
      <c r="CD543" s="38"/>
      <c r="CE543" s="38"/>
      <c r="CF543" s="38"/>
      <c r="CG543" s="38"/>
      <c r="CH543" s="38"/>
      <c r="CI543" s="38"/>
      <c r="CJ543" s="38"/>
      <c r="CK543" s="38"/>
      <c r="CL543" s="38"/>
      <c r="CM543" s="38"/>
      <c r="CN543" s="38"/>
      <c r="CO543" s="38"/>
      <c r="CP543" s="38"/>
      <c r="CQ543" s="38"/>
      <c r="CR543" s="38"/>
      <c r="CS543" s="38"/>
      <c r="CT543" s="38"/>
      <c r="CU543" s="38"/>
      <c r="CV543" s="38"/>
      <c r="CW543" s="38"/>
      <c r="CX543" s="38"/>
      <c r="CY543" s="38"/>
      <c r="CZ543" s="38"/>
    </row>
    <row r="544" spans="1:104" s="40" customFormat="1" ht="20.149999999999999" customHeight="1">
      <c r="A544" s="358">
        <f t="shared" si="129"/>
        <v>543</v>
      </c>
      <c r="B544" s="359" t="str">
        <f>'Front Sheet and Checklist'!$C$5</f>
        <v>Swansea Bay UHB</v>
      </c>
      <c r="C544" s="17"/>
      <c r="D544" s="17"/>
      <c r="E544" s="17"/>
      <c r="F544" s="17"/>
      <c r="G544" s="17"/>
      <c r="H544" s="17"/>
      <c r="I544" s="361">
        <f t="shared" si="119"/>
        <v>0</v>
      </c>
      <c r="J544" s="17"/>
      <c r="K544" s="18"/>
      <c r="L544" s="18"/>
      <c r="M544" s="17"/>
      <c r="N544" s="17"/>
      <c r="O544" s="17"/>
      <c r="P544" s="17"/>
      <c r="Q544" s="169"/>
      <c r="R544" s="24"/>
      <c r="S544" s="24"/>
      <c r="T544" s="24"/>
      <c r="U544" s="25"/>
      <c r="V544" s="25"/>
      <c r="W544" s="25"/>
      <c r="X544" s="24"/>
      <c r="Y544" s="24"/>
      <c r="Z544" s="24"/>
      <c r="AA544" s="24"/>
      <c r="AB544" s="24"/>
      <c r="AC544" s="24"/>
      <c r="AD544" s="361">
        <f t="shared" si="118"/>
        <v>0</v>
      </c>
      <c r="AE544" s="359" t="str">
        <f t="shared" si="121"/>
        <v/>
      </c>
      <c r="AF544" s="359" t="str">
        <f t="shared" si="130"/>
        <v/>
      </c>
      <c r="AG544" s="359" t="str">
        <f t="shared" si="122"/>
        <v/>
      </c>
      <c r="AH544" s="359" t="str">
        <f t="shared" si="123"/>
        <v/>
      </c>
      <c r="AI544" s="359" t="str">
        <f t="shared" si="124"/>
        <v/>
      </c>
      <c r="AJ544" s="359" t="str">
        <f t="shared" si="125"/>
        <v/>
      </c>
      <c r="AK544" s="359" t="str">
        <f t="shared" si="127"/>
        <v/>
      </c>
      <c r="AL544" s="359" t="str">
        <f t="shared" si="126"/>
        <v/>
      </c>
      <c r="AM544" s="359" t="str">
        <f t="shared" si="128"/>
        <v/>
      </c>
      <c r="AN544" s="262">
        <f t="shared" si="131"/>
        <v>0</v>
      </c>
      <c r="AO544" s="262" t="str">
        <f>IFERROR(HLOOKUP(AN544,'Ref Lists'!Q$1:AL$2,2,FALSE),'Ref Lists'!$AK$2)</f>
        <v>Savings21</v>
      </c>
      <c r="AP544" s="38"/>
      <c r="AQ544" s="38">
        <f t="shared" si="120"/>
        <v>0</v>
      </c>
      <c r="AR544" s="38"/>
      <c r="AS544" s="38"/>
      <c r="AT544" s="38"/>
      <c r="AU544" s="38"/>
      <c r="AV544" s="38"/>
      <c r="AW544" s="38"/>
      <c r="AX544" s="38"/>
      <c r="AY544" s="38"/>
      <c r="AZ544" s="38"/>
      <c r="BA544" s="38"/>
      <c r="BB544" s="38"/>
      <c r="BC544" s="38"/>
      <c r="BD544" s="38"/>
      <c r="BE544" s="38"/>
      <c r="BF544" s="38"/>
      <c r="BG544" s="38"/>
      <c r="BH544" s="38"/>
      <c r="BI544" s="38"/>
      <c r="BJ544" s="38"/>
      <c r="BK544" s="38"/>
      <c r="BL544" s="38"/>
      <c r="BM544" s="38"/>
      <c r="BN544" s="38"/>
      <c r="BO544" s="38"/>
      <c r="BP544" s="38"/>
      <c r="BQ544" s="38"/>
      <c r="BR544" s="38"/>
      <c r="BS544" s="38"/>
      <c r="BT544" s="38"/>
      <c r="BU544" s="38"/>
      <c r="BV544" s="38"/>
      <c r="BW544" s="38"/>
      <c r="BX544" s="38"/>
      <c r="BY544" s="38"/>
      <c r="BZ544" s="38"/>
      <c r="CA544" s="38"/>
      <c r="CB544" s="38"/>
      <c r="CC544" s="38"/>
      <c r="CD544" s="38"/>
      <c r="CE544" s="38"/>
      <c r="CF544" s="38"/>
      <c r="CG544" s="38"/>
      <c r="CH544" s="38"/>
      <c r="CI544" s="38"/>
      <c r="CJ544" s="38"/>
      <c r="CK544" s="38"/>
      <c r="CL544" s="38"/>
      <c r="CM544" s="38"/>
      <c r="CN544" s="38"/>
      <c r="CO544" s="38"/>
      <c r="CP544" s="38"/>
      <c r="CQ544" s="38"/>
      <c r="CR544" s="38"/>
      <c r="CS544" s="38"/>
      <c r="CT544" s="38"/>
      <c r="CU544" s="38"/>
      <c r="CV544" s="38"/>
      <c r="CW544" s="38"/>
      <c r="CX544" s="38"/>
      <c r="CY544" s="38"/>
      <c r="CZ544" s="38"/>
    </row>
    <row r="545" spans="1:104" s="40" customFormat="1" ht="20.149999999999999" customHeight="1">
      <c r="A545" s="358">
        <f t="shared" si="129"/>
        <v>544</v>
      </c>
      <c r="B545" s="359" t="str">
        <f>'Front Sheet and Checklist'!$C$5</f>
        <v>Swansea Bay UHB</v>
      </c>
      <c r="C545" s="17"/>
      <c r="D545" s="17"/>
      <c r="E545" s="17"/>
      <c r="F545" s="17"/>
      <c r="G545" s="17"/>
      <c r="H545" s="17"/>
      <c r="I545" s="361">
        <f t="shared" si="119"/>
        <v>0</v>
      </c>
      <c r="J545" s="17"/>
      <c r="K545" s="18"/>
      <c r="L545" s="18"/>
      <c r="M545" s="17"/>
      <c r="N545" s="17"/>
      <c r="O545" s="17"/>
      <c r="P545" s="17"/>
      <c r="Q545" s="169"/>
      <c r="R545" s="24"/>
      <c r="S545" s="24"/>
      <c r="T545" s="24"/>
      <c r="U545" s="25"/>
      <c r="V545" s="25"/>
      <c r="W545" s="25"/>
      <c r="X545" s="24"/>
      <c r="Y545" s="24"/>
      <c r="Z545" s="24"/>
      <c r="AA545" s="24"/>
      <c r="AB545" s="24"/>
      <c r="AC545" s="24"/>
      <c r="AD545" s="361">
        <f t="shared" si="118"/>
        <v>0</v>
      </c>
      <c r="AE545" s="359" t="str">
        <f t="shared" si="121"/>
        <v/>
      </c>
      <c r="AF545" s="359" t="str">
        <f t="shared" si="130"/>
        <v/>
      </c>
      <c r="AG545" s="359" t="str">
        <f t="shared" si="122"/>
        <v/>
      </c>
      <c r="AH545" s="359" t="str">
        <f t="shared" si="123"/>
        <v/>
      </c>
      <c r="AI545" s="359" t="str">
        <f t="shared" si="124"/>
        <v/>
      </c>
      <c r="AJ545" s="359" t="str">
        <f t="shared" si="125"/>
        <v/>
      </c>
      <c r="AK545" s="359" t="str">
        <f t="shared" si="127"/>
        <v/>
      </c>
      <c r="AL545" s="359" t="str">
        <f t="shared" si="126"/>
        <v/>
      </c>
      <c r="AM545" s="359" t="str">
        <f t="shared" si="128"/>
        <v/>
      </c>
      <c r="AN545" s="262">
        <f t="shared" si="131"/>
        <v>0</v>
      </c>
      <c r="AO545" s="262" t="str">
        <f>IFERROR(HLOOKUP(AN545,'Ref Lists'!Q$1:AL$2,2,FALSE),'Ref Lists'!$AK$2)</f>
        <v>Savings21</v>
      </c>
      <c r="AP545" s="38"/>
      <c r="AQ545" s="38">
        <f t="shared" si="120"/>
        <v>0</v>
      </c>
      <c r="AR545" s="38"/>
      <c r="AS545" s="38"/>
      <c r="AT545" s="38"/>
      <c r="AU545" s="38"/>
      <c r="AV545" s="38"/>
      <c r="AW545" s="38"/>
      <c r="AX545" s="38"/>
      <c r="AY545" s="38"/>
      <c r="AZ545" s="38"/>
      <c r="BA545" s="38"/>
      <c r="BB545" s="38"/>
      <c r="BC545" s="38"/>
      <c r="BD545" s="38"/>
      <c r="BE545" s="38"/>
      <c r="BF545" s="38"/>
      <c r="BG545" s="38"/>
      <c r="BH545" s="38"/>
      <c r="BI545" s="38"/>
      <c r="BJ545" s="38"/>
      <c r="BK545" s="38"/>
      <c r="BL545" s="38"/>
      <c r="BM545" s="38"/>
      <c r="BN545" s="38"/>
      <c r="BO545" s="38"/>
      <c r="BP545" s="38"/>
      <c r="BQ545" s="38"/>
      <c r="BR545" s="38"/>
      <c r="BS545" s="38"/>
      <c r="BT545" s="38"/>
      <c r="BU545" s="38"/>
      <c r="BV545" s="38"/>
      <c r="BW545" s="38"/>
      <c r="BX545" s="38"/>
      <c r="BY545" s="38"/>
      <c r="BZ545" s="38"/>
      <c r="CA545" s="38"/>
      <c r="CB545" s="38"/>
      <c r="CC545" s="38"/>
      <c r="CD545" s="38"/>
      <c r="CE545" s="38"/>
      <c r="CF545" s="38"/>
      <c r="CG545" s="38"/>
      <c r="CH545" s="38"/>
      <c r="CI545" s="38"/>
      <c r="CJ545" s="38"/>
      <c r="CK545" s="38"/>
      <c r="CL545" s="38"/>
      <c r="CM545" s="38"/>
      <c r="CN545" s="38"/>
      <c r="CO545" s="38"/>
      <c r="CP545" s="38"/>
      <c r="CQ545" s="38"/>
      <c r="CR545" s="38"/>
      <c r="CS545" s="38"/>
      <c r="CT545" s="38"/>
      <c r="CU545" s="38"/>
      <c r="CV545" s="38"/>
      <c r="CW545" s="38"/>
      <c r="CX545" s="38"/>
      <c r="CY545" s="38"/>
      <c r="CZ545" s="38"/>
    </row>
    <row r="546" spans="1:104" s="40" customFormat="1" ht="20.149999999999999" customHeight="1">
      <c r="A546" s="358">
        <f t="shared" si="129"/>
        <v>545</v>
      </c>
      <c r="B546" s="359" t="str">
        <f>'Front Sheet and Checklist'!$C$5</f>
        <v>Swansea Bay UHB</v>
      </c>
      <c r="C546" s="17"/>
      <c r="D546" s="17"/>
      <c r="E546" s="17"/>
      <c r="F546" s="17"/>
      <c r="G546" s="17"/>
      <c r="H546" s="17"/>
      <c r="I546" s="361">
        <f t="shared" si="119"/>
        <v>0</v>
      </c>
      <c r="J546" s="17"/>
      <c r="K546" s="18"/>
      <c r="L546" s="18"/>
      <c r="M546" s="17"/>
      <c r="N546" s="17"/>
      <c r="O546" s="17"/>
      <c r="P546" s="17"/>
      <c r="Q546" s="169"/>
      <c r="R546" s="24"/>
      <c r="S546" s="24"/>
      <c r="T546" s="24"/>
      <c r="U546" s="25"/>
      <c r="V546" s="25"/>
      <c r="W546" s="25"/>
      <c r="X546" s="24"/>
      <c r="Y546" s="24"/>
      <c r="Z546" s="24"/>
      <c r="AA546" s="24"/>
      <c r="AB546" s="24"/>
      <c r="AC546" s="24"/>
      <c r="AD546" s="361">
        <f t="shared" si="118"/>
        <v>0</v>
      </c>
      <c r="AE546" s="359" t="str">
        <f t="shared" si="121"/>
        <v/>
      </c>
      <c r="AF546" s="359" t="str">
        <f t="shared" si="130"/>
        <v/>
      </c>
      <c r="AG546" s="359" t="str">
        <f t="shared" si="122"/>
        <v/>
      </c>
      <c r="AH546" s="359" t="str">
        <f t="shared" si="123"/>
        <v/>
      </c>
      <c r="AI546" s="359" t="str">
        <f t="shared" si="124"/>
        <v/>
      </c>
      <c r="AJ546" s="359" t="str">
        <f t="shared" si="125"/>
        <v/>
      </c>
      <c r="AK546" s="359" t="str">
        <f t="shared" si="127"/>
        <v/>
      </c>
      <c r="AL546" s="359" t="str">
        <f t="shared" si="126"/>
        <v/>
      </c>
      <c r="AM546" s="359" t="str">
        <f t="shared" si="128"/>
        <v/>
      </c>
      <c r="AN546" s="262">
        <f t="shared" si="131"/>
        <v>0</v>
      </c>
      <c r="AO546" s="262" t="str">
        <f>IFERROR(HLOOKUP(AN546,'Ref Lists'!Q$1:AL$2,2,FALSE),'Ref Lists'!$AK$2)</f>
        <v>Savings21</v>
      </c>
      <c r="AP546" s="38"/>
      <c r="AQ546" s="38">
        <f t="shared" si="120"/>
        <v>0</v>
      </c>
      <c r="AR546" s="38"/>
      <c r="AS546" s="38"/>
      <c r="AT546" s="38"/>
      <c r="AU546" s="38"/>
      <c r="AV546" s="38"/>
      <c r="AW546" s="38"/>
      <c r="AX546" s="38"/>
      <c r="AY546" s="38"/>
      <c r="AZ546" s="38"/>
      <c r="BA546" s="38"/>
      <c r="BB546" s="38"/>
      <c r="BC546" s="38"/>
      <c r="BD546" s="38"/>
      <c r="BE546" s="38"/>
      <c r="BF546" s="38"/>
      <c r="BG546" s="38"/>
      <c r="BH546" s="38"/>
      <c r="BI546" s="38"/>
      <c r="BJ546" s="38"/>
      <c r="BK546" s="38"/>
      <c r="BL546" s="38"/>
      <c r="BM546" s="38"/>
      <c r="BN546" s="38"/>
      <c r="BO546" s="38"/>
      <c r="BP546" s="38"/>
      <c r="BQ546" s="38"/>
      <c r="BR546" s="38"/>
      <c r="BS546" s="38"/>
      <c r="BT546" s="38"/>
      <c r="BU546" s="38"/>
      <c r="BV546" s="38"/>
      <c r="BW546" s="38"/>
      <c r="BX546" s="38"/>
      <c r="BY546" s="38"/>
      <c r="BZ546" s="38"/>
      <c r="CA546" s="38"/>
      <c r="CB546" s="38"/>
      <c r="CC546" s="38"/>
      <c r="CD546" s="38"/>
      <c r="CE546" s="38"/>
      <c r="CF546" s="38"/>
      <c r="CG546" s="38"/>
      <c r="CH546" s="38"/>
      <c r="CI546" s="38"/>
      <c r="CJ546" s="38"/>
      <c r="CK546" s="38"/>
      <c r="CL546" s="38"/>
      <c r="CM546" s="38"/>
      <c r="CN546" s="38"/>
      <c r="CO546" s="38"/>
      <c r="CP546" s="38"/>
      <c r="CQ546" s="38"/>
      <c r="CR546" s="38"/>
      <c r="CS546" s="38"/>
      <c r="CT546" s="38"/>
      <c r="CU546" s="38"/>
      <c r="CV546" s="38"/>
      <c r="CW546" s="38"/>
      <c r="CX546" s="38"/>
      <c r="CY546" s="38"/>
      <c r="CZ546" s="38"/>
    </row>
    <row r="547" spans="1:104" s="40" customFormat="1" ht="20.149999999999999" customHeight="1">
      <c r="A547" s="358">
        <f t="shared" si="129"/>
        <v>546</v>
      </c>
      <c r="B547" s="359" t="str">
        <f>'Front Sheet and Checklist'!$C$5</f>
        <v>Swansea Bay UHB</v>
      </c>
      <c r="C547" s="17"/>
      <c r="D547" s="17"/>
      <c r="E547" s="17"/>
      <c r="F547" s="17"/>
      <c r="G547" s="17"/>
      <c r="H547" s="17"/>
      <c r="I547" s="361">
        <f t="shared" si="119"/>
        <v>0</v>
      </c>
      <c r="J547" s="17"/>
      <c r="K547" s="18"/>
      <c r="L547" s="18"/>
      <c r="M547" s="17"/>
      <c r="N547" s="17"/>
      <c r="O547" s="17"/>
      <c r="P547" s="17"/>
      <c r="Q547" s="169"/>
      <c r="R547" s="24"/>
      <c r="S547" s="24"/>
      <c r="T547" s="24"/>
      <c r="U547" s="25"/>
      <c r="V547" s="25"/>
      <c r="W547" s="25"/>
      <c r="X547" s="24"/>
      <c r="Y547" s="24"/>
      <c r="Z547" s="24"/>
      <c r="AA547" s="24"/>
      <c r="AB547" s="24"/>
      <c r="AC547" s="24"/>
      <c r="AD547" s="361">
        <f t="shared" si="118"/>
        <v>0</v>
      </c>
      <c r="AE547" s="359" t="str">
        <f t="shared" si="121"/>
        <v/>
      </c>
      <c r="AF547" s="359" t="str">
        <f t="shared" si="130"/>
        <v/>
      </c>
      <c r="AG547" s="359" t="str">
        <f t="shared" si="122"/>
        <v/>
      </c>
      <c r="AH547" s="359" t="str">
        <f t="shared" si="123"/>
        <v/>
      </c>
      <c r="AI547" s="359" t="str">
        <f t="shared" si="124"/>
        <v/>
      </c>
      <c r="AJ547" s="359" t="str">
        <f t="shared" si="125"/>
        <v/>
      </c>
      <c r="AK547" s="359" t="str">
        <f t="shared" si="127"/>
        <v/>
      </c>
      <c r="AL547" s="359" t="str">
        <f t="shared" si="126"/>
        <v/>
      </c>
      <c r="AM547" s="359" t="str">
        <f t="shared" si="128"/>
        <v/>
      </c>
      <c r="AN547" s="262">
        <f t="shared" si="131"/>
        <v>0</v>
      </c>
      <c r="AO547" s="262" t="str">
        <f>IFERROR(HLOOKUP(AN547,'Ref Lists'!Q$1:AL$2,2,FALSE),'Ref Lists'!$AK$2)</f>
        <v>Savings21</v>
      </c>
      <c r="AP547" s="38"/>
      <c r="AQ547" s="38">
        <f t="shared" si="120"/>
        <v>0</v>
      </c>
      <c r="AR547" s="38"/>
      <c r="AS547" s="38"/>
      <c r="AT547" s="38"/>
      <c r="AU547" s="38"/>
      <c r="AV547" s="38"/>
      <c r="AW547" s="38"/>
      <c r="AX547" s="38"/>
      <c r="AY547" s="38"/>
      <c r="AZ547" s="38"/>
      <c r="BA547" s="38"/>
      <c r="BB547" s="38"/>
      <c r="BC547" s="38"/>
      <c r="BD547" s="38"/>
      <c r="BE547" s="38"/>
      <c r="BF547" s="38"/>
      <c r="BG547" s="38"/>
      <c r="BH547" s="38"/>
      <c r="BI547" s="38"/>
      <c r="BJ547" s="38"/>
      <c r="BK547" s="38"/>
      <c r="BL547" s="38"/>
      <c r="BM547" s="38"/>
      <c r="BN547" s="38"/>
      <c r="BO547" s="38"/>
      <c r="BP547" s="38"/>
      <c r="BQ547" s="38"/>
      <c r="BR547" s="38"/>
      <c r="BS547" s="38"/>
      <c r="BT547" s="38"/>
      <c r="BU547" s="38"/>
      <c r="BV547" s="38"/>
      <c r="BW547" s="38"/>
      <c r="BX547" s="38"/>
      <c r="BY547" s="38"/>
      <c r="BZ547" s="38"/>
      <c r="CA547" s="38"/>
      <c r="CB547" s="38"/>
      <c r="CC547" s="38"/>
      <c r="CD547" s="38"/>
      <c r="CE547" s="38"/>
      <c r="CF547" s="38"/>
      <c r="CG547" s="38"/>
      <c r="CH547" s="38"/>
      <c r="CI547" s="38"/>
      <c r="CJ547" s="38"/>
      <c r="CK547" s="38"/>
      <c r="CL547" s="38"/>
      <c r="CM547" s="38"/>
      <c r="CN547" s="38"/>
      <c r="CO547" s="38"/>
      <c r="CP547" s="38"/>
      <c r="CQ547" s="38"/>
      <c r="CR547" s="38"/>
      <c r="CS547" s="38"/>
      <c r="CT547" s="38"/>
      <c r="CU547" s="38"/>
      <c r="CV547" s="38"/>
      <c r="CW547" s="38"/>
      <c r="CX547" s="38"/>
      <c r="CY547" s="38"/>
      <c r="CZ547" s="38"/>
    </row>
    <row r="548" spans="1:104" s="40" customFormat="1" ht="20.149999999999999" customHeight="1">
      <c r="A548" s="358">
        <f t="shared" si="129"/>
        <v>547</v>
      </c>
      <c r="B548" s="359" t="str">
        <f>'Front Sheet and Checklist'!$C$5</f>
        <v>Swansea Bay UHB</v>
      </c>
      <c r="C548" s="17"/>
      <c r="D548" s="17"/>
      <c r="E548" s="17"/>
      <c r="F548" s="17"/>
      <c r="G548" s="17"/>
      <c r="H548" s="17"/>
      <c r="I548" s="361">
        <f t="shared" si="119"/>
        <v>0</v>
      </c>
      <c r="J548" s="17"/>
      <c r="K548" s="18"/>
      <c r="L548" s="18"/>
      <c r="M548" s="17"/>
      <c r="N548" s="17"/>
      <c r="O548" s="17"/>
      <c r="P548" s="17"/>
      <c r="Q548" s="169"/>
      <c r="R548" s="24"/>
      <c r="S548" s="24"/>
      <c r="T548" s="24"/>
      <c r="U548" s="25"/>
      <c r="V548" s="25"/>
      <c r="W548" s="25"/>
      <c r="X548" s="24"/>
      <c r="Y548" s="24"/>
      <c r="Z548" s="24"/>
      <c r="AA548" s="24"/>
      <c r="AB548" s="24"/>
      <c r="AC548" s="24"/>
      <c r="AD548" s="361">
        <f t="shared" si="118"/>
        <v>0</v>
      </c>
      <c r="AE548" s="359" t="str">
        <f t="shared" si="121"/>
        <v/>
      </c>
      <c r="AF548" s="359" t="str">
        <f t="shared" si="130"/>
        <v/>
      </c>
      <c r="AG548" s="359" t="str">
        <f t="shared" si="122"/>
        <v/>
      </c>
      <c r="AH548" s="359" t="str">
        <f t="shared" si="123"/>
        <v/>
      </c>
      <c r="AI548" s="359" t="str">
        <f t="shared" si="124"/>
        <v/>
      </c>
      <c r="AJ548" s="359" t="str">
        <f t="shared" si="125"/>
        <v/>
      </c>
      <c r="AK548" s="359" t="str">
        <f t="shared" si="127"/>
        <v/>
      </c>
      <c r="AL548" s="359" t="str">
        <f t="shared" si="126"/>
        <v/>
      </c>
      <c r="AM548" s="359" t="str">
        <f t="shared" si="128"/>
        <v/>
      </c>
      <c r="AN548" s="262">
        <f t="shared" si="131"/>
        <v>0</v>
      </c>
      <c r="AO548" s="262" t="str">
        <f>IFERROR(HLOOKUP(AN548,'Ref Lists'!Q$1:AL$2,2,FALSE),'Ref Lists'!$AK$2)</f>
        <v>Savings21</v>
      </c>
      <c r="AP548" s="38"/>
      <c r="AQ548" s="38">
        <f t="shared" si="120"/>
        <v>0</v>
      </c>
      <c r="AR548" s="38"/>
      <c r="AS548" s="38"/>
      <c r="AT548" s="38"/>
      <c r="AU548" s="38"/>
      <c r="AV548" s="38"/>
      <c r="AW548" s="38"/>
      <c r="AX548" s="38"/>
      <c r="AY548" s="38"/>
      <c r="AZ548" s="38"/>
      <c r="BA548" s="38"/>
      <c r="BB548" s="38"/>
      <c r="BC548" s="38"/>
      <c r="BD548" s="38"/>
      <c r="BE548" s="38"/>
      <c r="BF548" s="38"/>
      <c r="BG548" s="38"/>
      <c r="BH548" s="38"/>
      <c r="BI548" s="38"/>
      <c r="BJ548" s="38"/>
      <c r="BK548" s="38"/>
      <c r="BL548" s="38"/>
      <c r="BM548" s="38"/>
      <c r="BN548" s="38"/>
      <c r="BO548" s="38"/>
      <c r="BP548" s="38"/>
      <c r="BQ548" s="38"/>
      <c r="BR548" s="38"/>
      <c r="BS548" s="38"/>
      <c r="BT548" s="38"/>
      <c r="BU548" s="38"/>
      <c r="BV548" s="38"/>
      <c r="BW548" s="38"/>
      <c r="BX548" s="38"/>
      <c r="BY548" s="38"/>
      <c r="BZ548" s="38"/>
      <c r="CA548" s="38"/>
      <c r="CB548" s="38"/>
      <c r="CC548" s="38"/>
      <c r="CD548" s="38"/>
      <c r="CE548" s="38"/>
      <c r="CF548" s="38"/>
      <c r="CG548" s="38"/>
      <c r="CH548" s="38"/>
      <c r="CI548" s="38"/>
      <c r="CJ548" s="38"/>
      <c r="CK548" s="38"/>
      <c r="CL548" s="38"/>
      <c r="CM548" s="38"/>
      <c r="CN548" s="38"/>
      <c r="CO548" s="38"/>
      <c r="CP548" s="38"/>
      <c r="CQ548" s="38"/>
      <c r="CR548" s="38"/>
      <c r="CS548" s="38"/>
      <c r="CT548" s="38"/>
      <c r="CU548" s="38"/>
      <c r="CV548" s="38"/>
      <c r="CW548" s="38"/>
      <c r="CX548" s="38"/>
      <c r="CY548" s="38"/>
      <c r="CZ548" s="38"/>
    </row>
    <row r="549" spans="1:104" s="40" customFormat="1" ht="20.149999999999999" customHeight="1">
      <c r="A549" s="358">
        <f t="shared" si="129"/>
        <v>548</v>
      </c>
      <c r="B549" s="359" t="str">
        <f>'Front Sheet and Checklist'!$C$5</f>
        <v>Swansea Bay UHB</v>
      </c>
      <c r="C549" s="17"/>
      <c r="D549" s="17"/>
      <c r="E549" s="17"/>
      <c r="F549" s="17"/>
      <c r="G549" s="17"/>
      <c r="H549" s="17"/>
      <c r="I549" s="361">
        <f t="shared" si="119"/>
        <v>0</v>
      </c>
      <c r="J549" s="17"/>
      <c r="K549" s="18"/>
      <c r="L549" s="18"/>
      <c r="M549" s="17"/>
      <c r="N549" s="17"/>
      <c r="O549" s="17"/>
      <c r="P549" s="17"/>
      <c r="Q549" s="169"/>
      <c r="R549" s="24"/>
      <c r="S549" s="24"/>
      <c r="T549" s="24"/>
      <c r="U549" s="25"/>
      <c r="V549" s="25"/>
      <c r="W549" s="25"/>
      <c r="X549" s="24"/>
      <c r="Y549" s="24"/>
      <c r="Z549" s="24"/>
      <c r="AA549" s="24"/>
      <c r="AB549" s="24"/>
      <c r="AC549" s="24"/>
      <c r="AD549" s="361">
        <f t="shared" si="118"/>
        <v>0</v>
      </c>
      <c r="AE549" s="359" t="str">
        <f t="shared" si="121"/>
        <v/>
      </c>
      <c r="AF549" s="359" t="str">
        <f t="shared" si="130"/>
        <v/>
      </c>
      <c r="AG549" s="359" t="str">
        <f t="shared" si="122"/>
        <v/>
      </c>
      <c r="AH549" s="359" t="str">
        <f t="shared" si="123"/>
        <v/>
      </c>
      <c r="AI549" s="359" t="str">
        <f t="shared" si="124"/>
        <v/>
      </c>
      <c r="AJ549" s="359" t="str">
        <f t="shared" si="125"/>
        <v/>
      </c>
      <c r="AK549" s="359" t="str">
        <f t="shared" si="127"/>
        <v/>
      </c>
      <c r="AL549" s="359" t="str">
        <f t="shared" si="126"/>
        <v/>
      </c>
      <c r="AM549" s="359" t="str">
        <f t="shared" si="128"/>
        <v/>
      </c>
      <c r="AN549" s="262">
        <f t="shared" si="131"/>
        <v>0</v>
      </c>
      <c r="AO549" s="262" t="str">
        <f>IFERROR(HLOOKUP(AN549,'Ref Lists'!Q$1:AL$2,2,FALSE),'Ref Lists'!$AK$2)</f>
        <v>Savings21</v>
      </c>
      <c r="AP549" s="38"/>
      <c r="AQ549" s="38">
        <f t="shared" si="120"/>
        <v>0</v>
      </c>
      <c r="AR549" s="38"/>
      <c r="AS549" s="38"/>
      <c r="AT549" s="38"/>
      <c r="AU549" s="38"/>
      <c r="AV549" s="38"/>
      <c r="AW549" s="38"/>
      <c r="AX549" s="38"/>
      <c r="AY549" s="38"/>
      <c r="AZ549" s="38"/>
      <c r="BA549" s="38"/>
      <c r="BB549" s="38"/>
      <c r="BC549" s="38"/>
      <c r="BD549" s="38"/>
      <c r="BE549" s="38"/>
      <c r="BF549" s="38"/>
      <c r="BG549" s="38"/>
      <c r="BH549" s="38"/>
      <c r="BI549" s="38"/>
      <c r="BJ549" s="38"/>
      <c r="BK549" s="38"/>
      <c r="BL549" s="38"/>
      <c r="BM549" s="38"/>
      <c r="BN549" s="38"/>
      <c r="BO549" s="38"/>
      <c r="BP549" s="38"/>
      <c r="BQ549" s="38"/>
      <c r="BR549" s="38"/>
      <c r="BS549" s="38"/>
      <c r="BT549" s="38"/>
      <c r="BU549" s="38"/>
      <c r="BV549" s="38"/>
      <c r="BW549" s="38"/>
      <c r="BX549" s="38"/>
      <c r="BY549" s="38"/>
      <c r="BZ549" s="38"/>
      <c r="CA549" s="38"/>
      <c r="CB549" s="38"/>
      <c r="CC549" s="38"/>
      <c r="CD549" s="38"/>
      <c r="CE549" s="38"/>
      <c r="CF549" s="38"/>
      <c r="CG549" s="38"/>
      <c r="CH549" s="38"/>
      <c r="CI549" s="38"/>
      <c r="CJ549" s="38"/>
      <c r="CK549" s="38"/>
      <c r="CL549" s="38"/>
      <c r="CM549" s="38"/>
      <c r="CN549" s="38"/>
      <c r="CO549" s="38"/>
      <c r="CP549" s="38"/>
      <c r="CQ549" s="38"/>
      <c r="CR549" s="38"/>
      <c r="CS549" s="38"/>
      <c r="CT549" s="38"/>
      <c r="CU549" s="38"/>
      <c r="CV549" s="38"/>
      <c r="CW549" s="38"/>
      <c r="CX549" s="38"/>
      <c r="CY549" s="38"/>
      <c r="CZ549" s="38"/>
    </row>
    <row r="550" spans="1:104" s="40" customFormat="1" ht="20.149999999999999" customHeight="1">
      <c r="A550" s="358">
        <f t="shared" si="129"/>
        <v>549</v>
      </c>
      <c r="B550" s="359" t="str">
        <f>'Front Sheet and Checklist'!$C$5</f>
        <v>Swansea Bay UHB</v>
      </c>
      <c r="C550" s="17"/>
      <c r="D550" s="17"/>
      <c r="E550" s="17"/>
      <c r="F550" s="17"/>
      <c r="G550" s="17"/>
      <c r="H550" s="17"/>
      <c r="I550" s="361">
        <f t="shared" si="119"/>
        <v>0</v>
      </c>
      <c r="J550" s="17"/>
      <c r="K550" s="18"/>
      <c r="L550" s="18"/>
      <c r="M550" s="17"/>
      <c r="N550" s="17"/>
      <c r="O550" s="17"/>
      <c r="P550" s="17"/>
      <c r="Q550" s="169"/>
      <c r="R550" s="24"/>
      <c r="S550" s="24"/>
      <c r="T550" s="24"/>
      <c r="U550" s="25"/>
      <c r="V550" s="25"/>
      <c r="W550" s="25"/>
      <c r="X550" s="24"/>
      <c r="Y550" s="24"/>
      <c r="Z550" s="24"/>
      <c r="AA550" s="24"/>
      <c r="AB550" s="24"/>
      <c r="AC550" s="24"/>
      <c r="AD550" s="361">
        <f t="shared" si="118"/>
        <v>0</v>
      </c>
      <c r="AE550" s="359" t="str">
        <f t="shared" si="121"/>
        <v/>
      </c>
      <c r="AF550" s="359" t="str">
        <f t="shared" si="130"/>
        <v/>
      </c>
      <c r="AG550" s="359" t="str">
        <f t="shared" si="122"/>
        <v/>
      </c>
      <c r="AH550" s="359" t="str">
        <f t="shared" si="123"/>
        <v/>
      </c>
      <c r="AI550" s="359" t="str">
        <f t="shared" si="124"/>
        <v/>
      </c>
      <c r="AJ550" s="359" t="str">
        <f t="shared" si="125"/>
        <v/>
      </c>
      <c r="AK550" s="359" t="str">
        <f t="shared" si="127"/>
        <v/>
      </c>
      <c r="AL550" s="359" t="str">
        <f t="shared" si="126"/>
        <v/>
      </c>
      <c r="AM550" s="359" t="str">
        <f t="shared" si="128"/>
        <v/>
      </c>
      <c r="AN550" s="262">
        <f t="shared" si="131"/>
        <v>0</v>
      </c>
      <c r="AO550" s="262" t="str">
        <f>IFERROR(HLOOKUP(AN550,'Ref Lists'!Q$1:AL$2,2,FALSE),'Ref Lists'!$AK$2)</f>
        <v>Savings21</v>
      </c>
      <c r="AP550" s="38"/>
      <c r="AQ550" s="38">
        <f t="shared" si="120"/>
        <v>0</v>
      </c>
      <c r="AR550" s="38"/>
      <c r="AS550" s="38"/>
      <c r="AT550" s="38"/>
      <c r="AU550" s="38"/>
      <c r="AV550" s="38"/>
      <c r="AW550" s="38"/>
      <c r="AX550" s="38"/>
      <c r="AY550" s="38"/>
      <c r="AZ550" s="38"/>
      <c r="BA550" s="38"/>
      <c r="BB550" s="38"/>
      <c r="BC550" s="38"/>
      <c r="BD550" s="38"/>
      <c r="BE550" s="38"/>
      <c r="BF550" s="38"/>
      <c r="BG550" s="38"/>
      <c r="BH550" s="38"/>
      <c r="BI550" s="38"/>
      <c r="BJ550" s="38"/>
      <c r="BK550" s="38"/>
      <c r="BL550" s="38"/>
      <c r="BM550" s="38"/>
      <c r="BN550" s="38"/>
      <c r="BO550" s="38"/>
      <c r="BP550" s="38"/>
      <c r="BQ550" s="38"/>
      <c r="BR550" s="38"/>
      <c r="BS550" s="38"/>
      <c r="BT550" s="38"/>
      <c r="BU550" s="38"/>
      <c r="BV550" s="38"/>
      <c r="BW550" s="38"/>
      <c r="BX550" s="38"/>
      <c r="BY550" s="38"/>
      <c r="BZ550" s="38"/>
      <c r="CA550" s="38"/>
      <c r="CB550" s="38"/>
      <c r="CC550" s="38"/>
      <c r="CD550" s="38"/>
      <c r="CE550" s="38"/>
      <c r="CF550" s="38"/>
      <c r="CG550" s="38"/>
      <c r="CH550" s="38"/>
      <c r="CI550" s="38"/>
      <c r="CJ550" s="38"/>
      <c r="CK550" s="38"/>
      <c r="CL550" s="38"/>
      <c r="CM550" s="38"/>
      <c r="CN550" s="38"/>
      <c r="CO550" s="38"/>
      <c r="CP550" s="38"/>
      <c r="CQ550" s="38"/>
      <c r="CR550" s="38"/>
      <c r="CS550" s="38"/>
      <c r="CT550" s="38"/>
      <c r="CU550" s="38"/>
      <c r="CV550" s="38"/>
      <c r="CW550" s="38"/>
      <c r="CX550" s="38"/>
      <c r="CY550" s="38"/>
      <c r="CZ550" s="38"/>
    </row>
    <row r="551" spans="1:104" s="40" customFormat="1" ht="20.149999999999999" customHeight="1">
      <c r="A551" s="358">
        <f t="shared" si="129"/>
        <v>550</v>
      </c>
      <c r="B551" s="359" t="str">
        <f>'Front Sheet and Checklist'!$C$5</f>
        <v>Swansea Bay UHB</v>
      </c>
      <c r="C551" s="17"/>
      <c r="D551" s="17"/>
      <c r="E551" s="17"/>
      <c r="F551" s="17"/>
      <c r="G551" s="17"/>
      <c r="H551" s="17"/>
      <c r="I551" s="361">
        <f t="shared" si="119"/>
        <v>0</v>
      </c>
      <c r="J551" s="17"/>
      <c r="K551" s="18"/>
      <c r="L551" s="18"/>
      <c r="M551" s="17"/>
      <c r="N551" s="17"/>
      <c r="O551" s="17"/>
      <c r="P551" s="17"/>
      <c r="Q551" s="169"/>
      <c r="R551" s="24"/>
      <c r="S551" s="24"/>
      <c r="T551" s="24"/>
      <c r="U551" s="25"/>
      <c r="V551" s="25"/>
      <c r="W551" s="25"/>
      <c r="X551" s="24"/>
      <c r="Y551" s="24"/>
      <c r="Z551" s="24"/>
      <c r="AA551" s="24"/>
      <c r="AB551" s="24"/>
      <c r="AC551" s="24"/>
      <c r="AD551" s="361">
        <f t="shared" si="118"/>
        <v>0</v>
      </c>
      <c r="AE551" s="359" t="str">
        <f t="shared" si="121"/>
        <v/>
      </c>
      <c r="AF551" s="359" t="str">
        <f t="shared" si="130"/>
        <v/>
      </c>
      <c r="AG551" s="359" t="str">
        <f t="shared" si="122"/>
        <v/>
      </c>
      <c r="AH551" s="359" t="str">
        <f t="shared" si="123"/>
        <v/>
      </c>
      <c r="AI551" s="359" t="str">
        <f t="shared" si="124"/>
        <v/>
      </c>
      <c r="AJ551" s="359" t="str">
        <f t="shared" si="125"/>
        <v/>
      </c>
      <c r="AK551" s="359" t="str">
        <f t="shared" si="127"/>
        <v/>
      </c>
      <c r="AL551" s="359" t="str">
        <f t="shared" si="126"/>
        <v/>
      </c>
      <c r="AM551" s="359" t="str">
        <f t="shared" si="128"/>
        <v/>
      </c>
      <c r="AN551" s="262">
        <f t="shared" si="131"/>
        <v>0</v>
      </c>
      <c r="AO551" s="262" t="str">
        <f>IFERROR(HLOOKUP(AN551,'Ref Lists'!Q$1:AL$2,2,FALSE),'Ref Lists'!$AK$2)</f>
        <v>Savings21</v>
      </c>
      <c r="AP551" s="38"/>
      <c r="AQ551" s="38">
        <f t="shared" si="120"/>
        <v>0</v>
      </c>
      <c r="AR551" s="38"/>
      <c r="AS551" s="38"/>
      <c r="AT551" s="38"/>
      <c r="AU551" s="38"/>
      <c r="AV551" s="38"/>
      <c r="AW551" s="38"/>
      <c r="AX551" s="38"/>
      <c r="AY551" s="38"/>
      <c r="AZ551" s="38"/>
      <c r="BA551" s="38"/>
      <c r="BB551" s="38"/>
      <c r="BC551" s="38"/>
      <c r="BD551" s="38"/>
      <c r="BE551" s="38"/>
      <c r="BF551" s="38"/>
      <c r="BG551" s="38"/>
      <c r="BH551" s="38"/>
      <c r="BI551" s="38"/>
      <c r="BJ551" s="38"/>
      <c r="BK551" s="38"/>
      <c r="BL551" s="38"/>
      <c r="BM551" s="38"/>
      <c r="BN551" s="38"/>
      <c r="BO551" s="38"/>
      <c r="BP551" s="38"/>
      <c r="BQ551" s="38"/>
      <c r="BR551" s="38"/>
      <c r="BS551" s="38"/>
      <c r="BT551" s="38"/>
      <c r="BU551" s="38"/>
      <c r="BV551" s="38"/>
      <c r="BW551" s="38"/>
      <c r="BX551" s="38"/>
      <c r="BY551" s="38"/>
      <c r="BZ551" s="38"/>
      <c r="CA551" s="38"/>
      <c r="CB551" s="38"/>
      <c r="CC551" s="38"/>
      <c r="CD551" s="38"/>
      <c r="CE551" s="38"/>
      <c r="CF551" s="38"/>
      <c r="CG551" s="38"/>
      <c r="CH551" s="38"/>
      <c r="CI551" s="38"/>
      <c r="CJ551" s="38"/>
      <c r="CK551" s="38"/>
      <c r="CL551" s="38"/>
      <c r="CM551" s="38"/>
      <c r="CN551" s="38"/>
      <c r="CO551" s="38"/>
      <c r="CP551" s="38"/>
      <c r="CQ551" s="38"/>
      <c r="CR551" s="38"/>
      <c r="CS551" s="38"/>
      <c r="CT551" s="38"/>
      <c r="CU551" s="38"/>
      <c r="CV551" s="38"/>
      <c r="CW551" s="38"/>
      <c r="CX551" s="38"/>
      <c r="CY551" s="38"/>
      <c r="CZ551" s="38"/>
    </row>
    <row r="552" spans="1:104" s="40" customFormat="1" ht="20.149999999999999" customHeight="1">
      <c r="A552" s="358">
        <f t="shared" si="129"/>
        <v>551</v>
      </c>
      <c r="B552" s="359" t="str">
        <f>'Front Sheet and Checklist'!$C$5</f>
        <v>Swansea Bay UHB</v>
      </c>
      <c r="C552" s="17"/>
      <c r="D552" s="17"/>
      <c r="E552" s="17"/>
      <c r="F552" s="17"/>
      <c r="G552" s="17"/>
      <c r="H552" s="17"/>
      <c r="I552" s="361">
        <f t="shared" si="119"/>
        <v>0</v>
      </c>
      <c r="J552" s="17"/>
      <c r="K552" s="18"/>
      <c r="L552" s="18"/>
      <c r="M552" s="17"/>
      <c r="N552" s="17"/>
      <c r="O552" s="17"/>
      <c r="P552" s="17"/>
      <c r="Q552" s="169"/>
      <c r="R552" s="24"/>
      <c r="S552" s="24"/>
      <c r="T552" s="24"/>
      <c r="U552" s="25"/>
      <c r="V552" s="25"/>
      <c r="W552" s="25"/>
      <c r="X552" s="24"/>
      <c r="Y552" s="24"/>
      <c r="Z552" s="24"/>
      <c r="AA552" s="24"/>
      <c r="AB552" s="24"/>
      <c r="AC552" s="24"/>
      <c r="AD552" s="361">
        <f t="shared" si="118"/>
        <v>0</v>
      </c>
      <c r="AE552" s="359" t="str">
        <f t="shared" si="121"/>
        <v/>
      </c>
      <c r="AF552" s="359" t="str">
        <f t="shared" si="130"/>
        <v/>
      </c>
      <c r="AG552" s="359" t="str">
        <f t="shared" si="122"/>
        <v/>
      </c>
      <c r="AH552" s="359" t="str">
        <f t="shared" si="123"/>
        <v/>
      </c>
      <c r="AI552" s="359" t="str">
        <f t="shared" si="124"/>
        <v/>
      </c>
      <c r="AJ552" s="359" t="str">
        <f t="shared" si="125"/>
        <v/>
      </c>
      <c r="AK552" s="359" t="str">
        <f t="shared" si="127"/>
        <v/>
      </c>
      <c r="AL552" s="359" t="str">
        <f t="shared" si="126"/>
        <v/>
      </c>
      <c r="AM552" s="359" t="str">
        <f t="shared" si="128"/>
        <v/>
      </c>
      <c r="AN552" s="262">
        <f t="shared" si="131"/>
        <v>0</v>
      </c>
      <c r="AO552" s="262" t="str">
        <f>IFERROR(HLOOKUP(AN552,'Ref Lists'!Q$1:AL$2,2,FALSE),'Ref Lists'!$AK$2)</f>
        <v>Savings21</v>
      </c>
      <c r="AP552" s="38"/>
      <c r="AQ552" s="38">
        <f t="shared" si="120"/>
        <v>0</v>
      </c>
      <c r="AR552" s="38"/>
      <c r="AS552" s="38"/>
      <c r="AT552" s="38"/>
      <c r="AU552" s="38"/>
      <c r="AV552" s="38"/>
      <c r="AW552" s="38"/>
      <c r="AX552" s="38"/>
      <c r="AY552" s="38"/>
      <c r="AZ552" s="38"/>
      <c r="BA552" s="38"/>
      <c r="BB552" s="38"/>
      <c r="BC552" s="38"/>
      <c r="BD552" s="38"/>
      <c r="BE552" s="38"/>
      <c r="BF552" s="38"/>
      <c r="BG552" s="38"/>
      <c r="BH552" s="38"/>
      <c r="BI552" s="38"/>
      <c r="BJ552" s="38"/>
      <c r="BK552" s="38"/>
      <c r="BL552" s="38"/>
      <c r="BM552" s="38"/>
      <c r="BN552" s="38"/>
      <c r="BO552" s="38"/>
      <c r="BP552" s="38"/>
      <c r="BQ552" s="38"/>
      <c r="BR552" s="38"/>
      <c r="BS552" s="38"/>
      <c r="BT552" s="38"/>
      <c r="BU552" s="38"/>
      <c r="BV552" s="38"/>
      <c r="BW552" s="38"/>
      <c r="BX552" s="38"/>
      <c r="BY552" s="38"/>
      <c r="BZ552" s="38"/>
      <c r="CA552" s="38"/>
      <c r="CB552" s="38"/>
      <c r="CC552" s="38"/>
      <c r="CD552" s="38"/>
      <c r="CE552" s="38"/>
      <c r="CF552" s="38"/>
      <c r="CG552" s="38"/>
      <c r="CH552" s="38"/>
      <c r="CI552" s="38"/>
      <c r="CJ552" s="38"/>
      <c r="CK552" s="38"/>
      <c r="CL552" s="38"/>
      <c r="CM552" s="38"/>
      <c r="CN552" s="38"/>
      <c r="CO552" s="38"/>
      <c r="CP552" s="38"/>
      <c r="CQ552" s="38"/>
      <c r="CR552" s="38"/>
      <c r="CS552" s="38"/>
      <c r="CT552" s="38"/>
      <c r="CU552" s="38"/>
      <c r="CV552" s="38"/>
      <c r="CW552" s="38"/>
      <c r="CX552" s="38"/>
      <c r="CY552" s="38"/>
      <c r="CZ552" s="38"/>
    </row>
    <row r="553" spans="1:104" s="40" customFormat="1" ht="20.149999999999999" customHeight="1">
      <c r="A553" s="358">
        <f t="shared" si="129"/>
        <v>552</v>
      </c>
      <c r="B553" s="359" t="str">
        <f>'Front Sheet and Checklist'!$C$5</f>
        <v>Swansea Bay UHB</v>
      </c>
      <c r="C553" s="17"/>
      <c r="D553" s="17"/>
      <c r="E553" s="17"/>
      <c r="F553" s="17"/>
      <c r="G553" s="17"/>
      <c r="H553" s="17"/>
      <c r="I553" s="361">
        <f t="shared" si="119"/>
        <v>0</v>
      </c>
      <c r="J553" s="17"/>
      <c r="K553" s="18"/>
      <c r="L553" s="18"/>
      <c r="M553" s="17"/>
      <c r="N553" s="17"/>
      <c r="O553" s="17"/>
      <c r="P553" s="17"/>
      <c r="Q553" s="169"/>
      <c r="R553" s="24"/>
      <c r="S553" s="24"/>
      <c r="T553" s="24"/>
      <c r="U553" s="25"/>
      <c r="V553" s="25"/>
      <c r="W553" s="25"/>
      <c r="X553" s="24"/>
      <c r="Y553" s="24"/>
      <c r="Z553" s="24"/>
      <c r="AA553" s="24"/>
      <c r="AB553" s="24"/>
      <c r="AC553" s="24"/>
      <c r="AD553" s="361">
        <f t="shared" si="118"/>
        <v>0</v>
      </c>
      <c r="AE553" s="359" t="str">
        <f t="shared" si="121"/>
        <v/>
      </c>
      <c r="AF553" s="359" t="str">
        <f t="shared" si="130"/>
        <v/>
      </c>
      <c r="AG553" s="359" t="str">
        <f t="shared" si="122"/>
        <v/>
      </c>
      <c r="AH553" s="359" t="str">
        <f t="shared" si="123"/>
        <v/>
      </c>
      <c r="AI553" s="359" t="str">
        <f t="shared" si="124"/>
        <v/>
      </c>
      <c r="AJ553" s="359" t="str">
        <f t="shared" si="125"/>
        <v/>
      </c>
      <c r="AK553" s="359" t="str">
        <f t="shared" si="127"/>
        <v/>
      </c>
      <c r="AL553" s="359" t="str">
        <f t="shared" si="126"/>
        <v/>
      </c>
      <c r="AM553" s="359" t="str">
        <f t="shared" si="128"/>
        <v/>
      </c>
      <c r="AN553" s="262">
        <f t="shared" si="131"/>
        <v>0</v>
      </c>
      <c r="AO553" s="262" t="str">
        <f>IFERROR(HLOOKUP(AN553,'Ref Lists'!Q$1:AL$2,2,FALSE),'Ref Lists'!$AK$2)</f>
        <v>Savings21</v>
      </c>
      <c r="AP553" s="38"/>
      <c r="AQ553" s="38">
        <f t="shared" si="120"/>
        <v>0</v>
      </c>
      <c r="AR553" s="38"/>
      <c r="AS553" s="38"/>
      <c r="AT553" s="38"/>
      <c r="AU553" s="38"/>
      <c r="AV553" s="38"/>
      <c r="AW553" s="38"/>
      <c r="AX553" s="38"/>
      <c r="AY553" s="38"/>
      <c r="AZ553" s="38"/>
      <c r="BA553" s="38"/>
      <c r="BB553" s="38"/>
      <c r="BC553" s="38"/>
      <c r="BD553" s="38"/>
      <c r="BE553" s="38"/>
      <c r="BF553" s="38"/>
      <c r="BG553" s="38"/>
      <c r="BH553" s="38"/>
      <c r="BI553" s="38"/>
      <c r="BJ553" s="38"/>
      <c r="BK553" s="38"/>
      <c r="BL553" s="38"/>
      <c r="BM553" s="38"/>
      <c r="BN553" s="38"/>
      <c r="BO553" s="38"/>
      <c r="BP553" s="38"/>
      <c r="BQ553" s="38"/>
      <c r="BR553" s="38"/>
      <c r="BS553" s="38"/>
      <c r="BT553" s="38"/>
      <c r="BU553" s="38"/>
      <c r="BV553" s="38"/>
      <c r="BW553" s="38"/>
      <c r="BX553" s="38"/>
      <c r="BY553" s="38"/>
      <c r="BZ553" s="38"/>
      <c r="CA553" s="38"/>
      <c r="CB553" s="38"/>
      <c r="CC553" s="38"/>
      <c r="CD553" s="38"/>
      <c r="CE553" s="38"/>
      <c r="CF553" s="38"/>
      <c r="CG553" s="38"/>
      <c r="CH553" s="38"/>
      <c r="CI553" s="38"/>
      <c r="CJ553" s="38"/>
      <c r="CK553" s="38"/>
      <c r="CL553" s="38"/>
      <c r="CM553" s="38"/>
      <c r="CN553" s="38"/>
      <c r="CO553" s="38"/>
      <c r="CP553" s="38"/>
      <c r="CQ553" s="38"/>
      <c r="CR553" s="38"/>
      <c r="CS553" s="38"/>
      <c r="CT553" s="38"/>
      <c r="CU553" s="38"/>
      <c r="CV553" s="38"/>
      <c r="CW553" s="38"/>
      <c r="CX553" s="38"/>
      <c r="CY553" s="38"/>
      <c r="CZ553" s="38"/>
    </row>
    <row r="554" spans="1:104" s="40" customFormat="1" ht="20.149999999999999" customHeight="1">
      <c r="A554" s="358">
        <f t="shared" si="129"/>
        <v>553</v>
      </c>
      <c r="B554" s="359" t="str">
        <f>'Front Sheet and Checklist'!$C$5</f>
        <v>Swansea Bay UHB</v>
      </c>
      <c r="C554" s="17"/>
      <c r="D554" s="17"/>
      <c r="E554" s="17"/>
      <c r="F554" s="17"/>
      <c r="G554" s="17"/>
      <c r="H554" s="17"/>
      <c r="I554" s="361">
        <f t="shared" si="119"/>
        <v>0</v>
      </c>
      <c r="J554" s="17"/>
      <c r="K554" s="18"/>
      <c r="L554" s="18"/>
      <c r="M554" s="17"/>
      <c r="N554" s="17"/>
      <c r="O554" s="17"/>
      <c r="P554" s="17"/>
      <c r="Q554" s="169"/>
      <c r="R554" s="24"/>
      <c r="S554" s="24"/>
      <c r="T554" s="24"/>
      <c r="U554" s="25"/>
      <c r="V554" s="25"/>
      <c r="W554" s="25"/>
      <c r="X554" s="24"/>
      <c r="Y554" s="24"/>
      <c r="Z554" s="24"/>
      <c r="AA554" s="24"/>
      <c r="AB554" s="24"/>
      <c r="AC554" s="24"/>
      <c r="AD554" s="361">
        <f t="shared" si="118"/>
        <v>0</v>
      </c>
      <c r="AE554" s="359" t="str">
        <f t="shared" si="121"/>
        <v/>
      </c>
      <c r="AF554" s="359" t="str">
        <f t="shared" si="130"/>
        <v/>
      </c>
      <c r="AG554" s="359" t="str">
        <f t="shared" si="122"/>
        <v/>
      </c>
      <c r="AH554" s="359" t="str">
        <f t="shared" si="123"/>
        <v/>
      </c>
      <c r="AI554" s="359" t="str">
        <f t="shared" si="124"/>
        <v/>
      </c>
      <c r="AJ554" s="359" t="str">
        <f t="shared" si="125"/>
        <v/>
      </c>
      <c r="AK554" s="359" t="str">
        <f t="shared" si="127"/>
        <v/>
      </c>
      <c r="AL554" s="359" t="str">
        <f t="shared" si="126"/>
        <v/>
      </c>
      <c r="AM554" s="359" t="str">
        <f t="shared" si="128"/>
        <v/>
      </c>
      <c r="AN554" s="262">
        <f t="shared" si="131"/>
        <v>0</v>
      </c>
      <c r="AO554" s="262" t="str">
        <f>IFERROR(HLOOKUP(AN554,'Ref Lists'!Q$1:AL$2,2,FALSE),'Ref Lists'!$AK$2)</f>
        <v>Savings21</v>
      </c>
      <c r="AP554" s="38"/>
      <c r="AQ554" s="38">
        <f t="shared" si="120"/>
        <v>0</v>
      </c>
      <c r="AR554" s="38"/>
      <c r="AS554" s="38"/>
      <c r="AT554" s="38"/>
      <c r="AU554" s="38"/>
      <c r="AV554" s="38"/>
      <c r="AW554" s="38"/>
      <c r="AX554" s="38"/>
      <c r="AY554" s="38"/>
      <c r="AZ554" s="38"/>
      <c r="BA554" s="38"/>
      <c r="BB554" s="38"/>
      <c r="BC554" s="38"/>
      <c r="BD554" s="38"/>
      <c r="BE554" s="38"/>
      <c r="BF554" s="38"/>
      <c r="BG554" s="38"/>
      <c r="BH554" s="38"/>
      <c r="BI554" s="38"/>
      <c r="BJ554" s="38"/>
      <c r="BK554" s="38"/>
      <c r="BL554" s="38"/>
      <c r="BM554" s="38"/>
      <c r="BN554" s="38"/>
      <c r="BO554" s="38"/>
      <c r="BP554" s="38"/>
      <c r="BQ554" s="38"/>
      <c r="BR554" s="38"/>
      <c r="BS554" s="38"/>
      <c r="BT554" s="38"/>
      <c r="BU554" s="38"/>
      <c r="BV554" s="38"/>
      <c r="BW554" s="38"/>
      <c r="BX554" s="38"/>
      <c r="BY554" s="38"/>
      <c r="BZ554" s="38"/>
      <c r="CA554" s="38"/>
      <c r="CB554" s="38"/>
      <c r="CC554" s="38"/>
      <c r="CD554" s="38"/>
      <c r="CE554" s="38"/>
      <c r="CF554" s="38"/>
      <c r="CG554" s="38"/>
      <c r="CH554" s="38"/>
      <c r="CI554" s="38"/>
      <c r="CJ554" s="38"/>
      <c r="CK554" s="38"/>
      <c r="CL554" s="38"/>
      <c r="CM554" s="38"/>
      <c r="CN554" s="38"/>
      <c r="CO554" s="38"/>
      <c r="CP554" s="38"/>
      <c r="CQ554" s="38"/>
      <c r="CR554" s="38"/>
      <c r="CS554" s="38"/>
      <c r="CT554" s="38"/>
      <c r="CU554" s="38"/>
      <c r="CV554" s="38"/>
      <c r="CW554" s="38"/>
      <c r="CX554" s="38"/>
      <c r="CY554" s="38"/>
      <c r="CZ554" s="38"/>
    </row>
    <row r="555" spans="1:104" s="40" customFormat="1" ht="20.149999999999999" customHeight="1">
      <c r="A555" s="358">
        <f t="shared" si="129"/>
        <v>554</v>
      </c>
      <c r="B555" s="359" t="str">
        <f>'Front Sheet and Checklist'!$C$5</f>
        <v>Swansea Bay UHB</v>
      </c>
      <c r="C555" s="17"/>
      <c r="D555" s="17"/>
      <c r="E555" s="17"/>
      <c r="F555" s="17"/>
      <c r="G555" s="17"/>
      <c r="H555" s="17"/>
      <c r="I555" s="361">
        <f t="shared" si="119"/>
        <v>0</v>
      </c>
      <c r="J555" s="17"/>
      <c r="K555" s="18"/>
      <c r="L555" s="18"/>
      <c r="M555" s="17"/>
      <c r="N555" s="17"/>
      <c r="O555" s="17"/>
      <c r="P555" s="17"/>
      <c r="Q555" s="169"/>
      <c r="R555" s="24"/>
      <c r="S555" s="24"/>
      <c r="T555" s="24"/>
      <c r="U555" s="25"/>
      <c r="V555" s="25"/>
      <c r="W555" s="25"/>
      <c r="X555" s="24"/>
      <c r="Y555" s="24"/>
      <c r="Z555" s="24"/>
      <c r="AA555" s="24"/>
      <c r="AB555" s="24"/>
      <c r="AC555" s="24"/>
      <c r="AD555" s="361">
        <f t="shared" si="118"/>
        <v>0</v>
      </c>
      <c r="AE555" s="359" t="str">
        <f t="shared" si="121"/>
        <v/>
      </c>
      <c r="AF555" s="359" t="str">
        <f t="shared" si="130"/>
        <v/>
      </c>
      <c r="AG555" s="359" t="str">
        <f t="shared" si="122"/>
        <v/>
      </c>
      <c r="AH555" s="359" t="str">
        <f t="shared" si="123"/>
        <v/>
      </c>
      <c r="AI555" s="359" t="str">
        <f t="shared" si="124"/>
        <v/>
      </c>
      <c r="AJ555" s="359" t="str">
        <f t="shared" si="125"/>
        <v/>
      </c>
      <c r="AK555" s="359" t="str">
        <f t="shared" si="127"/>
        <v/>
      </c>
      <c r="AL555" s="359" t="str">
        <f t="shared" si="126"/>
        <v/>
      </c>
      <c r="AM555" s="359" t="str">
        <f t="shared" si="128"/>
        <v/>
      </c>
      <c r="AN555" s="262">
        <f t="shared" si="131"/>
        <v>0</v>
      </c>
      <c r="AO555" s="262" t="str">
        <f>IFERROR(HLOOKUP(AN555,'Ref Lists'!Q$1:AL$2,2,FALSE),'Ref Lists'!$AK$2)</f>
        <v>Savings21</v>
      </c>
      <c r="AP555" s="38"/>
      <c r="AQ555" s="38">
        <f t="shared" si="120"/>
        <v>0</v>
      </c>
      <c r="AR555" s="38"/>
      <c r="AS555" s="38"/>
      <c r="AT555" s="38"/>
      <c r="AU555" s="38"/>
      <c r="AV555" s="38"/>
      <c r="AW555" s="38"/>
      <c r="AX555" s="38"/>
      <c r="AY555" s="38"/>
      <c r="AZ555" s="38"/>
      <c r="BA555" s="38"/>
      <c r="BB555" s="38"/>
      <c r="BC555" s="38"/>
      <c r="BD555" s="38"/>
      <c r="BE555" s="38"/>
      <c r="BF555" s="38"/>
      <c r="BG555" s="38"/>
      <c r="BH555" s="38"/>
      <c r="BI555" s="38"/>
      <c r="BJ555" s="38"/>
      <c r="BK555" s="38"/>
      <c r="BL555" s="38"/>
      <c r="BM555" s="38"/>
      <c r="BN555" s="38"/>
      <c r="BO555" s="38"/>
      <c r="BP555" s="38"/>
      <c r="BQ555" s="38"/>
      <c r="BR555" s="38"/>
      <c r="BS555" s="38"/>
      <c r="BT555" s="38"/>
      <c r="BU555" s="38"/>
      <c r="BV555" s="38"/>
      <c r="BW555" s="38"/>
      <c r="BX555" s="38"/>
      <c r="BY555" s="38"/>
      <c r="BZ555" s="38"/>
      <c r="CA555" s="38"/>
      <c r="CB555" s="38"/>
      <c r="CC555" s="38"/>
      <c r="CD555" s="38"/>
      <c r="CE555" s="38"/>
      <c r="CF555" s="38"/>
      <c r="CG555" s="38"/>
      <c r="CH555" s="38"/>
      <c r="CI555" s="38"/>
      <c r="CJ555" s="38"/>
      <c r="CK555" s="38"/>
      <c r="CL555" s="38"/>
      <c r="CM555" s="38"/>
      <c r="CN555" s="38"/>
      <c r="CO555" s="38"/>
      <c r="CP555" s="38"/>
      <c r="CQ555" s="38"/>
      <c r="CR555" s="38"/>
      <c r="CS555" s="38"/>
      <c r="CT555" s="38"/>
      <c r="CU555" s="38"/>
      <c r="CV555" s="38"/>
      <c r="CW555" s="38"/>
      <c r="CX555" s="38"/>
      <c r="CY555" s="38"/>
      <c r="CZ555" s="38"/>
    </row>
    <row r="556" spans="1:104" s="40" customFormat="1" ht="20.149999999999999" customHeight="1">
      <c r="A556" s="358">
        <f t="shared" si="129"/>
        <v>555</v>
      </c>
      <c r="B556" s="359" t="str">
        <f>'Front Sheet and Checklist'!$C$5</f>
        <v>Swansea Bay UHB</v>
      </c>
      <c r="C556" s="17"/>
      <c r="D556" s="17"/>
      <c r="E556" s="17"/>
      <c r="F556" s="17"/>
      <c r="G556" s="17"/>
      <c r="H556" s="17"/>
      <c r="I556" s="361">
        <f t="shared" si="119"/>
        <v>0</v>
      </c>
      <c r="J556" s="17"/>
      <c r="K556" s="18"/>
      <c r="L556" s="18"/>
      <c r="M556" s="17"/>
      <c r="N556" s="17"/>
      <c r="O556" s="17"/>
      <c r="P556" s="17"/>
      <c r="Q556" s="169"/>
      <c r="R556" s="24"/>
      <c r="S556" s="24"/>
      <c r="T556" s="24"/>
      <c r="U556" s="25"/>
      <c r="V556" s="25"/>
      <c r="W556" s="25"/>
      <c r="X556" s="24"/>
      <c r="Y556" s="24"/>
      <c r="Z556" s="24"/>
      <c r="AA556" s="24"/>
      <c r="AB556" s="24"/>
      <c r="AC556" s="24"/>
      <c r="AD556" s="361">
        <f t="shared" si="118"/>
        <v>0</v>
      </c>
      <c r="AE556" s="359" t="str">
        <f t="shared" si="121"/>
        <v/>
      </c>
      <c r="AF556" s="359" t="str">
        <f t="shared" si="130"/>
        <v/>
      </c>
      <c r="AG556" s="359" t="str">
        <f t="shared" si="122"/>
        <v/>
      </c>
      <c r="AH556" s="359" t="str">
        <f t="shared" si="123"/>
        <v/>
      </c>
      <c r="AI556" s="359" t="str">
        <f t="shared" si="124"/>
        <v/>
      </c>
      <c r="AJ556" s="359" t="str">
        <f t="shared" si="125"/>
        <v/>
      </c>
      <c r="AK556" s="359" t="str">
        <f t="shared" si="127"/>
        <v/>
      </c>
      <c r="AL556" s="359" t="str">
        <f t="shared" si="126"/>
        <v/>
      </c>
      <c r="AM556" s="359" t="str">
        <f t="shared" si="128"/>
        <v/>
      </c>
      <c r="AN556" s="262">
        <f t="shared" si="131"/>
        <v>0</v>
      </c>
      <c r="AO556" s="262" t="str">
        <f>IFERROR(HLOOKUP(AN556,'Ref Lists'!Q$1:AL$2,2,FALSE),'Ref Lists'!$AK$2)</f>
        <v>Savings21</v>
      </c>
      <c r="AP556" s="38"/>
      <c r="AQ556" s="38">
        <f t="shared" si="120"/>
        <v>0</v>
      </c>
      <c r="AR556" s="38"/>
      <c r="AS556" s="38"/>
      <c r="AT556" s="38"/>
      <c r="AU556" s="38"/>
      <c r="AV556" s="38"/>
      <c r="AW556" s="38"/>
      <c r="AX556" s="38"/>
      <c r="AY556" s="38"/>
      <c r="AZ556" s="38"/>
      <c r="BA556" s="38"/>
      <c r="BB556" s="38"/>
      <c r="BC556" s="38"/>
      <c r="BD556" s="38"/>
      <c r="BE556" s="38"/>
      <c r="BF556" s="38"/>
      <c r="BG556" s="38"/>
      <c r="BH556" s="38"/>
      <c r="BI556" s="38"/>
      <c r="BJ556" s="38"/>
      <c r="BK556" s="38"/>
      <c r="BL556" s="38"/>
      <c r="BM556" s="38"/>
      <c r="BN556" s="38"/>
      <c r="BO556" s="38"/>
      <c r="BP556" s="38"/>
      <c r="BQ556" s="38"/>
      <c r="BR556" s="38"/>
      <c r="BS556" s="38"/>
      <c r="BT556" s="38"/>
      <c r="BU556" s="38"/>
      <c r="BV556" s="38"/>
      <c r="BW556" s="38"/>
      <c r="BX556" s="38"/>
      <c r="BY556" s="38"/>
      <c r="BZ556" s="38"/>
      <c r="CA556" s="38"/>
      <c r="CB556" s="38"/>
      <c r="CC556" s="38"/>
      <c r="CD556" s="38"/>
      <c r="CE556" s="38"/>
      <c r="CF556" s="38"/>
      <c r="CG556" s="38"/>
      <c r="CH556" s="38"/>
      <c r="CI556" s="38"/>
      <c r="CJ556" s="38"/>
      <c r="CK556" s="38"/>
      <c r="CL556" s="38"/>
      <c r="CM556" s="38"/>
      <c r="CN556" s="38"/>
      <c r="CO556" s="38"/>
      <c r="CP556" s="38"/>
      <c r="CQ556" s="38"/>
      <c r="CR556" s="38"/>
      <c r="CS556" s="38"/>
      <c r="CT556" s="38"/>
      <c r="CU556" s="38"/>
      <c r="CV556" s="38"/>
      <c r="CW556" s="38"/>
      <c r="CX556" s="38"/>
      <c r="CY556" s="38"/>
      <c r="CZ556" s="38"/>
    </row>
    <row r="557" spans="1:104" s="40" customFormat="1" ht="20.149999999999999" customHeight="1">
      <c r="A557" s="358">
        <f t="shared" si="129"/>
        <v>556</v>
      </c>
      <c r="B557" s="359" t="str">
        <f>'Front Sheet and Checklist'!$C$5</f>
        <v>Swansea Bay UHB</v>
      </c>
      <c r="C557" s="17"/>
      <c r="D557" s="17"/>
      <c r="E557" s="17"/>
      <c r="F557" s="17"/>
      <c r="G557" s="17"/>
      <c r="H557" s="17"/>
      <c r="I557" s="361">
        <f t="shared" si="119"/>
        <v>0</v>
      </c>
      <c r="J557" s="17"/>
      <c r="K557" s="18"/>
      <c r="L557" s="18"/>
      <c r="M557" s="17"/>
      <c r="N557" s="17"/>
      <c r="O557" s="17"/>
      <c r="P557" s="17"/>
      <c r="Q557" s="169"/>
      <c r="R557" s="24"/>
      <c r="S557" s="24"/>
      <c r="T557" s="24"/>
      <c r="U557" s="25"/>
      <c r="V557" s="25"/>
      <c r="W557" s="25"/>
      <c r="X557" s="24"/>
      <c r="Y557" s="24"/>
      <c r="Z557" s="24"/>
      <c r="AA557" s="24"/>
      <c r="AB557" s="24"/>
      <c r="AC557" s="24"/>
      <c r="AD557" s="361">
        <f t="shared" si="118"/>
        <v>0</v>
      </c>
      <c r="AE557" s="359" t="str">
        <f t="shared" si="121"/>
        <v/>
      </c>
      <c r="AF557" s="359" t="str">
        <f t="shared" si="130"/>
        <v/>
      </c>
      <c r="AG557" s="359" t="str">
        <f t="shared" si="122"/>
        <v/>
      </c>
      <c r="AH557" s="359" t="str">
        <f t="shared" si="123"/>
        <v/>
      </c>
      <c r="AI557" s="359" t="str">
        <f t="shared" si="124"/>
        <v/>
      </c>
      <c r="AJ557" s="359" t="str">
        <f t="shared" si="125"/>
        <v/>
      </c>
      <c r="AK557" s="359" t="str">
        <f t="shared" si="127"/>
        <v/>
      </c>
      <c r="AL557" s="359" t="str">
        <f t="shared" si="126"/>
        <v/>
      </c>
      <c r="AM557" s="359" t="str">
        <f t="shared" si="128"/>
        <v/>
      </c>
      <c r="AN557" s="262">
        <f t="shared" si="131"/>
        <v>0</v>
      </c>
      <c r="AO557" s="262" t="str">
        <f>IFERROR(HLOOKUP(AN557,'Ref Lists'!Q$1:AL$2,2,FALSE),'Ref Lists'!$AK$2)</f>
        <v>Savings21</v>
      </c>
      <c r="AP557" s="38"/>
      <c r="AQ557" s="38">
        <f t="shared" si="120"/>
        <v>0</v>
      </c>
      <c r="AR557" s="38"/>
      <c r="AS557" s="38"/>
      <c r="AT557" s="38"/>
      <c r="AU557" s="38"/>
      <c r="AV557" s="38"/>
      <c r="AW557" s="38"/>
      <c r="AX557" s="38"/>
      <c r="AY557" s="38"/>
      <c r="AZ557" s="38"/>
      <c r="BA557" s="38"/>
      <c r="BB557" s="38"/>
      <c r="BC557" s="38"/>
      <c r="BD557" s="38"/>
      <c r="BE557" s="38"/>
      <c r="BF557" s="38"/>
      <c r="BG557" s="38"/>
      <c r="BH557" s="38"/>
      <c r="BI557" s="38"/>
      <c r="BJ557" s="38"/>
      <c r="BK557" s="38"/>
      <c r="BL557" s="38"/>
      <c r="BM557" s="38"/>
      <c r="BN557" s="38"/>
      <c r="BO557" s="38"/>
      <c r="BP557" s="38"/>
      <c r="BQ557" s="38"/>
      <c r="BR557" s="38"/>
      <c r="BS557" s="38"/>
      <c r="BT557" s="38"/>
      <c r="BU557" s="38"/>
      <c r="BV557" s="38"/>
      <c r="BW557" s="38"/>
      <c r="BX557" s="38"/>
      <c r="BY557" s="38"/>
      <c r="BZ557" s="38"/>
      <c r="CA557" s="38"/>
      <c r="CB557" s="38"/>
      <c r="CC557" s="38"/>
      <c r="CD557" s="38"/>
      <c r="CE557" s="38"/>
      <c r="CF557" s="38"/>
      <c r="CG557" s="38"/>
      <c r="CH557" s="38"/>
      <c r="CI557" s="38"/>
      <c r="CJ557" s="38"/>
      <c r="CK557" s="38"/>
      <c r="CL557" s="38"/>
      <c r="CM557" s="38"/>
      <c r="CN557" s="38"/>
      <c r="CO557" s="38"/>
      <c r="CP557" s="38"/>
      <c r="CQ557" s="38"/>
      <c r="CR557" s="38"/>
      <c r="CS557" s="38"/>
      <c r="CT557" s="38"/>
      <c r="CU557" s="38"/>
      <c r="CV557" s="38"/>
      <c r="CW557" s="38"/>
      <c r="CX557" s="38"/>
      <c r="CY557" s="38"/>
      <c r="CZ557" s="38"/>
    </row>
    <row r="558" spans="1:104" s="40" customFormat="1" ht="20.149999999999999" customHeight="1">
      <c r="A558" s="358">
        <f t="shared" si="129"/>
        <v>557</v>
      </c>
      <c r="B558" s="359" t="str">
        <f>'Front Sheet and Checklist'!$C$5</f>
        <v>Swansea Bay UHB</v>
      </c>
      <c r="C558" s="17"/>
      <c r="D558" s="17"/>
      <c r="E558" s="17"/>
      <c r="F558" s="17"/>
      <c r="G558" s="17"/>
      <c r="H558" s="17"/>
      <c r="I558" s="361">
        <f t="shared" si="119"/>
        <v>0</v>
      </c>
      <c r="J558" s="17"/>
      <c r="K558" s="18"/>
      <c r="L558" s="18"/>
      <c r="M558" s="17"/>
      <c r="N558" s="17"/>
      <c r="O558" s="17"/>
      <c r="P558" s="17"/>
      <c r="Q558" s="169"/>
      <c r="R558" s="24"/>
      <c r="S558" s="24"/>
      <c r="T558" s="24"/>
      <c r="U558" s="25"/>
      <c r="V558" s="25"/>
      <c r="W558" s="25"/>
      <c r="X558" s="24"/>
      <c r="Y558" s="24"/>
      <c r="Z558" s="24"/>
      <c r="AA558" s="24"/>
      <c r="AB558" s="24"/>
      <c r="AC558" s="24"/>
      <c r="AD558" s="361">
        <f t="shared" si="118"/>
        <v>0</v>
      </c>
      <c r="AE558" s="359" t="str">
        <f t="shared" si="121"/>
        <v/>
      </c>
      <c r="AF558" s="359" t="str">
        <f t="shared" si="130"/>
        <v/>
      </c>
      <c r="AG558" s="359" t="str">
        <f t="shared" si="122"/>
        <v/>
      </c>
      <c r="AH558" s="359" t="str">
        <f t="shared" si="123"/>
        <v/>
      </c>
      <c r="AI558" s="359" t="str">
        <f t="shared" si="124"/>
        <v/>
      </c>
      <c r="AJ558" s="359" t="str">
        <f t="shared" si="125"/>
        <v/>
      </c>
      <c r="AK558" s="359" t="str">
        <f t="shared" si="127"/>
        <v/>
      </c>
      <c r="AL558" s="359" t="str">
        <f t="shared" si="126"/>
        <v/>
      </c>
      <c r="AM558" s="359" t="str">
        <f t="shared" si="128"/>
        <v/>
      </c>
      <c r="AN558" s="262">
        <f t="shared" si="131"/>
        <v>0</v>
      </c>
      <c r="AO558" s="262" t="str">
        <f>IFERROR(HLOOKUP(AN558,'Ref Lists'!Q$1:AL$2,2,FALSE),'Ref Lists'!$AK$2)</f>
        <v>Savings21</v>
      </c>
      <c r="AP558" s="38"/>
      <c r="AQ558" s="38">
        <f t="shared" si="120"/>
        <v>0</v>
      </c>
      <c r="AR558" s="38"/>
      <c r="AS558" s="38"/>
      <c r="AT558" s="38"/>
      <c r="AU558" s="38"/>
      <c r="AV558" s="38"/>
      <c r="AW558" s="38"/>
      <c r="AX558" s="38"/>
      <c r="AY558" s="38"/>
      <c r="AZ558" s="38"/>
      <c r="BA558" s="38"/>
      <c r="BB558" s="38"/>
      <c r="BC558" s="38"/>
      <c r="BD558" s="38"/>
      <c r="BE558" s="38"/>
      <c r="BF558" s="38"/>
      <c r="BG558" s="38"/>
      <c r="BH558" s="38"/>
      <c r="BI558" s="38"/>
      <c r="BJ558" s="38"/>
      <c r="BK558" s="38"/>
      <c r="BL558" s="38"/>
      <c r="BM558" s="38"/>
      <c r="BN558" s="38"/>
      <c r="BO558" s="38"/>
      <c r="BP558" s="38"/>
      <c r="BQ558" s="38"/>
      <c r="BR558" s="38"/>
      <c r="BS558" s="38"/>
      <c r="BT558" s="38"/>
      <c r="BU558" s="38"/>
      <c r="BV558" s="38"/>
      <c r="BW558" s="38"/>
      <c r="BX558" s="38"/>
      <c r="BY558" s="38"/>
      <c r="BZ558" s="38"/>
      <c r="CA558" s="38"/>
      <c r="CB558" s="38"/>
      <c r="CC558" s="38"/>
      <c r="CD558" s="38"/>
      <c r="CE558" s="38"/>
      <c r="CF558" s="38"/>
      <c r="CG558" s="38"/>
      <c r="CH558" s="38"/>
      <c r="CI558" s="38"/>
      <c r="CJ558" s="38"/>
      <c r="CK558" s="38"/>
      <c r="CL558" s="38"/>
      <c r="CM558" s="38"/>
      <c r="CN558" s="38"/>
      <c r="CO558" s="38"/>
      <c r="CP558" s="38"/>
      <c r="CQ558" s="38"/>
      <c r="CR558" s="38"/>
      <c r="CS558" s="38"/>
      <c r="CT558" s="38"/>
      <c r="CU558" s="38"/>
      <c r="CV558" s="38"/>
      <c r="CW558" s="38"/>
      <c r="CX558" s="38"/>
      <c r="CY558" s="38"/>
      <c r="CZ558" s="38"/>
    </row>
    <row r="559" spans="1:104" s="40" customFormat="1" ht="20.149999999999999" customHeight="1">
      <c r="A559" s="358">
        <f t="shared" si="129"/>
        <v>558</v>
      </c>
      <c r="B559" s="359" t="str">
        <f>'Front Sheet and Checklist'!$C$5</f>
        <v>Swansea Bay UHB</v>
      </c>
      <c r="C559" s="17"/>
      <c r="D559" s="17"/>
      <c r="E559" s="17"/>
      <c r="F559" s="17"/>
      <c r="G559" s="17"/>
      <c r="H559" s="17"/>
      <c r="I559" s="361">
        <f t="shared" si="119"/>
        <v>0</v>
      </c>
      <c r="J559" s="17"/>
      <c r="K559" s="18"/>
      <c r="L559" s="18"/>
      <c r="M559" s="17"/>
      <c r="N559" s="17"/>
      <c r="O559" s="17"/>
      <c r="P559" s="17"/>
      <c r="Q559" s="169"/>
      <c r="R559" s="24"/>
      <c r="S559" s="24"/>
      <c r="T559" s="24"/>
      <c r="U559" s="25"/>
      <c r="V559" s="25"/>
      <c r="W559" s="25"/>
      <c r="X559" s="24"/>
      <c r="Y559" s="24"/>
      <c r="Z559" s="24"/>
      <c r="AA559" s="24"/>
      <c r="AB559" s="24"/>
      <c r="AC559" s="24"/>
      <c r="AD559" s="361">
        <f t="shared" si="118"/>
        <v>0</v>
      </c>
      <c r="AE559" s="359" t="str">
        <f t="shared" si="121"/>
        <v/>
      </c>
      <c r="AF559" s="359" t="str">
        <f t="shared" si="130"/>
        <v/>
      </c>
      <c r="AG559" s="359" t="str">
        <f t="shared" si="122"/>
        <v/>
      </c>
      <c r="AH559" s="359" t="str">
        <f t="shared" si="123"/>
        <v/>
      </c>
      <c r="AI559" s="359" t="str">
        <f t="shared" si="124"/>
        <v/>
      </c>
      <c r="AJ559" s="359" t="str">
        <f t="shared" si="125"/>
        <v/>
      </c>
      <c r="AK559" s="359" t="str">
        <f t="shared" si="127"/>
        <v/>
      </c>
      <c r="AL559" s="359" t="str">
        <f t="shared" si="126"/>
        <v/>
      </c>
      <c r="AM559" s="359" t="str">
        <f t="shared" si="128"/>
        <v/>
      </c>
      <c r="AN559" s="262">
        <f t="shared" si="131"/>
        <v>0</v>
      </c>
      <c r="AO559" s="262" t="str">
        <f>IFERROR(HLOOKUP(AN559,'Ref Lists'!Q$1:AL$2,2,FALSE),'Ref Lists'!$AK$2)</f>
        <v>Savings21</v>
      </c>
      <c r="AP559" s="38"/>
      <c r="AQ559" s="38">
        <f t="shared" si="120"/>
        <v>0</v>
      </c>
      <c r="AR559" s="38"/>
      <c r="AS559" s="38"/>
      <c r="AT559" s="38"/>
      <c r="AU559" s="38"/>
      <c r="AV559" s="38"/>
      <c r="AW559" s="38"/>
      <c r="AX559" s="38"/>
      <c r="AY559" s="38"/>
      <c r="AZ559" s="38"/>
      <c r="BA559" s="38"/>
      <c r="BB559" s="38"/>
      <c r="BC559" s="38"/>
      <c r="BD559" s="38"/>
      <c r="BE559" s="38"/>
      <c r="BF559" s="38"/>
      <c r="BG559" s="38"/>
      <c r="BH559" s="38"/>
      <c r="BI559" s="38"/>
      <c r="BJ559" s="38"/>
      <c r="BK559" s="38"/>
      <c r="BL559" s="38"/>
      <c r="BM559" s="38"/>
      <c r="BN559" s="38"/>
      <c r="BO559" s="38"/>
      <c r="BP559" s="38"/>
      <c r="BQ559" s="38"/>
      <c r="BR559" s="38"/>
      <c r="BS559" s="38"/>
      <c r="BT559" s="38"/>
      <c r="BU559" s="38"/>
      <c r="BV559" s="38"/>
      <c r="BW559" s="38"/>
      <c r="BX559" s="38"/>
      <c r="BY559" s="38"/>
      <c r="BZ559" s="38"/>
      <c r="CA559" s="38"/>
      <c r="CB559" s="38"/>
      <c r="CC559" s="38"/>
      <c r="CD559" s="38"/>
      <c r="CE559" s="38"/>
      <c r="CF559" s="38"/>
      <c r="CG559" s="38"/>
      <c r="CH559" s="38"/>
      <c r="CI559" s="38"/>
      <c r="CJ559" s="38"/>
      <c r="CK559" s="38"/>
      <c r="CL559" s="38"/>
      <c r="CM559" s="38"/>
      <c r="CN559" s="38"/>
      <c r="CO559" s="38"/>
      <c r="CP559" s="38"/>
      <c r="CQ559" s="38"/>
      <c r="CR559" s="38"/>
      <c r="CS559" s="38"/>
      <c r="CT559" s="38"/>
      <c r="CU559" s="38"/>
      <c r="CV559" s="38"/>
      <c r="CW559" s="38"/>
      <c r="CX559" s="38"/>
      <c r="CY559" s="38"/>
      <c r="CZ559" s="38"/>
    </row>
    <row r="560" spans="1:104" s="40" customFormat="1" ht="20.149999999999999" customHeight="1">
      <c r="A560" s="358">
        <f t="shared" si="129"/>
        <v>559</v>
      </c>
      <c r="B560" s="359" t="str">
        <f>'Front Sheet and Checklist'!$C$5</f>
        <v>Swansea Bay UHB</v>
      </c>
      <c r="C560" s="17"/>
      <c r="D560" s="17"/>
      <c r="E560" s="17"/>
      <c r="F560" s="17"/>
      <c r="G560" s="17"/>
      <c r="H560" s="17"/>
      <c r="I560" s="361">
        <f t="shared" si="119"/>
        <v>0</v>
      </c>
      <c r="J560" s="17"/>
      <c r="K560" s="18"/>
      <c r="L560" s="18"/>
      <c r="M560" s="17"/>
      <c r="N560" s="17"/>
      <c r="O560" s="17"/>
      <c r="P560" s="17"/>
      <c r="Q560" s="169"/>
      <c r="R560" s="24"/>
      <c r="S560" s="24"/>
      <c r="T560" s="24"/>
      <c r="U560" s="25"/>
      <c r="V560" s="25"/>
      <c r="W560" s="25"/>
      <c r="X560" s="24"/>
      <c r="Y560" s="24"/>
      <c r="Z560" s="24"/>
      <c r="AA560" s="24"/>
      <c r="AB560" s="24"/>
      <c r="AC560" s="24"/>
      <c r="AD560" s="361">
        <f t="shared" si="118"/>
        <v>0</v>
      </c>
      <c r="AE560" s="359" t="str">
        <f t="shared" si="121"/>
        <v/>
      </c>
      <c r="AF560" s="359" t="str">
        <f t="shared" si="130"/>
        <v/>
      </c>
      <c r="AG560" s="359" t="str">
        <f t="shared" si="122"/>
        <v/>
      </c>
      <c r="AH560" s="359" t="str">
        <f t="shared" si="123"/>
        <v/>
      </c>
      <c r="AI560" s="359" t="str">
        <f t="shared" si="124"/>
        <v/>
      </c>
      <c r="AJ560" s="359" t="str">
        <f t="shared" si="125"/>
        <v/>
      </c>
      <c r="AK560" s="359" t="str">
        <f t="shared" si="127"/>
        <v/>
      </c>
      <c r="AL560" s="359" t="str">
        <f t="shared" si="126"/>
        <v/>
      </c>
      <c r="AM560" s="359" t="str">
        <f t="shared" si="128"/>
        <v/>
      </c>
      <c r="AN560" s="262">
        <f t="shared" si="131"/>
        <v>0</v>
      </c>
      <c r="AO560" s="262" t="str">
        <f>IFERROR(HLOOKUP(AN560,'Ref Lists'!Q$1:AL$2,2,FALSE),'Ref Lists'!$AK$2)</f>
        <v>Savings21</v>
      </c>
      <c r="AP560" s="38"/>
      <c r="AQ560" s="38">
        <f t="shared" si="120"/>
        <v>0</v>
      </c>
      <c r="AR560" s="38"/>
      <c r="AS560" s="38"/>
      <c r="AT560" s="38"/>
      <c r="AU560" s="38"/>
      <c r="AV560" s="38"/>
      <c r="AW560" s="38"/>
      <c r="AX560" s="38"/>
      <c r="AY560" s="38"/>
      <c r="AZ560" s="38"/>
      <c r="BA560" s="38"/>
      <c r="BB560" s="38"/>
      <c r="BC560" s="38"/>
      <c r="BD560" s="38"/>
      <c r="BE560" s="38"/>
      <c r="BF560" s="38"/>
      <c r="BG560" s="38"/>
      <c r="BH560" s="38"/>
      <c r="BI560" s="38"/>
      <c r="BJ560" s="38"/>
      <c r="BK560" s="38"/>
      <c r="BL560" s="38"/>
      <c r="BM560" s="38"/>
      <c r="BN560" s="38"/>
      <c r="BO560" s="38"/>
      <c r="BP560" s="38"/>
      <c r="BQ560" s="38"/>
      <c r="BR560" s="38"/>
      <c r="BS560" s="38"/>
      <c r="BT560" s="38"/>
      <c r="BU560" s="38"/>
      <c r="BV560" s="38"/>
      <c r="BW560" s="38"/>
      <c r="BX560" s="38"/>
      <c r="BY560" s="38"/>
      <c r="BZ560" s="38"/>
      <c r="CA560" s="38"/>
      <c r="CB560" s="38"/>
      <c r="CC560" s="38"/>
      <c r="CD560" s="38"/>
      <c r="CE560" s="38"/>
      <c r="CF560" s="38"/>
      <c r="CG560" s="38"/>
      <c r="CH560" s="38"/>
      <c r="CI560" s="38"/>
      <c r="CJ560" s="38"/>
      <c r="CK560" s="38"/>
      <c r="CL560" s="38"/>
      <c r="CM560" s="38"/>
      <c r="CN560" s="38"/>
      <c r="CO560" s="38"/>
      <c r="CP560" s="38"/>
      <c r="CQ560" s="38"/>
      <c r="CR560" s="38"/>
      <c r="CS560" s="38"/>
      <c r="CT560" s="38"/>
      <c r="CU560" s="38"/>
      <c r="CV560" s="38"/>
      <c r="CW560" s="38"/>
      <c r="CX560" s="38"/>
      <c r="CY560" s="38"/>
      <c r="CZ560" s="38"/>
    </row>
    <row r="561" spans="1:104" s="40" customFormat="1" ht="20.149999999999999" customHeight="1">
      <c r="A561" s="358">
        <f t="shared" si="129"/>
        <v>560</v>
      </c>
      <c r="B561" s="359" t="str">
        <f>'Front Sheet and Checklist'!$C$5</f>
        <v>Swansea Bay UHB</v>
      </c>
      <c r="C561" s="17"/>
      <c r="D561" s="17"/>
      <c r="E561" s="17"/>
      <c r="F561" s="17"/>
      <c r="G561" s="17"/>
      <c r="H561" s="17"/>
      <c r="I561" s="361">
        <f t="shared" si="119"/>
        <v>0</v>
      </c>
      <c r="J561" s="17"/>
      <c r="K561" s="18"/>
      <c r="L561" s="18"/>
      <c r="M561" s="17"/>
      <c r="N561" s="17"/>
      <c r="O561" s="17"/>
      <c r="P561" s="17"/>
      <c r="Q561" s="169"/>
      <c r="R561" s="24"/>
      <c r="S561" s="24"/>
      <c r="T561" s="24"/>
      <c r="U561" s="25"/>
      <c r="V561" s="25"/>
      <c r="W561" s="25"/>
      <c r="X561" s="24"/>
      <c r="Y561" s="24"/>
      <c r="Z561" s="24"/>
      <c r="AA561" s="24"/>
      <c r="AB561" s="24"/>
      <c r="AC561" s="24"/>
      <c r="AD561" s="361">
        <f t="shared" si="118"/>
        <v>0</v>
      </c>
      <c r="AE561" s="359" t="str">
        <f t="shared" si="121"/>
        <v/>
      </c>
      <c r="AF561" s="359" t="str">
        <f t="shared" si="130"/>
        <v/>
      </c>
      <c r="AG561" s="359" t="str">
        <f t="shared" si="122"/>
        <v/>
      </c>
      <c r="AH561" s="359" t="str">
        <f t="shared" si="123"/>
        <v/>
      </c>
      <c r="AI561" s="359" t="str">
        <f t="shared" si="124"/>
        <v/>
      </c>
      <c r="AJ561" s="359" t="str">
        <f t="shared" si="125"/>
        <v/>
      </c>
      <c r="AK561" s="359" t="str">
        <f t="shared" si="127"/>
        <v/>
      </c>
      <c r="AL561" s="359" t="str">
        <f t="shared" si="126"/>
        <v/>
      </c>
      <c r="AM561" s="359" t="str">
        <f t="shared" si="128"/>
        <v/>
      </c>
      <c r="AN561" s="262">
        <f t="shared" si="131"/>
        <v>0</v>
      </c>
      <c r="AO561" s="262" t="str">
        <f>IFERROR(HLOOKUP(AN561,'Ref Lists'!Q$1:AL$2,2,FALSE),'Ref Lists'!$AK$2)</f>
        <v>Savings21</v>
      </c>
      <c r="AP561" s="38"/>
      <c r="AQ561" s="38">
        <f t="shared" si="120"/>
        <v>0</v>
      </c>
      <c r="AR561" s="38"/>
      <c r="AS561" s="38"/>
      <c r="AT561" s="38"/>
      <c r="AU561" s="38"/>
      <c r="AV561" s="38"/>
      <c r="AW561" s="38"/>
      <c r="AX561" s="38"/>
      <c r="AY561" s="38"/>
      <c r="AZ561" s="38"/>
      <c r="BA561" s="38"/>
      <c r="BB561" s="38"/>
      <c r="BC561" s="38"/>
      <c r="BD561" s="38"/>
      <c r="BE561" s="38"/>
      <c r="BF561" s="38"/>
      <c r="BG561" s="38"/>
      <c r="BH561" s="38"/>
      <c r="BI561" s="38"/>
      <c r="BJ561" s="38"/>
      <c r="BK561" s="38"/>
      <c r="BL561" s="38"/>
      <c r="BM561" s="38"/>
      <c r="BN561" s="38"/>
      <c r="BO561" s="38"/>
      <c r="BP561" s="38"/>
      <c r="BQ561" s="38"/>
      <c r="BR561" s="38"/>
      <c r="BS561" s="38"/>
      <c r="BT561" s="38"/>
      <c r="BU561" s="38"/>
      <c r="BV561" s="38"/>
      <c r="BW561" s="38"/>
      <c r="BX561" s="38"/>
      <c r="BY561" s="38"/>
      <c r="BZ561" s="38"/>
      <c r="CA561" s="38"/>
      <c r="CB561" s="38"/>
      <c r="CC561" s="38"/>
      <c r="CD561" s="38"/>
      <c r="CE561" s="38"/>
      <c r="CF561" s="38"/>
      <c r="CG561" s="38"/>
      <c r="CH561" s="38"/>
      <c r="CI561" s="38"/>
      <c r="CJ561" s="38"/>
      <c r="CK561" s="38"/>
      <c r="CL561" s="38"/>
      <c r="CM561" s="38"/>
      <c r="CN561" s="38"/>
      <c r="CO561" s="38"/>
      <c r="CP561" s="38"/>
      <c r="CQ561" s="38"/>
      <c r="CR561" s="38"/>
      <c r="CS561" s="38"/>
      <c r="CT561" s="38"/>
      <c r="CU561" s="38"/>
      <c r="CV561" s="38"/>
      <c r="CW561" s="38"/>
      <c r="CX561" s="38"/>
      <c r="CY561" s="38"/>
      <c r="CZ561" s="38"/>
    </row>
    <row r="562" spans="1:104" s="40" customFormat="1" ht="20.149999999999999" customHeight="1">
      <c r="A562" s="358">
        <f t="shared" si="129"/>
        <v>561</v>
      </c>
      <c r="B562" s="359" t="str">
        <f>'Front Sheet and Checklist'!$C$5</f>
        <v>Swansea Bay UHB</v>
      </c>
      <c r="C562" s="17"/>
      <c r="D562" s="17"/>
      <c r="E562" s="17"/>
      <c r="F562" s="17"/>
      <c r="G562" s="17"/>
      <c r="H562" s="17"/>
      <c r="I562" s="361">
        <f t="shared" si="119"/>
        <v>0</v>
      </c>
      <c r="J562" s="17"/>
      <c r="K562" s="18"/>
      <c r="L562" s="18"/>
      <c r="M562" s="17"/>
      <c r="N562" s="17"/>
      <c r="O562" s="17"/>
      <c r="P562" s="17"/>
      <c r="Q562" s="169"/>
      <c r="R562" s="24"/>
      <c r="S562" s="24"/>
      <c r="T562" s="24"/>
      <c r="U562" s="25"/>
      <c r="V562" s="25"/>
      <c r="W562" s="25"/>
      <c r="X562" s="24"/>
      <c r="Y562" s="24"/>
      <c r="Z562" s="24"/>
      <c r="AA562" s="24"/>
      <c r="AB562" s="24"/>
      <c r="AC562" s="24"/>
      <c r="AD562" s="361">
        <f t="shared" si="118"/>
        <v>0</v>
      </c>
      <c r="AE562" s="359" t="str">
        <f t="shared" si="121"/>
        <v/>
      </c>
      <c r="AF562" s="359" t="str">
        <f t="shared" si="130"/>
        <v/>
      </c>
      <c r="AG562" s="359" t="str">
        <f t="shared" si="122"/>
        <v/>
      </c>
      <c r="AH562" s="359" t="str">
        <f t="shared" si="123"/>
        <v/>
      </c>
      <c r="AI562" s="359" t="str">
        <f t="shared" si="124"/>
        <v/>
      </c>
      <c r="AJ562" s="359" t="str">
        <f t="shared" si="125"/>
        <v/>
      </c>
      <c r="AK562" s="359" t="str">
        <f t="shared" si="127"/>
        <v/>
      </c>
      <c r="AL562" s="359" t="str">
        <f t="shared" si="126"/>
        <v/>
      </c>
      <c r="AM562" s="359" t="str">
        <f t="shared" si="128"/>
        <v/>
      </c>
      <c r="AN562" s="262">
        <f t="shared" si="131"/>
        <v>0</v>
      </c>
      <c r="AO562" s="262" t="str">
        <f>IFERROR(HLOOKUP(AN562,'Ref Lists'!Q$1:AL$2,2,FALSE),'Ref Lists'!$AK$2)</f>
        <v>Savings21</v>
      </c>
      <c r="AP562" s="38"/>
      <c r="AQ562" s="38">
        <f t="shared" si="120"/>
        <v>0</v>
      </c>
      <c r="AR562" s="38"/>
      <c r="AS562" s="38"/>
      <c r="AT562" s="38"/>
      <c r="AU562" s="38"/>
      <c r="AV562" s="38"/>
      <c r="AW562" s="38"/>
      <c r="AX562" s="38"/>
      <c r="AY562" s="38"/>
      <c r="AZ562" s="38"/>
      <c r="BA562" s="38"/>
      <c r="BB562" s="38"/>
      <c r="BC562" s="38"/>
      <c r="BD562" s="38"/>
      <c r="BE562" s="38"/>
      <c r="BF562" s="38"/>
      <c r="BG562" s="38"/>
      <c r="BH562" s="38"/>
      <c r="BI562" s="38"/>
      <c r="BJ562" s="38"/>
      <c r="BK562" s="38"/>
      <c r="BL562" s="38"/>
      <c r="BM562" s="38"/>
      <c r="BN562" s="38"/>
      <c r="BO562" s="38"/>
      <c r="BP562" s="38"/>
      <c r="BQ562" s="38"/>
      <c r="BR562" s="38"/>
      <c r="BS562" s="38"/>
      <c r="BT562" s="38"/>
      <c r="BU562" s="38"/>
      <c r="BV562" s="38"/>
      <c r="BW562" s="38"/>
      <c r="BX562" s="38"/>
      <c r="BY562" s="38"/>
      <c r="BZ562" s="38"/>
      <c r="CA562" s="38"/>
      <c r="CB562" s="38"/>
      <c r="CC562" s="38"/>
      <c r="CD562" s="38"/>
      <c r="CE562" s="38"/>
      <c r="CF562" s="38"/>
      <c r="CG562" s="38"/>
      <c r="CH562" s="38"/>
      <c r="CI562" s="38"/>
      <c r="CJ562" s="38"/>
      <c r="CK562" s="38"/>
      <c r="CL562" s="38"/>
      <c r="CM562" s="38"/>
      <c r="CN562" s="38"/>
      <c r="CO562" s="38"/>
      <c r="CP562" s="38"/>
      <c r="CQ562" s="38"/>
      <c r="CR562" s="38"/>
      <c r="CS562" s="38"/>
      <c r="CT562" s="38"/>
      <c r="CU562" s="38"/>
      <c r="CV562" s="38"/>
      <c r="CW562" s="38"/>
      <c r="CX562" s="38"/>
      <c r="CY562" s="38"/>
      <c r="CZ562" s="38"/>
    </row>
    <row r="563" spans="1:104" s="40" customFormat="1" ht="20.149999999999999" customHeight="1">
      <c r="A563" s="358">
        <f t="shared" si="129"/>
        <v>562</v>
      </c>
      <c r="B563" s="359" t="str">
        <f>'Front Sheet and Checklist'!$C$5</f>
        <v>Swansea Bay UHB</v>
      </c>
      <c r="C563" s="17"/>
      <c r="D563" s="17"/>
      <c r="E563" s="17"/>
      <c r="F563" s="17"/>
      <c r="G563" s="17"/>
      <c r="H563" s="17"/>
      <c r="I563" s="361">
        <f t="shared" si="119"/>
        <v>0</v>
      </c>
      <c r="J563" s="17"/>
      <c r="K563" s="18"/>
      <c r="L563" s="18"/>
      <c r="M563" s="17"/>
      <c r="N563" s="17"/>
      <c r="O563" s="17"/>
      <c r="P563" s="17"/>
      <c r="Q563" s="169"/>
      <c r="R563" s="24"/>
      <c r="S563" s="24"/>
      <c r="T563" s="24"/>
      <c r="U563" s="25"/>
      <c r="V563" s="25"/>
      <c r="W563" s="25"/>
      <c r="X563" s="24"/>
      <c r="Y563" s="24"/>
      <c r="Z563" s="24"/>
      <c r="AA563" s="24"/>
      <c r="AB563" s="24"/>
      <c r="AC563" s="24"/>
      <c r="AD563" s="361">
        <f t="shared" si="118"/>
        <v>0</v>
      </c>
      <c r="AE563" s="359" t="str">
        <f t="shared" si="121"/>
        <v/>
      </c>
      <c r="AF563" s="359" t="str">
        <f t="shared" si="130"/>
        <v/>
      </c>
      <c r="AG563" s="359" t="str">
        <f t="shared" si="122"/>
        <v/>
      </c>
      <c r="AH563" s="359" t="str">
        <f t="shared" si="123"/>
        <v/>
      </c>
      <c r="AI563" s="359" t="str">
        <f t="shared" si="124"/>
        <v/>
      </c>
      <c r="AJ563" s="359" t="str">
        <f t="shared" si="125"/>
        <v/>
      </c>
      <c r="AK563" s="359" t="str">
        <f t="shared" si="127"/>
        <v/>
      </c>
      <c r="AL563" s="359" t="str">
        <f t="shared" si="126"/>
        <v/>
      </c>
      <c r="AM563" s="359" t="str">
        <f t="shared" si="128"/>
        <v/>
      </c>
      <c r="AN563" s="262">
        <f t="shared" si="131"/>
        <v>0</v>
      </c>
      <c r="AO563" s="262" t="str">
        <f>IFERROR(HLOOKUP(AN563,'Ref Lists'!Q$1:AL$2,2,FALSE),'Ref Lists'!$AK$2)</f>
        <v>Savings21</v>
      </c>
      <c r="AP563" s="38"/>
      <c r="AQ563" s="38">
        <f t="shared" si="120"/>
        <v>0</v>
      </c>
      <c r="AR563" s="38"/>
      <c r="AS563" s="38"/>
      <c r="AT563" s="38"/>
      <c r="AU563" s="38"/>
      <c r="AV563" s="38"/>
      <c r="AW563" s="38"/>
      <c r="AX563" s="38"/>
      <c r="AY563" s="38"/>
      <c r="AZ563" s="38"/>
      <c r="BA563" s="38"/>
      <c r="BB563" s="38"/>
      <c r="BC563" s="38"/>
      <c r="BD563" s="38"/>
      <c r="BE563" s="38"/>
      <c r="BF563" s="38"/>
      <c r="BG563" s="38"/>
      <c r="BH563" s="38"/>
      <c r="BI563" s="38"/>
      <c r="BJ563" s="38"/>
      <c r="BK563" s="38"/>
      <c r="BL563" s="38"/>
      <c r="BM563" s="38"/>
      <c r="BN563" s="38"/>
      <c r="BO563" s="38"/>
      <c r="BP563" s="38"/>
      <c r="BQ563" s="38"/>
      <c r="BR563" s="38"/>
      <c r="BS563" s="38"/>
      <c r="BT563" s="38"/>
      <c r="BU563" s="38"/>
      <c r="BV563" s="38"/>
      <c r="BW563" s="38"/>
      <c r="BX563" s="38"/>
      <c r="BY563" s="38"/>
      <c r="BZ563" s="38"/>
      <c r="CA563" s="38"/>
      <c r="CB563" s="38"/>
      <c r="CC563" s="38"/>
      <c r="CD563" s="38"/>
      <c r="CE563" s="38"/>
      <c r="CF563" s="38"/>
      <c r="CG563" s="38"/>
      <c r="CH563" s="38"/>
      <c r="CI563" s="38"/>
      <c r="CJ563" s="38"/>
      <c r="CK563" s="38"/>
      <c r="CL563" s="38"/>
      <c r="CM563" s="38"/>
      <c r="CN563" s="38"/>
      <c r="CO563" s="38"/>
      <c r="CP563" s="38"/>
      <c r="CQ563" s="38"/>
      <c r="CR563" s="38"/>
      <c r="CS563" s="38"/>
      <c r="CT563" s="38"/>
      <c r="CU563" s="38"/>
      <c r="CV563" s="38"/>
      <c r="CW563" s="38"/>
      <c r="CX563" s="38"/>
      <c r="CY563" s="38"/>
      <c r="CZ563" s="38"/>
    </row>
    <row r="564" spans="1:104" s="40" customFormat="1" ht="20.149999999999999" customHeight="1">
      <c r="A564" s="358">
        <f t="shared" si="129"/>
        <v>563</v>
      </c>
      <c r="B564" s="359" t="str">
        <f>'Front Sheet and Checklist'!$C$5</f>
        <v>Swansea Bay UHB</v>
      </c>
      <c r="C564" s="17"/>
      <c r="D564" s="17"/>
      <c r="E564" s="17"/>
      <c r="F564" s="17"/>
      <c r="G564" s="17"/>
      <c r="H564" s="17"/>
      <c r="I564" s="361">
        <f t="shared" si="119"/>
        <v>0</v>
      </c>
      <c r="J564" s="17"/>
      <c r="K564" s="18"/>
      <c r="L564" s="18"/>
      <c r="M564" s="17"/>
      <c r="N564" s="17"/>
      <c r="O564" s="17"/>
      <c r="P564" s="17"/>
      <c r="Q564" s="169"/>
      <c r="R564" s="24"/>
      <c r="S564" s="24"/>
      <c r="T564" s="24"/>
      <c r="U564" s="25"/>
      <c r="V564" s="25"/>
      <c r="W564" s="25"/>
      <c r="X564" s="24"/>
      <c r="Y564" s="24"/>
      <c r="Z564" s="24"/>
      <c r="AA564" s="24"/>
      <c r="AB564" s="24"/>
      <c r="AC564" s="24"/>
      <c r="AD564" s="361">
        <f t="shared" si="118"/>
        <v>0</v>
      </c>
      <c r="AE564" s="359" t="str">
        <f t="shared" si="121"/>
        <v/>
      </c>
      <c r="AF564" s="359" t="str">
        <f t="shared" si="130"/>
        <v/>
      </c>
      <c r="AG564" s="359" t="str">
        <f t="shared" si="122"/>
        <v/>
      </c>
      <c r="AH564" s="359" t="str">
        <f t="shared" si="123"/>
        <v/>
      </c>
      <c r="AI564" s="359" t="str">
        <f t="shared" si="124"/>
        <v/>
      </c>
      <c r="AJ564" s="359" t="str">
        <f t="shared" si="125"/>
        <v/>
      </c>
      <c r="AK564" s="359" t="str">
        <f t="shared" si="127"/>
        <v/>
      </c>
      <c r="AL564" s="359" t="str">
        <f t="shared" si="126"/>
        <v/>
      </c>
      <c r="AM564" s="359" t="str">
        <f t="shared" si="128"/>
        <v/>
      </c>
      <c r="AN564" s="262">
        <f t="shared" si="131"/>
        <v>0</v>
      </c>
      <c r="AO564" s="262" t="str">
        <f>IFERROR(HLOOKUP(AN564,'Ref Lists'!Q$1:AL$2,2,FALSE),'Ref Lists'!$AK$2)</f>
        <v>Savings21</v>
      </c>
      <c r="AP564" s="38"/>
      <c r="AQ564" s="38">
        <f t="shared" si="120"/>
        <v>0</v>
      </c>
      <c r="AR564" s="38"/>
      <c r="AS564" s="38"/>
      <c r="AT564" s="38"/>
      <c r="AU564" s="38"/>
      <c r="AV564" s="38"/>
      <c r="AW564" s="38"/>
      <c r="AX564" s="38"/>
      <c r="AY564" s="38"/>
      <c r="AZ564" s="38"/>
      <c r="BA564" s="38"/>
      <c r="BB564" s="38"/>
      <c r="BC564" s="38"/>
      <c r="BD564" s="38"/>
      <c r="BE564" s="38"/>
      <c r="BF564" s="38"/>
      <c r="BG564" s="38"/>
      <c r="BH564" s="38"/>
      <c r="BI564" s="38"/>
      <c r="BJ564" s="38"/>
      <c r="BK564" s="38"/>
      <c r="BL564" s="38"/>
      <c r="BM564" s="38"/>
      <c r="BN564" s="38"/>
      <c r="BO564" s="38"/>
      <c r="BP564" s="38"/>
      <c r="BQ564" s="38"/>
      <c r="BR564" s="38"/>
      <c r="BS564" s="38"/>
      <c r="BT564" s="38"/>
      <c r="BU564" s="38"/>
      <c r="BV564" s="38"/>
      <c r="BW564" s="38"/>
      <c r="BX564" s="38"/>
      <c r="BY564" s="38"/>
      <c r="BZ564" s="38"/>
      <c r="CA564" s="38"/>
      <c r="CB564" s="38"/>
      <c r="CC564" s="38"/>
      <c r="CD564" s="38"/>
      <c r="CE564" s="38"/>
      <c r="CF564" s="38"/>
      <c r="CG564" s="38"/>
      <c r="CH564" s="38"/>
      <c r="CI564" s="38"/>
      <c r="CJ564" s="38"/>
      <c r="CK564" s="38"/>
      <c r="CL564" s="38"/>
      <c r="CM564" s="38"/>
      <c r="CN564" s="38"/>
      <c r="CO564" s="38"/>
      <c r="CP564" s="38"/>
      <c r="CQ564" s="38"/>
      <c r="CR564" s="38"/>
      <c r="CS564" s="38"/>
      <c r="CT564" s="38"/>
      <c r="CU564" s="38"/>
      <c r="CV564" s="38"/>
      <c r="CW564" s="38"/>
      <c r="CX564" s="38"/>
      <c r="CY564" s="38"/>
      <c r="CZ564" s="38"/>
    </row>
    <row r="565" spans="1:104" s="40" customFormat="1" ht="20.149999999999999" customHeight="1">
      <c r="A565" s="358">
        <f t="shared" si="129"/>
        <v>564</v>
      </c>
      <c r="B565" s="359" t="str">
        <f>'Front Sheet and Checklist'!$C$5</f>
        <v>Swansea Bay UHB</v>
      </c>
      <c r="C565" s="17"/>
      <c r="D565" s="17"/>
      <c r="E565" s="17"/>
      <c r="F565" s="17"/>
      <c r="G565" s="17"/>
      <c r="H565" s="17"/>
      <c r="I565" s="361">
        <f t="shared" si="119"/>
        <v>0</v>
      </c>
      <c r="J565" s="17"/>
      <c r="K565" s="18"/>
      <c r="L565" s="18"/>
      <c r="M565" s="17"/>
      <c r="N565" s="17"/>
      <c r="O565" s="17"/>
      <c r="P565" s="17"/>
      <c r="Q565" s="169"/>
      <c r="R565" s="24"/>
      <c r="S565" s="24"/>
      <c r="T565" s="24"/>
      <c r="U565" s="25"/>
      <c r="V565" s="25"/>
      <c r="W565" s="25"/>
      <c r="X565" s="24"/>
      <c r="Y565" s="24"/>
      <c r="Z565" s="24"/>
      <c r="AA565" s="24"/>
      <c r="AB565" s="24"/>
      <c r="AC565" s="24"/>
      <c r="AD565" s="361">
        <f t="shared" si="118"/>
        <v>0</v>
      </c>
      <c r="AE565" s="359" t="str">
        <f t="shared" si="121"/>
        <v/>
      </c>
      <c r="AF565" s="359" t="str">
        <f t="shared" si="130"/>
        <v/>
      </c>
      <c r="AG565" s="359" t="str">
        <f t="shared" si="122"/>
        <v/>
      </c>
      <c r="AH565" s="359" t="str">
        <f t="shared" si="123"/>
        <v/>
      </c>
      <c r="AI565" s="359" t="str">
        <f t="shared" si="124"/>
        <v/>
      </c>
      <c r="AJ565" s="359" t="str">
        <f t="shared" si="125"/>
        <v/>
      </c>
      <c r="AK565" s="359" t="str">
        <f t="shared" si="127"/>
        <v/>
      </c>
      <c r="AL565" s="359" t="str">
        <f t="shared" si="126"/>
        <v/>
      </c>
      <c r="AM565" s="359" t="str">
        <f t="shared" si="128"/>
        <v/>
      </c>
      <c r="AN565" s="262">
        <f t="shared" si="131"/>
        <v>0</v>
      </c>
      <c r="AO565" s="262" t="str">
        <f>IFERROR(HLOOKUP(AN565,'Ref Lists'!Q$1:AL$2,2,FALSE),'Ref Lists'!$AK$2)</f>
        <v>Savings21</v>
      </c>
      <c r="AP565" s="38"/>
      <c r="AQ565" s="38">
        <f t="shared" si="120"/>
        <v>0</v>
      </c>
      <c r="AR565" s="38"/>
      <c r="AS565" s="38"/>
      <c r="AT565" s="38"/>
      <c r="AU565" s="38"/>
      <c r="AV565" s="38"/>
      <c r="AW565" s="38"/>
      <c r="AX565" s="38"/>
      <c r="AY565" s="38"/>
      <c r="AZ565" s="38"/>
      <c r="BA565" s="38"/>
      <c r="BB565" s="38"/>
      <c r="BC565" s="38"/>
      <c r="BD565" s="38"/>
      <c r="BE565" s="38"/>
      <c r="BF565" s="38"/>
      <c r="BG565" s="38"/>
      <c r="BH565" s="38"/>
      <c r="BI565" s="38"/>
      <c r="BJ565" s="38"/>
      <c r="BK565" s="38"/>
      <c r="BL565" s="38"/>
      <c r="BM565" s="38"/>
      <c r="BN565" s="38"/>
      <c r="BO565" s="38"/>
      <c r="BP565" s="38"/>
      <c r="BQ565" s="38"/>
      <c r="BR565" s="38"/>
      <c r="BS565" s="38"/>
      <c r="BT565" s="38"/>
      <c r="BU565" s="38"/>
      <c r="BV565" s="38"/>
      <c r="BW565" s="38"/>
      <c r="BX565" s="38"/>
      <c r="BY565" s="38"/>
      <c r="BZ565" s="38"/>
      <c r="CA565" s="38"/>
      <c r="CB565" s="38"/>
      <c r="CC565" s="38"/>
      <c r="CD565" s="38"/>
      <c r="CE565" s="38"/>
      <c r="CF565" s="38"/>
      <c r="CG565" s="38"/>
      <c r="CH565" s="38"/>
      <c r="CI565" s="38"/>
      <c r="CJ565" s="38"/>
      <c r="CK565" s="38"/>
      <c r="CL565" s="38"/>
      <c r="CM565" s="38"/>
      <c r="CN565" s="38"/>
      <c r="CO565" s="38"/>
      <c r="CP565" s="38"/>
      <c r="CQ565" s="38"/>
      <c r="CR565" s="38"/>
      <c r="CS565" s="38"/>
      <c r="CT565" s="38"/>
      <c r="CU565" s="38"/>
      <c r="CV565" s="38"/>
      <c r="CW565" s="38"/>
      <c r="CX565" s="38"/>
      <c r="CY565" s="38"/>
      <c r="CZ565" s="38"/>
    </row>
    <row r="566" spans="1:104" s="40" customFormat="1" ht="20.149999999999999" customHeight="1">
      <c r="A566" s="358">
        <f t="shared" si="129"/>
        <v>565</v>
      </c>
      <c r="B566" s="359" t="str">
        <f>'Front Sheet and Checklist'!$C$5</f>
        <v>Swansea Bay UHB</v>
      </c>
      <c r="C566" s="17"/>
      <c r="D566" s="17"/>
      <c r="E566" s="17"/>
      <c r="F566" s="17"/>
      <c r="G566" s="17"/>
      <c r="H566" s="17"/>
      <c r="I566" s="361">
        <f t="shared" si="119"/>
        <v>0</v>
      </c>
      <c r="J566" s="17"/>
      <c r="K566" s="18"/>
      <c r="L566" s="18"/>
      <c r="M566" s="17"/>
      <c r="N566" s="17"/>
      <c r="O566" s="17"/>
      <c r="P566" s="17"/>
      <c r="Q566" s="169"/>
      <c r="R566" s="24"/>
      <c r="S566" s="24"/>
      <c r="T566" s="24"/>
      <c r="U566" s="25"/>
      <c r="V566" s="25"/>
      <c r="W566" s="25"/>
      <c r="X566" s="24"/>
      <c r="Y566" s="24"/>
      <c r="Z566" s="24"/>
      <c r="AA566" s="24"/>
      <c r="AB566" s="24"/>
      <c r="AC566" s="24"/>
      <c r="AD566" s="361">
        <f t="shared" si="118"/>
        <v>0</v>
      </c>
      <c r="AE566" s="359" t="str">
        <f t="shared" si="121"/>
        <v/>
      </c>
      <c r="AF566" s="359" t="str">
        <f t="shared" si="130"/>
        <v/>
      </c>
      <c r="AG566" s="359" t="str">
        <f t="shared" si="122"/>
        <v/>
      </c>
      <c r="AH566" s="359" t="str">
        <f t="shared" si="123"/>
        <v/>
      </c>
      <c r="AI566" s="359" t="str">
        <f t="shared" si="124"/>
        <v/>
      </c>
      <c r="AJ566" s="359" t="str">
        <f t="shared" si="125"/>
        <v/>
      </c>
      <c r="AK566" s="359" t="str">
        <f t="shared" si="127"/>
        <v/>
      </c>
      <c r="AL566" s="359" t="str">
        <f t="shared" si="126"/>
        <v/>
      </c>
      <c r="AM566" s="359" t="str">
        <f t="shared" si="128"/>
        <v/>
      </c>
      <c r="AN566" s="262">
        <f t="shared" si="131"/>
        <v>0</v>
      </c>
      <c r="AO566" s="262" t="str">
        <f>IFERROR(HLOOKUP(AN566,'Ref Lists'!Q$1:AL$2,2,FALSE),'Ref Lists'!$AK$2)</f>
        <v>Savings21</v>
      </c>
      <c r="AP566" s="38"/>
      <c r="AQ566" s="38">
        <f t="shared" si="120"/>
        <v>0</v>
      </c>
      <c r="AR566" s="38"/>
      <c r="AS566" s="38"/>
      <c r="AT566" s="38"/>
      <c r="AU566" s="38"/>
      <c r="AV566" s="38"/>
      <c r="AW566" s="38"/>
      <c r="AX566" s="38"/>
      <c r="AY566" s="38"/>
      <c r="AZ566" s="38"/>
      <c r="BA566" s="38"/>
      <c r="BB566" s="38"/>
      <c r="BC566" s="38"/>
      <c r="BD566" s="38"/>
      <c r="BE566" s="38"/>
      <c r="BF566" s="38"/>
      <c r="BG566" s="38"/>
      <c r="BH566" s="38"/>
      <c r="BI566" s="38"/>
      <c r="BJ566" s="38"/>
      <c r="BK566" s="38"/>
      <c r="BL566" s="38"/>
      <c r="BM566" s="38"/>
      <c r="BN566" s="38"/>
      <c r="BO566" s="38"/>
      <c r="BP566" s="38"/>
      <c r="BQ566" s="38"/>
      <c r="BR566" s="38"/>
      <c r="BS566" s="38"/>
      <c r="BT566" s="38"/>
      <c r="BU566" s="38"/>
      <c r="BV566" s="38"/>
      <c r="BW566" s="38"/>
      <c r="BX566" s="38"/>
      <c r="BY566" s="38"/>
      <c r="BZ566" s="38"/>
      <c r="CA566" s="38"/>
      <c r="CB566" s="38"/>
      <c r="CC566" s="38"/>
      <c r="CD566" s="38"/>
      <c r="CE566" s="38"/>
      <c r="CF566" s="38"/>
      <c r="CG566" s="38"/>
      <c r="CH566" s="38"/>
      <c r="CI566" s="38"/>
      <c r="CJ566" s="38"/>
      <c r="CK566" s="38"/>
      <c r="CL566" s="38"/>
      <c r="CM566" s="38"/>
      <c r="CN566" s="38"/>
      <c r="CO566" s="38"/>
      <c r="CP566" s="38"/>
      <c r="CQ566" s="38"/>
      <c r="CR566" s="38"/>
      <c r="CS566" s="38"/>
      <c r="CT566" s="38"/>
      <c r="CU566" s="38"/>
      <c r="CV566" s="38"/>
      <c r="CW566" s="38"/>
      <c r="CX566" s="38"/>
      <c r="CY566" s="38"/>
      <c r="CZ566" s="38"/>
    </row>
    <row r="567" spans="1:104" s="40" customFormat="1" ht="20.149999999999999" customHeight="1">
      <c r="A567" s="358">
        <f t="shared" si="129"/>
        <v>566</v>
      </c>
      <c r="B567" s="359" t="str">
        <f>'Front Sheet and Checklist'!$C$5</f>
        <v>Swansea Bay UHB</v>
      </c>
      <c r="C567" s="17"/>
      <c r="D567" s="17"/>
      <c r="E567" s="17"/>
      <c r="F567" s="17"/>
      <c r="G567" s="17"/>
      <c r="H567" s="17"/>
      <c r="I567" s="361">
        <f t="shared" si="119"/>
        <v>0</v>
      </c>
      <c r="J567" s="17"/>
      <c r="K567" s="18"/>
      <c r="L567" s="18"/>
      <c r="M567" s="17"/>
      <c r="N567" s="17"/>
      <c r="O567" s="17"/>
      <c r="P567" s="17"/>
      <c r="Q567" s="169"/>
      <c r="R567" s="24"/>
      <c r="S567" s="24"/>
      <c r="T567" s="24"/>
      <c r="U567" s="25"/>
      <c r="V567" s="25"/>
      <c r="W567" s="25"/>
      <c r="X567" s="24"/>
      <c r="Y567" s="24"/>
      <c r="Z567" s="24"/>
      <c r="AA567" s="24"/>
      <c r="AB567" s="24"/>
      <c r="AC567" s="24"/>
      <c r="AD567" s="361">
        <f t="shared" si="118"/>
        <v>0</v>
      </c>
      <c r="AE567" s="359" t="str">
        <f t="shared" si="121"/>
        <v/>
      </c>
      <c r="AF567" s="359" t="str">
        <f t="shared" si="130"/>
        <v/>
      </c>
      <c r="AG567" s="359" t="str">
        <f t="shared" si="122"/>
        <v/>
      </c>
      <c r="AH567" s="359" t="str">
        <f t="shared" si="123"/>
        <v/>
      </c>
      <c r="AI567" s="359" t="str">
        <f t="shared" si="124"/>
        <v/>
      </c>
      <c r="AJ567" s="359" t="str">
        <f t="shared" si="125"/>
        <v/>
      </c>
      <c r="AK567" s="359" t="str">
        <f t="shared" si="127"/>
        <v/>
      </c>
      <c r="AL567" s="359" t="str">
        <f t="shared" si="126"/>
        <v/>
      </c>
      <c r="AM567" s="359" t="str">
        <f t="shared" si="128"/>
        <v/>
      </c>
      <c r="AN567" s="262">
        <f t="shared" si="131"/>
        <v>0</v>
      </c>
      <c r="AO567" s="262" t="str">
        <f>IFERROR(HLOOKUP(AN567,'Ref Lists'!Q$1:AL$2,2,FALSE),'Ref Lists'!$AK$2)</f>
        <v>Savings21</v>
      </c>
      <c r="AP567" s="38"/>
      <c r="AQ567" s="38">
        <f t="shared" si="120"/>
        <v>0</v>
      </c>
      <c r="AR567" s="38"/>
      <c r="AS567" s="38"/>
      <c r="AT567" s="38"/>
      <c r="AU567" s="38"/>
      <c r="AV567" s="38"/>
      <c r="AW567" s="38"/>
      <c r="AX567" s="38"/>
      <c r="AY567" s="38"/>
      <c r="AZ567" s="38"/>
      <c r="BA567" s="38"/>
      <c r="BB567" s="38"/>
      <c r="BC567" s="38"/>
      <c r="BD567" s="38"/>
      <c r="BE567" s="38"/>
      <c r="BF567" s="38"/>
      <c r="BG567" s="38"/>
      <c r="BH567" s="38"/>
      <c r="BI567" s="38"/>
      <c r="BJ567" s="38"/>
      <c r="BK567" s="38"/>
      <c r="BL567" s="38"/>
      <c r="BM567" s="38"/>
      <c r="BN567" s="38"/>
      <c r="BO567" s="38"/>
      <c r="BP567" s="38"/>
      <c r="BQ567" s="38"/>
      <c r="BR567" s="38"/>
      <c r="BS567" s="38"/>
      <c r="BT567" s="38"/>
      <c r="BU567" s="38"/>
      <c r="BV567" s="38"/>
      <c r="BW567" s="38"/>
      <c r="BX567" s="38"/>
      <c r="BY567" s="38"/>
      <c r="BZ567" s="38"/>
      <c r="CA567" s="38"/>
      <c r="CB567" s="38"/>
      <c r="CC567" s="38"/>
      <c r="CD567" s="38"/>
      <c r="CE567" s="38"/>
      <c r="CF567" s="38"/>
      <c r="CG567" s="38"/>
      <c r="CH567" s="38"/>
      <c r="CI567" s="38"/>
      <c r="CJ567" s="38"/>
      <c r="CK567" s="38"/>
      <c r="CL567" s="38"/>
      <c r="CM567" s="38"/>
      <c r="CN567" s="38"/>
      <c r="CO567" s="38"/>
      <c r="CP567" s="38"/>
      <c r="CQ567" s="38"/>
      <c r="CR567" s="38"/>
      <c r="CS567" s="38"/>
      <c r="CT567" s="38"/>
      <c r="CU567" s="38"/>
      <c r="CV567" s="38"/>
      <c r="CW567" s="38"/>
      <c r="CX567" s="38"/>
      <c r="CY567" s="38"/>
      <c r="CZ567" s="38"/>
    </row>
    <row r="568" spans="1:104" s="40" customFormat="1" ht="20.149999999999999" customHeight="1">
      <c r="A568" s="358">
        <f t="shared" si="129"/>
        <v>567</v>
      </c>
      <c r="B568" s="359" t="str">
        <f>'Front Sheet and Checklist'!$C$5</f>
        <v>Swansea Bay UHB</v>
      </c>
      <c r="C568" s="17"/>
      <c r="D568" s="17"/>
      <c r="E568" s="17"/>
      <c r="F568" s="17"/>
      <c r="G568" s="17"/>
      <c r="H568" s="17"/>
      <c r="I568" s="361">
        <f t="shared" si="119"/>
        <v>0</v>
      </c>
      <c r="J568" s="17"/>
      <c r="K568" s="18"/>
      <c r="L568" s="18"/>
      <c r="M568" s="17"/>
      <c r="N568" s="17"/>
      <c r="O568" s="17"/>
      <c r="P568" s="17"/>
      <c r="Q568" s="169"/>
      <c r="R568" s="24"/>
      <c r="S568" s="24"/>
      <c r="T568" s="24"/>
      <c r="U568" s="25"/>
      <c r="V568" s="25"/>
      <c r="W568" s="25"/>
      <c r="X568" s="24"/>
      <c r="Y568" s="24"/>
      <c r="Z568" s="24"/>
      <c r="AA568" s="24"/>
      <c r="AB568" s="24"/>
      <c r="AC568" s="24"/>
      <c r="AD568" s="361">
        <f t="shared" si="118"/>
        <v>0</v>
      </c>
      <c r="AE568" s="359" t="str">
        <f t="shared" si="121"/>
        <v/>
      </c>
      <c r="AF568" s="359" t="str">
        <f t="shared" si="130"/>
        <v/>
      </c>
      <c r="AG568" s="359" t="str">
        <f t="shared" si="122"/>
        <v/>
      </c>
      <c r="AH568" s="359" t="str">
        <f t="shared" si="123"/>
        <v/>
      </c>
      <c r="AI568" s="359" t="str">
        <f t="shared" si="124"/>
        <v/>
      </c>
      <c r="AJ568" s="359" t="str">
        <f t="shared" si="125"/>
        <v/>
      </c>
      <c r="AK568" s="359" t="str">
        <f t="shared" si="127"/>
        <v/>
      </c>
      <c r="AL568" s="359" t="str">
        <f t="shared" si="126"/>
        <v/>
      </c>
      <c r="AM568" s="359" t="str">
        <f t="shared" si="128"/>
        <v/>
      </c>
      <c r="AN568" s="262">
        <f t="shared" si="131"/>
        <v>0</v>
      </c>
      <c r="AO568" s="262" t="str">
        <f>IFERROR(HLOOKUP(AN568,'Ref Lists'!Q$1:AL$2,2,FALSE),'Ref Lists'!$AK$2)</f>
        <v>Savings21</v>
      </c>
      <c r="AP568" s="38"/>
      <c r="AQ568" s="38">
        <f t="shared" si="120"/>
        <v>0</v>
      </c>
      <c r="AR568" s="38"/>
      <c r="AS568" s="38"/>
      <c r="AT568" s="38"/>
      <c r="AU568" s="38"/>
      <c r="AV568" s="38"/>
      <c r="AW568" s="38"/>
      <c r="AX568" s="38"/>
      <c r="AY568" s="38"/>
      <c r="AZ568" s="38"/>
      <c r="BA568" s="38"/>
      <c r="BB568" s="38"/>
      <c r="BC568" s="38"/>
      <c r="BD568" s="38"/>
      <c r="BE568" s="38"/>
      <c r="BF568" s="38"/>
      <c r="BG568" s="38"/>
      <c r="BH568" s="38"/>
      <c r="BI568" s="38"/>
      <c r="BJ568" s="38"/>
      <c r="BK568" s="38"/>
      <c r="BL568" s="38"/>
      <c r="BM568" s="38"/>
      <c r="BN568" s="38"/>
      <c r="BO568" s="38"/>
      <c r="BP568" s="38"/>
      <c r="BQ568" s="38"/>
      <c r="BR568" s="38"/>
      <c r="BS568" s="38"/>
      <c r="BT568" s="38"/>
      <c r="BU568" s="38"/>
      <c r="BV568" s="38"/>
      <c r="BW568" s="38"/>
      <c r="BX568" s="38"/>
      <c r="BY568" s="38"/>
      <c r="BZ568" s="38"/>
      <c r="CA568" s="38"/>
      <c r="CB568" s="38"/>
      <c r="CC568" s="38"/>
      <c r="CD568" s="38"/>
      <c r="CE568" s="38"/>
      <c r="CF568" s="38"/>
      <c r="CG568" s="38"/>
      <c r="CH568" s="38"/>
      <c r="CI568" s="38"/>
      <c r="CJ568" s="38"/>
      <c r="CK568" s="38"/>
      <c r="CL568" s="38"/>
      <c r="CM568" s="38"/>
      <c r="CN568" s="38"/>
      <c r="CO568" s="38"/>
      <c r="CP568" s="38"/>
      <c r="CQ568" s="38"/>
      <c r="CR568" s="38"/>
      <c r="CS568" s="38"/>
      <c r="CT568" s="38"/>
      <c r="CU568" s="38"/>
      <c r="CV568" s="38"/>
      <c r="CW568" s="38"/>
      <c r="CX568" s="38"/>
      <c r="CY568" s="38"/>
      <c r="CZ568" s="38"/>
    </row>
    <row r="569" spans="1:104" s="40" customFormat="1" ht="20.149999999999999" customHeight="1">
      <c r="A569" s="358">
        <f t="shared" si="129"/>
        <v>568</v>
      </c>
      <c r="B569" s="359" t="str">
        <f>'Front Sheet and Checklist'!$C$5</f>
        <v>Swansea Bay UHB</v>
      </c>
      <c r="C569" s="17"/>
      <c r="D569" s="17"/>
      <c r="E569" s="17"/>
      <c r="F569" s="17"/>
      <c r="G569" s="17"/>
      <c r="H569" s="17"/>
      <c r="I569" s="361">
        <f t="shared" si="119"/>
        <v>0</v>
      </c>
      <c r="J569" s="17"/>
      <c r="K569" s="18"/>
      <c r="L569" s="18"/>
      <c r="M569" s="17"/>
      <c r="N569" s="17"/>
      <c r="O569" s="17"/>
      <c r="P569" s="17"/>
      <c r="Q569" s="169"/>
      <c r="R569" s="24"/>
      <c r="S569" s="24"/>
      <c r="T569" s="24"/>
      <c r="U569" s="25"/>
      <c r="V569" s="25"/>
      <c r="W569" s="25"/>
      <c r="X569" s="24"/>
      <c r="Y569" s="24"/>
      <c r="Z569" s="24"/>
      <c r="AA569" s="24"/>
      <c r="AB569" s="24"/>
      <c r="AC569" s="24"/>
      <c r="AD569" s="361">
        <f t="shared" si="118"/>
        <v>0</v>
      </c>
      <c r="AE569" s="359" t="str">
        <f t="shared" si="121"/>
        <v/>
      </c>
      <c r="AF569" s="359" t="str">
        <f t="shared" si="130"/>
        <v/>
      </c>
      <c r="AG569" s="359" t="str">
        <f t="shared" si="122"/>
        <v/>
      </c>
      <c r="AH569" s="359" t="str">
        <f t="shared" si="123"/>
        <v/>
      </c>
      <c r="AI569" s="359" t="str">
        <f t="shared" si="124"/>
        <v/>
      </c>
      <c r="AJ569" s="359" t="str">
        <f t="shared" si="125"/>
        <v/>
      </c>
      <c r="AK569" s="359" t="str">
        <f t="shared" si="127"/>
        <v/>
      </c>
      <c r="AL569" s="359" t="str">
        <f t="shared" si="126"/>
        <v/>
      </c>
      <c r="AM569" s="359" t="str">
        <f t="shared" si="128"/>
        <v/>
      </c>
      <c r="AN569" s="262">
        <f t="shared" si="131"/>
        <v>0</v>
      </c>
      <c r="AO569" s="262" t="str">
        <f>IFERROR(HLOOKUP(AN569,'Ref Lists'!Q$1:AL$2,2,FALSE),'Ref Lists'!$AK$2)</f>
        <v>Savings21</v>
      </c>
      <c r="AP569" s="38"/>
      <c r="AQ569" s="38">
        <f t="shared" si="120"/>
        <v>0</v>
      </c>
      <c r="AR569" s="38"/>
      <c r="AS569" s="38"/>
      <c r="AT569" s="38"/>
      <c r="AU569" s="38"/>
      <c r="AV569" s="38"/>
      <c r="AW569" s="38"/>
      <c r="AX569" s="38"/>
      <c r="AY569" s="38"/>
      <c r="AZ569" s="38"/>
      <c r="BA569" s="38"/>
      <c r="BB569" s="38"/>
      <c r="BC569" s="38"/>
      <c r="BD569" s="38"/>
      <c r="BE569" s="38"/>
      <c r="BF569" s="38"/>
      <c r="BG569" s="38"/>
      <c r="BH569" s="38"/>
      <c r="BI569" s="38"/>
      <c r="BJ569" s="38"/>
      <c r="BK569" s="38"/>
      <c r="BL569" s="38"/>
      <c r="BM569" s="38"/>
      <c r="BN569" s="38"/>
      <c r="BO569" s="38"/>
      <c r="BP569" s="38"/>
      <c r="BQ569" s="38"/>
      <c r="BR569" s="38"/>
      <c r="BS569" s="38"/>
      <c r="BT569" s="38"/>
      <c r="BU569" s="38"/>
      <c r="BV569" s="38"/>
      <c r="BW569" s="38"/>
      <c r="BX569" s="38"/>
      <c r="BY569" s="38"/>
      <c r="BZ569" s="38"/>
      <c r="CA569" s="38"/>
      <c r="CB569" s="38"/>
      <c r="CC569" s="38"/>
      <c r="CD569" s="38"/>
      <c r="CE569" s="38"/>
      <c r="CF569" s="38"/>
      <c r="CG569" s="38"/>
      <c r="CH569" s="38"/>
      <c r="CI569" s="38"/>
      <c r="CJ569" s="38"/>
      <c r="CK569" s="38"/>
      <c r="CL569" s="38"/>
      <c r="CM569" s="38"/>
      <c r="CN569" s="38"/>
      <c r="CO569" s="38"/>
      <c r="CP569" s="38"/>
      <c r="CQ569" s="38"/>
      <c r="CR569" s="38"/>
      <c r="CS569" s="38"/>
      <c r="CT569" s="38"/>
      <c r="CU569" s="38"/>
      <c r="CV569" s="38"/>
      <c r="CW569" s="38"/>
      <c r="CX569" s="38"/>
      <c r="CY569" s="38"/>
      <c r="CZ569" s="38"/>
    </row>
    <row r="570" spans="1:104" s="40" customFormat="1" ht="20.149999999999999" customHeight="1">
      <c r="A570" s="358">
        <f t="shared" si="129"/>
        <v>569</v>
      </c>
      <c r="B570" s="359" t="str">
        <f>'Front Sheet and Checklist'!$C$5</f>
        <v>Swansea Bay UHB</v>
      </c>
      <c r="C570" s="17"/>
      <c r="D570" s="17"/>
      <c r="E570" s="17"/>
      <c r="F570" s="17"/>
      <c r="G570" s="17"/>
      <c r="H570" s="17"/>
      <c r="I570" s="361">
        <f t="shared" si="119"/>
        <v>0</v>
      </c>
      <c r="J570" s="17"/>
      <c r="K570" s="18"/>
      <c r="L570" s="18"/>
      <c r="M570" s="17"/>
      <c r="N570" s="17"/>
      <c r="O570" s="17"/>
      <c r="P570" s="17"/>
      <c r="Q570" s="169"/>
      <c r="R570" s="24"/>
      <c r="S570" s="24"/>
      <c r="T570" s="24"/>
      <c r="U570" s="25"/>
      <c r="V570" s="25"/>
      <c r="W570" s="25"/>
      <c r="X570" s="24"/>
      <c r="Y570" s="24"/>
      <c r="Z570" s="24"/>
      <c r="AA570" s="24"/>
      <c r="AB570" s="24"/>
      <c r="AC570" s="24"/>
      <c r="AD570" s="361">
        <f t="shared" ref="AD570:AD633" si="132">SUM(R570:AC570)</f>
        <v>0</v>
      </c>
      <c r="AE570" s="359" t="str">
        <f t="shared" si="121"/>
        <v/>
      </c>
      <c r="AF570" s="359" t="str">
        <f t="shared" si="130"/>
        <v/>
      </c>
      <c r="AG570" s="359" t="str">
        <f t="shared" si="122"/>
        <v/>
      </c>
      <c r="AH570" s="359" t="str">
        <f t="shared" si="123"/>
        <v/>
      </c>
      <c r="AI570" s="359" t="str">
        <f t="shared" si="124"/>
        <v/>
      </c>
      <c r="AJ570" s="359" t="str">
        <f t="shared" si="125"/>
        <v/>
      </c>
      <c r="AK570" s="359" t="str">
        <f t="shared" si="127"/>
        <v/>
      </c>
      <c r="AL570" s="359" t="str">
        <f t="shared" si="126"/>
        <v/>
      </c>
      <c r="AM570" s="359" t="str">
        <f t="shared" si="128"/>
        <v/>
      </c>
      <c r="AN570" s="262">
        <f t="shared" si="131"/>
        <v>0</v>
      </c>
      <c r="AO570" s="262" t="str">
        <f>IFERROR(HLOOKUP(AN570,'Ref Lists'!Q$1:AL$2,2,FALSE),'Ref Lists'!$AK$2)</f>
        <v>Savings21</v>
      </c>
      <c r="AP570" s="38"/>
      <c r="AQ570" s="38">
        <f t="shared" si="120"/>
        <v>0</v>
      </c>
      <c r="AR570" s="38"/>
      <c r="AS570" s="38"/>
      <c r="AT570" s="38"/>
      <c r="AU570" s="38"/>
      <c r="AV570" s="38"/>
      <c r="AW570" s="38"/>
      <c r="AX570" s="38"/>
      <c r="AY570" s="38"/>
      <c r="AZ570" s="38"/>
      <c r="BA570" s="38"/>
      <c r="BB570" s="38"/>
      <c r="BC570" s="38"/>
      <c r="BD570" s="38"/>
      <c r="BE570" s="38"/>
      <c r="BF570" s="38"/>
      <c r="BG570" s="38"/>
      <c r="BH570" s="38"/>
      <c r="BI570" s="38"/>
      <c r="BJ570" s="38"/>
      <c r="BK570" s="38"/>
      <c r="BL570" s="38"/>
      <c r="BM570" s="38"/>
      <c r="BN570" s="38"/>
      <c r="BO570" s="38"/>
      <c r="BP570" s="38"/>
      <c r="BQ570" s="38"/>
      <c r="BR570" s="38"/>
      <c r="BS570" s="38"/>
      <c r="BT570" s="38"/>
      <c r="BU570" s="38"/>
      <c r="BV570" s="38"/>
      <c r="BW570" s="38"/>
      <c r="BX570" s="38"/>
      <c r="BY570" s="38"/>
      <c r="BZ570" s="38"/>
      <c r="CA570" s="38"/>
      <c r="CB570" s="38"/>
      <c r="CC570" s="38"/>
      <c r="CD570" s="38"/>
      <c r="CE570" s="38"/>
      <c r="CF570" s="38"/>
      <c r="CG570" s="38"/>
      <c r="CH570" s="38"/>
      <c r="CI570" s="38"/>
      <c r="CJ570" s="38"/>
      <c r="CK570" s="38"/>
      <c r="CL570" s="38"/>
      <c r="CM570" s="38"/>
      <c r="CN570" s="38"/>
      <c r="CO570" s="38"/>
      <c r="CP570" s="38"/>
      <c r="CQ570" s="38"/>
      <c r="CR570" s="38"/>
      <c r="CS570" s="38"/>
      <c r="CT570" s="38"/>
      <c r="CU570" s="38"/>
      <c r="CV570" s="38"/>
      <c r="CW570" s="38"/>
      <c r="CX570" s="38"/>
      <c r="CY570" s="38"/>
      <c r="CZ570" s="38"/>
    </row>
    <row r="571" spans="1:104" s="40" customFormat="1" ht="20.149999999999999" customHeight="1">
      <c r="A571" s="358">
        <f t="shared" si="129"/>
        <v>570</v>
      </c>
      <c r="B571" s="359" t="str">
        <f>'Front Sheet and Checklist'!$C$5</f>
        <v>Swansea Bay UHB</v>
      </c>
      <c r="C571" s="17"/>
      <c r="D571" s="17"/>
      <c r="E571" s="17"/>
      <c r="F571" s="17"/>
      <c r="G571" s="17"/>
      <c r="H571" s="17"/>
      <c r="I571" s="361">
        <f t="shared" ref="I571:I634" si="133">AD571</f>
        <v>0</v>
      </c>
      <c r="J571" s="17"/>
      <c r="K571" s="18"/>
      <c r="L571" s="18"/>
      <c r="M571" s="17"/>
      <c r="N571" s="17"/>
      <c r="O571" s="17"/>
      <c r="P571" s="17"/>
      <c r="Q571" s="169"/>
      <c r="R571" s="24"/>
      <c r="S571" s="24"/>
      <c r="T571" s="24"/>
      <c r="U571" s="25"/>
      <c r="V571" s="25"/>
      <c r="W571" s="25"/>
      <c r="X571" s="24"/>
      <c r="Y571" s="24"/>
      <c r="Z571" s="24"/>
      <c r="AA571" s="24"/>
      <c r="AB571" s="24"/>
      <c r="AC571" s="24"/>
      <c r="AD571" s="361">
        <f t="shared" si="132"/>
        <v>0</v>
      </c>
      <c r="AE571" s="359" t="str">
        <f t="shared" si="121"/>
        <v/>
      </c>
      <c r="AF571" s="359" t="str">
        <f t="shared" si="130"/>
        <v/>
      </c>
      <c r="AG571" s="359" t="str">
        <f t="shared" si="122"/>
        <v/>
      </c>
      <c r="AH571" s="359" t="str">
        <f t="shared" si="123"/>
        <v/>
      </c>
      <c r="AI571" s="359" t="str">
        <f t="shared" si="124"/>
        <v/>
      </c>
      <c r="AJ571" s="359" t="str">
        <f t="shared" si="125"/>
        <v/>
      </c>
      <c r="AK571" s="359" t="str">
        <f t="shared" si="127"/>
        <v/>
      </c>
      <c r="AL571" s="359" t="str">
        <f t="shared" si="126"/>
        <v/>
      </c>
      <c r="AM571" s="359" t="str">
        <f t="shared" si="128"/>
        <v/>
      </c>
      <c r="AN571" s="262">
        <f t="shared" si="131"/>
        <v>0</v>
      </c>
      <c r="AO571" s="262" t="str">
        <f>IFERROR(HLOOKUP(AN571,'Ref Lists'!Q$1:AL$2,2,FALSE),'Ref Lists'!$AK$2)</f>
        <v>Savings21</v>
      </c>
      <c r="AP571" s="38"/>
      <c r="AQ571" s="38">
        <f t="shared" ref="AQ571:AQ634" si="134">COUNTIFS(AE571:AL571,"Error")</f>
        <v>0</v>
      </c>
      <c r="AR571" s="38"/>
      <c r="AS571" s="38"/>
      <c r="AT571" s="38"/>
      <c r="AU571" s="38"/>
      <c r="AV571" s="38"/>
      <c r="AW571" s="38"/>
      <c r="AX571" s="38"/>
      <c r="AY571" s="38"/>
      <c r="AZ571" s="38"/>
      <c r="BA571" s="38"/>
      <c r="BB571" s="38"/>
      <c r="BC571" s="38"/>
      <c r="BD571" s="38"/>
      <c r="BE571" s="38"/>
      <c r="BF571" s="38"/>
      <c r="BG571" s="38"/>
      <c r="BH571" s="38"/>
      <c r="BI571" s="38"/>
      <c r="BJ571" s="38"/>
      <c r="BK571" s="38"/>
      <c r="BL571" s="38"/>
      <c r="BM571" s="38"/>
      <c r="BN571" s="38"/>
      <c r="BO571" s="38"/>
      <c r="BP571" s="38"/>
      <c r="BQ571" s="38"/>
      <c r="BR571" s="38"/>
      <c r="BS571" s="38"/>
      <c r="BT571" s="38"/>
      <c r="BU571" s="38"/>
      <c r="BV571" s="38"/>
      <c r="BW571" s="38"/>
      <c r="BX571" s="38"/>
      <c r="BY571" s="38"/>
      <c r="BZ571" s="38"/>
      <c r="CA571" s="38"/>
      <c r="CB571" s="38"/>
      <c r="CC571" s="38"/>
      <c r="CD571" s="38"/>
      <c r="CE571" s="38"/>
      <c r="CF571" s="38"/>
      <c r="CG571" s="38"/>
      <c r="CH571" s="38"/>
      <c r="CI571" s="38"/>
      <c r="CJ571" s="38"/>
      <c r="CK571" s="38"/>
      <c r="CL571" s="38"/>
      <c r="CM571" s="38"/>
      <c r="CN571" s="38"/>
      <c r="CO571" s="38"/>
      <c r="CP571" s="38"/>
      <c r="CQ571" s="38"/>
      <c r="CR571" s="38"/>
      <c r="CS571" s="38"/>
      <c r="CT571" s="38"/>
      <c r="CU571" s="38"/>
      <c r="CV571" s="38"/>
      <c r="CW571" s="38"/>
      <c r="CX571" s="38"/>
      <c r="CY571" s="38"/>
      <c r="CZ571" s="38"/>
    </row>
    <row r="572" spans="1:104" s="40" customFormat="1" ht="20.149999999999999" customHeight="1">
      <c r="A572" s="358">
        <f t="shared" si="129"/>
        <v>571</v>
      </c>
      <c r="B572" s="359" t="str">
        <f>'Front Sheet and Checklist'!$C$5</f>
        <v>Swansea Bay UHB</v>
      </c>
      <c r="C572" s="17"/>
      <c r="D572" s="17"/>
      <c r="E572" s="17"/>
      <c r="F572" s="17"/>
      <c r="G572" s="17"/>
      <c r="H572" s="17"/>
      <c r="I572" s="361">
        <f t="shared" si="133"/>
        <v>0</v>
      </c>
      <c r="J572" s="17"/>
      <c r="K572" s="18"/>
      <c r="L572" s="18"/>
      <c r="M572" s="17"/>
      <c r="N572" s="17"/>
      <c r="O572" s="17"/>
      <c r="P572" s="17"/>
      <c r="Q572" s="169"/>
      <c r="R572" s="24"/>
      <c r="S572" s="24"/>
      <c r="T572" s="24"/>
      <c r="U572" s="25"/>
      <c r="V572" s="25"/>
      <c r="W572" s="25"/>
      <c r="X572" s="24"/>
      <c r="Y572" s="24"/>
      <c r="Z572" s="24"/>
      <c r="AA572" s="24"/>
      <c r="AB572" s="24"/>
      <c r="AC572" s="24"/>
      <c r="AD572" s="361">
        <f t="shared" si="132"/>
        <v>0</v>
      </c>
      <c r="AE572" s="359" t="str">
        <f t="shared" si="121"/>
        <v/>
      </c>
      <c r="AF572" s="359" t="str">
        <f t="shared" si="130"/>
        <v/>
      </c>
      <c r="AG572" s="359" t="str">
        <f t="shared" si="122"/>
        <v/>
      </c>
      <c r="AH572" s="359" t="str">
        <f t="shared" si="123"/>
        <v/>
      </c>
      <c r="AI572" s="359" t="str">
        <f t="shared" si="124"/>
        <v/>
      </c>
      <c r="AJ572" s="359" t="str">
        <f t="shared" si="125"/>
        <v/>
      </c>
      <c r="AK572" s="359" t="str">
        <f t="shared" si="127"/>
        <v/>
      </c>
      <c r="AL572" s="359" t="str">
        <f t="shared" si="126"/>
        <v/>
      </c>
      <c r="AM572" s="359" t="str">
        <f t="shared" si="128"/>
        <v/>
      </c>
      <c r="AN572" s="262">
        <f t="shared" si="131"/>
        <v>0</v>
      </c>
      <c r="AO572" s="262" t="str">
        <f>IFERROR(HLOOKUP(AN572,'Ref Lists'!Q$1:AL$2,2,FALSE),'Ref Lists'!$AK$2)</f>
        <v>Savings21</v>
      </c>
      <c r="AP572" s="38"/>
      <c r="AQ572" s="38">
        <f t="shared" si="134"/>
        <v>0</v>
      </c>
      <c r="AR572" s="38"/>
      <c r="AS572" s="38"/>
      <c r="AT572" s="38"/>
      <c r="AU572" s="38"/>
      <c r="AV572" s="38"/>
      <c r="AW572" s="38"/>
      <c r="AX572" s="38"/>
      <c r="AY572" s="38"/>
      <c r="AZ572" s="38"/>
      <c r="BA572" s="38"/>
      <c r="BB572" s="38"/>
      <c r="BC572" s="38"/>
      <c r="BD572" s="38"/>
      <c r="BE572" s="38"/>
      <c r="BF572" s="38"/>
      <c r="BG572" s="38"/>
      <c r="BH572" s="38"/>
      <c r="BI572" s="38"/>
      <c r="BJ572" s="38"/>
      <c r="BK572" s="38"/>
      <c r="BL572" s="38"/>
      <c r="BM572" s="38"/>
      <c r="BN572" s="38"/>
      <c r="BO572" s="38"/>
      <c r="BP572" s="38"/>
      <c r="BQ572" s="38"/>
      <c r="BR572" s="38"/>
      <c r="BS572" s="38"/>
      <c r="BT572" s="38"/>
      <c r="BU572" s="38"/>
      <c r="BV572" s="38"/>
      <c r="BW572" s="38"/>
      <c r="BX572" s="38"/>
      <c r="BY572" s="38"/>
      <c r="BZ572" s="38"/>
      <c r="CA572" s="38"/>
      <c r="CB572" s="38"/>
      <c r="CC572" s="38"/>
      <c r="CD572" s="38"/>
      <c r="CE572" s="38"/>
      <c r="CF572" s="38"/>
      <c r="CG572" s="38"/>
      <c r="CH572" s="38"/>
      <c r="CI572" s="38"/>
      <c r="CJ572" s="38"/>
      <c r="CK572" s="38"/>
      <c r="CL572" s="38"/>
      <c r="CM572" s="38"/>
      <c r="CN572" s="38"/>
      <c r="CO572" s="38"/>
      <c r="CP572" s="38"/>
      <c r="CQ572" s="38"/>
      <c r="CR572" s="38"/>
      <c r="CS572" s="38"/>
      <c r="CT572" s="38"/>
      <c r="CU572" s="38"/>
      <c r="CV572" s="38"/>
      <c r="CW572" s="38"/>
      <c r="CX572" s="38"/>
      <c r="CY572" s="38"/>
      <c r="CZ572" s="38"/>
    </row>
    <row r="573" spans="1:104" s="40" customFormat="1" ht="20.149999999999999" customHeight="1">
      <c r="A573" s="358">
        <f t="shared" si="129"/>
        <v>572</v>
      </c>
      <c r="B573" s="359" t="str">
        <f>'Front Sheet and Checklist'!$C$5</f>
        <v>Swansea Bay UHB</v>
      </c>
      <c r="C573" s="17"/>
      <c r="D573" s="17"/>
      <c r="E573" s="17"/>
      <c r="F573" s="17"/>
      <c r="G573" s="17"/>
      <c r="H573" s="17"/>
      <c r="I573" s="361">
        <f t="shared" si="133"/>
        <v>0</v>
      </c>
      <c r="J573" s="17"/>
      <c r="K573" s="18"/>
      <c r="L573" s="18"/>
      <c r="M573" s="17"/>
      <c r="N573" s="17"/>
      <c r="O573" s="17"/>
      <c r="P573" s="17"/>
      <c r="Q573" s="169"/>
      <c r="R573" s="24"/>
      <c r="S573" s="24"/>
      <c r="T573" s="24"/>
      <c r="U573" s="25"/>
      <c r="V573" s="25"/>
      <c r="W573" s="25"/>
      <c r="X573" s="24"/>
      <c r="Y573" s="24"/>
      <c r="Z573" s="24"/>
      <c r="AA573" s="24"/>
      <c r="AB573" s="24"/>
      <c r="AC573" s="24"/>
      <c r="AD573" s="361">
        <f t="shared" si="132"/>
        <v>0</v>
      </c>
      <c r="AE573" s="359" t="str">
        <f t="shared" si="121"/>
        <v/>
      </c>
      <c r="AF573" s="359" t="str">
        <f t="shared" si="130"/>
        <v/>
      </c>
      <c r="AG573" s="359" t="str">
        <f t="shared" si="122"/>
        <v/>
      </c>
      <c r="AH573" s="359" t="str">
        <f t="shared" si="123"/>
        <v/>
      </c>
      <c r="AI573" s="359" t="str">
        <f t="shared" si="124"/>
        <v/>
      </c>
      <c r="AJ573" s="359" t="str">
        <f t="shared" si="125"/>
        <v/>
      </c>
      <c r="AK573" s="359" t="str">
        <f t="shared" si="127"/>
        <v/>
      </c>
      <c r="AL573" s="359" t="str">
        <f t="shared" si="126"/>
        <v/>
      </c>
      <c r="AM573" s="359" t="str">
        <f t="shared" si="128"/>
        <v/>
      </c>
      <c r="AN573" s="262">
        <f t="shared" si="131"/>
        <v>0</v>
      </c>
      <c r="AO573" s="262" t="str">
        <f>IFERROR(HLOOKUP(AN573,'Ref Lists'!Q$1:AL$2,2,FALSE),'Ref Lists'!$AK$2)</f>
        <v>Savings21</v>
      </c>
      <c r="AP573" s="38"/>
      <c r="AQ573" s="38">
        <f t="shared" si="134"/>
        <v>0</v>
      </c>
      <c r="AR573" s="38"/>
      <c r="AS573" s="38"/>
      <c r="AT573" s="38"/>
      <c r="AU573" s="38"/>
      <c r="AV573" s="38"/>
      <c r="AW573" s="38"/>
      <c r="AX573" s="38"/>
      <c r="AY573" s="38"/>
      <c r="AZ573" s="38"/>
      <c r="BA573" s="38"/>
      <c r="BB573" s="38"/>
      <c r="BC573" s="38"/>
      <c r="BD573" s="38"/>
      <c r="BE573" s="38"/>
      <c r="BF573" s="38"/>
      <c r="BG573" s="38"/>
      <c r="BH573" s="38"/>
      <c r="BI573" s="38"/>
      <c r="BJ573" s="38"/>
      <c r="BK573" s="38"/>
      <c r="BL573" s="38"/>
      <c r="BM573" s="38"/>
      <c r="BN573" s="38"/>
      <c r="BO573" s="38"/>
      <c r="BP573" s="38"/>
      <c r="BQ573" s="38"/>
      <c r="BR573" s="38"/>
      <c r="BS573" s="38"/>
      <c r="BT573" s="38"/>
      <c r="BU573" s="38"/>
      <c r="BV573" s="38"/>
      <c r="BW573" s="38"/>
      <c r="BX573" s="38"/>
      <c r="BY573" s="38"/>
      <c r="BZ573" s="38"/>
      <c r="CA573" s="38"/>
      <c r="CB573" s="38"/>
      <c r="CC573" s="38"/>
      <c r="CD573" s="38"/>
      <c r="CE573" s="38"/>
      <c r="CF573" s="38"/>
      <c r="CG573" s="38"/>
      <c r="CH573" s="38"/>
      <c r="CI573" s="38"/>
      <c r="CJ573" s="38"/>
      <c r="CK573" s="38"/>
      <c r="CL573" s="38"/>
      <c r="CM573" s="38"/>
      <c r="CN573" s="38"/>
      <c r="CO573" s="38"/>
      <c r="CP573" s="38"/>
      <c r="CQ573" s="38"/>
      <c r="CR573" s="38"/>
      <c r="CS573" s="38"/>
      <c r="CT573" s="38"/>
      <c r="CU573" s="38"/>
      <c r="CV573" s="38"/>
      <c r="CW573" s="38"/>
      <c r="CX573" s="38"/>
      <c r="CY573" s="38"/>
      <c r="CZ573" s="38"/>
    </row>
    <row r="574" spans="1:104" s="40" customFormat="1" ht="20.149999999999999" customHeight="1">
      <c r="A574" s="358">
        <f t="shared" si="129"/>
        <v>573</v>
      </c>
      <c r="B574" s="359" t="str">
        <f>'Front Sheet and Checklist'!$C$5</f>
        <v>Swansea Bay UHB</v>
      </c>
      <c r="C574" s="17"/>
      <c r="D574" s="17"/>
      <c r="E574" s="17"/>
      <c r="F574" s="17"/>
      <c r="G574" s="17"/>
      <c r="H574" s="17"/>
      <c r="I574" s="361">
        <f t="shared" si="133"/>
        <v>0</v>
      </c>
      <c r="J574" s="17"/>
      <c r="K574" s="18"/>
      <c r="L574" s="18"/>
      <c r="M574" s="17"/>
      <c r="N574" s="17"/>
      <c r="O574" s="17"/>
      <c r="P574" s="17"/>
      <c r="Q574" s="169"/>
      <c r="R574" s="24"/>
      <c r="S574" s="24"/>
      <c r="T574" s="24"/>
      <c r="U574" s="25"/>
      <c r="V574" s="25"/>
      <c r="W574" s="25"/>
      <c r="X574" s="24"/>
      <c r="Y574" s="24"/>
      <c r="Z574" s="24"/>
      <c r="AA574" s="24"/>
      <c r="AB574" s="24"/>
      <c r="AC574" s="24"/>
      <c r="AD574" s="361">
        <f t="shared" si="132"/>
        <v>0</v>
      </c>
      <c r="AE574" s="359" t="str">
        <f t="shared" si="121"/>
        <v/>
      </c>
      <c r="AF574" s="359" t="str">
        <f t="shared" si="130"/>
        <v/>
      </c>
      <c r="AG574" s="359" t="str">
        <f t="shared" si="122"/>
        <v/>
      </c>
      <c r="AH574" s="359" t="str">
        <f t="shared" si="123"/>
        <v/>
      </c>
      <c r="AI574" s="359" t="str">
        <f t="shared" si="124"/>
        <v/>
      </c>
      <c r="AJ574" s="359" t="str">
        <f t="shared" si="125"/>
        <v/>
      </c>
      <c r="AK574" s="359" t="str">
        <f t="shared" si="127"/>
        <v/>
      </c>
      <c r="AL574" s="359" t="str">
        <f t="shared" si="126"/>
        <v/>
      </c>
      <c r="AM574" s="359" t="str">
        <f t="shared" si="128"/>
        <v/>
      </c>
      <c r="AN574" s="262">
        <f t="shared" si="131"/>
        <v>0</v>
      </c>
      <c r="AO574" s="262" t="str">
        <f>IFERROR(HLOOKUP(AN574,'Ref Lists'!Q$1:AL$2,2,FALSE),'Ref Lists'!$AK$2)</f>
        <v>Savings21</v>
      </c>
      <c r="AP574" s="38"/>
      <c r="AQ574" s="38">
        <f t="shared" si="134"/>
        <v>0</v>
      </c>
      <c r="AR574" s="38"/>
      <c r="AS574" s="38"/>
      <c r="AT574" s="38"/>
      <c r="AU574" s="38"/>
      <c r="AV574" s="38"/>
      <c r="AW574" s="38"/>
      <c r="AX574" s="38"/>
      <c r="AY574" s="38"/>
      <c r="AZ574" s="38"/>
      <c r="BA574" s="38"/>
      <c r="BB574" s="38"/>
      <c r="BC574" s="38"/>
      <c r="BD574" s="38"/>
      <c r="BE574" s="38"/>
      <c r="BF574" s="38"/>
      <c r="BG574" s="38"/>
      <c r="BH574" s="38"/>
      <c r="BI574" s="38"/>
      <c r="BJ574" s="38"/>
      <c r="BK574" s="38"/>
      <c r="BL574" s="38"/>
      <c r="BM574" s="38"/>
      <c r="BN574" s="38"/>
      <c r="BO574" s="38"/>
      <c r="BP574" s="38"/>
      <c r="BQ574" s="38"/>
      <c r="BR574" s="38"/>
      <c r="BS574" s="38"/>
      <c r="BT574" s="38"/>
      <c r="BU574" s="38"/>
      <c r="BV574" s="38"/>
      <c r="BW574" s="38"/>
      <c r="BX574" s="38"/>
      <c r="BY574" s="38"/>
      <c r="BZ574" s="38"/>
      <c r="CA574" s="38"/>
      <c r="CB574" s="38"/>
      <c r="CC574" s="38"/>
      <c r="CD574" s="38"/>
      <c r="CE574" s="38"/>
      <c r="CF574" s="38"/>
      <c r="CG574" s="38"/>
      <c r="CH574" s="38"/>
      <c r="CI574" s="38"/>
      <c r="CJ574" s="38"/>
      <c r="CK574" s="38"/>
      <c r="CL574" s="38"/>
      <c r="CM574" s="38"/>
      <c r="CN574" s="38"/>
      <c r="CO574" s="38"/>
      <c r="CP574" s="38"/>
      <c r="CQ574" s="38"/>
      <c r="CR574" s="38"/>
      <c r="CS574" s="38"/>
      <c r="CT574" s="38"/>
      <c r="CU574" s="38"/>
      <c r="CV574" s="38"/>
      <c r="CW574" s="38"/>
      <c r="CX574" s="38"/>
      <c r="CY574" s="38"/>
      <c r="CZ574" s="38"/>
    </row>
    <row r="575" spans="1:104" s="40" customFormat="1" ht="20.149999999999999" customHeight="1">
      <c r="A575" s="358">
        <f t="shared" si="129"/>
        <v>574</v>
      </c>
      <c r="B575" s="359" t="str">
        <f>'Front Sheet and Checklist'!$C$5</f>
        <v>Swansea Bay UHB</v>
      </c>
      <c r="C575" s="17"/>
      <c r="D575" s="17"/>
      <c r="E575" s="17"/>
      <c r="F575" s="17"/>
      <c r="G575" s="17"/>
      <c r="H575" s="17"/>
      <c r="I575" s="361">
        <f t="shared" si="133"/>
        <v>0</v>
      </c>
      <c r="J575" s="17"/>
      <c r="K575" s="18"/>
      <c r="L575" s="18"/>
      <c r="M575" s="17"/>
      <c r="N575" s="17"/>
      <c r="O575" s="17"/>
      <c r="P575" s="17"/>
      <c r="Q575" s="169"/>
      <c r="R575" s="24"/>
      <c r="S575" s="24"/>
      <c r="T575" s="24"/>
      <c r="U575" s="25"/>
      <c r="V575" s="25"/>
      <c r="W575" s="25"/>
      <c r="X575" s="24"/>
      <c r="Y575" s="24"/>
      <c r="Z575" s="24"/>
      <c r="AA575" s="24"/>
      <c r="AB575" s="24"/>
      <c r="AC575" s="24"/>
      <c r="AD575" s="361">
        <f t="shared" si="132"/>
        <v>0</v>
      </c>
      <c r="AE575" s="359" t="str">
        <f t="shared" si="121"/>
        <v/>
      </c>
      <c r="AF575" s="359" t="str">
        <f t="shared" si="130"/>
        <v/>
      </c>
      <c r="AG575" s="359" t="str">
        <f t="shared" si="122"/>
        <v/>
      </c>
      <c r="AH575" s="359" t="str">
        <f t="shared" si="123"/>
        <v/>
      </c>
      <c r="AI575" s="359" t="str">
        <f t="shared" si="124"/>
        <v/>
      </c>
      <c r="AJ575" s="359" t="str">
        <f t="shared" si="125"/>
        <v/>
      </c>
      <c r="AK575" s="359" t="str">
        <f t="shared" si="127"/>
        <v/>
      </c>
      <c r="AL575" s="359" t="str">
        <f t="shared" si="126"/>
        <v/>
      </c>
      <c r="AM575" s="359" t="str">
        <f t="shared" si="128"/>
        <v/>
      </c>
      <c r="AN575" s="262">
        <f t="shared" si="131"/>
        <v>0</v>
      </c>
      <c r="AO575" s="262" t="str">
        <f>IFERROR(HLOOKUP(AN575,'Ref Lists'!Q$1:AL$2,2,FALSE),'Ref Lists'!$AK$2)</f>
        <v>Savings21</v>
      </c>
      <c r="AP575" s="38"/>
      <c r="AQ575" s="38">
        <f t="shared" si="134"/>
        <v>0</v>
      </c>
      <c r="AR575" s="38"/>
      <c r="AS575" s="38"/>
      <c r="AT575" s="38"/>
      <c r="AU575" s="38"/>
      <c r="AV575" s="38"/>
      <c r="AW575" s="38"/>
      <c r="AX575" s="38"/>
      <c r="AY575" s="38"/>
      <c r="AZ575" s="38"/>
      <c r="BA575" s="38"/>
      <c r="BB575" s="38"/>
      <c r="BC575" s="38"/>
      <c r="BD575" s="38"/>
      <c r="BE575" s="38"/>
      <c r="BF575" s="38"/>
      <c r="BG575" s="38"/>
      <c r="BH575" s="38"/>
      <c r="BI575" s="38"/>
      <c r="BJ575" s="38"/>
      <c r="BK575" s="38"/>
      <c r="BL575" s="38"/>
      <c r="BM575" s="38"/>
      <c r="BN575" s="38"/>
      <c r="BO575" s="38"/>
      <c r="BP575" s="38"/>
      <c r="BQ575" s="38"/>
      <c r="BR575" s="38"/>
      <c r="BS575" s="38"/>
      <c r="BT575" s="38"/>
      <c r="BU575" s="38"/>
      <c r="BV575" s="38"/>
      <c r="BW575" s="38"/>
      <c r="BX575" s="38"/>
      <c r="BY575" s="38"/>
      <c r="BZ575" s="38"/>
      <c r="CA575" s="38"/>
      <c r="CB575" s="38"/>
      <c r="CC575" s="38"/>
      <c r="CD575" s="38"/>
      <c r="CE575" s="38"/>
      <c r="CF575" s="38"/>
      <c r="CG575" s="38"/>
      <c r="CH575" s="38"/>
      <c r="CI575" s="38"/>
      <c r="CJ575" s="38"/>
      <c r="CK575" s="38"/>
      <c r="CL575" s="38"/>
      <c r="CM575" s="38"/>
      <c r="CN575" s="38"/>
      <c r="CO575" s="38"/>
      <c r="CP575" s="38"/>
      <c r="CQ575" s="38"/>
      <c r="CR575" s="38"/>
      <c r="CS575" s="38"/>
      <c r="CT575" s="38"/>
      <c r="CU575" s="38"/>
      <c r="CV575" s="38"/>
      <c r="CW575" s="38"/>
      <c r="CX575" s="38"/>
      <c r="CY575" s="38"/>
      <c r="CZ575" s="38"/>
    </row>
    <row r="576" spans="1:104" s="40" customFormat="1" ht="20.149999999999999" customHeight="1">
      <c r="A576" s="358">
        <f t="shared" si="129"/>
        <v>575</v>
      </c>
      <c r="B576" s="359" t="str">
        <f>'Front Sheet and Checklist'!$C$5</f>
        <v>Swansea Bay UHB</v>
      </c>
      <c r="C576" s="17"/>
      <c r="D576" s="17"/>
      <c r="E576" s="17"/>
      <c r="F576" s="17"/>
      <c r="G576" s="17"/>
      <c r="H576" s="17"/>
      <c r="I576" s="361">
        <f t="shared" si="133"/>
        <v>0</v>
      </c>
      <c r="J576" s="17"/>
      <c r="K576" s="18"/>
      <c r="L576" s="18"/>
      <c r="M576" s="17"/>
      <c r="N576" s="17"/>
      <c r="O576" s="17"/>
      <c r="P576" s="17"/>
      <c r="Q576" s="169"/>
      <c r="R576" s="24"/>
      <c r="S576" s="24"/>
      <c r="T576" s="24"/>
      <c r="U576" s="25"/>
      <c r="V576" s="25"/>
      <c r="W576" s="25"/>
      <c r="X576" s="24"/>
      <c r="Y576" s="24"/>
      <c r="Z576" s="24"/>
      <c r="AA576" s="24"/>
      <c r="AB576" s="24"/>
      <c r="AC576" s="24"/>
      <c r="AD576" s="361">
        <f t="shared" si="132"/>
        <v>0</v>
      </c>
      <c r="AE576" s="359" t="str">
        <f t="shared" si="121"/>
        <v/>
      </c>
      <c r="AF576" s="359" t="str">
        <f t="shared" si="130"/>
        <v/>
      </c>
      <c r="AG576" s="359" t="str">
        <f t="shared" si="122"/>
        <v/>
      </c>
      <c r="AH576" s="359" t="str">
        <f t="shared" si="123"/>
        <v/>
      </c>
      <c r="AI576" s="359" t="str">
        <f t="shared" si="124"/>
        <v/>
      </c>
      <c r="AJ576" s="359" t="str">
        <f t="shared" si="125"/>
        <v/>
      </c>
      <c r="AK576" s="359" t="str">
        <f t="shared" si="127"/>
        <v/>
      </c>
      <c r="AL576" s="359" t="str">
        <f t="shared" si="126"/>
        <v/>
      </c>
      <c r="AM576" s="359" t="str">
        <f t="shared" si="128"/>
        <v/>
      </c>
      <c r="AN576" s="262">
        <f t="shared" si="131"/>
        <v>0</v>
      </c>
      <c r="AO576" s="262" t="str">
        <f>IFERROR(HLOOKUP(AN576,'Ref Lists'!Q$1:AL$2,2,FALSE),'Ref Lists'!$AK$2)</f>
        <v>Savings21</v>
      </c>
      <c r="AP576" s="38"/>
      <c r="AQ576" s="38">
        <f t="shared" si="134"/>
        <v>0</v>
      </c>
      <c r="AR576" s="38"/>
      <c r="AS576" s="38"/>
      <c r="AT576" s="38"/>
      <c r="AU576" s="38"/>
      <c r="AV576" s="38"/>
      <c r="AW576" s="38"/>
      <c r="AX576" s="38"/>
      <c r="AY576" s="38"/>
      <c r="AZ576" s="38"/>
      <c r="BA576" s="38"/>
      <c r="BB576" s="38"/>
      <c r="BC576" s="38"/>
      <c r="BD576" s="38"/>
      <c r="BE576" s="38"/>
      <c r="BF576" s="38"/>
      <c r="BG576" s="38"/>
      <c r="BH576" s="38"/>
      <c r="BI576" s="38"/>
      <c r="BJ576" s="38"/>
      <c r="BK576" s="38"/>
      <c r="BL576" s="38"/>
      <c r="BM576" s="38"/>
      <c r="BN576" s="38"/>
      <c r="BO576" s="38"/>
      <c r="BP576" s="38"/>
      <c r="BQ576" s="38"/>
      <c r="BR576" s="38"/>
      <c r="BS576" s="38"/>
      <c r="BT576" s="38"/>
      <c r="BU576" s="38"/>
      <c r="BV576" s="38"/>
      <c r="BW576" s="38"/>
      <c r="BX576" s="38"/>
      <c r="BY576" s="38"/>
      <c r="BZ576" s="38"/>
      <c r="CA576" s="38"/>
      <c r="CB576" s="38"/>
      <c r="CC576" s="38"/>
      <c r="CD576" s="38"/>
      <c r="CE576" s="38"/>
      <c r="CF576" s="38"/>
      <c r="CG576" s="38"/>
      <c r="CH576" s="38"/>
      <c r="CI576" s="38"/>
      <c r="CJ576" s="38"/>
      <c r="CK576" s="38"/>
      <c r="CL576" s="38"/>
      <c r="CM576" s="38"/>
      <c r="CN576" s="38"/>
      <c r="CO576" s="38"/>
      <c r="CP576" s="38"/>
      <c r="CQ576" s="38"/>
      <c r="CR576" s="38"/>
      <c r="CS576" s="38"/>
      <c r="CT576" s="38"/>
      <c r="CU576" s="38"/>
      <c r="CV576" s="38"/>
      <c r="CW576" s="38"/>
      <c r="CX576" s="38"/>
      <c r="CY576" s="38"/>
      <c r="CZ576" s="38"/>
    </row>
    <row r="577" spans="1:104" s="40" customFormat="1" ht="20.149999999999999" customHeight="1">
      <c r="A577" s="358">
        <f t="shared" si="129"/>
        <v>576</v>
      </c>
      <c r="B577" s="359" t="str">
        <f>'Front Sheet and Checklist'!$C$5</f>
        <v>Swansea Bay UHB</v>
      </c>
      <c r="C577" s="17"/>
      <c r="D577" s="17"/>
      <c r="E577" s="17"/>
      <c r="F577" s="17"/>
      <c r="G577" s="17"/>
      <c r="H577" s="17"/>
      <c r="I577" s="361">
        <f t="shared" si="133"/>
        <v>0</v>
      </c>
      <c r="J577" s="17"/>
      <c r="K577" s="18"/>
      <c r="L577" s="18"/>
      <c r="M577" s="17"/>
      <c r="N577" s="17"/>
      <c r="O577" s="17"/>
      <c r="P577" s="17"/>
      <c r="Q577" s="169"/>
      <c r="R577" s="24"/>
      <c r="S577" s="24"/>
      <c r="T577" s="24"/>
      <c r="U577" s="25"/>
      <c r="V577" s="25"/>
      <c r="W577" s="25"/>
      <c r="X577" s="24"/>
      <c r="Y577" s="24"/>
      <c r="Z577" s="24"/>
      <c r="AA577" s="24"/>
      <c r="AB577" s="24"/>
      <c r="AC577" s="24"/>
      <c r="AD577" s="361">
        <f t="shared" si="132"/>
        <v>0</v>
      </c>
      <c r="AE577" s="359" t="str">
        <f t="shared" si="121"/>
        <v/>
      </c>
      <c r="AF577" s="359" t="str">
        <f t="shared" si="130"/>
        <v/>
      </c>
      <c r="AG577" s="359" t="str">
        <f t="shared" si="122"/>
        <v/>
      </c>
      <c r="AH577" s="359" t="str">
        <f t="shared" si="123"/>
        <v/>
      </c>
      <c r="AI577" s="359" t="str">
        <f t="shared" si="124"/>
        <v/>
      </c>
      <c r="AJ577" s="359" t="str">
        <f t="shared" si="125"/>
        <v/>
      </c>
      <c r="AK577" s="359" t="str">
        <f t="shared" si="127"/>
        <v/>
      </c>
      <c r="AL577" s="359" t="str">
        <f t="shared" si="126"/>
        <v/>
      </c>
      <c r="AM577" s="359" t="str">
        <f t="shared" si="128"/>
        <v/>
      </c>
      <c r="AN577" s="262">
        <f t="shared" si="131"/>
        <v>0</v>
      </c>
      <c r="AO577" s="262" t="str">
        <f>IFERROR(HLOOKUP(AN577,'Ref Lists'!Q$1:AL$2,2,FALSE),'Ref Lists'!$AK$2)</f>
        <v>Savings21</v>
      </c>
      <c r="AP577" s="38"/>
      <c r="AQ577" s="38">
        <f t="shared" si="134"/>
        <v>0</v>
      </c>
      <c r="AR577" s="38"/>
      <c r="AS577" s="38"/>
      <c r="AT577" s="38"/>
      <c r="AU577" s="38"/>
      <c r="AV577" s="38"/>
      <c r="AW577" s="38"/>
      <c r="AX577" s="38"/>
      <c r="AY577" s="38"/>
      <c r="AZ577" s="38"/>
      <c r="BA577" s="38"/>
      <c r="BB577" s="38"/>
      <c r="BC577" s="38"/>
      <c r="BD577" s="38"/>
      <c r="BE577" s="38"/>
      <c r="BF577" s="38"/>
      <c r="BG577" s="38"/>
      <c r="BH577" s="38"/>
      <c r="BI577" s="38"/>
      <c r="BJ577" s="38"/>
      <c r="BK577" s="38"/>
      <c r="BL577" s="38"/>
      <c r="BM577" s="38"/>
      <c r="BN577" s="38"/>
      <c r="BO577" s="38"/>
      <c r="BP577" s="38"/>
      <c r="BQ577" s="38"/>
      <c r="BR577" s="38"/>
      <c r="BS577" s="38"/>
      <c r="BT577" s="38"/>
      <c r="BU577" s="38"/>
      <c r="BV577" s="38"/>
      <c r="BW577" s="38"/>
      <c r="BX577" s="38"/>
      <c r="BY577" s="38"/>
      <c r="BZ577" s="38"/>
      <c r="CA577" s="38"/>
      <c r="CB577" s="38"/>
      <c r="CC577" s="38"/>
      <c r="CD577" s="38"/>
      <c r="CE577" s="38"/>
      <c r="CF577" s="38"/>
      <c r="CG577" s="38"/>
      <c r="CH577" s="38"/>
      <c r="CI577" s="38"/>
      <c r="CJ577" s="38"/>
      <c r="CK577" s="38"/>
      <c r="CL577" s="38"/>
      <c r="CM577" s="38"/>
      <c r="CN577" s="38"/>
      <c r="CO577" s="38"/>
      <c r="CP577" s="38"/>
      <c r="CQ577" s="38"/>
      <c r="CR577" s="38"/>
      <c r="CS577" s="38"/>
      <c r="CT577" s="38"/>
      <c r="CU577" s="38"/>
      <c r="CV577" s="38"/>
      <c r="CW577" s="38"/>
      <c r="CX577" s="38"/>
      <c r="CY577" s="38"/>
      <c r="CZ577" s="38"/>
    </row>
    <row r="578" spans="1:104" s="40" customFormat="1" ht="20.149999999999999" customHeight="1">
      <c r="A578" s="358">
        <f t="shared" si="129"/>
        <v>577</v>
      </c>
      <c r="B578" s="359" t="str">
        <f>'Front Sheet and Checklist'!$C$5</f>
        <v>Swansea Bay UHB</v>
      </c>
      <c r="C578" s="17"/>
      <c r="D578" s="17"/>
      <c r="E578" s="17"/>
      <c r="F578" s="17"/>
      <c r="G578" s="17"/>
      <c r="H578" s="17"/>
      <c r="I578" s="361">
        <f t="shared" si="133"/>
        <v>0</v>
      </c>
      <c r="J578" s="17"/>
      <c r="K578" s="18"/>
      <c r="L578" s="18"/>
      <c r="M578" s="17"/>
      <c r="N578" s="17"/>
      <c r="O578" s="17"/>
      <c r="P578" s="17"/>
      <c r="Q578" s="169"/>
      <c r="R578" s="24"/>
      <c r="S578" s="24"/>
      <c r="T578" s="24"/>
      <c r="U578" s="25"/>
      <c r="V578" s="25"/>
      <c r="W578" s="25"/>
      <c r="X578" s="24"/>
      <c r="Y578" s="24"/>
      <c r="Z578" s="24"/>
      <c r="AA578" s="24"/>
      <c r="AB578" s="24"/>
      <c r="AC578" s="24"/>
      <c r="AD578" s="361">
        <f t="shared" si="132"/>
        <v>0</v>
      </c>
      <c r="AE578" s="359" t="str">
        <f t="shared" ref="AE578:AE641" si="135">IF(AND(I578&gt;0,H578&lt;&gt;"Income Generation"),IF(AND(H578&lt;&gt;"",D578&lt;&gt;"",E578&lt;&gt;"",F578&lt;&gt;"",C578&lt;&gt;"",G578&lt;&gt;"",K578&lt;&gt;"",L578&lt;&gt;"",M578&lt;&gt;"",N578&lt;&gt;"",P578&lt;&gt;"",Q578&lt;&gt;"",O578&lt;&gt;""),"","ERROR"),"")</f>
        <v/>
      </c>
      <c r="AF578" s="359" t="str">
        <f t="shared" si="130"/>
        <v/>
      </c>
      <c r="AG578" s="359" t="str">
        <f t="shared" ref="AG578:AG641" si="136">IF(AND(I578&gt;0,O578=""),"ERROR","")</f>
        <v/>
      </c>
      <c r="AH578" s="359" t="str">
        <f t="shared" ref="AH578:AH641" si="137">IF(AND(OR(H578="Income Generation"),O578&lt;&gt;""),"ERROR","")</f>
        <v/>
      </c>
      <c r="AI578" s="359" t="str">
        <f t="shared" ref="AI578:AI641" si="138">IF(AND(G578="R",I578&gt;J578),"ERROR","")</f>
        <v/>
      </c>
      <c r="AJ578" s="359" t="str">
        <f t="shared" ref="AJ578:AJ641" si="139">IF(AND(G578="NR",J578&gt;0),"ERROR","")</f>
        <v/>
      </c>
      <c r="AK578" s="359" t="str">
        <f t="shared" si="127"/>
        <v/>
      </c>
      <c r="AL578" s="359" t="str">
        <f t="shared" ref="AL578:AL641" si="140">IF(OR(L578="",L578="N/A"),"",IF(OR(L578&lt;DATEVALUE("01/04/24"),L578&gt;DATEVALUE("31/03/25")),"ERROR",""))</f>
        <v/>
      </c>
      <c r="AM578" s="359" t="str">
        <f t="shared" si="128"/>
        <v/>
      </c>
      <c r="AN578" s="262">
        <f t="shared" si="131"/>
        <v>0</v>
      </c>
      <c r="AO578" s="262" t="str">
        <f>IFERROR(HLOOKUP(AN578,'Ref Lists'!Q$1:AL$2,2,FALSE),'Ref Lists'!$AK$2)</f>
        <v>Savings21</v>
      </c>
      <c r="AP578" s="38"/>
      <c r="AQ578" s="38">
        <f t="shared" si="134"/>
        <v>0</v>
      </c>
      <c r="AR578" s="38"/>
      <c r="AS578" s="38"/>
      <c r="AT578" s="38"/>
      <c r="AU578" s="38"/>
      <c r="AV578" s="38"/>
      <c r="AW578" s="38"/>
      <c r="AX578" s="38"/>
      <c r="AY578" s="38"/>
      <c r="AZ578" s="38"/>
      <c r="BA578" s="38"/>
      <c r="BB578" s="38"/>
      <c r="BC578" s="38"/>
      <c r="BD578" s="38"/>
      <c r="BE578" s="38"/>
      <c r="BF578" s="38"/>
      <c r="BG578" s="38"/>
      <c r="BH578" s="38"/>
      <c r="BI578" s="38"/>
      <c r="BJ578" s="38"/>
      <c r="BK578" s="38"/>
      <c r="BL578" s="38"/>
      <c r="BM578" s="38"/>
      <c r="BN578" s="38"/>
      <c r="BO578" s="38"/>
      <c r="BP578" s="38"/>
      <c r="BQ578" s="38"/>
      <c r="BR578" s="38"/>
      <c r="BS578" s="38"/>
      <c r="BT578" s="38"/>
      <c r="BU578" s="38"/>
      <c r="BV578" s="38"/>
      <c r="BW578" s="38"/>
      <c r="BX578" s="38"/>
      <c r="BY578" s="38"/>
      <c r="BZ578" s="38"/>
      <c r="CA578" s="38"/>
      <c r="CB578" s="38"/>
      <c r="CC578" s="38"/>
      <c r="CD578" s="38"/>
      <c r="CE578" s="38"/>
      <c r="CF578" s="38"/>
      <c r="CG578" s="38"/>
      <c r="CH578" s="38"/>
      <c r="CI578" s="38"/>
      <c r="CJ578" s="38"/>
      <c r="CK578" s="38"/>
      <c r="CL578" s="38"/>
      <c r="CM578" s="38"/>
      <c r="CN578" s="38"/>
      <c r="CO578" s="38"/>
      <c r="CP578" s="38"/>
      <c r="CQ578" s="38"/>
      <c r="CR578" s="38"/>
      <c r="CS578" s="38"/>
      <c r="CT578" s="38"/>
      <c r="CU578" s="38"/>
      <c r="CV578" s="38"/>
      <c r="CW578" s="38"/>
      <c r="CX578" s="38"/>
      <c r="CY578" s="38"/>
      <c r="CZ578" s="38"/>
    </row>
    <row r="579" spans="1:104" s="40" customFormat="1" ht="20.149999999999999" customHeight="1">
      <c r="A579" s="358">
        <f t="shared" si="129"/>
        <v>578</v>
      </c>
      <c r="B579" s="359" t="str">
        <f>'Front Sheet and Checklist'!$C$5</f>
        <v>Swansea Bay UHB</v>
      </c>
      <c r="C579" s="17"/>
      <c r="D579" s="17"/>
      <c r="E579" s="17"/>
      <c r="F579" s="17"/>
      <c r="G579" s="17"/>
      <c r="H579" s="17"/>
      <c r="I579" s="361">
        <f t="shared" si="133"/>
        <v>0</v>
      </c>
      <c r="J579" s="17"/>
      <c r="K579" s="18"/>
      <c r="L579" s="18"/>
      <c r="M579" s="17"/>
      <c r="N579" s="17"/>
      <c r="O579" s="17"/>
      <c r="P579" s="17"/>
      <c r="Q579" s="169"/>
      <c r="R579" s="24"/>
      <c r="S579" s="24"/>
      <c r="T579" s="24"/>
      <c r="U579" s="25"/>
      <c r="V579" s="25"/>
      <c r="W579" s="25"/>
      <c r="X579" s="24"/>
      <c r="Y579" s="24"/>
      <c r="Z579" s="24"/>
      <c r="AA579" s="24"/>
      <c r="AB579" s="24"/>
      <c r="AC579" s="24"/>
      <c r="AD579" s="361">
        <f t="shared" si="132"/>
        <v>0</v>
      </c>
      <c r="AE579" s="359" t="str">
        <f t="shared" si="135"/>
        <v/>
      </c>
      <c r="AF579" s="359" t="str">
        <f t="shared" si="130"/>
        <v/>
      </c>
      <c r="AG579" s="359" t="str">
        <f t="shared" si="136"/>
        <v/>
      </c>
      <c r="AH579" s="359" t="str">
        <f t="shared" si="137"/>
        <v/>
      </c>
      <c r="AI579" s="359" t="str">
        <f t="shared" si="138"/>
        <v/>
      </c>
      <c r="AJ579" s="359" t="str">
        <f t="shared" si="139"/>
        <v/>
      </c>
      <c r="AK579" s="359" t="str">
        <f t="shared" ref="AK579:AK642" si="141">IF(OR(K579="",K579="N/a"),"",IF(OR(K579&lt;DATEVALUE("01/04/24"),K579&gt;DATEVALUE("31/03/25")),"ERROR",""))</f>
        <v/>
      </c>
      <c r="AL579" s="359" t="str">
        <f t="shared" si="140"/>
        <v/>
      </c>
      <c r="AM579" s="359" t="str">
        <f t="shared" ref="AM579:AM642" si="142">IF(COUNTA(T579:AC579)&lt;&gt;COUNT(T579:AC579),"ERROR","")</f>
        <v/>
      </c>
      <c r="AN579" s="262">
        <f t="shared" si="131"/>
        <v>0</v>
      </c>
      <c r="AO579" s="262" t="str">
        <f>IFERROR(HLOOKUP(AN579,'Ref Lists'!Q$1:AL$2,2,FALSE),'Ref Lists'!$AK$2)</f>
        <v>Savings21</v>
      </c>
      <c r="AP579" s="38"/>
      <c r="AQ579" s="38">
        <f t="shared" si="134"/>
        <v>0</v>
      </c>
      <c r="AR579" s="38"/>
      <c r="AS579" s="38"/>
      <c r="AT579" s="38"/>
      <c r="AU579" s="38"/>
      <c r="AV579" s="38"/>
      <c r="AW579" s="38"/>
      <c r="AX579" s="38"/>
      <c r="AY579" s="38"/>
      <c r="AZ579" s="38"/>
      <c r="BA579" s="38"/>
      <c r="BB579" s="38"/>
      <c r="BC579" s="38"/>
      <c r="BD579" s="38"/>
      <c r="BE579" s="38"/>
      <c r="BF579" s="38"/>
      <c r="BG579" s="38"/>
      <c r="BH579" s="38"/>
      <c r="BI579" s="38"/>
      <c r="BJ579" s="38"/>
      <c r="BK579" s="38"/>
      <c r="BL579" s="38"/>
      <c r="BM579" s="38"/>
      <c r="BN579" s="38"/>
      <c r="BO579" s="38"/>
      <c r="BP579" s="38"/>
      <c r="BQ579" s="38"/>
      <c r="BR579" s="38"/>
      <c r="BS579" s="38"/>
      <c r="BT579" s="38"/>
      <c r="BU579" s="38"/>
      <c r="BV579" s="38"/>
      <c r="BW579" s="38"/>
      <c r="BX579" s="38"/>
      <c r="BY579" s="38"/>
      <c r="BZ579" s="38"/>
      <c r="CA579" s="38"/>
      <c r="CB579" s="38"/>
      <c r="CC579" s="38"/>
      <c r="CD579" s="38"/>
      <c r="CE579" s="38"/>
      <c r="CF579" s="38"/>
      <c r="CG579" s="38"/>
      <c r="CH579" s="38"/>
      <c r="CI579" s="38"/>
      <c r="CJ579" s="38"/>
      <c r="CK579" s="38"/>
      <c r="CL579" s="38"/>
      <c r="CM579" s="38"/>
      <c r="CN579" s="38"/>
      <c r="CO579" s="38"/>
      <c r="CP579" s="38"/>
      <c r="CQ579" s="38"/>
      <c r="CR579" s="38"/>
      <c r="CS579" s="38"/>
      <c r="CT579" s="38"/>
      <c r="CU579" s="38"/>
      <c r="CV579" s="38"/>
      <c r="CW579" s="38"/>
      <c r="CX579" s="38"/>
      <c r="CY579" s="38"/>
      <c r="CZ579" s="38"/>
    </row>
    <row r="580" spans="1:104" s="40" customFormat="1" ht="20.149999999999999" customHeight="1">
      <c r="A580" s="358">
        <f t="shared" ref="A580:A643" si="143">+A579+1</f>
        <v>579</v>
      </c>
      <c r="B580" s="359" t="str">
        <f>'Front Sheet and Checklist'!$C$5</f>
        <v>Swansea Bay UHB</v>
      </c>
      <c r="C580" s="17"/>
      <c r="D580" s="17"/>
      <c r="E580" s="17"/>
      <c r="F580" s="17"/>
      <c r="G580" s="17"/>
      <c r="H580" s="17"/>
      <c r="I580" s="361">
        <f t="shared" si="133"/>
        <v>0</v>
      </c>
      <c r="J580" s="17"/>
      <c r="K580" s="18"/>
      <c r="L580" s="18"/>
      <c r="M580" s="17"/>
      <c r="N580" s="17"/>
      <c r="O580" s="17"/>
      <c r="P580" s="17"/>
      <c r="Q580" s="169"/>
      <c r="R580" s="24"/>
      <c r="S580" s="24"/>
      <c r="T580" s="24"/>
      <c r="U580" s="25"/>
      <c r="V580" s="25"/>
      <c r="W580" s="25"/>
      <c r="X580" s="24"/>
      <c r="Y580" s="24"/>
      <c r="Z580" s="24"/>
      <c r="AA580" s="24"/>
      <c r="AB580" s="24"/>
      <c r="AC580" s="24"/>
      <c r="AD580" s="361">
        <f t="shared" si="132"/>
        <v>0</v>
      </c>
      <c r="AE580" s="359" t="str">
        <f t="shared" si="135"/>
        <v/>
      </c>
      <c r="AF580" s="359" t="str">
        <f t="shared" ref="AF580:AF643" si="144">IF(COUNTIF($F$2:$F$1001,F580)&gt;1,"ERROR","")</f>
        <v/>
      </c>
      <c r="AG580" s="359" t="str">
        <f t="shared" si="136"/>
        <v/>
      </c>
      <c r="AH580" s="359" t="str">
        <f t="shared" si="137"/>
        <v/>
      </c>
      <c r="AI580" s="359" t="str">
        <f t="shared" si="138"/>
        <v/>
      </c>
      <c r="AJ580" s="359" t="str">
        <f t="shared" si="139"/>
        <v/>
      </c>
      <c r="AK580" s="359" t="str">
        <f t="shared" si="141"/>
        <v/>
      </c>
      <c r="AL580" s="359" t="str">
        <f t="shared" si="140"/>
        <v/>
      </c>
      <c r="AM580" s="359" t="str">
        <f t="shared" si="142"/>
        <v/>
      </c>
      <c r="AN580" s="262">
        <f t="shared" si="131"/>
        <v>0</v>
      </c>
      <c r="AO580" s="262" t="str">
        <f>IFERROR(HLOOKUP(AN580,'Ref Lists'!Q$1:AL$2,2,FALSE),'Ref Lists'!$AK$2)</f>
        <v>Savings21</v>
      </c>
      <c r="AP580" s="38"/>
      <c r="AQ580" s="38">
        <f t="shared" si="134"/>
        <v>0</v>
      </c>
      <c r="AR580" s="38"/>
      <c r="AS580" s="38"/>
      <c r="AT580" s="38"/>
      <c r="AU580" s="38"/>
      <c r="AV580" s="38"/>
      <c r="AW580" s="38"/>
      <c r="AX580" s="38"/>
      <c r="AY580" s="38"/>
      <c r="AZ580" s="38"/>
      <c r="BA580" s="38"/>
      <c r="BB580" s="38"/>
      <c r="BC580" s="38"/>
      <c r="BD580" s="38"/>
      <c r="BE580" s="38"/>
      <c r="BF580" s="38"/>
      <c r="BG580" s="38"/>
      <c r="BH580" s="38"/>
      <c r="BI580" s="38"/>
      <c r="BJ580" s="38"/>
      <c r="BK580" s="38"/>
      <c r="BL580" s="38"/>
      <c r="BM580" s="38"/>
      <c r="BN580" s="38"/>
      <c r="BO580" s="38"/>
      <c r="BP580" s="38"/>
      <c r="BQ580" s="38"/>
      <c r="BR580" s="38"/>
      <c r="BS580" s="38"/>
      <c r="BT580" s="38"/>
      <c r="BU580" s="38"/>
      <c r="BV580" s="38"/>
      <c r="BW580" s="38"/>
      <c r="BX580" s="38"/>
      <c r="BY580" s="38"/>
      <c r="BZ580" s="38"/>
      <c r="CA580" s="38"/>
      <c r="CB580" s="38"/>
      <c r="CC580" s="38"/>
      <c r="CD580" s="38"/>
      <c r="CE580" s="38"/>
      <c r="CF580" s="38"/>
      <c r="CG580" s="38"/>
      <c r="CH580" s="38"/>
      <c r="CI580" s="38"/>
      <c r="CJ580" s="38"/>
      <c r="CK580" s="38"/>
      <c r="CL580" s="38"/>
      <c r="CM580" s="38"/>
      <c r="CN580" s="38"/>
      <c r="CO580" s="38"/>
      <c r="CP580" s="38"/>
      <c r="CQ580" s="38"/>
      <c r="CR580" s="38"/>
      <c r="CS580" s="38"/>
      <c r="CT580" s="38"/>
      <c r="CU580" s="38"/>
      <c r="CV580" s="38"/>
      <c r="CW580" s="38"/>
      <c r="CX580" s="38"/>
      <c r="CY580" s="38"/>
      <c r="CZ580" s="38"/>
    </row>
    <row r="581" spans="1:104" s="40" customFormat="1" ht="20.149999999999999" customHeight="1">
      <c r="A581" s="358">
        <f t="shared" si="143"/>
        <v>580</v>
      </c>
      <c r="B581" s="359" t="str">
        <f>'Front Sheet and Checklist'!$C$5</f>
        <v>Swansea Bay UHB</v>
      </c>
      <c r="C581" s="17"/>
      <c r="D581" s="17"/>
      <c r="E581" s="17"/>
      <c r="F581" s="17"/>
      <c r="G581" s="17"/>
      <c r="H581" s="17"/>
      <c r="I581" s="361">
        <f t="shared" si="133"/>
        <v>0</v>
      </c>
      <c r="J581" s="17"/>
      <c r="K581" s="18"/>
      <c r="L581" s="18"/>
      <c r="M581" s="17"/>
      <c r="N581" s="17"/>
      <c r="O581" s="17"/>
      <c r="P581" s="17"/>
      <c r="Q581" s="169"/>
      <c r="R581" s="24"/>
      <c r="S581" s="24"/>
      <c r="T581" s="24"/>
      <c r="U581" s="25"/>
      <c r="V581" s="25"/>
      <c r="W581" s="25"/>
      <c r="X581" s="24"/>
      <c r="Y581" s="24"/>
      <c r="Z581" s="24"/>
      <c r="AA581" s="24"/>
      <c r="AB581" s="24"/>
      <c r="AC581" s="24"/>
      <c r="AD581" s="361">
        <f t="shared" si="132"/>
        <v>0</v>
      </c>
      <c r="AE581" s="359" t="str">
        <f t="shared" si="135"/>
        <v/>
      </c>
      <c r="AF581" s="359" t="str">
        <f t="shared" si="144"/>
        <v/>
      </c>
      <c r="AG581" s="359" t="str">
        <f t="shared" si="136"/>
        <v/>
      </c>
      <c r="AH581" s="359" t="str">
        <f t="shared" si="137"/>
        <v/>
      </c>
      <c r="AI581" s="359" t="str">
        <f t="shared" si="138"/>
        <v/>
      </c>
      <c r="AJ581" s="359" t="str">
        <f t="shared" si="139"/>
        <v/>
      </c>
      <c r="AK581" s="359" t="str">
        <f t="shared" si="141"/>
        <v/>
      </c>
      <c r="AL581" s="359" t="str">
        <f t="shared" si="140"/>
        <v/>
      </c>
      <c r="AM581" s="359" t="str">
        <f t="shared" si="142"/>
        <v/>
      </c>
      <c r="AN581" s="262">
        <f t="shared" ref="AN581:AN644" si="145">IF(P581="1) Workforce",_xlfn.CONCAT(P581,O581),IF(P581="5) Pathway",_xlfn.CONCAT(P581,N581),P581))</f>
        <v>0</v>
      </c>
      <c r="AO581" s="262" t="str">
        <f>IFERROR(HLOOKUP(AN581,'Ref Lists'!Q$1:AL$2,2,FALSE),'Ref Lists'!$AK$2)</f>
        <v>Savings21</v>
      </c>
      <c r="AP581" s="38"/>
      <c r="AQ581" s="38">
        <f t="shared" si="134"/>
        <v>0</v>
      </c>
      <c r="AR581" s="38"/>
      <c r="AS581" s="38"/>
      <c r="AT581" s="38"/>
      <c r="AU581" s="38"/>
      <c r="AV581" s="38"/>
      <c r="AW581" s="38"/>
      <c r="AX581" s="38"/>
      <c r="AY581" s="38"/>
      <c r="AZ581" s="38"/>
      <c r="BA581" s="38"/>
      <c r="BB581" s="38"/>
      <c r="BC581" s="38"/>
      <c r="BD581" s="38"/>
      <c r="BE581" s="38"/>
      <c r="BF581" s="38"/>
      <c r="BG581" s="38"/>
      <c r="BH581" s="38"/>
      <c r="BI581" s="38"/>
      <c r="BJ581" s="38"/>
      <c r="BK581" s="38"/>
      <c r="BL581" s="38"/>
      <c r="BM581" s="38"/>
      <c r="BN581" s="38"/>
      <c r="BO581" s="38"/>
      <c r="BP581" s="38"/>
      <c r="BQ581" s="38"/>
      <c r="BR581" s="38"/>
      <c r="BS581" s="38"/>
      <c r="BT581" s="38"/>
      <c r="BU581" s="38"/>
      <c r="BV581" s="38"/>
      <c r="BW581" s="38"/>
      <c r="BX581" s="38"/>
      <c r="BY581" s="38"/>
      <c r="BZ581" s="38"/>
      <c r="CA581" s="38"/>
      <c r="CB581" s="38"/>
      <c r="CC581" s="38"/>
      <c r="CD581" s="38"/>
      <c r="CE581" s="38"/>
      <c r="CF581" s="38"/>
      <c r="CG581" s="38"/>
      <c r="CH581" s="38"/>
      <c r="CI581" s="38"/>
      <c r="CJ581" s="38"/>
      <c r="CK581" s="38"/>
      <c r="CL581" s="38"/>
      <c r="CM581" s="38"/>
      <c r="CN581" s="38"/>
      <c r="CO581" s="38"/>
      <c r="CP581" s="38"/>
      <c r="CQ581" s="38"/>
      <c r="CR581" s="38"/>
      <c r="CS581" s="38"/>
      <c r="CT581" s="38"/>
      <c r="CU581" s="38"/>
      <c r="CV581" s="38"/>
      <c r="CW581" s="38"/>
      <c r="CX581" s="38"/>
      <c r="CY581" s="38"/>
      <c r="CZ581" s="38"/>
    </row>
    <row r="582" spans="1:104" s="40" customFormat="1" ht="20.149999999999999" customHeight="1">
      <c r="A582" s="358">
        <f t="shared" si="143"/>
        <v>581</v>
      </c>
      <c r="B582" s="359" t="str">
        <f>'Front Sheet and Checklist'!$C$5</f>
        <v>Swansea Bay UHB</v>
      </c>
      <c r="C582" s="17"/>
      <c r="D582" s="17"/>
      <c r="E582" s="17"/>
      <c r="F582" s="17"/>
      <c r="G582" s="17"/>
      <c r="H582" s="17"/>
      <c r="I582" s="361">
        <f t="shared" si="133"/>
        <v>0</v>
      </c>
      <c r="J582" s="17"/>
      <c r="K582" s="18"/>
      <c r="L582" s="18"/>
      <c r="M582" s="17"/>
      <c r="N582" s="17"/>
      <c r="O582" s="17"/>
      <c r="P582" s="17"/>
      <c r="Q582" s="169"/>
      <c r="R582" s="24"/>
      <c r="S582" s="24"/>
      <c r="T582" s="24"/>
      <c r="U582" s="25"/>
      <c r="V582" s="25"/>
      <c r="W582" s="25"/>
      <c r="X582" s="24"/>
      <c r="Y582" s="24"/>
      <c r="Z582" s="24"/>
      <c r="AA582" s="24"/>
      <c r="AB582" s="24"/>
      <c r="AC582" s="24"/>
      <c r="AD582" s="361">
        <f t="shared" si="132"/>
        <v>0</v>
      </c>
      <c r="AE582" s="359" t="str">
        <f t="shared" si="135"/>
        <v/>
      </c>
      <c r="AF582" s="359" t="str">
        <f t="shared" si="144"/>
        <v/>
      </c>
      <c r="AG582" s="359" t="str">
        <f t="shared" si="136"/>
        <v/>
      </c>
      <c r="AH582" s="359" t="str">
        <f t="shared" si="137"/>
        <v/>
      </c>
      <c r="AI582" s="359" t="str">
        <f t="shared" si="138"/>
        <v/>
      </c>
      <c r="AJ582" s="359" t="str">
        <f t="shared" si="139"/>
        <v/>
      </c>
      <c r="AK582" s="359" t="str">
        <f t="shared" si="141"/>
        <v/>
      </c>
      <c r="AL582" s="359" t="str">
        <f t="shared" si="140"/>
        <v/>
      </c>
      <c r="AM582" s="359" t="str">
        <f t="shared" si="142"/>
        <v/>
      </c>
      <c r="AN582" s="262">
        <f t="shared" si="145"/>
        <v>0</v>
      </c>
      <c r="AO582" s="262" t="str">
        <f>IFERROR(HLOOKUP(AN582,'Ref Lists'!Q$1:AL$2,2,FALSE),'Ref Lists'!$AK$2)</f>
        <v>Savings21</v>
      </c>
      <c r="AP582" s="38"/>
      <c r="AQ582" s="38">
        <f t="shared" si="134"/>
        <v>0</v>
      </c>
      <c r="AR582" s="38"/>
      <c r="AS582" s="38"/>
      <c r="AT582" s="38"/>
      <c r="AU582" s="38"/>
      <c r="AV582" s="38"/>
      <c r="AW582" s="38"/>
      <c r="AX582" s="38"/>
      <c r="AY582" s="38"/>
      <c r="AZ582" s="38"/>
      <c r="BA582" s="38"/>
      <c r="BB582" s="38"/>
      <c r="BC582" s="38"/>
      <c r="BD582" s="38"/>
      <c r="BE582" s="38"/>
      <c r="BF582" s="38"/>
      <c r="BG582" s="38"/>
      <c r="BH582" s="38"/>
      <c r="BI582" s="38"/>
      <c r="BJ582" s="38"/>
      <c r="BK582" s="38"/>
      <c r="BL582" s="38"/>
      <c r="BM582" s="38"/>
      <c r="BN582" s="38"/>
      <c r="BO582" s="38"/>
      <c r="BP582" s="38"/>
      <c r="BQ582" s="38"/>
      <c r="BR582" s="38"/>
      <c r="BS582" s="38"/>
      <c r="BT582" s="38"/>
      <c r="BU582" s="38"/>
      <c r="BV582" s="38"/>
      <c r="BW582" s="38"/>
      <c r="BX582" s="38"/>
      <c r="BY582" s="38"/>
      <c r="BZ582" s="38"/>
      <c r="CA582" s="38"/>
      <c r="CB582" s="38"/>
      <c r="CC582" s="38"/>
      <c r="CD582" s="38"/>
      <c r="CE582" s="38"/>
      <c r="CF582" s="38"/>
      <c r="CG582" s="38"/>
      <c r="CH582" s="38"/>
      <c r="CI582" s="38"/>
      <c r="CJ582" s="38"/>
      <c r="CK582" s="38"/>
      <c r="CL582" s="38"/>
      <c r="CM582" s="38"/>
      <c r="CN582" s="38"/>
      <c r="CO582" s="38"/>
      <c r="CP582" s="38"/>
      <c r="CQ582" s="38"/>
      <c r="CR582" s="38"/>
      <c r="CS582" s="38"/>
      <c r="CT582" s="38"/>
      <c r="CU582" s="38"/>
      <c r="CV582" s="38"/>
      <c r="CW582" s="38"/>
      <c r="CX582" s="38"/>
      <c r="CY582" s="38"/>
      <c r="CZ582" s="38"/>
    </row>
    <row r="583" spans="1:104" s="40" customFormat="1" ht="20.149999999999999" customHeight="1">
      <c r="A583" s="358">
        <f t="shared" si="143"/>
        <v>582</v>
      </c>
      <c r="B583" s="359" t="str">
        <f>'Front Sheet and Checklist'!$C$5</f>
        <v>Swansea Bay UHB</v>
      </c>
      <c r="C583" s="17"/>
      <c r="D583" s="17"/>
      <c r="E583" s="17"/>
      <c r="F583" s="17"/>
      <c r="G583" s="17"/>
      <c r="H583" s="17"/>
      <c r="I583" s="361">
        <f t="shared" si="133"/>
        <v>0</v>
      </c>
      <c r="J583" s="17"/>
      <c r="K583" s="18"/>
      <c r="L583" s="18"/>
      <c r="M583" s="17"/>
      <c r="N583" s="17"/>
      <c r="O583" s="17"/>
      <c r="P583" s="17"/>
      <c r="Q583" s="169"/>
      <c r="R583" s="24"/>
      <c r="S583" s="24"/>
      <c r="T583" s="24"/>
      <c r="U583" s="25"/>
      <c r="V583" s="25"/>
      <c r="W583" s="25"/>
      <c r="X583" s="24"/>
      <c r="Y583" s="24"/>
      <c r="Z583" s="24"/>
      <c r="AA583" s="24"/>
      <c r="AB583" s="24"/>
      <c r="AC583" s="24"/>
      <c r="AD583" s="361">
        <f t="shared" si="132"/>
        <v>0</v>
      </c>
      <c r="AE583" s="359" t="str">
        <f t="shared" si="135"/>
        <v/>
      </c>
      <c r="AF583" s="359" t="str">
        <f t="shared" si="144"/>
        <v/>
      </c>
      <c r="AG583" s="359" t="str">
        <f t="shared" si="136"/>
        <v/>
      </c>
      <c r="AH583" s="359" t="str">
        <f t="shared" si="137"/>
        <v/>
      </c>
      <c r="AI583" s="359" t="str">
        <f t="shared" si="138"/>
        <v/>
      </c>
      <c r="AJ583" s="359" t="str">
        <f t="shared" si="139"/>
        <v/>
      </c>
      <c r="AK583" s="359" t="str">
        <f t="shared" si="141"/>
        <v/>
      </c>
      <c r="AL583" s="359" t="str">
        <f t="shared" si="140"/>
        <v/>
      </c>
      <c r="AM583" s="359" t="str">
        <f t="shared" si="142"/>
        <v/>
      </c>
      <c r="AN583" s="262">
        <f t="shared" si="145"/>
        <v>0</v>
      </c>
      <c r="AO583" s="262" t="str">
        <f>IFERROR(HLOOKUP(AN583,'Ref Lists'!Q$1:AL$2,2,FALSE),'Ref Lists'!$AK$2)</f>
        <v>Savings21</v>
      </c>
      <c r="AP583" s="38"/>
      <c r="AQ583" s="38">
        <f t="shared" si="134"/>
        <v>0</v>
      </c>
      <c r="AR583" s="38"/>
      <c r="AS583" s="38"/>
      <c r="AT583" s="38"/>
      <c r="AU583" s="38"/>
      <c r="AV583" s="38"/>
      <c r="AW583" s="38"/>
      <c r="AX583" s="38"/>
      <c r="AY583" s="38"/>
      <c r="AZ583" s="38"/>
      <c r="BA583" s="38"/>
      <c r="BB583" s="38"/>
      <c r="BC583" s="38"/>
      <c r="BD583" s="38"/>
      <c r="BE583" s="38"/>
      <c r="BF583" s="38"/>
      <c r="BG583" s="38"/>
      <c r="BH583" s="38"/>
      <c r="BI583" s="38"/>
      <c r="BJ583" s="38"/>
      <c r="BK583" s="38"/>
      <c r="BL583" s="38"/>
      <c r="BM583" s="38"/>
      <c r="BN583" s="38"/>
      <c r="BO583" s="38"/>
      <c r="BP583" s="38"/>
      <c r="BQ583" s="38"/>
      <c r="BR583" s="38"/>
      <c r="BS583" s="38"/>
      <c r="BT583" s="38"/>
      <c r="BU583" s="38"/>
      <c r="BV583" s="38"/>
      <c r="BW583" s="38"/>
      <c r="BX583" s="38"/>
      <c r="BY583" s="38"/>
      <c r="BZ583" s="38"/>
      <c r="CA583" s="38"/>
      <c r="CB583" s="38"/>
      <c r="CC583" s="38"/>
      <c r="CD583" s="38"/>
      <c r="CE583" s="38"/>
      <c r="CF583" s="38"/>
      <c r="CG583" s="38"/>
      <c r="CH583" s="38"/>
      <c r="CI583" s="38"/>
      <c r="CJ583" s="38"/>
      <c r="CK583" s="38"/>
      <c r="CL583" s="38"/>
      <c r="CM583" s="38"/>
      <c r="CN583" s="38"/>
      <c r="CO583" s="38"/>
      <c r="CP583" s="38"/>
      <c r="CQ583" s="38"/>
      <c r="CR583" s="38"/>
      <c r="CS583" s="38"/>
      <c r="CT583" s="38"/>
      <c r="CU583" s="38"/>
      <c r="CV583" s="38"/>
      <c r="CW583" s="38"/>
      <c r="CX583" s="38"/>
      <c r="CY583" s="38"/>
      <c r="CZ583" s="38"/>
    </row>
    <row r="584" spans="1:104" s="40" customFormat="1" ht="20.149999999999999" customHeight="1">
      <c r="A584" s="358">
        <f t="shared" si="143"/>
        <v>583</v>
      </c>
      <c r="B584" s="359" t="str">
        <f>'Front Sheet and Checklist'!$C$5</f>
        <v>Swansea Bay UHB</v>
      </c>
      <c r="C584" s="17"/>
      <c r="D584" s="17"/>
      <c r="E584" s="17"/>
      <c r="F584" s="17"/>
      <c r="G584" s="17"/>
      <c r="H584" s="17"/>
      <c r="I584" s="361">
        <f t="shared" si="133"/>
        <v>0</v>
      </c>
      <c r="J584" s="17"/>
      <c r="K584" s="18"/>
      <c r="L584" s="18"/>
      <c r="M584" s="17"/>
      <c r="N584" s="17"/>
      <c r="O584" s="17"/>
      <c r="P584" s="17"/>
      <c r="Q584" s="169"/>
      <c r="R584" s="24"/>
      <c r="S584" s="24"/>
      <c r="T584" s="24"/>
      <c r="U584" s="25"/>
      <c r="V584" s="25"/>
      <c r="W584" s="25"/>
      <c r="X584" s="24"/>
      <c r="Y584" s="24"/>
      <c r="Z584" s="24"/>
      <c r="AA584" s="24"/>
      <c r="AB584" s="24"/>
      <c r="AC584" s="24"/>
      <c r="AD584" s="361">
        <f t="shared" si="132"/>
        <v>0</v>
      </c>
      <c r="AE584" s="359" t="str">
        <f t="shared" si="135"/>
        <v/>
      </c>
      <c r="AF584" s="359" t="str">
        <f t="shared" si="144"/>
        <v/>
      </c>
      <c r="AG584" s="359" t="str">
        <f t="shared" si="136"/>
        <v/>
      </c>
      <c r="AH584" s="359" t="str">
        <f t="shared" si="137"/>
        <v/>
      </c>
      <c r="AI584" s="359" t="str">
        <f t="shared" si="138"/>
        <v/>
      </c>
      <c r="AJ584" s="359" t="str">
        <f t="shared" si="139"/>
        <v/>
      </c>
      <c r="AK584" s="359" t="str">
        <f t="shared" si="141"/>
        <v/>
      </c>
      <c r="AL584" s="359" t="str">
        <f t="shared" si="140"/>
        <v/>
      </c>
      <c r="AM584" s="359" t="str">
        <f t="shared" si="142"/>
        <v/>
      </c>
      <c r="AN584" s="262">
        <f t="shared" si="145"/>
        <v>0</v>
      </c>
      <c r="AO584" s="262" t="str">
        <f>IFERROR(HLOOKUP(AN584,'Ref Lists'!Q$1:AL$2,2,FALSE),'Ref Lists'!$AK$2)</f>
        <v>Savings21</v>
      </c>
      <c r="AP584" s="38"/>
      <c r="AQ584" s="38">
        <f t="shared" si="134"/>
        <v>0</v>
      </c>
      <c r="AR584" s="38"/>
      <c r="AS584" s="38"/>
      <c r="AT584" s="38"/>
      <c r="AU584" s="38"/>
      <c r="AV584" s="38"/>
      <c r="AW584" s="38"/>
      <c r="AX584" s="38"/>
      <c r="AY584" s="38"/>
      <c r="AZ584" s="38"/>
      <c r="BA584" s="38"/>
      <c r="BB584" s="38"/>
      <c r="BC584" s="38"/>
      <c r="BD584" s="38"/>
      <c r="BE584" s="38"/>
      <c r="BF584" s="38"/>
      <c r="BG584" s="38"/>
      <c r="BH584" s="38"/>
      <c r="BI584" s="38"/>
      <c r="BJ584" s="38"/>
      <c r="BK584" s="38"/>
      <c r="BL584" s="38"/>
      <c r="BM584" s="38"/>
      <c r="BN584" s="38"/>
      <c r="BO584" s="38"/>
      <c r="BP584" s="38"/>
      <c r="BQ584" s="38"/>
      <c r="BR584" s="38"/>
      <c r="BS584" s="38"/>
      <c r="BT584" s="38"/>
      <c r="BU584" s="38"/>
      <c r="BV584" s="38"/>
      <c r="BW584" s="38"/>
      <c r="BX584" s="38"/>
      <c r="BY584" s="38"/>
      <c r="BZ584" s="38"/>
      <c r="CA584" s="38"/>
      <c r="CB584" s="38"/>
      <c r="CC584" s="38"/>
      <c r="CD584" s="38"/>
      <c r="CE584" s="38"/>
      <c r="CF584" s="38"/>
      <c r="CG584" s="38"/>
      <c r="CH584" s="38"/>
      <c r="CI584" s="38"/>
      <c r="CJ584" s="38"/>
      <c r="CK584" s="38"/>
      <c r="CL584" s="38"/>
      <c r="CM584" s="38"/>
      <c r="CN584" s="38"/>
      <c r="CO584" s="38"/>
      <c r="CP584" s="38"/>
      <c r="CQ584" s="38"/>
      <c r="CR584" s="38"/>
      <c r="CS584" s="38"/>
      <c r="CT584" s="38"/>
      <c r="CU584" s="38"/>
      <c r="CV584" s="38"/>
      <c r="CW584" s="38"/>
      <c r="CX584" s="38"/>
      <c r="CY584" s="38"/>
      <c r="CZ584" s="38"/>
    </row>
    <row r="585" spans="1:104" s="40" customFormat="1" ht="20.149999999999999" customHeight="1">
      <c r="A585" s="358">
        <f t="shared" si="143"/>
        <v>584</v>
      </c>
      <c r="B585" s="359" t="str">
        <f>'Front Sheet and Checklist'!$C$5</f>
        <v>Swansea Bay UHB</v>
      </c>
      <c r="C585" s="17"/>
      <c r="D585" s="17"/>
      <c r="E585" s="17"/>
      <c r="F585" s="17"/>
      <c r="G585" s="17"/>
      <c r="H585" s="17"/>
      <c r="I585" s="361">
        <f t="shared" si="133"/>
        <v>0</v>
      </c>
      <c r="J585" s="17"/>
      <c r="K585" s="18"/>
      <c r="L585" s="18"/>
      <c r="M585" s="17"/>
      <c r="N585" s="17"/>
      <c r="O585" s="17"/>
      <c r="P585" s="17"/>
      <c r="Q585" s="169"/>
      <c r="R585" s="24"/>
      <c r="S585" s="24"/>
      <c r="T585" s="24"/>
      <c r="U585" s="25"/>
      <c r="V585" s="25"/>
      <c r="W585" s="25"/>
      <c r="X585" s="24"/>
      <c r="Y585" s="24"/>
      <c r="Z585" s="24"/>
      <c r="AA585" s="24"/>
      <c r="AB585" s="24"/>
      <c r="AC585" s="24"/>
      <c r="AD585" s="361">
        <f t="shared" si="132"/>
        <v>0</v>
      </c>
      <c r="AE585" s="359" t="str">
        <f t="shared" si="135"/>
        <v/>
      </c>
      <c r="AF585" s="359" t="str">
        <f t="shared" si="144"/>
        <v/>
      </c>
      <c r="AG585" s="359" t="str">
        <f t="shared" si="136"/>
        <v/>
      </c>
      <c r="AH585" s="359" t="str">
        <f t="shared" si="137"/>
        <v/>
      </c>
      <c r="AI585" s="359" t="str">
        <f t="shared" si="138"/>
        <v/>
      </c>
      <c r="AJ585" s="359" t="str">
        <f t="shared" si="139"/>
        <v/>
      </c>
      <c r="AK585" s="359" t="str">
        <f t="shared" si="141"/>
        <v/>
      </c>
      <c r="AL585" s="359" t="str">
        <f t="shared" si="140"/>
        <v/>
      </c>
      <c r="AM585" s="359" t="str">
        <f t="shared" si="142"/>
        <v/>
      </c>
      <c r="AN585" s="262">
        <f t="shared" si="145"/>
        <v>0</v>
      </c>
      <c r="AO585" s="262" t="str">
        <f>IFERROR(HLOOKUP(AN585,'Ref Lists'!Q$1:AL$2,2,FALSE),'Ref Lists'!$AK$2)</f>
        <v>Savings21</v>
      </c>
      <c r="AP585" s="38"/>
      <c r="AQ585" s="38">
        <f t="shared" si="134"/>
        <v>0</v>
      </c>
      <c r="AR585" s="38"/>
      <c r="AS585" s="38"/>
      <c r="AT585" s="38"/>
      <c r="AU585" s="38"/>
      <c r="AV585" s="38"/>
      <c r="AW585" s="38"/>
      <c r="AX585" s="38"/>
      <c r="AY585" s="38"/>
      <c r="AZ585" s="38"/>
      <c r="BA585" s="38"/>
      <c r="BB585" s="38"/>
      <c r="BC585" s="38"/>
      <c r="BD585" s="38"/>
      <c r="BE585" s="38"/>
      <c r="BF585" s="38"/>
      <c r="BG585" s="38"/>
      <c r="BH585" s="38"/>
      <c r="BI585" s="38"/>
      <c r="BJ585" s="38"/>
      <c r="BK585" s="38"/>
      <c r="BL585" s="38"/>
      <c r="BM585" s="38"/>
      <c r="BN585" s="38"/>
      <c r="BO585" s="38"/>
      <c r="BP585" s="38"/>
      <c r="BQ585" s="38"/>
      <c r="BR585" s="38"/>
      <c r="BS585" s="38"/>
      <c r="BT585" s="38"/>
      <c r="BU585" s="38"/>
      <c r="BV585" s="38"/>
      <c r="BW585" s="38"/>
      <c r="BX585" s="38"/>
      <c r="BY585" s="38"/>
      <c r="BZ585" s="38"/>
      <c r="CA585" s="38"/>
      <c r="CB585" s="38"/>
      <c r="CC585" s="38"/>
      <c r="CD585" s="38"/>
      <c r="CE585" s="38"/>
      <c r="CF585" s="38"/>
      <c r="CG585" s="38"/>
      <c r="CH585" s="38"/>
      <c r="CI585" s="38"/>
      <c r="CJ585" s="38"/>
      <c r="CK585" s="38"/>
      <c r="CL585" s="38"/>
      <c r="CM585" s="38"/>
      <c r="CN585" s="38"/>
      <c r="CO585" s="38"/>
      <c r="CP585" s="38"/>
      <c r="CQ585" s="38"/>
      <c r="CR585" s="38"/>
      <c r="CS585" s="38"/>
      <c r="CT585" s="38"/>
      <c r="CU585" s="38"/>
      <c r="CV585" s="38"/>
      <c r="CW585" s="38"/>
      <c r="CX585" s="38"/>
      <c r="CY585" s="38"/>
      <c r="CZ585" s="38"/>
    </row>
    <row r="586" spans="1:104" s="40" customFormat="1" ht="20.149999999999999" customHeight="1">
      <c r="A586" s="358">
        <f t="shared" si="143"/>
        <v>585</v>
      </c>
      <c r="B586" s="359" t="str">
        <f>'Front Sheet and Checklist'!$C$5</f>
        <v>Swansea Bay UHB</v>
      </c>
      <c r="C586" s="17"/>
      <c r="D586" s="17"/>
      <c r="E586" s="17"/>
      <c r="F586" s="17"/>
      <c r="G586" s="17"/>
      <c r="H586" s="17"/>
      <c r="I586" s="361">
        <f t="shared" si="133"/>
        <v>0</v>
      </c>
      <c r="J586" s="17"/>
      <c r="K586" s="18"/>
      <c r="L586" s="18"/>
      <c r="M586" s="17"/>
      <c r="N586" s="17"/>
      <c r="O586" s="17"/>
      <c r="P586" s="17"/>
      <c r="Q586" s="169"/>
      <c r="R586" s="24"/>
      <c r="S586" s="24"/>
      <c r="T586" s="24"/>
      <c r="U586" s="25"/>
      <c r="V586" s="25"/>
      <c r="W586" s="25"/>
      <c r="X586" s="24"/>
      <c r="Y586" s="24"/>
      <c r="Z586" s="24"/>
      <c r="AA586" s="24"/>
      <c r="AB586" s="24"/>
      <c r="AC586" s="24"/>
      <c r="AD586" s="361">
        <f t="shared" si="132"/>
        <v>0</v>
      </c>
      <c r="AE586" s="359" t="str">
        <f t="shared" si="135"/>
        <v/>
      </c>
      <c r="AF586" s="359" t="str">
        <f t="shared" si="144"/>
        <v/>
      </c>
      <c r="AG586" s="359" t="str">
        <f t="shared" si="136"/>
        <v/>
      </c>
      <c r="AH586" s="359" t="str">
        <f t="shared" si="137"/>
        <v/>
      </c>
      <c r="AI586" s="359" t="str">
        <f t="shared" si="138"/>
        <v/>
      </c>
      <c r="AJ586" s="359" t="str">
        <f t="shared" si="139"/>
        <v/>
      </c>
      <c r="AK586" s="359" t="str">
        <f t="shared" si="141"/>
        <v/>
      </c>
      <c r="AL586" s="359" t="str">
        <f t="shared" si="140"/>
        <v/>
      </c>
      <c r="AM586" s="359" t="str">
        <f t="shared" si="142"/>
        <v/>
      </c>
      <c r="AN586" s="262">
        <f t="shared" si="145"/>
        <v>0</v>
      </c>
      <c r="AO586" s="262" t="str">
        <f>IFERROR(HLOOKUP(AN586,'Ref Lists'!Q$1:AL$2,2,FALSE),'Ref Lists'!$AK$2)</f>
        <v>Savings21</v>
      </c>
      <c r="AP586" s="38"/>
      <c r="AQ586" s="38">
        <f t="shared" si="134"/>
        <v>0</v>
      </c>
      <c r="AR586" s="38"/>
      <c r="AS586" s="38"/>
      <c r="AT586" s="38"/>
      <c r="AU586" s="38"/>
      <c r="AV586" s="38"/>
      <c r="AW586" s="38"/>
      <c r="AX586" s="38"/>
      <c r="AY586" s="38"/>
      <c r="AZ586" s="38"/>
      <c r="BA586" s="38"/>
      <c r="BB586" s="38"/>
      <c r="BC586" s="38"/>
      <c r="BD586" s="38"/>
      <c r="BE586" s="38"/>
      <c r="BF586" s="38"/>
      <c r="BG586" s="38"/>
      <c r="BH586" s="38"/>
      <c r="BI586" s="38"/>
      <c r="BJ586" s="38"/>
      <c r="BK586" s="38"/>
      <c r="BL586" s="38"/>
      <c r="BM586" s="38"/>
      <c r="BN586" s="38"/>
      <c r="BO586" s="38"/>
      <c r="BP586" s="38"/>
      <c r="BQ586" s="38"/>
      <c r="BR586" s="38"/>
      <c r="BS586" s="38"/>
      <c r="BT586" s="38"/>
      <c r="BU586" s="38"/>
      <c r="BV586" s="38"/>
      <c r="BW586" s="38"/>
      <c r="BX586" s="38"/>
      <c r="BY586" s="38"/>
      <c r="BZ586" s="38"/>
      <c r="CA586" s="38"/>
      <c r="CB586" s="38"/>
      <c r="CC586" s="38"/>
      <c r="CD586" s="38"/>
      <c r="CE586" s="38"/>
      <c r="CF586" s="38"/>
      <c r="CG586" s="38"/>
      <c r="CH586" s="38"/>
      <c r="CI586" s="38"/>
      <c r="CJ586" s="38"/>
      <c r="CK586" s="38"/>
      <c r="CL586" s="38"/>
      <c r="CM586" s="38"/>
      <c r="CN586" s="38"/>
      <c r="CO586" s="38"/>
      <c r="CP586" s="38"/>
      <c r="CQ586" s="38"/>
      <c r="CR586" s="38"/>
      <c r="CS586" s="38"/>
      <c r="CT586" s="38"/>
      <c r="CU586" s="38"/>
      <c r="CV586" s="38"/>
      <c r="CW586" s="38"/>
      <c r="CX586" s="38"/>
      <c r="CY586" s="38"/>
      <c r="CZ586" s="38"/>
    </row>
    <row r="587" spans="1:104" s="40" customFormat="1" ht="20.149999999999999" customHeight="1">
      <c r="A587" s="358">
        <f t="shared" si="143"/>
        <v>586</v>
      </c>
      <c r="B587" s="359" t="str">
        <f>'Front Sheet and Checklist'!$C$5</f>
        <v>Swansea Bay UHB</v>
      </c>
      <c r="C587" s="17"/>
      <c r="D587" s="17"/>
      <c r="E587" s="17"/>
      <c r="F587" s="17"/>
      <c r="G587" s="17"/>
      <c r="H587" s="17"/>
      <c r="I587" s="361">
        <f t="shared" si="133"/>
        <v>0</v>
      </c>
      <c r="J587" s="17"/>
      <c r="K587" s="18"/>
      <c r="L587" s="18"/>
      <c r="M587" s="17"/>
      <c r="N587" s="17"/>
      <c r="O587" s="17"/>
      <c r="P587" s="17"/>
      <c r="Q587" s="169"/>
      <c r="R587" s="24"/>
      <c r="S587" s="24"/>
      <c r="T587" s="24"/>
      <c r="U587" s="25"/>
      <c r="V587" s="25"/>
      <c r="W587" s="25"/>
      <c r="X587" s="24"/>
      <c r="Y587" s="24"/>
      <c r="Z587" s="24"/>
      <c r="AA587" s="24"/>
      <c r="AB587" s="24"/>
      <c r="AC587" s="24"/>
      <c r="AD587" s="361">
        <f t="shared" si="132"/>
        <v>0</v>
      </c>
      <c r="AE587" s="359" t="str">
        <f t="shared" si="135"/>
        <v/>
      </c>
      <c r="AF587" s="359" t="str">
        <f t="shared" si="144"/>
        <v/>
      </c>
      <c r="AG587" s="359" t="str">
        <f t="shared" si="136"/>
        <v/>
      </c>
      <c r="AH587" s="359" t="str">
        <f t="shared" si="137"/>
        <v/>
      </c>
      <c r="AI587" s="359" t="str">
        <f t="shared" si="138"/>
        <v/>
      </c>
      <c r="AJ587" s="359" t="str">
        <f t="shared" si="139"/>
        <v/>
      </c>
      <c r="AK587" s="359" t="str">
        <f t="shared" si="141"/>
        <v/>
      </c>
      <c r="AL587" s="359" t="str">
        <f t="shared" si="140"/>
        <v/>
      </c>
      <c r="AM587" s="359" t="str">
        <f t="shared" si="142"/>
        <v/>
      </c>
      <c r="AN587" s="262">
        <f t="shared" si="145"/>
        <v>0</v>
      </c>
      <c r="AO587" s="262" t="str">
        <f>IFERROR(HLOOKUP(AN587,'Ref Lists'!Q$1:AL$2,2,FALSE),'Ref Lists'!$AK$2)</f>
        <v>Savings21</v>
      </c>
      <c r="AP587" s="38"/>
      <c r="AQ587" s="38">
        <f t="shared" si="134"/>
        <v>0</v>
      </c>
      <c r="AR587" s="38"/>
      <c r="AS587" s="38"/>
      <c r="AT587" s="38"/>
      <c r="AU587" s="38"/>
      <c r="AV587" s="38"/>
      <c r="AW587" s="38"/>
      <c r="AX587" s="38"/>
      <c r="AY587" s="38"/>
      <c r="AZ587" s="38"/>
      <c r="BA587" s="38"/>
      <c r="BB587" s="38"/>
      <c r="BC587" s="38"/>
      <c r="BD587" s="38"/>
      <c r="BE587" s="38"/>
      <c r="BF587" s="38"/>
      <c r="BG587" s="38"/>
      <c r="BH587" s="38"/>
      <c r="BI587" s="38"/>
      <c r="BJ587" s="38"/>
      <c r="BK587" s="38"/>
      <c r="BL587" s="38"/>
      <c r="BM587" s="38"/>
      <c r="BN587" s="38"/>
      <c r="BO587" s="38"/>
      <c r="BP587" s="38"/>
      <c r="BQ587" s="38"/>
      <c r="BR587" s="38"/>
      <c r="BS587" s="38"/>
      <c r="BT587" s="38"/>
      <c r="BU587" s="38"/>
      <c r="BV587" s="38"/>
      <c r="BW587" s="38"/>
      <c r="BX587" s="38"/>
      <c r="BY587" s="38"/>
      <c r="BZ587" s="38"/>
      <c r="CA587" s="38"/>
      <c r="CB587" s="38"/>
      <c r="CC587" s="38"/>
      <c r="CD587" s="38"/>
      <c r="CE587" s="38"/>
      <c r="CF587" s="38"/>
      <c r="CG587" s="38"/>
      <c r="CH587" s="38"/>
      <c r="CI587" s="38"/>
      <c r="CJ587" s="38"/>
      <c r="CK587" s="38"/>
      <c r="CL587" s="38"/>
      <c r="CM587" s="38"/>
      <c r="CN587" s="38"/>
      <c r="CO587" s="38"/>
      <c r="CP587" s="38"/>
      <c r="CQ587" s="38"/>
      <c r="CR587" s="38"/>
      <c r="CS587" s="38"/>
      <c r="CT587" s="38"/>
      <c r="CU587" s="38"/>
      <c r="CV587" s="38"/>
      <c r="CW587" s="38"/>
      <c r="CX587" s="38"/>
      <c r="CY587" s="38"/>
      <c r="CZ587" s="38"/>
    </row>
    <row r="588" spans="1:104" s="40" customFormat="1" ht="20.149999999999999" customHeight="1">
      <c r="A588" s="358">
        <f t="shared" si="143"/>
        <v>587</v>
      </c>
      <c r="B588" s="359" t="str">
        <f>'Front Sheet and Checklist'!$C$5</f>
        <v>Swansea Bay UHB</v>
      </c>
      <c r="C588" s="17"/>
      <c r="D588" s="17"/>
      <c r="E588" s="17"/>
      <c r="F588" s="17"/>
      <c r="G588" s="17"/>
      <c r="H588" s="17"/>
      <c r="I588" s="361">
        <f t="shared" si="133"/>
        <v>0</v>
      </c>
      <c r="J588" s="17"/>
      <c r="K588" s="18"/>
      <c r="L588" s="18"/>
      <c r="M588" s="17"/>
      <c r="N588" s="17"/>
      <c r="O588" s="17"/>
      <c r="P588" s="17"/>
      <c r="Q588" s="169"/>
      <c r="R588" s="24"/>
      <c r="S588" s="24"/>
      <c r="T588" s="24"/>
      <c r="U588" s="25"/>
      <c r="V588" s="25"/>
      <c r="W588" s="25"/>
      <c r="X588" s="24"/>
      <c r="Y588" s="24"/>
      <c r="Z588" s="24"/>
      <c r="AA588" s="24"/>
      <c r="AB588" s="24"/>
      <c r="AC588" s="24"/>
      <c r="AD588" s="361">
        <f t="shared" si="132"/>
        <v>0</v>
      </c>
      <c r="AE588" s="359" t="str">
        <f t="shared" si="135"/>
        <v/>
      </c>
      <c r="AF588" s="359" t="str">
        <f t="shared" si="144"/>
        <v/>
      </c>
      <c r="AG588" s="359" t="str">
        <f t="shared" si="136"/>
        <v/>
      </c>
      <c r="AH588" s="359" t="str">
        <f t="shared" si="137"/>
        <v/>
      </c>
      <c r="AI588" s="359" t="str">
        <f t="shared" si="138"/>
        <v/>
      </c>
      <c r="AJ588" s="359" t="str">
        <f t="shared" si="139"/>
        <v/>
      </c>
      <c r="AK588" s="359" t="str">
        <f t="shared" si="141"/>
        <v/>
      </c>
      <c r="AL588" s="359" t="str">
        <f t="shared" si="140"/>
        <v/>
      </c>
      <c r="AM588" s="359" t="str">
        <f t="shared" si="142"/>
        <v/>
      </c>
      <c r="AN588" s="262">
        <f t="shared" si="145"/>
        <v>0</v>
      </c>
      <c r="AO588" s="262" t="str">
        <f>IFERROR(HLOOKUP(AN588,'Ref Lists'!Q$1:AL$2,2,FALSE),'Ref Lists'!$AK$2)</f>
        <v>Savings21</v>
      </c>
      <c r="AP588" s="38"/>
      <c r="AQ588" s="38">
        <f t="shared" si="134"/>
        <v>0</v>
      </c>
      <c r="AR588" s="38"/>
      <c r="AS588" s="38"/>
      <c r="AT588" s="38"/>
      <c r="AU588" s="38"/>
      <c r="AV588" s="38"/>
      <c r="AW588" s="38"/>
      <c r="AX588" s="38"/>
      <c r="AY588" s="38"/>
      <c r="AZ588" s="38"/>
      <c r="BA588" s="38"/>
      <c r="BB588" s="38"/>
      <c r="BC588" s="38"/>
      <c r="BD588" s="38"/>
      <c r="BE588" s="38"/>
      <c r="BF588" s="38"/>
      <c r="BG588" s="38"/>
      <c r="BH588" s="38"/>
      <c r="BI588" s="38"/>
      <c r="BJ588" s="38"/>
      <c r="BK588" s="38"/>
      <c r="BL588" s="38"/>
      <c r="BM588" s="38"/>
      <c r="BN588" s="38"/>
      <c r="BO588" s="38"/>
      <c r="BP588" s="38"/>
      <c r="BQ588" s="38"/>
      <c r="BR588" s="38"/>
      <c r="BS588" s="38"/>
      <c r="BT588" s="38"/>
      <c r="BU588" s="38"/>
      <c r="BV588" s="38"/>
      <c r="BW588" s="38"/>
      <c r="BX588" s="38"/>
      <c r="BY588" s="38"/>
      <c r="BZ588" s="38"/>
      <c r="CA588" s="38"/>
      <c r="CB588" s="38"/>
      <c r="CC588" s="38"/>
      <c r="CD588" s="38"/>
      <c r="CE588" s="38"/>
      <c r="CF588" s="38"/>
      <c r="CG588" s="38"/>
      <c r="CH588" s="38"/>
      <c r="CI588" s="38"/>
      <c r="CJ588" s="38"/>
      <c r="CK588" s="38"/>
      <c r="CL588" s="38"/>
      <c r="CM588" s="38"/>
      <c r="CN588" s="38"/>
      <c r="CO588" s="38"/>
      <c r="CP588" s="38"/>
      <c r="CQ588" s="38"/>
      <c r="CR588" s="38"/>
      <c r="CS588" s="38"/>
      <c r="CT588" s="38"/>
      <c r="CU588" s="38"/>
      <c r="CV588" s="38"/>
      <c r="CW588" s="38"/>
      <c r="CX588" s="38"/>
      <c r="CY588" s="38"/>
      <c r="CZ588" s="38"/>
    </row>
    <row r="589" spans="1:104" s="40" customFormat="1" ht="20.149999999999999" customHeight="1">
      <c r="A589" s="358">
        <f t="shared" si="143"/>
        <v>588</v>
      </c>
      <c r="B589" s="359" t="str">
        <f>'Front Sheet and Checklist'!$C$5</f>
        <v>Swansea Bay UHB</v>
      </c>
      <c r="C589" s="17"/>
      <c r="D589" s="17"/>
      <c r="E589" s="17"/>
      <c r="F589" s="17"/>
      <c r="G589" s="17"/>
      <c r="H589" s="17"/>
      <c r="I589" s="361">
        <f t="shared" si="133"/>
        <v>0</v>
      </c>
      <c r="J589" s="17"/>
      <c r="K589" s="18"/>
      <c r="L589" s="18"/>
      <c r="M589" s="17"/>
      <c r="N589" s="17"/>
      <c r="O589" s="17"/>
      <c r="P589" s="17"/>
      <c r="Q589" s="169"/>
      <c r="R589" s="24"/>
      <c r="S589" s="24"/>
      <c r="T589" s="24"/>
      <c r="U589" s="25"/>
      <c r="V589" s="25"/>
      <c r="W589" s="25"/>
      <c r="X589" s="24"/>
      <c r="Y589" s="24"/>
      <c r="Z589" s="24"/>
      <c r="AA589" s="24"/>
      <c r="AB589" s="24"/>
      <c r="AC589" s="24"/>
      <c r="AD589" s="361">
        <f t="shared" si="132"/>
        <v>0</v>
      </c>
      <c r="AE589" s="359" t="str">
        <f t="shared" si="135"/>
        <v/>
      </c>
      <c r="AF589" s="359" t="str">
        <f t="shared" si="144"/>
        <v/>
      </c>
      <c r="AG589" s="359" t="str">
        <f t="shared" si="136"/>
        <v/>
      </c>
      <c r="AH589" s="359" t="str">
        <f t="shared" si="137"/>
        <v/>
      </c>
      <c r="AI589" s="359" t="str">
        <f t="shared" si="138"/>
        <v/>
      </c>
      <c r="AJ589" s="359" t="str">
        <f t="shared" si="139"/>
        <v/>
      </c>
      <c r="AK589" s="359" t="str">
        <f t="shared" si="141"/>
        <v/>
      </c>
      <c r="AL589" s="359" t="str">
        <f t="shared" si="140"/>
        <v/>
      </c>
      <c r="AM589" s="359" t="str">
        <f t="shared" si="142"/>
        <v/>
      </c>
      <c r="AN589" s="262">
        <f t="shared" si="145"/>
        <v>0</v>
      </c>
      <c r="AO589" s="262" t="str">
        <f>IFERROR(HLOOKUP(AN589,'Ref Lists'!Q$1:AL$2,2,FALSE),'Ref Lists'!$AK$2)</f>
        <v>Savings21</v>
      </c>
      <c r="AP589" s="38"/>
      <c r="AQ589" s="38">
        <f t="shared" si="134"/>
        <v>0</v>
      </c>
      <c r="AR589" s="38"/>
      <c r="AS589" s="38"/>
      <c r="AT589" s="38"/>
      <c r="AU589" s="38"/>
      <c r="AV589" s="38"/>
      <c r="AW589" s="38"/>
      <c r="AX589" s="38"/>
      <c r="AY589" s="38"/>
      <c r="AZ589" s="38"/>
      <c r="BA589" s="38"/>
      <c r="BB589" s="38"/>
      <c r="BC589" s="38"/>
      <c r="BD589" s="38"/>
      <c r="BE589" s="38"/>
      <c r="BF589" s="38"/>
      <c r="BG589" s="38"/>
      <c r="BH589" s="38"/>
      <c r="BI589" s="38"/>
      <c r="BJ589" s="38"/>
      <c r="BK589" s="38"/>
      <c r="BL589" s="38"/>
      <c r="BM589" s="38"/>
      <c r="BN589" s="38"/>
      <c r="BO589" s="38"/>
      <c r="BP589" s="38"/>
      <c r="BQ589" s="38"/>
      <c r="BR589" s="38"/>
      <c r="BS589" s="38"/>
      <c r="BT589" s="38"/>
      <c r="BU589" s="38"/>
      <c r="BV589" s="38"/>
      <c r="BW589" s="38"/>
      <c r="BX589" s="38"/>
      <c r="BY589" s="38"/>
      <c r="BZ589" s="38"/>
      <c r="CA589" s="38"/>
      <c r="CB589" s="38"/>
      <c r="CC589" s="38"/>
      <c r="CD589" s="38"/>
      <c r="CE589" s="38"/>
      <c r="CF589" s="38"/>
      <c r="CG589" s="38"/>
      <c r="CH589" s="38"/>
      <c r="CI589" s="38"/>
      <c r="CJ589" s="38"/>
      <c r="CK589" s="38"/>
      <c r="CL589" s="38"/>
      <c r="CM589" s="38"/>
      <c r="CN589" s="38"/>
      <c r="CO589" s="38"/>
      <c r="CP589" s="38"/>
      <c r="CQ589" s="38"/>
      <c r="CR589" s="38"/>
      <c r="CS589" s="38"/>
      <c r="CT589" s="38"/>
      <c r="CU589" s="38"/>
      <c r="CV589" s="38"/>
      <c r="CW589" s="38"/>
      <c r="CX589" s="38"/>
      <c r="CY589" s="38"/>
      <c r="CZ589" s="38"/>
    </row>
    <row r="590" spans="1:104" s="40" customFormat="1" ht="20.149999999999999" customHeight="1">
      <c r="A590" s="358">
        <f t="shared" si="143"/>
        <v>589</v>
      </c>
      <c r="B590" s="359" t="str">
        <f>'Front Sheet and Checklist'!$C$5</f>
        <v>Swansea Bay UHB</v>
      </c>
      <c r="C590" s="17"/>
      <c r="D590" s="17"/>
      <c r="E590" s="17"/>
      <c r="F590" s="17"/>
      <c r="G590" s="17"/>
      <c r="H590" s="17"/>
      <c r="I590" s="361">
        <f t="shared" si="133"/>
        <v>0</v>
      </c>
      <c r="J590" s="17"/>
      <c r="K590" s="18"/>
      <c r="L590" s="18"/>
      <c r="M590" s="17"/>
      <c r="N590" s="17"/>
      <c r="O590" s="17"/>
      <c r="P590" s="17"/>
      <c r="Q590" s="169"/>
      <c r="R590" s="24"/>
      <c r="S590" s="24"/>
      <c r="T590" s="24"/>
      <c r="U590" s="25"/>
      <c r="V590" s="25"/>
      <c r="W590" s="25"/>
      <c r="X590" s="24"/>
      <c r="Y590" s="24"/>
      <c r="Z590" s="24"/>
      <c r="AA590" s="24"/>
      <c r="AB590" s="24"/>
      <c r="AC590" s="24"/>
      <c r="AD590" s="361">
        <f t="shared" si="132"/>
        <v>0</v>
      </c>
      <c r="AE590" s="359" t="str">
        <f t="shared" si="135"/>
        <v/>
      </c>
      <c r="AF590" s="359" t="str">
        <f t="shared" si="144"/>
        <v/>
      </c>
      <c r="AG590" s="359" t="str">
        <f t="shared" si="136"/>
        <v/>
      </c>
      <c r="AH590" s="359" t="str">
        <f t="shared" si="137"/>
        <v/>
      </c>
      <c r="AI590" s="359" t="str">
        <f t="shared" si="138"/>
        <v/>
      </c>
      <c r="AJ590" s="359" t="str">
        <f t="shared" si="139"/>
        <v/>
      </c>
      <c r="AK590" s="359" t="str">
        <f t="shared" si="141"/>
        <v/>
      </c>
      <c r="AL590" s="359" t="str">
        <f t="shared" si="140"/>
        <v/>
      </c>
      <c r="AM590" s="359" t="str">
        <f t="shared" si="142"/>
        <v/>
      </c>
      <c r="AN590" s="262">
        <f t="shared" si="145"/>
        <v>0</v>
      </c>
      <c r="AO590" s="262" t="str">
        <f>IFERROR(HLOOKUP(AN590,'Ref Lists'!Q$1:AL$2,2,FALSE),'Ref Lists'!$AK$2)</f>
        <v>Savings21</v>
      </c>
      <c r="AP590" s="38"/>
      <c r="AQ590" s="38">
        <f t="shared" si="134"/>
        <v>0</v>
      </c>
      <c r="AR590" s="38"/>
      <c r="AS590" s="38"/>
      <c r="AT590" s="38"/>
      <c r="AU590" s="38"/>
      <c r="AV590" s="38"/>
      <c r="AW590" s="38"/>
      <c r="AX590" s="38"/>
      <c r="AY590" s="38"/>
      <c r="AZ590" s="38"/>
      <c r="BA590" s="38"/>
      <c r="BB590" s="38"/>
      <c r="BC590" s="38"/>
      <c r="BD590" s="38"/>
      <c r="BE590" s="38"/>
      <c r="BF590" s="38"/>
      <c r="BG590" s="38"/>
      <c r="BH590" s="38"/>
      <c r="BI590" s="38"/>
      <c r="BJ590" s="38"/>
      <c r="BK590" s="38"/>
      <c r="BL590" s="38"/>
      <c r="BM590" s="38"/>
      <c r="BN590" s="38"/>
      <c r="BO590" s="38"/>
      <c r="BP590" s="38"/>
      <c r="BQ590" s="38"/>
      <c r="BR590" s="38"/>
      <c r="BS590" s="38"/>
      <c r="BT590" s="38"/>
      <c r="BU590" s="38"/>
      <c r="BV590" s="38"/>
      <c r="BW590" s="38"/>
      <c r="BX590" s="38"/>
      <c r="BY590" s="38"/>
      <c r="BZ590" s="38"/>
      <c r="CA590" s="38"/>
      <c r="CB590" s="38"/>
      <c r="CC590" s="38"/>
      <c r="CD590" s="38"/>
      <c r="CE590" s="38"/>
      <c r="CF590" s="38"/>
      <c r="CG590" s="38"/>
      <c r="CH590" s="38"/>
      <c r="CI590" s="38"/>
      <c r="CJ590" s="38"/>
      <c r="CK590" s="38"/>
      <c r="CL590" s="38"/>
      <c r="CM590" s="38"/>
      <c r="CN590" s="38"/>
      <c r="CO590" s="38"/>
      <c r="CP590" s="38"/>
      <c r="CQ590" s="38"/>
      <c r="CR590" s="38"/>
      <c r="CS590" s="38"/>
      <c r="CT590" s="38"/>
      <c r="CU590" s="38"/>
      <c r="CV590" s="38"/>
      <c r="CW590" s="38"/>
      <c r="CX590" s="38"/>
      <c r="CY590" s="38"/>
      <c r="CZ590" s="38"/>
    </row>
    <row r="591" spans="1:104" s="40" customFormat="1" ht="20.149999999999999" customHeight="1">
      <c r="A591" s="358">
        <f t="shared" si="143"/>
        <v>590</v>
      </c>
      <c r="B591" s="359" t="str">
        <f>'Front Sheet and Checklist'!$C$5</f>
        <v>Swansea Bay UHB</v>
      </c>
      <c r="C591" s="17"/>
      <c r="D591" s="17"/>
      <c r="E591" s="17"/>
      <c r="F591" s="17"/>
      <c r="G591" s="17"/>
      <c r="H591" s="17"/>
      <c r="I591" s="361">
        <f t="shared" si="133"/>
        <v>0</v>
      </c>
      <c r="J591" s="17"/>
      <c r="K591" s="18"/>
      <c r="L591" s="18"/>
      <c r="M591" s="17"/>
      <c r="N591" s="17"/>
      <c r="O591" s="17"/>
      <c r="P591" s="17"/>
      <c r="Q591" s="169"/>
      <c r="R591" s="24"/>
      <c r="S591" s="24"/>
      <c r="T591" s="24"/>
      <c r="U591" s="25"/>
      <c r="V591" s="25"/>
      <c r="W591" s="25"/>
      <c r="X591" s="24"/>
      <c r="Y591" s="24"/>
      <c r="Z591" s="24"/>
      <c r="AA591" s="24"/>
      <c r="AB591" s="24"/>
      <c r="AC591" s="24"/>
      <c r="AD591" s="361">
        <f t="shared" si="132"/>
        <v>0</v>
      </c>
      <c r="AE591" s="359" t="str">
        <f t="shared" si="135"/>
        <v/>
      </c>
      <c r="AF591" s="359" t="str">
        <f t="shared" si="144"/>
        <v/>
      </c>
      <c r="AG591" s="359" t="str">
        <f t="shared" si="136"/>
        <v/>
      </c>
      <c r="AH591" s="359" t="str">
        <f t="shared" si="137"/>
        <v/>
      </c>
      <c r="AI591" s="359" t="str">
        <f t="shared" si="138"/>
        <v/>
      </c>
      <c r="AJ591" s="359" t="str">
        <f t="shared" si="139"/>
        <v/>
      </c>
      <c r="AK591" s="359" t="str">
        <f t="shared" si="141"/>
        <v/>
      </c>
      <c r="AL591" s="359" t="str">
        <f t="shared" si="140"/>
        <v/>
      </c>
      <c r="AM591" s="359" t="str">
        <f t="shared" si="142"/>
        <v/>
      </c>
      <c r="AN591" s="262">
        <f t="shared" si="145"/>
        <v>0</v>
      </c>
      <c r="AO591" s="262" t="str">
        <f>IFERROR(HLOOKUP(AN591,'Ref Lists'!Q$1:AL$2,2,FALSE),'Ref Lists'!$AK$2)</f>
        <v>Savings21</v>
      </c>
      <c r="AP591" s="38"/>
      <c r="AQ591" s="38">
        <f t="shared" si="134"/>
        <v>0</v>
      </c>
      <c r="AR591" s="38"/>
      <c r="AS591" s="38"/>
      <c r="AT591" s="38"/>
      <c r="AU591" s="38"/>
      <c r="AV591" s="38"/>
      <c r="AW591" s="38"/>
      <c r="AX591" s="38"/>
      <c r="AY591" s="38"/>
      <c r="AZ591" s="38"/>
      <c r="BA591" s="38"/>
      <c r="BB591" s="38"/>
      <c r="BC591" s="38"/>
      <c r="BD591" s="38"/>
      <c r="BE591" s="38"/>
      <c r="BF591" s="38"/>
      <c r="BG591" s="38"/>
      <c r="BH591" s="38"/>
      <c r="BI591" s="38"/>
      <c r="BJ591" s="38"/>
      <c r="BK591" s="38"/>
      <c r="BL591" s="38"/>
      <c r="BM591" s="38"/>
      <c r="BN591" s="38"/>
      <c r="BO591" s="38"/>
      <c r="BP591" s="38"/>
      <c r="BQ591" s="38"/>
      <c r="BR591" s="38"/>
      <c r="BS591" s="38"/>
      <c r="BT591" s="38"/>
      <c r="BU591" s="38"/>
      <c r="BV591" s="38"/>
      <c r="BW591" s="38"/>
      <c r="BX591" s="38"/>
      <c r="BY591" s="38"/>
      <c r="BZ591" s="38"/>
      <c r="CA591" s="38"/>
      <c r="CB591" s="38"/>
      <c r="CC591" s="38"/>
      <c r="CD591" s="38"/>
      <c r="CE591" s="38"/>
      <c r="CF591" s="38"/>
      <c r="CG591" s="38"/>
      <c r="CH591" s="38"/>
      <c r="CI591" s="38"/>
      <c r="CJ591" s="38"/>
      <c r="CK591" s="38"/>
      <c r="CL591" s="38"/>
      <c r="CM591" s="38"/>
      <c r="CN591" s="38"/>
      <c r="CO591" s="38"/>
      <c r="CP591" s="38"/>
      <c r="CQ591" s="38"/>
      <c r="CR591" s="38"/>
      <c r="CS591" s="38"/>
      <c r="CT591" s="38"/>
      <c r="CU591" s="38"/>
      <c r="CV591" s="38"/>
      <c r="CW591" s="38"/>
      <c r="CX591" s="38"/>
      <c r="CY591" s="38"/>
      <c r="CZ591" s="38"/>
    </row>
    <row r="592" spans="1:104" s="40" customFormat="1" ht="20.149999999999999" customHeight="1">
      <c r="A592" s="358">
        <f t="shared" si="143"/>
        <v>591</v>
      </c>
      <c r="B592" s="359" t="str">
        <f>'Front Sheet and Checklist'!$C$5</f>
        <v>Swansea Bay UHB</v>
      </c>
      <c r="C592" s="17"/>
      <c r="D592" s="17"/>
      <c r="E592" s="17"/>
      <c r="F592" s="17"/>
      <c r="G592" s="17"/>
      <c r="H592" s="17"/>
      <c r="I592" s="361">
        <f t="shared" si="133"/>
        <v>0</v>
      </c>
      <c r="J592" s="17"/>
      <c r="K592" s="18"/>
      <c r="L592" s="18"/>
      <c r="M592" s="17"/>
      <c r="N592" s="17"/>
      <c r="O592" s="17"/>
      <c r="P592" s="17"/>
      <c r="Q592" s="169"/>
      <c r="R592" s="24"/>
      <c r="S592" s="24"/>
      <c r="T592" s="24"/>
      <c r="U592" s="25"/>
      <c r="V592" s="25"/>
      <c r="W592" s="25"/>
      <c r="X592" s="24"/>
      <c r="Y592" s="24"/>
      <c r="Z592" s="24"/>
      <c r="AA592" s="24"/>
      <c r="AB592" s="24"/>
      <c r="AC592" s="24"/>
      <c r="AD592" s="361">
        <f t="shared" si="132"/>
        <v>0</v>
      </c>
      <c r="AE592" s="359" t="str">
        <f t="shared" si="135"/>
        <v/>
      </c>
      <c r="AF592" s="359" t="str">
        <f t="shared" si="144"/>
        <v/>
      </c>
      <c r="AG592" s="359" t="str">
        <f t="shared" si="136"/>
        <v/>
      </c>
      <c r="AH592" s="359" t="str">
        <f t="shared" si="137"/>
        <v/>
      </c>
      <c r="AI592" s="359" t="str">
        <f t="shared" si="138"/>
        <v/>
      </c>
      <c r="AJ592" s="359" t="str">
        <f t="shared" si="139"/>
        <v/>
      </c>
      <c r="AK592" s="359" t="str">
        <f t="shared" si="141"/>
        <v/>
      </c>
      <c r="AL592" s="359" t="str">
        <f t="shared" si="140"/>
        <v/>
      </c>
      <c r="AM592" s="359" t="str">
        <f t="shared" si="142"/>
        <v/>
      </c>
      <c r="AN592" s="262">
        <f t="shared" si="145"/>
        <v>0</v>
      </c>
      <c r="AO592" s="262" t="str">
        <f>IFERROR(HLOOKUP(AN592,'Ref Lists'!Q$1:AL$2,2,FALSE),'Ref Lists'!$AK$2)</f>
        <v>Savings21</v>
      </c>
      <c r="AP592" s="38"/>
      <c r="AQ592" s="38">
        <f t="shared" si="134"/>
        <v>0</v>
      </c>
      <c r="AR592" s="38"/>
      <c r="AS592" s="38"/>
      <c r="AT592" s="38"/>
      <c r="AU592" s="38"/>
      <c r="AV592" s="38"/>
      <c r="AW592" s="38"/>
      <c r="AX592" s="38"/>
      <c r="AY592" s="38"/>
      <c r="AZ592" s="38"/>
      <c r="BA592" s="38"/>
      <c r="BB592" s="38"/>
      <c r="BC592" s="38"/>
      <c r="BD592" s="38"/>
      <c r="BE592" s="38"/>
      <c r="BF592" s="38"/>
      <c r="BG592" s="38"/>
      <c r="BH592" s="38"/>
      <c r="BI592" s="38"/>
      <c r="BJ592" s="38"/>
      <c r="BK592" s="38"/>
      <c r="BL592" s="38"/>
      <c r="BM592" s="38"/>
      <c r="BN592" s="38"/>
      <c r="BO592" s="38"/>
      <c r="BP592" s="38"/>
      <c r="BQ592" s="38"/>
      <c r="BR592" s="38"/>
      <c r="BS592" s="38"/>
      <c r="BT592" s="38"/>
      <c r="BU592" s="38"/>
      <c r="BV592" s="38"/>
      <c r="BW592" s="38"/>
      <c r="BX592" s="38"/>
      <c r="BY592" s="38"/>
      <c r="BZ592" s="38"/>
      <c r="CA592" s="38"/>
      <c r="CB592" s="38"/>
      <c r="CC592" s="38"/>
      <c r="CD592" s="38"/>
      <c r="CE592" s="38"/>
      <c r="CF592" s="38"/>
      <c r="CG592" s="38"/>
      <c r="CH592" s="38"/>
      <c r="CI592" s="38"/>
      <c r="CJ592" s="38"/>
      <c r="CK592" s="38"/>
      <c r="CL592" s="38"/>
      <c r="CM592" s="38"/>
      <c r="CN592" s="38"/>
      <c r="CO592" s="38"/>
      <c r="CP592" s="38"/>
      <c r="CQ592" s="38"/>
      <c r="CR592" s="38"/>
      <c r="CS592" s="38"/>
      <c r="CT592" s="38"/>
      <c r="CU592" s="38"/>
      <c r="CV592" s="38"/>
      <c r="CW592" s="38"/>
      <c r="CX592" s="38"/>
      <c r="CY592" s="38"/>
      <c r="CZ592" s="38"/>
    </row>
    <row r="593" spans="1:104" s="40" customFormat="1" ht="20.149999999999999" customHeight="1">
      <c r="A593" s="358">
        <f t="shared" si="143"/>
        <v>592</v>
      </c>
      <c r="B593" s="359" t="str">
        <f>'Front Sheet and Checklist'!$C$5</f>
        <v>Swansea Bay UHB</v>
      </c>
      <c r="C593" s="17"/>
      <c r="D593" s="17"/>
      <c r="E593" s="17"/>
      <c r="F593" s="17"/>
      <c r="G593" s="17"/>
      <c r="H593" s="17"/>
      <c r="I593" s="361">
        <f t="shared" si="133"/>
        <v>0</v>
      </c>
      <c r="J593" s="17"/>
      <c r="K593" s="18"/>
      <c r="L593" s="18"/>
      <c r="M593" s="17"/>
      <c r="N593" s="17"/>
      <c r="O593" s="17"/>
      <c r="P593" s="17"/>
      <c r="Q593" s="169"/>
      <c r="R593" s="24"/>
      <c r="S593" s="24"/>
      <c r="T593" s="24"/>
      <c r="U593" s="25"/>
      <c r="V593" s="25"/>
      <c r="W593" s="25"/>
      <c r="X593" s="24"/>
      <c r="Y593" s="24"/>
      <c r="Z593" s="24"/>
      <c r="AA593" s="24"/>
      <c r="AB593" s="24"/>
      <c r="AC593" s="24"/>
      <c r="AD593" s="361">
        <f t="shared" si="132"/>
        <v>0</v>
      </c>
      <c r="AE593" s="359" t="str">
        <f t="shared" si="135"/>
        <v/>
      </c>
      <c r="AF593" s="359" t="str">
        <f t="shared" si="144"/>
        <v/>
      </c>
      <c r="AG593" s="359" t="str">
        <f t="shared" si="136"/>
        <v/>
      </c>
      <c r="AH593" s="359" t="str">
        <f t="shared" si="137"/>
        <v/>
      </c>
      <c r="AI593" s="359" t="str">
        <f t="shared" si="138"/>
        <v/>
      </c>
      <c r="AJ593" s="359" t="str">
        <f t="shared" si="139"/>
        <v/>
      </c>
      <c r="AK593" s="359" t="str">
        <f t="shared" si="141"/>
        <v/>
      </c>
      <c r="AL593" s="359" t="str">
        <f t="shared" si="140"/>
        <v/>
      </c>
      <c r="AM593" s="359" t="str">
        <f t="shared" si="142"/>
        <v/>
      </c>
      <c r="AN593" s="262">
        <f t="shared" si="145"/>
        <v>0</v>
      </c>
      <c r="AO593" s="262" t="str">
        <f>IFERROR(HLOOKUP(AN593,'Ref Lists'!Q$1:AL$2,2,FALSE),'Ref Lists'!$AK$2)</f>
        <v>Savings21</v>
      </c>
      <c r="AP593" s="38"/>
      <c r="AQ593" s="38">
        <f t="shared" si="134"/>
        <v>0</v>
      </c>
      <c r="AR593" s="38"/>
      <c r="AS593" s="38"/>
      <c r="AT593" s="38"/>
      <c r="AU593" s="38"/>
      <c r="AV593" s="38"/>
      <c r="AW593" s="38"/>
      <c r="AX593" s="38"/>
      <c r="AY593" s="38"/>
      <c r="AZ593" s="38"/>
      <c r="BA593" s="38"/>
      <c r="BB593" s="38"/>
      <c r="BC593" s="38"/>
      <c r="BD593" s="38"/>
      <c r="BE593" s="38"/>
      <c r="BF593" s="38"/>
      <c r="BG593" s="38"/>
      <c r="BH593" s="38"/>
      <c r="BI593" s="38"/>
      <c r="BJ593" s="38"/>
      <c r="BK593" s="38"/>
      <c r="BL593" s="38"/>
      <c r="BM593" s="38"/>
      <c r="BN593" s="38"/>
      <c r="BO593" s="38"/>
      <c r="BP593" s="38"/>
      <c r="BQ593" s="38"/>
      <c r="BR593" s="38"/>
      <c r="BS593" s="38"/>
      <c r="BT593" s="38"/>
      <c r="BU593" s="38"/>
      <c r="BV593" s="38"/>
      <c r="BW593" s="38"/>
      <c r="BX593" s="38"/>
      <c r="BY593" s="38"/>
      <c r="BZ593" s="38"/>
      <c r="CA593" s="38"/>
      <c r="CB593" s="38"/>
      <c r="CC593" s="38"/>
      <c r="CD593" s="38"/>
      <c r="CE593" s="38"/>
      <c r="CF593" s="38"/>
      <c r="CG593" s="38"/>
      <c r="CH593" s="38"/>
      <c r="CI593" s="38"/>
      <c r="CJ593" s="38"/>
      <c r="CK593" s="38"/>
      <c r="CL593" s="38"/>
      <c r="CM593" s="38"/>
      <c r="CN593" s="38"/>
      <c r="CO593" s="38"/>
      <c r="CP593" s="38"/>
      <c r="CQ593" s="38"/>
      <c r="CR593" s="38"/>
      <c r="CS593" s="38"/>
      <c r="CT593" s="38"/>
      <c r="CU593" s="38"/>
      <c r="CV593" s="38"/>
      <c r="CW593" s="38"/>
      <c r="CX593" s="38"/>
      <c r="CY593" s="38"/>
      <c r="CZ593" s="38"/>
    </row>
    <row r="594" spans="1:104" s="40" customFormat="1" ht="20.149999999999999" customHeight="1">
      <c r="A594" s="358">
        <f t="shared" si="143"/>
        <v>593</v>
      </c>
      <c r="B594" s="359" t="str">
        <f>'Front Sheet and Checklist'!$C$5</f>
        <v>Swansea Bay UHB</v>
      </c>
      <c r="C594" s="17"/>
      <c r="D594" s="17"/>
      <c r="E594" s="17"/>
      <c r="F594" s="17"/>
      <c r="G594" s="17"/>
      <c r="H594" s="17"/>
      <c r="I594" s="361">
        <f t="shared" si="133"/>
        <v>0</v>
      </c>
      <c r="J594" s="17"/>
      <c r="K594" s="18"/>
      <c r="L594" s="18"/>
      <c r="M594" s="17"/>
      <c r="N594" s="17"/>
      <c r="O594" s="17"/>
      <c r="P594" s="17"/>
      <c r="Q594" s="169"/>
      <c r="R594" s="24"/>
      <c r="S594" s="24"/>
      <c r="T594" s="24"/>
      <c r="U594" s="25"/>
      <c r="V594" s="25"/>
      <c r="W594" s="25"/>
      <c r="X594" s="24"/>
      <c r="Y594" s="24"/>
      <c r="Z594" s="24"/>
      <c r="AA594" s="24"/>
      <c r="AB594" s="24"/>
      <c r="AC594" s="24"/>
      <c r="AD594" s="361">
        <f t="shared" si="132"/>
        <v>0</v>
      </c>
      <c r="AE594" s="359" t="str">
        <f t="shared" si="135"/>
        <v/>
      </c>
      <c r="AF594" s="359" t="str">
        <f t="shared" si="144"/>
        <v/>
      </c>
      <c r="AG594" s="359" t="str">
        <f t="shared" si="136"/>
        <v/>
      </c>
      <c r="AH594" s="359" t="str">
        <f t="shared" si="137"/>
        <v/>
      </c>
      <c r="AI594" s="359" t="str">
        <f t="shared" si="138"/>
        <v/>
      </c>
      <c r="AJ594" s="359" t="str">
        <f t="shared" si="139"/>
        <v/>
      </c>
      <c r="AK594" s="359" t="str">
        <f t="shared" si="141"/>
        <v/>
      </c>
      <c r="AL594" s="359" t="str">
        <f t="shared" si="140"/>
        <v/>
      </c>
      <c r="AM594" s="359" t="str">
        <f t="shared" si="142"/>
        <v/>
      </c>
      <c r="AN594" s="262">
        <f t="shared" si="145"/>
        <v>0</v>
      </c>
      <c r="AO594" s="262" t="str">
        <f>IFERROR(HLOOKUP(AN594,'Ref Lists'!Q$1:AL$2,2,FALSE),'Ref Lists'!$AK$2)</f>
        <v>Savings21</v>
      </c>
      <c r="AP594" s="38"/>
      <c r="AQ594" s="38">
        <f t="shared" si="134"/>
        <v>0</v>
      </c>
      <c r="AR594" s="38"/>
      <c r="AS594" s="38"/>
      <c r="AT594" s="38"/>
      <c r="AU594" s="38"/>
      <c r="AV594" s="38"/>
      <c r="AW594" s="38"/>
      <c r="AX594" s="38"/>
      <c r="AY594" s="38"/>
      <c r="AZ594" s="38"/>
      <c r="BA594" s="38"/>
      <c r="BB594" s="38"/>
      <c r="BC594" s="38"/>
      <c r="BD594" s="38"/>
      <c r="BE594" s="38"/>
      <c r="BF594" s="38"/>
      <c r="BG594" s="38"/>
      <c r="BH594" s="38"/>
      <c r="BI594" s="38"/>
      <c r="BJ594" s="38"/>
      <c r="BK594" s="38"/>
      <c r="BL594" s="38"/>
      <c r="BM594" s="38"/>
      <c r="BN594" s="38"/>
      <c r="BO594" s="38"/>
      <c r="BP594" s="38"/>
      <c r="BQ594" s="38"/>
      <c r="BR594" s="38"/>
      <c r="BS594" s="38"/>
      <c r="BT594" s="38"/>
      <c r="BU594" s="38"/>
      <c r="BV594" s="38"/>
      <c r="BW594" s="38"/>
      <c r="BX594" s="38"/>
      <c r="BY594" s="38"/>
      <c r="BZ594" s="38"/>
      <c r="CA594" s="38"/>
      <c r="CB594" s="38"/>
      <c r="CC594" s="38"/>
      <c r="CD594" s="38"/>
      <c r="CE594" s="38"/>
      <c r="CF594" s="38"/>
      <c r="CG594" s="38"/>
      <c r="CH594" s="38"/>
      <c r="CI594" s="38"/>
      <c r="CJ594" s="38"/>
      <c r="CK594" s="38"/>
      <c r="CL594" s="38"/>
      <c r="CM594" s="38"/>
      <c r="CN594" s="38"/>
      <c r="CO594" s="38"/>
      <c r="CP594" s="38"/>
      <c r="CQ594" s="38"/>
      <c r="CR594" s="38"/>
      <c r="CS594" s="38"/>
      <c r="CT594" s="38"/>
      <c r="CU594" s="38"/>
      <c r="CV594" s="38"/>
      <c r="CW594" s="38"/>
      <c r="CX594" s="38"/>
      <c r="CY594" s="38"/>
      <c r="CZ594" s="38"/>
    </row>
    <row r="595" spans="1:104" s="40" customFormat="1" ht="20.149999999999999" customHeight="1">
      <c r="A595" s="358">
        <f t="shared" si="143"/>
        <v>594</v>
      </c>
      <c r="B595" s="359" t="str">
        <f>'Front Sheet and Checklist'!$C$5</f>
        <v>Swansea Bay UHB</v>
      </c>
      <c r="C595" s="17"/>
      <c r="D595" s="17"/>
      <c r="E595" s="17"/>
      <c r="F595" s="17"/>
      <c r="G595" s="17"/>
      <c r="H595" s="17"/>
      <c r="I595" s="361">
        <f t="shared" si="133"/>
        <v>0</v>
      </c>
      <c r="J595" s="17"/>
      <c r="K595" s="18"/>
      <c r="L595" s="18"/>
      <c r="M595" s="17"/>
      <c r="N595" s="17"/>
      <c r="O595" s="17"/>
      <c r="P595" s="17"/>
      <c r="Q595" s="169"/>
      <c r="R595" s="24"/>
      <c r="S595" s="24"/>
      <c r="T595" s="24"/>
      <c r="U595" s="25"/>
      <c r="V595" s="25"/>
      <c r="W595" s="25"/>
      <c r="X595" s="24"/>
      <c r="Y595" s="24"/>
      <c r="Z595" s="24"/>
      <c r="AA595" s="24"/>
      <c r="AB595" s="24"/>
      <c r="AC595" s="24"/>
      <c r="AD595" s="361">
        <f t="shared" si="132"/>
        <v>0</v>
      </c>
      <c r="AE595" s="359" t="str">
        <f t="shared" si="135"/>
        <v/>
      </c>
      <c r="AF595" s="359" t="str">
        <f t="shared" si="144"/>
        <v/>
      </c>
      <c r="AG595" s="359" t="str">
        <f t="shared" si="136"/>
        <v/>
      </c>
      <c r="AH595" s="359" t="str">
        <f t="shared" si="137"/>
        <v/>
      </c>
      <c r="AI595" s="359" t="str">
        <f t="shared" si="138"/>
        <v/>
      </c>
      <c r="AJ595" s="359" t="str">
        <f t="shared" si="139"/>
        <v/>
      </c>
      <c r="AK595" s="359" t="str">
        <f t="shared" si="141"/>
        <v/>
      </c>
      <c r="AL595" s="359" t="str">
        <f t="shared" si="140"/>
        <v/>
      </c>
      <c r="AM595" s="359" t="str">
        <f t="shared" si="142"/>
        <v/>
      </c>
      <c r="AN595" s="262">
        <f t="shared" si="145"/>
        <v>0</v>
      </c>
      <c r="AO595" s="262" t="str">
        <f>IFERROR(HLOOKUP(AN595,'Ref Lists'!Q$1:AL$2,2,FALSE),'Ref Lists'!$AK$2)</f>
        <v>Savings21</v>
      </c>
      <c r="AP595" s="38"/>
      <c r="AQ595" s="38">
        <f t="shared" si="134"/>
        <v>0</v>
      </c>
      <c r="AR595" s="38"/>
      <c r="AS595" s="38"/>
      <c r="AT595" s="38"/>
      <c r="AU595" s="38"/>
      <c r="AV595" s="38"/>
      <c r="AW595" s="38"/>
      <c r="AX595" s="38"/>
      <c r="AY595" s="38"/>
      <c r="AZ595" s="38"/>
      <c r="BA595" s="38"/>
      <c r="BB595" s="38"/>
      <c r="BC595" s="38"/>
      <c r="BD595" s="38"/>
      <c r="BE595" s="38"/>
      <c r="BF595" s="38"/>
      <c r="BG595" s="38"/>
      <c r="BH595" s="38"/>
      <c r="BI595" s="38"/>
      <c r="BJ595" s="38"/>
      <c r="BK595" s="38"/>
      <c r="BL595" s="38"/>
      <c r="BM595" s="38"/>
      <c r="BN595" s="38"/>
      <c r="BO595" s="38"/>
      <c r="BP595" s="38"/>
      <c r="BQ595" s="38"/>
      <c r="BR595" s="38"/>
      <c r="BS595" s="38"/>
      <c r="BT595" s="38"/>
      <c r="BU595" s="38"/>
      <c r="BV595" s="38"/>
      <c r="BW595" s="38"/>
      <c r="BX595" s="38"/>
      <c r="BY595" s="38"/>
      <c r="BZ595" s="38"/>
      <c r="CA595" s="38"/>
      <c r="CB595" s="38"/>
      <c r="CC595" s="38"/>
      <c r="CD595" s="38"/>
      <c r="CE595" s="38"/>
      <c r="CF595" s="38"/>
      <c r="CG595" s="38"/>
      <c r="CH595" s="38"/>
      <c r="CI595" s="38"/>
      <c r="CJ595" s="38"/>
      <c r="CK595" s="38"/>
      <c r="CL595" s="38"/>
      <c r="CM595" s="38"/>
      <c r="CN595" s="38"/>
      <c r="CO595" s="38"/>
      <c r="CP595" s="38"/>
      <c r="CQ595" s="38"/>
      <c r="CR595" s="38"/>
      <c r="CS595" s="38"/>
      <c r="CT595" s="38"/>
      <c r="CU595" s="38"/>
      <c r="CV595" s="38"/>
      <c r="CW595" s="38"/>
      <c r="CX595" s="38"/>
      <c r="CY595" s="38"/>
      <c r="CZ595" s="38"/>
    </row>
    <row r="596" spans="1:104" s="40" customFormat="1" ht="20.149999999999999" customHeight="1">
      <c r="A596" s="358">
        <f t="shared" si="143"/>
        <v>595</v>
      </c>
      <c r="B596" s="359" t="str">
        <f>'Front Sheet and Checklist'!$C$5</f>
        <v>Swansea Bay UHB</v>
      </c>
      <c r="C596" s="17"/>
      <c r="D596" s="17"/>
      <c r="E596" s="17"/>
      <c r="F596" s="17"/>
      <c r="G596" s="17"/>
      <c r="H596" s="17"/>
      <c r="I596" s="361">
        <f t="shared" si="133"/>
        <v>0</v>
      </c>
      <c r="J596" s="17"/>
      <c r="K596" s="18"/>
      <c r="L596" s="18"/>
      <c r="M596" s="17"/>
      <c r="N596" s="17"/>
      <c r="O596" s="17"/>
      <c r="P596" s="17"/>
      <c r="Q596" s="169"/>
      <c r="R596" s="24"/>
      <c r="S596" s="24"/>
      <c r="T596" s="24"/>
      <c r="U596" s="25"/>
      <c r="V596" s="25"/>
      <c r="W596" s="25"/>
      <c r="X596" s="24"/>
      <c r="Y596" s="24"/>
      <c r="Z596" s="24"/>
      <c r="AA596" s="24"/>
      <c r="AB596" s="24"/>
      <c r="AC596" s="24"/>
      <c r="AD596" s="361">
        <f t="shared" si="132"/>
        <v>0</v>
      </c>
      <c r="AE596" s="359" t="str">
        <f t="shared" si="135"/>
        <v/>
      </c>
      <c r="AF596" s="359" t="str">
        <f t="shared" si="144"/>
        <v/>
      </c>
      <c r="AG596" s="359" t="str">
        <f t="shared" si="136"/>
        <v/>
      </c>
      <c r="AH596" s="359" t="str">
        <f t="shared" si="137"/>
        <v/>
      </c>
      <c r="AI596" s="359" t="str">
        <f t="shared" si="138"/>
        <v/>
      </c>
      <c r="AJ596" s="359" t="str">
        <f t="shared" si="139"/>
        <v/>
      </c>
      <c r="AK596" s="359" t="str">
        <f t="shared" si="141"/>
        <v/>
      </c>
      <c r="AL596" s="359" t="str">
        <f t="shared" si="140"/>
        <v/>
      </c>
      <c r="AM596" s="359" t="str">
        <f t="shared" si="142"/>
        <v/>
      </c>
      <c r="AN596" s="262">
        <f t="shared" si="145"/>
        <v>0</v>
      </c>
      <c r="AO596" s="262" t="str">
        <f>IFERROR(HLOOKUP(AN596,'Ref Lists'!Q$1:AL$2,2,FALSE),'Ref Lists'!$AK$2)</f>
        <v>Savings21</v>
      </c>
      <c r="AP596" s="38"/>
      <c r="AQ596" s="38">
        <f t="shared" si="134"/>
        <v>0</v>
      </c>
      <c r="AR596" s="38"/>
      <c r="AS596" s="38"/>
      <c r="AT596" s="38"/>
      <c r="AU596" s="38"/>
      <c r="AV596" s="38"/>
      <c r="AW596" s="38"/>
      <c r="AX596" s="38"/>
      <c r="AY596" s="38"/>
      <c r="AZ596" s="38"/>
      <c r="BA596" s="38"/>
      <c r="BB596" s="38"/>
      <c r="BC596" s="38"/>
      <c r="BD596" s="38"/>
      <c r="BE596" s="38"/>
      <c r="BF596" s="38"/>
      <c r="BG596" s="38"/>
      <c r="BH596" s="38"/>
      <c r="BI596" s="38"/>
      <c r="BJ596" s="38"/>
      <c r="BK596" s="38"/>
      <c r="BL596" s="38"/>
      <c r="BM596" s="38"/>
      <c r="BN596" s="38"/>
      <c r="BO596" s="38"/>
      <c r="BP596" s="38"/>
      <c r="BQ596" s="38"/>
      <c r="BR596" s="38"/>
      <c r="BS596" s="38"/>
      <c r="BT596" s="38"/>
      <c r="BU596" s="38"/>
      <c r="BV596" s="38"/>
      <c r="BW596" s="38"/>
      <c r="BX596" s="38"/>
      <c r="BY596" s="38"/>
      <c r="BZ596" s="38"/>
      <c r="CA596" s="38"/>
      <c r="CB596" s="38"/>
      <c r="CC596" s="38"/>
      <c r="CD596" s="38"/>
      <c r="CE596" s="38"/>
      <c r="CF596" s="38"/>
      <c r="CG596" s="38"/>
      <c r="CH596" s="38"/>
      <c r="CI596" s="38"/>
      <c r="CJ596" s="38"/>
      <c r="CK596" s="38"/>
      <c r="CL596" s="38"/>
      <c r="CM596" s="38"/>
      <c r="CN596" s="38"/>
      <c r="CO596" s="38"/>
      <c r="CP596" s="38"/>
      <c r="CQ596" s="38"/>
      <c r="CR596" s="38"/>
      <c r="CS596" s="38"/>
      <c r="CT596" s="38"/>
      <c r="CU596" s="38"/>
      <c r="CV596" s="38"/>
      <c r="CW596" s="38"/>
      <c r="CX596" s="38"/>
      <c r="CY596" s="38"/>
      <c r="CZ596" s="38"/>
    </row>
    <row r="597" spans="1:104" s="40" customFormat="1" ht="20.149999999999999" customHeight="1">
      <c r="A597" s="358">
        <f t="shared" si="143"/>
        <v>596</v>
      </c>
      <c r="B597" s="359" t="str">
        <f>'Front Sheet and Checklist'!$C$5</f>
        <v>Swansea Bay UHB</v>
      </c>
      <c r="C597" s="17"/>
      <c r="D597" s="17"/>
      <c r="E597" s="17"/>
      <c r="F597" s="17"/>
      <c r="G597" s="17"/>
      <c r="H597" s="17"/>
      <c r="I597" s="361">
        <f t="shared" si="133"/>
        <v>0</v>
      </c>
      <c r="J597" s="17"/>
      <c r="K597" s="18"/>
      <c r="L597" s="18"/>
      <c r="M597" s="17"/>
      <c r="N597" s="17"/>
      <c r="O597" s="17"/>
      <c r="P597" s="17"/>
      <c r="Q597" s="169"/>
      <c r="R597" s="24"/>
      <c r="S597" s="24"/>
      <c r="T597" s="24"/>
      <c r="U597" s="25"/>
      <c r="V597" s="25"/>
      <c r="W597" s="25"/>
      <c r="X597" s="24"/>
      <c r="Y597" s="24"/>
      <c r="Z597" s="24"/>
      <c r="AA597" s="24"/>
      <c r="AB597" s="24"/>
      <c r="AC597" s="24"/>
      <c r="AD597" s="361">
        <f t="shared" si="132"/>
        <v>0</v>
      </c>
      <c r="AE597" s="359" t="str">
        <f t="shared" si="135"/>
        <v/>
      </c>
      <c r="AF597" s="359" t="str">
        <f t="shared" si="144"/>
        <v/>
      </c>
      <c r="AG597" s="359" t="str">
        <f t="shared" si="136"/>
        <v/>
      </c>
      <c r="AH597" s="359" t="str">
        <f t="shared" si="137"/>
        <v/>
      </c>
      <c r="AI597" s="359" t="str">
        <f t="shared" si="138"/>
        <v/>
      </c>
      <c r="AJ597" s="359" t="str">
        <f t="shared" si="139"/>
        <v/>
      </c>
      <c r="AK597" s="359" t="str">
        <f t="shared" si="141"/>
        <v/>
      </c>
      <c r="AL597" s="359" t="str">
        <f t="shared" si="140"/>
        <v/>
      </c>
      <c r="AM597" s="359" t="str">
        <f t="shared" si="142"/>
        <v/>
      </c>
      <c r="AN597" s="262">
        <f t="shared" si="145"/>
        <v>0</v>
      </c>
      <c r="AO597" s="262" t="str">
        <f>IFERROR(HLOOKUP(AN597,'Ref Lists'!Q$1:AL$2,2,FALSE),'Ref Lists'!$AK$2)</f>
        <v>Savings21</v>
      </c>
      <c r="AP597" s="38"/>
      <c r="AQ597" s="38">
        <f t="shared" si="134"/>
        <v>0</v>
      </c>
      <c r="AR597" s="38"/>
      <c r="AS597" s="38"/>
      <c r="AT597" s="38"/>
      <c r="AU597" s="38"/>
      <c r="AV597" s="38"/>
      <c r="AW597" s="38"/>
      <c r="AX597" s="38"/>
      <c r="AY597" s="38"/>
      <c r="AZ597" s="38"/>
      <c r="BA597" s="38"/>
      <c r="BB597" s="38"/>
      <c r="BC597" s="38"/>
      <c r="BD597" s="38"/>
      <c r="BE597" s="38"/>
      <c r="BF597" s="38"/>
      <c r="BG597" s="38"/>
      <c r="BH597" s="38"/>
      <c r="BI597" s="38"/>
      <c r="BJ597" s="38"/>
      <c r="BK597" s="38"/>
      <c r="BL597" s="38"/>
      <c r="BM597" s="38"/>
      <c r="BN597" s="38"/>
      <c r="BO597" s="38"/>
      <c r="BP597" s="38"/>
      <c r="BQ597" s="38"/>
      <c r="BR597" s="38"/>
      <c r="BS597" s="38"/>
      <c r="BT597" s="38"/>
      <c r="BU597" s="38"/>
      <c r="BV597" s="38"/>
      <c r="BW597" s="38"/>
      <c r="BX597" s="38"/>
      <c r="BY597" s="38"/>
      <c r="BZ597" s="38"/>
      <c r="CA597" s="38"/>
      <c r="CB597" s="38"/>
      <c r="CC597" s="38"/>
      <c r="CD597" s="38"/>
      <c r="CE597" s="38"/>
      <c r="CF597" s="38"/>
      <c r="CG597" s="38"/>
      <c r="CH597" s="38"/>
      <c r="CI597" s="38"/>
      <c r="CJ597" s="38"/>
      <c r="CK597" s="38"/>
      <c r="CL597" s="38"/>
      <c r="CM597" s="38"/>
      <c r="CN597" s="38"/>
      <c r="CO597" s="38"/>
      <c r="CP597" s="38"/>
      <c r="CQ597" s="38"/>
      <c r="CR597" s="38"/>
      <c r="CS597" s="38"/>
      <c r="CT597" s="38"/>
      <c r="CU597" s="38"/>
      <c r="CV597" s="38"/>
      <c r="CW597" s="38"/>
      <c r="CX597" s="38"/>
      <c r="CY597" s="38"/>
      <c r="CZ597" s="38"/>
    </row>
    <row r="598" spans="1:104" s="40" customFormat="1" ht="20.149999999999999" customHeight="1">
      <c r="A598" s="358">
        <f t="shared" si="143"/>
        <v>597</v>
      </c>
      <c r="B598" s="359" t="str">
        <f>'Front Sheet and Checklist'!$C$5</f>
        <v>Swansea Bay UHB</v>
      </c>
      <c r="C598" s="17"/>
      <c r="D598" s="17"/>
      <c r="E598" s="17"/>
      <c r="F598" s="17"/>
      <c r="G598" s="17"/>
      <c r="H598" s="17"/>
      <c r="I598" s="361">
        <f t="shared" si="133"/>
        <v>0</v>
      </c>
      <c r="J598" s="17"/>
      <c r="K598" s="18"/>
      <c r="L598" s="18"/>
      <c r="M598" s="17"/>
      <c r="N598" s="17"/>
      <c r="O598" s="17"/>
      <c r="P598" s="17"/>
      <c r="Q598" s="169"/>
      <c r="R598" s="24"/>
      <c r="S598" s="24"/>
      <c r="T598" s="24"/>
      <c r="U598" s="25"/>
      <c r="V598" s="25"/>
      <c r="W598" s="25"/>
      <c r="X598" s="24"/>
      <c r="Y598" s="24"/>
      <c r="Z598" s="24"/>
      <c r="AA598" s="24"/>
      <c r="AB598" s="24"/>
      <c r="AC598" s="24"/>
      <c r="AD598" s="361">
        <f t="shared" si="132"/>
        <v>0</v>
      </c>
      <c r="AE598" s="359" t="str">
        <f t="shared" si="135"/>
        <v/>
      </c>
      <c r="AF598" s="359" t="str">
        <f t="shared" si="144"/>
        <v/>
      </c>
      <c r="AG598" s="359" t="str">
        <f t="shared" si="136"/>
        <v/>
      </c>
      <c r="AH598" s="359" t="str">
        <f t="shared" si="137"/>
        <v/>
      </c>
      <c r="AI598" s="359" t="str">
        <f t="shared" si="138"/>
        <v/>
      </c>
      <c r="AJ598" s="359" t="str">
        <f t="shared" si="139"/>
        <v/>
      </c>
      <c r="AK598" s="359" t="str">
        <f t="shared" si="141"/>
        <v/>
      </c>
      <c r="AL598" s="359" t="str">
        <f t="shared" si="140"/>
        <v/>
      </c>
      <c r="AM598" s="359" t="str">
        <f t="shared" si="142"/>
        <v/>
      </c>
      <c r="AN598" s="262">
        <f t="shared" si="145"/>
        <v>0</v>
      </c>
      <c r="AO598" s="262" t="str">
        <f>IFERROR(HLOOKUP(AN598,'Ref Lists'!Q$1:AL$2,2,FALSE),'Ref Lists'!$AK$2)</f>
        <v>Savings21</v>
      </c>
      <c r="AP598" s="38"/>
      <c r="AQ598" s="38">
        <f t="shared" si="134"/>
        <v>0</v>
      </c>
      <c r="AR598" s="38"/>
      <c r="AS598" s="38"/>
      <c r="AT598" s="38"/>
      <c r="AU598" s="38"/>
      <c r="AV598" s="38"/>
      <c r="AW598" s="38"/>
      <c r="AX598" s="38"/>
      <c r="AY598" s="38"/>
      <c r="AZ598" s="38"/>
      <c r="BA598" s="38"/>
      <c r="BB598" s="38"/>
      <c r="BC598" s="38"/>
      <c r="BD598" s="38"/>
      <c r="BE598" s="38"/>
      <c r="BF598" s="38"/>
      <c r="BG598" s="38"/>
      <c r="BH598" s="38"/>
      <c r="BI598" s="38"/>
      <c r="BJ598" s="38"/>
      <c r="BK598" s="38"/>
      <c r="BL598" s="38"/>
      <c r="BM598" s="38"/>
      <c r="BN598" s="38"/>
      <c r="BO598" s="38"/>
      <c r="BP598" s="38"/>
      <c r="BQ598" s="38"/>
      <c r="BR598" s="38"/>
      <c r="BS598" s="38"/>
      <c r="BT598" s="38"/>
      <c r="BU598" s="38"/>
      <c r="BV598" s="38"/>
      <c r="BW598" s="38"/>
      <c r="BX598" s="38"/>
      <c r="BY598" s="38"/>
      <c r="BZ598" s="38"/>
      <c r="CA598" s="38"/>
      <c r="CB598" s="38"/>
      <c r="CC598" s="38"/>
      <c r="CD598" s="38"/>
      <c r="CE598" s="38"/>
      <c r="CF598" s="38"/>
      <c r="CG598" s="38"/>
      <c r="CH598" s="38"/>
      <c r="CI598" s="38"/>
      <c r="CJ598" s="38"/>
      <c r="CK598" s="38"/>
      <c r="CL598" s="38"/>
      <c r="CM598" s="38"/>
      <c r="CN598" s="38"/>
      <c r="CO598" s="38"/>
      <c r="CP598" s="38"/>
      <c r="CQ598" s="38"/>
      <c r="CR598" s="38"/>
      <c r="CS598" s="38"/>
      <c r="CT598" s="38"/>
      <c r="CU598" s="38"/>
      <c r="CV598" s="38"/>
      <c r="CW598" s="38"/>
      <c r="CX598" s="38"/>
      <c r="CY598" s="38"/>
      <c r="CZ598" s="38"/>
    </row>
    <row r="599" spans="1:104" s="40" customFormat="1" ht="20.149999999999999" customHeight="1">
      <c r="A599" s="358">
        <f t="shared" si="143"/>
        <v>598</v>
      </c>
      <c r="B599" s="359" t="str">
        <f>'Front Sheet and Checklist'!$C$5</f>
        <v>Swansea Bay UHB</v>
      </c>
      <c r="C599" s="17"/>
      <c r="D599" s="17"/>
      <c r="E599" s="17"/>
      <c r="F599" s="17"/>
      <c r="G599" s="17"/>
      <c r="H599" s="17"/>
      <c r="I599" s="361">
        <f t="shared" si="133"/>
        <v>0</v>
      </c>
      <c r="J599" s="17"/>
      <c r="K599" s="18"/>
      <c r="L599" s="18"/>
      <c r="M599" s="17"/>
      <c r="N599" s="17"/>
      <c r="O599" s="17"/>
      <c r="P599" s="17"/>
      <c r="Q599" s="169"/>
      <c r="R599" s="24"/>
      <c r="S599" s="24"/>
      <c r="T599" s="24"/>
      <c r="U599" s="25"/>
      <c r="V599" s="25"/>
      <c r="W599" s="25"/>
      <c r="X599" s="24"/>
      <c r="Y599" s="24"/>
      <c r="Z599" s="24"/>
      <c r="AA599" s="24"/>
      <c r="AB599" s="24"/>
      <c r="AC599" s="24"/>
      <c r="AD599" s="361">
        <f t="shared" si="132"/>
        <v>0</v>
      </c>
      <c r="AE599" s="359" t="str">
        <f t="shared" si="135"/>
        <v/>
      </c>
      <c r="AF599" s="359" t="str">
        <f t="shared" si="144"/>
        <v/>
      </c>
      <c r="AG599" s="359" t="str">
        <f t="shared" si="136"/>
        <v/>
      </c>
      <c r="AH599" s="359" t="str">
        <f t="shared" si="137"/>
        <v/>
      </c>
      <c r="AI599" s="359" t="str">
        <f t="shared" si="138"/>
        <v/>
      </c>
      <c r="AJ599" s="359" t="str">
        <f t="shared" si="139"/>
        <v/>
      </c>
      <c r="AK599" s="359" t="str">
        <f t="shared" si="141"/>
        <v/>
      </c>
      <c r="AL599" s="359" t="str">
        <f t="shared" si="140"/>
        <v/>
      </c>
      <c r="AM599" s="359" t="str">
        <f t="shared" si="142"/>
        <v/>
      </c>
      <c r="AN599" s="262">
        <f t="shared" si="145"/>
        <v>0</v>
      </c>
      <c r="AO599" s="262" t="str">
        <f>IFERROR(HLOOKUP(AN599,'Ref Lists'!Q$1:AL$2,2,FALSE),'Ref Lists'!$AK$2)</f>
        <v>Savings21</v>
      </c>
      <c r="AP599" s="38"/>
      <c r="AQ599" s="38">
        <f t="shared" si="134"/>
        <v>0</v>
      </c>
      <c r="AR599" s="38"/>
      <c r="AS599" s="38"/>
      <c r="AT599" s="38"/>
      <c r="AU599" s="38"/>
      <c r="AV599" s="38"/>
      <c r="AW599" s="38"/>
      <c r="AX599" s="38"/>
      <c r="AY599" s="38"/>
      <c r="AZ599" s="38"/>
      <c r="BA599" s="38"/>
      <c r="BB599" s="38"/>
      <c r="BC599" s="38"/>
      <c r="BD599" s="38"/>
      <c r="BE599" s="38"/>
      <c r="BF599" s="38"/>
      <c r="BG599" s="38"/>
      <c r="BH599" s="38"/>
      <c r="BI599" s="38"/>
      <c r="BJ599" s="38"/>
      <c r="BK599" s="38"/>
      <c r="BL599" s="38"/>
      <c r="BM599" s="38"/>
      <c r="BN599" s="38"/>
      <c r="BO599" s="38"/>
      <c r="BP599" s="38"/>
      <c r="BQ599" s="38"/>
      <c r="BR599" s="38"/>
      <c r="BS599" s="38"/>
      <c r="BT599" s="38"/>
      <c r="BU599" s="38"/>
      <c r="BV599" s="38"/>
      <c r="BW599" s="38"/>
      <c r="BX599" s="38"/>
      <c r="BY599" s="38"/>
      <c r="BZ599" s="38"/>
      <c r="CA599" s="38"/>
      <c r="CB599" s="38"/>
      <c r="CC599" s="38"/>
      <c r="CD599" s="38"/>
      <c r="CE599" s="38"/>
      <c r="CF599" s="38"/>
      <c r="CG599" s="38"/>
      <c r="CH599" s="38"/>
      <c r="CI599" s="38"/>
      <c r="CJ599" s="38"/>
      <c r="CK599" s="38"/>
      <c r="CL599" s="38"/>
      <c r="CM599" s="38"/>
      <c r="CN599" s="38"/>
      <c r="CO599" s="38"/>
      <c r="CP599" s="38"/>
      <c r="CQ599" s="38"/>
      <c r="CR599" s="38"/>
      <c r="CS599" s="38"/>
      <c r="CT599" s="38"/>
      <c r="CU599" s="38"/>
      <c r="CV599" s="38"/>
      <c r="CW599" s="38"/>
      <c r="CX599" s="38"/>
      <c r="CY599" s="38"/>
      <c r="CZ599" s="38"/>
    </row>
    <row r="600" spans="1:104" s="40" customFormat="1" ht="20.149999999999999" customHeight="1">
      <c r="A600" s="358">
        <f t="shared" si="143"/>
        <v>599</v>
      </c>
      <c r="B600" s="359" t="str">
        <f>'Front Sheet and Checklist'!$C$5</f>
        <v>Swansea Bay UHB</v>
      </c>
      <c r="C600" s="17"/>
      <c r="D600" s="17"/>
      <c r="E600" s="17"/>
      <c r="F600" s="17"/>
      <c r="G600" s="17"/>
      <c r="H600" s="17"/>
      <c r="I600" s="361">
        <f t="shared" si="133"/>
        <v>0</v>
      </c>
      <c r="J600" s="17"/>
      <c r="K600" s="18"/>
      <c r="L600" s="18"/>
      <c r="M600" s="17"/>
      <c r="N600" s="17"/>
      <c r="O600" s="17"/>
      <c r="P600" s="17"/>
      <c r="Q600" s="169"/>
      <c r="R600" s="24"/>
      <c r="S600" s="24"/>
      <c r="T600" s="24"/>
      <c r="U600" s="25"/>
      <c r="V600" s="25"/>
      <c r="W600" s="25"/>
      <c r="X600" s="24"/>
      <c r="Y600" s="24"/>
      <c r="Z600" s="24"/>
      <c r="AA600" s="24"/>
      <c r="AB600" s="24"/>
      <c r="AC600" s="24"/>
      <c r="AD600" s="361">
        <f t="shared" si="132"/>
        <v>0</v>
      </c>
      <c r="AE600" s="359" t="str">
        <f t="shared" si="135"/>
        <v/>
      </c>
      <c r="AF600" s="359" t="str">
        <f t="shared" si="144"/>
        <v/>
      </c>
      <c r="AG600" s="359" t="str">
        <f t="shared" si="136"/>
        <v/>
      </c>
      <c r="AH600" s="359" t="str">
        <f t="shared" si="137"/>
        <v/>
      </c>
      <c r="AI600" s="359" t="str">
        <f t="shared" si="138"/>
        <v/>
      </c>
      <c r="AJ600" s="359" t="str">
        <f t="shared" si="139"/>
        <v/>
      </c>
      <c r="AK600" s="359" t="str">
        <f t="shared" si="141"/>
        <v/>
      </c>
      <c r="AL600" s="359" t="str">
        <f t="shared" si="140"/>
        <v/>
      </c>
      <c r="AM600" s="359" t="str">
        <f t="shared" si="142"/>
        <v/>
      </c>
      <c r="AN600" s="262">
        <f t="shared" si="145"/>
        <v>0</v>
      </c>
      <c r="AO600" s="262" t="str">
        <f>IFERROR(HLOOKUP(AN600,'Ref Lists'!Q$1:AL$2,2,FALSE),'Ref Lists'!$AK$2)</f>
        <v>Savings21</v>
      </c>
      <c r="AP600" s="38"/>
      <c r="AQ600" s="38">
        <f t="shared" si="134"/>
        <v>0</v>
      </c>
      <c r="AR600" s="38"/>
      <c r="AS600" s="38"/>
      <c r="AT600" s="38"/>
      <c r="AU600" s="38"/>
      <c r="AV600" s="38"/>
      <c r="AW600" s="38"/>
      <c r="AX600" s="38"/>
      <c r="AY600" s="38"/>
      <c r="AZ600" s="38"/>
      <c r="BA600" s="38"/>
      <c r="BB600" s="38"/>
      <c r="BC600" s="38"/>
      <c r="BD600" s="38"/>
      <c r="BE600" s="38"/>
      <c r="BF600" s="38"/>
      <c r="BG600" s="38"/>
      <c r="BH600" s="38"/>
      <c r="BI600" s="38"/>
      <c r="BJ600" s="38"/>
      <c r="BK600" s="38"/>
      <c r="BL600" s="38"/>
      <c r="BM600" s="38"/>
      <c r="BN600" s="38"/>
      <c r="BO600" s="38"/>
      <c r="BP600" s="38"/>
      <c r="BQ600" s="38"/>
      <c r="BR600" s="38"/>
      <c r="BS600" s="38"/>
      <c r="BT600" s="38"/>
      <c r="BU600" s="38"/>
      <c r="BV600" s="38"/>
      <c r="BW600" s="38"/>
      <c r="BX600" s="38"/>
      <c r="BY600" s="38"/>
      <c r="BZ600" s="38"/>
      <c r="CA600" s="38"/>
      <c r="CB600" s="38"/>
      <c r="CC600" s="38"/>
      <c r="CD600" s="38"/>
      <c r="CE600" s="38"/>
      <c r="CF600" s="38"/>
      <c r="CG600" s="38"/>
      <c r="CH600" s="38"/>
      <c r="CI600" s="38"/>
      <c r="CJ600" s="38"/>
      <c r="CK600" s="38"/>
      <c r="CL600" s="38"/>
      <c r="CM600" s="38"/>
      <c r="CN600" s="38"/>
      <c r="CO600" s="38"/>
      <c r="CP600" s="38"/>
      <c r="CQ600" s="38"/>
      <c r="CR600" s="38"/>
      <c r="CS600" s="38"/>
      <c r="CT600" s="38"/>
      <c r="CU600" s="38"/>
      <c r="CV600" s="38"/>
      <c r="CW600" s="38"/>
      <c r="CX600" s="38"/>
      <c r="CY600" s="38"/>
      <c r="CZ600" s="38"/>
    </row>
    <row r="601" spans="1:104" s="40" customFormat="1" ht="20.149999999999999" customHeight="1">
      <c r="A601" s="358">
        <f t="shared" si="143"/>
        <v>600</v>
      </c>
      <c r="B601" s="359" t="str">
        <f>'Front Sheet and Checklist'!$C$5</f>
        <v>Swansea Bay UHB</v>
      </c>
      <c r="C601" s="17"/>
      <c r="D601" s="17"/>
      <c r="E601" s="17"/>
      <c r="F601" s="17"/>
      <c r="G601" s="17"/>
      <c r="H601" s="17"/>
      <c r="I601" s="361">
        <f t="shared" si="133"/>
        <v>0</v>
      </c>
      <c r="J601" s="17"/>
      <c r="K601" s="18"/>
      <c r="L601" s="18"/>
      <c r="M601" s="17"/>
      <c r="N601" s="17"/>
      <c r="O601" s="17"/>
      <c r="P601" s="17"/>
      <c r="Q601" s="169"/>
      <c r="R601" s="24"/>
      <c r="S601" s="24"/>
      <c r="T601" s="24"/>
      <c r="U601" s="25"/>
      <c r="V601" s="25"/>
      <c r="W601" s="25"/>
      <c r="X601" s="24"/>
      <c r="Y601" s="24"/>
      <c r="Z601" s="24"/>
      <c r="AA601" s="24"/>
      <c r="AB601" s="24"/>
      <c r="AC601" s="24"/>
      <c r="AD601" s="361">
        <f t="shared" si="132"/>
        <v>0</v>
      </c>
      <c r="AE601" s="359" t="str">
        <f t="shared" si="135"/>
        <v/>
      </c>
      <c r="AF601" s="359" t="str">
        <f t="shared" si="144"/>
        <v/>
      </c>
      <c r="AG601" s="359" t="str">
        <f t="shared" si="136"/>
        <v/>
      </c>
      <c r="AH601" s="359" t="str">
        <f t="shared" si="137"/>
        <v/>
      </c>
      <c r="AI601" s="359" t="str">
        <f t="shared" si="138"/>
        <v/>
      </c>
      <c r="AJ601" s="359" t="str">
        <f t="shared" si="139"/>
        <v/>
      </c>
      <c r="AK601" s="359" t="str">
        <f t="shared" si="141"/>
        <v/>
      </c>
      <c r="AL601" s="359" t="str">
        <f t="shared" si="140"/>
        <v/>
      </c>
      <c r="AM601" s="359" t="str">
        <f t="shared" si="142"/>
        <v/>
      </c>
      <c r="AN601" s="262">
        <f t="shared" si="145"/>
        <v>0</v>
      </c>
      <c r="AO601" s="262" t="str">
        <f>IFERROR(HLOOKUP(AN601,'Ref Lists'!Q$1:AL$2,2,FALSE),'Ref Lists'!$AK$2)</f>
        <v>Savings21</v>
      </c>
      <c r="AP601" s="38"/>
      <c r="AQ601" s="38">
        <f t="shared" si="134"/>
        <v>0</v>
      </c>
      <c r="AR601" s="38"/>
      <c r="AS601" s="38"/>
      <c r="AT601" s="38"/>
      <c r="AU601" s="38"/>
      <c r="AV601" s="38"/>
      <c r="AW601" s="38"/>
      <c r="AX601" s="38"/>
      <c r="AY601" s="38"/>
      <c r="AZ601" s="38"/>
      <c r="BA601" s="38"/>
      <c r="BB601" s="38"/>
      <c r="BC601" s="38"/>
      <c r="BD601" s="38"/>
      <c r="BE601" s="38"/>
      <c r="BF601" s="38"/>
      <c r="BG601" s="38"/>
      <c r="BH601" s="38"/>
      <c r="BI601" s="38"/>
      <c r="BJ601" s="38"/>
      <c r="BK601" s="38"/>
      <c r="BL601" s="38"/>
      <c r="BM601" s="38"/>
      <c r="BN601" s="38"/>
      <c r="BO601" s="38"/>
      <c r="BP601" s="38"/>
      <c r="BQ601" s="38"/>
      <c r="BR601" s="38"/>
      <c r="BS601" s="38"/>
      <c r="BT601" s="38"/>
      <c r="BU601" s="38"/>
      <c r="BV601" s="38"/>
      <c r="BW601" s="38"/>
      <c r="BX601" s="38"/>
      <c r="BY601" s="38"/>
      <c r="BZ601" s="38"/>
      <c r="CA601" s="38"/>
      <c r="CB601" s="38"/>
      <c r="CC601" s="38"/>
      <c r="CD601" s="38"/>
      <c r="CE601" s="38"/>
      <c r="CF601" s="38"/>
      <c r="CG601" s="38"/>
      <c r="CH601" s="38"/>
      <c r="CI601" s="38"/>
      <c r="CJ601" s="38"/>
      <c r="CK601" s="38"/>
      <c r="CL601" s="38"/>
      <c r="CM601" s="38"/>
      <c r="CN601" s="38"/>
      <c r="CO601" s="38"/>
      <c r="CP601" s="38"/>
      <c r="CQ601" s="38"/>
      <c r="CR601" s="38"/>
      <c r="CS601" s="38"/>
      <c r="CT601" s="38"/>
      <c r="CU601" s="38"/>
      <c r="CV601" s="38"/>
      <c r="CW601" s="38"/>
      <c r="CX601" s="38"/>
      <c r="CY601" s="38"/>
      <c r="CZ601" s="38"/>
    </row>
    <row r="602" spans="1:104" s="40" customFormat="1" ht="20.149999999999999" customHeight="1">
      <c r="A602" s="358">
        <f t="shared" si="143"/>
        <v>601</v>
      </c>
      <c r="B602" s="359" t="str">
        <f>'Front Sheet and Checklist'!$C$5</f>
        <v>Swansea Bay UHB</v>
      </c>
      <c r="C602" s="17"/>
      <c r="D602" s="17"/>
      <c r="E602" s="17"/>
      <c r="F602" s="17"/>
      <c r="G602" s="17"/>
      <c r="H602" s="17"/>
      <c r="I602" s="361">
        <f t="shared" si="133"/>
        <v>0</v>
      </c>
      <c r="J602" s="17"/>
      <c r="K602" s="18"/>
      <c r="L602" s="18"/>
      <c r="M602" s="17"/>
      <c r="N602" s="17"/>
      <c r="O602" s="17"/>
      <c r="P602" s="17"/>
      <c r="Q602" s="169"/>
      <c r="R602" s="24"/>
      <c r="S602" s="24"/>
      <c r="T602" s="24"/>
      <c r="U602" s="25"/>
      <c r="V602" s="25"/>
      <c r="W602" s="25"/>
      <c r="X602" s="24"/>
      <c r="Y602" s="24"/>
      <c r="Z602" s="24"/>
      <c r="AA602" s="24"/>
      <c r="AB602" s="24"/>
      <c r="AC602" s="24"/>
      <c r="AD602" s="361">
        <f t="shared" si="132"/>
        <v>0</v>
      </c>
      <c r="AE602" s="359" t="str">
        <f t="shared" si="135"/>
        <v/>
      </c>
      <c r="AF602" s="359" t="str">
        <f t="shared" si="144"/>
        <v/>
      </c>
      <c r="AG602" s="359" t="str">
        <f t="shared" si="136"/>
        <v/>
      </c>
      <c r="AH602" s="359" t="str">
        <f t="shared" si="137"/>
        <v/>
      </c>
      <c r="AI602" s="359" t="str">
        <f t="shared" si="138"/>
        <v/>
      </c>
      <c r="AJ602" s="359" t="str">
        <f t="shared" si="139"/>
        <v/>
      </c>
      <c r="AK602" s="359" t="str">
        <f t="shared" si="141"/>
        <v/>
      </c>
      <c r="AL602" s="359" t="str">
        <f t="shared" si="140"/>
        <v/>
      </c>
      <c r="AM602" s="359" t="str">
        <f t="shared" si="142"/>
        <v/>
      </c>
      <c r="AN602" s="262">
        <f t="shared" si="145"/>
        <v>0</v>
      </c>
      <c r="AO602" s="262" t="str">
        <f>IFERROR(HLOOKUP(AN602,'Ref Lists'!Q$1:AL$2,2,FALSE),'Ref Lists'!$AK$2)</f>
        <v>Savings21</v>
      </c>
      <c r="AP602" s="38"/>
      <c r="AQ602" s="38">
        <f t="shared" si="134"/>
        <v>0</v>
      </c>
      <c r="AR602" s="38"/>
      <c r="AS602" s="38"/>
      <c r="AT602" s="38"/>
      <c r="AU602" s="38"/>
      <c r="AV602" s="38"/>
      <c r="AW602" s="38"/>
      <c r="AX602" s="38"/>
      <c r="AY602" s="38"/>
      <c r="AZ602" s="38"/>
      <c r="BA602" s="38"/>
      <c r="BB602" s="38"/>
      <c r="BC602" s="38"/>
      <c r="BD602" s="38"/>
      <c r="BE602" s="38"/>
      <c r="BF602" s="38"/>
      <c r="BG602" s="38"/>
      <c r="BH602" s="38"/>
      <c r="BI602" s="38"/>
      <c r="BJ602" s="38"/>
      <c r="BK602" s="38"/>
      <c r="BL602" s="38"/>
      <c r="BM602" s="38"/>
      <c r="BN602" s="38"/>
      <c r="BO602" s="38"/>
      <c r="BP602" s="38"/>
      <c r="BQ602" s="38"/>
      <c r="BR602" s="38"/>
      <c r="BS602" s="38"/>
      <c r="BT602" s="38"/>
      <c r="BU602" s="38"/>
      <c r="BV602" s="38"/>
      <c r="BW602" s="38"/>
      <c r="BX602" s="38"/>
      <c r="BY602" s="38"/>
      <c r="BZ602" s="38"/>
      <c r="CA602" s="38"/>
      <c r="CB602" s="38"/>
      <c r="CC602" s="38"/>
      <c r="CD602" s="38"/>
      <c r="CE602" s="38"/>
      <c r="CF602" s="38"/>
      <c r="CG602" s="38"/>
      <c r="CH602" s="38"/>
      <c r="CI602" s="38"/>
      <c r="CJ602" s="38"/>
      <c r="CK602" s="38"/>
      <c r="CL602" s="38"/>
      <c r="CM602" s="38"/>
      <c r="CN602" s="38"/>
      <c r="CO602" s="38"/>
      <c r="CP602" s="38"/>
      <c r="CQ602" s="38"/>
      <c r="CR602" s="38"/>
      <c r="CS602" s="38"/>
      <c r="CT602" s="38"/>
      <c r="CU602" s="38"/>
      <c r="CV602" s="38"/>
      <c r="CW602" s="38"/>
      <c r="CX602" s="38"/>
      <c r="CY602" s="38"/>
      <c r="CZ602" s="38"/>
    </row>
    <row r="603" spans="1:104" s="40" customFormat="1" ht="20.149999999999999" customHeight="1">
      <c r="A603" s="358">
        <f t="shared" si="143"/>
        <v>602</v>
      </c>
      <c r="B603" s="359" t="str">
        <f>'Front Sheet and Checklist'!$C$5</f>
        <v>Swansea Bay UHB</v>
      </c>
      <c r="C603" s="17"/>
      <c r="D603" s="17"/>
      <c r="E603" s="17"/>
      <c r="F603" s="17"/>
      <c r="G603" s="17"/>
      <c r="H603" s="17"/>
      <c r="I603" s="361">
        <f t="shared" si="133"/>
        <v>0</v>
      </c>
      <c r="J603" s="17"/>
      <c r="K603" s="18"/>
      <c r="L603" s="18"/>
      <c r="M603" s="17"/>
      <c r="N603" s="17"/>
      <c r="O603" s="17"/>
      <c r="P603" s="17"/>
      <c r="Q603" s="169"/>
      <c r="R603" s="24"/>
      <c r="S603" s="24"/>
      <c r="T603" s="24"/>
      <c r="U603" s="25"/>
      <c r="V603" s="25"/>
      <c r="W603" s="25"/>
      <c r="X603" s="24"/>
      <c r="Y603" s="24"/>
      <c r="Z603" s="24"/>
      <c r="AA603" s="24"/>
      <c r="AB603" s="24"/>
      <c r="AC603" s="24"/>
      <c r="AD603" s="361">
        <f t="shared" si="132"/>
        <v>0</v>
      </c>
      <c r="AE603" s="359" t="str">
        <f t="shared" si="135"/>
        <v/>
      </c>
      <c r="AF603" s="359" t="str">
        <f t="shared" si="144"/>
        <v/>
      </c>
      <c r="AG603" s="359" t="str">
        <f t="shared" si="136"/>
        <v/>
      </c>
      <c r="AH603" s="359" t="str">
        <f t="shared" si="137"/>
        <v/>
      </c>
      <c r="AI603" s="359" t="str">
        <f t="shared" si="138"/>
        <v/>
      </c>
      <c r="AJ603" s="359" t="str">
        <f t="shared" si="139"/>
        <v/>
      </c>
      <c r="AK603" s="359" t="str">
        <f t="shared" si="141"/>
        <v/>
      </c>
      <c r="AL603" s="359" t="str">
        <f t="shared" si="140"/>
        <v/>
      </c>
      <c r="AM603" s="359" t="str">
        <f t="shared" si="142"/>
        <v/>
      </c>
      <c r="AN603" s="262">
        <f t="shared" si="145"/>
        <v>0</v>
      </c>
      <c r="AO603" s="262" t="str">
        <f>IFERROR(HLOOKUP(AN603,'Ref Lists'!Q$1:AL$2,2,FALSE),'Ref Lists'!$AK$2)</f>
        <v>Savings21</v>
      </c>
      <c r="AP603" s="38"/>
      <c r="AQ603" s="38">
        <f t="shared" si="134"/>
        <v>0</v>
      </c>
      <c r="AR603" s="38"/>
      <c r="AS603" s="38"/>
      <c r="AT603" s="38"/>
      <c r="AU603" s="38"/>
      <c r="AV603" s="38"/>
      <c r="AW603" s="38"/>
      <c r="AX603" s="38"/>
      <c r="AY603" s="38"/>
      <c r="AZ603" s="38"/>
      <c r="BA603" s="38"/>
      <c r="BB603" s="38"/>
      <c r="BC603" s="38"/>
      <c r="BD603" s="38"/>
      <c r="BE603" s="38"/>
      <c r="BF603" s="38"/>
      <c r="BG603" s="38"/>
      <c r="BH603" s="38"/>
      <c r="BI603" s="38"/>
      <c r="BJ603" s="38"/>
      <c r="BK603" s="38"/>
      <c r="BL603" s="38"/>
      <c r="BM603" s="38"/>
      <c r="BN603" s="38"/>
      <c r="BO603" s="38"/>
      <c r="BP603" s="38"/>
      <c r="BQ603" s="38"/>
      <c r="BR603" s="38"/>
      <c r="BS603" s="38"/>
      <c r="BT603" s="38"/>
      <c r="BU603" s="38"/>
      <c r="BV603" s="38"/>
      <c r="BW603" s="38"/>
      <c r="BX603" s="38"/>
      <c r="BY603" s="38"/>
      <c r="BZ603" s="38"/>
      <c r="CA603" s="38"/>
      <c r="CB603" s="38"/>
      <c r="CC603" s="38"/>
      <c r="CD603" s="38"/>
      <c r="CE603" s="38"/>
      <c r="CF603" s="38"/>
      <c r="CG603" s="38"/>
      <c r="CH603" s="38"/>
      <c r="CI603" s="38"/>
      <c r="CJ603" s="38"/>
      <c r="CK603" s="38"/>
      <c r="CL603" s="38"/>
      <c r="CM603" s="38"/>
      <c r="CN603" s="38"/>
      <c r="CO603" s="38"/>
      <c r="CP603" s="38"/>
      <c r="CQ603" s="38"/>
      <c r="CR603" s="38"/>
      <c r="CS603" s="38"/>
      <c r="CT603" s="38"/>
      <c r="CU603" s="38"/>
      <c r="CV603" s="38"/>
      <c r="CW603" s="38"/>
      <c r="CX603" s="38"/>
      <c r="CY603" s="38"/>
      <c r="CZ603" s="38"/>
    </row>
    <row r="604" spans="1:104" s="40" customFormat="1" ht="20.149999999999999" customHeight="1">
      <c r="A604" s="358">
        <f t="shared" si="143"/>
        <v>603</v>
      </c>
      <c r="B604" s="359" t="str">
        <f>'Front Sheet and Checklist'!$C$5</f>
        <v>Swansea Bay UHB</v>
      </c>
      <c r="C604" s="17"/>
      <c r="D604" s="17"/>
      <c r="E604" s="17"/>
      <c r="F604" s="17"/>
      <c r="G604" s="17"/>
      <c r="H604" s="17"/>
      <c r="I604" s="361">
        <f t="shared" si="133"/>
        <v>0</v>
      </c>
      <c r="J604" s="17"/>
      <c r="K604" s="18"/>
      <c r="L604" s="18"/>
      <c r="M604" s="17"/>
      <c r="N604" s="17"/>
      <c r="O604" s="17"/>
      <c r="P604" s="17"/>
      <c r="Q604" s="169"/>
      <c r="R604" s="24"/>
      <c r="S604" s="24"/>
      <c r="T604" s="24"/>
      <c r="U604" s="25"/>
      <c r="V604" s="25"/>
      <c r="W604" s="25"/>
      <c r="X604" s="24"/>
      <c r="Y604" s="24"/>
      <c r="Z604" s="24"/>
      <c r="AA604" s="24"/>
      <c r="AB604" s="24"/>
      <c r="AC604" s="24"/>
      <c r="AD604" s="361">
        <f t="shared" si="132"/>
        <v>0</v>
      </c>
      <c r="AE604" s="359" t="str">
        <f t="shared" si="135"/>
        <v/>
      </c>
      <c r="AF604" s="359" t="str">
        <f t="shared" si="144"/>
        <v/>
      </c>
      <c r="AG604" s="359" t="str">
        <f t="shared" si="136"/>
        <v/>
      </c>
      <c r="AH604" s="359" t="str">
        <f t="shared" si="137"/>
        <v/>
      </c>
      <c r="AI604" s="359" t="str">
        <f t="shared" si="138"/>
        <v/>
      </c>
      <c r="AJ604" s="359" t="str">
        <f t="shared" si="139"/>
        <v/>
      </c>
      <c r="AK604" s="359" t="str">
        <f t="shared" si="141"/>
        <v/>
      </c>
      <c r="AL604" s="359" t="str">
        <f t="shared" si="140"/>
        <v/>
      </c>
      <c r="AM604" s="359" t="str">
        <f t="shared" si="142"/>
        <v/>
      </c>
      <c r="AN604" s="262">
        <f t="shared" si="145"/>
        <v>0</v>
      </c>
      <c r="AO604" s="262" t="str">
        <f>IFERROR(HLOOKUP(AN604,'Ref Lists'!Q$1:AL$2,2,FALSE),'Ref Lists'!$AK$2)</f>
        <v>Savings21</v>
      </c>
      <c r="AP604" s="38"/>
      <c r="AQ604" s="38">
        <f t="shared" si="134"/>
        <v>0</v>
      </c>
      <c r="AR604" s="38"/>
      <c r="AS604" s="38"/>
      <c r="AT604" s="38"/>
      <c r="AU604" s="38"/>
      <c r="AV604" s="38"/>
      <c r="AW604" s="38"/>
      <c r="AX604" s="38"/>
      <c r="AY604" s="38"/>
      <c r="AZ604" s="38"/>
      <c r="BA604" s="38"/>
      <c r="BB604" s="38"/>
      <c r="BC604" s="38"/>
      <c r="BD604" s="38"/>
      <c r="BE604" s="38"/>
      <c r="BF604" s="38"/>
      <c r="BG604" s="38"/>
      <c r="BH604" s="38"/>
      <c r="BI604" s="38"/>
      <c r="BJ604" s="38"/>
      <c r="BK604" s="38"/>
      <c r="BL604" s="38"/>
      <c r="BM604" s="38"/>
      <c r="BN604" s="38"/>
      <c r="BO604" s="38"/>
      <c r="BP604" s="38"/>
      <c r="BQ604" s="38"/>
      <c r="BR604" s="38"/>
      <c r="BS604" s="38"/>
      <c r="BT604" s="38"/>
      <c r="BU604" s="38"/>
      <c r="BV604" s="38"/>
      <c r="BW604" s="38"/>
      <c r="BX604" s="38"/>
      <c r="BY604" s="38"/>
      <c r="BZ604" s="38"/>
      <c r="CA604" s="38"/>
      <c r="CB604" s="38"/>
      <c r="CC604" s="38"/>
      <c r="CD604" s="38"/>
      <c r="CE604" s="38"/>
      <c r="CF604" s="38"/>
      <c r="CG604" s="38"/>
      <c r="CH604" s="38"/>
      <c r="CI604" s="38"/>
      <c r="CJ604" s="38"/>
      <c r="CK604" s="38"/>
      <c r="CL604" s="38"/>
      <c r="CM604" s="38"/>
      <c r="CN604" s="38"/>
      <c r="CO604" s="38"/>
      <c r="CP604" s="38"/>
      <c r="CQ604" s="38"/>
      <c r="CR604" s="38"/>
      <c r="CS604" s="38"/>
      <c r="CT604" s="38"/>
      <c r="CU604" s="38"/>
      <c r="CV604" s="38"/>
      <c r="CW604" s="38"/>
      <c r="CX604" s="38"/>
      <c r="CY604" s="38"/>
      <c r="CZ604" s="38"/>
    </row>
    <row r="605" spans="1:104" s="40" customFormat="1" ht="20.149999999999999" customHeight="1">
      <c r="A605" s="358">
        <f t="shared" si="143"/>
        <v>604</v>
      </c>
      <c r="B605" s="359" t="str">
        <f>'Front Sheet and Checklist'!$C$5</f>
        <v>Swansea Bay UHB</v>
      </c>
      <c r="C605" s="17"/>
      <c r="D605" s="17"/>
      <c r="E605" s="17"/>
      <c r="F605" s="17"/>
      <c r="G605" s="17"/>
      <c r="H605" s="17"/>
      <c r="I605" s="361">
        <f t="shared" si="133"/>
        <v>0</v>
      </c>
      <c r="J605" s="17"/>
      <c r="K605" s="18"/>
      <c r="L605" s="18"/>
      <c r="M605" s="17"/>
      <c r="N605" s="17"/>
      <c r="O605" s="17"/>
      <c r="P605" s="17"/>
      <c r="Q605" s="169"/>
      <c r="R605" s="24"/>
      <c r="S605" s="24"/>
      <c r="T605" s="24"/>
      <c r="U605" s="25"/>
      <c r="V605" s="25"/>
      <c r="W605" s="25"/>
      <c r="X605" s="24"/>
      <c r="Y605" s="24"/>
      <c r="Z605" s="24"/>
      <c r="AA605" s="24"/>
      <c r="AB605" s="24"/>
      <c r="AC605" s="24"/>
      <c r="AD605" s="361">
        <f t="shared" si="132"/>
        <v>0</v>
      </c>
      <c r="AE605" s="359" t="str">
        <f t="shared" si="135"/>
        <v/>
      </c>
      <c r="AF605" s="359" t="str">
        <f t="shared" si="144"/>
        <v/>
      </c>
      <c r="AG605" s="359" t="str">
        <f t="shared" si="136"/>
        <v/>
      </c>
      <c r="AH605" s="359" t="str">
        <f t="shared" si="137"/>
        <v/>
      </c>
      <c r="AI605" s="359" t="str">
        <f t="shared" si="138"/>
        <v/>
      </c>
      <c r="AJ605" s="359" t="str">
        <f t="shared" si="139"/>
        <v/>
      </c>
      <c r="AK605" s="359" t="str">
        <f t="shared" si="141"/>
        <v/>
      </c>
      <c r="AL605" s="359" t="str">
        <f t="shared" si="140"/>
        <v/>
      </c>
      <c r="AM605" s="359" t="str">
        <f t="shared" si="142"/>
        <v/>
      </c>
      <c r="AN605" s="262">
        <f t="shared" si="145"/>
        <v>0</v>
      </c>
      <c r="AO605" s="262" t="str">
        <f>IFERROR(HLOOKUP(AN605,'Ref Lists'!Q$1:AL$2,2,FALSE),'Ref Lists'!$AK$2)</f>
        <v>Savings21</v>
      </c>
      <c r="AP605" s="38"/>
      <c r="AQ605" s="38">
        <f t="shared" si="134"/>
        <v>0</v>
      </c>
      <c r="AR605" s="38"/>
      <c r="AS605" s="38"/>
      <c r="AT605" s="38"/>
      <c r="AU605" s="38"/>
      <c r="AV605" s="38"/>
      <c r="AW605" s="38"/>
      <c r="AX605" s="38"/>
      <c r="AY605" s="38"/>
      <c r="AZ605" s="38"/>
      <c r="BA605" s="38"/>
      <c r="BB605" s="38"/>
      <c r="BC605" s="38"/>
      <c r="BD605" s="38"/>
      <c r="BE605" s="38"/>
      <c r="BF605" s="38"/>
      <c r="BG605" s="38"/>
      <c r="BH605" s="38"/>
      <c r="BI605" s="38"/>
      <c r="BJ605" s="38"/>
      <c r="BK605" s="38"/>
      <c r="BL605" s="38"/>
      <c r="BM605" s="38"/>
      <c r="BN605" s="38"/>
      <c r="BO605" s="38"/>
      <c r="BP605" s="38"/>
      <c r="BQ605" s="38"/>
      <c r="BR605" s="38"/>
      <c r="BS605" s="38"/>
      <c r="BT605" s="38"/>
      <c r="BU605" s="38"/>
      <c r="BV605" s="38"/>
      <c r="BW605" s="38"/>
      <c r="BX605" s="38"/>
      <c r="BY605" s="38"/>
      <c r="BZ605" s="38"/>
      <c r="CA605" s="38"/>
      <c r="CB605" s="38"/>
      <c r="CC605" s="38"/>
      <c r="CD605" s="38"/>
      <c r="CE605" s="38"/>
      <c r="CF605" s="38"/>
      <c r="CG605" s="38"/>
      <c r="CH605" s="38"/>
      <c r="CI605" s="38"/>
      <c r="CJ605" s="38"/>
      <c r="CK605" s="38"/>
      <c r="CL605" s="38"/>
      <c r="CM605" s="38"/>
      <c r="CN605" s="38"/>
      <c r="CO605" s="38"/>
      <c r="CP605" s="38"/>
      <c r="CQ605" s="38"/>
      <c r="CR605" s="38"/>
      <c r="CS605" s="38"/>
      <c r="CT605" s="38"/>
      <c r="CU605" s="38"/>
      <c r="CV605" s="38"/>
      <c r="CW605" s="38"/>
      <c r="CX605" s="38"/>
      <c r="CY605" s="38"/>
      <c r="CZ605" s="38"/>
    </row>
    <row r="606" spans="1:104" s="40" customFormat="1" ht="20.149999999999999" customHeight="1">
      <c r="A606" s="358">
        <f t="shared" si="143"/>
        <v>605</v>
      </c>
      <c r="B606" s="359" t="str">
        <f>'Front Sheet and Checklist'!$C$5</f>
        <v>Swansea Bay UHB</v>
      </c>
      <c r="C606" s="17"/>
      <c r="D606" s="17"/>
      <c r="E606" s="17"/>
      <c r="F606" s="17"/>
      <c r="G606" s="17"/>
      <c r="H606" s="17"/>
      <c r="I606" s="361">
        <f t="shared" si="133"/>
        <v>0</v>
      </c>
      <c r="J606" s="17"/>
      <c r="K606" s="18"/>
      <c r="L606" s="18"/>
      <c r="M606" s="17"/>
      <c r="N606" s="17"/>
      <c r="O606" s="17"/>
      <c r="P606" s="17"/>
      <c r="Q606" s="169"/>
      <c r="R606" s="24"/>
      <c r="S606" s="24"/>
      <c r="T606" s="24"/>
      <c r="U606" s="25"/>
      <c r="V606" s="25"/>
      <c r="W606" s="25"/>
      <c r="X606" s="24"/>
      <c r="Y606" s="24"/>
      <c r="Z606" s="24"/>
      <c r="AA606" s="24"/>
      <c r="AB606" s="24"/>
      <c r="AC606" s="24"/>
      <c r="AD606" s="361">
        <f t="shared" si="132"/>
        <v>0</v>
      </c>
      <c r="AE606" s="359" t="str">
        <f t="shared" si="135"/>
        <v/>
      </c>
      <c r="AF606" s="359" t="str">
        <f t="shared" si="144"/>
        <v/>
      </c>
      <c r="AG606" s="359" t="str">
        <f t="shared" si="136"/>
        <v/>
      </c>
      <c r="AH606" s="359" t="str">
        <f t="shared" si="137"/>
        <v/>
      </c>
      <c r="AI606" s="359" t="str">
        <f t="shared" si="138"/>
        <v/>
      </c>
      <c r="AJ606" s="359" t="str">
        <f t="shared" si="139"/>
        <v/>
      </c>
      <c r="AK606" s="359" t="str">
        <f t="shared" si="141"/>
        <v/>
      </c>
      <c r="AL606" s="359" t="str">
        <f t="shared" si="140"/>
        <v/>
      </c>
      <c r="AM606" s="359" t="str">
        <f t="shared" si="142"/>
        <v/>
      </c>
      <c r="AN606" s="262">
        <f t="shared" si="145"/>
        <v>0</v>
      </c>
      <c r="AO606" s="262" t="str">
        <f>IFERROR(HLOOKUP(AN606,'Ref Lists'!Q$1:AL$2,2,FALSE),'Ref Lists'!$AK$2)</f>
        <v>Savings21</v>
      </c>
      <c r="AP606" s="38"/>
      <c r="AQ606" s="38">
        <f t="shared" si="134"/>
        <v>0</v>
      </c>
      <c r="AR606" s="38"/>
      <c r="AS606" s="38"/>
      <c r="AT606" s="38"/>
      <c r="AU606" s="38"/>
      <c r="AV606" s="38"/>
      <c r="AW606" s="38"/>
      <c r="AX606" s="38"/>
      <c r="AY606" s="38"/>
      <c r="AZ606" s="38"/>
      <c r="BA606" s="38"/>
      <c r="BB606" s="38"/>
      <c r="BC606" s="38"/>
      <c r="BD606" s="38"/>
      <c r="BE606" s="38"/>
      <c r="BF606" s="38"/>
      <c r="BG606" s="38"/>
      <c r="BH606" s="38"/>
      <c r="BI606" s="38"/>
      <c r="BJ606" s="38"/>
      <c r="BK606" s="38"/>
      <c r="BL606" s="38"/>
      <c r="BM606" s="38"/>
      <c r="BN606" s="38"/>
      <c r="BO606" s="38"/>
      <c r="BP606" s="38"/>
      <c r="BQ606" s="38"/>
      <c r="BR606" s="38"/>
      <c r="BS606" s="38"/>
      <c r="BT606" s="38"/>
      <c r="BU606" s="38"/>
      <c r="BV606" s="38"/>
      <c r="BW606" s="38"/>
      <c r="BX606" s="38"/>
      <c r="BY606" s="38"/>
      <c r="BZ606" s="38"/>
      <c r="CA606" s="38"/>
      <c r="CB606" s="38"/>
      <c r="CC606" s="38"/>
      <c r="CD606" s="38"/>
      <c r="CE606" s="38"/>
      <c r="CF606" s="38"/>
      <c r="CG606" s="38"/>
      <c r="CH606" s="38"/>
      <c r="CI606" s="38"/>
      <c r="CJ606" s="38"/>
      <c r="CK606" s="38"/>
      <c r="CL606" s="38"/>
      <c r="CM606" s="38"/>
      <c r="CN606" s="38"/>
      <c r="CO606" s="38"/>
      <c r="CP606" s="38"/>
      <c r="CQ606" s="38"/>
      <c r="CR606" s="38"/>
      <c r="CS606" s="38"/>
      <c r="CT606" s="38"/>
      <c r="CU606" s="38"/>
      <c r="CV606" s="38"/>
      <c r="CW606" s="38"/>
      <c r="CX606" s="38"/>
      <c r="CY606" s="38"/>
      <c r="CZ606" s="38"/>
    </row>
    <row r="607" spans="1:104" s="40" customFormat="1" ht="20.149999999999999" customHeight="1">
      <c r="A607" s="358">
        <f t="shared" si="143"/>
        <v>606</v>
      </c>
      <c r="B607" s="359" t="str">
        <f>'Front Sheet and Checklist'!$C$5</f>
        <v>Swansea Bay UHB</v>
      </c>
      <c r="C607" s="17"/>
      <c r="D607" s="17"/>
      <c r="E607" s="17"/>
      <c r="F607" s="17"/>
      <c r="G607" s="17"/>
      <c r="H607" s="17"/>
      <c r="I607" s="361">
        <f t="shared" si="133"/>
        <v>0</v>
      </c>
      <c r="J607" s="17"/>
      <c r="K607" s="18"/>
      <c r="L607" s="18"/>
      <c r="M607" s="17"/>
      <c r="N607" s="17"/>
      <c r="O607" s="17"/>
      <c r="P607" s="17"/>
      <c r="Q607" s="169"/>
      <c r="R607" s="24"/>
      <c r="S607" s="24"/>
      <c r="T607" s="24"/>
      <c r="U607" s="25"/>
      <c r="V607" s="25"/>
      <c r="W607" s="25"/>
      <c r="X607" s="24"/>
      <c r="Y607" s="24"/>
      <c r="Z607" s="24"/>
      <c r="AA607" s="24"/>
      <c r="AB607" s="24"/>
      <c r="AC607" s="24"/>
      <c r="AD607" s="361">
        <f t="shared" si="132"/>
        <v>0</v>
      </c>
      <c r="AE607" s="359" t="str">
        <f t="shared" si="135"/>
        <v/>
      </c>
      <c r="AF607" s="359" t="str">
        <f t="shared" si="144"/>
        <v/>
      </c>
      <c r="AG607" s="359" t="str">
        <f t="shared" si="136"/>
        <v/>
      </c>
      <c r="AH607" s="359" t="str">
        <f t="shared" si="137"/>
        <v/>
      </c>
      <c r="AI607" s="359" t="str">
        <f t="shared" si="138"/>
        <v/>
      </c>
      <c r="AJ607" s="359" t="str">
        <f t="shared" si="139"/>
        <v/>
      </c>
      <c r="AK607" s="359" t="str">
        <f t="shared" si="141"/>
        <v/>
      </c>
      <c r="AL607" s="359" t="str">
        <f t="shared" si="140"/>
        <v/>
      </c>
      <c r="AM607" s="359" t="str">
        <f t="shared" si="142"/>
        <v/>
      </c>
      <c r="AN607" s="262">
        <f t="shared" si="145"/>
        <v>0</v>
      </c>
      <c r="AO607" s="262" t="str">
        <f>IFERROR(HLOOKUP(AN607,'Ref Lists'!Q$1:AL$2,2,FALSE),'Ref Lists'!$AK$2)</f>
        <v>Savings21</v>
      </c>
      <c r="AP607" s="38"/>
      <c r="AQ607" s="38">
        <f t="shared" si="134"/>
        <v>0</v>
      </c>
      <c r="AR607" s="38"/>
      <c r="AS607" s="38"/>
      <c r="AT607" s="38"/>
      <c r="AU607" s="38"/>
      <c r="AV607" s="38"/>
      <c r="AW607" s="38"/>
      <c r="AX607" s="38"/>
      <c r="AY607" s="38"/>
      <c r="AZ607" s="38"/>
      <c r="BA607" s="38"/>
      <c r="BB607" s="38"/>
      <c r="BC607" s="38"/>
      <c r="BD607" s="38"/>
      <c r="BE607" s="38"/>
      <c r="BF607" s="38"/>
      <c r="BG607" s="38"/>
      <c r="BH607" s="38"/>
      <c r="BI607" s="38"/>
      <c r="BJ607" s="38"/>
      <c r="BK607" s="38"/>
      <c r="BL607" s="38"/>
      <c r="BM607" s="38"/>
      <c r="BN607" s="38"/>
      <c r="BO607" s="38"/>
      <c r="BP607" s="38"/>
      <c r="BQ607" s="38"/>
      <c r="BR607" s="38"/>
      <c r="BS607" s="38"/>
      <c r="BT607" s="38"/>
      <c r="BU607" s="38"/>
      <c r="BV607" s="38"/>
      <c r="BW607" s="38"/>
      <c r="BX607" s="38"/>
      <c r="BY607" s="38"/>
      <c r="BZ607" s="38"/>
      <c r="CA607" s="38"/>
      <c r="CB607" s="38"/>
      <c r="CC607" s="38"/>
      <c r="CD607" s="38"/>
      <c r="CE607" s="38"/>
      <c r="CF607" s="38"/>
      <c r="CG607" s="38"/>
      <c r="CH607" s="38"/>
      <c r="CI607" s="38"/>
      <c r="CJ607" s="38"/>
      <c r="CK607" s="38"/>
      <c r="CL607" s="38"/>
      <c r="CM607" s="38"/>
      <c r="CN607" s="38"/>
      <c r="CO607" s="38"/>
      <c r="CP607" s="38"/>
      <c r="CQ607" s="38"/>
      <c r="CR607" s="38"/>
      <c r="CS607" s="38"/>
      <c r="CT607" s="38"/>
      <c r="CU607" s="38"/>
      <c r="CV607" s="38"/>
      <c r="CW607" s="38"/>
      <c r="CX607" s="38"/>
      <c r="CY607" s="38"/>
      <c r="CZ607" s="38"/>
    </row>
    <row r="608" spans="1:104" s="40" customFormat="1" ht="20.149999999999999" customHeight="1">
      <c r="A608" s="358">
        <f t="shared" si="143"/>
        <v>607</v>
      </c>
      <c r="B608" s="359" t="str">
        <f>'Front Sheet and Checklist'!$C$5</f>
        <v>Swansea Bay UHB</v>
      </c>
      <c r="C608" s="17"/>
      <c r="D608" s="17"/>
      <c r="E608" s="17"/>
      <c r="F608" s="17"/>
      <c r="G608" s="17"/>
      <c r="H608" s="17"/>
      <c r="I608" s="361">
        <f t="shared" si="133"/>
        <v>0</v>
      </c>
      <c r="J608" s="17"/>
      <c r="K608" s="18"/>
      <c r="L608" s="18"/>
      <c r="M608" s="17"/>
      <c r="N608" s="17"/>
      <c r="O608" s="17"/>
      <c r="P608" s="17"/>
      <c r="Q608" s="169"/>
      <c r="R608" s="24"/>
      <c r="S608" s="24"/>
      <c r="T608" s="24"/>
      <c r="U608" s="25"/>
      <c r="V608" s="25"/>
      <c r="W608" s="25"/>
      <c r="X608" s="24"/>
      <c r="Y608" s="24"/>
      <c r="Z608" s="24"/>
      <c r="AA608" s="24"/>
      <c r="AB608" s="24"/>
      <c r="AC608" s="24"/>
      <c r="AD608" s="361">
        <f t="shared" si="132"/>
        <v>0</v>
      </c>
      <c r="AE608" s="359" t="str">
        <f t="shared" si="135"/>
        <v/>
      </c>
      <c r="AF608" s="359" t="str">
        <f t="shared" si="144"/>
        <v/>
      </c>
      <c r="AG608" s="359" t="str">
        <f t="shared" si="136"/>
        <v/>
      </c>
      <c r="AH608" s="359" t="str">
        <f t="shared" si="137"/>
        <v/>
      </c>
      <c r="AI608" s="359" t="str">
        <f t="shared" si="138"/>
        <v/>
      </c>
      <c r="AJ608" s="359" t="str">
        <f t="shared" si="139"/>
        <v/>
      </c>
      <c r="AK608" s="359" t="str">
        <f t="shared" si="141"/>
        <v/>
      </c>
      <c r="AL608" s="359" t="str">
        <f t="shared" si="140"/>
        <v/>
      </c>
      <c r="AM608" s="359" t="str">
        <f t="shared" si="142"/>
        <v/>
      </c>
      <c r="AN608" s="262">
        <f t="shared" si="145"/>
        <v>0</v>
      </c>
      <c r="AO608" s="262" t="str">
        <f>IFERROR(HLOOKUP(AN608,'Ref Lists'!Q$1:AL$2,2,FALSE),'Ref Lists'!$AK$2)</f>
        <v>Savings21</v>
      </c>
      <c r="AP608" s="38"/>
      <c r="AQ608" s="38">
        <f t="shared" si="134"/>
        <v>0</v>
      </c>
      <c r="AR608" s="38"/>
      <c r="AS608" s="38"/>
      <c r="AT608" s="38"/>
      <c r="AU608" s="38"/>
      <c r="AV608" s="38"/>
      <c r="AW608" s="38"/>
      <c r="AX608" s="38"/>
      <c r="AY608" s="38"/>
      <c r="AZ608" s="38"/>
      <c r="BA608" s="38"/>
      <c r="BB608" s="38"/>
      <c r="BC608" s="38"/>
      <c r="BD608" s="38"/>
      <c r="BE608" s="38"/>
      <c r="BF608" s="38"/>
      <c r="BG608" s="38"/>
      <c r="BH608" s="38"/>
      <c r="BI608" s="38"/>
      <c r="BJ608" s="38"/>
      <c r="BK608" s="38"/>
      <c r="BL608" s="38"/>
      <c r="BM608" s="38"/>
      <c r="BN608" s="38"/>
      <c r="BO608" s="38"/>
      <c r="BP608" s="38"/>
      <c r="BQ608" s="38"/>
      <c r="BR608" s="38"/>
      <c r="BS608" s="38"/>
      <c r="BT608" s="38"/>
      <c r="BU608" s="38"/>
      <c r="BV608" s="38"/>
      <c r="BW608" s="38"/>
      <c r="BX608" s="38"/>
      <c r="BY608" s="38"/>
      <c r="BZ608" s="38"/>
      <c r="CA608" s="38"/>
      <c r="CB608" s="38"/>
      <c r="CC608" s="38"/>
      <c r="CD608" s="38"/>
      <c r="CE608" s="38"/>
      <c r="CF608" s="38"/>
      <c r="CG608" s="38"/>
      <c r="CH608" s="38"/>
      <c r="CI608" s="38"/>
      <c r="CJ608" s="38"/>
      <c r="CK608" s="38"/>
      <c r="CL608" s="38"/>
      <c r="CM608" s="38"/>
      <c r="CN608" s="38"/>
      <c r="CO608" s="38"/>
      <c r="CP608" s="38"/>
      <c r="CQ608" s="38"/>
      <c r="CR608" s="38"/>
      <c r="CS608" s="38"/>
      <c r="CT608" s="38"/>
      <c r="CU608" s="38"/>
      <c r="CV608" s="38"/>
      <c r="CW608" s="38"/>
      <c r="CX608" s="38"/>
      <c r="CY608" s="38"/>
      <c r="CZ608" s="38"/>
    </row>
    <row r="609" spans="1:104" s="40" customFormat="1" ht="20.149999999999999" customHeight="1">
      <c r="A609" s="358">
        <f t="shared" si="143"/>
        <v>608</v>
      </c>
      <c r="B609" s="359" t="str">
        <f>'Front Sheet and Checklist'!$C$5</f>
        <v>Swansea Bay UHB</v>
      </c>
      <c r="C609" s="17"/>
      <c r="D609" s="17"/>
      <c r="E609" s="17"/>
      <c r="F609" s="17"/>
      <c r="G609" s="17"/>
      <c r="H609" s="17"/>
      <c r="I609" s="361">
        <f t="shared" si="133"/>
        <v>0</v>
      </c>
      <c r="J609" s="17"/>
      <c r="K609" s="18"/>
      <c r="L609" s="18"/>
      <c r="M609" s="17"/>
      <c r="N609" s="17"/>
      <c r="O609" s="17"/>
      <c r="P609" s="17"/>
      <c r="Q609" s="169"/>
      <c r="R609" s="24"/>
      <c r="S609" s="24"/>
      <c r="T609" s="24"/>
      <c r="U609" s="25"/>
      <c r="V609" s="25"/>
      <c r="W609" s="25"/>
      <c r="X609" s="24"/>
      <c r="Y609" s="24"/>
      <c r="Z609" s="24"/>
      <c r="AA609" s="24"/>
      <c r="AB609" s="24"/>
      <c r="AC609" s="24"/>
      <c r="AD609" s="361">
        <f t="shared" si="132"/>
        <v>0</v>
      </c>
      <c r="AE609" s="359" t="str">
        <f t="shared" si="135"/>
        <v/>
      </c>
      <c r="AF609" s="359" t="str">
        <f t="shared" si="144"/>
        <v/>
      </c>
      <c r="AG609" s="359" t="str">
        <f t="shared" si="136"/>
        <v/>
      </c>
      <c r="AH609" s="359" t="str">
        <f t="shared" si="137"/>
        <v/>
      </c>
      <c r="AI609" s="359" t="str">
        <f t="shared" si="138"/>
        <v/>
      </c>
      <c r="AJ609" s="359" t="str">
        <f t="shared" si="139"/>
        <v/>
      </c>
      <c r="AK609" s="359" t="str">
        <f t="shared" si="141"/>
        <v/>
      </c>
      <c r="AL609" s="359" t="str">
        <f t="shared" si="140"/>
        <v/>
      </c>
      <c r="AM609" s="359" t="str">
        <f t="shared" si="142"/>
        <v/>
      </c>
      <c r="AN609" s="262">
        <f t="shared" si="145"/>
        <v>0</v>
      </c>
      <c r="AO609" s="262" t="str">
        <f>IFERROR(HLOOKUP(AN609,'Ref Lists'!Q$1:AL$2,2,FALSE),'Ref Lists'!$AK$2)</f>
        <v>Savings21</v>
      </c>
      <c r="AP609" s="38"/>
      <c r="AQ609" s="38">
        <f t="shared" si="134"/>
        <v>0</v>
      </c>
      <c r="AR609" s="38"/>
      <c r="AS609" s="38"/>
      <c r="AT609" s="38"/>
      <c r="AU609" s="38"/>
      <c r="AV609" s="38"/>
      <c r="AW609" s="38"/>
      <c r="AX609" s="38"/>
      <c r="AY609" s="38"/>
      <c r="AZ609" s="38"/>
      <c r="BA609" s="38"/>
      <c r="BB609" s="38"/>
      <c r="BC609" s="38"/>
      <c r="BD609" s="38"/>
      <c r="BE609" s="38"/>
      <c r="BF609" s="38"/>
      <c r="BG609" s="38"/>
      <c r="BH609" s="38"/>
      <c r="BI609" s="38"/>
      <c r="BJ609" s="38"/>
      <c r="BK609" s="38"/>
      <c r="BL609" s="38"/>
      <c r="BM609" s="38"/>
      <c r="BN609" s="38"/>
      <c r="BO609" s="38"/>
      <c r="BP609" s="38"/>
      <c r="BQ609" s="38"/>
      <c r="BR609" s="38"/>
      <c r="BS609" s="38"/>
      <c r="BT609" s="38"/>
      <c r="BU609" s="38"/>
      <c r="BV609" s="38"/>
      <c r="BW609" s="38"/>
      <c r="BX609" s="38"/>
      <c r="BY609" s="38"/>
      <c r="BZ609" s="38"/>
      <c r="CA609" s="38"/>
      <c r="CB609" s="38"/>
      <c r="CC609" s="38"/>
      <c r="CD609" s="38"/>
      <c r="CE609" s="38"/>
      <c r="CF609" s="38"/>
      <c r="CG609" s="38"/>
      <c r="CH609" s="38"/>
      <c r="CI609" s="38"/>
      <c r="CJ609" s="38"/>
      <c r="CK609" s="38"/>
      <c r="CL609" s="38"/>
      <c r="CM609" s="38"/>
      <c r="CN609" s="38"/>
      <c r="CO609" s="38"/>
      <c r="CP609" s="38"/>
      <c r="CQ609" s="38"/>
      <c r="CR609" s="38"/>
      <c r="CS609" s="38"/>
      <c r="CT609" s="38"/>
      <c r="CU609" s="38"/>
      <c r="CV609" s="38"/>
      <c r="CW609" s="38"/>
      <c r="CX609" s="38"/>
      <c r="CY609" s="38"/>
      <c r="CZ609" s="38"/>
    </row>
    <row r="610" spans="1:104" s="40" customFormat="1" ht="20.149999999999999" customHeight="1">
      <c r="A610" s="358">
        <f t="shared" si="143"/>
        <v>609</v>
      </c>
      <c r="B610" s="359" t="str">
        <f>'Front Sheet and Checklist'!$C$5</f>
        <v>Swansea Bay UHB</v>
      </c>
      <c r="C610" s="17"/>
      <c r="D610" s="17"/>
      <c r="E610" s="17"/>
      <c r="F610" s="17"/>
      <c r="G610" s="17"/>
      <c r="H610" s="17"/>
      <c r="I610" s="361">
        <f t="shared" si="133"/>
        <v>0</v>
      </c>
      <c r="J610" s="17"/>
      <c r="K610" s="18"/>
      <c r="L610" s="18"/>
      <c r="M610" s="17"/>
      <c r="N610" s="17"/>
      <c r="O610" s="17"/>
      <c r="P610" s="17"/>
      <c r="Q610" s="169"/>
      <c r="R610" s="24"/>
      <c r="S610" s="24"/>
      <c r="T610" s="24"/>
      <c r="U610" s="25"/>
      <c r="V610" s="25"/>
      <c r="W610" s="25"/>
      <c r="X610" s="24"/>
      <c r="Y610" s="24"/>
      <c r="Z610" s="24"/>
      <c r="AA610" s="24"/>
      <c r="AB610" s="24"/>
      <c r="AC610" s="24"/>
      <c r="AD610" s="361">
        <f t="shared" si="132"/>
        <v>0</v>
      </c>
      <c r="AE610" s="359" t="str">
        <f t="shared" si="135"/>
        <v/>
      </c>
      <c r="AF610" s="359" t="str">
        <f t="shared" si="144"/>
        <v/>
      </c>
      <c r="AG610" s="359" t="str">
        <f t="shared" si="136"/>
        <v/>
      </c>
      <c r="AH610" s="359" t="str">
        <f t="shared" si="137"/>
        <v/>
      </c>
      <c r="AI610" s="359" t="str">
        <f t="shared" si="138"/>
        <v/>
      </c>
      <c r="AJ610" s="359" t="str">
        <f t="shared" si="139"/>
        <v/>
      </c>
      <c r="AK610" s="359" t="str">
        <f t="shared" si="141"/>
        <v/>
      </c>
      <c r="AL610" s="359" t="str">
        <f t="shared" si="140"/>
        <v/>
      </c>
      <c r="AM610" s="359" t="str">
        <f t="shared" si="142"/>
        <v/>
      </c>
      <c r="AN610" s="262">
        <f t="shared" si="145"/>
        <v>0</v>
      </c>
      <c r="AO610" s="262" t="str">
        <f>IFERROR(HLOOKUP(AN610,'Ref Lists'!Q$1:AL$2,2,FALSE),'Ref Lists'!$AK$2)</f>
        <v>Savings21</v>
      </c>
      <c r="AP610" s="38"/>
      <c r="AQ610" s="38">
        <f t="shared" si="134"/>
        <v>0</v>
      </c>
      <c r="AR610" s="38"/>
      <c r="AS610" s="38"/>
      <c r="AT610" s="38"/>
      <c r="AU610" s="38"/>
      <c r="AV610" s="38"/>
      <c r="AW610" s="38"/>
      <c r="AX610" s="38"/>
      <c r="AY610" s="38"/>
      <c r="AZ610" s="38"/>
      <c r="BA610" s="38"/>
      <c r="BB610" s="38"/>
      <c r="BC610" s="38"/>
      <c r="BD610" s="38"/>
      <c r="BE610" s="38"/>
      <c r="BF610" s="38"/>
      <c r="BG610" s="38"/>
      <c r="BH610" s="38"/>
      <c r="BI610" s="38"/>
      <c r="BJ610" s="38"/>
      <c r="BK610" s="38"/>
      <c r="BL610" s="38"/>
      <c r="BM610" s="38"/>
      <c r="BN610" s="38"/>
      <c r="BO610" s="38"/>
      <c r="BP610" s="38"/>
      <c r="BQ610" s="38"/>
      <c r="BR610" s="38"/>
      <c r="BS610" s="38"/>
      <c r="BT610" s="38"/>
      <c r="BU610" s="38"/>
      <c r="BV610" s="38"/>
      <c r="BW610" s="38"/>
      <c r="BX610" s="38"/>
      <c r="BY610" s="38"/>
      <c r="BZ610" s="38"/>
      <c r="CA610" s="38"/>
      <c r="CB610" s="38"/>
      <c r="CC610" s="38"/>
      <c r="CD610" s="38"/>
      <c r="CE610" s="38"/>
      <c r="CF610" s="38"/>
      <c r="CG610" s="38"/>
      <c r="CH610" s="38"/>
      <c r="CI610" s="38"/>
      <c r="CJ610" s="38"/>
      <c r="CK610" s="38"/>
      <c r="CL610" s="38"/>
      <c r="CM610" s="38"/>
      <c r="CN610" s="38"/>
      <c r="CO610" s="38"/>
      <c r="CP610" s="38"/>
      <c r="CQ610" s="38"/>
      <c r="CR610" s="38"/>
      <c r="CS610" s="38"/>
      <c r="CT610" s="38"/>
      <c r="CU610" s="38"/>
      <c r="CV610" s="38"/>
      <c r="CW610" s="38"/>
      <c r="CX610" s="38"/>
      <c r="CY610" s="38"/>
      <c r="CZ610" s="38"/>
    </row>
    <row r="611" spans="1:104" s="40" customFormat="1" ht="20.149999999999999" customHeight="1">
      <c r="A611" s="358">
        <f t="shared" si="143"/>
        <v>610</v>
      </c>
      <c r="B611" s="359" t="str">
        <f>'Front Sheet and Checklist'!$C$5</f>
        <v>Swansea Bay UHB</v>
      </c>
      <c r="C611" s="17"/>
      <c r="D611" s="17"/>
      <c r="E611" s="17"/>
      <c r="F611" s="17"/>
      <c r="G611" s="17"/>
      <c r="H611" s="17"/>
      <c r="I611" s="361">
        <f t="shared" si="133"/>
        <v>0</v>
      </c>
      <c r="J611" s="17"/>
      <c r="K611" s="18"/>
      <c r="L611" s="18"/>
      <c r="M611" s="17"/>
      <c r="N611" s="17"/>
      <c r="O611" s="17"/>
      <c r="P611" s="17"/>
      <c r="Q611" s="169"/>
      <c r="R611" s="24"/>
      <c r="S611" s="24"/>
      <c r="T611" s="24"/>
      <c r="U611" s="25"/>
      <c r="V611" s="25"/>
      <c r="W611" s="25"/>
      <c r="X611" s="24"/>
      <c r="Y611" s="24"/>
      <c r="Z611" s="24"/>
      <c r="AA611" s="24"/>
      <c r="AB611" s="24"/>
      <c r="AC611" s="24"/>
      <c r="AD611" s="361">
        <f t="shared" si="132"/>
        <v>0</v>
      </c>
      <c r="AE611" s="359" t="str">
        <f t="shared" si="135"/>
        <v/>
      </c>
      <c r="AF611" s="359" t="str">
        <f t="shared" si="144"/>
        <v/>
      </c>
      <c r="AG611" s="359" t="str">
        <f t="shared" si="136"/>
        <v/>
      </c>
      <c r="AH611" s="359" t="str">
        <f t="shared" si="137"/>
        <v/>
      </c>
      <c r="AI611" s="359" t="str">
        <f t="shared" si="138"/>
        <v/>
      </c>
      <c r="AJ611" s="359" t="str">
        <f t="shared" si="139"/>
        <v/>
      </c>
      <c r="AK611" s="359" t="str">
        <f t="shared" si="141"/>
        <v/>
      </c>
      <c r="AL611" s="359" t="str">
        <f t="shared" si="140"/>
        <v/>
      </c>
      <c r="AM611" s="359" t="str">
        <f t="shared" si="142"/>
        <v/>
      </c>
      <c r="AN611" s="262">
        <f t="shared" si="145"/>
        <v>0</v>
      </c>
      <c r="AO611" s="262" t="str">
        <f>IFERROR(HLOOKUP(AN611,'Ref Lists'!Q$1:AL$2,2,FALSE),'Ref Lists'!$AK$2)</f>
        <v>Savings21</v>
      </c>
      <c r="AP611" s="38"/>
      <c r="AQ611" s="38">
        <f t="shared" si="134"/>
        <v>0</v>
      </c>
      <c r="AR611" s="38"/>
      <c r="AS611" s="38"/>
      <c r="AT611" s="38"/>
      <c r="AU611" s="38"/>
      <c r="AV611" s="38"/>
      <c r="AW611" s="38"/>
      <c r="AX611" s="38"/>
      <c r="AY611" s="38"/>
      <c r="AZ611" s="38"/>
      <c r="BA611" s="38"/>
      <c r="BB611" s="38"/>
      <c r="BC611" s="38"/>
      <c r="BD611" s="38"/>
      <c r="BE611" s="38"/>
      <c r="BF611" s="38"/>
      <c r="BG611" s="38"/>
      <c r="BH611" s="38"/>
      <c r="BI611" s="38"/>
      <c r="BJ611" s="38"/>
      <c r="BK611" s="38"/>
      <c r="BL611" s="38"/>
      <c r="BM611" s="38"/>
      <c r="BN611" s="38"/>
      <c r="BO611" s="38"/>
      <c r="BP611" s="38"/>
      <c r="BQ611" s="38"/>
      <c r="BR611" s="38"/>
      <c r="BS611" s="38"/>
      <c r="BT611" s="38"/>
      <c r="BU611" s="38"/>
      <c r="BV611" s="38"/>
      <c r="BW611" s="38"/>
      <c r="BX611" s="38"/>
      <c r="BY611" s="38"/>
      <c r="BZ611" s="38"/>
      <c r="CA611" s="38"/>
      <c r="CB611" s="38"/>
      <c r="CC611" s="38"/>
      <c r="CD611" s="38"/>
      <c r="CE611" s="38"/>
      <c r="CF611" s="38"/>
      <c r="CG611" s="38"/>
      <c r="CH611" s="38"/>
      <c r="CI611" s="38"/>
      <c r="CJ611" s="38"/>
      <c r="CK611" s="38"/>
      <c r="CL611" s="38"/>
      <c r="CM611" s="38"/>
      <c r="CN611" s="38"/>
      <c r="CO611" s="38"/>
      <c r="CP611" s="38"/>
      <c r="CQ611" s="38"/>
      <c r="CR611" s="38"/>
      <c r="CS611" s="38"/>
      <c r="CT611" s="38"/>
      <c r="CU611" s="38"/>
      <c r="CV611" s="38"/>
      <c r="CW611" s="38"/>
      <c r="CX611" s="38"/>
      <c r="CY611" s="38"/>
      <c r="CZ611" s="38"/>
    </row>
    <row r="612" spans="1:104" s="40" customFormat="1" ht="20.149999999999999" customHeight="1">
      <c r="A612" s="358">
        <f t="shared" si="143"/>
        <v>611</v>
      </c>
      <c r="B612" s="359" t="str">
        <f>'Front Sheet and Checklist'!$C$5</f>
        <v>Swansea Bay UHB</v>
      </c>
      <c r="C612" s="17"/>
      <c r="D612" s="17"/>
      <c r="E612" s="17"/>
      <c r="F612" s="17"/>
      <c r="G612" s="17"/>
      <c r="H612" s="17"/>
      <c r="I612" s="361">
        <f t="shared" si="133"/>
        <v>0</v>
      </c>
      <c r="J612" s="17"/>
      <c r="K612" s="18"/>
      <c r="L612" s="18"/>
      <c r="M612" s="17"/>
      <c r="N612" s="17"/>
      <c r="O612" s="17"/>
      <c r="P612" s="17"/>
      <c r="Q612" s="169"/>
      <c r="R612" s="24"/>
      <c r="S612" s="24"/>
      <c r="T612" s="24"/>
      <c r="U612" s="25"/>
      <c r="V612" s="25"/>
      <c r="W612" s="25"/>
      <c r="X612" s="24"/>
      <c r="Y612" s="24"/>
      <c r="Z612" s="24"/>
      <c r="AA612" s="24"/>
      <c r="AB612" s="24"/>
      <c r="AC612" s="24"/>
      <c r="AD612" s="361">
        <f t="shared" si="132"/>
        <v>0</v>
      </c>
      <c r="AE612" s="359" t="str">
        <f t="shared" si="135"/>
        <v/>
      </c>
      <c r="AF612" s="359" t="str">
        <f t="shared" si="144"/>
        <v/>
      </c>
      <c r="AG612" s="359" t="str">
        <f t="shared" si="136"/>
        <v/>
      </c>
      <c r="AH612" s="359" t="str">
        <f t="shared" si="137"/>
        <v/>
      </c>
      <c r="AI612" s="359" t="str">
        <f t="shared" si="138"/>
        <v/>
      </c>
      <c r="AJ612" s="359" t="str">
        <f t="shared" si="139"/>
        <v/>
      </c>
      <c r="AK612" s="359" t="str">
        <f t="shared" si="141"/>
        <v/>
      </c>
      <c r="AL612" s="359" t="str">
        <f t="shared" si="140"/>
        <v/>
      </c>
      <c r="AM612" s="359" t="str">
        <f t="shared" si="142"/>
        <v/>
      </c>
      <c r="AN612" s="262">
        <f t="shared" si="145"/>
        <v>0</v>
      </c>
      <c r="AO612" s="262" t="str">
        <f>IFERROR(HLOOKUP(AN612,'Ref Lists'!Q$1:AL$2,2,FALSE),'Ref Lists'!$AK$2)</f>
        <v>Savings21</v>
      </c>
      <c r="AP612" s="38"/>
      <c r="AQ612" s="38">
        <f t="shared" si="134"/>
        <v>0</v>
      </c>
      <c r="AR612" s="38"/>
      <c r="AS612" s="38"/>
      <c r="AT612" s="38"/>
      <c r="AU612" s="38"/>
      <c r="AV612" s="38"/>
      <c r="AW612" s="38"/>
      <c r="AX612" s="38"/>
      <c r="AY612" s="38"/>
      <c r="AZ612" s="38"/>
      <c r="BA612" s="38"/>
      <c r="BB612" s="38"/>
      <c r="BC612" s="38"/>
      <c r="BD612" s="38"/>
      <c r="BE612" s="38"/>
      <c r="BF612" s="38"/>
      <c r="BG612" s="38"/>
      <c r="BH612" s="38"/>
      <c r="BI612" s="38"/>
      <c r="BJ612" s="38"/>
      <c r="BK612" s="38"/>
      <c r="BL612" s="38"/>
      <c r="BM612" s="38"/>
      <c r="BN612" s="38"/>
      <c r="BO612" s="38"/>
      <c r="BP612" s="38"/>
      <c r="BQ612" s="38"/>
      <c r="BR612" s="38"/>
      <c r="BS612" s="38"/>
      <c r="BT612" s="38"/>
      <c r="BU612" s="38"/>
      <c r="BV612" s="38"/>
      <c r="BW612" s="38"/>
      <c r="BX612" s="38"/>
      <c r="BY612" s="38"/>
      <c r="BZ612" s="38"/>
      <c r="CA612" s="38"/>
      <c r="CB612" s="38"/>
      <c r="CC612" s="38"/>
      <c r="CD612" s="38"/>
      <c r="CE612" s="38"/>
      <c r="CF612" s="38"/>
      <c r="CG612" s="38"/>
      <c r="CH612" s="38"/>
      <c r="CI612" s="38"/>
      <c r="CJ612" s="38"/>
      <c r="CK612" s="38"/>
      <c r="CL612" s="38"/>
      <c r="CM612" s="38"/>
      <c r="CN612" s="38"/>
      <c r="CO612" s="38"/>
      <c r="CP612" s="38"/>
      <c r="CQ612" s="38"/>
      <c r="CR612" s="38"/>
      <c r="CS612" s="38"/>
      <c r="CT612" s="38"/>
      <c r="CU612" s="38"/>
      <c r="CV612" s="38"/>
      <c r="CW612" s="38"/>
      <c r="CX612" s="38"/>
      <c r="CY612" s="38"/>
      <c r="CZ612" s="38"/>
    </row>
    <row r="613" spans="1:104" s="40" customFormat="1" ht="20.149999999999999" customHeight="1">
      <c r="A613" s="358">
        <f t="shared" si="143"/>
        <v>612</v>
      </c>
      <c r="B613" s="359" t="str">
        <f>'Front Sheet and Checklist'!$C$5</f>
        <v>Swansea Bay UHB</v>
      </c>
      <c r="C613" s="17"/>
      <c r="D613" s="17"/>
      <c r="E613" s="17"/>
      <c r="F613" s="17"/>
      <c r="G613" s="17"/>
      <c r="H613" s="17"/>
      <c r="I613" s="361">
        <f t="shared" si="133"/>
        <v>0</v>
      </c>
      <c r="J613" s="17"/>
      <c r="K613" s="18"/>
      <c r="L613" s="18"/>
      <c r="M613" s="17"/>
      <c r="N613" s="17"/>
      <c r="O613" s="17"/>
      <c r="P613" s="17"/>
      <c r="Q613" s="169"/>
      <c r="R613" s="24"/>
      <c r="S613" s="24"/>
      <c r="T613" s="24"/>
      <c r="U613" s="25"/>
      <c r="V613" s="25"/>
      <c r="W613" s="25"/>
      <c r="X613" s="24"/>
      <c r="Y613" s="24"/>
      <c r="Z613" s="24"/>
      <c r="AA613" s="24"/>
      <c r="AB613" s="24"/>
      <c r="AC613" s="24"/>
      <c r="AD613" s="361">
        <f t="shared" si="132"/>
        <v>0</v>
      </c>
      <c r="AE613" s="359" t="str">
        <f t="shared" si="135"/>
        <v/>
      </c>
      <c r="AF613" s="359" t="str">
        <f t="shared" si="144"/>
        <v/>
      </c>
      <c r="AG613" s="359" t="str">
        <f t="shared" si="136"/>
        <v/>
      </c>
      <c r="AH613" s="359" t="str">
        <f t="shared" si="137"/>
        <v/>
      </c>
      <c r="AI613" s="359" t="str">
        <f t="shared" si="138"/>
        <v/>
      </c>
      <c r="AJ613" s="359" t="str">
        <f t="shared" si="139"/>
        <v/>
      </c>
      <c r="AK613" s="359" t="str">
        <f t="shared" si="141"/>
        <v/>
      </c>
      <c r="AL613" s="359" t="str">
        <f t="shared" si="140"/>
        <v/>
      </c>
      <c r="AM613" s="359" t="str">
        <f t="shared" si="142"/>
        <v/>
      </c>
      <c r="AN613" s="262">
        <f t="shared" si="145"/>
        <v>0</v>
      </c>
      <c r="AO613" s="262" t="str">
        <f>IFERROR(HLOOKUP(AN613,'Ref Lists'!Q$1:AL$2,2,FALSE),'Ref Lists'!$AK$2)</f>
        <v>Savings21</v>
      </c>
      <c r="AP613" s="38"/>
      <c r="AQ613" s="38">
        <f t="shared" si="134"/>
        <v>0</v>
      </c>
      <c r="AR613" s="38"/>
      <c r="AS613" s="38"/>
      <c r="AT613" s="38"/>
      <c r="AU613" s="38"/>
      <c r="AV613" s="38"/>
      <c r="AW613" s="38"/>
      <c r="AX613" s="38"/>
      <c r="AY613" s="38"/>
      <c r="AZ613" s="38"/>
      <c r="BA613" s="38"/>
      <c r="BB613" s="38"/>
      <c r="BC613" s="38"/>
      <c r="BD613" s="38"/>
      <c r="BE613" s="38"/>
      <c r="BF613" s="38"/>
      <c r="BG613" s="38"/>
      <c r="BH613" s="38"/>
      <c r="BI613" s="38"/>
      <c r="BJ613" s="38"/>
      <c r="BK613" s="38"/>
      <c r="BL613" s="38"/>
      <c r="BM613" s="38"/>
      <c r="BN613" s="38"/>
      <c r="BO613" s="38"/>
      <c r="BP613" s="38"/>
      <c r="BQ613" s="38"/>
      <c r="BR613" s="38"/>
      <c r="BS613" s="38"/>
      <c r="BT613" s="38"/>
      <c r="BU613" s="38"/>
      <c r="BV613" s="38"/>
      <c r="BW613" s="38"/>
      <c r="BX613" s="38"/>
      <c r="BY613" s="38"/>
      <c r="BZ613" s="38"/>
      <c r="CA613" s="38"/>
      <c r="CB613" s="38"/>
      <c r="CC613" s="38"/>
      <c r="CD613" s="38"/>
      <c r="CE613" s="38"/>
      <c r="CF613" s="38"/>
      <c r="CG613" s="38"/>
      <c r="CH613" s="38"/>
      <c r="CI613" s="38"/>
      <c r="CJ613" s="38"/>
      <c r="CK613" s="38"/>
      <c r="CL613" s="38"/>
      <c r="CM613" s="38"/>
      <c r="CN613" s="38"/>
      <c r="CO613" s="38"/>
      <c r="CP613" s="38"/>
      <c r="CQ613" s="38"/>
      <c r="CR613" s="38"/>
      <c r="CS613" s="38"/>
      <c r="CT613" s="38"/>
      <c r="CU613" s="38"/>
      <c r="CV613" s="38"/>
      <c r="CW613" s="38"/>
      <c r="CX613" s="38"/>
      <c r="CY613" s="38"/>
      <c r="CZ613" s="38"/>
    </row>
    <row r="614" spans="1:104" s="40" customFormat="1" ht="20.149999999999999" customHeight="1">
      <c r="A614" s="358">
        <f t="shared" si="143"/>
        <v>613</v>
      </c>
      <c r="B614" s="359" t="str">
        <f>'Front Sheet and Checklist'!$C$5</f>
        <v>Swansea Bay UHB</v>
      </c>
      <c r="C614" s="17"/>
      <c r="D614" s="17"/>
      <c r="E614" s="17"/>
      <c r="F614" s="17"/>
      <c r="G614" s="17"/>
      <c r="H614" s="17"/>
      <c r="I614" s="361">
        <f t="shared" si="133"/>
        <v>0</v>
      </c>
      <c r="J614" s="17"/>
      <c r="K614" s="18"/>
      <c r="L614" s="18"/>
      <c r="M614" s="17"/>
      <c r="N614" s="17"/>
      <c r="O614" s="17"/>
      <c r="P614" s="17"/>
      <c r="Q614" s="169"/>
      <c r="R614" s="24"/>
      <c r="S614" s="24"/>
      <c r="T614" s="24"/>
      <c r="U614" s="25"/>
      <c r="V614" s="25"/>
      <c r="W614" s="25"/>
      <c r="X614" s="24"/>
      <c r="Y614" s="24"/>
      <c r="Z614" s="24"/>
      <c r="AA614" s="24"/>
      <c r="AB614" s="24"/>
      <c r="AC614" s="24"/>
      <c r="AD614" s="361">
        <f t="shared" si="132"/>
        <v>0</v>
      </c>
      <c r="AE614" s="359" t="str">
        <f t="shared" si="135"/>
        <v/>
      </c>
      <c r="AF614" s="359" t="str">
        <f t="shared" si="144"/>
        <v/>
      </c>
      <c r="AG614" s="359" t="str">
        <f t="shared" si="136"/>
        <v/>
      </c>
      <c r="AH614" s="359" t="str">
        <f t="shared" si="137"/>
        <v/>
      </c>
      <c r="AI614" s="359" t="str">
        <f t="shared" si="138"/>
        <v/>
      </c>
      <c r="AJ614" s="359" t="str">
        <f t="shared" si="139"/>
        <v/>
      </c>
      <c r="AK614" s="359" t="str">
        <f t="shared" si="141"/>
        <v/>
      </c>
      <c r="AL614" s="359" t="str">
        <f t="shared" si="140"/>
        <v/>
      </c>
      <c r="AM614" s="359" t="str">
        <f t="shared" si="142"/>
        <v/>
      </c>
      <c r="AN614" s="262">
        <f t="shared" si="145"/>
        <v>0</v>
      </c>
      <c r="AO614" s="262" t="str">
        <f>IFERROR(HLOOKUP(AN614,'Ref Lists'!Q$1:AL$2,2,FALSE),'Ref Lists'!$AK$2)</f>
        <v>Savings21</v>
      </c>
      <c r="AP614" s="38"/>
      <c r="AQ614" s="38">
        <f t="shared" si="134"/>
        <v>0</v>
      </c>
      <c r="AR614" s="38"/>
      <c r="AS614" s="38"/>
      <c r="AT614" s="38"/>
      <c r="AU614" s="38"/>
      <c r="AV614" s="38"/>
      <c r="AW614" s="38"/>
      <c r="AX614" s="38"/>
      <c r="AY614" s="38"/>
      <c r="AZ614" s="38"/>
      <c r="BA614" s="38"/>
      <c r="BB614" s="38"/>
      <c r="BC614" s="38"/>
      <c r="BD614" s="38"/>
      <c r="BE614" s="38"/>
      <c r="BF614" s="38"/>
      <c r="BG614" s="38"/>
      <c r="BH614" s="38"/>
      <c r="BI614" s="38"/>
      <c r="BJ614" s="38"/>
      <c r="BK614" s="38"/>
      <c r="BL614" s="38"/>
      <c r="BM614" s="38"/>
      <c r="BN614" s="38"/>
      <c r="BO614" s="38"/>
      <c r="BP614" s="38"/>
      <c r="BQ614" s="38"/>
      <c r="BR614" s="38"/>
      <c r="BS614" s="38"/>
      <c r="BT614" s="38"/>
      <c r="BU614" s="38"/>
      <c r="BV614" s="38"/>
      <c r="BW614" s="38"/>
      <c r="BX614" s="38"/>
      <c r="BY614" s="38"/>
      <c r="BZ614" s="38"/>
      <c r="CA614" s="38"/>
      <c r="CB614" s="38"/>
      <c r="CC614" s="38"/>
      <c r="CD614" s="38"/>
      <c r="CE614" s="38"/>
      <c r="CF614" s="38"/>
      <c r="CG614" s="38"/>
      <c r="CH614" s="38"/>
      <c r="CI614" s="38"/>
      <c r="CJ614" s="38"/>
      <c r="CK614" s="38"/>
      <c r="CL614" s="38"/>
      <c r="CM614" s="38"/>
      <c r="CN614" s="38"/>
      <c r="CO614" s="38"/>
      <c r="CP614" s="38"/>
      <c r="CQ614" s="38"/>
      <c r="CR614" s="38"/>
      <c r="CS614" s="38"/>
      <c r="CT614" s="38"/>
      <c r="CU614" s="38"/>
      <c r="CV614" s="38"/>
      <c r="CW614" s="38"/>
      <c r="CX614" s="38"/>
      <c r="CY614" s="38"/>
      <c r="CZ614" s="38"/>
    </row>
    <row r="615" spans="1:104" s="40" customFormat="1" ht="20.149999999999999" customHeight="1">
      <c r="A615" s="358">
        <f t="shared" si="143"/>
        <v>614</v>
      </c>
      <c r="B615" s="359" t="str">
        <f>'Front Sheet and Checklist'!$C$5</f>
        <v>Swansea Bay UHB</v>
      </c>
      <c r="C615" s="17"/>
      <c r="D615" s="17"/>
      <c r="E615" s="17"/>
      <c r="F615" s="17"/>
      <c r="G615" s="17"/>
      <c r="H615" s="17"/>
      <c r="I615" s="361">
        <f t="shared" si="133"/>
        <v>0</v>
      </c>
      <c r="J615" s="17"/>
      <c r="K615" s="18"/>
      <c r="L615" s="18"/>
      <c r="M615" s="17"/>
      <c r="N615" s="17"/>
      <c r="O615" s="17"/>
      <c r="P615" s="17"/>
      <c r="Q615" s="169"/>
      <c r="R615" s="24"/>
      <c r="S615" s="24"/>
      <c r="T615" s="24"/>
      <c r="U615" s="25"/>
      <c r="V615" s="25"/>
      <c r="W615" s="25"/>
      <c r="X615" s="24"/>
      <c r="Y615" s="24"/>
      <c r="Z615" s="24"/>
      <c r="AA615" s="24"/>
      <c r="AB615" s="24"/>
      <c r="AC615" s="24"/>
      <c r="AD615" s="361">
        <f t="shared" si="132"/>
        <v>0</v>
      </c>
      <c r="AE615" s="359" t="str">
        <f t="shared" si="135"/>
        <v/>
      </c>
      <c r="AF615" s="359" t="str">
        <f t="shared" si="144"/>
        <v/>
      </c>
      <c r="AG615" s="359" t="str">
        <f t="shared" si="136"/>
        <v/>
      </c>
      <c r="AH615" s="359" t="str">
        <f t="shared" si="137"/>
        <v/>
      </c>
      <c r="AI615" s="359" t="str">
        <f t="shared" si="138"/>
        <v/>
      </c>
      <c r="AJ615" s="359" t="str">
        <f t="shared" si="139"/>
        <v/>
      </c>
      <c r="AK615" s="359" t="str">
        <f t="shared" si="141"/>
        <v/>
      </c>
      <c r="AL615" s="359" t="str">
        <f t="shared" si="140"/>
        <v/>
      </c>
      <c r="AM615" s="359" t="str">
        <f t="shared" si="142"/>
        <v/>
      </c>
      <c r="AN615" s="262">
        <f t="shared" si="145"/>
        <v>0</v>
      </c>
      <c r="AO615" s="262" t="str">
        <f>IFERROR(HLOOKUP(AN615,'Ref Lists'!Q$1:AL$2,2,FALSE),'Ref Lists'!$AK$2)</f>
        <v>Savings21</v>
      </c>
      <c r="AP615" s="38"/>
      <c r="AQ615" s="38">
        <f t="shared" si="134"/>
        <v>0</v>
      </c>
      <c r="AR615" s="38"/>
      <c r="AS615" s="38"/>
      <c r="AT615" s="38"/>
      <c r="AU615" s="38"/>
      <c r="AV615" s="38"/>
      <c r="AW615" s="38"/>
      <c r="AX615" s="38"/>
      <c r="AY615" s="38"/>
      <c r="AZ615" s="38"/>
      <c r="BA615" s="38"/>
      <c r="BB615" s="38"/>
      <c r="BC615" s="38"/>
      <c r="BD615" s="38"/>
      <c r="BE615" s="38"/>
      <c r="BF615" s="38"/>
      <c r="BG615" s="38"/>
      <c r="BH615" s="38"/>
      <c r="BI615" s="38"/>
      <c r="BJ615" s="38"/>
      <c r="BK615" s="38"/>
      <c r="BL615" s="38"/>
      <c r="BM615" s="38"/>
      <c r="BN615" s="38"/>
      <c r="BO615" s="38"/>
      <c r="BP615" s="38"/>
      <c r="BQ615" s="38"/>
      <c r="BR615" s="38"/>
      <c r="BS615" s="38"/>
      <c r="BT615" s="38"/>
      <c r="BU615" s="38"/>
      <c r="BV615" s="38"/>
      <c r="BW615" s="38"/>
      <c r="BX615" s="38"/>
      <c r="BY615" s="38"/>
      <c r="BZ615" s="38"/>
      <c r="CA615" s="38"/>
      <c r="CB615" s="38"/>
      <c r="CC615" s="38"/>
      <c r="CD615" s="38"/>
      <c r="CE615" s="38"/>
      <c r="CF615" s="38"/>
      <c r="CG615" s="38"/>
      <c r="CH615" s="38"/>
      <c r="CI615" s="38"/>
      <c r="CJ615" s="38"/>
      <c r="CK615" s="38"/>
      <c r="CL615" s="38"/>
      <c r="CM615" s="38"/>
      <c r="CN615" s="38"/>
      <c r="CO615" s="38"/>
      <c r="CP615" s="38"/>
      <c r="CQ615" s="38"/>
      <c r="CR615" s="38"/>
      <c r="CS615" s="38"/>
      <c r="CT615" s="38"/>
      <c r="CU615" s="38"/>
      <c r="CV615" s="38"/>
      <c r="CW615" s="38"/>
      <c r="CX615" s="38"/>
      <c r="CY615" s="38"/>
      <c r="CZ615" s="38"/>
    </row>
    <row r="616" spans="1:104" s="40" customFormat="1" ht="20.149999999999999" customHeight="1">
      <c r="A616" s="358">
        <f t="shared" si="143"/>
        <v>615</v>
      </c>
      <c r="B616" s="359" t="str">
        <f>'Front Sheet and Checklist'!$C$5</f>
        <v>Swansea Bay UHB</v>
      </c>
      <c r="C616" s="17"/>
      <c r="D616" s="17"/>
      <c r="E616" s="17"/>
      <c r="F616" s="17"/>
      <c r="G616" s="17"/>
      <c r="H616" s="17"/>
      <c r="I616" s="361">
        <f t="shared" si="133"/>
        <v>0</v>
      </c>
      <c r="J616" s="17"/>
      <c r="K616" s="18"/>
      <c r="L616" s="18"/>
      <c r="M616" s="17"/>
      <c r="N616" s="17"/>
      <c r="O616" s="17"/>
      <c r="P616" s="17"/>
      <c r="Q616" s="169"/>
      <c r="R616" s="24"/>
      <c r="S616" s="24"/>
      <c r="T616" s="24"/>
      <c r="U616" s="25"/>
      <c r="V616" s="25"/>
      <c r="W616" s="25"/>
      <c r="X616" s="24"/>
      <c r="Y616" s="24"/>
      <c r="Z616" s="24"/>
      <c r="AA616" s="24"/>
      <c r="AB616" s="24"/>
      <c r="AC616" s="24"/>
      <c r="AD616" s="361">
        <f t="shared" si="132"/>
        <v>0</v>
      </c>
      <c r="AE616" s="359" t="str">
        <f t="shared" si="135"/>
        <v/>
      </c>
      <c r="AF616" s="359" t="str">
        <f t="shared" si="144"/>
        <v/>
      </c>
      <c r="AG616" s="359" t="str">
        <f t="shared" si="136"/>
        <v/>
      </c>
      <c r="AH616" s="359" t="str">
        <f t="shared" si="137"/>
        <v/>
      </c>
      <c r="AI616" s="359" t="str">
        <f t="shared" si="138"/>
        <v/>
      </c>
      <c r="AJ616" s="359" t="str">
        <f t="shared" si="139"/>
        <v/>
      </c>
      <c r="AK616" s="359" t="str">
        <f t="shared" si="141"/>
        <v/>
      </c>
      <c r="AL616" s="359" t="str">
        <f t="shared" si="140"/>
        <v/>
      </c>
      <c r="AM616" s="359" t="str">
        <f t="shared" si="142"/>
        <v/>
      </c>
      <c r="AN616" s="262">
        <f t="shared" si="145"/>
        <v>0</v>
      </c>
      <c r="AO616" s="262" t="str">
        <f>IFERROR(HLOOKUP(AN616,'Ref Lists'!Q$1:AL$2,2,FALSE),'Ref Lists'!$AK$2)</f>
        <v>Savings21</v>
      </c>
      <c r="AP616" s="38"/>
      <c r="AQ616" s="38">
        <f t="shared" si="134"/>
        <v>0</v>
      </c>
      <c r="AR616" s="38"/>
      <c r="AS616" s="38"/>
      <c r="AT616" s="38"/>
      <c r="AU616" s="38"/>
      <c r="AV616" s="38"/>
      <c r="AW616" s="38"/>
      <c r="AX616" s="38"/>
      <c r="AY616" s="38"/>
      <c r="AZ616" s="38"/>
      <c r="BA616" s="38"/>
      <c r="BB616" s="38"/>
      <c r="BC616" s="38"/>
      <c r="BD616" s="38"/>
      <c r="BE616" s="38"/>
      <c r="BF616" s="38"/>
      <c r="BG616" s="38"/>
      <c r="BH616" s="38"/>
      <c r="BI616" s="38"/>
      <c r="BJ616" s="38"/>
      <c r="BK616" s="38"/>
      <c r="BL616" s="38"/>
      <c r="BM616" s="38"/>
      <c r="BN616" s="38"/>
      <c r="BO616" s="38"/>
      <c r="BP616" s="38"/>
      <c r="BQ616" s="38"/>
      <c r="BR616" s="38"/>
      <c r="BS616" s="38"/>
      <c r="BT616" s="38"/>
      <c r="BU616" s="38"/>
      <c r="BV616" s="38"/>
      <c r="BW616" s="38"/>
      <c r="BX616" s="38"/>
      <c r="BY616" s="38"/>
      <c r="BZ616" s="38"/>
      <c r="CA616" s="38"/>
      <c r="CB616" s="38"/>
      <c r="CC616" s="38"/>
      <c r="CD616" s="38"/>
      <c r="CE616" s="38"/>
      <c r="CF616" s="38"/>
      <c r="CG616" s="38"/>
      <c r="CH616" s="38"/>
      <c r="CI616" s="38"/>
      <c r="CJ616" s="38"/>
      <c r="CK616" s="38"/>
      <c r="CL616" s="38"/>
      <c r="CM616" s="38"/>
      <c r="CN616" s="38"/>
      <c r="CO616" s="38"/>
      <c r="CP616" s="38"/>
      <c r="CQ616" s="38"/>
      <c r="CR616" s="38"/>
      <c r="CS616" s="38"/>
      <c r="CT616" s="38"/>
      <c r="CU616" s="38"/>
      <c r="CV616" s="38"/>
      <c r="CW616" s="38"/>
      <c r="CX616" s="38"/>
      <c r="CY616" s="38"/>
      <c r="CZ616" s="38"/>
    </row>
    <row r="617" spans="1:104" s="40" customFormat="1" ht="20.149999999999999" customHeight="1">
      <c r="A617" s="358">
        <f t="shared" si="143"/>
        <v>616</v>
      </c>
      <c r="B617" s="359" t="str">
        <f>'Front Sheet and Checklist'!$C$5</f>
        <v>Swansea Bay UHB</v>
      </c>
      <c r="C617" s="17"/>
      <c r="D617" s="17"/>
      <c r="E617" s="17"/>
      <c r="F617" s="17"/>
      <c r="G617" s="17"/>
      <c r="H617" s="17"/>
      <c r="I617" s="361">
        <f t="shared" si="133"/>
        <v>0</v>
      </c>
      <c r="J617" s="17"/>
      <c r="K617" s="18"/>
      <c r="L617" s="18"/>
      <c r="M617" s="17"/>
      <c r="N617" s="17"/>
      <c r="O617" s="17"/>
      <c r="P617" s="17"/>
      <c r="Q617" s="169"/>
      <c r="R617" s="24"/>
      <c r="S617" s="24"/>
      <c r="T617" s="24"/>
      <c r="U617" s="25"/>
      <c r="V617" s="25"/>
      <c r="W617" s="25"/>
      <c r="X617" s="24"/>
      <c r="Y617" s="24"/>
      <c r="Z617" s="24"/>
      <c r="AA617" s="24"/>
      <c r="AB617" s="24"/>
      <c r="AC617" s="24"/>
      <c r="AD617" s="361">
        <f t="shared" si="132"/>
        <v>0</v>
      </c>
      <c r="AE617" s="359" t="str">
        <f t="shared" si="135"/>
        <v/>
      </c>
      <c r="AF617" s="359" t="str">
        <f t="shared" si="144"/>
        <v/>
      </c>
      <c r="AG617" s="359" t="str">
        <f t="shared" si="136"/>
        <v/>
      </c>
      <c r="AH617" s="359" t="str">
        <f t="shared" si="137"/>
        <v/>
      </c>
      <c r="AI617" s="359" t="str">
        <f t="shared" si="138"/>
        <v/>
      </c>
      <c r="AJ617" s="359" t="str">
        <f t="shared" si="139"/>
        <v/>
      </c>
      <c r="AK617" s="359" t="str">
        <f t="shared" si="141"/>
        <v/>
      </c>
      <c r="AL617" s="359" t="str">
        <f t="shared" si="140"/>
        <v/>
      </c>
      <c r="AM617" s="359" t="str">
        <f t="shared" si="142"/>
        <v/>
      </c>
      <c r="AN617" s="262">
        <f t="shared" si="145"/>
        <v>0</v>
      </c>
      <c r="AO617" s="262" t="str">
        <f>IFERROR(HLOOKUP(AN617,'Ref Lists'!Q$1:AL$2,2,FALSE),'Ref Lists'!$AK$2)</f>
        <v>Savings21</v>
      </c>
      <c r="AP617" s="38"/>
      <c r="AQ617" s="38">
        <f t="shared" si="134"/>
        <v>0</v>
      </c>
      <c r="AR617" s="38"/>
      <c r="AS617" s="38"/>
      <c r="AT617" s="38"/>
      <c r="AU617" s="38"/>
      <c r="AV617" s="38"/>
      <c r="AW617" s="38"/>
      <c r="AX617" s="38"/>
      <c r="AY617" s="38"/>
      <c r="AZ617" s="38"/>
      <c r="BA617" s="38"/>
      <c r="BB617" s="38"/>
      <c r="BC617" s="38"/>
      <c r="BD617" s="38"/>
      <c r="BE617" s="38"/>
      <c r="BF617" s="38"/>
      <c r="BG617" s="38"/>
      <c r="BH617" s="38"/>
      <c r="BI617" s="38"/>
      <c r="BJ617" s="38"/>
      <c r="BK617" s="38"/>
      <c r="BL617" s="38"/>
      <c r="BM617" s="38"/>
      <c r="BN617" s="38"/>
      <c r="BO617" s="38"/>
      <c r="BP617" s="38"/>
      <c r="BQ617" s="38"/>
      <c r="BR617" s="38"/>
      <c r="BS617" s="38"/>
      <c r="BT617" s="38"/>
      <c r="BU617" s="38"/>
      <c r="BV617" s="38"/>
      <c r="BW617" s="38"/>
      <c r="BX617" s="38"/>
      <c r="BY617" s="38"/>
      <c r="BZ617" s="38"/>
      <c r="CA617" s="38"/>
      <c r="CB617" s="38"/>
      <c r="CC617" s="38"/>
      <c r="CD617" s="38"/>
      <c r="CE617" s="38"/>
      <c r="CF617" s="38"/>
      <c r="CG617" s="38"/>
      <c r="CH617" s="38"/>
      <c r="CI617" s="38"/>
      <c r="CJ617" s="38"/>
      <c r="CK617" s="38"/>
      <c r="CL617" s="38"/>
      <c r="CM617" s="38"/>
      <c r="CN617" s="38"/>
      <c r="CO617" s="38"/>
      <c r="CP617" s="38"/>
      <c r="CQ617" s="38"/>
      <c r="CR617" s="38"/>
      <c r="CS617" s="38"/>
      <c r="CT617" s="38"/>
      <c r="CU617" s="38"/>
      <c r="CV617" s="38"/>
      <c r="CW617" s="38"/>
      <c r="CX617" s="38"/>
      <c r="CY617" s="38"/>
      <c r="CZ617" s="38"/>
    </row>
    <row r="618" spans="1:104" s="40" customFormat="1" ht="20.149999999999999" customHeight="1">
      <c r="A618" s="358">
        <f t="shared" si="143"/>
        <v>617</v>
      </c>
      <c r="B618" s="359" t="str">
        <f>'Front Sheet and Checklist'!$C$5</f>
        <v>Swansea Bay UHB</v>
      </c>
      <c r="C618" s="17"/>
      <c r="D618" s="17"/>
      <c r="E618" s="17"/>
      <c r="F618" s="17"/>
      <c r="G618" s="17"/>
      <c r="H618" s="17"/>
      <c r="I618" s="361">
        <f t="shared" si="133"/>
        <v>0</v>
      </c>
      <c r="J618" s="17"/>
      <c r="K618" s="18"/>
      <c r="L618" s="18"/>
      <c r="M618" s="17"/>
      <c r="N618" s="17"/>
      <c r="O618" s="17"/>
      <c r="P618" s="17"/>
      <c r="Q618" s="169"/>
      <c r="R618" s="24"/>
      <c r="S618" s="24"/>
      <c r="T618" s="24"/>
      <c r="U618" s="25"/>
      <c r="V618" s="25"/>
      <c r="W618" s="25"/>
      <c r="X618" s="24"/>
      <c r="Y618" s="24"/>
      <c r="Z618" s="24"/>
      <c r="AA618" s="24"/>
      <c r="AB618" s="24"/>
      <c r="AC618" s="24"/>
      <c r="AD618" s="361">
        <f t="shared" si="132"/>
        <v>0</v>
      </c>
      <c r="AE618" s="359" t="str">
        <f t="shared" si="135"/>
        <v/>
      </c>
      <c r="AF618" s="359" t="str">
        <f t="shared" si="144"/>
        <v/>
      </c>
      <c r="AG618" s="359" t="str">
        <f t="shared" si="136"/>
        <v/>
      </c>
      <c r="AH618" s="359" t="str">
        <f t="shared" si="137"/>
        <v/>
      </c>
      <c r="AI618" s="359" t="str">
        <f t="shared" si="138"/>
        <v/>
      </c>
      <c r="AJ618" s="359" t="str">
        <f t="shared" si="139"/>
        <v/>
      </c>
      <c r="AK618" s="359" t="str">
        <f t="shared" si="141"/>
        <v/>
      </c>
      <c r="AL618" s="359" t="str">
        <f t="shared" si="140"/>
        <v/>
      </c>
      <c r="AM618" s="359" t="str">
        <f t="shared" si="142"/>
        <v/>
      </c>
      <c r="AN618" s="262">
        <f t="shared" si="145"/>
        <v>0</v>
      </c>
      <c r="AO618" s="262" t="str">
        <f>IFERROR(HLOOKUP(AN618,'Ref Lists'!Q$1:AL$2,2,FALSE),'Ref Lists'!$AK$2)</f>
        <v>Savings21</v>
      </c>
      <c r="AP618" s="38"/>
      <c r="AQ618" s="38">
        <f t="shared" si="134"/>
        <v>0</v>
      </c>
      <c r="AR618" s="38"/>
      <c r="AS618" s="38"/>
      <c r="AT618" s="38"/>
      <c r="AU618" s="38"/>
      <c r="AV618" s="38"/>
      <c r="AW618" s="38"/>
      <c r="AX618" s="38"/>
      <c r="AY618" s="38"/>
      <c r="AZ618" s="38"/>
      <c r="BA618" s="38"/>
      <c r="BB618" s="38"/>
      <c r="BC618" s="38"/>
      <c r="BD618" s="38"/>
      <c r="BE618" s="38"/>
      <c r="BF618" s="38"/>
      <c r="BG618" s="38"/>
      <c r="BH618" s="38"/>
      <c r="BI618" s="38"/>
      <c r="BJ618" s="38"/>
      <c r="BK618" s="38"/>
      <c r="BL618" s="38"/>
      <c r="BM618" s="38"/>
      <c r="BN618" s="38"/>
      <c r="BO618" s="38"/>
      <c r="BP618" s="38"/>
      <c r="BQ618" s="38"/>
      <c r="BR618" s="38"/>
      <c r="BS618" s="38"/>
      <c r="BT618" s="38"/>
      <c r="BU618" s="38"/>
      <c r="BV618" s="38"/>
      <c r="BW618" s="38"/>
      <c r="BX618" s="38"/>
      <c r="BY618" s="38"/>
      <c r="BZ618" s="38"/>
      <c r="CA618" s="38"/>
      <c r="CB618" s="38"/>
      <c r="CC618" s="38"/>
      <c r="CD618" s="38"/>
      <c r="CE618" s="38"/>
      <c r="CF618" s="38"/>
      <c r="CG618" s="38"/>
      <c r="CH618" s="38"/>
      <c r="CI618" s="38"/>
      <c r="CJ618" s="38"/>
      <c r="CK618" s="38"/>
      <c r="CL618" s="38"/>
      <c r="CM618" s="38"/>
      <c r="CN618" s="38"/>
      <c r="CO618" s="38"/>
      <c r="CP618" s="38"/>
      <c r="CQ618" s="38"/>
      <c r="CR618" s="38"/>
      <c r="CS618" s="38"/>
      <c r="CT618" s="38"/>
      <c r="CU618" s="38"/>
      <c r="CV618" s="38"/>
      <c r="CW618" s="38"/>
      <c r="CX618" s="38"/>
      <c r="CY618" s="38"/>
      <c r="CZ618" s="38"/>
    </row>
    <row r="619" spans="1:104" s="40" customFormat="1" ht="20.149999999999999" customHeight="1">
      <c r="A619" s="358">
        <f t="shared" si="143"/>
        <v>618</v>
      </c>
      <c r="B619" s="359" t="str">
        <f>'Front Sheet and Checklist'!$C$5</f>
        <v>Swansea Bay UHB</v>
      </c>
      <c r="C619" s="17"/>
      <c r="D619" s="17"/>
      <c r="E619" s="17"/>
      <c r="F619" s="17"/>
      <c r="G619" s="17"/>
      <c r="H619" s="17"/>
      <c r="I619" s="361">
        <f t="shared" si="133"/>
        <v>0</v>
      </c>
      <c r="J619" s="17"/>
      <c r="K619" s="18"/>
      <c r="L619" s="18"/>
      <c r="M619" s="17"/>
      <c r="N619" s="17"/>
      <c r="O619" s="17"/>
      <c r="P619" s="17"/>
      <c r="Q619" s="169"/>
      <c r="R619" s="24"/>
      <c r="S619" s="24"/>
      <c r="T619" s="24"/>
      <c r="U619" s="25"/>
      <c r="V619" s="25"/>
      <c r="W619" s="25"/>
      <c r="X619" s="24"/>
      <c r="Y619" s="24"/>
      <c r="Z619" s="24"/>
      <c r="AA619" s="24"/>
      <c r="AB619" s="24"/>
      <c r="AC619" s="24"/>
      <c r="AD619" s="361">
        <f t="shared" si="132"/>
        <v>0</v>
      </c>
      <c r="AE619" s="359" t="str">
        <f t="shared" si="135"/>
        <v/>
      </c>
      <c r="AF619" s="359" t="str">
        <f t="shared" si="144"/>
        <v/>
      </c>
      <c r="AG619" s="359" t="str">
        <f t="shared" si="136"/>
        <v/>
      </c>
      <c r="AH619" s="359" t="str">
        <f t="shared" si="137"/>
        <v/>
      </c>
      <c r="AI619" s="359" t="str">
        <f t="shared" si="138"/>
        <v/>
      </c>
      <c r="AJ619" s="359" t="str">
        <f t="shared" si="139"/>
        <v/>
      </c>
      <c r="AK619" s="359" t="str">
        <f t="shared" si="141"/>
        <v/>
      </c>
      <c r="AL619" s="359" t="str">
        <f t="shared" si="140"/>
        <v/>
      </c>
      <c r="AM619" s="359" t="str">
        <f t="shared" si="142"/>
        <v/>
      </c>
      <c r="AN619" s="262">
        <f t="shared" si="145"/>
        <v>0</v>
      </c>
      <c r="AO619" s="262" t="str">
        <f>IFERROR(HLOOKUP(AN619,'Ref Lists'!Q$1:AL$2,2,FALSE),'Ref Lists'!$AK$2)</f>
        <v>Savings21</v>
      </c>
      <c r="AP619" s="38"/>
      <c r="AQ619" s="38">
        <f t="shared" si="134"/>
        <v>0</v>
      </c>
      <c r="AR619" s="38"/>
      <c r="AS619" s="38"/>
      <c r="AT619" s="38"/>
      <c r="AU619" s="38"/>
      <c r="AV619" s="38"/>
      <c r="AW619" s="38"/>
      <c r="AX619" s="38"/>
      <c r="AY619" s="38"/>
      <c r="AZ619" s="38"/>
      <c r="BA619" s="38"/>
      <c r="BB619" s="38"/>
      <c r="BC619" s="38"/>
      <c r="BD619" s="38"/>
      <c r="BE619" s="38"/>
      <c r="BF619" s="38"/>
      <c r="BG619" s="38"/>
      <c r="BH619" s="38"/>
      <c r="BI619" s="38"/>
      <c r="BJ619" s="38"/>
      <c r="BK619" s="38"/>
      <c r="BL619" s="38"/>
      <c r="BM619" s="38"/>
      <c r="BN619" s="38"/>
      <c r="BO619" s="38"/>
      <c r="BP619" s="38"/>
      <c r="BQ619" s="38"/>
      <c r="BR619" s="38"/>
      <c r="BS619" s="38"/>
      <c r="BT619" s="38"/>
      <c r="BU619" s="38"/>
      <c r="BV619" s="38"/>
      <c r="BW619" s="38"/>
      <c r="BX619" s="38"/>
      <c r="BY619" s="38"/>
      <c r="BZ619" s="38"/>
      <c r="CA619" s="38"/>
      <c r="CB619" s="38"/>
      <c r="CC619" s="38"/>
      <c r="CD619" s="38"/>
      <c r="CE619" s="38"/>
      <c r="CF619" s="38"/>
      <c r="CG619" s="38"/>
      <c r="CH619" s="38"/>
      <c r="CI619" s="38"/>
      <c r="CJ619" s="38"/>
      <c r="CK619" s="38"/>
      <c r="CL619" s="38"/>
      <c r="CM619" s="38"/>
      <c r="CN619" s="38"/>
      <c r="CO619" s="38"/>
      <c r="CP619" s="38"/>
      <c r="CQ619" s="38"/>
      <c r="CR619" s="38"/>
      <c r="CS619" s="38"/>
      <c r="CT619" s="38"/>
      <c r="CU619" s="38"/>
      <c r="CV619" s="38"/>
      <c r="CW619" s="38"/>
      <c r="CX619" s="38"/>
      <c r="CY619" s="38"/>
      <c r="CZ619" s="38"/>
    </row>
    <row r="620" spans="1:104" s="40" customFormat="1" ht="20.149999999999999" customHeight="1">
      <c r="A620" s="358">
        <f t="shared" si="143"/>
        <v>619</v>
      </c>
      <c r="B620" s="359" t="str">
        <f>'Front Sheet and Checklist'!$C$5</f>
        <v>Swansea Bay UHB</v>
      </c>
      <c r="C620" s="17"/>
      <c r="D620" s="17"/>
      <c r="E620" s="17"/>
      <c r="F620" s="17"/>
      <c r="G620" s="17"/>
      <c r="H620" s="17"/>
      <c r="I620" s="361">
        <f t="shared" si="133"/>
        <v>0</v>
      </c>
      <c r="J620" s="17"/>
      <c r="K620" s="18"/>
      <c r="L620" s="18"/>
      <c r="M620" s="17"/>
      <c r="N620" s="17"/>
      <c r="O620" s="17"/>
      <c r="P620" s="17"/>
      <c r="Q620" s="169"/>
      <c r="R620" s="24"/>
      <c r="S620" s="24"/>
      <c r="T620" s="24"/>
      <c r="U620" s="25"/>
      <c r="V620" s="25"/>
      <c r="W620" s="25"/>
      <c r="X620" s="24"/>
      <c r="Y620" s="24"/>
      <c r="Z620" s="24"/>
      <c r="AA620" s="24"/>
      <c r="AB620" s="24"/>
      <c r="AC620" s="24"/>
      <c r="AD620" s="361">
        <f t="shared" si="132"/>
        <v>0</v>
      </c>
      <c r="AE620" s="359" t="str">
        <f t="shared" si="135"/>
        <v/>
      </c>
      <c r="AF620" s="359" t="str">
        <f t="shared" si="144"/>
        <v/>
      </c>
      <c r="AG620" s="359" t="str">
        <f t="shared" si="136"/>
        <v/>
      </c>
      <c r="AH620" s="359" t="str">
        <f t="shared" si="137"/>
        <v/>
      </c>
      <c r="AI620" s="359" t="str">
        <f t="shared" si="138"/>
        <v/>
      </c>
      <c r="AJ620" s="359" t="str">
        <f t="shared" si="139"/>
        <v/>
      </c>
      <c r="AK620" s="359" t="str">
        <f t="shared" si="141"/>
        <v/>
      </c>
      <c r="AL620" s="359" t="str">
        <f t="shared" si="140"/>
        <v/>
      </c>
      <c r="AM620" s="359" t="str">
        <f t="shared" si="142"/>
        <v/>
      </c>
      <c r="AN620" s="262">
        <f t="shared" si="145"/>
        <v>0</v>
      </c>
      <c r="AO620" s="262" t="str">
        <f>IFERROR(HLOOKUP(AN620,'Ref Lists'!Q$1:AL$2,2,FALSE),'Ref Lists'!$AK$2)</f>
        <v>Savings21</v>
      </c>
      <c r="AP620" s="38"/>
      <c r="AQ620" s="38">
        <f t="shared" si="134"/>
        <v>0</v>
      </c>
      <c r="AR620" s="38"/>
      <c r="AS620" s="38"/>
      <c r="AT620" s="38"/>
      <c r="AU620" s="38"/>
      <c r="AV620" s="38"/>
      <c r="AW620" s="38"/>
      <c r="AX620" s="38"/>
      <c r="AY620" s="38"/>
      <c r="AZ620" s="38"/>
      <c r="BA620" s="38"/>
      <c r="BB620" s="38"/>
      <c r="BC620" s="38"/>
      <c r="BD620" s="38"/>
      <c r="BE620" s="38"/>
      <c r="BF620" s="38"/>
      <c r="BG620" s="38"/>
      <c r="BH620" s="38"/>
      <c r="BI620" s="38"/>
      <c r="BJ620" s="38"/>
      <c r="BK620" s="38"/>
      <c r="BL620" s="38"/>
      <c r="BM620" s="38"/>
      <c r="BN620" s="38"/>
      <c r="BO620" s="38"/>
      <c r="BP620" s="38"/>
      <c r="BQ620" s="38"/>
      <c r="BR620" s="38"/>
      <c r="BS620" s="38"/>
      <c r="BT620" s="38"/>
      <c r="BU620" s="38"/>
      <c r="BV620" s="38"/>
      <c r="BW620" s="38"/>
      <c r="BX620" s="38"/>
      <c r="BY620" s="38"/>
      <c r="BZ620" s="38"/>
      <c r="CA620" s="38"/>
      <c r="CB620" s="38"/>
      <c r="CC620" s="38"/>
      <c r="CD620" s="38"/>
      <c r="CE620" s="38"/>
      <c r="CF620" s="38"/>
      <c r="CG620" s="38"/>
      <c r="CH620" s="38"/>
      <c r="CI620" s="38"/>
      <c r="CJ620" s="38"/>
      <c r="CK620" s="38"/>
      <c r="CL620" s="38"/>
      <c r="CM620" s="38"/>
      <c r="CN620" s="38"/>
      <c r="CO620" s="38"/>
      <c r="CP620" s="38"/>
      <c r="CQ620" s="38"/>
      <c r="CR620" s="38"/>
      <c r="CS620" s="38"/>
      <c r="CT620" s="38"/>
      <c r="CU620" s="38"/>
      <c r="CV620" s="38"/>
      <c r="CW620" s="38"/>
      <c r="CX620" s="38"/>
      <c r="CY620" s="38"/>
      <c r="CZ620" s="38"/>
    </row>
    <row r="621" spans="1:104" s="40" customFormat="1" ht="20.149999999999999" customHeight="1">
      <c r="A621" s="358">
        <f t="shared" si="143"/>
        <v>620</v>
      </c>
      <c r="B621" s="359" t="str">
        <f>'Front Sheet and Checklist'!$C$5</f>
        <v>Swansea Bay UHB</v>
      </c>
      <c r="C621" s="17"/>
      <c r="D621" s="17"/>
      <c r="E621" s="17"/>
      <c r="F621" s="17"/>
      <c r="G621" s="17"/>
      <c r="H621" s="17"/>
      <c r="I621" s="361">
        <f t="shared" si="133"/>
        <v>0</v>
      </c>
      <c r="J621" s="17"/>
      <c r="K621" s="18"/>
      <c r="L621" s="18"/>
      <c r="M621" s="17"/>
      <c r="N621" s="17"/>
      <c r="O621" s="17"/>
      <c r="P621" s="17"/>
      <c r="Q621" s="169"/>
      <c r="R621" s="24"/>
      <c r="S621" s="24"/>
      <c r="T621" s="24"/>
      <c r="U621" s="25"/>
      <c r="V621" s="25"/>
      <c r="W621" s="25"/>
      <c r="X621" s="24"/>
      <c r="Y621" s="24"/>
      <c r="Z621" s="24"/>
      <c r="AA621" s="24"/>
      <c r="AB621" s="24"/>
      <c r="AC621" s="24"/>
      <c r="AD621" s="361">
        <f t="shared" si="132"/>
        <v>0</v>
      </c>
      <c r="AE621" s="359" t="str">
        <f t="shared" si="135"/>
        <v/>
      </c>
      <c r="AF621" s="359" t="str">
        <f t="shared" si="144"/>
        <v/>
      </c>
      <c r="AG621" s="359" t="str">
        <f t="shared" si="136"/>
        <v/>
      </c>
      <c r="AH621" s="359" t="str">
        <f t="shared" si="137"/>
        <v/>
      </c>
      <c r="AI621" s="359" t="str">
        <f t="shared" si="138"/>
        <v/>
      </c>
      <c r="AJ621" s="359" t="str">
        <f t="shared" si="139"/>
        <v/>
      </c>
      <c r="AK621" s="359" t="str">
        <f t="shared" si="141"/>
        <v/>
      </c>
      <c r="AL621" s="359" t="str">
        <f t="shared" si="140"/>
        <v/>
      </c>
      <c r="AM621" s="359" t="str">
        <f t="shared" si="142"/>
        <v/>
      </c>
      <c r="AN621" s="262">
        <f t="shared" si="145"/>
        <v>0</v>
      </c>
      <c r="AO621" s="262" t="str">
        <f>IFERROR(HLOOKUP(AN621,'Ref Lists'!Q$1:AL$2,2,FALSE),'Ref Lists'!$AK$2)</f>
        <v>Savings21</v>
      </c>
      <c r="AP621" s="38"/>
      <c r="AQ621" s="38">
        <f t="shared" si="134"/>
        <v>0</v>
      </c>
      <c r="AR621" s="38"/>
      <c r="AS621" s="38"/>
      <c r="AT621" s="38"/>
      <c r="AU621" s="38"/>
      <c r="AV621" s="38"/>
      <c r="AW621" s="38"/>
      <c r="AX621" s="38"/>
      <c r="AY621" s="38"/>
      <c r="AZ621" s="38"/>
      <c r="BA621" s="38"/>
      <c r="BB621" s="38"/>
      <c r="BC621" s="38"/>
      <c r="BD621" s="38"/>
      <c r="BE621" s="38"/>
      <c r="BF621" s="38"/>
      <c r="BG621" s="38"/>
      <c r="BH621" s="38"/>
      <c r="BI621" s="38"/>
      <c r="BJ621" s="38"/>
      <c r="BK621" s="38"/>
      <c r="BL621" s="38"/>
      <c r="BM621" s="38"/>
      <c r="BN621" s="38"/>
      <c r="BO621" s="38"/>
      <c r="BP621" s="38"/>
      <c r="BQ621" s="38"/>
      <c r="BR621" s="38"/>
      <c r="BS621" s="38"/>
      <c r="BT621" s="38"/>
      <c r="BU621" s="38"/>
      <c r="BV621" s="38"/>
      <c r="BW621" s="38"/>
      <c r="BX621" s="38"/>
      <c r="BY621" s="38"/>
      <c r="BZ621" s="38"/>
      <c r="CA621" s="38"/>
      <c r="CB621" s="38"/>
      <c r="CC621" s="38"/>
      <c r="CD621" s="38"/>
      <c r="CE621" s="38"/>
      <c r="CF621" s="38"/>
      <c r="CG621" s="38"/>
      <c r="CH621" s="38"/>
      <c r="CI621" s="38"/>
      <c r="CJ621" s="38"/>
      <c r="CK621" s="38"/>
      <c r="CL621" s="38"/>
      <c r="CM621" s="38"/>
      <c r="CN621" s="38"/>
      <c r="CO621" s="38"/>
      <c r="CP621" s="38"/>
      <c r="CQ621" s="38"/>
      <c r="CR621" s="38"/>
      <c r="CS621" s="38"/>
      <c r="CT621" s="38"/>
      <c r="CU621" s="38"/>
      <c r="CV621" s="38"/>
      <c r="CW621" s="38"/>
      <c r="CX621" s="38"/>
      <c r="CY621" s="38"/>
      <c r="CZ621" s="38"/>
    </row>
    <row r="622" spans="1:104" s="40" customFormat="1" ht="20.149999999999999" customHeight="1">
      <c r="A622" s="358">
        <f t="shared" si="143"/>
        <v>621</v>
      </c>
      <c r="B622" s="359" t="str">
        <f>'Front Sheet and Checklist'!$C$5</f>
        <v>Swansea Bay UHB</v>
      </c>
      <c r="C622" s="17"/>
      <c r="D622" s="17"/>
      <c r="E622" s="17"/>
      <c r="F622" s="17"/>
      <c r="G622" s="17"/>
      <c r="H622" s="17"/>
      <c r="I622" s="361">
        <f t="shared" si="133"/>
        <v>0</v>
      </c>
      <c r="J622" s="17"/>
      <c r="K622" s="18"/>
      <c r="L622" s="18"/>
      <c r="M622" s="17"/>
      <c r="N622" s="17"/>
      <c r="O622" s="17"/>
      <c r="P622" s="17"/>
      <c r="Q622" s="169"/>
      <c r="R622" s="24"/>
      <c r="S622" s="24"/>
      <c r="T622" s="24"/>
      <c r="U622" s="25"/>
      <c r="V622" s="25"/>
      <c r="W622" s="25"/>
      <c r="X622" s="24"/>
      <c r="Y622" s="24"/>
      <c r="Z622" s="24"/>
      <c r="AA622" s="24"/>
      <c r="AB622" s="24"/>
      <c r="AC622" s="24"/>
      <c r="AD622" s="361">
        <f t="shared" si="132"/>
        <v>0</v>
      </c>
      <c r="AE622" s="359" t="str">
        <f t="shared" si="135"/>
        <v/>
      </c>
      <c r="AF622" s="359" t="str">
        <f t="shared" si="144"/>
        <v/>
      </c>
      <c r="AG622" s="359" t="str">
        <f t="shared" si="136"/>
        <v/>
      </c>
      <c r="AH622" s="359" t="str">
        <f t="shared" si="137"/>
        <v/>
      </c>
      <c r="AI622" s="359" t="str">
        <f t="shared" si="138"/>
        <v/>
      </c>
      <c r="AJ622" s="359" t="str">
        <f t="shared" si="139"/>
        <v/>
      </c>
      <c r="AK622" s="359" t="str">
        <f t="shared" si="141"/>
        <v/>
      </c>
      <c r="AL622" s="359" t="str">
        <f t="shared" si="140"/>
        <v/>
      </c>
      <c r="AM622" s="359" t="str">
        <f t="shared" si="142"/>
        <v/>
      </c>
      <c r="AN622" s="262">
        <f t="shared" si="145"/>
        <v>0</v>
      </c>
      <c r="AO622" s="262" t="str">
        <f>IFERROR(HLOOKUP(AN622,'Ref Lists'!Q$1:AL$2,2,FALSE),'Ref Lists'!$AK$2)</f>
        <v>Savings21</v>
      </c>
      <c r="AP622" s="38"/>
      <c r="AQ622" s="38">
        <f t="shared" si="134"/>
        <v>0</v>
      </c>
      <c r="AR622" s="38"/>
      <c r="AS622" s="38"/>
      <c r="AT622" s="38"/>
      <c r="AU622" s="38"/>
      <c r="AV622" s="38"/>
      <c r="AW622" s="38"/>
      <c r="AX622" s="38"/>
      <c r="AY622" s="38"/>
      <c r="AZ622" s="38"/>
      <c r="BA622" s="38"/>
      <c r="BB622" s="38"/>
      <c r="BC622" s="38"/>
      <c r="BD622" s="38"/>
      <c r="BE622" s="38"/>
      <c r="BF622" s="38"/>
      <c r="BG622" s="38"/>
      <c r="BH622" s="38"/>
      <c r="BI622" s="38"/>
      <c r="BJ622" s="38"/>
      <c r="BK622" s="38"/>
      <c r="BL622" s="38"/>
      <c r="BM622" s="38"/>
      <c r="BN622" s="38"/>
      <c r="BO622" s="38"/>
      <c r="BP622" s="38"/>
      <c r="BQ622" s="38"/>
      <c r="BR622" s="38"/>
      <c r="BS622" s="38"/>
      <c r="BT622" s="38"/>
      <c r="BU622" s="38"/>
      <c r="BV622" s="38"/>
      <c r="BW622" s="38"/>
      <c r="BX622" s="38"/>
      <c r="BY622" s="38"/>
      <c r="BZ622" s="38"/>
      <c r="CA622" s="38"/>
      <c r="CB622" s="38"/>
      <c r="CC622" s="38"/>
      <c r="CD622" s="38"/>
      <c r="CE622" s="38"/>
      <c r="CF622" s="38"/>
      <c r="CG622" s="38"/>
      <c r="CH622" s="38"/>
      <c r="CI622" s="38"/>
      <c r="CJ622" s="38"/>
      <c r="CK622" s="38"/>
      <c r="CL622" s="38"/>
      <c r="CM622" s="38"/>
      <c r="CN622" s="38"/>
      <c r="CO622" s="38"/>
      <c r="CP622" s="38"/>
      <c r="CQ622" s="38"/>
      <c r="CR622" s="38"/>
      <c r="CS622" s="38"/>
      <c r="CT622" s="38"/>
      <c r="CU622" s="38"/>
      <c r="CV622" s="38"/>
      <c r="CW622" s="38"/>
      <c r="CX622" s="38"/>
      <c r="CY622" s="38"/>
      <c r="CZ622" s="38"/>
    </row>
    <row r="623" spans="1:104" s="40" customFormat="1" ht="20.149999999999999" customHeight="1">
      <c r="A623" s="358">
        <f t="shared" si="143"/>
        <v>622</v>
      </c>
      <c r="B623" s="359" t="str">
        <f>'Front Sheet and Checklist'!$C$5</f>
        <v>Swansea Bay UHB</v>
      </c>
      <c r="C623" s="17"/>
      <c r="D623" s="17"/>
      <c r="E623" s="17"/>
      <c r="F623" s="17"/>
      <c r="G623" s="17"/>
      <c r="H623" s="17"/>
      <c r="I623" s="361">
        <f t="shared" si="133"/>
        <v>0</v>
      </c>
      <c r="J623" s="17"/>
      <c r="K623" s="18"/>
      <c r="L623" s="18"/>
      <c r="M623" s="17"/>
      <c r="N623" s="17"/>
      <c r="O623" s="17"/>
      <c r="P623" s="17"/>
      <c r="Q623" s="169"/>
      <c r="R623" s="24"/>
      <c r="S623" s="24"/>
      <c r="T623" s="24"/>
      <c r="U623" s="25"/>
      <c r="V623" s="25"/>
      <c r="W623" s="25"/>
      <c r="X623" s="24"/>
      <c r="Y623" s="24"/>
      <c r="Z623" s="24"/>
      <c r="AA623" s="24"/>
      <c r="AB623" s="24"/>
      <c r="AC623" s="24"/>
      <c r="AD623" s="361">
        <f t="shared" si="132"/>
        <v>0</v>
      </c>
      <c r="AE623" s="359" t="str">
        <f t="shared" si="135"/>
        <v/>
      </c>
      <c r="AF623" s="359" t="str">
        <f t="shared" si="144"/>
        <v/>
      </c>
      <c r="AG623" s="359" t="str">
        <f t="shared" si="136"/>
        <v/>
      </c>
      <c r="AH623" s="359" t="str">
        <f t="shared" si="137"/>
        <v/>
      </c>
      <c r="AI623" s="359" t="str">
        <f t="shared" si="138"/>
        <v/>
      </c>
      <c r="AJ623" s="359" t="str">
        <f t="shared" si="139"/>
        <v/>
      </c>
      <c r="AK623" s="359" t="str">
        <f t="shared" si="141"/>
        <v/>
      </c>
      <c r="AL623" s="359" t="str">
        <f t="shared" si="140"/>
        <v/>
      </c>
      <c r="AM623" s="359" t="str">
        <f t="shared" si="142"/>
        <v/>
      </c>
      <c r="AN623" s="262">
        <f t="shared" si="145"/>
        <v>0</v>
      </c>
      <c r="AO623" s="262" t="str">
        <f>IFERROR(HLOOKUP(AN623,'Ref Lists'!Q$1:AL$2,2,FALSE),'Ref Lists'!$AK$2)</f>
        <v>Savings21</v>
      </c>
      <c r="AP623" s="38"/>
      <c r="AQ623" s="38">
        <f t="shared" si="134"/>
        <v>0</v>
      </c>
      <c r="AR623" s="38"/>
      <c r="AS623" s="38"/>
      <c r="AT623" s="38"/>
      <c r="AU623" s="38"/>
      <c r="AV623" s="38"/>
      <c r="AW623" s="38"/>
      <c r="AX623" s="38"/>
      <c r="AY623" s="38"/>
      <c r="AZ623" s="38"/>
      <c r="BA623" s="38"/>
      <c r="BB623" s="38"/>
      <c r="BC623" s="38"/>
      <c r="BD623" s="38"/>
      <c r="BE623" s="38"/>
      <c r="BF623" s="38"/>
      <c r="BG623" s="38"/>
      <c r="BH623" s="38"/>
      <c r="BI623" s="38"/>
      <c r="BJ623" s="38"/>
      <c r="BK623" s="38"/>
      <c r="BL623" s="38"/>
      <c r="BM623" s="38"/>
      <c r="BN623" s="38"/>
      <c r="BO623" s="38"/>
      <c r="BP623" s="38"/>
      <c r="BQ623" s="38"/>
      <c r="BR623" s="38"/>
      <c r="BS623" s="38"/>
      <c r="BT623" s="38"/>
      <c r="BU623" s="38"/>
      <c r="BV623" s="38"/>
      <c r="BW623" s="38"/>
      <c r="BX623" s="38"/>
      <c r="BY623" s="38"/>
      <c r="BZ623" s="38"/>
      <c r="CA623" s="38"/>
      <c r="CB623" s="38"/>
      <c r="CC623" s="38"/>
      <c r="CD623" s="38"/>
      <c r="CE623" s="38"/>
      <c r="CF623" s="38"/>
      <c r="CG623" s="38"/>
      <c r="CH623" s="38"/>
      <c r="CI623" s="38"/>
      <c r="CJ623" s="38"/>
      <c r="CK623" s="38"/>
      <c r="CL623" s="38"/>
      <c r="CM623" s="38"/>
      <c r="CN623" s="38"/>
      <c r="CO623" s="38"/>
      <c r="CP623" s="38"/>
      <c r="CQ623" s="38"/>
      <c r="CR623" s="38"/>
      <c r="CS623" s="38"/>
      <c r="CT623" s="38"/>
      <c r="CU623" s="38"/>
      <c r="CV623" s="38"/>
      <c r="CW623" s="38"/>
      <c r="CX623" s="38"/>
      <c r="CY623" s="38"/>
      <c r="CZ623" s="38"/>
    </row>
    <row r="624" spans="1:104" s="40" customFormat="1" ht="20.149999999999999" customHeight="1">
      <c r="A624" s="358">
        <f t="shared" si="143"/>
        <v>623</v>
      </c>
      <c r="B624" s="359" t="str">
        <f>'Front Sheet and Checklist'!$C$5</f>
        <v>Swansea Bay UHB</v>
      </c>
      <c r="C624" s="17"/>
      <c r="D624" s="17"/>
      <c r="E624" s="17"/>
      <c r="F624" s="17"/>
      <c r="G624" s="17"/>
      <c r="H624" s="17"/>
      <c r="I624" s="361">
        <f t="shared" si="133"/>
        <v>0</v>
      </c>
      <c r="J624" s="17"/>
      <c r="K624" s="18"/>
      <c r="L624" s="18"/>
      <c r="M624" s="17"/>
      <c r="N624" s="17"/>
      <c r="O624" s="17"/>
      <c r="P624" s="17"/>
      <c r="Q624" s="169"/>
      <c r="R624" s="24"/>
      <c r="S624" s="24"/>
      <c r="T624" s="24"/>
      <c r="U624" s="25"/>
      <c r="V624" s="25"/>
      <c r="W624" s="25"/>
      <c r="X624" s="24"/>
      <c r="Y624" s="24"/>
      <c r="Z624" s="24"/>
      <c r="AA624" s="24"/>
      <c r="AB624" s="24"/>
      <c r="AC624" s="24"/>
      <c r="AD624" s="361">
        <f t="shared" si="132"/>
        <v>0</v>
      </c>
      <c r="AE624" s="359" t="str">
        <f t="shared" si="135"/>
        <v/>
      </c>
      <c r="AF624" s="359" t="str">
        <f t="shared" si="144"/>
        <v/>
      </c>
      <c r="AG624" s="359" t="str">
        <f t="shared" si="136"/>
        <v/>
      </c>
      <c r="AH624" s="359" t="str">
        <f t="shared" si="137"/>
        <v/>
      </c>
      <c r="AI624" s="359" t="str">
        <f t="shared" si="138"/>
        <v/>
      </c>
      <c r="AJ624" s="359" t="str">
        <f t="shared" si="139"/>
        <v/>
      </c>
      <c r="AK624" s="359" t="str">
        <f t="shared" si="141"/>
        <v/>
      </c>
      <c r="AL624" s="359" t="str">
        <f t="shared" si="140"/>
        <v/>
      </c>
      <c r="AM624" s="359" t="str">
        <f t="shared" si="142"/>
        <v/>
      </c>
      <c r="AN624" s="262">
        <f t="shared" si="145"/>
        <v>0</v>
      </c>
      <c r="AO624" s="262" t="str">
        <f>IFERROR(HLOOKUP(AN624,'Ref Lists'!Q$1:AL$2,2,FALSE),'Ref Lists'!$AK$2)</f>
        <v>Savings21</v>
      </c>
      <c r="AP624" s="38"/>
      <c r="AQ624" s="38">
        <f t="shared" si="134"/>
        <v>0</v>
      </c>
      <c r="AR624" s="38"/>
      <c r="AS624" s="38"/>
      <c r="AT624" s="38"/>
      <c r="AU624" s="38"/>
      <c r="AV624" s="38"/>
      <c r="AW624" s="38"/>
      <c r="AX624" s="38"/>
      <c r="AY624" s="38"/>
      <c r="AZ624" s="38"/>
      <c r="BA624" s="38"/>
      <c r="BB624" s="38"/>
      <c r="BC624" s="38"/>
      <c r="BD624" s="38"/>
      <c r="BE624" s="38"/>
      <c r="BF624" s="38"/>
      <c r="BG624" s="38"/>
      <c r="BH624" s="38"/>
      <c r="BI624" s="38"/>
      <c r="BJ624" s="38"/>
      <c r="BK624" s="38"/>
      <c r="BL624" s="38"/>
      <c r="BM624" s="38"/>
      <c r="BN624" s="38"/>
      <c r="BO624" s="38"/>
      <c r="BP624" s="38"/>
      <c r="BQ624" s="38"/>
      <c r="BR624" s="38"/>
      <c r="BS624" s="38"/>
      <c r="BT624" s="38"/>
      <c r="BU624" s="38"/>
      <c r="BV624" s="38"/>
      <c r="BW624" s="38"/>
      <c r="BX624" s="38"/>
      <c r="BY624" s="38"/>
      <c r="BZ624" s="38"/>
      <c r="CA624" s="38"/>
      <c r="CB624" s="38"/>
      <c r="CC624" s="38"/>
      <c r="CD624" s="38"/>
      <c r="CE624" s="38"/>
      <c r="CF624" s="38"/>
      <c r="CG624" s="38"/>
      <c r="CH624" s="38"/>
      <c r="CI624" s="38"/>
      <c r="CJ624" s="38"/>
      <c r="CK624" s="38"/>
      <c r="CL624" s="38"/>
      <c r="CM624" s="38"/>
      <c r="CN624" s="38"/>
      <c r="CO624" s="38"/>
      <c r="CP624" s="38"/>
      <c r="CQ624" s="38"/>
      <c r="CR624" s="38"/>
      <c r="CS624" s="38"/>
      <c r="CT624" s="38"/>
      <c r="CU624" s="38"/>
      <c r="CV624" s="38"/>
      <c r="CW624" s="38"/>
      <c r="CX624" s="38"/>
      <c r="CY624" s="38"/>
      <c r="CZ624" s="38"/>
    </row>
    <row r="625" spans="1:104" s="40" customFormat="1" ht="20.149999999999999" customHeight="1">
      <c r="A625" s="358">
        <f t="shared" si="143"/>
        <v>624</v>
      </c>
      <c r="B625" s="359" t="str">
        <f>'Front Sheet and Checklist'!$C$5</f>
        <v>Swansea Bay UHB</v>
      </c>
      <c r="C625" s="17"/>
      <c r="D625" s="17"/>
      <c r="E625" s="17"/>
      <c r="F625" s="17"/>
      <c r="G625" s="17"/>
      <c r="H625" s="17"/>
      <c r="I625" s="361">
        <f t="shared" si="133"/>
        <v>0</v>
      </c>
      <c r="J625" s="17"/>
      <c r="K625" s="18"/>
      <c r="L625" s="18"/>
      <c r="M625" s="17"/>
      <c r="N625" s="17"/>
      <c r="O625" s="17"/>
      <c r="P625" s="17"/>
      <c r="Q625" s="169"/>
      <c r="R625" s="24"/>
      <c r="S625" s="24"/>
      <c r="T625" s="24"/>
      <c r="U625" s="25"/>
      <c r="V625" s="25"/>
      <c r="W625" s="25"/>
      <c r="X625" s="24"/>
      <c r="Y625" s="24"/>
      <c r="Z625" s="24"/>
      <c r="AA625" s="24"/>
      <c r="AB625" s="24"/>
      <c r="AC625" s="24"/>
      <c r="AD625" s="361">
        <f t="shared" si="132"/>
        <v>0</v>
      </c>
      <c r="AE625" s="359" t="str">
        <f t="shared" si="135"/>
        <v/>
      </c>
      <c r="AF625" s="359" t="str">
        <f t="shared" si="144"/>
        <v/>
      </c>
      <c r="AG625" s="359" t="str">
        <f t="shared" si="136"/>
        <v/>
      </c>
      <c r="AH625" s="359" t="str">
        <f t="shared" si="137"/>
        <v/>
      </c>
      <c r="AI625" s="359" t="str">
        <f t="shared" si="138"/>
        <v/>
      </c>
      <c r="AJ625" s="359" t="str">
        <f t="shared" si="139"/>
        <v/>
      </c>
      <c r="AK625" s="359" t="str">
        <f t="shared" si="141"/>
        <v/>
      </c>
      <c r="AL625" s="359" t="str">
        <f t="shared" si="140"/>
        <v/>
      </c>
      <c r="AM625" s="359" t="str">
        <f t="shared" si="142"/>
        <v/>
      </c>
      <c r="AN625" s="262">
        <f t="shared" si="145"/>
        <v>0</v>
      </c>
      <c r="AO625" s="262" t="str">
        <f>IFERROR(HLOOKUP(AN625,'Ref Lists'!Q$1:AL$2,2,FALSE),'Ref Lists'!$AK$2)</f>
        <v>Savings21</v>
      </c>
      <c r="AP625" s="38"/>
      <c r="AQ625" s="38">
        <f t="shared" si="134"/>
        <v>0</v>
      </c>
      <c r="AR625" s="38"/>
      <c r="AS625" s="38"/>
      <c r="AT625" s="38"/>
      <c r="AU625" s="38"/>
      <c r="AV625" s="38"/>
      <c r="AW625" s="38"/>
      <c r="AX625" s="38"/>
      <c r="AY625" s="38"/>
      <c r="AZ625" s="38"/>
      <c r="BA625" s="38"/>
      <c r="BB625" s="38"/>
      <c r="BC625" s="38"/>
      <c r="BD625" s="38"/>
      <c r="BE625" s="38"/>
      <c r="BF625" s="38"/>
      <c r="BG625" s="38"/>
      <c r="BH625" s="38"/>
      <c r="BI625" s="38"/>
      <c r="BJ625" s="38"/>
      <c r="BK625" s="38"/>
      <c r="BL625" s="38"/>
      <c r="BM625" s="38"/>
      <c r="BN625" s="38"/>
      <c r="BO625" s="38"/>
      <c r="BP625" s="38"/>
      <c r="BQ625" s="38"/>
      <c r="BR625" s="38"/>
      <c r="BS625" s="38"/>
      <c r="BT625" s="38"/>
      <c r="BU625" s="38"/>
      <c r="BV625" s="38"/>
      <c r="BW625" s="38"/>
      <c r="BX625" s="38"/>
      <c r="BY625" s="38"/>
      <c r="BZ625" s="38"/>
      <c r="CA625" s="38"/>
      <c r="CB625" s="38"/>
      <c r="CC625" s="38"/>
      <c r="CD625" s="38"/>
      <c r="CE625" s="38"/>
      <c r="CF625" s="38"/>
      <c r="CG625" s="38"/>
      <c r="CH625" s="38"/>
      <c r="CI625" s="38"/>
      <c r="CJ625" s="38"/>
      <c r="CK625" s="38"/>
      <c r="CL625" s="38"/>
      <c r="CM625" s="38"/>
      <c r="CN625" s="38"/>
      <c r="CO625" s="38"/>
      <c r="CP625" s="38"/>
      <c r="CQ625" s="38"/>
      <c r="CR625" s="38"/>
      <c r="CS625" s="38"/>
      <c r="CT625" s="38"/>
      <c r="CU625" s="38"/>
      <c r="CV625" s="38"/>
      <c r="CW625" s="38"/>
      <c r="CX625" s="38"/>
      <c r="CY625" s="38"/>
      <c r="CZ625" s="38"/>
    </row>
    <row r="626" spans="1:104" s="40" customFormat="1" ht="20.149999999999999" customHeight="1">
      <c r="A626" s="358">
        <f t="shared" si="143"/>
        <v>625</v>
      </c>
      <c r="B626" s="359" t="str">
        <f>'Front Sheet and Checklist'!$C$5</f>
        <v>Swansea Bay UHB</v>
      </c>
      <c r="C626" s="17"/>
      <c r="D626" s="17"/>
      <c r="E626" s="17"/>
      <c r="F626" s="17"/>
      <c r="G626" s="17"/>
      <c r="H626" s="17"/>
      <c r="I626" s="361">
        <f t="shared" si="133"/>
        <v>0</v>
      </c>
      <c r="J626" s="17"/>
      <c r="K626" s="18"/>
      <c r="L626" s="18"/>
      <c r="M626" s="17"/>
      <c r="N626" s="17"/>
      <c r="O626" s="17"/>
      <c r="P626" s="17"/>
      <c r="Q626" s="169"/>
      <c r="R626" s="24"/>
      <c r="S626" s="24"/>
      <c r="T626" s="24"/>
      <c r="U626" s="25"/>
      <c r="V626" s="25"/>
      <c r="W626" s="25"/>
      <c r="X626" s="24"/>
      <c r="Y626" s="24"/>
      <c r="Z626" s="24"/>
      <c r="AA626" s="24"/>
      <c r="AB626" s="24"/>
      <c r="AC626" s="24"/>
      <c r="AD626" s="361">
        <f t="shared" si="132"/>
        <v>0</v>
      </c>
      <c r="AE626" s="359" t="str">
        <f t="shared" si="135"/>
        <v/>
      </c>
      <c r="AF626" s="359" t="str">
        <f t="shared" si="144"/>
        <v/>
      </c>
      <c r="AG626" s="359" t="str">
        <f t="shared" si="136"/>
        <v/>
      </c>
      <c r="AH626" s="359" t="str">
        <f t="shared" si="137"/>
        <v/>
      </c>
      <c r="AI626" s="359" t="str">
        <f t="shared" si="138"/>
        <v/>
      </c>
      <c r="AJ626" s="359" t="str">
        <f t="shared" si="139"/>
        <v/>
      </c>
      <c r="AK626" s="359" t="str">
        <f t="shared" si="141"/>
        <v/>
      </c>
      <c r="AL626" s="359" t="str">
        <f t="shared" si="140"/>
        <v/>
      </c>
      <c r="AM626" s="359" t="str">
        <f t="shared" si="142"/>
        <v/>
      </c>
      <c r="AN626" s="262">
        <f t="shared" si="145"/>
        <v>0</v>
      </c>
      <c r="AO626" s="262" t="str">
        <f>IFERROR(HLOOKUP(AN626,'Ref Lists'!Q$1:AL$2,2,FALSE),'Ref Lists'!$AK$2)</f>
        <v>Savings21</v>
      </c>
      <c r="AP626" s="38"/>
      <c r="AQ626" s="38">
        <f t="shared" si="134"/>
        <v>0</v>
      </c>
      <c r="AR626" s="38"/>
      <c r="AS626" s="38"/>
      <c r="AT626" s="38"/>
      <c r="AU626" s="38"/>
      <c r="AV626" s="38"/>
      <c r="AW626" s="38"/>
      <c r="AX626" s="38"/>
      <c r="AY626" s="38"/>
      <c r="AZ626" s="38"/>
      <c r="BA626" s="38"/>
      <c r="BB626" s="38"/>
      <c r="BC626" s="38"/>
      <c r="BD626" s="38"/>
      <c r="BE626" s="38"/>
      <c r="BF626" s="38"/>
      <c r="BG626" s="38"/>
      <c r="BH626" s="38"/>
      <c r="BI626" s="38"/>
      <c r="BJ626" s="38"/>
      <c r="BK626" s="38"/>
      <c r="BL626" s="38"/>
      <c r="BM626" s="38"/>
      <c r="BN626" s="38"/>
      <c r="BO626" s="38"/>
      <c r="BP626" s="38"/>
      <c r="BQ626" s="38"/>
      <c r="BR626" s="38"/>
      <c r="BS626" s="38"/>
      <c r="BT626" s="38"/>
      <c r="BU626" s="38"/>
      <c r="BV626" s="38"/>
      <c r="BW626" s="38"/>
      <c r="BX626" s="38"/>
      <c r="BY626" s="38"/>
      <c r="BZ626" s="38"/>
      <c r="CA626" s="38"/>
      <c r="CB626" s="38"/>
      <c r="CC626" s="38"/>
      <c r="CD626" s="38"/>
      <c r="CE626" s="38"/>
      <c r="CF626" s="38"/>
      <c r="CG626" s="38"/>
      <c r="CH626" s="38"/>
      <c r="CI626" s="38"/>
      <c r="CJ626" s="38"/>
      <c r="CK626" s="38"/>
      <c r="CL626" s="38"/>
      <c r="CM626" s="38"/>
      <c r="CN626" s="38"/>
      <c r="CO626" s="38"/>
      <c r="CP626" s="38"/>
      <c r="CQ626" s="38"/>
      <c r="CR626" s="38"/>
      <c r="CS626" s="38"/>
      <c r="CT626" s="38"/>
      <c r="CU626" s="38"/>
      <c r="CV626" s="38"/>
      <c r="CW626" s="38"/>
      <c r="CX626" s="38"/>
      <c r="CY626" s="38"/>
      <c r="CZ626" s="38"/>
    </row>
    <row r="627" spans="1:104" s="40" customFormat="1" ht="20.149999999999999" customHeight="1">
      <c r="A627" s="358">
        <f t="shared" si="143"/>
        <v>626</v>
      </c>
      <c r="B627" s="359" t="str">
        <f>'Front Sheet and Checklist'!$C$5</f>
        <v>Swansea Bay UHB</v>
      </c>
      <c r="C627" s="17"/>
      <c r="D627" s="17"/>
      <c r="E627" s="17"/>
      <c r="F627" s="17"/>
      <c r="G627" s="17"/>
      <c r="H627" s="17"/>
      <c r="I627" s="361">
        <f t="shared" si="133"/>
        <v>0</v>
      </c>
      <c r="J627" s="17"/>
      <c r="K627" s="18"/>
      <c r="L627" s="18"/>
      <c r="M627" s="17"/>
      <c r="N627" s="17"/>
      <c r="O627" s="17"/>
      <c r="P627" s="17"/>
      <c r="Q627" s="169"/>
      <c r="R627" s="24"/>
      <c r="S627" s="24"/>
      <c r="T627" s="24"/>
      <c r="U627" s="25"/>
      <c r="V627" s="25"/>
      <c r="W627" s="25"/>
      <c r="X627" s="24"/>
      <c r="Y627" s="24"/>
      <c r="Z627" s="24"/>
      <c r="AA627" s="24"/>
      <c r="AB627" s="24"/>
      <c r="AC627" s="24"/>
      <c r="AD627" s="361">
        <f t="shared" si="132"/>
        <v>0</v>
      </c>
      <c r="AE627" s="359" t="str">
        <f t="shared" si="135"/>
        <v/>
      </c>
      <c r="AF627" s="359" t="str">
        <f t="shared" si="144"/>
        <v/>
      </c>
      <c r="AG627" s="359" t="str">
        <f t="shared" si="136"/>
        <v/>
      </c>
      <c r="AH627" s="359" t="str">
        <f t="shared" si="137"/>
        <v/>
      </c>
      <c r="AI627" s="359" t="str">
        <f t="shared" si="138"/>
        <v/>
      </c>
      <c r="AJ627" s="359" t="str">
        <f t="shared" si="139"/>
        <v/>
      </c>
      <c r="AK627" s="359" t="str">
        <f t="shared" si="141"/>
        <v/>
      </c>
      <c r="AL627" s="359" t="str">
        <f t="shared" si="140"/>
        <v/>
      </c>
      <c r="AM627" s="359" t="str">
        <f t="shared" si="142"/>
        <v/>
      </c>
      <c r="AN627" s="262">
        <f t="shared" si="145"/>
        <v>0</v>
      </c>
      <c r="AO627" s="262" t="str">
        <f>IFERROR(HLOOKUP(AN627,'Ref Lists'!Q$1:AL$2,2,FALSE),'Ref Lists'!$AK$2)</f>
        <v>Savings21</v>
      </c>
      <c r="AP627" s="38"/>
      <c r="AQ627" s="38">
        <f t="shared" si="134"/>
        <v>0</v>
      </c>
      <c r="AR627" s="38"/>
      <c r="AS627" s="38"/>
      <c r="AT627" s="38"/>
      <c r="AU627" s="38"/>
      <c r="AV627" s="38"/>
      <c r="AW627" s="38"/>
      <c r="AX627" s="38"/>
      <c r="AY627" s="38"/>
      <c r="AZ627" s="38"/>
      <c r="BA627" s="38"/>
      <c r="BB627" s="38"/>
      <c r="BC627" s="38"/>
      <c r="BD627" s="38"/>
      <c r="BE627" s="38"/>
      <c r="BF627" s="38"/>
      <c r="BG627" s="38"/>
      <c r="BH627" s="38"/>
      <c r="BI627" s="38"/>
      <c r="BJ627" s="38"/>
      <c r="BK627" s="38"/>
      <c r="BL627" s="38"/>
      <c r="BM627" s="38"/>
      <c r="BN627" s="38"/>
      <c r="BO627" s="38"/>
      <c r="BP627" s="38"/>
      <c r="BQ627" s="38"/>
      <c r="BR627" s="38"/>
      <c r="BS627" s="38"/>
      <c r="BT627" s="38"/>
      <c r="BU627" s="38"/>
      <c r="BV627" s="38"/>
      <c r="BW627" s="38"/>
      <c r="BX627" s="38"/>
      <c r="BY627" s="38"/>
      <c r="BZ627" s="38"/>
      <c r="CA627" s="38"/>
      <c r="CB627" s="38"/>
      <c r="CC627" s="38"/>
      <c r="CD627" s="38"/>
      <c r="CE627" s="38"/>
      <c r="CF627" s="38"/>
      <c r="CG627" s="38"/>
      <c r="CH627" s="38"/>
      <c r="CI627" s="38"/>
      <c r="CJ627" s="38"/>
      <c r="CK627" s="38"/>
      <c r="CL627" s="38"/>
      <c r="CM627" s="38"/>
      <c r="CN627" s="38"/>
      <c r="CO627" s="38"/>
      <c r="CP627" s="38"/>
      <c r="CQ627" s="38"/>
      <c r="CR627" s="38"/>
      <c r="CS627" s="38"/>
      <c r="CT627" s="38"/>
      <c r="CU627" s="38"/>
      <c r="CV627" s="38"/>
      <c r="CW627" s="38"/>
      <c r="CX627" s="38"/>
      <c r="CY627" s="38"/>
      <c r="CZ627" s="38"/>
    </row>
    <row r="628" spans="1:104" s="40" customFormat="1" ht="20.149999999999999" customHeight="1">
      <c r="A628" s="358">
        <f t="shared" si="143"/>
        <v>627</v>
      </c>
      <c r="B628" s="359" t="str">
        <f>'Front Sheet and Checklist'!$C$5</f>
        <v>Swansea Bay UHB</v>
      </c>
      <c r="C628" s="17"/>
      <c r="D628" s="17"/>
      <c r="E628" s="17"/>
      <c r="F628" s="17"/>
      <c r="G628" s="17"/>
      <c r="H628" s="17"/>
      <c r="I628" s="361">
        <f t="shared" si="133"/>
        <v>0</v>
      </c>
      <c r="J628" s="17"/>
      <c r="K628" s="18"/>
      <c r="L628" s="18"/>
      <c r="M628" s="17"/>
      <c r="N628" s="17"/>
      <c r="O628" s="17"/>
      <c r="P628" s="17"/>
      <c r="Q628" s="169"/>
      <c r="R628" s="24"/>
      <c r="S628" s="24"/>
      <c r="T628" s="24"/>
      <c r="U628" s="25"/>
      <c r="V628" s="25"/>
      <c r="W628" s="25"/>
      <c r="X628" s="24"/>
      <c r="Y628" s="24"/>
      <c r="Z628" s="24"/>
      <c r="AA628" s="24"/>
      <c r="AB628" s="24"/>
      <c r="AC628" s="24"/>
      <c r="AD628" s="361">
        <f t="shared" si="132"/>
        <v>0</v>
      </c>
      <c r="AE628" s="359" t="str">
        <f t="shared" si="135"/>
        <v/>
      </c>
      <c r="AF628" s="359" t="str">
        <f t="shared" si="144"/>
        <v/>
      </c>
      <c r="AG628" s="359" t="str">
        <f t="shared" si="136"/>
        <v/>
      </c>
      <c r="AH628" s="359" t="str">
        <f t="shared" si="137"/>
        <v/>
      </c>
      <c r="AI628" s="359" t="str">
        <f t="shared" si="138"/>
        <v/>
      </c>
      <c r="AJ628" s="359" t="str">
        <f t="shared" si="139"/>
        <v/>
      </c>
      <c r="AK628" s="359" t="str">
        <f t="shared" si="141"/>
        <v/>
      </c>
      <c r="AL628" s="359" t="str">
        <f t="shared" si="140"/>
        <v/>
      </c>
      <c r="AM628" s="359" t="str">
        <f t="shared" si="142"/>
        <v/>
      </c>
      <c r="AN628" s="262">
        <f t="shared" si="145"/>
        <v>0</v>
      </c>
      <c r="AO628" s="262" t="str">
        <f>IFERROR(HLOOKUP(AN628,'Ref Lists'!Q$1:AL$2,2,FALSE),'Ref Lists'!$AK$2)</f>
        <v>Savings21</v>
      </c>
      <c r="AP628" s="38"/>
      <c r="AQ628" s="38">
        <f t="shared" si="134"/>
        <v>0</v>
      </c>
      <c r="AR628" s="38"/>
      <c r="AS628" s="38"/>
      <c r="AT628" s="38"/>
      <c r="AU628" s="38"/>
      <c r="AV628" s="38"/>
      <c r="AW628" s="38"/>
      <c r="AX628" s="38"/>
      <c r="AY628" s="38"/>
      <c r="AZ628" s="38"/>
      <c r="BA628" s="38"/>
      <c r="BB628" s="38"/>
      <c r="BC628" s="38"/>
      <c r="BD628" s="38"/>
      <c r="BE628" s="38"/>
      <c r="BF628" s="38"/>
      <c r="BG628" s="38"/>
      <c r="BH628" s="38"/>
      <c r="BI628" s="38"/>
      <c r="BJ628" s="38"/>
      <c r="BK628" s="38"/>
      <c r="BL628" s="38"/>
      <c r="BM628" s="38"/>
      <c r="BN628" s="38"/>
      <c r="BO628" s="38"/>
      <c r="BP628" s="38"/>
      <c r="BQ628" s="38"/>
      <c r="BR628" s="38"/>
      <c r="BS628" s="38"/>
      <c r="BT628" s="38"/>
      <c r="BU628" s="38"/>
      <c r="BV628" s="38"/>
      <c r="BW628" s="38"/>
      <c r="BX628" s="38"/>
      <c r="BY628" s="38"/>
      <c r="BZ628" s="38"/>
      <c r="CA628" s="38"/>
      <c r="CB628" s="38"/>
      <c r="CC628" s="38"/>
      <c r="CD628" s="38"/>
      <c r="CE628" s="38"/>
      <c r="CF628" s="38"/>
      <c r="CG628" s="38"/>
      <c r="CH628" s="38"/>
      <c r="CI628" s="38"/>
      <c r="CJ628" s="38"/>
      <c r="CK628" s="38"/>
      <c r="CL628" s="38"/>
      <c r="CM628" s="38"/>
      <c r="CN628" s="38"/>
      <c r="CO628" s="38"/>
      <c r="CP628" s="38"/>
      <c r="CQ628" s="38"/>
      <c r="CR628" s="38"/>
      <c r="CS628" s="38"/>
      <c r="CT628" s="38"/>
      <c r="CU628" s="38"/>
      <c r="CV628" s="38"/>
      <c r="CW628" s="38"/>
      <c r="CX628" s="38"/>
      <c r="CY628" s="38"/>
      <c r="CZ628" s="38"/>
    </row>
    <row r="629" spans="1:104" s="40" customFormat="1" ht="20.149999999999999" customHeight="1">
      <c r="A629" s="358">
        <f t="shared" si="143"/>
        <v>628</v>
      </c>
      <c r="B629" s="359" t="str">
        <f>'Front Sheet and Checklist'!$C$5</f>
        <v>Swansea Bay UHB</v>
      </c>
      <c r="C629" s="17"/>
      <c r="D629" s="17"/>
      <c r="E629" s="17"/>
      <c r="F629" s="17"/>
      <c r="G629" s="17"/>
      <c r="H629" s="17"/>
      <c r="I629" s="361">
        <f t="shared" si="133"/>
        <v>0</v>
      </c>
      <c r="J629" s="17"/>
      <c r="K629" s="18"/>
      <c r="L629" s="18"/>
      <c r="M629" s="17"/>
      <c r="N629" s="17"/>
      <c r="O629" s="17"/>
      <c r="P629" s="17"/>
      <c r="Q629" s="169"/>
      <c r="R629" s="24"/>
      <c r="S629" s="24"/>
      <c r="T629" s="24"/>
      <c r="U629" s="25"/>
      <c r="V629" s="25"/>
      <c r="W629" s="25"/>
      <c r="X629" s="24"/>
      <c r="Y629" s="24"/>
      <c r="Z629" s="24"/>
      <c r="AA629" s="24"/>
      <c r="AB629" s="24"/>
      <c r="AC629" s="24"/>
      <c r="AD629" s="361">
        <f t="shared" si="132"/>
        <v>0</v>
      </c>
      <c r="AE629" s="359" t="str">
        <f t="shared" si="135"/>
        <v/>
      </c>
      <c r="AF629" s="359" t="str">
        <f t="shared" si="144"/>
        <v/>
      </c>
      <c r="AG629" s="359" t="str">
        <f t="shared" si="136"/>
        <v/>
      </c>
      <c r="AH629" s="359" t="str">
        <f t="shared" si="137"/>
        <v/>
      </c>
      <c r="AI629" s="359" t="str">
        <f t="shared" si="138"/>
        <v/>
      </c>
      <c r="AJ629" s="359" t="str">
        <f t="shared" si="139"/>
        <v/>
      </c>
      <c r="AK629" s="359" t="str">
        <f t="shared" si="141"/>
        <v/>
      </c>
      <c r="AL629" s="359" t="str">
        <f t="shared" si="140"/>
        <v/>
      </c>
      <c r="AM629" s="359" t="str">
        <f t="shared" si="142"/>
        <v/>
      </c>
      <c r="AN629" s="262">
        <f t="shared" si="145"/>
        <v>0</v>
      </c>
      <c r="AO629" s="262" t="str">
        <f>IFERROR(HLOOKUP(AN629,'Ref Lists'!Q$1:AL$2,2,FALSE),'Ref Lists'!$AK$2)</f>
        <v>Savings21</v>
      </c>
      <c r="AP629" s="38"/>
      <c r="AQ629" s="38">
        <f t="shared" si="134"/>
        <v>0</v>
      </c>
      <c r="AR629" s="38"/>
      <c r="AS629" s="38"/>
      <c r="AT629" s="38"/>
      <c r="AU629" s="38"/>
      <c r="AV629" s="38"/>
      <c r="AW629" s="38"/>
      <c r="AX629" s="38"/>
      <c r="AY629" s="38"/>
      <c r="AZ629" s="38"/>
      <c r="BA629" s="38"/>
      <c r="BB629" s="38"/>
      <c r="BC629" s="38"/>
      <c r="BD629" s="38"/>
      <c r="BE629" s="38"/>
      <c r="BF629" s="38"/>
      <c r="BG629" s="38"/>
      <c r="BH629" s="38"/>
      <c r="BI629" s="38"/>
      <c r="BJ629" s="38"/>
      <c r="BK629" s="38"/>
      <c r="BL629" s="38"/>
      <c r="BM629" s="38"/>
      <c r="BN629" s="38"/>
      <c r="BO629" s="38"/>
      <c r="BP629" s="38"/>
      <c r="BQ629" s="38"/>
      <c r="BR629" s="38"/>
      <c r="BS629" s="38"/>
      <c r="BT629" s="38"/>
      <c r="BU629" s="38"/>
      <c r="BV629" s="38"/>
      <c r="BW629" s="38"/>
      <c r="BX629" s="38"/>
      <c r="BY629" s="38"/>
      <c r="BZ629" s="38"/>
      <c r="CA629" s="38"/>
      <c r="CB629" s="38"/>
      <c r="CC629" s="38"/>
      <c r="CD629" s="38"/>
      <c r="CE629" s="38"/>
      <c r="CF629" s="38"/>
      <c r="CG629" s="38"/>
      <c r="CH629" s="38"/>
      <c r="CI629" s="38"/>
      <c r="CJ629" s="38"/>
      <c r="CK629" s="38"/>
      <c r="CL629" s="38"/>
      <c r="CM629" s="38"/>
      <c r="CN629" s="38"/>
      <c r="CO629" s="38"/>
      <c r="CP629" s="38"/>
      <c r="CQ629" s="38"/>
      <c r="CR629" s="38"/>
      <c r="CS629" s="38"/>
      <c r="CT629" s="38"/>
      <c r="CU629" s="38"/>
      <c r="CV629" s="38"/>
      <c r="CW629" s="38"/>
      <c r="CX629" s="38"/>
      <c r="CY629" s="38"/>
      <c r="CZ629" s="38"/>
    </row>
    <row r="630" spans="1:104" s="40" customFormat="1" ht="20.149999999999999" customHeight="1">
      <c r="A630" s="358">
        <f t="shared" si="143"/>
        <v>629</v>
      </c>
      <c r="B630" s="359" t="str">
        <f>'Front Sheet and Checklist'!$C$5</f>
        <v>Swansea Bay UHB</v>
      </c>
      <c r="C630" s="17"/>
      <c r="D630" s="17"/>
      <c r="E630" s="17"/>
      <c r="F630" s="17"/>
      <c r="G630" s="17"/>
      <c r="H630" s="17"/>
      <c r="I630" s="361">
        <f t="shared" si="133"/>
        <v>0</v>
      </c>
      <c r="J630" s="17"/>
      <c r="K630" s="18"/>
      <c r="L630" s="18"/>
      <c r="M630" s="17"/>
      <c r="N630" s="17"/>
      <c r="O630" s="17"/>
      <c r="P630" s="17"/>
      <c r="Q630" s="169"/>
      <c r="R630" s="24"/>
      <c r="S630" s="24"/>
      <c r="T630" s="24"/>
      <c r="U630" s="25"/>
      <c r="V630" s="25"/>
      <c r="W630" s="25"/>
      <c r="X630" s="24"/>
      <c r="Y630" s="24"/>
      <c r="Z630" s="24"/>
      <c r="AA630" s="24"/>
      <c r="AB630" s="24"/>
      <c r="AC630" s="24"/>
      <c r="AD630" s="361">
        <f t="shared" si="132"/>
        <v>0</v>
      </c>
      <c r="AE630" s="359" t="str">
        <f t="shared" si="135"/>
        <v/>
      </c>
      <c r="AF630" s="359" t="str">
        <f t="shared" si="144"/>
        <v/>
      </c>
      <c r="AG630" s="359" t="str">
        <f t="shared" si="136"/>
        <v/>
      </c>
      <c r="AH630" s="359" t="str">
        <f t="shared" si="137"/>
        <v/>
      </c>
      <c r="AI630" s="359" t="str">
        <f t="shared" si="138"/>
        <v/>
      </c>
      <c r="AJ630" s="359" t="str">
        <f t="shared" si="139"/>
        <v/>
      </c>
      <c r="AK630" s="359" t="str">
        <f t="shared" si="141"/>
        <v/>
      </c>
      <c r="AL630" s="359" t="str">
        <f t="shared" si="140"/>
        <v/>
      </c>
      <c r="AM630" s="359" t="str">
        <f t="shared" si="142"/>
        <v/>
      </c>
      <c r="AN630" s="262">
        <f t="shared" si="145"/>
        <v>0</v>
      </c>
      <c r="AO630" s="262" t="str">
        <f>IFERROR(HLOOKUP(AN630,'Ref Lists'!Q$1:AL$2,2,FALSE),'Ref Lists'!$AK$2)</f>
        <v>Savings21</v>
      </c>
      <c r="AP630" s="38"/>
      <c r="AQ630" s="38">
        <f t="shared" si="134"/>
        <v>0</v>
      </c>
      <c r="AR630" s="38"/>
      <c r="AS630" s="38"/>
      <c r="AT630" s="38"/>
      <c r="AU630" s="38"/>
      <c r="AV630" s="38"/>
      <c r="AW630" s="38"/>
      <c r="AX630" s="38"/>
      <c r="AY630" s="38"/>
      <c r="AZ630" s="38"/>
      <c r="BA630" s="38"/>
      <c r="BB630" s="38"/>
      <c r="BC630" s="38"/>
      <c r="BD630" s="38"/>
      <c r="BE630" s="38"/>
      <c r="BF630" s="38"/>
      <c r="BG630" s="38"/>
      <c r="BH630" s="38"/>
      <c r="BI630" s="38"/>
      <c r="BJ630" s="38"/>
      <c r="BK630" s="38"/>
      <c r="BL630" s="38"/>
      <c r="BM630" s="38"/>
      <c r="BN630" s="38"/>
      <c r="BO630" s="38"/>
      <c r="BP630" s="38"/>
      <c r="BQ630" s="38"/>
      <c r="BR630" s="38"/>
      <c r="BS630" s="38"/>
      <c r="BT630" s="38"/>
      <c r="BU630" s="38"/>
      <c r="BV630" s="38"/>
      <c r="BW630" s="38"/>
      <c r="BX630" s="38"/>
      <c r="BY630" s="38"/>
      <c r="BZ630" s="38"/>
      <c r="CA630" s="38"/>
      <c r="CB630" s="38"/>
      <c r="CC630" s="38"/>
      <c r="CD630" s="38"/>
      <c r="CE630" s="38"/>
      <c r="CF630" s="38"/>
      <c r="CG630" s="38"/>
      <c r="CH630" s="38"/>
      <c r="CI630" s="38"/>
      <c r="CJ630" s="38"/>
      <c r="CK630" s="38"/>
      <c r="CL630" s="38"/>
      <c r="CM630" s="38"/>
      <c r="CN630" s="38"/>
      <c r="CO630" s="38"/>
      <c r="CP630" s="38"/>
      <c r="CQ630" s="38"/>
      <c r="CR630" s="38"/>
      <c r="CS630" s="38"/>
      <c r="CT630" s="38"/>
      <c r="CU630" s="38"/>
      <c r="CV630" s="38"/>
      <c r="CW630" s="38"/>
      <c r="CX630" s="38"/>
      <c r="CY630" s="38"/>
      <c r="CZ630" s="38"/>
    </row>
    <row r="631" spans="1:104" s="40" customFormat="1" ht="20.149999999999999" customHeight="1">
      <c r="A631" s="358">
        <f t="shared" si="143"/>
        <v>630</v>
      </c>
      <c r="B631" s="359" t="str">
        <f>'Front Sheet and Checklist'!$C$5</f>
        <v>Swansea Bay UHB</v>
      </c>
      <c r="C631" s="17"/>
      <c r="D631" s="17"/>
      <c r="E631" s="17"/>
      <c r="F631" s="17"/>
      <c r="G631" s="17"/>
      <c r="H631" s="17"/>
      <c r="I631" s="361">
        <f t="shared" si="133"/>
        <v>0</v>
      </c>
      <c r="J631" s="17"/>
      <c r="K631" s="18"/>
      <c r="L631" s="18"/>
      <c r="M631" s="17"/>
      <c r="N631" s="17"/>
      <c r="O631" s="17"/>
      <c r="P631" s="17"/>
      <c r="Q631" s="169"/>
      <c r="R631" s="24"/>
      <c r="S631" s="24"/>
      <c r="T631" s="24"/>
      <c r="U631" s="25"/>
      <c r="V631" s="25"/>
      <c r="W631" s="25"/>
      <c r="X631" s="24"/>
      <c r="Y631" s="24"/>
      <c r="Z631" s="24"/>
      <c r="AA631" s="24"/>
      <c r="AB631" s="24"/>
      <c r="AC631" s="24"/>
      <c r="AD631" s="361">
        <f t="shared" si="132"/>
        <v>0</v>
      </c>
      <c r="AE631" s="359" t="str">
        <f t="shared" si="135"/>
        <v/>
      </c>
      <c r="AF631" s="359" t="str">
        <f t="shared" si="144"/>
        <v/>
      </c>
      <c r="AG631" s="359" t="str">
        <f t="shared" si="136"/>
        <v/>
      </c>
      <c r="AH631" s="359" t="str">
        <f t="shared" si="137"/>
        <v/>
      </c>
      <c r="AI631" s="359" t="str">
        <f t="shared" si="138"/>
        <v/>
      </c>
      <c r="AJ631" s="359" t="str">
        <f t="shared" si="139"/>
        <v/>
      </c>
      <c r="AK631" s="359" t="str">
        <f t="shared" si="141"/>
        <v/>
      </c>
      <c r="AL631" s="359" t="str">
        <f t="shared" si="140"/>
        <v/>
      </c>
      <c r="AM631" s="359" t="str">
        <f t="shared" si="142"/>
        <v/>
      </c>
      <c r="AN631" s="262">
        <f t="shared" si="145"/>
        <v>0</v>
      </c>
      <c r="AO631" s="262" t="str">
        <f>IFERROR(HLOOKUP(AN631,'Ref Lists'!Q$1:AL$2,2,FALSE),'Ref Lists'!$AK$2)</f>
        <v>Savings21</v>
      </c>
      <c r="AP631" s="38"/>
      <c r="AQ631" s="38">
        <f t="shared" si="134"/>
        <v>0</v>
      </c>
      <c r="AR631" s="38"/>
      <c r="AS631" s="38"/>
      <c r="AT631" s="38"/>
      <c r="AU631" s="38"/>
      <c r="AV631" s="38"/>
      <c r="AW631" s="38"/>
      <c r="AX631" s="38"/>
      <c r="AY631" s="38"/>
      <c r="AZ631" s="38"/>
      <c r="BA631" s="38"/>
      <c r="BB631" s="38"/>
      <c r="BC631" s="38"/>
      <c r="BD631" s="38"/>
      <c r="BE631" s="38"/>
      <c r="BF631" s="38"/>
      <c r="BG631" s="38"/>
      <c r="BH631" s="38"/>
      <c r="BI631" s="38"/>
      <c r="BJ631" s="38"/>
      <c r="BK631" s="38"/>
      <c r="BL631" s="38"/>
      <c r="BM631" s="38"/>
      <c r="BN631" s="38"/>
      <c r="BO631" s="38"/>
      <c r="BP631" s="38"/>
      <c r="BQ631" s="38"/>
      <c r="BR631" s="38"/>
      <c r="BS631" s="38"/>
      <c r="BT631" s="38"/>
      <c r="BU631" s="38"/>
      <c r="BV631" s="38"/>
      <c r="BW631" s="38"/>
      <c r="BX631" s="38"/>
      <c r="BY631" s="38"/>
      <c r="BZ631" s="38"/>
      <c r="CA631" s="38"/>
      <c r="CB631" s="38"/>
      <c r="CC631" s="38"/>
      <c r="CD631" s="38"/>
      <c r="CE631" s="38"/>
      <c r="CF631" s="38"/>
      <c r="CG631" s="38"/>
      <c r="CH631" s="38"/>
      <c r="CI631" s="38"/>
      <c r="CJ631" s="38"/>
      <c r="CK631" s="38"/>
      <c r="CL631" s="38"/>
      <c r="CM631" s="38"/>
      <c r="CN631" s="38"/>
      <c r="CO631" s="38"/>
      <c r="CP631" s="38"/>
      <c r="CQ631" s="38"/>
      <c r="CR631" s="38"/>
      <c r="CS631" s="38"/>
      <c r="CT631" s="38"/>
      <c r="CU631" s="38"/>
      <c r="CV631" s="38"/>
      <c r="CW631" s="38"/>
      <c r="CX631" s="38"/>
      <c r="CY631" s="38"/>
      <c r="CZ631" s="38"/>
    </row>
    <row r="632" spans="1:104" s="40" customFormat="1" ht="20.149999999999999" customHeight="1">
      <c r="A632" s="358">
        <f t="shared" si="143"/>
        <v>631</v>
      </c>
      <c r="B632" s="359" t="str">
        <f>'Front Sheet and Checklist'!$C$5</f>
        <v>Swansea Bay UHB</v>
      </c>
      <c r="C632" s="17"/>
      <c r="D632" s="17"/>
      <c r="E632" s="17"/>
      <c r="F632" s="17"/>
      <c r="G632" s="17"/>
      <c r="H632" s="17"/>
      <c r="I632" s="361">
        <f t="shared" si="133"/>
        <v>0</v>
      </c>
      <c r="J632" s="17"/>
      <c r="K632" s="18"/>
      <c r="L632" s="18"/>
      <c r="M632" s="17"/>
      <c r="N632" s="17"/>
      <c r="O632" s="17"/>
      <c r="P632" s="17"/>
      <c r="Q632" s="169"/>
      <c r="R632" s="24"/>
      <c r="S632" s="24"/>
      <c r="T632" s="24"/>
      <c r="U632" s="25"/>
      <c r="V632" s="25"/>
      <c r="W632" s="25"/>
      <c r="X632" s="24"/>
      <c r="Y632" s="24"/>
      <c r="Z632" s="24"/>
      <c r="AA632" s="24"/>
      <c r="AB632" s="24"/>
      <c r="AC632" s="24"/>
      <c r="AD632" s="361">
        <f t="shared" si="132"/>
        <v>0</v>
      </c>
      <c r="AE632" s="359" t="str">
        <f t="shared" si="135"/>
        <v/>
      </c>
      <c r="AF632" s="359" t="str">
        <f t="shared" si="144"/>
        <v/>
      </c>
      <c r="AG632" s="359" t="str">
        <f t="shared" si="136"/>
        <v/>
      </c>
      <c r="AH632" s="359" t="str">
        <f t="shared" si="137"/>
        <v/>
      </c>
      <c r="AI632" s="359" t="str">
        <f t="shared" si="138"/>
        <v/>
      </c>
      <c r="AJ632" s="359" t="str">
        <f t="shared" si="139"/>
        <v/>
      </c>
      <c r="AK632" s="359" t="str">
        <f t="shared" si="141"/>
        <v/>
      </c>
      <c r="AL632" s="359" t="str">
        <f t="shared" si="140"/>
        <v/>
      </c>
      <c r="AM632" s="359" t="str">
        <f t="shared" si="142"/>
        <v/>
      </c>
      <c r="AN632" s="262">
        <f t="shared" si="145"/>
        <v>0</v>
      </c>
      <c r="AO632" s="262" t="str">
        <f>IFERROR(HLOOKUP(AN632,'Ref Lists'!Q$1:AL$2,2,FALSE),'Ref Lists'!$AK$2)</f>
        <v>Savings21</v>
      </c>
      <c r="AP632" s="38"/>
      <c r="AQ632" s="38">
        <f t="shared" si="134"/>
        <v>0</v>
      </c>
      <c r="AR632" s="38"/>
      <c r="AS632" s="38"/>
      <c r="AT632" s="38"/>
      <c r="AU632" s="38"/>
      <c r="AV632" s="38"/>
      <c r="AW632" s="38"/>
      <c r="AX632" s="38"/>
      <c r="AY632" s="38"/>
      <c r="AZ632" s="38"/>
      <c r="BA632" s="38"/>
      <c r="BB632" s="38"/>
      <c r="BC632" s="38"/>
      <c r="BD632" s="38"/>
      <c r="BE632" s="38"/>
      <c r="BF632" s="38"/>
      <c r="BG632" s="38"/>
      <c r="BH632" s="38"/>
      <c r="BI632" s="38"/>
      <c r="BJ632" s="38"/>
      <c r="BK632" s="38"/>
      <c r="BL632" s="38"/>
      <c r="BM632" s="38"/>
      <c r="BN632" s="38"/>
      <c r="BO632" s="38"/>
      <c r="BP632" s="38"/>
      <c r="BQ632" s="38"/>
      <c r="BR632" s="38"/>
      <c r="BS632" s="38"/>
      <c r="BT632" s="38"/>
      <c r="BU632" s="38"/>
      <c r="BV632" s="38"/>
      <c r="BW632" s="38"/>
      <c r="BX632" s="38"/>
      <c r="BY632" s="38"/>
      <c r="BZ632" s="38"/>
      <c r="CA632" s="38"/>
      <c r="CB632" s="38"/>
      <c r="CC632" s="38"/>
      <c r="CD632" s="38"/>
      <c r="CE632" s="38"/>
      <c r="CF632" s="38"/>
      <c r="CG632" s="38"/>
      <c r="CH632" s="38"/>
      <c r="CI632" s="38"/>
      <c r="CJ632" s="38"/>
      <c r="CK632" s="38"/>
      <c r="CL632" s="38"/>
      <c r="CM632" s="38"/>
      <c r="CN632" s="38"/>
      <c r="CO632" s="38"/>
      <c r="CP632" s="38"/>
      <c r="CQ632" s="38"/>
      <c r="CR632" s="38"/>
      <c r="CS632" s="38"/>
      <c r="CT632" s="38"/>
      <c r="CU632" s="38"/>
      <c r="CV632" s="38"/>
      <c r="CW632" s="38"/>
      <c r="CX632" s="38"/>
      <c r="CY632" s="38"/>
      <c r="CZ632" s="38"/>
    </row>
    <row r="633" spans="1:104" s="40" customFormat="1" ht="20.149999999999999" customHeight="1">
      <c r="A633" s="358">
        <f t="shared" si="143"/>
        <v>632</v>
      </c>
      <c r="B633" s="359" t="str">
        <f>'Front Sheet and Checklist'!$C$5</f>
        <v>Swansea Bay UHB</v>
      </c>
      <c r="C633" s="17"/>
      <c r="D633" s="17"/>
      <c r="E633" s="17"/>
      <c r="F633" s="17"/>
      <c r="G633" s="17"/>
      <c r="H633" s="17"/>
      <c r="I633" s="361">
        <f t="shared" si="133"/>
        <v>0</v>
      </c>
      <c r="J633" s="17"/>
      <c r="K633" s="18"/>
      <c r="L633" s="18"/>
      <c r="M633" s="17"/>
      <c r="N633" s="17"/>
      <c r="O633" s="17"/>
      <c r="P633" s="17"/>
      <c r="Q633" s="169"/>
      <c r="R633" s="24"/>
      <c r="S633" s="24"/>
      <c r="T633" s="24"/>
      <c r="U633" s="25"/>
      <c r="V633" s="25"/>
      <c r="W633" s="25"/>
      <c r="X633" s="24"/>
      <c r="Y633" s="24"/>
      <c r="Z633" s="24"/>
      <c r="AA633" s="24"/>
      <c r="AB633" s="24"/>
      <c r="AC633" s="24"/>
      <c r="AD633" s="361">
        <f t="shared" si="132"/>
        <v>0</v>
      </c>
      <c r="AE633" s="359" t="str">
        <f t="shared" si="135"/>
        <v/>
      </c>
      <c r="AF633" s="359" t="str">
        <f t="shared" si="144"/>
        <v/>
      </c>
      <c r="AG633" s="359" t="str">
        <f t="shared" si="136"/>
        <v/>
      </c>
      <c r="AH633" s="359" t="str">
        <f t="shared" si="137"/>
        <v/>
      </c>
      <c r="AI633" s="359" t="str">
        <f t="shared" si="138"/>
        <v/>
      </c>
      <c r="AJ633" s="359" t="str">
        <f t="shared" si="139"/>
        <v/>
      </c>
      <c r="AK633" s="359" t="str">
        <f t="shared" si="141"/>
        <v/>
      </c>
      <c r="AL633" s="359" t="str">
        <f t="shared" si="140"/>
        <v/>
      </c>
      <c r="AM633" s="359" t="str">
        <f t="shared" si="142"/>
        <v/>
      </c>
      <c r="AN633" s="262">
        <f t="shared" si="145"/>
        <v>0</v>
      </c>
      <c r="AO633" s="262" t="str">
        <f>IFERROR(HLOOKUP(AN633,'Ref Lists'!Q$1:AL$2,2,FALSE),'Ref Lists'!$AK$2)</f>
        <v>Savings21</v>
      </c>
      <c r="AP633" s="38"/>
      <c r="AQ633" s="38">
        <f t="shared" si="134"/>
        <v>0</v>
      </c>
      <c r="AR633" s="38"/>
      <c r="AS633" s="38"/>
      <c r="AT633" s="38"/>
      <c r="AU633" s="38"/>
      <c r="AV633" s="38"/>
      <c r="AW633" s="38"/>
      <c r="AX633" s="38"/>
      <c r="AY633" s="38"/>
      <c r="AZ633" s="38"/>
      <c r="BA633" s="38"/>
      <c r="BB633" s="38"/>
      <c r="BC633" s="38"/>
      <c r="BD633" s="38"/>
      <c r="BE633" s="38"/>
      <c r="BF633" s="38"/>
      <c r="BG633" s="38"/>
      <c r="BH633" s="38"/>
      <c r="BI633" s="38"/>
      <c r="BJ633" s="38"/>
      <c r="BK633" s="38"/>
      <c r="BL633" s="38"/>
      <c r="BM633" s="38"/>
      <c r="BN633" s="38"/>
      <c r="BO633" s="38"/>
      <c r="BP633" s="38"/>
      <c r="BQ633" s="38"/>
      <c r="BR633" s="38"/>
      <c r="BS633" s="38"/>
      <c r="BT633" s="38"/>
      <c r="BU633" s="38"/>
      <c r="BV633" s="38"/>
      <c r="BW633" s="38"/>
      <c r="BX633" s="38"/>
      <c r="BY633" s="38"/>
      <c r="BZ633" s="38"/>
      <c r="CA633" s="38"/>
      <c r="CB633" s="38"/>
      <c r="CC633" s="38"/>
      <c r="CD633" s="38"/>
      <c r="CE633" s="38"/>
      <c r="CF633" s="38"/>
      <c r="CG633" s="38"/>
      <c r="CH633" s="38"/>
      <c r="CI633" s="38"/>
      <c r="CJ633" s="38"/>
      <c r="CK633" s="38"/>
      <c r="CL633" s="38"/>
      <c r="CM633" s="38"/>
      <c r="CN633" s="38"/>
      <c r="CO633" s="38"/>
      <c r="CP633" s="38"/>
      <c r="CQ633" s="38"/>
      <c r="CR633" s="38"/>
      <c r="CS633" s="38"/>
      <c r="CT633" s="38"/>
      <c r="CU633" s="38"/>
      <c r="CV633" s="38"/>
      <c r="CW633" s="38"/>
      <c r="CX633" s="38"/>
      <c r="CY633" s="38"/>
      <c r="CZ633" s="38"/>
    </row>
    <row r="634" spans="1:104" s="40" customFormat="1" ht="20.149999999999999" customHeight="1">
      <c r="A634" s="358">
        <f t="shared" si="143"/>
        <v>633</v>
      </c>
      <c r="B634" s="359" t="str">
        <f>'Front Sheet and Checklist'!$C$5</f>
        <v>Swansea Bay UHB</v>
      </c>
      <c r="C634" s="17"/>
      <c r="D634" s="17"/>
      <c r="E634" s="17"/>
      <c r="F634" s="17"/>
      <c r="G634" s="17"/>
      <c r="H634" s="17"/>
      <c r="I634" s="361">
        <f t="shared" si="133"/>
        <v>0</v>
      </c>
      <c r="J634" s="17"/>
      <c r="K634" s="18"/>
      <c r="L634" s="18"/>
      <c r="M634" s="17"/>
      <c r="N634" s="17"/>
      <c r="O634" s="17"/>
      <c r="P634" s="17"/>
      <c r="Q634" s="169"/>
      <c r="R634" s="24"/>
      <c r="S634" s="24"/>
      <c r="T634" s="24"/>
      <c r="U634" s="25"/>
      <c r="V634" s="25"/>
      <c r="W634" s="25"/>
      <c r="X634" s="24"/>
      <c r="Y634" s="24"/>
      <c r="Z634" s="24"/>
      <c r="AA634" s="24"/>
      <c r="AB634" s="24"/>
      <c r="AC634" s="24"/>
      <c r="AD634" s="361">
        <f t="shared" ref="AD634:AD697" si="146">SUM(R634:AC634)</f>
        <v>0</v>
      </c>
      <c r="AE634" s="359" t="str">
        <f t="shared" si="135"/>
        <v/>
      </c>
      <c r="AF634" s="359" t="str">
        <f t="shared" si="144"/>
        <v/>
      </c>
      <c r="AG634" s="359" t="str">
        <f t="shared" si="136"/>
        <v/>
      </c>
      <c r="AH634" s="359" t="str">
        <f t="shared" si="137"/>
        <v/>
      </c>
      <c r="AI634" s="359" t="str">
        <f t="shared" si="138"/>
        <v/>
      </c>
      <c r="AJ634" s="359" t="str">
        <f t="shared" si="139"/>
        <v/>
      </c>
      <c r="AK634" s="359" t="str">
        <f t="shared" si="141"/>
        <v/>
      </c>
      <c r="AL634" s="359" t="str">
        <f t="shared" si="140"/>
        <v/>
      </c>
      <c r="AM634" s="359" t="str">
        <f t="shared" si="142"/>
        <v/>
      </c>
      <c r="AN634" s="262">
        <f t="shared" si="145"/>
        <v>0</v>
      </c>
      <c r="AO634" s="262" t="str">
        <f>IFERROR(HLOOKUP(AN634,'Ref Lists'!Q$1:AL$2,2,FALSE),'Ref Lists'!$AK$2)</f>
        <v>Savings21</v>
      </c>
      <c r="AP634" s="38"/>
      <c r="AQ634" s="38">
        <f t="shared" si="134"/>
        <v>0</v>
      </c>
      <c r="AR634" s="38"/>
      <c r="AS634" s="38"/>
      <c r="AT634" s="38"/>
      <c r="AU634" s="38"/>
      <c r="AV634" s="38"/>
      <c r="AW634" s="38"/>
      <c r="AX634" s="38"/>
      <c r="AY634" s="38"/>
      <c r="AZ634" s="38"/>
      <c r="BA634" s="38"/>
      <c r="BB634" s="38"/>
      <c r="BC634" s="38"/>
      <c r="BD634" s="38"/>
      <c r="BE634" s="38"/>
      <c r="BF634" s="38"/>
      <c r="BG634" s="38"/>
      <c r="BH634" s="38"/>
      <c r="BI634" s="38"/>
      <c r="BJ634" s="38"/>
      <c r="BK634" s="38"/>
      <c r="BL634" s="38"/>
      <c r="BM634" s="38"/>
      <c r="BN634" s="38"/>
      <c r="BO634" s="38"/>
      <c r="BP634" s="38"/>
      <c r="BQ634" s="38"/>
      <c r="BR634" s="38"/>
      <c r="BS634" s="38"/>
      <c r="BT634" s="38"/>
      <c r="BU634" s="38"/>
      <c r="BV634" s="38"/>
      <c r="BW634" s="38"/>
      <c r="BX634" s="38"/>
      <c r="BY634" s="38"/>
      <c r="BZ634" s="38"/>
      <c r="CA634" s="38"/>
      <c r="CB634" s="38"/>
      <c r="CC634" s="38"/>
      <c r="CD634" s="38"/>
      <c r="CE634" s="38"/>
      <c r="CF634" s="38"/>
      <c r="CG634" s="38"/>
      <c r="CH634" s="38"/>
      <c r="CI634" s="38"/>
      <c r="CJ634" s="38"/>
      <c r="CK634" s="38"/>
      <c r="CL634" s="38"/>
      <c r="CM634" s="38"/>
      <c r="CN634" s="38"/>
      <c r="CO634" s="38"/>
      <c r="CP634" s="38"/>
      <c r="CQ634" s="38"/>
      <c r="CR634" s="38"/>
      <c r="CS634" s="38"/>
      <c r="CT634" s="38"/>
      <c r="CU634" s="38"/>
      <c r="CV634" s="38"/>
      <c r="CW634" s="38"/>
      <c r="CX634" s="38"/>
      <c r="CY634" s="38"/>
      <c r="CZ634" s="38"/>
    </row>
    <row r="635" spans="1:104" s="40" customFormat="1" ht="20.149999999999999" customHeight="1">
      <c r="A635" s="358">
        <f t="shared" si="143"/>
        <v>634</v>
      </c>
      <c r="B635" s="359" t="str">
        <f>'Front Sheet and Checklist'!$C$5</f>
        <v>Swansea Bay UHB</v>
      </c>
      <c r="C635" s="17"/>
      <c r="D635" s="17"/>
      <c r="E635" s="17"/>
      <c r="F635" s="17"/>
      <c r="G635" s="17"/>
      <c r="H635" s="17"/>
      <c r="I635" s="361">
        <f t="shared" ref="I635:I698" si="147">AD635</f>
        <v>0</v>
      </c>
      <c r="J635" s="17"/>
      <c r="K635" s="18"/>
      <c r="L635" s="18"/>
      <c r="M635" s="17"/>
      <c r="N635" s="17"/>
      <c r="O635" s="17"/>
      <c r="P635" s="17"/>
      <c r="Q635" s="169"/>
      <c r="R635" s="24"/>
      <c r="S635" s="24"/>
      <c r="T635" s="24"/>
      <c r="U635" s="25"/>
      <c r="V635" s="25"/>
      <c r="W635" s="25"/>
      <c r="X635" s="24"/>
      <c r="Y635" s="24"/>
      <c r="Z635" s="24"/>
      <c r="AA635" s="24"/>
      <c r="AB635" s="24"/>
      <c r="AC635" s="24"/>
      <c r="AD635" s="361">
        <f t="shared" si="146"/>
        <v>0</v>
      </c>
      <c r="AE635" s="359" t="str">
        <f t="shared" si="135"/>
        <v/>
      </c>
      <c r="AF635" s="359" t="str">
        <f t="shared" si="144"/>
        <v/>
      </c>
      <c r="AG635" s="359" t="str">
        <f t="shared" si="136"/>
        <v/>
      </c>
      <c r="AH635" s="359" t="str">
        <f t="shared" si="137"/>
        <v/>
      </c>
      <c r="AI635" s="359" t="str">
        <f t="shared" si="138"/>
        <v/>
      </c>
      <c r="AJ635" s="359" t="str">
        <f t="shared" si="139"/>
        <v/>
      </c>
      <c r="AK635" s="359" t="str">
        <f t="shared" si="141"/>
        <v/>
      </c>
      <c r="AL635" s="359" t="str">
        <f t="shared" si="140"/>
        <v/>
      </c>
      <c r="AM635" s="359" t="str">
        <f t="shared" si="142"/>
        <v/>
      </c>
      <c r="AN635" s="262">
        <f t="shared" si="145"/>
        <v>0</v>
      </c>
      <c r="AO635" s="262" t="str">
        <f>IFERROR(HLOOKUP(AN635,'Ref Lists'!Q$1:AL$2,2,FALSE),'Ref Lists'!$AK$2)</f>
        <v>Savings21</v>
      </c>
      <c r="AP635" s="38"/>
      <c r="AQ635" s="38">
        <f t="shared" ref="AQ635:AQ698" si="148">COUNTIFS(AE635:AL635,"Error")</f>
        <v>0</v>
      </c>
      <c r="AR635" s="38"/>
      <c r="AS635" s="38"/>
      <c r="AT635" s="38"/>
      <c r="AU635" s="38"/>
      <c r="AV635" s="38"/>
      <c r="AW635" s="38"/>
      <c r="AX635" s="38"/>
      <c r="AY635" s="38"/>
      <c r="AZ635" s="38"/>
      <c r="BA635" s="38"/>
      <c r="BB635" s="38"/>
      <c r="BC635" s="38"/>
      <c r="BD635" s="38"/>
      <c r="BE635" s="38"/>
      <c r="BF635" s="38"/>
      <c r="BG635" s="38"/>
      <c r="BH635" s="38"/>
      <c r="BI635" s="38"/>
      <c r="BJ635" s="38"/>
      <c r="BK635" s="38"/>
      <c r="BL635" s="38"/>
      <c r="BM635" s="38"/>
      <c r="BN635" s="38"/>
      <c r="BO635" s="38"/>
      <c r="BP635" s="38"/>
      <c r="BQ635" s="38"/>
      <c r="BR635" s="38"/>
      <c r="BS635" s="38"/>
      <c r="BT635" s="38"/>
      <c r="BU635" s="38"/>
      <c r="BV635" s="38"/>
      <c r="BW635" s="38"/>
      <c r="BX635" s="38"/>
      <c r="BY635" s="38"/>
      <c r="BZ635" s="38"/>
      <c r="CA635" s="38"/>
      <c r="CB635" s="38"/>
      <c r="CC635" s="38"/>
      <c r="CD635" s="38"/>
      <c r="CE635" s="38"/>
      <c r="CF635" s="38"/>
      <c r="CG635" s="38"/>
      <c r="CH635" s="38"/>
      <c r="CI635" s="38"/>
      <c r="CJ635" s="38"/>
      <c r="CK635" s="38"/>
      <c r="CL635" s="38"/>
      <c r="CM635" s="38"/>
      <c r="CN635" s="38"/>
      <c r="CO635" s="38"/>
      <c r="CP635" s="38"/>
      <c r="CQ635" s="38"/>
      <c r="CR635" s="38"/>
      <c r="CS635" s="38"/>
      <c r="CT635" s="38"/>
      <c r="CU635" s="38"/>
      <c r="CV635" s="38"/>
      <c r="CW635" s="38"/>
      <c r="CX635" s="38"/>
      <c r="CY635" s="38"/>
      <c r="CZ635" s="38"/>
    </row>
    <row r="636" spans="1:104" s="40" customFormat="1" ht="20.149999999999999" customHeight="1">
      <c r="A636" s="358">
        <f t="shared" si="143"/>
        <v>635</v>
      </c>
      <c r="B636" s="359" t="str">
        <f>'Front Sheet and Checklist'!$C$5</f>
        <v>Swansea Bay UHB</v>
      </c>
      <c r="C636" s="17"/>
      <c r="D636" s="17"/>
      <c r="E636" s="17"/>
      <c r="F636" s="17"/>
      <c r="G636" s="17"/>
      <c r="H636" s="17"/>
      <c r="I636" s="361">
        <f t="shared" si="147"/>
        <v>0</v>
      </c>
      <c r="J636" s="17"/>
      <c r="K636" s="18"/>
      <c r="L636" s="18"/>
      <c r="M636" s="17"/>
      <c r="N636" s="17"/>
      <c r="O636" s="17"/>
      <c r="P636" s="17"/>
      <c r="Q636" s="169"/>
      <c r="R636" s="24"/>
      <c r="S636" s="24"/>
      <c r="T636" s="24"/>
      <c r="U636" s="25"/>
      <c r="V636" s="25"/>
      <c r="W636" s="25"/>
      <c r="X636" s="24"/>
      <c r="Y636" s="24"/>
      <c r="Z636" s="24"/>
      <c r="AA636" s="24"/>
      <c r="AB636" s="24"/>
      <c r="AC636" s="24"/>
      <c r="AD636" s="361">
        <f t="shared" si="146"/>
        <v>0</v>
      </c>
      <c r="AE636" s="359" t="str">
        <f t="shared" si="135"/>
        <v/>
      </c>
      <c r="AF636" s="359" t="str">
        <f t="shared" si="144"/>
        <v/>
      </c>
      <c r="AG636" s="359" t="str">
        <f t="shared" si="136"/>
        <v/>
      </c>
      <c r="AH636" s="359" t="str">
        <f t="shared" si="137"/>
        <v/>
      </c>
      <c r="AI636" s="359" t="str">
        <f t="shared" si="138"/>
        <v/>
      </c>
      <c r="AJ636" s="359" t="str">
        <f t="shared" si="139"/>
        <v/>
      </c>
      <c r="AK636" s="359" t="str">
        <f t="shared" si="141"/>
        <v/>
      </c>
      <c r="AL636" s="359" t="str">
        <f t="shared" si="140"/>
        <v/>
      </c>
      <c r="AM636" s="359" t="str">
        <f t="shared" si="142"/>
        <v/>
      </c>
      <c r="AN636" s="262">
        <f t="shared" si="145"/>
        <v>0</v>
      </c>
      <c r="AO636" s="262" t="str">
        <f>IFERROR(HLOOKUP(AN636,'Ref Lists'!Q$1:AL$2,2,FALSE),'Ref Lists'!$AK$2)</f>
        <v>Savings21</v>
      </c>
      <c r="AP636" s="38"/>
      <c r="AQ636" s="38">
        <f t="shared" si="148"/>
        <v>0</v>
      </c>
      <c r="AR636" s="38"/>
      <c r="AS636" s="38"/>
      <c r="AT636" s="38"/>
      <c r="AU636" s="38"/>
      <c r="AV636" s="38"/>
      <c r="AW636" s="38"/>
      <c r="AX636" s="38"/>
      <c r="AY636" s="38"/>
      <c r="AZ636" s="38"/>
      <c r="BA636" s="38"/>
      <c r="BB636" s="38"/>
      <c r="BC636" s="38"/>
      <c r="BD636" s="38"/>
      <c r="BE636" s="38"/>
      <c r="BF636" s="38"/>
      <c r="BG636" s="38"/>
      <c r="BH636" s="38"/>
      <c r="BI636" s="38"/>
      <c r="BJ636" s="38"/>
      <c r="BK636" s="38"/>
      <c r="BL636" s="38"/>
      <c r="BM636" s="38"/>
      <c r="BN636" s="38"/>
      <c r="BO636" s="38"/>
      <c r="BP636" s="38"/>
      <c r="BQ636" s="38"/>
      <c r="BR636" s="38"/>
      <c r="BS636" s="38"/>
      <c r="BT636" s="38"/>
      <c r="BU636" s="38"/>
      <c r="BV636" s="38"/>
      <c r="BW636" s="38"/>
      <c r="BX636" s="38"/>
      <c r="BY636" s="38"/>
      <c r="BZ636" s="38"/>
      <c r="CA636" s="38"/>
      <c r="CB636" s="38"/>
      <c r="CC636" s="38"/>
      <c r="CD636" s="38"/>
      <c r="CE636" s="38"/>
      <c r="CF636" s="38"/>
      <c r="CG636" s="38"/>
      <c r="CH636" s="38"/>
      <c r="CI636" s="38"/>
      <c r="CJ636" s="38"/>
      <c r="CK636" s="38"/>
      <c r="CL636" s="38"/>
      <c r="CM636" s="38"/>
      <c r="CN636" s="38"/>
      <c r="CO636" s="38"/>
      <c r="CP636" s="38"/>
      <c r="CQ636" s="38"/>
      <c r="CR636" s="38"/>
      <c r="CS636" s="38"/>
      <c r="CT636" s="38"/>
      <c r="CU636" s="38"/>
      <c r="CV636" s="38"/>
      <c r="CW636" s="38"/>
      <c r="CX636" s="38"/>
      <c r="CY636" s="38"/>
      <c r="CZ636" s="38"/>
    </row>
    <row r="637" spans="1:104" s="40" customFormat="1" ht="20.149999999999999" customHeight="1">
      <c r="A637" s="358">
        <f t="shared" si="143"/>
        <v>636</v>
      </c>
      <c r="B637" s="359" t="str">
        <f>'Front Sheet and Checklist'!$C$5</f>
        <v>Swansea Bay UHB</v>
      </c>
      <c r="C637" s="17"/>
      <c r="D637" s="17"/>
      <c r="E637" s="17"/>
      <c r="F637" s="17"/>
      <c r="G637" s="17"/>
      <c r="H637" s="17"/>
      <c r="I637" s="361">
        <f t="shared" si="147"/>
        <v>0</v>
      </c>
      <c r="J637" s="17"/>
      <c r="K637" s="18"/>
      <c r="L637" s="18"/>
      <c r="M637" s="17"/>
      <c r="N637" s="17"/>
      <c r="O637" s="17"/>
      <c r="P637" s="17"/>
      <c r="Q637" s="169"/>
      <c r="R637" s="24"/>
      <c r="S637" s="24"/>
      <c r="T637" s="24"/>
      <c r="U637" s="25"/>
      <c r="V637" s="25"/>
      <c r="W637" s="25"/>
      <c r="X637" s="24"/>
      <c r="Y637" s="24"/>
      <c r="Z637" s="24"/>
      <c r="AA637" s="24"/>
      <c r="AB637" s="24"/>
      <c r="AC637" s="24"/>
      <c r="AD637" s="361">
        <f t="shared" si="146"/>
        <v>0</v>
      </c>
      <c r="AE637" s="359" t="str">
        <f t="shared" si="135"/>
        <v/>
      </c>
      <c r="AF637" s="359" t="str">
        <f t="shared" si="144"/>
        <v/>
      </c>
      <c r="AG637" s="359" t="str">
        <f t="shared" si="136"/>
        <v/>
      </c>
      <c r="AH637" s="359" t="str">
        <f t="shared" si="137"/>
        <v/>
      </c>
      <c r="AI637" s="359" t="str">
        <f t="shared" si="138"/>
        <v/>
      </c>
      <c r="AJ637" s="359" t="str">
        <f t="shared" si="139"/>
        <v/>
      </c>
      <c r="AK637" s="359" t="str">
        <f t="shared" si="141"/>
        <v/>
      </c>
      <c r="AL637" s="359" t="str">
        <f t="shared" si="140"/>
        <v/>
      </c>
      <c r="AM637" s="359" t="str">
        <f t="shared" si="142"/>
        <v/>
      </c>
      <c r="AN637" s="262">
        <f t="shared" si="145"/>
        <v>0</v>
      </c>
      <c r="AO637" s="262" t="str">
        <f>IFERROR(HLOOKUP(AN637,'Ref Lists'!Q$1:AL$2,2,FALSE),'Ref Lists'!$AK$2)</f>
        <v>Savings21</v>
      </c>
      <c r="AP637" s="38"/>
      <c r="AQ637" s="38">
        <f t="shared" si="148"/>
        <v>0</v>
      </c>
      <c r="AR637" s="38"/>
      <c r="AS637" s="38"/>
      <c r="AT637" s="38"/>
      <c r="AU637" s="38"/>
      <c r="AV637" s="38"/>
      <c r="AW637" s="38"/>
      <c r="AX637" s="38"/>
      <c r="AY637" s="38"/>
      <c r="AZ637" s="38"/>
      <c r="BA637" s="38"/>
      <c r="BB637" s="38"/>
      <c r="BC637" s="38"/>
      <c r="BD637" s="38"/>
      <c r="BE637" s="38"/>
      <c r="BF637" s="38"/>
      <c r="BG637" s="38"/>
      <c r="BH637" s="38"/>
      <c r="BI637" s="38"/>
      <c r="BJ637" s="38"/>
      <c r="BK637" s="38"/>
      <c r="BL637" s="38"/>
      <c r="BM637" s="38"/>
      <c r="BN637" s="38"/>
      <c r="BO637" s="38"/>
      <c r="BP637" s="38"/>
      <c r="BQ637" s="38"/>
      <c r="BR637" s="38"/>
      <c r="BS637" s="38"/>
      <c r="BT637" s="38"/>
      <c r="BU637" s="38"/>
      <c r="BV637" s="38"/>
      <c r="BW637" s="38"/>
      <c r="BX637" s="38"/>
      <c r="BY637" s="38"/>
      <c r="BZ637" s="38"/>
      <c r="CA637" s="38"/>
      <c r="CB637" s="38"/>
      <c r="CC637" s="38"/>
      <c r="CD637" s="38"/>
      <c r="CE637" s="38"/>
      <c r="CF637" s="38"/>
      <c r="CG637" s="38"/>
      <c r="CH637" s="38"/>
      <c r="CI637" s="38"/>
      <c r="CJ637" s="38"/>
      <c r="CK637" s="38"/>
      <c r="CL637" s="38"/>
      <c r="CM637" s="38"/>
      <c r="CN637" s="38"/>
      <c r="CO637" s="38"/>
      <c r="CP637" s="38"/>
      <c r="CQ637" s="38"/>
      <c r="CR637" s="38"/>
      <c r="CS637" s="38"/>
      <c r="CT637" s="38"/>
      <c r="CU637" s="38"/>
      <c r="CV637" s="38"/>
      <c r="CW637" s="38"/>
      <c r="CX637" s="38"/>
      <c r="CY637" s="38"/>
      <c r="CZ637" s="38"/>
    </row>
    <row r="638" spans="1:104" s="40" customFormat="1" ht="20.149999999999999" customHeight="1">
      <c r="A638" s="358">
        <f t="shared" si="143"/>
        <v>637</v>
      </c>
      <c r="B638" s="359" t="str">
        <f>'Front Sheet and Checklist'!$C$5</f>
        <v>Swansea Bay UHB</v>
      </c>
      <c r="C638" s="17"/>
      <c r="D638" s="17"/>
      <c r="E638" s="17"/>
      <c r="F638" s="17"/>
      <c r="G638" s="17"/>
      <c r="H638" s="17"/>
      <c r="I638" s="361">
        <f t="shared" si="147"/>
        <v>0</v>
      </c>
      <c r="J638" s="17"/>
      <c r="K638" s="18"/>
      <c r="L638" s="18"/>
      <c r="M638" s="17"/>
      <c r="N638" s="17"/>
      <c r="O638" s="17"/>
      <c r="P638" s="17"/>
      <c r="Q638" s="169"/>
      <c r="R638" s="24"/>
      <c r="S638" s="24"/>
      <c r="T638" s="24"/>
      <c r="U638" s="25"/>
      <c r="V638" s="25"/>
      <c r="W638" s="25"/>
      <c r="X638" s="24"/>
      <c r="Y638" s="24"/>
      <c r="Z638" s="24"/>
      <c r="AA638" s="24"/>
      <c r="AB638" s="24"/>
      <c r="AC638" s="24"/>
      <c r="AD638" s="361">
        <f t="shared" si="146"/>
        <v>0</v>
      </c>
      <c r="AE638" s="359" t="str">
        <f t="shared" si="135"/>
        <v/>
      </c>
      <c r="AF638" s="359" t="str">
        <f t="shared" si="144"/>
        <v/>
      </c>
      <c r="AG638" s="359" t="str">
        <f t="shared" si="136"/>
        <v/>
      </c>
      <c r="AH638" s="359" t="str">
        <f t="shared" si="137"/>
        <v/>
      </c>
      <c r="AI638" s="359" t="str">
        <f t="shared" si="138"/>
        <v/>
      </c>
      <c r="AJ638" s="359" t="str">
        <f t="shared" si="139"/>
        <v/>
      </c>
      <c r="AK638" s="359" t="str">
        <f t="shared" si="141"/>
        <v/>
      </c>
      <c r="AL638" s="359" t="str">
        <f t="shared" si="140"/>
        <v/>
      </c>
      <c r="AM638" s="359" t="str">
        <f t="shared" si="142"/>
        <v/>
      </c>
      <c r="AN638" s="262">
        <f t="shared" si="145"/>
        <v>0</v>
      </c>
      <c r="AO638" s="262" t="str">
        <f>IFERROR(HLOOKUP(AN638,'Ref Lists'!Q$1:AL$2,2,FALSE),'Ref Lists'!$AK$2)</f>
        <v>Savings21</v>
      </c>
      <c r="AP638" s="38"/>
      <c r="AQ638" s="38">
        <f t="shared" si="148"/>
        <v>0</v>
      </c>
      <c r="AR638" s="38"/>
      <c r="AS638" s="38"/>
      <c r="AT638" s="38"/>
      <c r="AU638" s="38"/>
      <c r="AV638" s="38"/>
      <c r="AW638" s="38"/>
      <c r="AX638" s="38"/>
      <c r="AY638" s="38"/>
      <c r="AZ638" s="38"/>
      <c r="BA638" s="38"/>
      <c r="BB638" s="38"/>
      <c r="BC638" s="38"/>
      <c r="BD638" s="38"/>
      <c r="BE638" s="38"/>
      <c r="BF638" s="38"/>
      <c r="BG638" s="38"/>
      <c r="BH638" s="38"/>
      <c r="BI638" s="38"/>
      <c r="BJ638" s="38"/>
      <c r="BK638" s="38"/>
      <c r="BL638" s="38"/>
      <c r="BM638" s="38"/>
      <c r="BN638" s="38"/>
      <c r="BO638" s="38"/>
      <c r="BP638" s="38"/>
      <c r="BQ638" s="38"/>
      <c r="BR638" s="38"/>
      <c r="BS638" s="38"/>
      <c r="BT638" s="38"/>
      <c r="BU638" s="38"/>
      <c r="BV638" s="38"/>
      <c r="BW638" s="38"/>
      <c r="BX638" s="38"/>
      <c r="BY638" s="38"/>
      <c r="BZ638" s="38"/>
      <c r="CA638" s="38"/>
      <c r="CB638" s="38"/>
      <c r="CC638" s="38"/>
      <c r="CD638" s="38"/>
      <c r="CE638" s="38"/>
      <c r="CF638" s="38"/>
      <c r="CG638" s="38"/>
      <c r="CH638" s="38"/>
      <c r="CI638" s="38"/>
      <c r="CJ638" s="38"/>
      <c r="CK638" s="38"/>
      <c r="CL638" s="38"/>
      <c r="CM638" s="38"/>
      <c r="CN638" s="38"/>
      <c r="CO638" s="38"/>
      <c r="CP638" s="38"/>
      <c r="CQ638" s="38"/>
      <c r="CR638" s="38"/>
      <c r="CS638" s="38"/>
      <c r="CT638" s="38"/>
      <c r="CU638" s="38"/>
      <c r="CV638" s="38"/>
      <c r="CW638" s="38"/>
      <c r="CX638" s="38"/>
      <c r="CY638" s="38"/>
      <c r="CZ638" s="38"/>
    </row>
    <row r="639" spans="1:104" s="40" customFormat="1" ht="20.149999999999999" customHeight="1">
      <c r="A639" s="358">
        <f t="shared" si="143"/>
        <v>638</v>
      </c>
      <c r="B639" s="359" t="str">
        <f>'Front Sheet and Checklist'!$C$5</f>
        <v>Swansea Bay UHB</v>
      </c>
      <c r="C639" s="17"/>
      <c r="D639" s="17"/>
      <c r="E639" s="17"/>
      <c r="F639" s="17"/>
      <c r="G639" s="17"/>
      <c r="H639" s="17"/>
      <c r="I639" s="361">
        <f t="shared" si="147"/>
        <v>0</v>
      </c>
      <c r="J639" s="17"/>
      <c r="K639" s="18"/>
      <c r="L639" s="18"/>
      <c r="M639" s="17"/>
      <c r="N639" s="17"/>
      <c r="O639" s="17"/>
      <c r="P639" s="17"/>
      <c r="Q639" s="169"/>
      <c r="R639" s="24"/>
      <c r="S639" s="24"/>
      <c r="T639" s="24"/>
      <c r="U639" s="25"/>
      <c r="V639" s="25"/>
      <c r="W639" s="25"/>
      <c r="X639" s="24"/>
      <c r="Y639" s="24"/>
      <c r="Z639" s="24"/>
      <c r="AA639" s="24"/>
      <c r="AB639" s="24"/>
      <c r="AC639" s="24"/>
      <c r="AD639" s="361">
        <f t="shared" si="146"/>
        <v>0</v>
      </c>
      <c r="AE639" s="359" t="str">
        <f t="shared" si="135"/>
        <v/>
      </c>
      <c r="AF639" s="359" t="str">
        <f t="shared" si="144"/>
        <v/>
      </c>
      <c r="AG639" s="359" t="str">
        <f t="shared" si="136"/>
        <v/>
      </c>
      <c r="AH639" s="359" t="str">
        <f t="shared" si="137"/>
        <v/>
      </c>
      <c r="AI639" s="359" t="str">
        <f t="shared" si="138"/>
        <v/>
      </c>
      <c r="AJ639" s="359" t="str">
        <f t="shared" si="139"/>
        <v/>
      </c>
      <c r="AK639" s="359" t="str">
        <f t="shared" si="141"/>
        <v/>
      </c>
      <c r="AL639" s="359" t="str">
        <f t="shared" si="140"/>
        <v/>
      </c>
      <c r="AM639" s="359" t="str">
        <f t="shared" si="142"/>
        <v/>
      </c>
      <c r="AN639" s="262">
        <f t="shared" si="145"/>
        <v>0</v>
      </c>
      <c r="AO639" s="262" t="str">
        <f>IFERROR(HLOOKUP(AN639,'Ref Lists'!Q$1:AL$2,2,FALSE),'Ref Lists'!$AK$2)</f>
        <v>Savings21</v>
      </c>
      <c r="AP639" s="38"/>
      <c r="AQ639" s="38">
        <f t="shared" si="148"/>
        <v>0</v>
      </c>
      <c r="AR639" s="38"/>
      <c r="AS639" s="38"/>
      <c r="AT639" s="38"/>
      <c r="AU639" s="38"/>
      <c r="AV639" s="38"/>
      <c r="AW639" s="38"/>
      <c r="AX639" s="38"/>
      <c r="AY639" s="38"/>
      <c r="AZ639" s="38"/>
      <c r="BA639" s="38"/>
      <c r="BB639" s="38"/>
      <c r="BC639" s="38"/>
      <c r="BD639" s="38"/>
      <c r="BE639" s="38"/>
      <c r="BF639" s="38"/>
      <c r="BG639" s="38"/>
      <c r="BH639" s="38"/>
      <c r="BI639" s="38"/>
      <c r="BJ639" s="38"/>
      <c r="BK639" s="38"/>
      <c r="BL639" s="38"/>
      <c r="BM639" s="38"/>
      <c r="BN639" s="38"/>
      <c r="BO639" s="38"/>
      <c r="BP639" s="38"/>
      <c r="BQ639" s="38"/>
      <c r="BR639" s="38"/>
      <c r="BS639" s="38"/>
      <c r="BT639" s="38"/>
      <c r="BU639" s="38"/>
      <c r="BV639" s="38"/>
      <c r="BW639" s="38"/>
      <c r="BX639" s="38"/>
      <c r="BY639" s="38"/>
      <c r="BZ639" s="38"/>
      <c r="CA639" s="38"/>
      <c r="CB639" s="38"/>
      <c r="CC639" s="38"/>
      <c r="CD639" s="38"/>
      <c r="CE639" s="38"/>
      <c r="CF639" s="38"/>
      <c r="CG639" s="38"/>
      <c r="CH639" s="38"/>
      <c r="CI639" s="38"/>
      <c r="CJ639" s="38"/>
      <c r="CK639" s="38"/>
      <c r="CL639" s="38"/>
      <c r="CM639" s="38"/>
      <c r="CN639" s="38"/>
      <c r="CO639" s="38"/>
      <c r="CP639" s="38"/>
      <c r="CQ639" s="38"/>
      <c r="CR639" s="38"/>
      <c r="CS639" s="38"/>
      <c r="CT639" s="38"/>
      <c r="CU639" s="38"/>
      <c r="CV639" s="38"/>
      <c r="CW639" s="38"/>
      <c r="CX639" s="38"/>
      <c r="CY639" s="38"/>
      <c r="CZ639" s="38"/>
    </row>
    <row r="640" spans="1:104" s="40" customFormat="1" ht="20.149999999999999" customHeight="1">
      <c r="A640" s="358">
        <f t="shared" si="143"/>
        <v>639</v>
      </c>
      <c r="B640" s="359" t="str">
        <f>'Front Sheet and Checklist'!$C$5</f>
        <v>Swansea Bay UHB</v>
      </c>
      <c r="C640" s="17"/>
      <c r="D640" s="17"/>
      <c r="E640" s="17"/>
      <c r="F640" s="17"/>
      <c r="G640" s="17"/>
      <c r="H640" s="17"/>
      <c r="I640" s="361">
        <f t="shared" si="147"/>
        <v>0</v>
      </c>
      <c r="J640" s="17"/>
      <c r="K640" s="18"/>
      <c r="L640" s="18"/>
      <c r="M640" s="17"/>
      <c r="N640" s="17"/>
      <c r="O640" s="17"/>
      <c r="P640" s="17"/>
      <c r="Q640" s="169"/>
      <c r="R640" s="24"/>
      <c r="S640" s="24"/>
      <c r="T640" s="24"/>
      <c r="U640" s="25"/>
      <c r="V640" s="25"/>
      <c r="W640" s="25"/>
      <c r="X640" s="24"/>
      <c r="Y640" s="24"/>
      <c r="Z640" s="24"/>
      <c r="AA640" s="24"/>
      <c r="AB640" s="24"/>
      <c r="AC640" s="24"/>
      <c r="AD640" s="361">
        <f t="shared" si="146"/>
        <v>0</v>
      </c>
      <c r="AE640" s="359" t="str">
        <f t="shared" si="135"/>
        <v/>
      </c>
      <c r="AF640" s="359" t="str">
        <f t="shared" si="144"/>
        <v/>
      </c>
      <c r="AG640" s="359" t="str">
        <f t="shared" si="136"/>
        <v/>
      </c>
      <c r="AH640" s="359" t="str">
        <f t="shared" si="137"/>
        <v/>
      </c>
      <c r="AI640" s="359" t="str">
        <f t="shared" si="138"/>
        <v/>
      </c>
      <c r="AJ640" s="359" t="str">
        <f t="shared" si="139"/>
        <v/>
      </c>
      <c r="AK640" s="359" t="str">
        <f t="shared" si="141"/>
        <v/>
      </c>
      <c r="AL640" s="359" t="str">
        <f t="shared" si="140"/>
        <v/>
      </c>
      <c r="AM640" s="359" t="str">
        <f t="shared" si="142"/>
        <v/>
      </c>
      <c r="AN640" s="262">
        <f t="shared" si="145"/>
        <v>0</v>
      </c>
      <c r="AO640" s="262" t="str">
        <f>IFERROR(HLOOKUP(AN640,'Ref Lists'!Q$1:AL$2,2,FALSE),'Ref Lists'!$AK$2)</f>
        <v>Savings21</v>
      </c>
      <c r="AP640" s="38"/>
      <c r="AQ640" s="38">
        <f t="shared" si="148"/>
        <v>0</v>
      </c>
      <c r="AR640" s="38"/>
      <c r="AS640" s="38"/>
      <c r="AT640" s="38"/>
      <c r="AU640" s="38"/>
      <c r="AV640" s="38"/>
      <c r="AW640" s="38"/>
      <c r="AX640" s="38"/>
      <c r="AY640" s="38"/>
      <c r="AZ640" s="38"/>
      <c r="BA640" s="38"/>
      <c r="BB640" s="38"/>
      <c r="BC640" s="38"/>
      <c r="BD640" s="38"/>
      <c r="BE640" s="38"/>
      <c r="BF640" s="38"/>
      <c r="BG640" s="38"/>
      <c r="BH640" s="38"/>
      <c r="BI640" s="38"/>
      <c r="BJ640" s="38"/>
      <c r="BK640" s="38"/>
      <c r="BL640" s="38"/>
      <c r="BM640" s="38"/>
      <c r="BN640" s="38"/>
      <c r="BO640" s="38"/>
      <c r="BP640" s="38"/>
      <c r="BQ640" s="38"/>
      <c r="BR640" s="38"/>
      <c r="BS640" s="38"/>
      <c r="BT640" s="38"/>
      <c r="BU640" s="38"/>
      <c r="BV640" s="38"/>
      <c r="BW640" s="38"/>
      <c r="BX640" s="38"/>
      <c r="BY640" s="38"/>
      <c r="BZ640" s="38"/>
      <c r="CA640" s="38"/>
      <c r="CB640" s="38"/>
      <c r="CC640" s="38"/>
      <c r="CD640" s="38"/>
      <c r="CE640" s="38"/>
      <c r="CF640" s="38"/>
      <c r="CG640" s="38"/>
      <c r="CH640" s="38"/>
      <c r="CI640" s="38"/>
      <c r="CJ640" s="38"/>
      <c r="CK640" s="38"/>
      <c r="CL640" s="38"/>
      <c r="CM640" s="38"/>
      <c r="CN640" s="38"/>
      <c r="CO640" s="38"/>
      <c r="CP640" s="38"/>
      <c r="CQ640" s="38"/>
      <c r="CR640" s="38"/>
      <c r="CS640" s="38"/>
      <c r="CT640" s="38"/>
      <c r="CU640" s="38"/>
      <c r="CV640" s="38"/>
      <c r="CW640" s="38"/>
      <c r="CX640" s="38"/>
      <c r="CY640" s="38"/>
      <c r="CZ640" s="38"/>
    </row>
    <row r="641" spans="1:104" s="40" customFormat="1" ht="20.149999999999999" customHeight="1">
      <c r="A641" s="358">
        <f t="shared" si="143"/>
        <v>640</v>
      </c>
      <c r="B641" s="359" t="str">
        <f>'Front Sheet and Checklist'!$C$5</f>
        <v>Swansea Bay UHB</v>
      </c>
      <c r="C641" s="17"/>
      <c r="D641" s="17"/>
      <c r="E641" s="17"/>
      <c r="F641" s="17"/>
      <c r="G641" s="17"/>
      <c r="H641" s="17"/>
      <c r="I641" s="361">
        <f t="shared" si="147"/>
        <v>0</v>
      </c>
      <c r="J641" s="17"/>
      <c r="K641" s="18"/>
      <c r="L641" s="18"/>
      <c r="M641" s="17"/>
      <c r="N641" s="17"/>
      <c r="O641" s="17"/>
      <c r="P641" s="17"/>
      <c r="Q641" s="169"/>
      <c r="R641" s="24"/>
      <c r="S641" s="24"/>
      <c r="T641" s="24"/>
      <c r="U641" s="25"/>
      <c r="V641" s="25"/>
      <c r="W641" s="25"/>
      <c r="X641" s="24"/>
      <c r="Y641" s="24"/>
      <c r="Z641" s="24"/>
      <c r="AA641" s="24"/>
      <c r="AB641" s="24"/>
      <c r="AC641" s="24"/>
      <c r="AD641" s="361">
        <f t="shared" si="146"/>
        <v>0</v>
      </c>
      <c r="AE641" s="359" t="str">
        <f t="shared" si="135"/>
        <v/>
      </c>
      <c r="AF641" s="359" t="str">
        <f t="shared" si="144"/>
        <v/>
      </c>
      <c r="AG641" s="359" t="str">
        <f t="shared" si="136"/>
        <v/>
      </c>
      <c r="AH641" s="359" t="str">
        <f t="shared" si="137"/>
        <v/>
      </c>
      <c r="AI641" s="359" t="str">
        <f t="shared" si="138"/>
        <v/>
      </c>
      <c r="AJ641" s="359" t="str">
        <f t="shared" si="139"/>
        <v/>
      </c>
      <c r="AK641" s="359" t="str">
        <f t="shared" si="141"/>
        <v/>
      </c>
      <c r="AL641" s="359" t="str">
        <f t="shared" si="140"/>
        <v/>
      </c>
      <c r="AM641" s="359" t="str">
        <f t="shared" si="142"/>
        <v/>
      </c>
      <c r="AN641" s="262">
        <f t="shared" si="145"/>
        <v>0</v>
      </c>
      <c r="AO641" s="262" t="str">
        <f>IFERROR(HLOOKUP(AN641,'Ref Lists'!Q$1:AL$2,2,FALSE),'Ref Lists'!$AK$2)</f>
        <v>Savings21</v>
      </c>
      <c r="AP641" s="38"/>
      <c r="AQ641" s="38">
        <f t="shared" si="148"/>
        <v>0</v>
      </c>
      <c r="AR641" s="38"/>
      <c r="AS641" s="38"/>
      <c r="AT641" s="38"/>
      <c r="AU641" s="38"/>
      <c r="AV641" s="38"/>
      <c r="AW641" s="38"/>
      <c r="AX641" s="38"/>
      <c r="AY641" s="38"/>
      <c r="AZ641" s="38"/>
      <c r="BA641" s="38"/>
      <c r="BB641" s="38"/>
      <c r="BC641" s="38"/>
      <c r="BD641" s="38"/>
      <c r="BE641" s="38"/>
      <c r="BF641" s="38"/>
      <c r="BG641" s="38"/>
      <c r="BH641" s="38"/>
      <c r="BI641" s="38"/>
      <c r="BJ641" s="38"/>
      <c r="BK641" s="38"/>
      <c r="BL641" s="38"/>
      <c r="BM641" s="38"/>
      <c r="BN641" s="38"/>
      <c r="BO641" s="38"/>
      <c r="BP641" s="38"/>
      <c r="BQ641" s="38"/>
      <c r="BR641" s="38"/>
      <c r="BS641" s="38"/>
      <c r="BT641" s="38"/>
      <c r="BU641" s="38"/>
      <c r="BV641" s="38"/>
      <c r="BW641" s="38"/>
      <c r="BX641" s="38"/>
      <c r="BY641" s="38"/>
      <c r="BZ641" s="38"/>
      <c r="CA641" s="38"/>
      <c r="CB641" s="38"/>
      <c r="CC641" s="38"/>
      <c r="CD641" s="38"/>
      <c r="CE641" s="38"/>
      <c r="CF641" s="38"/>
      <c r="CG641" s="38"/>
      <c r="CH641" s="38"/>
      <c r="CI641" s="38"/>
      <c r="CJ641" s="38"/>
      <c r="CK641" s="38"/>
      <c r="CL641" s="38"/>
      <c r="CM641" s="38"/>
      <c r="CN641" s="38"/>
      <c r="CO641" s="38"/>
      <c r="CP641" s="38"/>
      <c r="CQ641" s="38"/>
      <c r="CR641" s="38"/>
      <c r="CS641" s="38"/>
      <c r="CT641" s="38"/>
      <c r="CU641" s="38"/>
      <c r="CV641" s="38"/>
      <c r="CW641" s="38"/>
      <c r="CX641" s="38"/>
      <c r="CY641" s="38"/>
      <c r="CZ641" s="38"/>
    </row>
    <row r="642" spans="1:104" s="40" customFormat="1" ht="20.149999999999999" customHeight="1">
      <c r="A642" s="358">
        <f t="shared" si="143"/>
        <v>641</v>
      </c>
      <c r="B642" s="359" t="str">
        <f>'Front Sheet and Checklist'!$C$5</f>
        <v>Swansea Bay UHB</v>
      </c>
      <c r="C642" s="17"/>
      <c r="D642" s="17"/>
      <c r="E642" s="17"/>
      <c r="F642" s="17"/>
      <c r="G642" s="17"/>
      <c r="H642" s="17"/>
      <c r="I642" s="361">
        <f t="shared" si="147"/>
        <v>0</v>
      </c>
      <c r="J642" s="17"/>
      <c r="K642" s="18"/>
      <c r="L642" s="18"/>
      <c r="M642" s="17"/>
      <c r="N642" s="17"/>
      <c r="O642" s="17"/>
      <c r="P642" s="17"/>
      <c r="Q642" s="169"/>
      <c r="R642" s="24"/>
      <c r="S642" s="24"/>
      <c r="T642" s="24"/>
      <c r="U642" s="25"/>
      <c r="V642" s="25"/>
      <c r="W642" s="25"/>
      <c r="X642" s="24"/>
      <c r="Y642" s="24"/>
      <c r="Z642" s="24"/>
      <c r="AA642" s="24"/>
      <c r="AB642" s="24"/>
      <c r="AC642" s="24"/>
      <c r="AD642" s="361">
        <f t="shared" si="146"/>
        <v>0</v>
      </c>
      <c r="AE642" s="359" t="str">
        <f t="shared" ref="AE642:AE705" si="149">IF(AND(I642&gt;0,H642&lt;&gt;"Income Generation"),IF(AND(H642&lt;&gt;"",D642&lt;&gt;"",E642&lt;&gt;"",F642&lt;&gt;"",C642&lt;&gt;"",G642&lt;&gt;"",K642&lt;&gt;"",L642&lt;&gt;"",M642&lt;&gt;"",N642&lt;&gt;"",P642&lt;&gt;"",Q642&lt;&gt;"",O642&lt;&gt;""),"","ERROR"),"")</f>
        <v/>
      </c>
      <c r="AF642" s="359" t="str">
        <f t="shared" si="144"/>
        <v/>
      </c>
      <c r="AG642" s="359" t="str">
        <f t="shared" ref="AG642:AG705" si="150">IF(AND(I642&gt;0,O642=""),"ERROR","")</f>
        <v/>
      </c>
      <c r="AH642" s="359" t="str">
        <f t="shared" ref="AH642:AH705" si="151">IF(AND(OR(H642="Income Generation"),O642&lt;&gt;""),"ERROR","")</f>
        <v/>
      </c>
      <c r="AI642" s="359" t="str">
        <f t="shared" ref="AI642:AI705" si="152">IF(AND(G642="R",I642&gt;J642),"ERROR","")</f>
        <v/>
      </c>
      <c r="AJ642" s="359" t="str">
        <f t="shared" ref="AJ642:AJ705" si="153">IF(AND(G642="NR",J642&gt;0),"ERROR","")</f>
        <v/>
      </c>
      <c r="AK642" s="359" t="str">
        <f t="shared" si="141"/>
        <v/>
      </c>
      <c r="AL642" s="359" t="str">
        <f t="shared" ref="AL642:AL705" si="154">IF(OR(L642="",L642="N/A"),"",IF(OR(L642&lt;DATEVALUE("01/04/24"),L642&gt;DATEVALUE("31/03/25")),"ERROR",""))</f>
        <v/>
      </c>
      <c r="AM642" s="359" t="str">
        <f t="shared" si="142"/>
        <v/>
      </c>
      <c r="AN642" s="262">
        <f t="shared" si="145"/>
        <v>0</v>
      </c>
      <c r="AO642" s="262" t="str">
        <f>IFERROR(HLOOKUP(AN642,'Ref Lists'!Q$1:AL$2,2,FALSE),'Ref Lists'!$AK$2)</f>
        <v>Savings21</v>
      </c>
      <c r="AP642" s="38"/>
      <c r="AQ642" s="38">
        <f t="shared" si="148"/>
        <v>0</v>
      </c>
      <c r="AR642" s="38"/>
      <c r="AS642" s="38"/>
      <c r="AT642" s="38"/>
      <c r="AU642" s="38"/>
      <c r="AV642" s="38"/>
      <c r="AW642" s="38"/>
      <c r="AX642" s="38"/>
      <c r="AY642" s="38"/>
      <c r="AZ642" s="38"/>
      <c r="BA642" s="38"/>
      <c r="BB642" s="38"/>
      <c r="BC642" s="38"/>
      <c r="BD642" s="38"/>
      <c r="BE642" s="38"/>
      <c r="BF642" s="38"/>
      <c r="BG642" s="38"/>
      <c r="BH642" s="38"/>
      <c r="BI642" s="38"/>
      <c r="BJ642" s="38"/>
      <c r="BK642" s="38"/>
      <c r="BL642" s="38"/>
      <c r="BM642" s="38"/>
      <c r="BN642" s="38"/>
      <c r="BO642" s="38"/>
      <c r="BP642" s="38"/>
      <c r="BQ642" s="38"/>
      <c r="BR642" s="38"/>
      <c r="BS642" s="38"/>
      <c r="BT642" s="38"/>
      <c r="BU642" s="38"/>
      <c r="BV642" s="38"/>
      <c r="BW642" s="38"/>
      <c r="BX642" s="38"/>
      <c r="BY642" s="38"/>
      <c r="BZ642" s="38"/>
      <c r="CA642" s="38"/>
      <c r="CB642" s="38"/>
      <c r="CC642" s="38"/>
      <c r="CD642" s="38"/>
      <c r="CE642" s="38"/>
      <c r="CF642" s="38"/>
      <c r="CG642" s="38"/>
      <c r="CH642" s="38"/>
      <c r="CI642" s="38"/>
      <c r="CJ642" s="38"/>
      <c r="CK642" s="38"/>
      <c r="CL642" s="38"/>
      <c r="CM642" s="38"/>
      <c r="CN642" s="38"/>
      <c r="CO642" s="38"/>
      <c r="CP642" s="38"/>
      <c r="CQ642" s="38"/>
      <c r="CR642" s="38"/>
      <c r="CS642" s="38"/>
      <c r="CT642" s="38"/>
      <c r="CU642" s="38"/>
      <c r="CV642" s="38"/>
      <c r="CW642" s="38"/>
      <c r="CX642" s="38"/>
      <c r="CY642" s="38"/>
      <c r="CZ642" s="38"/>
    </row>
    <row r="643" spans="1:104" s="40" customFormat="1" ht="20.149999999999999" customHeight="1">
      <c r="A643" s="358">
        <f t="shared" si="143"/>
        <v>642</v>
      </c>
      <c r="B643" s="359" t="str">
        <f>'Front Sheet and Checklist'!$C$5</f>
        <v>Swansea Bay UHB</v>
      </c>
      <c r="C643" s="17"/>
      <c r="D643" s="17"/>
      <c r="E643" s="17"/>
      <c r="F643" s="17"/>
      <c r="G643" s="17"/>
      <c r="H643" s="17"/>
      <c r="I643" s="361">
        <f t="shared" si="147"/>
        <v>0</v>
      </c>
      <c r="J643" s="17"/>
      <c r="K643" s="18"/>
      <c r="L643" s="18"/>
      <c r="M643" s="17"/>
      <c r="N643" s="17"/>
      <c r="O643" s="17"/>
      <c r="P643" s="17"/>
      <c r="Q643" s="169"/>
      <c r="R643" s="24"/>
      <c r="S643" s="24"/>
      <c r="T643" s="24"/>
      <c r="U643" s="25"/>
      <c r="V643" s="25"/>
      <c r="W643" s="25"/>
      <c r="X643" s="24"/>
      <c r="Y643" s="24"/>
      <c r="Z643" s="24"/>
      <c r="AA643" s="24"/>
      <c r="AB643" s="24"/>
      <c r="AC643" s="24"/>
      <c r="AD643" s="361">
        <f t="shared" si="146"/>
        <v>0</v>
      </c>
      <c r="AE643" s="359" t="str">
        <f t="shared" si="149"/>
        <v/>
      </c>
      <c r="AF643" s="359" t="str">
        <f t="shared" si="144"/>
        <v/>
      </c>
      <c r="AG643" s="359" t="str">
        <f t="shared" si="150"/>
        <v/>
      </c>
      <c r="AH643" s="359" t="str">
        <f t="shared" si="151"/>
        <v/>
      </c>
      <c r="AI643" s="359" t="str">
        <f t="shared" si="152"/>
        <v/>
      </c>
      <c r="AJ643" s="359" t="str">
        <f t="shared" si="153"/>
        <v/>
      </c>
      <c r="AK643" s="359" t="str">
        <f t="shared" ref="AK643:AK706" si="155">IF(OR(K643="",K643="N/a"),"",IF(OR(K643&lt;DATEVALUE("01/04/24"),K643&gt;DATEVALUE("31/03/25")),"ERROR",""))</f>
        <v/>
      </c>
      <c r="AL643" s="359" t="str">
        <f t="shared" si="154"/>
        <v/>
      </c>
      <c r="AM643" s="359" t="str">
        <f t="shared" ref="AM643:AM706" si="156">IF(COUNTA(T643:AC643)&lt;&gt;COUNT(T643:AC643),"ERROR","")</f>
        <v/>
      </c>
      <c r="AN643" s="262">
        <f t="shared" si="145"/>
        <v>0</v>
      </c>
      <c r="AO643" s="262" t="str">
        <f>IFERROR(HLOOKUP(AN643,'Ref Lists'!Q$1:AL$2,2,FALSE),'Ref Lists'!$AK$2)</f>
        <v>Savings21</v>
      </c>
      <c r="AP643" s="38"/>
      <c r="AQ643" s="38">
        <f t="shared" si="148"/>
        <v>0</v>
      </c>
      <c r="AR643" s="38"/>
      <c r="AS643" s="38"/>
      <c r="AT643" s="38"/>
      <c r="AU643" s="38"/>
      <c r="AV643" s="38"/>
      <c r="AW643" s="38"/>
      <c r="AX643" s="38"/>
      <c r="AY643" s="38"/>
      <c r="AZ643" s="38"/>
      <c r="BA643" s="38"/>
      <c r="BB643" s="38"/>
      <c r="BC643" s="38"/>
      <c r="BD643" s="38"/>
      <c r="BE643" s="38"/>
      <c r="BF643" s="38"/>
      <c r="BG643" s="38"/>
      <c r="BH643" s="38"/>
      <c r="BI643" s="38"/>
      <c r="BJ643" s="38"/>
      <c r="BK643" s="38"/>
      <c r="BL643" s="38"/>
      <c r="BM643" s="38"/>
      <c r="BN643" s="38"/>
      <c r="BO643" s="38"/>
      <c r="BP643" s="38"/>
      <c r="BQ643" s="38"/>
      <c r="BR643" s="38"/>
      <c r="BS643" s="38"/>
      <c r="BT643" s="38"/>
      <c r="BU643" s="38"/>
      <c r="BV643" s="38"/>
      <c r="BW643" s="38"/>
      <c r="BX643" s="38"/>
      <c r="BY643" s="38"/>
      <c r="BZ643" s="38"/>
      <c r="CA643" s="38"/>
      <c r="CB643" s="38"/>
      <c r="CC643" s="38"/>
      <c r="CD643" s="38"/>
      <c r="CE643" s="38"/>
      <c r="CF643" s="38"/>
      <c r="CG643" s="38"/>
      <c r="CH643" s="38"/>
      <c r="CI643" s="38"/>
      <c r="CJ643" s="38"/>
      <c r="CK643" s="38"/>
      <c r="CL643" s="38"/>
      <c r="CM643" s="38"/>
      <c r="CN643" s="38"/>
      <c r="CO643" s="38"/>
      <c r="CP643" s="38"/>
      <c r="CQ643" s="38"/>
      <c r="CR643" s="38"/>
      <c r="CS643" s="38"/>
      <c r="CT643" s="38"/>
      <c r="CU643" s="38"/>
      <c r="CV643" s="38"/>
      <c r="CW643" s="38"/>
      <c r="CX643" s="38"/>
      <c r="CY643" s="38"/>
      <c r="CZ643" s="38"/>
    </row>
    <row r="644" spans="1:104" s="40" customFormat="1" ht="20.149999999999999" customHeight="1">
      <c r="A644" s="358">
        <f t="shared" ref="A644:A707" si="157">+A643+1</f>
        <v>643</v>
      </c>
      <c r="B644" s="359" t="str">
        <f>'Front Sheet and Checklist'!$C$5</f>
        <v>Swansea Bay UHB</v>
      </c>
      <c r="C644" s="17"/>
      <c r="D644" s="17"/>
      <c r="E644" s="17"/>
      <c r="F644" s="17"/>
      <c r="G644" s="17"/>
      <c r="H644" s="17"/>
      <c r="I644" s="361">
        <f t="shared" si="147"/>
        <v>0</v>
      </c>
      <c r="J644" s="17"/>
      <c r="K644" s="18"/>
      <c r="L644" s="18"/>
      <c r="M644" s="17"/>
      <c r="N644" s="17"/>
      <c r="O644" s="17"/>
      <c r="P644" s="17"/>
      <c r="Q644" s="169"/>
      <c r="R644" s="24"/>
      <c r="S644" s="24"/>
      <c r="T644" s="24"/>
      <c r="U644" s="25"/>
      <c r="V644" s="25"/>
      <c r="W644" s="25"/>
      <c r="X644" s="24"/>
      <c r="Y644" s="24"/>
      <c r="Z644" s="24"/>
      <c r="AA644" s="24"/>
      <c r="AB644" s="24"/>
      <c r="AC644" s="24"/>
      <c r="AD644" s="361">
        <f t="shared" si="146"/>
        <v>0</v>
      </c>
      <c r="AE644" s="359" t="str">
        <f t="shared" si="149"/>
        <v/>
      </c>
      <c r="AF644" s="359" t="str">
        <f t="shared" ref="AF644:AF707" si="158">IF(COUNTIF($F$2:$F$1001,F644)&gt;1,"ERROR","")</f>
        <v/>
      </c>
      <c r="AG644" s="359" t="str">
        <f t="shared" si="150"/>
        <v/>
      </c>
      <c r="AH644" s="359" t="str">
        <f t="shared" si="151"/>
        <v/>
      </c>
      <c r="AI644" s="359" t="str">
        <f t="shared" si="152"/>
        <v/>
      </c>
      <c r="AJ644" s="359" t="str">
        <f t="shared" si="153"/>
        <v/>
      </c>
      <c r="AK644" s="359" t="str">
        <f t="shared" si="155"/>
        <v/>
      </c>
      <c r="AL644" s="359" t="str">
        <f t="shared" si="154"/>
        <v/>
      </c>
      <c r="AM644" s="359" t="str">
        <f t="shared" si="156"/>
        <v/>
      </c>
      <c r="AN644" s="262">
        <f t="shared" si="145"/>
        <v>0</v>
      </c>
      <c r="AO644" s="262" t="str">
        <f>IFERROR(HLOOKUP(AN644,'Ref Lists'!Q$1:AL$2,2,FALSE),'Ref Lists'!$AK$2)</f>
        <v>Savings21</v>
      </c>
      <c r="AP644" s="38"/>
      <c r="AQ644" s="38">
        <f t="shared" si="148"/>
        <v>0</v>
      </c>
      <c r="AR644" s="38"/>
      <c r="AS644" s="38"/>
      <c r="AT644" s="38"/>
      <c r="AU644" s="38"/>
      <c r="AV644" s="38"/>
      <c r="AW644" s="38"/>
      <c r="AX644" s="38"/>
      <c r="AY644" s="38"/>
      <c r="AZ644" s="38"/>
      <c r="BA644" s="38"/>
      <c r="BB644" s="38"/>
      <c r="BC644" s="38"/>
      <c r="BD644" s="38"/>
      <c r="BE644" s="38"/>
      <c r="BF644" s="38"/>
      <c r="BG644" s="38"/>
      <c r="BH644" s="38"/>
      <c r="BI644" s="38"/>
      <c r="BJ644" s="38"/>
      <c r="BK644" s="38"/>
      <c r="BL644" s="38"/>
      <c r="BM644" s="38"/>
      <c r="BN644" s="38"/>
      <c r="BO644" s="38"/>
      <c r="BP644" s="38"/>
      <c r="BQ644" s="38"/>
      <c r="BR644" s="38"/>
      <c r="BS644" s="38"/>
      <c r="BT644" s="38"/>
      <c r="BU644" s="38"/>
      <c r="BV644" s="38"/>
      <c r="BW644" s="38"/>
      <c r="BX644" s="38"/>
      <c r="BY644" s="38"/>
      <c r="BZ644" s="38"/>
      <c r="CA644" s="38"/>
      <c r="CB644" s="38"/>
      <c r="CC644" s="38"/>
      <c r="CD644" s="38"/>
      <c r="CE644" s="38"/>
      <c r="CF644" s="38"/>
      <c r="CG644" s="38"/>
      <c r="CH644" s="38"/>
      <c r="CI644" s="38"/>
      <c r="CJ644" s="38"/>
      <c r="CK644" s="38"/>
      <c r="CL644" s="38"/>
      <c r="CM644" s="38"/>
      <c r="CN644" s="38"/>
      <c r="CO644" s="38"/>
      <c r="CP644" s="38"/>
      <c r="CQ644" s="38"/>
      <c r="CR644" s="38"/>
      <c r="CS644" s="38"/>
      <c r="CT644" s="38"/>
      <c r="CU644" s="38"/>
      <c r="CV644" s="38"/>
      <c r="CW644" s="38"/>
      <c r="CX644" s="38"/>
      <c r="CY644" s="38"/>
      <c r="CZ644" s="38"/>
    </row>
    <row r="645" spans="1:104" s="40" customFormat="1" ht="20.149999999999999" customHeight="1">
      <c r="A645" s="358">
        <f t="shared" si="157"/>
        <v>644</v>
      </c>
      <c r="B645" s="359" t="str">
        <f>'Front Sheet and Checklist'!$C$5</f>
        <v>Swansea Bay UHB</v>
      </c>
      <c r="C645" s="17"/>
      <c r="D645" s="17"/>
      <c r="E645" s="17"/>
      <c r="F645" s="17"/>
      <c r="G645" s="17"/>
      <c r="H645" s="17"/>
      <c r="I645" s="361">
        <f t="shared" si="147"/>
        <v>0</v>
      </c>
      <c r="J645" s="17"/>
      <c r="K645" s="18"/>
      <c r="L645" s="18"/>
      <c r="M645" s="17"/>
      <c r="N645" s="17"/>
      <c r="O645" s="17"/>
      <c r="P645" s="17"/>
      <c r="Q645" s="169"/>
      <c r="R645" s="24"/>
      <c r="S645" s="24"/>
      <c r="T645" s="24"/>
      <c r="U645" s="25"/>
      <c r="V645" s="25"/>
      <c r="W645" s="25"/>
      <c r="X645" s="24"/>
      <c r="Y645" s="24"/>
      <c r="Z645" s="24"/>
      <c r="AA645" s="24"/>
      <c r="AB645" s="24"/>
      <c r="AC645" s="24"/>
      <c r="AD645" s="361">
        <f t="shared" si="146"/>
        <v>0</v>
      </c>
      <c r="AE645" s="359" t="str">
        <f t="shared" si="149"/>
        <v/>
      </c>
      <c r="AF645" s="359" t="str">
        <f t="shared" si="158"/>
        <v/>
      </c>
      <c r="AG645" s="359" t="str">
        <f t="shared" si="150"/>
        <v/>
      </c>
      <c r="AH645" s="359" t="str">
        <f t="shared" si="151"/>
        <v/>
      </c>
      <c r="AI645" s="359" t="str">
        <f t="shared" si="152"/>
        <v/>
      </c>
      <c r="AJ645" s="359" t="str">
        <f t="shared" si="153"/>
        <v/>
      </c>
      <c r="AK645" s="359" t="str">
        <f t="shared" si="155"/>
        <v/>
      </c>
      <c r="AL645" s="359" t="str">
        <f t="shared" si="154"/>
        <v/>
      </c>
      <c r="AM645" s="359" t="str">
        <f t="shared" si="156"/>
        <v/>
      </c>
      <c r="AN645" s="262">
        <f t="shared" ref="AN645:AN708" si="159">IF(P645="1) Workforce",_xlfn.CONCAT(P645,O645),IF(P645="5) Pathway",_xlfn.CONCAT(P645,N645),P645))</f>
        <v>0</v>
      </c>
      <c r="AO645" s="262" t="str">
        <f>IFERROR(HLOOKUP(AN645,'Ref Lists'!Q$1:AL$2,2,FALSE),'Ref Lists'!$AK$2)</f>
        <v>Savings21</v>
      </c>
      <c r="AP645" s="38"/>
      <c r="AQ645" s="38">
        <f t="shared" si="148"/>
        <v>0</v>
      </c>
      <c r="AR645" s="38"/>
      <c r="AS645" s="38"/>
      <c r="AT645" s="38"/>
      <c r="AU645" s="38"/>
      <c r="AV645" s="38"/>
      <c r="AW645" s="38"/>
      <c r="AX645" s="38"/>
      <c r="AY645" s="38"/>
      <c r="AZ645" s="38"/>
      <c r="BA645" s="38"/>
      <c r="BB645" s="38"/>
      <c r="BC645" s="38"/>
      <c r="BD645" s="38"/>
      <c r="BE645" s="38"/>
      <c r="BF645" s="38"/>
      <c r="BG645" s="38"/>
      <c r="BH645" s="38"/>
      <c r="BI645" s="38"/>
      <c r="BJ645" s="38"/>
      <c r="BK645" s="38"/>
      <c r="BL645" s="38"/>
      <c r="BM645" s="38"/>
      <c r="BN645" s="38"/>
      <c r="BO645" s="38"/>
      <c r="BP645" s="38"/>
      <c r="BQ645" s="38"/>
      <c r="BR645" s="38"/>
      <c r="BS645" s="38"/>
      <c r="BT645" s="38"/>
      <c r="BU645" s="38"/>
      <c r="BV645" s="38"/>
      <c r="BW645" s="38"/>
      <c r="BX645" s="38"/>
      <c r="BY645" s="38"/>
      <c r="BZ645" s="38"/>
      <c r="CA645" s="38"/>
      <c r="CB645" s="38"/>
      <c r="CC645" s="38"/>
      <c r="CD645" s="38"/>
      <c r="CE645" s="38"/>
      <c r="CF645" s="38"/>
      <c r="CG645" s="38"/>
      <c r="CH645" s="38"/>
      <c r="CI645" s="38"/>
      <c r="CJ645" s="38"/>
      <c r="CK645" s="38"/>
      <c r="CL645" s="38"/>
      <c r="CM645" s="38"/>
      <c r="CN645" s="38"/>
      <c r="CO645" s="38"/>
      <c r="CP645" s="38"/>
      <c r="CQ645" s="38"/>
      <c r="CR645" s="38"/>
      <c r="CS645" s="38"/>
      <c r="CT645" s="38"/>
      <c r="CU645" s="38"/>
      <c r="CV645" s="38"/>
      <c r="CW645" s="38"/>
      <c r="CX645" s="38"/>
      <c r="CY645" s="38"/>
      <c r="CZ645" s="38"/>
    </row>
    <row r="646" spans="1:104" s="40" customFormat="1" ht="20.149999999999999" customHeight="1">
      <c r="A646" s="358">
        <f t="shared" si="157"/>
        <v>645</v>
      </c>
      <c r="B646" s="359" t="str">
        <f>'Front Sheet and Checklist'!$C$5</f>
        <v>Swansea Bay UHB</v>
      </c>
      <c r="C646" s="17"/>
      <c r="D646" s="17"/>
      <c r="E646" s="17"/>
      <c r="F646" s="17"/>
      <c r="G646" s="17"/>
      <c r="H646" s="17"/>
      <c r="I646" s="361">
        <f t="shared" si="147"/>
        <v>0</v>
      </c>
      <c r="J646" s="17"/>
      <c r="K646" s="18"/>
      <c r="L646" s="18"/>
      <c r="M646" s="17"/>
      <c r="N646" s="17"/>
      <c r="O646" s="17"/>
      <c r="P646" s="17"/>
      <c r="Q646" s="169"/>
      <c r="R646" s="24"/>
      <c r="S646" s="24"/>
      <c r="T646" s="24"/>
      <c r="U646" s="25"/>
      <c r="V646" s="25"/>
      <c r="W646" s="25"/>
      <c r="X646" s="24"/>
      <c r="Y646" s="24"/>
      <c r="Z646" s="24"/>
      <c r="AA646" s="24"/>
      <c r="AB646" s="24"/>
      <c r="AC646" s="24"/>
      <c r="AD646" s="361">
        <f t="shared" si="146"/>
        <v>0</v>
      </c>
      <c r="AE646" s="359" t="str">
        <f t="shared" si="149"/>
        <v/>
      </c>
      <c r="AF646" s="359" t="str">
        <f t="shared" si="158"/>
        <v/>
      </c>
      <c r="AG646" s="359" t="str">
        <f t="shared" si="150"/>
        <v/>
      </c>
      <c r="AH646" s="359" t="str">
        <f t="shared" si="151"/>
        <v/>
      </c>
      <c r="AI646" s="359" t="str">
        <f t="shared" si="152"/>
        <v/>
      </c>
      <c r="AJ646" s="359" t="str">
        <f t="shared" si="153"/>
        <v/>
      </c>
      <c r="AK646" s="359" t="str">
        <f t="shared" si="155"/>
        <v/>
      </c>
      <c r="AL646" s="359" t="str">
        <f t="shared" si="154"/>
        <v/>
      </c>
      <c r="AM646" s="359" t="str">
        <f t="shared" si="156"/>
        <v/>
      </c>
      <c r="AN646" s="262">
        <f t="shared" si="159"/>
        <v>0</v>
      </c>
      <c r="AO646" s="262" t="str">
        <f>IFERROR(HLOOKUP(AN646,'Ref Lists'!Q$1:AL$2,2,FALSE),'Ref Lists'!$AK$2)</f>
        <v>Savings21</v>
      </c>
      <c r="AP646" s="38"/>
      <c r="AQ646" s="38">
        <f t="shared" si="148"/>
        <v>0</v>
      </c>
      <c r="AR646" s="38"/>
      <c r="AS646" s="38"/>
      <c r="AT646" s="38"/>
      <c r="AU646" s="38"/>
      <c r="AV646" s="38"/>
      <c r="AW646" s="38"/>
      <c r="AX646" s="38"/>
      <c r="AY646" s="38"/>
      <c r="AZ646" s="38"/>
      <c r="BA646" s="38"/>
      <c r="BB646" s="38"/>
      <c r="BC646" s="38"/>
      <c r="BD646" s="38"/>
      <c r="BE646" s="38"/>
      <c r="BF646" s="38"/>
      <c r="BG646" s="38"/>
      <c r="BH646" s="38"/>
      <c r="BI646" s="38"/>
      <c r="BJ646" s="38"/>
      <c r="BK646" s="38"/>
      <c r="BL646" s="38"/>
      <c r="BM646" s="38"/>
      <c r="BN646" s="38"/>
      <c r="BO646" s="38"/>
      <c r="BP646" s="38"/>
      <c r="BQ646" s="38"/>
      <c r="BR646" s="38"/>
      <c r="BS646" s="38"/>
      <c r="BT646" s="38"/>
      <c r="BU646" s="38"/>
      <c r="BV646" s="38"/>
      <c r="BW646" s="38"/>
      <c r="BX646" s="38"/>
      <c r="BY646" s="38"/>
      <c r="BZ646" s="38"/>
      <c r="CA646" s="38"/>
      <c r="CB646" s="38"/>
      <c r="CC646" s="38"/>
      <c r="CD646" s="38"/>
      <c r="CE646" s="38"/>
      <c r="CF646" s="38"/>
      <c r="CG646" s="38"/>
      <c r="CH646" s="38"/>
      <c r="CI646" s="38"/>
      <c r="CJ646" s="38"/>
      <c r="CK646" s="38"/>
      <c r="CL646" s="38"/>
      <c r="CM646" s="38"/>
      <c r="CN646" s="38"/>
      <c r="CO646" s="38"/>
      <c r="CP646" s="38"/>
      <c r="CQ646" s="38"/>
      <c r="CR646" s="38"/>
      <c r="CS646" s="38"/>
      <c r="CT646" s="38"/>
      <c r="CU646" s="38"/>
      <c r="CV646" s="38"/>
      <c r="CW646" s="38"/>
      <c r="CX646" s="38"/>
      <c r="CY646" s="38"/>
      <c r="CZ646" s="38"/>
    </row>
    <row r="647" spans="1:104" s="40" customFormat="1" ht="20.149999999999999" customHeight="1">
      <c r="A647" s="358">
        <f t="shared" si="157"/>
        <v>646</v>
      </c>
      <c r="B647" s="359" t="str">
        <f>'Front Sheet and Checklist'!$C$5</f>
        <v>Swansea Bay UHB</v>
      </c>
      <c r="C647" s="17"/>
      <c r="D647" s="17"/>
      <c r="E647" s="17"/>
      <c r="F647" s="17"/>
      <c r="G647" s="17"/>
      <c r="H647" s="17"/>
      <c r="I647" s="361">
        <f t="shared" si="147"/>
        <v>0</v>
      </c>
      <c r="J647" s="17"/>
      <c r="K647" s="18"/>
      <c r="L647" s="18"/>
      <c r="M647" s="17"/>
      <c r="N647" s="17"/>
      <c r="O647" s="17"/>
      <c r="P647" s="17"/>
      <c r="Q647" s="169"/>
      <c r="R647" s="24"/>
      <c r="S647" s="24"/>
      <c r="T647" s="24"/>
      <c r="U647" s="25"/>
      <c r="V647" s="25"/>
      <c r="W647" s="25"/>
      <c r="X647" s="24"/>
      <c r="Y647" s="24"/>
      <c r="Z647" s="24"/>
      <c r="AA647" s="24"/>
      <c r="AB647" s="24"/>
      <c r="AC647" s="24"/>
      <c r="AD647" s="361">
        <f t="shared" si="146"/>
        <v>0</v>
      </c>
      <c r="AE647" s="359" t="str">
        <f t="shared" si="149"/>
        <v/>
      </c>
      <c r="AF647" s="359" t="str">
        <f t="shared" si="158"/>
        <v/>
      </c>
      <c r="AG647" s="359" t="str">
        <f t="shared" si="150"/>
        <v/>
      </c>
      <c r="AH647" s="359" t="str">
        <f t="shared" si="151"/>
        <v/>
      </c>
      <c r="AI647" s="359" t="str">
        <f t="shared" si="152"/>
        <v/>
      </c>
      <c r="AJ647" s="359" t="str">
        <f t="shared" si="153"/>
        <v/>
      </c>
      <c r="AK647" s="359" t="str">
        <f t="shared" si="155"/>
        <v/>
      </c>
      <c r="AL647" s="359" t="str">
        <f t="shared" si="154"/>
        <v/>
      </c>
      <c r="AM647" s="359" t="str">
        <f t="shared" si="156"/>
        <v/>
      </c>
      <c r="AN647" s="262">
        <f t="shared" si="159"/>
        <v>0</v>
      </c>
      <c r="AO647" s="262" t="str">
        <f>IFERROR(HLOOKUP(AN647,'Ref Lists'!Q$1:AL$2,2,FALSE),'Ref Lists'!$AK$2)</f>
        <v>Savings21</v>
      </c>
      <c r="AP647" s="38"/>
      <c r="AQ647" s="38">
        <f t="shared" si="148"/>
        <v>0</v>
      </c>
      <c r="AR647" s="38"/>
      <c r="AS647" s="38"/>
      <c r="AT647" s="38"/>
      <c r="AU647" s="38"/>
      <c r="AV647" s="38"/>
      <c r="AW647" s="38"/>
      <c r="AX647" s="38"/>
      <c r="AY647" s="38"/>
      <c r="AZ647" s="38"/>
      <c r="BA647" s="38"/>
      <c r="BB647" s="38"/>
      <c r="BC647" s="38"/>
      <c r="BD647" s="38"/>
      <c r="BE647" s="38"/>
      <c r="BF647" s="38"/>
      <c r="BG647" s="38"/>
      <c r="BH647" s="38"/>
      <c r="BI647" s="38"/>
      <c r="BJ647" s="38"/>
      <c r="BK647" s="38"/>
      <c r="BL647" s="38"/>
      <c r="BM647" s="38"/>
      <c r="BN647" s="38"/>
      <c r="BO647" s="38"/>
      <c r="BP647" s="38"/>
      <c r="BQ647" s="38"/>
      <c r="BR647" s="38"/>
      <c r="BS647" s="38"/>
      <c r="BT647" s="38"/>
      <c r="BU647" s="38"/>
      <c r="BV647" s="38"/>
      <c r="BW647" s="38"/>
      <c r="BX647" s="38"/>
      <c r="BY647" s="38"/>
      <c r="BZ647" s="38"/>
      <c r="CA647" s="38"/>
      <c r="CB647" s="38"/>
      <c r="CC647" s="38"/>
      <c r="CD647" s="38"/>
      <c r="CE647" s="38"/>
      <c r="CF647" s="38"/>
      <c r="CG647" s="38"/>
      <c r="CH647" s="38"/>
      <c r="CI647" s="38"/>
      <c r="CJ647" s="38"/>
      <c r="CK647" s="38"/>
      <c r="CL647" s="38"/>
      <c r="CM647" s="38"/>
      <c r="CN647" s="38"/>
      <c r="CO647" s="38"/>
      <c r="CP647" s="38"/>
      <c r="CQ647" s="38"/>
      <c r="CR647" s="38"/>
      <c r="CS647" s="38"/>
      <c r="CT647" s="38"/>
      <c r="CU647" s="38"/>
      <c r="CV647" s="38"/>
      <c r="CW647" s="38"/>
      <c r="CX647" s="38"/>
      <c r="CY647" s="38"/>
      <c r="CZ647" s="38"/>
    </row>
    <row r="648" spans="1:104" s="40" customFormat="1" ht="20.149999999999999" customHeight="1">
      <c r="A648" s="358">
        <f t="shared" si="157"/>
        <v>647</v>
      </c>
      <c r="B648" s="359" t="str">
        <f>'Front Sheet and Checklist'!$C$5</f>
        <v>Swansea Bay UHB</v>
      </c>
      <c r="C648" s="17"/>
      <c r="D648" s="17"/>
      <c r="E648" s="17"/>
      <c r="F648" s="17"/>
      <c r="G648" s="17"/>
      <c r="H648" s="17"/>
      <c r="I648" s="361">
        <f t="shared" si="147"/>
        <v>0</v>
      </c>
      <c r="J648" s="17"/>
      <c r="K648" s="18"/>
      <c r="L648" s="18"/>
      <c r="M648" s="17"/>
      <c r="N648" s="17"/>
      <c r="O648" s="17"/>
      <c r="P648" s="17"/>
      <c r="Q648" s="169"/>
      <c r="R648" s="24"/>
      <c r="S648" s="24"/>
      <c r="T648" s="24"/>
      <c r="U648" s="25"/>
      <c r="V648" s="25"/>
      <c r="W648" s="25"/>
      <c r="X648" s="24"/>
      <c r="Y648" s="24"/>
      <c r="Z648" s="24"/>
      <c r="AA648" s="24"/>
      <c r="AB648" s="24"/>
      <c r="AC648" s="24"/>
      <c r="AD648" s="361">
        <f t="shared" si="146"/>
        <v>0</v>
      </c>
      <c r="AE648" s="359" t="str">
        <f t="shared" si="149"/>
        <v/>
      </c>
      <c r="AF648" s="359" t="str">
        <f t="shared" si="158"/>
        <v/>
      </c>
      <c r="AG648" s="359" t="str">
        <f t="shared" si="150"/>
        <v/>
      </c>
      <c r="AH648" s="359" t="str">
        <f t="shared" si="151"/>
        <v/>
      </c>
      <c r="AI648" s="359" t="str">
        <f t="shared" si="152"/>
        <v/>
      </c>
      <c r="AJ648" s="359" t="str">
        <f t="shared" si="153"/>
        <v/>
      </c>
      <c r="AK648" s="359" t="str">
        <f t="shared" si="155"/>
        <v/>
      </c>
      <c r="AL648" s="359" t="str">
        <f t="shared" si="154"/>
        <v/>
      </c>
      <c r="AM648" s="359" t="str">
        <f t="shared" si="156"/>
        <v/>
      </c>
      <c r="AN648" s="262">
        <f t="shared" si="159"/>
        <v>0</v>
      </c>
      <c r="AO648" s="262" t="str">
        <f>IFERROR(HLOOKUP(AN648,'Ref Lists'!Q$1:AL$2,2,FALSE),'Ref Lists'!$AK$2)</f>
        <v>Savings21</v>
      </c>
      <c r="AP648" s="38"/>
      <c r="AQ648" s="38">
        <f t="shared" si="148"/>
        <v>0</v>
      </c>
      <c r="AR648" s="38"/>
      <c r="AS648" s="38"/>
      <c r="AT648" s="38"/>
      <c r="AU648" s="38"/>
      <c r="AV648" s="38"/>
      <c r="AW648" s="38"/>
      <c r="AX648" s="38"/>
      <c r="AY648" s="38"/>
      <c r="AZ648" s="38"/>
      <c r="BA648" s="38"/>
      <c r="BB648" s="38"/>
      <c r="BC648" s="38"/>
      <c r="BD648" s="38"/>
      <c r="BE648" s="38"/>
      <c r="BF648" s="38"/>
      <c r="BG648" s="38"/>
      <c r="BH648" s="38"/>
      <c r="BI648" s="38"/>
      <c r="BJ648" s="38"/>
      <c r="BK648" s="38"/>
      <c r="BL648" s="38"/>
      <c r="BM648" s="38"/>
      <c r="BN648" s="38"/>
      <c r="BO648" s="38"/>
      <c r="BP648" s="38"/>
      <c r="BQ648" s="38"/>
      <c r="BR648" s="38"/>
      <c r="BS648" s="38"/>
      <c r="BT648" s="38"/>
      <c r="BU648" s="38"/>
      <c r="BV648" s="38"/>
      <c r="BW648" s="38"/>
      <c r="BX648" s="38"/>
      <c r="BY648" s="38"/>
      <c r="BZ648" s="38"/>
      <c r="CA648" s="38"/>
      <c r="CB648" s="38"/>
      <c r="CC648" s="38"/>
      <c r="CD648" s="38"/>
      <c r="CE648" s="38"/>
      <c r="CF648" s="38"/>
      <c r="CG648" s="38"/>
      <c r="CH648" s="38"/>
      <c r="CI648" s="38"/>
      <c r="CJ648" s="38"/>
      <c r="CK648" s="38"/>
      <c r="CL648" s="38"/>
      <c r="CM648" s="38"/>
      <c r="CN648" s="38"/>
      <c r="CO648" s="38"/>
      <c r="CP648" s="38"/>
      <c r="CQ648" s="38"/>
      <c r="CR648" s="38"/>
      <c r="CS648" s="38"/>
      <c r="CT648" s="38"/>
      <c r="CU648" s="38"/>
      <c r="CV648" s="38"/>
      <c r="CW648" s="38"/>
      <c r="CX648" s="38"/>
      <c r="CY648" s="38"/>
      <c r="CZ648" s="38"/>
    </row>
    <row r="649" spans="1:104" s="40" customFormat="1" ht="20.149999999999999" customHeight="1">
      <c r="A649" s="358">
        <f t="shared" si="157"/>
        <v>648</v>
      </c>
      <c r="B649" s="359" t="str">
        <f>'Front Sheet and Checklist'!$C$5</f>
        <v>Swansea Bay UHB</v>
      </c>
      <c r="C649" s="17"/>
      <c r="D649" s="17"/>
      <c r="E649" s="17"/>
      <c r="F649" s="17"/>
      <c r="G649" s="17"/>
      <c r="H649" s="17"/>
      <c r="I649" s="361">
        <f t="shared" si="147"/>
        <v>0</v>
      </c>
      <c r="J649" s="17"/>
      <c r="K649" s="18"/>
      <c r="L649" s="18"/>
      <c r="M649" s="17"/>
      <c r="N649" s="17"/>
      <c r="O649" s="17"/>
      <c r="P649" s="17"/>
      <c r="Q649" s="169"/>
      <c r="R649" s="24"/>
      <c r="S649" s="24"/>
      <c r="T649" s="24"/>
      <c r="U649" s="25"/>
      <c r="V649" s="25"/>
      <c r="W649" s="25"/>
      <c r="X649" s="24"/>
      <c r="Y649" s="24"/>
      <c r="Z649" s="24"/>
      <c r="AA649" s="24"/>
      <c r="AB649" s="24"/>
      <c r="AC649" s="24"/>
      <c r="AD649" s="361">
        <f t="shared" si="146"/>
        <v>0</v>
      </c>
      <c r="AE649" s="359" t="str">
        <f t="shared" si="149"/>
        <v/>
      </c>
      <c r="AF649" s="359" t="str">
        <f t="shared" si="158"/>
        <v/>
      </c>
      <c r="AG649" s="359" t="str">
        <f t="shared" si="150"/>
        <v/>
      </c>
      <c r="AH649" s="359" t="str">
        <f t="shared" si="151"/>
        <v/>
      </c>
      <c r="AI649" s="359" t="str">
        <f t="shared" si="152"/>
        <v/>
      </c>
      <c r="AJ649" s="359" t="str">
        <f t="shared" si="153"/>
        <v/>
      </c>
      <c r="AK649" s="359" t="str">
        <f t="shared" si="155"/>
        <v/>
      </c>
      <c r="AL649" s="359" t="str">
        <f t="shared" si="154"/>
        <v/>
      </c>
      <c r="AM649" s="359" t="str">
        <f t="shared" si="156"/>
        <v/>
      </c>
      <c r="AN649" s="262">
        <f t="shared" si="159"/>
        <v>0</v>
      </c>
      <c r="AO649" s="262" t="str">
        <f>IFERROR(HLOOKUP(AN649,'Ref Lists'!Q$1:AL$2,2,FALSE),'Ref Lists'!$AK$2)</f>
        <v>Savings21</v>
      </c>
      <c r="AP649" s="38"/>
      <c r="AQ649" s="38">
        <f t="shared" si="148"/>
        <v>0</v>
      </c>
      <c r="AR649" s="38"/>
      <c r="AS649" s="38"/>
      <c r="AT649" s="38"/>
      <c r="AU649" s="38"/>
      <c r="AV649" s="38"/>
      <c r="AW649" s="38"/>
      <c r="AX649" s="38"/>
      <c r="AY649" s="38"/>
      <c r="AZ649" s="38"/>
      <c r="BA649" s="38"/>
      <c r="BB649" s="38"/>
      <c r="BC649" s="38"/>
      <c r="BD649" s="38"/>
      <c r="BE649" s="38"/>
      <c r="BF649" s="38"/>
      <c r="BG649" s="38"/>
      <c r="BH649" s="38"/>
      <c r="BI649" s="38"/>
      <c r="BJ649" s="38"/>
      <c r="BK649" s="38"/>
      <c r="BL649" s="38"/>
      <c r="BM649" s="38"/>
      <c r="BN649" s="38"/>
      <c r="BO649" s="38"/>
      <c r="BP649" s="38"/>
      <c r="BQ649" s="38"/>
      <c r="BR649" s="38"/>
      <c r="BS649" s="38"/>
      <c r="BT649" s="38"/>
      <c r="BU649" s="38"/>
      <c r="BV649" s="38"/>
      <c r="BW649" s="38"/>
      <c r="BX649" s="38"/>
      <c r="BY649" s="38"/>
      <c r="BZ649" s="38"/>
      <c r="CA649" s="38"/>
      <c r="CB649" s="38"/>
      <c r="CC649" s="38"/>
      <c r="CD649" s="38"/>
      <c r="CE649" s="38"/>
      <c r="CF649" s="38"/>
      <c r="CG649" s="38"/>
      <c r="CH649" s="38"/>
      <c r="CI649" s="38"/>
      <c r="CJ649" s="38"/>
      <c r="CK649" s="38"/>
      <c r="CL649" s="38"/>
      <c r="CM649" s="38"/>
      <c r="CN649" s="38"/>
      <c r="CO649" s="38"/>
      <c r="CP649" s="38"/>
      <c r="CQ649" s="38"/>
      <c r="CR649" s="38"/>
      <c r="CS649" s="38"/>
      <c r="CT649" s="38"/>
      <c r="CU649" s="38"/>
      <c r="CV649" s="38"/>
      <c r="CW649" s="38"/>
      <c r="CX649" s="38"/>
      <c r="CY649" s="38"/>
      <c r="CZ649" s="38"/>
    </row>
    <row r="650" spans="1:104" s="40" customFormat="1" ht="20.149999999999999" customHeight="1">
      <c r="A650" s="358">
        <f t="shared" si="157"/>
        <v>649</v>
      </c>
      <c r="B650" s="359" t="str">
        <f>'Front Sheet and Checklist'!$C$5</f>
        <v>Swansea Bay UHB</v>
      </c>
      <c r="C650" s="17"/>
      <c r="D650" s="17"/>
      <c r="E650" s="17"/>
      <c r="F650" s="17"/>
      <c r="G650" s="17"/>
      <c r="H650" s="17"/>
      <c r="I650" s="361">
        <f t="shared" si="147"/>
        <v>0</v>
      </c>
      <c r="J650" s="17"/>
      <c r="K650" s="18"/>
      <c r="L650" s="18"/>
      <c r="M650" s="17"/>
      <c r="N650" s="17"/>
      <c r="O650" s="17"/>
      <c r="P650" s="17"/>
      <c r="Q650" s="169"/>
      <c r="R650" s="24"/>
      <c r="S650" s="24"/>
      <c r="T650" s="24"/>
      <c r="U650" s="25"/>
      <c r="V650" s="25"/>
      <c r="W650" s="25"/>
      <c r="X650" s="24"/>
      <c r="Y650" s="24"/>
      <c r="Z650" s="24"/>
      <c r="AA650" s="24"/>
      <c r="AB650" s="24"/>
      <c r="AC650" s="24"/>
      <c r="AD650" s="361">
        <f t="shared" si="146"/>
        <v>0</v>
      </c>
      <c r="AE650" s="359" t="str">
        <f t="shared" si="149"/>
        <v/>
      </c>
      <c r="AF650" s="359" t="str">
        <f t="shared" si="158"/>
        <v/>
      </c>
      <c r="AG650" s="359" t="str">
        <f t="shared" si="150"/>
        <v/>
      </c>
      <c r="AH650" s="359" t="str">
        <f t="shared" si="151"/>
        <v/>
      </c>
      <c r="AI650" s="359" t="str">
        <f t="shared" si="152"/>
        <v/>
      </c>
      <c r="AJ650" s="359" t="str">
        <f t="shared" si="153"/>
        <v/>
      </c>
      <c r="AK650" s="359" t="str">
        <f t="shared" si="155"/>
        <v/>
      </c>
      <c r="AL650" s="359" t="str">
        <f t="shared" si="154"/>
        <v/>
      </c>
      <c r="AM650" s="359" t="str">
        <f t="shared" si="156"/>
        <v/>
      </c>
      <c r="AN650" s="262">
        <f t="shared" si="159"/>
        <v>0</v>
      </c>
      <c r="AO650" s="262" t="str">
        <f>IFERROR(HLOOKUP(AN650,'Ref Lists'!Q$1:AL$2,2,FALSE),'Ref Lists'!$AK$2)</f>
        <v>Savings21</v>
      </c>
      <c r="AP650" s="38"/>
      <c r="AQ650" s="38">
        <f t="shared" si="148"/>
        <v>0</v>
      </c>
      <c r="AR650" s="38"/>
      <c r="AS650" s="38"/>
      <c r="AT650" s="38"/>
      <c r="AU650" s="38"/>
      <c r="AV650" s="38"/>
      <c r="AW650" s="38"/>
      <c r="AX650" s="38"/>
      <c r="AY650" s="38"/>
      <c r="AZ650" s="38"/>
      <c r="BA650" s="38"/>
      <c r="BB650" s="38"/>
      <c r="BC650" s="38"/>
      <c r="BD650" s="38"/>
      <c r="BE650" s="38"/>
      <c r="BF650" s="38"/>
      <c r="BG650" s="38"/>
      <c r="BH650" s="38"/>
      <c r="BI650" s="38"/>
      <c r="BJ650" s="38"/>
      <c r="BK650" s="38"/>
      <c r="BL650" s="38"/>
      <c r="BM650" s="38"/>
      <c r="BN650" s="38"/>
      <c r="BO650" s="38"/>
      <c r="BP650" s="38"/>
      <c r="BQ650" s="38"/>
      <c r="BR650" s="38"/>
      <c r="BS650" s="38"/>
      <c r="BT650" s="38"/>
      <c r="BU650" s="38"/>
      <c r="BV650" s="38"/>
      <c r="BW650" s="38"/>
      <c r="BX650" s="38"/>
      <c r="BY650" s="38"/>
      <c r="BZ650" s="38"/>
      <c r="CA650" s="38"/>
      <c r="CB650" s="38"/>
      <c r="CC650" s="38"/>
      <c r="CD650" s="38"/>
      <c r="CE650" s="38"/>
      <c r="CF650" s="38"/>
      <c r="CG650" s="38"/>
      <c r="CH650" s="38"/>
      <c r="CI650" s="38"/>
      <c r="CJ650" s="38"/>
      <c r="CK650" s="38"/>
      <c r="CL650" s="38"/>
      <c r="CM650" s="38"/>
      <c r="CN650" s="38"/>
      <c r="CO650" s="38"/>
      <c r="CP650" s="38"/>
      <c r="CQ650" s="38"/>
      <c r="CR650" s="38"/>
      <c r="CS650" s="38"/>
      <c r="CT650" s="38"/>
      <c r="CU650" s="38"/>
      <c r="CV650" s="38"/>
      <c r="CW650" s="38"/>
      <c r="CX650" s="38"/>
      <c r="CY650" s="38"/>
      <c r="CZ650" s="38"/>
    </row>
    <row r="651" spans="1:104" s="40" customFormat="1" ht="20.149999999999999" customHeight="1">
      <c r="A651" s="358">
        <f t="shared" si="157"/>
        <v>650</v>
      </c>
      <c r="B651" s="359" t="str">
        <f>'Front Sheet and Checklist'!$C$5</f>
        <v>Swansea Bay UHB</v>
      </c>
      <c r="C651" s="17"/>
      <c r="D651" s="17"/>
      <c r="E651" s="17"/>
      <c r="F651" s="17"/>
      <c r="G651" s="17"/>
      <c r="H651" s="17"/>
      <c r="I651" s="361">
        <f t="shared" si="147"/>
        <v>0</v>
      </c>
      <c r="J651" s="17"/>
      <c r="K651" s="18"/>
      <c r="L651" s="18"/>
      <c r="M651" s="17"/>
      <c r="N651" s="17"/>
      <c r="O651" s="17"/>
      <c r="P651" s="17"/>
      <c r="Q651" s="169"/>
      <c r="R651" s="24"/>
      <c r="S651" s="24"/>
      <c r="T651" s="24"/>
      <c r="U651" s="25"/>
      <c r="V651" s="25"/>
      <c r="W651" s="25"/>
      <c r="X651" s="24"/>
      <c r="Y651" s="24"/>
      <c r="Z651" s="24"/>
      <c r="AA651" s="24"/>
      <c r="AB651" s="24"/>
      <c r="AC651" s="24"/>
      <c r="AD651" s="361">
        <f t="shared" si="146"/>
        <v>0</v>
      </c>
      <c r="AE651" s="359" t="str">
        <f t="shared" si="149"/>
        <v/>
      </c>
      <c r="AF651" s="359" t="str">
        <f t="shared" si="158"/>
        <v/>
      </c>
      <c r="AG651" s="359" t="str">
        <f t="shared" si="150"/>
        <v/>
      </c>
      <c r="AH651" s="359" t="str">
        <f t="shared" si="151"/>
        <v/>
      </c>
      <c r="AI651" s="359" t="str">
        <f t="shared" si="152"/>
        <v/>
      </c>
      <c r="AJ651" s="359" t="str">
        <f t="shared" si="153"/>
        <v/>
      </c>
      <c r="AK651" s="359" t="str">
        <f t="shared" si="155"/>
        <v/>
      </c>
      <c r="AL651" s="359" t="str">
        <f t="shared" si="154"/>
        <v/>
      </c>
      <c r="AM651" s="359" t="str">
        <f t="shared" si="156"/>
        <v/>
      </c>
      <c r="AN651" s="262">
        <f t="shared" si="159"/>
        <v>0</v>
      </c>
      <c r="AO651" s="262" t="str">
        <f>IFERROR(HLOOKUP(AN651,'Ref Lists'!Q$1:AL$2,2,FALSE),'Ref Lists'!$AK$2)</f>
        <v>Savings21</v>
      </c>
      <c r="AP651" s="38"/>
      <c r="AQ651" s="38">
        <f t="shared" si="148"/>
        <v>0</v>
      </c>
      <c r="AR651" s="38"/>
      <c r="AS651" s="38"/>
      <c r="AT651" s="38"/>
      <c r="AU651" s="38"/>
      <c r="AV651" s="38"/>
      <c r="AW651" s="38"/>
      <c r="AX651" s="38"/>
      <c r="AY651" s="38"/>
      <c r="AZ651" s="38"/>
      <c r="BA651" s="38"/>
      <c r="BB651" s="38"/>
      <c r="BC651" s="38"/>
      <c r="BD651" s="38"/>
      <c r="BE651" s="38"/>
      <c r="BF651" s="38"/>
      <c r="BG651" s="38"/>
      <c r="BH651" s="38"/>
      <c r="BI651" s="38"/>
      <c r="BJ651" s="38"/>
      <c r="BK651" s="38"/>
      <c r="BL651" s="38"/>
      <c r="BM651" s="38"/>
      <c r="BN651" s="38"/>
      <c r="BO651" s="38"/>
      <c r="BP651" s="38"/>
      <c r="BQ651" s="38"/>
      <c r="BR651" s="38"/>
      <c r="BS651" s="38"/>
      <c r="BT651" s="38"/>
      <c r="BU651" s="38"/>
      <c r="BV651" s="38"/>
      <c r="BW651" s="38"/>
      <c r="BX651" s="38"/>
      <c r="BY651" s="38"/>
      <c r="BZ651" s="38"/>
      <c r="CA651" s="38"/>
      <c r="CB651" s="38"/>
      <c r="CC651" s="38"/>
      <c r="CD651" s="38"/>
      <c r="CE651" s="38"/>
      <c r="CF651" s="38"/>
      <c r="CG651" s="38"/>
      <c r="CH651" s="38"/>
      <c r="CI651" s="38"/>
      <c r="CJ651" s="38"/>
      <c r="CK651" s="38"/>
      <c r="CL651" s="38"/>
      <c r="CM651" s="38"/>
      <c r="CN651" s="38"/>
      <c r="CO651" s="38"/>
      <c r="CP651" s="38"/>
      <c r="CQ651" s="38"/>
      <c r="CR651" s="38"/>
      <c r="CS651" s="38"/>
      <c r="CT651" s="38"/>
      <c r="CU651" s="38"/>
      <c r="CV651" s="38"/>
      <c r="CW651" s="38"/>
      <c r="CX651" s="38"/>
      <c r="CY651" s="38"/>
      <c r="CZ651" s="38"/>
    </row>
    <row r="652" spans="1:104" s="40" customFormat="1" ht="20.149999999999999" customHeight="1">
      <c r="A652" s="358">
        <f t="shared" si="157"/>
        <v>651</v>
      </c>
      <c r="B652" s="359" t="str">
        <f>'Front Sheet and Checklist'!$C$5</f>
        <v>Swansea Bay UHB</v>
      </c>
      <c r="C652" s="17"/>
      <c r="D652" s="17"/>
      <c r="E652" s="17"/>
      <c r="F652" s="17"/>
      <c r="G652" s="17"/>
      <c r="H652" s="17"/>
      <c r="I652" s="361">
        <f t="shared" si="147"/>
        <v>0</v>
      </c>
      <c r="J652" s="17"/>
      <c r="K652" s="18"/>
      <c r="L652" s="18"/>
      <c r="M652" s="17"/>
      <c r="N652" s="17"/>
      <c r="O652" s="17"/>
      <c r="P652" s="17"/>
      <c r="Q652" s="169"/>
      <c r="R652" s="24"/>
      <c r="S652" s="24"/>
      <c r="T652" s="24"/>
      <c r="U652" s="25"/>
      <c r="V652" s="25"/>
      <c r="W652" s="25"/>
      <c r="X652" s="24"/>
      <c r="Y652" s="24"/>
      <c r="Z652" s="24"/>
      <c r="AA652" s="24"/>
      <c r="AB652" s="24"/>
      <c r="AC652" s="24"/>
      <c r="AD652" s="361">
        <f t="shared" si="146"/>
        <v>0</v>
      </c>
      <c r="AE652" s="359" t="str">
        <f t="shared" si="149"/>
        <v/>
      </c>
      <c r="AF652" s="359" t="str">
        <f t="shared" si="158"/>
        <v/>
      </c>
      <c r="AG652" s="359" t="str">
        <f t="shared" si="150"/>
        <v/>
      </c>
      <c r="AH652" s="359" t="str">
        <f t="shared" si="151"/>
        <v/>
      </c>
      <c r="AI652" s="359" t="str">
        <f t="shared" si="152"/>
        <v/>
      </c>
      <c r="AJ652" s="359" t="str">
        <f t="shared" si="153"/>
        <v/>
      </c>
      <c r="AK652" s="359" t="str">
        <f t="shared" si="155"/>
        <v/>
      </c>
      <c r="AL652" s="359" t="str">
        <f t="shared" si="154"/>
        <v/>
      </c>
      <c r="AM652" s="359" t="str">
        <f t="shared" si="156"/>
        <v/>
      </c>
      <c r="AN652" s="262">
        <f t="shared" si="159"/>
        <v>0</v>
      </c>
      <c r="AO652" s="262" t="str">
        <f>IFERROR(HLOOKUP(AN652,'Ref Lists'!Q$1:AL$2,2,FALSE),'Ref Lists'!$AK$2)</f>
        <v>Savings21</v>
      </c>
      <c r="AP652" s="38"/>
      <c r="AQ652" s="38">
        <f t="shared" si="148"/>
        <v>0</v>
      </c>
      <c r="AR652" s="38"/>
      <c r="AS652" s="38"/>
      <c r="AT652" s="38"/>
      <c r="AU652" s="38"/>
      <c r="AV652" s="38"/>
      <c r="AW652" s="38"/>
      <c r="AX652" s="38"/>
      <c r="AY652" s="38"/>
      <c r="AZ652" s="38"/>
      <c r="BA652" s="38"/>
      <c r="BB652" s="38"/>
      <c r="BC652" s="38"/>
      <c r="BD652" s="38"/>
      <c r="BE652" s="38"/>
      <c r="BF652" s="38"/>
      <c r="BG652" s="38"/>
      <c r="BH652" s="38"/>
      <c r="BI652" s="38"/>
      <c r="BJ652" s="38"/>
      <c r="BK652" s="38"/>
      <c r="BL652" s="38"/>
      <c r="BM652" s="38"/>
      <c r="BN652" s="38"/>
      <c r="BO652" s="38"/>
      <c r="BP652" s="38"/>
      <c r="BQ652" s="38"/>
      <c r="BR652" s="38"/>
      <c r="BS652" s="38"/>
      <c r="BT652" s="38"/>
      <c r="BU652" s="38"/>
      <c r="BV652" s="38"/>
      <c r="BW652" s="38"/>
      <c r="BX652" s="38"/>
      <c r="BY652" s="38"/>
      <c r="BZ652" s="38"/>
      <c r="CA652" s="38"/>
      <c r="CB652" s="38"/>
      <c r="CC652" s="38"/>
      <c r="CD652" s="38"/>
      <c r="CE652" s="38"/>
      <c r="CF652" s="38"/>
      <c r="CG652" s="38"/>
      <c r="CH652" s="38"/>
      <c r="CI652" s="38"/>
      <c r="CJ652" s="38"/>
      <c r="CK652" s="38"/>
      <c r="CL652" s="38"/>
      <c r="CM652" s="38"/>
      <c r="CN652" s="38"/>
      <c r="CO652" s="38"/>
      <c r="CP652" s="38"/>
      <c r="CQ652" s="38"/>
      <c r="CR652" s="38"/>
      <c r="CS652" s="38"/>
      <c r="CT652" s="38"/>
      <c r="CU652" s="38"/>
      <c r="CV652" s="38"/>
      <c r="CW652" s="38"/>
      <c r="CX652" s="38"/>
      <c r="CY652" s="38"/>
      <c r="CZ652" s="38"/>
    </row>
    <row r="653" spans="1:104" s="40" customFormat="1" ht="20.149999999999999" customHeight="1">
      <c r="A653" s="358">
        <f t="shared" si="157"/>
        <v>652</v>
      </c>
      <c r="B653" s="359" t="str">
        <f>'Front Sheet and Checklist'!$C$5</f>
        <v>Swansea Bay UHB</v>
      </c>
      <c r="C653" s="17"/>
      <c r="D653" s="17"/>
      <c r="E653" s="17"/>
      <c r="F653" s="17"/>
      <c r="G653" s="17"/>
      <c r="H653" s="17"/>
      <c r="I653" s="361">
        <f t="shared" si="147"/>
        <v>0</v>
      </c>
      <c r="J653" s="17"/>
      <c r="K653" s="18"/>
      <c r="L653" s="18"/>
      <c r="M653" s="17"/>
      <c r="N653" s="17"/>
      <c r="O653" s="17"/>
      <c r="P653" s="17"/>
      <c r="Q653" s="169"/>
      <c r="R653" s="24"/>
      <c r="S653" s="24"/>
      <c r="T653" s="24"/>
      <c r="U653" s="25"/>
      <c r="V653" s="25"/>
      <c r="W653" s="25"/>
      <c r="X653" s="24"/>
      <c r="Y653" s="24"/>
      <c r="Z653" s="24"/>
      <c r="AA653" s="24"/>
      <c r="AB653" s="24"/>
      <c r="AC653" s="24"/>
      <c r="AD653" s="361">
        <f t="shared" si="146"/>
        <v>0</v>
      </c>
      <c r="AE653" s="359" t="str">
        <f t="shared" si="149"/>
        <v/>
      </c>
      <c r="AF653" s="359" t="str">
        <f t="shared" si="158"/>
        <v/>
      </c>
      <c r="AG653" s="359" t="str">
        <f t="shared" si="150"/>
        <v/>
      </c>
      <c r="AH653" s="359" t="str">
        <f t="shared" si="151"/>
        <v/>
      </c>
      <c r="AI653" s="359" t="str">
        <f t="shared" si="152"/>
        <v/>
      </c>
      <c r="AJ653" s="359" t="str">
        <f t="shared" si="153"/>
        <v/>
      </c>
      <c r="AK653" s="359" t="str">
        <f t="shared" si="155"/>
        <v/>
      </c>
      <c r="AL653" s="359" t="str">
        <f t="shared" si="154"/>
        <v/>
      </c>
      <c r="AM653" s="359" t="str">
        <f t="shared" si="156"/>
        <v/>
      </c>
      <c r="AN653" s="262">
        <f t="shared" si="159"/>
        <v>0</v>
      </c>
      <c r="AO653" s="262" t="str">
        <f>IFERROR(HLOOKUP(AN653,'Ref Lists'!Q$1:AL$2,2,FALSE),'Ref Lists'!$AK$2)</f>
        <v>Savings21</v>
      </c>
      <c r="AP653" s="38"/>
      <c r="AQ653" s="38">
        <f t="shared" si="148"/>
        <v>0</v>
      </c>
      <c r="AR653" s="38"/>
      <c r="AS653" s="38"/>
      <c r="AT653" s="38"/>
      <c r="AU653" s="38"/>
      <c r="AV653" s="38"/>
      <c r="AW653" s="38"/>
      <c r="AX653" s="38"/>
      <c r="AY653" s="38"/>
      <c r="AZ653" s="38"/>
      <c r="BA653" s="38"/>
      <c r="BB653" s="38"/>
      <c r="BC653" s="38"/>
      <c r="BD653" s="38"/>
      <c r="BE653" s="38"/>
      <c r="BF653" s="38"/>
      <c r="BG653" s="38"/>
      <c r="BH653" s="38"/>
      <c r="BI653" s="38"/>
      <c r="BJ653" s="38"/>
      <c r="BK653" s="38"/>
      <c r="BL653" s="38"/>
      <c r="BM653" s="38"/>
      <c r="BN653" s="38"/>
      <c r="BO653" s="38"/>
      <c r="BP653" s="38"/>
      <c r="BQ653" s="38"/>
      <c r="BR653" s="38"/>
      <c r="BS653" s="38"/>
      <c r="BT653" s="38"/>
      <c r="BU653" s="38"/>
      <c r="BV653" s="38"/>
      <c r="BW653" s="38"/>
      <c r="BX653" s="38"/>
      <c r="BY653" s="38"/>
      <c r="BZ653" s="38"/>
      <c r="CA653" s="38"/>
      <c r="CB653" s="38"/>
      <c r="CC653" s="38"/>
      <c r="CD653" s="38"/>
      <c r="CE653" s="38"/>
      <c r="CF653" s="38"/>
      <c r="CG653" s="38"/>
      <c r="CH653" s="38"/>
      <c r="CI653" s="38"/>
      <c r="CJ653" s="38"/>
      <c r="CK653" s="38"/>
      <c r="CL653" s="38"/>
      <c r="CM653" s="38"/>
      <c r="CN653" s="38"/>
      <c r="CO653" s="38"/>
      <c r="CP653" s="38"/>
      <c r="CQ653" s="38"/>
      <c r="CR653" s="38"/>
      <c r="CS653" s="38"/>
      <c r="CT653" s="38"/>
      <c r="CU653" s="38"/>
      <c r="CV653" s="38"/>
      <c r="CW653" s="38"/>
      <c r="CX653" s="38"/>
      <c r="CY653" s="38"/>
      <c r="CZ653" s="38"/>
    </row>
    <row r="654" spans="1:104" s="40" customFormat="1" ht="20.149999999999999" customHeight="1">
      <c r="A654" s="358">
        <f t="shared" si="157"/>
        <v>653</v>
      </c>
      <c r="B654" s="359" t="str">
        <f>'Front Sheet and Checklist'!$C$5</f>
        <v>Swansea Bay UHB</v>
      </c>
      <c r="C654" s="17"/>
      <c r="D654" s="17"/>
      <c r="E654" s="17"/>
      <c r="F654" s="17"/>
      <c r="G654" s="17"/>
      <c r="H654" s="17"/>
      <c r="I654" s="361">
        <f t="shared" si="147"/>
        <v>0</v>
      </c>
      <c r="J654" s="17"/>
      <c r="K654" s="18"/>
      <c r="L654" s="18"/>
      <c r="M654" s="17"/>
      <c r="N654" s="17"/>
      <c r="O654" s="17"/>
      <c r="P654" s="17"/>
      <c r="Q654" s="169"/>
      <c r="R654" s="24"/>
      <c r="S654" s="24"/>
      <c r="T654" s="24"/>
      <c r="U654" s="25"/>
      <c r="V654" s="25"/>
      <c r="W654" s="25"/>
      <c r="X654" s="24"/>
      <c r="Y654" s="24"/>
      <c r="Z654" s="24"/>
      <c r="AA654" s="24"/>
      <c r="AB654" s="24"/>
      <c r="AC654" s="24"/>
      <c r="AD654" s="361">
        <f t="shared" si="146"/>
        <v>0</v>
      </c>
      <c r="AE654" s="359" t="str">
        <f t="shared" si="149"/>
        <v/>
      </c>
      <c r="AF654" s="359" t="str">
        <f t="shared" si="158"/>
        <v/>
      </c>
      <c r="AG654" s="359" t="str">
        <f t="shared" si="150"/>
        <v/>
      </c>
      <c r="AH654" s="359" t="str">
        <f t="shared" si="151"/>
        <v/>
      </c>
      <c r="AI654" s="359" t="str">
        <f t="shared" si="152"/>
        <v/>
      </c>
      <c r="AJ654" s="359" t="str">
        <f t="shared" si="153"/>
        <v/>
      </c>
      <c r="AK654" s="359" t="str">
        <f t="shared" si="155"/>
        <v/>
      </c>
      <c r="AL654" s="359" t="str">
        <f t="shared" si="154"/>
        <v/>
      </c>
      <c r="AM654" s="359" t="str">
        <f t="shared" si="156"/>
        <v/>
      </c>
      <c r="AN654" s="262">
        <f t="shared" si="159"/>
        <v>0</v>
      </c>
      <c r="AO654" s="262" t="str">
        <f>IFERROR(HLOOKUP(AN654,'Ref Lists'!Q$1:AL$2,2,FALSE),'Ref Lists'!$AK$2)</f>
        <v>Savings21</v>
      </c>
      <c r="AP654" s="38"/>
      <c r="AQ654" s="38">
        <f t="shared" si="148"/>
        <v>0</v>
      </c>
      <c r="AR654" s="38"/>
      <c r="AS654" s="38"/>
      <c r="AT654" s="38"/>
      <c r="AU654" s="38"/>
      <c r="AV654" s="38"/>
      <c r="AW654" s="38"/>
      <c r="AX654" s="38"/>
      <c r="AY654" s="38"/>
      <c r="AZ654" s="38"/>
      <c r="BA654" s="38"/>
      <c r="BB654" s="38"/>
      <c r="BC654" s="38"/>
      <c r="BD654" s="38"/>
      <c r="BE654" s="38"/>
      <c r="BF654" s="38"/>
      <c r="BG654" s="38"/>
      <c r="BH654" s="38"/>
      <c r="BI654" s="38"/>
      <c r="BJ654" s="38"/>
      <c r="BK654" s="38"/>
      <c r="BL654" s="38"/>
      <c r="BM654" s="38"/>
      <c r="BN654" s="38"/>
      <c r="BO654" s="38"/>
      <c r="BP654" s="38"/>
      <c r="BQ654" s="38"/>
      <c r="BR654" s="38"/>
      <c r="BS654" s="38"/>
      <c r="BT654" s="38"/>
      <c r="BU654" s="38"/>
      <c r="BV654" s="38"/>
      <c r="BW654" s="38"/>
      <c r="BX654" s="38"/>
      <c r="BY654" s="38"/>
      <c r="BZ654" s="38"/>
      <c r="CA654" s="38"/>
      <c r="CB654" s="38"/>
      <c r="CC654" s="38"/>
      <c r="CD654" s="38"/>
      <c r="CE654" s="38"/>
      <c r="CF654" s="38"/>
      <c r="CG654" s="38"/>
      <c r="CH654" s="38"/>
      <c r="CI654" s="38"/>
      <c r="CJ654" s="38"/>
      <c r="CK654" s="38"/>
      <c r="CL654" s="38"/>
      <c r="CM654" s="38"/>
      <c r="CN654" s="38"/>
      <c r="CO654" s="38"/>
      <c r="CP654" s="38"/>
      <c r="CQ654" s="38"/>
      <c r="CR654" s="38"/>
      <c r="CS654" s="38"/>
      <c r="CT654" s="38"/>
      <c r="CU654" s="38"/>
      <c r="CV654" s="38"/>
      <c r="CW654" s="38"/>
      <c r="CX654" s="38"/>
      <c r="CY654" s="38"/>
      <c r="CZ654" s="38"/>
    </row>
    <row r="655" spans="1:104" s="40" customFormat="1" ht="20.149999999999999" customHeight="1">
      <c r="A655" s="358">
        <f t="shared" si="157"/>
        <v>654</v>
      </c>
      <c r="B655" s="359" t="str">
        <f>'Front Sheet and Checklist'!$C$5</f>
        <v>Swansea Bay UHB</v>
      </c>
      <c r="C655" s="17"/>
      <c r="D655" s="17"/>
      <c r="E655" s="17"/>
      <c r="F655" s="17"/>
      <c r="G655" s="17"/>
      <c r="H655" s="17"/>
      <c r="I655" s="361">
        <f t="shared" si="147"/>
        <v>0</v>
      </c>
      <c r="J655" s="17"/>
      <c r="K655" s="18"/>
      <c r="L655" s="18"/>
      <c r="M655" s="17"/>
      <c r="N655" s="17"/>
      <c r="O655" s="17"/>
      <c r="P655" s="17"/>
      <c r="Q655" s="169"/>
      <c r="R655" s="24"/>
      <c r="S655" s="24"/>
      <c r="T655" s="24"/>
      <c r="U655" s="25"/>
      <c r="V655" s="25"/>
      <c r="W655" s="25"/>
      <c r="X655" s="24"/>
      <c r="Y655" s="24"/>
      <c r="Z655" s="24"/>
      <c r="AA655" s="24"/>
      <c r="AB655" s="24"/>
      <c r="AC655" s="24"/>
      <c r="AD655" s="361">
        <f t="shared" si="146"/>
        <v>0</v>
      </c>
      <c r="AE655" s="359" t="str">
        <f t="shared" si="149"/>
        <v/>
      </c>
      <c r="AF655" s="359" t="str">
        <f t="shared" si="158"/>
        <v/>
      </c>
      <c r="AG655" s="359" t="str">
        <f t="shared" si="150"/>
        <v/>
      </c>
      <c r="AH655" s="359" t="str">
        <f t="shared" si="151"/>
        <v/>
      </c>
      <c r="AI655" s="359" t="str">
        <f t="shared" si="152"/>
        <v/>
      </c>
      <c r="AJ655" s="359" t="str">
        <f t="shared" si="153"/>
        <v/>
      </c>
      <c r="AK655" s="359" t="str">
        <f t="shared" si="155"/>
        <v/>
      </c>
      <c r="AL655" s="359" t="str">
        <f t="shared" si="154"/>
        <v/>
      </c>
      <c r="AM655" s="359" t="str">
        <f t="shared" si="156"/>
        <v/>
      </c>
      <c r="AN655" s="262">
        <f t="shared" si="159"/>
        <v>0</v>
      </c>
      <c r="AO655" s="262" t="str">
        <f>IFERROR(HLOOKUP(AN655,'Ref Lists'!Q$1:AL$2,2,FALSE),'Ref Lists'!$AK$2)</f>
        <v>Savings21</v>
      </c>
      <c r="AP655" s="38"/>
      <c r="AQ655" s="38">
        <f t="shared" si="148"/>
        <v>0</v>
      </c>
      <c r="AR655" s="38"/>
      <c r="AS655" s="38"/>
      <c r="AT655" s="38"/>
      <c r="AU655" s="38"/>
      <c r="AV655" s="38"/>
      <c r="AW655" s="38"/>
      <c r="AX655" s="38"/>
      <c r="AY655" s="38"/>
      <c r="AZ655" s="38"/>
      <c r="BA655" s="38"/>
      <c r="BB655" s="38"/>
      <c r="BC655" s="38"/>
      <c r="BD655" s="38"/>
      <c r="BE655" s="38"/>
      <c r="BF655" s="38"/>
      <c r="BG655" s="38"/>
      <c r="BH655" s="38"/>
      <c r="BI655" s="38"/>
      <c r="BJ655" s="38"/>
      <c r="BK655" s="38"/>
      <c r="BL655" s="38"/>
      <c r="BM655" s="38"/>
      <c r="BN655" s="38"/>
      <c r="BO655" s="38"/>
      <c r="BP655" s="38"/>
      <c r="BQ655" s="38"/>
      <c r="BR655" s="38"/>
      <c r="BS655" s="38"/>
      <c r="BT655" s="38"/>
      <c r="BU655" s="38"/>
      <c r="BV655" s="38"/>
      <c r="BW655" s="38"/>
      <c r="BX655" s="38"/>
      <c r="BY655" s="38"/>
      <c r="BZ655" s="38"/>
      <c r="CA655" s="38"/>
      <c r="CB655" s="38"/>
      <c r="CC655" s="38"/>
      <c r="CD655" s="38"/>
      <c r="CE655" s="38"/>
      <c r="CF655" s="38"/>
      <c r="CG655" s="38"/>
      <c r="CH655" s="38"/>
      <c r="CI655" s="38"/>
      <c r="CJ655" s="38"/>
      <c r="CK655" s="38"/>
      <c r="CL655" s="38"/>
      <c r="CM655" s="38"/>
      <c r="CN655" s="38"/>
      <c r="CO655" s="38"/>
      <c r="CP655" s="38"/>
      <c r="CQ655" s="38"/>
      <c r="CR655" s="38"/>
      <c r="CS655" s="38"/>
      <c r="CT655" s="38"/>
      <c r="CU655" s="38"/>
      <c r="CV655" s="38"/>
      <c r="CW655" s="38"/>
      <c r="CX655" s="38"/>
      <c r="CY655" s="38"/>
      <c r="CZ655" s="38"/>
    </row>
    <row r="656" spans="1:104" s="40" customFormat="1" ht="20.149999999999999" customHeight="1">
      <c r="A656" s="358">
        <f t="shared" si="157"/>
        <v>655</v>
      </c>
      <c r="B656" s="359" t="str">
        <f>'Front Sheet and Checklist'!$C$5</f>
        <v>Swansea Bay UHB</v>
      </c>
      <c r="C656" s="17"/>
      <c r="D656" s="17"/>
      <c r="E656" s="17"/>
      <c r="F656" s="17"/>
      <c r="G656" s="17"/>
      <c r="H656" s="17"/>
      <c r="I656" s="361">
        <f t="shared" si="147"/>
        <v>0</v>
      </c>
      <c r="J656" s="17"/>
      <c r="K656" s="18"/>
      <c r="L656" s="18"/>
      <c r="M656" s="17"/>
      <c r="N656" s="17"/>
      <c r="O656" s="17"/>
      <c r="P656" s="17"/>
      <c r="Q656" s="169"/>
      <c r="R656" s="24"/>
      <c r="S656" s="24"/>
      <c r="T656" s="24"/>
      <c r="U656" s="25"/>
      <c r="V656" s="25"/>
      <c r="W656" s="25"/>
      <c r="X656" s="24"/>
      <c r="Y656" s="24"/>
      <c r="Z656" s="24"/>
      <c r="AA656" s="24"/>
      <c r="AB656" s="24"/>
      <c r="AC656" s="24"/>
      <c r="AD656" s="361">
        <f t="shared" si="146"/>
        <v>0</v>
      </c>
      <c r="AE656" s="359" t="str">
        <f t="shared" si="149"/>
        <v/>
      </c>
      <c r="AF656" s="359" t="str">
        <f t="shared" si="158"/>
        <v/>
      </c>
      <c r="AG656" s="359" t="str">
        <f t="shared" si="150"/>
        <v/>
      </c>
      <c r="AH656" s="359" t="str">
        <f t="shared" si="151"/>
        <v/>
      </c>
      <c r="AI656" s="359" t="str">
        <f t="shared" si="152"/>
        <v/>
      </c>
      <c r="AJ656" s="359" t="str">
        <f t="shared" si="153"/>
        <v/>
      </c>
      <c r="AK656" s="359" t="str">
        <f t="shared" si="155"/>
        <v/>
      </c>
      <c r="AL656" s="359" t="str">
        <f t="shared" si="154"/>
        <v/>
      </c>
      <c r="AM656" s="359" t="str">
        <f t="shared" si="156"/>
        <v/>
      </c>
      <c r="AN656" s="262">
        <f t="shared" si="159"/>
        <v>0</v>
      </c>
      <c r="AO656" s="262" t="str">
        <f>IFERROR(HLOOKUP(AN656,'Ref Lists'!Q$1:AL$2,2,FALSE),'Ref Lists'!$AK$2)</f>
        <v>Savings21</v>
      </c>
      <c r="AP656" s="38"/>
      <c r="AQ656" s="38">
        <f t="shared" si="148"/>
        <v>0</v>
      </c>
      <c r="AR656" s="38"/>
      <c r="AS656" s="38"/>
      <c r="AT656" s="38"/>
      <c r="AU656" s="38"/>
      <c r="AV656" s="38"/>
      <c r="AW656" s="38"/>
      <c r="AX656" s="38"/>
      <c r="AY656" s="38"/>
      <c r="AZ656" s="38"/>
      <c r="BA656" s="38"/>
      <c r="BB656" s="38"/>
      <c r="BC656" s="38"/>
      <c r="BD656" s="38"/>
      <c r="BE656" s="38"/>
      <c r="BF656" s="38"/>
      <c r="BG656" s="38"/>
      <c r="BH656" s="38"/>
      <c r="BI656" s="38"/>
      <c r="BJ656" s="38"/>
      <c r="BK656" s="38"/>
      <c r="BL656" s="38"/>
      <c r="BM656" s="38"/>
      <c r="BN656" s="38"/>
      <c r="BO656" s="38"/>
      <c r="BP656" s="38"/>
      <c r="BQ656" s="38"/>
      <c r="BR656" s="38"/>
      <c r="BS656" s="38"/>
      <c r="BT656" s="38"/>
      <c r="BU656" s="38"/>
      <c r="BV656" s="38"/>
      <c r="BW656" s="38"/>
      <c r="BX656" s="38"/>
      <c r="BY656" s="38"/>
      <c r="BZ656" s="38"/>
      <c r="CA656" s="38"/>
      <c r="CB656" s="38"/>
      <c r="CC656" s="38"/>
      <c r="CD656" s="38"/>
      <c r="CE656" s="38"/>
      <c r="CF656" s="38"/>
      <c r="CG656" s="38"/>
      <c r="CH656" s="38"/>
      <c r="CI656" s="38"/>
      <c r="CJ656" s="38"/>
      <c r="CK656" s="38"/>
      <c r="CL656" s="38"/>
      <c r="CM656" s="38"/>
      <c r="CN656" s="38"/>
      <c r="CO656" s="38"/>
      <c r="CP656" s="38"/>
      <c r="CQ656" s="38"/>
      <c r="CR656" s="38"/>
      <c r="CS656" s="38"/>
      <c r="CT656" s="38"/>
      <c r="CU656" s="38"/>
      <c r="CV656" s="38"/>
      <c r="CW656" s="38"/>
      <c r="CX656" s="38"/>
      <c r="CY656" s="38"/>
      <c r="CZ656" s="38"/>
    </row>
    <row r="657" spans="1:104" s="40" customFormat="1" ht="20.149999999999999" customHeight="1">
      <c r="A657" s="358">
        <f t="shared" si="157"/>
        <v>656</v>
      </c>
      <c r="B657" s="359" t="str">
        <f>'Front Sheet and Checklist'!$C$5</f>
        <v>Swansea Bay UHB</v>
      </c>
      <c r="C657" s="17"/>
      <c r="D657" s="17"/>
      <c r="E657" s="17"/>
      <c r="F657" s="17"/>
      <c r="G657" s="17"/>
      <c r="H657" s="17"/>
      <c r="I657" s="361">
        <f t="shared" si="147"/>
        <v>0</v>
      </c>
      <c r="J657" s="17"/>
      <c r="K657" s="18"/>
      <c r="L657" s="18"/>
      <c r="M657" s="17"/>
      <c r="N657" s="17"/>
      <c r="O657" s="17"/>
      <c r="P657" s="17"/>
      <c r="Q657" s="169"/>
      <c r="R657" s="24"/>
      <c r="S657" s="24"/>
      <c r="T657" s="24"/>
      <c r="U657" s="25"/>
      <c r="V657" s="25"/>
      <c r="W657" s="25"/>
      <c r="X657" s="24"/>
      <c r="Y657" s="24"/>
      <c r="Z657" s="24"/>
      <c r="AA657" s="24"/>
      <c r="AB657" s="24"/>
      <c r="AC657" s="24"/>
      <c r="AD657" s="361">
        <f t="shared" si="146"/>
        <v>0</v>
      </c>
      <c r="AE657" s="359" t="str">
        <f t="shared" si="149"/>
        <v/>
      </c>
      <c r="AF657" s="359" t="str">
        <f t="shared" si="158"/>
        <v/>
      </c>
      <c r="AG657" s="359" t="str">
        <f t="shared" si="150"/>
        <v/>
      </c>
      <c r="AH657" s="359" t="str">
        <f t="shared" si="151"/>
        <v/>
      </c>
      <c r="AI657" s="359" t="str">
        <f t="shared" si="152"/>
        <v/>
      </c>
      <c r="AJ657" s="359" t="str">
        <f t="shared" si="153"/>
        <v/>
      </c>
      <c r="AK657" s="359" t="str">
        <f t="shared" si="155"/>
        <v/>
      </c>
      <c r="AL657" s="359" t="str">
        <f t="shared" si="154"/>
        <v/>
      </c>
      <c r="AM657" s="359" t="str">
        <f t="shared" si="156"/>
        <v/>
      </c>
      <c r="AN657" s="262">
        <f t="shared" si="159"/>
        <v>0</v>
      </c>
      <c r="AO657" s="262" t="str">
        <f>IFERROR(HLOOKUP(AN657,'Ref Lists'!Q$1:AL$2,2,FALSE),'Ref Lists'!$AK$2)</f>
        <v>Savings21</v>
      </c>
      <c r="AP657" s="38"/>
      <c r="AQ657" s="38">
        <f t="shared" si="148"/>
        <v>0</v>
      </c>
      <c r="AR657" s="38"/>
      <c r="AS657" s="38"/>
      <c r="AT657" s="38"/>
      <c r="AU657" s="38"/>
      <c r="AV657" s="38"/>
      <c r="AW657" s="38"/>
      <c r="AX657" s="38"/>
      <c r="AY657" s="38"/>
      <c r="AZ657" s="38"/>
      <c r="BA657" s="38"/>
      <c r="BB657" s="38"/>
      <c r="BC657" s="38"/>
      <c r="BD657" s="38"/>
      <c r="BE657" s="38"/>
      <c r="BF657" s="38"/>
      <c r="BG657" s="38"/>
      <c r="BH657" s="38"/>
      <c r="BI657" s="38"/>
      <c r="BJ657" s="38"/>
      <c r="BK657" s="38"/>
      <c r="BL657" s="38"/>
      <c r="BM657" s="38"/>
      <c r="BN657" s="38"/>
      <c r="BO657" s="38"/>
      <c r="BP657" s="38"/>
      <c r="BQ657" s="38"/>
      <c r="BR657" s="38"/>
      <c r="BS657" s="38"/>
      <c r="BT657" s="38"/>
      <c r="BU657" s="38"/>
      <c r="BV657" s="38"/>
      <c r="BW657" s="38"/>
      <c r="BX657" s="38"/>
      <c r="BY657" s="38"/>
      <c r="BZ657" s="38"/>
      <c r="CA657" s="38"/>
      <c r="CB657" s="38"/>
      <c r="CC657" s="38"/>
      <c r="CD657" s="38"/>
      <c r="CE657" s="38"/>
      <c r="CF657" s="38"/>
      <c r="CG657" s="38"/>
      <c r="CH657" s="38"/>
      <c r="CI657" s="38"/>
      <c r="CJ657" s="38"/>
      <c r="CK657" s="38"/>
      <c r="CL657" s="38"/>
      <c r="CM657" s="38"/>
      <c r="CN657" s="38"/>
      <c r="CO657" s="38"/>
      <c r="CP657" s="38"/>
      <c r="CQ657" s="38"/>
      <c r="CR657" s="38"/>
      <c r="CS657" s="38"/>
      <c r="CT657" s="38"/>
      <c r="CU657" s="38"/>
      <c r="CV657" s="38"/>
      <c r="CW657" s="38"/>
      <c r="CX657" s="38"/>
      <c r="CY657" s="38"/>
      <c r="CZ657" s="38"/>
    </row>
    <row r="658" spans="1:104" s="40" customFormat="1" ht="20.149999999999999" customHeight="1">
      <c r="A658" s="358">
        <f t="shared" si="157"/>
        <v>657</v>
      </c>
      <c r="B658" s="359" t="str">
        <f>'Front Sheet and Checklist'!$C$5</f>
        <v>Swansea Bay UHB</v>
      </c>
      <c r="C658" s="17"/>
      <c r="D658" s="17"/>
      <c r="E658" s="17"/>
      <c r="F658" s="17"/>
      <c r="G658" s="17"/>
      <c r="H658" s="17"/>
      <c r="I658" s="361">
        <f t="shared" si="147"/>
        <v>0</v>
      </c>
      <c r="J658" s="17"/>
      <c r="K658" s="18"/>
      <c r="L658" s="18"/>
      <c r="M658" s="17"/>
      <c r="N658" s="17"/>
      <c r="O658" s="17"/>
      <c r="P658" s="17"/>
      <c r="Q658" s="169"/>
      <c r="R658" s="24"/>
      <c r="S658" s="24"/>
      <c r="T658" s="24"/>
      <c r="U658" s="25"/>
      <c r="V658" s="25"/>
      <c r="W658" s="25"/>
      <c r="X658" s="24"/>
      <c r="Y658" s="24"/>
      <c r="Z658" s="24"/>
      <c r="AA658" s="24"/>
      <c r="AB658" s="24"/>
      <c r="AC658" s="24"/>
      <c r="AD658" s="361">
        <f t="shared" si="146"/>
        <v>0</v>
      </c>
      <c r="AE658" s="359" t="str">
        <f t="shared" si="149"/>
        <v/>
      </c>
      <c r="AF658" s="359" t="str">
        <f t="shared" si="158"/>
        <v/>
      </c>
      <c r="AG658" s="359" t="str">
        <f t="shared" si="150"/>
        <v/>
      </c>
      <c r="AH658" s="359" t="str">
        <f t="shared" si="151"/>
        <v/>
      </c>
      <c r="AI658" s="359" t="str">
        <f t="shared" si="152"/>
        <v/>
      </c>
      <c r="AJ658" s="359" t="str">
        <f t="shared" si="153"/>
        <v/>
      </c>
      <c r="AK658" s="359" t="str">
        <f t="shared" si="155"/>
        <v/>
      </c>
      <c r="AL658" s="359" t="str">
        <f t="shared" si="154"/>
        <v/>
      </c>
      <c r="AM658" s="359" t="str">
        <f t="shared" si="156"/>
        <v/>
      </c>
      <c r="AN658" s="262">
        <f t="shared" si="159"/>
        <v>0</v>
      </c>
      <c r="AO658" s="262" t="str">
        <f>IFERROR(HLOOKUP(AN658,'Ref Lists'!Q$1:AL$2,2,FALSE),'Ref Lists'!$AK$2)</f>
        <v>Savings21</v>
      </c>
      <c r="AP658" s="38"/>
      <c r="AQ658" s="38">
        <f t="shared" si="148"/>
        <v>0</v>
      </c>
      <c r="AR658" s="38"/>
      <c r="AS658" s="38"/>
      <c r="AT658" s="38"/>
      <c r="AU658" s="38"/>
      <c r="AV658" s="38"/>
      <c r="AW658" s="38"/>
      <c r="AX658" s="38"/>
      <c r="AY658" s="38"/>
      <c r="AZ658" s="38"/>
      <c r="BA658" s="38"/>
      <c r="BB658" s="38"/>
      <c r="BC658" s="38"/>
      <c r="BD658" s="38"/>
      <c r="BE658" s="38"/>
      <c r="BF658" s="38"/>
      <c r="BG658" s="38"/>
      <c r="BH658" s="38"/>
      <c r="BI658" s="38"/>
      <c r="BJ658" s="38"/>
      <c r="BK658" s="38"/>
      <c r="BL658" s="38"/>
      <c r="BM658" s="38"/>
      <c r="BN658" s="38"/>
      <c r="BO658" s="38"/>
      <c r="BP658" s="38"/>
      <c r="BQ658" s="38"/>
      <c r="BR658" s="38"/>
      <c r="BS658" s="38"/>
      <c r="BT658" s="38"/>
      <c r="BU658" s="38"/>
      <c r="BV658" s="38"/>
      <c r="BW658" s="38"/>
      <c r="BX658" s="38"/>
      <c r="BY658" s="38"/>
      <c r="BZ658" s="38"/>
      <c r="CA658" s="38"/>
      <c r="CB658" s="38"/>
      <c r="CC658" s="38"/>
      <c r="CD658" s="38"/>
      <c r="CE658" s="38"/>
      <c r="CF658" s="38"/>
      <c r="CG658" s="38"/>
      <c r="CH658" s="38"/>
      <c r="CI658" s="38"/>
      <c r="CJ658" s="38"/>
      <c r="CK658" s="38"/>
      <c r="CL658" s="38"/>
      <c r="CM658" s="38"/>
      <c r="CN658" s="38"/>
      <c r="CO658" s="38"/>
      <c r="CP658" s="38"/>
      <c r="CQ658" s="38"/>
      <c r="CR658" s="38"/>
      <c r="CS658" s="38"/>
      <c r="CT658" s="38"/>
      <c r="CU658" s="38"/>
      <c r="CV658" s="38"/>
      <c r="CW658" s="38"/>
      <c r="CX658" s="38"/>
      <c r="CY658" s="38"/>
      <c r="CZ658" s="38"/>
    </row>
    <row r="659" spans="1:104" s="40" customFormat="1" ht="20.149999999999999" customHeight="1">
      <c r="A659" s="358">
        <f t="shared" si="157"/>
        <v>658</v>
      </c>
      <c r="B659" s="359" t="str">
        <f>'Front Sheet and Checklist'!$C$5</f>
        <v>Swansea Bay UHB</v>
      </c>
      <c r="C659" s="17"/>
      <c r="D659" s="17"/>
      <c r="E659" s="17"/>
      <c r="F659" s="17"/>
      <c r="G659" s="17"/>
      <c r="H659" s="17"/>
      <c r="I659" s="361">
        <f t="shared" si="147"/>
        <v>0</v>
      </c>
      <c r="J659" s="17"/>
      <c r="K659" s="18"/>
      <c r="L659" s="18"/>
      <c r="M659" s="17"/>
      <c r="N659" s="17"/>
      <c r="O659" s="17"/>
      <c r="P659" s="17"/>
      <c r="Q659" s="169"/>
      <c r="R659" s="24"/>
      <c r="S659" s="24"/>
      <c r="T659" s="24"/>
      <c r="U659" s="25"/>
      <c r="V659" s="25"/>
      <c r="W659" s="25"/>
      <c r="X659" s="24"/>
      <c r="Y659" s="24"/>
      <c r="Z659" s="24"/>
      <c r="AA659" s="24"/>
      <c r="AB659" s="24"/>
      <c r="AC659" s="24"/>
      <c r="AD659" s="361">
        <f t="shared" si="146"/>
        <v>0</v>
      </c>
      <c r="AE659" s="359" t="str">
        <f t="shared" si="149"/>
        <v/>
      </c>
      <c r="AF659" s="359" t="str">
        <f t="shared" si="158"/>
        <v/>
      </c>
      <c r="AG659" s="359" t="str">
        <f t="shared" si="150"/>
        <v/>
      </c>
      <c r="AH659" s="359" t="str">
        <f t="shared" si="151"/>
        <v/>
      </c>
      <c r="AI659" s="359" t="str">
        <f t="shared" si="152"/>
        <v/>
      </c>
      <c r="AJ659" s="359" t="str">
        <f t="shared" si="153"/>
        <v/>
      </c>
      <c r="AK659" s="359" t="str">
        <f t="shared" si="155"/>
        <v/>
      </c>
      <c r="AL659" s="359" t="str">
        <f t="shared" si="154"/>
        <v/>
      </c>
      <c r="AM659" s="359" t="str">
        <f t="shared" si="156"/>
        <v/>
      </c>
      <c r="AN659" s="262">
        <f t="shared" si="159"/>
        <v>0</v>
      </c>
      <c r="AO659" s="262" t="str">
        <f>IFERROR(HLOOKUP(AN659,'Ref Lists'!Q$1:AL$2,2,FALSE),'Ref Lists'!$AK$2)</f>
        <v>Savings21</v>
      </c>
      <c r="AP659" s="38"/>
      <c r="AQ659" s="38">
        <f t="shared" si="148"/>
        <v>0</v>
      </c>
      <c r="AR659" s="38"/>
      <c r="AS659" s="38"/>
      <c r="AT659" s="38"/>
      <c r="AU659" s="38"/>
      <c r="AV659" s="38"/>
      <c r="AW659" s="38"/>
      <c r="AX659" s="38"/>
      <c r="AY659" s="38"/>
      <c r="AZ659" s="38"/>
      <c r="BA659" s="38"/>
      <c r="BB659" s="38"/>
      <c r="BC659" s="38"/>
      <c r="BD659" s="38"/>
      <c r="BE659" s="38"/>
      <c r="BF659" s="38"/>
      <c r="BG659" s="38"/>
      <c r="BH659" s="38"/>
      <c r="BI659" s="38"/>
      <c r="BJ659" s="38"/>
      <c r="BK659" s="38"/>
      <c r="BL659" s="38"/>
      <c r="BM659" s="38"/>
      <c r="BN659" s="38"/>
      <c r="BO659" s="38"/>
      <c r="BP659" s="38"/>
      <c r="BQ659" s="38"/>
      <c r="BR659" s="38"/>
      <c r="BS659" s="38"/>
      <c r="BT659" s="38"/>
      <c r="BU659" s="38"/>
      <c r="BV659" s="38"/>
      <c r="BW659" s="38"/>
      <c r="BX659" s="38"/>
      <c r="BY659" s="38"/>
      <c r="BZ659" s="38"/>
      <c r="CA659" s="38"/>
      <c r="CB659" s="38"/>
      <c r="CC659" s="38"/>
      <c r="CD659" s="38"/>
      <c r="CE659" s="38"/>
      <c r="CF659" s="38"/>
      <c r="CG659" s="38"/>
      <c r="CH659" s="38"/>
      <c r="CI659" s="38"/>
      <c r="CJ659" s="38"/>
      <c r="CK659" s="38"/>
      <c r="CL659" s="38"/>
      <c r="CM659" s="38"/>
      <c r="CN659" s="38"/>
      <c r="CO659" s="38"/>
      <c r="CP659" s="38"/>
      <c r="CQ659" s="38"/>
      <c r="CR659" s="38"/>
      <c r="CS659" s="38"/>
      <c r="CT659" s="38"/>
      <c r="CU659" s="38"/>
      <c r="CV659" s="38"/>
      <c r="CW659" s="38"/>
      <c r="CX659" s="38"/>
      <c r="CY659" s="38"/>
      <c r="CZ659" s="38"/>
    </row>
    <row r="660" spans="1:104" s="40" customFormat="1" ht="20.149999999999999" customHeight="1">
      <c r="A660" s="358">
        <f t="shared" si="157"/>
        <v>659</v>
      </c>
      <c r="B660" s="359" t="str">
        <f>'Front Sheet and Checklist'!$C$5</f>
        <v>Swansea Bay UHB</v>
      </c>
      <c r="C660" s="17"/>
      <c r="D660" s="17"/>
      <c r="E660" s="17"/>
      <c r="F660" s="17"/>
      <c r="G660" s="17"/>
      <c r="H660" s="17"/>
      <c r="I660" s="361">
        <f t="shared" si="147"/>
        <v>0</v>
      </c>
      <c r="J660" s="17"/>
      <c r="K660" s="18"/>
      <c r="L660" s="18"/>
      <c r="M660" s="17"/>
      <c r="N660" s="17"/>
      <c r="O660" s="17"/>
      <c r="P660" s="17"/>
      <c r="Q660" s="169"/>
      <c r="R660" s="24"/>
      <c r="S660" s="24"/>
      <c r="T660" s="24"/>
      <c r="U660" s="25"/>
      <c r="V660" s="25"/>
      <c r="W660" s="25"/>
      <c r="X660" s="24"/>
      <c r="Y660" s="24"/>
      <c r="Z660" s="24"/>
      <c r="AA660" s="24"/>
      <c r="AB660" s="24"/>
      <c r="AC660" s="24"/>
      <c r="AD660" s="361">
        <f t="shared" si="146"/>
        <v>0</v>
      </c>
      <c r="AE660" s="359" t="str">
        <f t="shared" si="149"/>
        <v/>
      </c>
      <c r="AF660" s="359" t="str">
        <f t="shared" si="158"/>
        <v/>
      </c>
      <c r="AG660" s="359" t="str">
        <f t="shared" si="150"/>
        <v/>
      </c>
      <c r="AH660" s="359" t="str">
        <f t="shared" si="151"/>
        <v/>
      </c>
      <c r="AI660" s="359" t="str">
        <f t="shared" si="152"/>
        <v/>
      </c>
      <c r="AJ660" s="359" t="str">
        <f t="shared" si="153"/>
        <v/>
      </c>
      <c r="AK660" s="359" t="str">
        <f t="shared" si="155"/>
        <v/>
      </c>
      <c r="AL660" s="359" t="str">
        <f t="shared" si="154"/>
        <v/>
      </c>
      <c r="AM660" s="359" t="str">
        <f t="shared" si="156"/>
        <v/>
      </c>
      <c r="AN660" s="262">
        <f t="shared" si="159"/>
        <v>0</v>
      </c>
      <c r="AO660" s="262" t="str">
        <f>IFERROR(HLOOKUP(AN660,'Ref Lists'!Q$1:AL$2,2,FALSE),'Ref Lists'!$AK$2)</f>
        <v>Savings21</v>
      </c>
      <c r="AP660" s="38"/>
      <c r="AQ660" s="38">
        <f t="shared" si="148"/>
        <v>0</v>
      </c>
      <c r="AR660" s="38"/>
      <c r="AS660" s="38"/>
      <c r="AT660" s="38"/>
      <c r="AU660" s="38"/>
      <c r="AV660" s="38"/>
      <c r="AW660" s="38"/>
      <c r="AX660" s="38"/>
      <c r="AY660" s="38"/>
      <c r="AZ660" s="38"/>
      <c r="BA660" s="38"/>
      <c r="BB660" s="38"/>
      <c r="BC660" s="38"/>
      <c r="BD660" s="38"/>
      <c r="BE660" s="38"/>
      <c r="BF660" s="38"/>
      <c r="BG660" s="38"/>
      <c r="BH660" s="38"/>
      <c r="BI660" s="38"/>
      <c r="BJ660" s="38"/>
      <c r="BK660" s="38"/>
      <c r="BL660" s="38"/>
      <c r="BM660" s="38"/>
      <c r="BN660" s="38"/>
      <c r="BO660" s="38"/>
      <c r="BP660" s="38"/>
      <c r="BQ660" s="38"/>
      <c r="BR660" s="38"/>
      <c r="BS660" s="38"/>
      <c r="BT660" s="38"/>
      <c r="BU660" s="38"/>
      <c r="BV660" s="38"/>
      <c r="BW660" s="38"/>
      <c r="BX660" s="38"/>
      <c r="BY660" s="38"/>
      <c r="BZ660" s="38"/>
      <c r="CA660" s="38"/>
      <c r="CB660" s="38"/>
      <c r="CC660" s="38"/>
      <c r="CD660" s="38"/>
      <c r="CE660" s="38"/>
      <c r="CF660" s="38"/>
      <c r="CG660" s="38"/>
      <c r="CH660" s="38"/>
      <c r="CI660" s="38"/>
      <c r="CJ660" s="38"/>
      <c r="CK660" s="38"/>
      <c r="CL660" s="38"/>
      <c r="CM660" s="38"/>
      <c r="CN660" s="38"/>
      <c r="CO660" s="38"/>
      <c r="CP660" s="38"/>
      <c r="CQ660" s="38"/>
      <c r="CR660" s="38"/>
      <c r="CS660" s="38"/>
      <c r="CT660" s="38"/>
      <c r="CU660" s="38"/>
      <c r="CV660" s="38"/>
      <c r="CW660" s="38"/>
      <c r="CX660" s="38"/>
      <c r="CY660" s="38"/>
      <c r="CZ660" s="38"/>
    </row>
    <row r="661" spans="1:104" s="40" customFormat="1" ht="20.149999999999999" customHeight="1">
      <c r="A661" s="358">
        <f t="shared" si="157"/>
        <v>660</v>
      </c>
      <c r="B661" s="359" t="str">
        <f>'Front Sheet and Checklist'!$C$5</f>
        <v>Swansea Bay UHB</v>
      </c>
      <c r="C661" s="17"/>
      <c r="D661" s="17"/>
      <c r="E661" s="17"/>
      <c r="F661" s="17"/>
      <c r="G661" s="17"/>
      <c r="H661" s="17"/>
      <c r="I661" s="361">
        <f t="shared" si="147"/>
        <v>0</v>
      </c>
      <c r="J661" s="17"/>
      <c r="K661" s="18"/>
      <c r="L661" s="18"/>
      <c r="M661" s="17"/>
      <c r="N661" s="17"/>
      <c r="O661" s="17"/>
      <c r="P661" s="17"/>
      <c r="Q661" s="169"/>
      <c r="R661" s="24"/>
      <c r="S661" s="24"/>
      <c r="T661" s="24"/>
      <c r="U661" s="25"/>
      <c r="V661" s="25"/>
      <c r="W661" s="25"/>
      <c r="X661" s="24"/>
      <c r="Y661" s="24"/>
      <c r="Z661" s="24"/>
      <c r="AA661" s="24"/>
      <c r="AB661" s="24"/>
      <c r="AC661" s="24"/>
      <c r="AD661" s="361">
        <f t="shared" si="146"/>
        <v>0</v>
      </c>
      <c r="AE661" s="359" t="str">
        <f t="shared" si="149"/>
        <v/>
      </c>
      <c r="AF661" s="359" t="str">
        <f t="shared" si="158"/>
        <v/>
      </c>
      <c r="AG661" s="359" t="str">
        <f t="shared" si="150"/>
        <v/>
      </c>
      <c r="AH661" s="359" t="str">
        <f t="shared" si="151"/>
        <v/>
      </c>
      <c r="AI661" s="359" t="str">
        <f t="shared" si="152"/>
        <v/>
      </c>
      <c r="AJ661" s="359" t="str">
        <f t="shared" si="153"/>
        <v/>
      </c>
      <c r="AK661" s="359" t="str">
        <f t="shared" si="155"/>
        <v/>
      </c>
      <c r="AL661" s="359" t="str">
        <f t="shared" si="154"/>
        <v/>
      </c>
      <c r="AM661" s="359" t="str">
        <f t="shared" si="156"/>
        <v/>
      </c>
      <c r="AN661" s="262">
        <f t="shared" si="159"/>
        <v>0</v>
      </c>
      <c r="AO661" s="262" t="str">
        <f>IFERROR(HLOOKUP(AN661,'Ref Lists'!Q$1:AL$2,2,FALSE),'Ref Lists'!$AK$2)</f>
        <v>Savings21</v>
      </c>
      <c r="AP661" s="38"/>
      <c r="AQ661" s="38">
        <f t="shared" si="148"/>
        <v>0</v>
      </c>
      <c r="AR661" s="38"/>
      <c r="AS661" s="38"/>
      <c r="AT661" s="38"/>
      <c r="AU661" s="38"/>
      <c r="AV661" s="38"/>
      <c r="AW661" s="38"/>
      <c r="AX661" s="38"/>
      <c r="AY661" s="38"/>
      <c r="AZ661" s="38"/>
      <c r="BA661" s="38"/>
      <c r="BB661" s="38"/>
      <c r="BC661" s="38"/>
      <c r="BD661" s="38"/>
      <c r="BE661" s="38"/>
      <c r="BF661" s="38"/>
      <c r="BG661" s="38"/>
      <c r="BH661" s="38"/>
      <c r="BI661" s="38"/>
      <c r="BJ661" s="38"/>
      <c r="BK661" s="38"/>
      <c r="BL661" s="38"/>
      <c r="BM661" s="38"/>
      <c r="BN661" s="38"/>
      <c r="BO661" s="38"/>
      <c r="BP661" s="38"/>
      <c r="BQ661" s="38"/>
      <c r="BR661" s="38"/>
      <c r="BS661" s="38"/>
      <c r="BT661" s="38"/>
      <c r="BU661" s="38"/>
      <c r="BV661" s="38"/>
      <c r="BW661" s="38"/>
      <c r="BX661" s="38"/>
      <c r="BY661" s="38"/>
      <c r="BZ661" s="38"/>
      <c r="CA661" s="38"/>
      <c r="CB661" s="38"/>
      <c r="CC661" s="38"/>
      <c r="CD661" s="38"/>
      <c r="CE661" s="38"/>
      <c r="CF661" s="38"/>
      <c r="CG661" s="38"/>
      <c r="CH661" s="38"/>
      <c r="CI661" s="38"/>
      <c r="CJ661" s="38"/>
      <c r="CK661" s="38"/>
      <c r="CL661" s="38"/>
      <c r="CM661" s="38"/>
      <c r="CN661" s="38"/>
      <c r="CO661" s="38"/>
      <c r="CP661" s="38"/>
      <c r="CQ661" s="38"/>
      <c r="CR661" s="38"/>
      <c r="CS661" s="38"/>
      <c r="CT661" s="38"/>
      <c r="CU661" s="38"/>
      <c r="CV661" s="38"/>
      <c r="CW661" s="38"/>
      <c r="CX661" s="38"/>
      <c r="CY661" s="38"/>
      <c r="CZ661" s="38"/>
    </row>
    <row r="662" spans="1:104" s="40" customFormat="1" ht="20.149999999999999" customHeight="1">
      <c r="A662" s="358">
        <f t="shared" si="157"/>
        <v>661</v>
      </c>
      <c r="B662" s="359" t="str">
        <f>'Front Sheet and Checklist'!$C$5</f>
        <v>Swansea Bay UHB</v>
      </c>
      <c r="C662" s="17"/>
      <c r="D662" s="17"/>
      <c r="E662" s="17"/>
      <c r="F662" s="17"/>
      <c r="G662" s="17"/>
      <c r="H662" s="17"/>
      <c r="I662" s="361">
        <f t="shared" si="147"/>
        <v>0</v>
      </c>
      <c r="J662" s="17"/>
      <c r="K662" s="18"/>
      <c r="L662" s="18"/>
      <c r="M662" s="17"/>
      <c r="N662" s="17"/>
      <c r="O662" s="17"/>
      <c r="P662" s="17"/>
      <c r="Q662" s="169"/>
      <c r="R662" s="24"/>
      <c r="S662" s="24"/>
      <c r="T662" s="24"/>
      <c r="U662" s="25"/>
      <c r="V662" s="25"/>
      <c r="W662" s="25"/>
      <c r="X662" s="24"/>
      <c r="Y662" s="24"/>
      <c r="Z662" s="24"/>
      <c r="AA662" s="24"/>
      <c r="AB662" s="24"/>
      <c r="AC662" s="24"/>
      <c r="AD662" s="361">
        <f t="shared" si="146"/>
        <v>0</v>
      </c>
      <c r="AE662" s="359" t="str">
        <f t="shared" si="149"/>
        <v/>
      </c>
      <c r="AF662" s="359" t="str">
        <f t="shared" si="158"/>
        <v/>
      </c>
      <c r="AG662" s="359" t="str">
        <f t="shared" si="150"/>
        <v/>
      </c>
      <c r="AH662" s="359" t="str">
        <f t="shared" si="151"/>
        <v/>
      </c>
      <c r="AI662" s="359" t="str">
        <f t="shared" si="152"/>
        <v/>
      </c>
      <c r="AJ662" s="359" t="str">
        <f t="shared" si="153"/>
        <v/>
      </c>
      <c r="AK662" s="359" t="str">
        <f t="shared" si="155"/>
        <v/>
      </c>
      <c r="AL662" s="359" t="str">
        <f t="shared" si="154"/>
        <v/>
      </c>
      <c r="AM662" s="359" t="str">
        <f t="shared" si="156"/>
        <v/>
      </c>
      <c r="AN662" s="262">
        <f t="shared" si="159"/>
        <v>0</v>
      </c>
      <c r="AO662" s="262" t="str">
        <f>IFERROR(HLOOKUP(AN662,'Ref Lists'!Q$1:AL$2,2,FALSE),'Ref Lists'!$AK$2)</f>
        <v>Savings21</v>
      </c>
      <c r="AP662" s="38"/>
      <c r="AQ662" s="38">
        <f t="shared" si="148"/>
        <v>0</v>
      </c>
      <c r="AR662" s="38"/>
      <c r="AS662" s="38"/>
      <c r="AT662" s="38"/>
      <c r="AU662" s="38"/>
      <c r="AV662" s="38"/>
      <c r="AW662" s="38"/>
      <c r="AX662" s="38"/>
      <c r="AY662" s="38"/>
      <c r="AZ662" s="38"/>
      <c r="BA662" s="38"/>
      <c r="BB662" s="38"/>
      <c r="BC662" s="38"/>
      <c r="BD662" s="38"/>
      <c r="BE662" s="38"/>
      <c r="BF662" s="38"/>
      <c r="BG662" s="38"/>
      <c r="BH662" s="38"/>
      <c r="BI662" s="38"/>
      <c r="BJ662" s="38"/>
      <c r="BK662" s="38"/>
      <c r="BL662" s="38"/>
      <c r="BM662" s="38"/>
      <c r="BN662" s="38"/>
      <c r="BO662" s="38"/>
      <c r="BP662" s="38"/>
      <c r="BQ662" s="38"/>
      <c r="BR662" s="38"/>
      <c r="BS662" s="38"/>
      <c r="BT662" s="38"/>
      <c r="BU662" s="38"/>
      <c r="BV662" s="38"/>
      <c r="BW662" s="38"/>
      <c r="BX662" s="38"/>
      <c r="BY662" s="38"/>
      <c r="BZ662" s="38"/>
      <c r="CA662" s="38"/>
      <c r="CB662" s="38"/>
      <c r="CC662" s="38"/>
      <c r="CD662" s="38"/>
      <c r="CE662" s="38"/>
      <c r="CF662" s="38"/>
      <c r="CG662" s="38"/>
      <c r="CH662" s="38"/>
      <c r="CI662" s="38"/>
      <c r="CJ662" s="38"/>
      <c r="CK662" s="38"/>
      <c r="CL662" s="38"/>
      <c r="CM662" s="38"/>
      <c r="CN662" s="38"/>
      <c r="CO662" s="38"/>
      <c r="CP662" s="38"/>
      <c r="CQ662" s="38"/>
      <c r="CR662" s="38"/>
      <c r="CS662" s="38"/>
      <c r="CT662" s="38"/>
      <c r="CU662" s="38"/>
      <c r="CV662" s="38"/>
      <c r="CW662" s="38"/>
      <c r="CX662" s="38"/>
      <c r="CY662" s="38"/>
      <c r="CZ662" s="38"/>
    </row>
    <row r="663" spans="1:104" s="40" customFormat="1" ht="20.149999999999999" customHeight="1">
      <c r="A663" s="358">
        <f t="shared" si="157"/>
        <v>662</v>
      </c>
      <c r="B663" s="359" t="str">
        <f>'Front Sheet and Checklist'!$C$5</f>
        <v>Swansea Bay UHB</v>
      </c>
      <c r="C663" s="17"/>
      <c r="D663" s="17"/>
      <c r="E663" s="17"/>
      <c r="F663" s="17"/>
      <c r="G663" s="17"/>
      <c r="H663" s="17"/>
      <c r="I663" s="361">
        <f t="shared" si="147"/>
        <v>0</v>
      </c>
      <c r="J663" s="17"/>
      <c r="K663" s="18"/>
      <c r="L663" s="18"/>
      <c r="M663" s="17"/>
      <c r="N663" s="17"/>
      <c r="O663" s="17"/>
      <c r="P663" s="17"/>
      <c r="Q663" s="169"/>
      <c r="R663" s="24"/>
      <c r="S663" s="24"/>
      <c r="T663" s="24"/>
      <c r="U663" s="25"/>
      <c r="V663" s="25"/>
      <c r="W663" s="25"/>
      <c r="X663" s="24"/>
      <c r="Y663" s="24"/>
      <c r="Z663" s="24"/>
      <c r="AA663" s="24"/>
      <c r="AB663" s="24"/>
      <c r="AC663" s="24"/>
      <c r="AD663" s="361">
        <f t="shared" si="146"/>
        <v>0</v>
      </c>
      <c r="AE663" s="359" t="str">
        <f t="shared" si="149"/>
        <v/>
      </c>
      <c r="AF663" s="359" t="str">
        <f t="shared" si="158"/>
        <v/>
      </c>
      <c r="AG663" s="359" t="str">
        <f t="shared" si="150"/>
        <v/>
      </c>
      <c r="AH663" s="359" t="str">
        <f t="shared" si="151"/>
        <v/>
      </c>
      <c r="AI663" s="359" t="str">
        <f t="shared" si="152"/>
        <v/>
      </c>
      <c r="AJ663" s="359" t="str">
        <f t="shared" si="153"/>
        <v/>
      </c>
      <c r="AK663" s="359" t="str">
        <f t="shared" si="155"/>
        <v/>
      </c>
      <c r="AL663" s="359" t="str">
        <f t="shared" si="154"/>
        <v/>
      </c>
      <c r="AM663" s="359" t="str">
        <f t="shared" si="156"/>
        <v/>
      </c>
      <c r="AN663" s="262">
        <f t="shared" si="159"/>
        <v>0</v>
      </c>
      <c r="AO663" s="262" t="str">
        <f>IFERROR(HLOOKUP(AN663,'Ref Lists'!Q$1:AL$2,2,FALSE),'Ref Lists'!$AK$2)</f>
        <v>Savings21</v>
      </c>
      <c r="AP663" s="38"/>
      <c r="AQ663" s="38">
        <f t="shared" si="148"/>
        <v>0</v>
      </c>
      <c r="AR663" s="38"/>
      <c r="AS663" s="38"/>
      <c r="AT663" s="38"/>
      <c r="AU663" s="38"/>
      <c r="AV663" s="38"/>
      <c r="AW663" s="38"/>
      <c r="AX663" s="38"/>
      <c r="AY663" s="38"/>
      <c r="AZ663" s="38"/>
      <c r="BA663" s="38"/>
      <c r="BB663" s="38"/>
      <c r="BC663" s="38"/>
      <c r="BD663" s="38"/>
      <c r="BE663" s="38"/>
      <c r="BF663" s="38"/>
      <c r="BG663" s="38"/>
      <c r="BH663" s="38"/>
      <c r="BI663" s="38"/>
      <c r="BJ663" s="38"/>
      <c r="BK663" s="38"/>
      <c r="BL663" s="38"/>
      <c r="BM663" s="38"/>
      <c r="BN663" s="38"/>
      <c r="BO663" s="38"/>
      <c r="BP663" s="38"/>
      <c r="BQ663" s="38"/>
      <c r="BR663" s="38"/>
      <c r="BS663" s="38"/>
      <c r="BT663" s="38"/>
      <c r="BU663" s="38"/>
      <c r="BV663" s="38"/>
      <c r="BW663" s="38"/>
      <c r="BX663" s="38"/>
      <c r="BY663" s="38"/>
      <c r="BZ663" s="38"/>
      <c r="CA663" s="38"/>
      <c r="CB663" s="38"/>
      <c r="CC663" s="38"/>
      <c r="CD663" s="38"/>
      <c r="CE663" s="38"/>
      <c r="CF663" s="38"/>
      <c r="CG663" s="38"/>
      <c r="CH663" s="38"/>
      <c r="CI663" s="38"/>
      <c r="CJ663" s="38"/>
      <c r="CK663" s="38"/>
      <c r="CL663" s="38"/>
      <c r="CM663" s="38"/>
      <c r="CN663" s="38"/>
      <c r="CO663" s="38"/>
      <c r="CP663" s="38"/>
      <c r="CQ663" s="38"/>
      <c r="CR663" s="38"/>
      <c r="CS663" s="38"/>
      <c r="CT663" s="38"/>
      <c r="CU663" s="38"/>
      <c r="CV663" s="38"/>
      <c r="CW663" s="38"/>
      <c r="CX663" s="38"/>
      <c r="CY663" s="38"/>
      <c r="CZ663" s="38"/>
    </row>
    <row r="664" spans="1:104" s="40" customFormat="1" ht="20.149999999999999" customHeight="1">
      <c r="A664" s="358">
        <f t="shared" si="157"/>
        <v>663</v>
      </c>
      <c r="B664" s="359" t="str">
        <f>'Front Sheet and Checklist'!$C$5</f>
        <v>Swansea Bay UHB</v>
      </c>
      <c r="C664" s="17"/>
      <c r="D664" s="17"/>
      <c r="E664" s="17"/>
      <c r="F664" s="17"/>
      <c r="G664" s="17"/>
      <c r="H664" s="17"/>
      <c r="I664" s="361">
        <f t="shared" si="147"/>
        <v>0</v>
      </c>
      <c r="J664" s="17"/>
      <c r="K664" s="18"/>
      <c r="L664" s="18"/>
      <c r="M664" s="17"/>
      <c r="N664" s="17"/>
      <c r="O664" s="17"/>
      <c r="P664" s="17"/>
      <c r="Q664" s="169"/>
      <c r="R664" s="24"/>
      <c r="S664" s="24"/>
      <c r="T664" s="24"/>
      <c r="U664" s="25"/>
      <c r="V664" s="25"/>
      <c r="W664" s="25"/>
      <c r="X664" s="24"/>
      <c r="Y664" s="24"/>
      <c r="Z664" s="24"/>
      <c r="AA664" s="24"/>
      <c r="AB664" s="24"/>
      <c r="AC664" s="24"/>
      <c r="AD664" s="361">
        <f t="shared" si="146"/>
        <v>0</v>
      </c>
      <c r="AE664" s="359" t="str">
        <f t="shared" si="149"/>
        <v/>
      </c>
      <c r="AF664" s="359" t="str">
        <f t="shared" si="158"/>
        <v/>
      </c>
      <c r="AG664" s="359" t="str">
        <f t="shared" si="150"/>
        <v/>
      </c>
      <c r="AH664" s="359" t="str">
        <f t="shared" si="151"/>
        <v/>
      </c>
      <c r="AI664" s="359" t="str">
        <f t="shared" si="152"/>
        <v/>
      </c>
      <c r="AJ664" s="359" t="str">
        <f t="shared" si="153"/>
        <v/>
      </c>
      <c r="AK664" s="359" t="str">
        <f t="shared" si="155"/>
        <v/>
      </c>
      <c r="AL664" s="359" t="str">
        <f t="shared" si="154"/>
        <v/>
      </c>
      <c r="AM664" s="359" t="str">
        <f t="shared" si="156"/>
        <v/>
      </c>
      <c r="AN664" s="262">
        <f t="shared" si="159"/>
        <v>0</v>
      </c>
      <c r="AO664" s="262" t="str">
        <f>IFERROR(HLOOKUP(AN664,'Ref Lists'!Q$1:AL$2,2,FALSE),'Ref Lists'!$AK$2)</f>
        <v>Savings21</v>
      </c>
      <c r="AP664" s="38"/>
      <c r="AQ664" s="38">
        <f t="shared" si="148"/>
        <v>0</v>
      </c>
      <c r="AR664" s="38"/>
      <c r="AS664" s="38"/>
      <c r="AT664" s="38"/>
      <c r="AU664" s="38"/>
      <c r="AV664" s="38"/>
      <c r="AW664" s="38"/>
      <c r="AX664" s="38"/>
      <c r="AY664" s="38"/>
      <c r="AZ664" s="38"/>
      <c r="BA664" s="38"/>
      <c r="BB664" s="38"/>
      <c r="BC664" s="38"/>
      <c r="BD664" s="38"/>
      <c r="BE664" s="38"/>
      <c r="BF664" s="38"/>
      <c r="BG664" s="38"/>
      <c r="BH664" s="38"/>
      <c r="BI664" s="38"/>
      <c r="BJ664" s="38"/>
      <c r="BK664" s="38"/>
      <c r="BL664" s="38"/>
      <c r="BM664" s="38"/>
      <c r="BN664" s="38"/>
      <c r="BO664" s="38"/>
      <c r="BP664" s="38"/>
      <c r="BQ664" s="38"/>
      <c r="BR664" s="38"/>
      <c r="BS664" s="38"/>
      <c r="BT664" s="38"/>
      <c r="BU664" s="38"/>
      <c r="BV664" s="38"/>
      <c r="BW664" s="38"/>
      <c r="BX664" s="38"/>
      <c r="BY664" s="38"/>
      <c r="BZ664" s="38"/>
      <c r="CA664" s="38"/>
      <c r="CB664" s="38"/>
      <c r="CC664" s="38"/>
      <c r="CD664" s="38"/>
      <c r="CE664" s="38"/>
      <c r="CF664" s="38"/>
      <c r="CG664" s="38"/>
      <c r="CH664" s="38"/>
      <c r="CI664" s="38"/>
      <c r="CJ664" s="38"/>
      <c r="CK664" s="38"/>
      <c r="CL664" s="38"/>
      <c r="CM664" s="38"/>
      <c r="CN664" s="38"/>
      <c r="CO664" s="38"/>
      <c r="CP664" s="38"/>
      <c r="CQ664" s="38"/>
      <c r="CR664" s="38"/>
      <c r="CS664" s="38"/>
      <c r="CT664" s="38"/>
      <c r="CU664" s="38"/>
      <c r="CV664" s="38"/>
      <c r="CW664" s="38"/>
      <c r="CX664" s="38"/>
      <c r="CY664" s="38"/>
      <c r="CZ664" s="38"/>
    </row>
    <row r="665" spans="1:104" s="40" customFormat="1" ht="20.149999999999999" customHeight="1">
      <c r="A665" s="358">
        <f t="shared" si="157"/>
        <v>664</v>
      </c>
      <c r="B665" s="359" t="str">
        <f>'Front Sheet and Checklist'!$C$5</f>
        <v>Swansea Bay UHB</v>
      </c>
      <c r="C665" s="17"/>
      <c r="D665" s="17"/>
      <c r="E665" s="17"/>
      <c r="F665" s="17"/>
      <c r="G665" s="17"/>
      <c r="H665" s="17"/>
      <c r="I665" s="361">
        <f t="shared" si="147"/>
        <v>0</v>
      </c>
      <c r="J665" s="17"/>
      <c r="K665" s="18"/>
      <c r="L665" s="18"/>
      <c r="M665" s="17"/>
      <c r="N665" s="17"/>
      <c r="O665" s="17"/>
      <c r="P665" s="17"/>
      <c r="Q665" s="169"/>
      <c r="R665" s="24"/>
      <c r="S665" s="24"/>
      <c r="T665" s="24"/>
      <c r="U665" s="25"/>
      <c r="V665" s="25"/>
      <c r="W665" s="25"/>
      <c r="X665" s="24"/>
      <c r="Y665" s="24"/>
      <c r="Z665" s="24"/>
      <c r="AA665" s="24"/>
      <c r="AB665" s="24"/>
      <c r="AC665" s="24"/>
      <c r="AD665" s="361">
        <f t="shared" si="146"/>
        <v>0</v>
      </c>
      <c r="AE665" s="359" t="str">
        <f t="shared" si="149"/>
        <v/>
      </c>
      <c r="AF665" s="359" t="str">
        <f t="shared" si="158"/>
        <v/>
      </c>
      <c r="AG665" s="359" t="str">
        <f t="shared" si="150"/>
        <v/>
      </c>
      <c r="AH665" s="359" t="str">
        <f t="shared" si="151"/>
        <v/>
      </c>
      <c r="AI665" s="359" t="str">
        <f t="shared" si="152"/>
        <v/>
      </c>
      <c r="AJ665" s="359" t="str">
        <f t="shared" si="153"/>
        <v/>
      </c>
      <c r="AK665" s="359" t="str">
        <f t="shared" si="155"/>
        <v/>
      </c>
      <c r="AL665" s="359" t="str">
        <f t="shared" si="154"/>
        <v/>
      </c>
      <c r="AM665" s="359" t="str">
        <f t="shared" si="156"/>
        <v/>
      </c>
      <c r="AN665" s="262">
        <f t="shared" si="159"/>
        <v>0</v>
      </c>
      <c r="AO665" s="262" t="str">
        <f>IFERROR(HLOOKUP(AN665,'Ref Lists'!Q$1:AL$2,2,FALSE),'Ref Lists'!$AK$2)</f>
        <v>Savings21</v>
      </c>
      <c r="AP665" s="38"/>
      <c r="AQ665" s="38">
        <f t="shared" si="148"/>
        <v>0</v>
      </c>
      <c r="AR665" s="38"/>
      <c r="AS665" s="38"/>
      <c r="AT665" s="38"/>
      <c r="AU665" s="38"/>
      <c r="AV665" s="38"/>
      <c r="AW665" s="38"/>
      <c r="AX665" s="38"/>
      <c r="AY665" s="38"/>
      <c r="AZ665" s="38"/>
      <c r="BA665" s="38"/>
      <c r="BB665" s="38"/>
      <c r="BC665" s="38"/>
      <c r="BD665" s="38"/>
      <c r="BE665" s="38"/>
      <c r="BF665" s="38"/>
      <c r="BG665" s="38"/>
      <c r="BH665" s="38"/>
      <c r="BI665" s="38"/>
      <c r="BJ665" s="38"/>
      <c r="BK665" s="38"/>
      <c r="BL665" s="38"/>
      <c r="BM665" s="38"/>
      <c r="BN665" s="38"/>
      <c r="BO665" s="38"/>
      <c r="BP665" s="38"/>
      <c r="BQ665" s="38"/>
      <c r="BR665" s="38"/>
      <c r="BS665" s="38"/>
      <c r="BT665" s="38"/>
      <c r="BU665" s="38"/>
      <c r="BV665" s="38"/>
      <c r="BW665" s="38"/>
      <c r="BX665" s="38"/>
      <c r="BY665" s="38"/>
      <c r="BZ665" s="38"/>
      <c r="CA665" s="38"/>
      <c r="CB665" s="38"/>
      <c r="CC665" s="38"/>
      <c r="CD665" s="38"/>
      <c r="CE665" s="38"/>
      <c r="CF665" s="38"/>
      <c r="CG665" s="38"/>
      <c r="CH665" s="38"/>
      <c r="CI665" s="38"/>
      <c r="CJ665" s="38"/>
      <c r="CK665" s="38"/>
      <c r="CL665" s="38"/>
      <c r="CM665" s="38"/>
      <c r="CN665" s="38"/>
      <c r="CO665" s="38"/>
      <c r="CP665" s="38"/>
      <c r="CQ665" s="38"/>
      <c r="CR665" s="38"/>
      <c r="CS665" s="38"/>
      <c r="CT665" s="38"/>
      <c r="CU665" s="38"/>
      <c r="CV665" s="38"/>
      <c r="CW665" s="38"/>
      <c r="CX665" s="38"/>
      <c r="CY665" s="38"/>
      <c r="CZ665" s="38"/>
    </row>
    <row r="666" spans="1:104" s="40" customFormat="1" ht="20.149999999999999" customHeight="1">
      <c r="A666" s="358">
        <f t="shared" si="157"/>
        <v>665</v>
      </c>
      <c r="B666" s="359" t="str">
        <f>'Front Sheet and Checklist'!$C$5</f>
        <v>Swansea Bay UHB</v>
      </c>
      <c r="C666" s="17"/>
      <c r="D666" s="17"/>
      <c r="E666" s="17"/>
      <c r="F666" s="17"/>
      <c r="G666" s="17"/>
      <c r="H666" s="17"/>
      <c r="I666" s="361">
        <f t="shared" si="147"/>
        <v>0</v>
      </c>
      <c r="J666" s="17"/>
      <c r="K666" s="18"/>
      <c r="L666" s="18"/>
      <c r="M666" s="17"/>
      <c r="N666" s="17"/>
      <c r="O666" s="17"/>
      <c r="P666" s="17"/>
      <c r="Q666" s="169"/>
      <c r="R666" s="24"/>
      <c r="S666" s="24"/>
      <c r="T666" s="24"/>
      <c r="U666" s="25"/>
      <c r="V666" s="25"/>
      <c r="W666" s="25"/>
      <c r="X666" s="24"/>
      <c r="Y666" s="24"/>
      <c r="Z666" s="24"/>
      <c r="AA666" s="24"/>
      <c r="AB666" s="24"/>
      <c r="AC666" s="24"/>
      <c r="AD666" s="361">
        <f t="shared" si="146"/>
        <v>0</v>
      </c>
      <c r="AE666" s="359" t="str">
        <f t="shared" si="149"/>
        <v/>
      </c>
      <c r="AF666" s="359" t="str">
        <f t="shared" si="158"/>
        <v/>
      </c>
      <c r="AG666" s="359" t="str">
        <f t="shared" si="150"/>
        <v/>
      </c>
      <c r="AH666" s="359" t="str">
        <f t="shared" si="151"/>
        <v/>
      </c>
      <c r="AI666" s="359" t="str">
        <f t="shared" si="152"/>
        <v/>
      </c>
      <c r="AJ666" s="359" t="str">
        <f t="shared" si="153"/>
        <v/>
      </c>
      <c r="AK666" s="359" t="str">
        <f t="shared" si="155"/>
        <v/>
      </c>
      <c r="AL666" s="359" t="str">
        <f t="shared" si="154"/>
        <v/>
      </c>
      <c r="AM666" s="359" t="str">
        <f t="shared" si="156"/>
        <v/>
      </c>
      <c r="AN666" s="262">
        <f t="shared" si="159"/>
        <v>0</v>
      </c>
      <c r="AO666" s="262" t="str">
        <f>IFERROR(HLOOKUP(AN666,'Ref Lists'!Q$1:AL$2,2,FALSE),'Ref Lists'!$AK$2)</f>
        <v>Savings21</v>
      </c>
      <c r="AP666" s="38"/>
      <c r="AQ666" s="38">
        <f t="shared" si="148"/>
        <v>0</v>
      </c>
      <c r="AR666" s="38"/>
      <c r="AS666" s="38"/>
      <c r="AT666" s="38"/>
      <c r="AU666" s="38"/>
      <c r="AV666" s="38"/>
      <c r="AW666" s="38"/>
      <c r="AX666" s="38"/>
      <c r="AY666" s="38"/>
      <c r="AZ666" s="38"/>
      <c r="BA666" s="38"/>
      <c r="BB666" s="38"/>
      <c r="BC666" s="38"/>
      <c r="BD666" s="38"/>
      <c r="BE666" s="38"/>
      <c r="BF666" s="38"/>
      <c r="BG666" s="38"/>
      <c r="BH666" s="38"/>
      <c r="BI666" s="38"/>
      <c r="BJ666" s="38"/>
      <c r="BK666" s="38"/>
      <c r="BL666" s="38"/>
      <c r="BM666" s="38"/>
      <c r="BN666" s="38"/>
      <c r="BO666" s="38"/>
      <c r="BP666" s="38"/>
      <c r="BQ666" s="38"/>
      <c r="BR666" s="38"/>
      <c r="BS666" s="38"/>
      <c r="BT666" s="38"/>
      <c r="BU666" s="38"/>
      <c r="BV666" s="38"/>
      <c r="BW666" s="38"/>
      <c r="BX666" s="38"/>
      <c r="BY666" s="38"/>
      <c r="BZ666" s="38"/>
      <c r="CA666" s="38"/>
      <c r="CB666" s="38"/>
      <c r="CC666" s="38"/>
      <c r="CD666" s="38"/>
      <c r="CE666" s="38"/>
      <c r="CF666" s="38"/>
      <c r="CG666" s="38"/>
      <c r="CH666" s="38"/>
      <c r="CI666" s="38"/>
      <c r="CJ666" s="38"/>
      <c r="CK666" s="38"/>
      <c r="CL666" s="38"/>
      <c r="CM666" s="38"/>
      <c r="CN666" s="38"/>
      <c r="CO666" s="38"/>
      <c r="CP666" s="38"/>
      <c r="CQ666" s="38"/>
      <c r="CR666" s="38"/>
      <c r="CS666" s="38"/>
      <c r="CT666" s="38"/>
      <c r="CU666" s="38"/>
      <c r="CV666" s="38"/>
      <c r="CW666" s="38"/>
      <c r="CX666" s="38"/>
      <c r="CY666" s="38"/>
      <c r="CZ666" s="38"/>
    </row>
    <row r="667" spans="1:104" s="40" customFormat="1" ht="20.149999999999999" customHeight="1">
      <c r="A667" s="358">
        <f t="shared" si="157"/>
        <v>666</v>
      </c>
      <c r="B667" s="359" t="str">
        <f>'Front Sheet and Checklist'!$C$5</f>
        <v>Swansea Bay UHB</v>
      </c>
      <c r="C667" s="17"/>
      <c r="D667" s="17"/>
      <c r="E667" s="17"/>
      <c r="F667" s="17"/>
      <c r="G667" s="17"/>
      <c r="H667" s="17"/>
      <c r="I667" s="361">
        <f t="shared" si="147"/>
        <v>0</v>
      </c>
      <c r="J667" s="17"/>
      <c r="K667" s="18"/>
      <c r="L667" s="18"/>
      <c r="M667" s="17"/>
      <c r="N667" s="17"/>
      <c r="O667" s="17"/>
      <c r="P667" s="17"/>
      <c r="Q667" s="169"/>
      <c r="R667" s="24"/>
      <c r="S667" s="24"/>
      <c r="T667" s="24"/>
      <c r="U667" s="25"/>
      <c r="V667" s="25"/>
      <c r="W667" s="25"/>
      <c r="X667" s="24"/>
      <c r="Y667" s="24"/>
      <c r="Z667" s="24"/>
      <c r="AA667" s="24"/>
      <c r="AB667" s="24"/>
      <c r="AC667" s="24"/>
      <c r="AD667" s="361">
        <f t="shared" si="146"/>
        <v>0</v>
      </c>
      <c r="AE667" s="359" t="str">
        <f t="shared" si="149"/>
        <v/>
      </c>
      <c r="AF667" s="359" t="str">
        <f t="shared" si="158"/>
        <v/>
      </c>
      <c r="AG667" s="359" t="str">
        <f t="shared" si="150"/>
        <v/>
      </c>
      <c r="AH667" s="359" t="str">
        <f t="shared" si="151"/>
        <v/>
      </c>
      <c r="AI667" s="359" t="str">
        <f t="shared" si="152"/>
        <v/>
      </c>
      <c r="AJ667" s="359" t="str">
        <f t="shared" si="153"/>
        <v/>
      </c>
      <c r="AK667" s="359" t="str">
        <f t="shared" si="155"/>
        <v/>
      </c>
      <c r="AL667" s="359" t="str">
        <f t="shared" si="154"/>
        <v/>
      </c>
      <c r="AM667" s="359" t="str">
        <f t="shared" si="156"/>
        <v/>
      </c>
      <c r="AN667" s="262">
        <f t="shared" si="159"/>
        <v>0</v>
      </c>
      <c r="AO667" s="262" t="str">
        <f>IFERROR(HLOOKUP(AN667,'Ref Lists'!Q$1:AL$2,2,FALSE),'Ref Lists'!$AK$2)</f>
        <v>Savings21</v>
      </c>
      <c r="AP667" s="38"/>
      <c r="AQ667" s="38">
        <f t="shared" si="148"/>
        <v>0</v>
      </c>
      <c r="AR667" s="38"/>
      <c r="AS667" s="38"/>
      <c r="AT667" s="38"/>
      <c r="AU667" s="38"/>
      <c r="AV667" s="38"/>
      <c r="AW667" s="38"/>
      <c r="AX667" s="38"/>
      <c r="AY667" s="38"/>
      <c r="AZ667" s="38"/>
      <c r="BA667" s="38"/>
      <c r="BB667" s="38"/>
      <c r="BC667" s="38"/>
      <c r="BD667" s="38"/>
      <c r="BE667" s="38"/>
      <c r="BF667" s="38"/>
      <c r="BG667" s="38"/>
      <c r="BH667" s="38"/>
      <c r="BI667" s="38"/>
      <c r="BJ667" s="38"/>
      <c r="BK667" s="38"/>
      <c r="BL667" s="38"/>
      <c r="BM667" s="38"/>
      <c r="BN667" s="38"/>
      <c r="BO667" s="38"/>
      <c r="BP667" s="38"/>
      <c r="BQ667" s="38"/>
      <c r="BR667" s="38"/>
      <c r="BS667" s="38"/>
      <c r="BT667" s="38"/>
      <c r="BU667" s="38"/>
      <c r="BV667" s="38"/>
      <c r="BW667" s="38"/>
      <c r="BX667" s="38"/>
      <c r="BY667" s="38"/>
      <c r="BZ667" s="38"/>
      <c r="CA667" s="38"/>
      <c r="CB667" s="38"/>
      <c r="CC667" s="38"/>
      <c r="CD667" s="38"/>
      <c r="CE667" s="38"/>
      <c r="CF667" s="38"/>
      <c r="CG667" s="38"/>
      <c r="CH667" s="38"/>
      <c r="CI667" s="38"/>
      <c r="CJ667" s="38"/>
      <c r="CK667" s="38"/>
      <c r="CL667" s="38"/>
      <c r="CM667" s="38"/>
      <c r="CN667" s="38"/>
      <c r="CO667" s="38"/>
      <c r="CP667" s="38"/>
      <c r="CQ667" s="38"/>
      <c r="CR667" s="38"/>
      <c r="CS667" s="38"/>
      <c r="CT667" s="38"/>
      <c r="CU667" s="38"/>
      <c r="CV667" s="38"/>
      <c r="CW667" s="38"/>
      <c r="CX667" s="38"/>
      <c r="CY667" s="38"/>
      <c r="CZ667" s="38"/>
    </row>
    <row r="668" spans="1:104" s="40" customFormat="1" ht="20.149999999999999" customHeight="1">
      <c r="A668" s="358">
        <f t="shared" si="157"/>
        <v>667</v>
      </c>
      <c r="B668" s="359" t="str">
        <f>'Front Sheet and Checklist'!$C$5</f>
        <v>Swansea Bay UHB</v>
      </c>
      <c r="C668" s="17"/>
      <c r="D668" s="17"/>
      <c r="E668" s="17"/>
      <c r="F668" s="17"/>
      <c r="G668" s="17"/>
      <c r="H668" s="17"/>
      <c r="I668" s="361">
        <f t="shared" si="147"/>
        <v>0</v>
      </c>
      <c r="J668" s="17"/>
      <c r="K668" s="18"/>
      <c r="L668" s="18"/>
      <c r="M668" s="17"/>
      <c r="N668" s="17"/>
      <c r="O668" s="17"/>
      <c r="P668" s="17"/>
      <c r="Q668" s="169"/>
      <c r="R668" s="24"/>
      <c r="S668" s="24"/>
      <c r="T668" s="24"/>
      <c r="U668" s="25"/>
      <c r="V668" s="25"/>
      <c r="W668" s="25"/>
      <c r="X668" s="24"/>
      <c r="Y668" s="24"/>
      <c r="Z668" s="24"/>
      <c r="AA668" s="24"/>
      <c r="AB668" s="24"/>
      <c r="AC668" s="24"/>
      <c r="AD668" s="361">
        <f t="shared" si="146"/>
        <v>0</v>
      </c>
      <c r="AE668" s="359" t="str">
        <f t="shared" si="149"/>
        <v/>
      </c>
      <c r="AF668" s="359" t="str">
        <f t="shared" si="158"/>
        <v/>
      </c>
      <c r="AG668" s="359" t="str">
        <f t="shared" si="150"/>
        <v/>
      </c>
      <c r="AH668" s="359" t="str">
        <f t="shared" si="151"/>
        <v/>
      </c>
      <c r="AI668" s="359" t="str">
        <f t="shared" si="152"/>
        <v/>
      </c>
      <c r="AJ668" s="359" t="str">
        <f t="shared" si="153"/>
        <v/>
      </c>
      <c r="AK668" s="359" t="str">
        <f t="shared" si="155"/>
        <v/>
      </c>
      <c r="AL668" s="359" t="str">
        <f t="shared" si="154"/>
        <v/>
      </c>
      <c r="AM668" s="359" t="str">
        <f t="shared" si="156"/>
        <v/>
      </c>
      <c r="AN668" s="262">
        <f t="shared" si="159"/>
        <v>0</v>
      </c>
      <c r="AO668" s="262" t="str">
        <f>IFERROR(HLOOKUP(AN668,'Ref Lists'!Q$1:AL$2,2,FALSE),'Ref Lists'!$AK$2)</f>
        <v>Savings21</v>
      </c>
      <c r="AP668" s="38"/>
      <c r="AQ668" s="38">
        <f t="shared" si="148"/>
        <v>0</v>
      </c>
      <c r="AR668" s="38"/>
      <c r="AS668" s="38"/>
      <c r="AT668" s="38"/>
      <c r="AU668" s="38"/>
      <c r="AV668" s="38"/>
      <c r="AW668" s="38"/>
      <c r="AX668" s="38"/>
      <c r="AY668" s="38"/>
      <c r="AZ668" s="38"/>
      <c r="BA668" s="38"/>
      <c r="BB668" s="38"/>
      <c r="BC668" s="38"/>
      <c r="BD668" s="38"/>
      <c r="BE668" s="38"/>
      <c r="BF668" s="38"/>
      <c r="BG668" s="38"/>
      <c r="BH668" s="38"/>
      <c r="BI668" s="38"/>
      <c r="BJ668" s="38"/>
      <c r="BK668" s="38"/>
      <c r="BL668" s="38"/>
      <c r="BM668" s="38"/>
      <c r="BN668" s="38"/>
      <c r="BO668" s="38"/>
      <c r="BP668" s="38"/>
      <c r="BQ668" s="38"/>
      <c r="BR668" s="38"/>
      <c r="BS668" s="38"/>
      <c r="BT668" s="38"/>
      <c r="BU668" s="38"/>
      <c r="BV668" s="38"/>
      <c r="BW668" s="38"/>
      <c r="BX668" s="38"/>
      <c r="BY668" s="38"/>
      <c r="BZ668" s="38"/>
      <c r="CA668" s="38"/>
      <c r="CB668" s="38"/>
      <c r="CC668" s="38"/>
      <c r="CD668" s="38"/>
      <c r="CE668" s="38"/>
      <c r="CF668" s="38"/>
      <c r="CG668" s="38"/>
      <c r="CH668" s="38"/>
      <c r="CI668" s="38"/>
      <c r="CJ668" s="38"/>
      <c r="CK668" s="38"/>
      <c r="CL668" s="38"/>
      <c r="CM668" s="38"/>
      <c r="CN668" s="38"/>
      <c r="CO668" s="38"/>
      <c r="CP668" s="38"/>
      <c r="CQ668" s="38"/>
      <c r="CR668" s="38"/>
      <c r="CS668" s="38"/>
      <c r="CT668" s="38"/>
      <c r="CU668" s="38"/>
      <c r="CV668" s="38"/>
      <c r="CW668" s="38"/>
      <c r="CX668" s="38"/>
      <c r="CY668" s="38"/>
      <c r="CZ668" s="38"/>
    </row>
    <row r="669" spans="1:104" s="40" customFormat="1" ht="20.149999999999999" customHeight="1">
      <c r="A669" s="358">
        <f t="shared" si="157"/>
        <v>668</v>
      </c>
      <c r="B669" s="359" t="str">
        <f>'Front Sheet and Checklist'!$C$5</f>
        <v>Swansea Bay UHB</v>
      </c>
      <c r="C669" s="17"/>
      <c r="D669" s="17"/>
      <c r="E669" s="17"/>
      <c r="F669" s="17"/>
      <c r="G669" s="17"/>
      <c r="H669" s="17"/>
      <c r="I669" s="361">
        <f t="shared" si="147"/>
        <v>0</v>
      </c>
      <c r="J669" s="17"/>
      <c r="K669" s="18"/>
      <c r="L669" s="18"/>
      <c r="M669" s="17"/>
      <c r="N669" s="17"/>
      <c r="O669" s="17"/>
      <c r="P669" s="17"/>
      <c r="Q669" s="169"/>
      <c r="R669" s="24"/>
      <c r="S669" s="24"/>
      <c r="T669" s="24"/>
      <c r="U669" s="25"/>
      <c r="V669" s="25"/>
      <c r="W669" s="25"/>
      <c r="X669" s="24"/>
      <c r="Y669" s="24"/>
      <c r="Z669" s="24"/>
      <c r="AA669" s="24"/>
      <c r="AB669" s="24"/>
      <c r="AC669" s="24"/>
      <c r="AD669" s="361">
        <f t="shared" si="146"/>
        <v>0</v>
      </c>
      <c r="AE669" s="359" t="str">
        <f t="shared" si="149"/>
        <v/>
      </c>
      <c r="AF669" s="359" t="str">
        <f t="shared" si="158"/>
        <v/>
      </c>
      <c r="AG669" s="359" t="str">
        <f t="shared" si="150"/>
        <v/>
      </c>
      <c r="AH669" s="359" t="str">
        <f t="shared" si="151"/>
        <v/>
      </c>
      <c r="AI669" s="359" t="str">
        <f t="shared" si="152"/>
        <v/>
      </c>
      <c r="AJ669" s="359" t="str">
        <f t="shared" si="153"/>
        <v/>
      </c>
      <c r="AK669" s="359" t="str">
        <f t="shared" si="155"/>
        <v/>
      </c>
      <c r="AL669" s="359" t="str">
        <f t="shared" si="154"/>
        <v/>
      </c>
      <c r="AM669" s="359" t="str">
        <f t="shared" si="156"/>
        <v/>
      </c>
      <c r="AN669" s="262">
        <f t="shared" si="159"/>
        <v>0</v>
      </c>
      <c r="AO669" s="262" t="str">
        <f>IFERROR(HLOOKUP(AN669,'Ref Lists'!Q$1:AL$2,2,FALSE),'Ref Lists'!$AK$2)</f>
        <v>Savings21</v>
      </c>
      <c r="AP669" s="38"/>
      <c r="AQ669" s="38">
        <f t="shared" si="148"/>
        <v>0</v>
      </c>
      <c r="AR669" s="38"/>
      <c r="AS669" s="38"/>
      <c r="AT669" s="38"/>
      <c r="AU669" s="38"/>
      <c r="AV669" s="38"/>
      <c r="AW669" s="38"/>
      <c r="AX669" s="38"/>
      <c r="AY669" s="38"/>
      <c r="AZ669" s="38"/>
      <c r="BA669" s="38"/>
      <c r="BB669" s="38"/>
      <c r="BC669" s="38"/>
      <c r="BD669" s="38"/>
      <c r="BE669" s="38"/>
      <c r="BF669" s="38"/>
      <c r="BG669" s="38"/>
      <c r="BH669" s="38"/>
      <c r="BI669" s="38"/>
      <c r="BJ669" s="38"/>
      <c r="BK669" s="38"/>
      <c r="BL669" s="38"/>
      <c r="BM669" s="38"/>
      <c r="BN669" s="38"/>
      <c r="BO669" s="38"/>
      <c r="BP669" s="38"/>
      <c r="BQ669" s="38"/>
      <c r="BR669" s="38"/>
      <c r="BS669" s="38"/>
      <c r="BT669" s="38"/>
      <c r="BU669" s="38"/>
      <c r="BV669" s="38"/>
      <c r="BW669" s="38"/>
      <c r="BX669" s="38"/>
      <c r="BY669" s="38"/>
      <c r="BZ669" s="38"/>
      <c r="CA669" s="38"/>
      <c r="CB669" s="38"/>
      <c r="CC669" s="38"/>
      <c r="CD669" s="38"/>
      <c r="CE669" s="38"/>
      <c r="CF669" s="38"/>
      <c r="CG669" s="38"/>
      <c r="CH669" s="38"/>
      <c r="CI669" s="38"/>
      <c r="CJ669" s="38"/>
      <c r="CK669" s="38"/>
      <c r="CL669" s="38"/>
      <c r="CM669" s="38"/>
      <c r="CN669" s="38"/>
      <c r="CO669" s="38"/>
      <c r="CP669" s="38"/>
      <c r="CQ669" s="38"/>
      <c r="CR669" s="38"/>
      <c r="CS669" s="38"/>
      <c r="CT669" s="38"/>
      <c r="CU669" s="38"/>
      <c r="CV669" s="38"/>
      <c r="CW669" s="38"/>
      <c r="CX669" s="38"/>
      <c r="CY669" s="38"/>
      <c r="CZ669" s="38"/>
    </row>
    <row r="670" spans="1:104" s="40" customFormat="1" ht="20.149999999999999" customHeight="1">
      <c r="A670" s="358">
        <f t="shared" si="157"/>
        <v>669</v>
      </c>
      <c r="B670" s="359" t="str">
        <f>'Front Sheet and Checklist'!$C$5</f>
        <v>Swansea Bay UHB</v>
      </c>
      <c r="C670" s="17"/>
      <c r="D670" s="17"/>
      <c r="E670" s="17"/>
      <c r="F670" s="17"/>
      <c r="G670" s="17"/>
      <c r="H670" s="17"/>
      <c r="I670" s="361">
        <f t="shared" si="147"/>
        <v>0</v>
      </c>
      <c r="J670" s="17"/>
      <c r="K670" s="18"/>
      <c r="L670" s="18"/>
      <c r="M670" s="17"/>
      <c r="N670" s="17"/>
      <c r="O670" s="17"/>
      <c r="P670" s="17"/>
      <c r="Q670" s="169"/>
      <c r="R670" s="24"/>
      <c r="S670" s="24"/>
      <c r="T670" s="24"/>
      <c r="U670" s="25"/>
      <c r="V670" s="25"/>
      <c r="W670" s="25"/>
      <c r="X670" s="24"/>
      <c r="Y670" s="24"/>
      <c r="Z670" s="24"/>
      <c r="AA670" s="24"/>
      <c r="AB670" s="24"/>
      <c r="AC670" s="24"/>
      <c r="AD670" s="361">
        <f t="shared" si="146"/>
        <v>0</v>
      </c>
      <c r="AE670" s="359" t="str">
        <f t="shared" si="149"/>
        <v/>
      </c>
      <c r="AF670" s="359" t="str">
        <f t="shared" si="158"/>
        <v/>
      </c>
      <c r="AG670" s="359" t="str">
        <f t="shared" si="150"/>
        <v/>
      </c>
      <c r="AH670" s="359" t="str">
        <f t="shared" si="151"/>
        <v/>
      </c>
      <c r="AI670" s="359" t="str">
        <f t="shared" si="152"/>
        <v/>
      </c>
      <c r="AJ670" s="359" t="str">
        <f t="shared" si="153"/>
        <v/>
      </c>
      <c r="AK670" s="359" t="str">
        <f t="shared" si="155"/>
        <v/>
      </c>
      <c r="AL670" s="359" t="str">
        <f t="shared" si="154"/>
        <v/>
      </c>
      <c r="AM670" s="359" t="str">
        <f t="shared" si="156"/>
        <v/>
      </c>
      <c r="AN670" s="262">
        <f t="shared" si="159"/>
        <v>0</v>
      </c>
      <c r="AO670" s="262" t="str">
        <f>IFERROR(HLOOKUP(AN670,'Ref Lists'!Q$1:AL$2,2,FALSE),'Ref Lists'!$AK$2)</f>
        <v>Savings21</v>
      </c>
      <c r="AP670" s="38"/>
      <c r="AQ670" s="38">
        <f t="shared" si="148"/>
        <v>0</v>
      </c>
      <c r="AR670" s="38"/>
      <c r="AS670" s="38"/>
      <c r="AT670" s="38"/>
      <c r="AU670" s="38"/>
      <c r="AV670" s="38"/>
      <c r="AW670" s="38"/>
      <c r="AX670" s="38"/>
      <c r="AY670" s="38"/>
      <c r="AZ670" s="38"/>
      <c r="BA670" s="38"/>
      <c r="BB670" s="38"/>
      <c r="BC670" s="38"/>
      <c r="BD670" s="38"/>
      <c r="BE670" s="38"/>
      <c r="BF670" s="38"/>
      <c r="BG670" s="38"/>
      <c r="BH670" s="38"/>
      <c r="BI670" s="38"/>
      <c r="BJ670" s="38"/>
      <c r="BK670" s="38"/>
      <c r="BL670" s="38"/>
      <c r="BM670" s="38"/>
      <c r="BN670" s="38"/>
      <c r="BO670" s="38"/>
      <c r="BP670" s="38"/>
      <c r="BQ670" s="38"/>
      <c r="BR670" s="38"/>
      <c r="BS670" s="38"/>
      <c r="BT670" s="38"/>
      <c r="BU670" s="38"/>
      <c r="BV670" s="38"/>
      <c r="BW670" s="38"/>
      <c r="BX670" s="38"/>
      <c r="BY670" s="38"/>
      <c r="BZ670" s="38"/>
      <c r="CA670" s="38"/>
      <c r="CB670" s="38"/>
      <c r="CC670" s="38"/>
      <c r="CD670" s="38"/>
      <c r="CE670" s="38"/>
      <c r="CF670" s="38"/>
      <c r="CG670" s="38"/>
      <c r="CH670" s="38"/>
      <c r="CI670" s="38"/>
      <c r="CJ670" s="38"/>
      <c r="CK670" s="38"/>
      <c r="CL670" s="38"/>
      <c r="CM670" s="38"/>
      <c r="CN670" s="38"/>
      <c r="CO670" s="38"/>
      <c r="CP670" s="38"/>
      <c r="CQ670" s="38"/>
      <c r="CR670" s="38"/>
      <c r="CS670" s="38"/>
      <c r="CT670" s="38"/>
      <c r="CU670" s="38"/>
      <c r="CV670" s="38"/>
      <c r="CW670" s="38"/>
      <c r="CX670" s="38"/>
      <c r="CY670" s="38"/>
      <c r="CZ670" s="38"/>
    </row>
    <row r="671" spans="1:104" s="40" customFormat="1" ht="20.149999999999999" customHeight="1">
      <c r="A671" s="358">
        <f t="shared" si="157"/>
        <v>670</v>
      </c>
      <c r="B671" s="359" t="str">
        <f>'Front Sheet and Checklist'!$C$5</f>
        <v>Swansea Bay UHB</v>
      </c>
      <c r="C671" s="17"/>
      <c r="D671" s="17"/>
      <c r="E671" s="17"/>
      <c r="F671" s="17"/>
      <c r="G671" s="17"/>
      <c r="H671" s="17"/>
      <c r="I671" s="361">
        <f t="shared" si="147"/>
        <v>0</v>
      </c>
      <c r="J671" s="17"/>
      <c r="K671" s="18"/>
      <c r="L671" s="18"/>
      <c r="M671" s="17"/>
      <c r="N671" s="17"/>
      <c r="O671" s="17"/>
      <c r="P671" s="17"/>
      <c r="Q671" s="169"/>
      <c r="R671" s="24"/>
      <c r="S671" s="24"/>
      <c r="T671" s="24"/>
      <c r="U671" s="25"/>
      <c r="V671" s="25"/>
      <c r="W671" s="25"/>
      <c r="X671" s="24"/>
      <c r="Y671" s="24"/>
      <c r="Z671" s="24"/>
      <c r="AA671" s="24"/>
      <c r="AB671" s="24"/>
      <c r="AC671" s="24"/>
      <c r="AD671" s="361">
        <f t="shared" si="146"/>
        <v>0</v>
      </c>
      <c r="AE671" s="359" t="str">
        <f t="shared" si="149"/>
        <v/>
      </c>
      <c r="AF671" s="359" t="str">
        <f t="shared" si="158"/>
        <v/>
      </c>
      <c r="AG671" s="359" t="str">
        <f t="shared" si="150"/>
        <v/>
      </c>
      <c r="AH671" s="359" t="str">
        <f t="shared" si="151"/>
        <v/>
      </c>
      <c r="AI671" s="359" t="str">
        <f t="shared" si="152"/>
        <v/>
      </c>
      <c r="AJ671" s="359" t="str">
        <f t="shared" si="153"/>
        <v/>
      </c>
      <c r="AK671" s="359" t="str">
        <f t="shared" si="155"/>
        <v/>
      </c>
      <c r="AL671" s="359" t="str">
        <f t="shared" si="154"/>
        <v/>
      </c>
      <c r="AM671" s="359" t="str">
        <f t="shared" si="156"/>
        <v/>
      </c>
      <c r="AN671" s="262">
        <f t="shared" si="159"/>
        <v>0</v>
      </c>
      <c r="AO671" s="262" t="str">
        <f>IFERROR(HLOOKUP(AN671,'Ref Lists'!Q$1:AL$2,2,FALSE),'Ref Lists'!$AK$2)</f>
        <v>Savings21</v>
      </c>
      <c r="AP671" s="38"/>
      <c r="AQ671" s="38">
        <f t="shared" si="148"/>
        <v>0</v>
      </c>
      <c r="AR671" s="38"/>
      <c r="AS671" s="38"/>
      <c r="AT671" s="38"/>
      <c r="AU671" s="38"/>
      <c r="AV671" s="38"/>
      <c r="AW671" s="38"/>
      <c r="AX671" s="38"/>
      <c r="AY671" s="38"/>
      <c r="AZ671" s="38"/>
      <c r="BA671" s="38"/>
      <c r="BB671" s="38"/>
      <c r="BC671" s="38"/>
      <c r="BD671" s="38"/>
      <c r="BE671" s="38"/>
      <c r="BF671" s="38"/>
      <c r="BG671" s="38"/>
      <c r="BH671" s="38"/>
      <c r="BI671" s="38"/>
      <c r="BJ671" s="38"/>
      <c r="BK671" s="38"/>
      <c r="BL671" s="38"/>
      <c r="BM671" s="38"/>
      <c r="BN671" s="38"/>
      <c r="BO671" s="38"/>
      <c r="BP671" s="38"/>
      <c r="BQ671" s="38"/>
      <c r="BR671" s="38"/>
      <c r="BS671" s="38"/>
      <c r="BT671" s="38"/>
      <c r="BU671" s="38"/>
      <c r="BV671" s="38"/>
      <c r="BW671" s="38"/>
      <c r="BX671" s="38"/>
      <c r="BY671" s="38"/>
      <c r="BZ671" s="38"/>
      <c r="CA671" s="38"/>
      <c r="CB671" s="38"/>
      <c r="CC671" s="38"/>
      <c r="CD671" s="38"/>
      <c r="CE671" s="38"/>
      <c r="CF671" s="38"/>
      <c r="CG671" s="38"/>
      <c r="CH671" s="38"/>
      <c r="CI671" s="38"/>
      <c r="CJ671" s="38"/>
      <c r="CK671" s="38"/>
      <c r="CL671" s="38"/>
      <c r="CM671" s="38"/>
      <c r="CN671" s="38"/>
      <c r="CO671" s="38"/>
      <c r="CP671" s="38"/>
      <c r="CQ671" s="38"/>
      <c r="CR671" s="38"/>
      <c r="CS671" s="38"/>
      <c r="CT671" s="38"/>
      <c r="CU671" s="38"/>
      <c r="CV671" s="38"/>
      <c r="CW671" s="38"/>
      <c r="CX671" s="38"/>
      <c r="CY671" s="38"/>
      <c r="CZ671" s="38"/>
    </row>
    <row r="672" spans="1:104" s="40" customFormat="1" ht="20.149999999999999" customHeight="1">
      <c r="A672" s="358">
        <f t="shared" si="157"/>
        <v>671</v>
      </c>
      <c r="B672" s="359" t="str">
        <f>'Front Sheet and Checklist'!$C$5</f>
        <v>Swansea Bay UHB</v>
      </c>
      <c r="C672" s="17"/>
      <c r="D672" s="17"/>
      <c r="E672" s="17"/>
      <c r="F672" s="17"/>
      <c r="G672" s="17"/>
      <c r="H672" s="17"/>
      <c r="I672" s="361">
        <f t="shared" si="147"/>
        <v>0</v>
      </c>
      <c r="J672" s="17"/>
      <c r="K672" s="18"/>
      <c r="L672" s="18"/>
      <c r="M672" s="17"/>
      <c r="N672" s="17"/>
      <c r="O672" s="17"/>
      <c r="P672" s="17"/>
      <c r="Q672" s="169"/>
      <c r="R672" s="24"/>
      <c r="S672" s="24"/>
      <c r="T672" s="24"/>
      <c r="U672" s="25"/>
      <c r="V672" s="25"/>
      <c r="W672" s="25"/>
      <c r="X672" s="24"/>
      <c r="Y672" s="24"/>
      <c r="Z672" s="24"/>
      <c r="AA672" s="24"/>
      <c r="AB672" s="24"/>
      <c r="AC672" s="24"/>
      <c r="AD672" s="361">
        <f t="shared" si="146"/>
        <v>0</v>
      </c>
      <c r="AE672" s="359" t="str">
        <f t="shared" si="149"/>
        <v/>
      </c>
      <c r="AF672" s="359" t="str">
        <f t="shared" si="158"/>
        <v/>
      </c>
      <c r="AG672" s="359" t="str">
        <f t="shared" si="150"/>
        <v/>
      </c>
      <c r="AH672" s="359" t="str">
        <f t="shared" si="151"/>
        <v/>
      </c>
      <c r="AI672" s="359" t="str">
        <f t="shared" si="152"/>
        <v/>
      </c>
      <c r="AJ672" s="359" t="str">
        <f t="shared" si="153"/>
        <v/>
      </c>
      <c r="AK672" s="359" t="str">
        <f t="shared" si="155"/>
        <v/>
      </c>
      <c r="AL672" s="359" t="str">
        <f t="shared" si="154"/>
        <v/>
      </c>
      <c r="AM672" s="359" t="str">
        <f t="shared" si="156"/>
        <v/>
      </c>
      <c r="AN672" s="262">
        <f t="shared" si="159"/>
        <v>0</v>
      </c>
      <c r="AO672" s="262" t="str">
        <f>IFERROR(HLOOKUP(AN672,'Ref Lists'!Q$1:AL$2,2,FALSE),'Ref Lists'!$AK$2)</f>
        <v>Savings21</v>
      </c>
      <c r="AP672" s="38"/>
      <c r="AQ672" s="38">
        <f t="shared" si="148"/>
        <v>0</v>
      </c>
      <c r="AR672" s="38"/>
      <c r="AS672" s="38"/>
      <c r="AT672" s="38"/>
      <c r="AU672" s="38"/>
      <c r="AV672" s="38"/>
      <c r="AW672" s="38"/>
      <c r="AX672" s="38"/>
      <c r="AY672" s="38"/>
      <c r="AZ672" s="38"/>
      <c r="BA672" s="38"/>
      <c r="BB672" s="38"/>
      <c r="BC672" s="38"/>
      <c r="BD672" s="38"/>
      <c r="BE672" s="38"/>
      <c r="BF672" s="38"/>
      <c r="BG672" s="38"/>
      <c r="BH672" s="38"/>
      <c r="BI672" s="38"/>
      <c r="BJ672" s="38"/>
      <c r="BK672" s="38"/>
      <c r="BL672" s="38"/>
      <c r="BM672" s="38"/>
      <c r="BN672" s="38"/>
      <c r="BO672" s="38"/>
      <c r="BP672" s="38"/>
      <c r="BQ672" s="38"/>
      <c r="BR672" s="38"/>
      <c r="BS672" s="38"/>
      <c r="BT672" s="38"/>
      <c r="BU672" s="38"/>
      <c r="BV672" s="38"/>
      <c r="BW672" s="38"/>
      <c r="BX672" s="38"/>
      <c r="BY672" s="38"/>
      <c r="BZ672" s="38"/>
      <c r="CA672" s="38"/>
      <c r="CB672" s="38"/>
      <c r="CC672" s="38"/>
      <c r="CD672" s="38"/>
      <c r="CE672" s="38"/>
      <c r="CF672" s="38"/>
      <c r="CG672" s="38"/>
      <c r="CH672" s="38"/>
      <c r="CI672" s="38"/>
      <c r="CJ672" s="38"/>
      <c r="CK672" s="38"/>
      <c r="CL672" s="38"/>
      <c r="CM672" s="38"/>
      <c r="CN672" s="38"/>
      <c r="CO672" s="38"/>
      <c r="CP672" s="38"/>
      <c r="CQ672" s="38"/>
      <c r="CR672" s="38"/>
      <c r="CS672" s="38"/>
      <c r="CT672" s="38"/>
      <c r="CU672" s="38"/>
      <c r="CV672" s="38"/>
      <c r="CW672" s="38"/>
      <c r="CX672" s="38"/>
      <c r="CY672" s="38"/>
      <c r="CZ672" s="38"/>
    </row>
    <row r="673" spans="1:104" s="40" customFormat="1" ht="20.149999999999999" customHeight="1">
      <c r="A673" s="358">
        <f t="shared" si="157"/>
        <v>672</v>
      </c>
      <c r="B673" s="359" t="str">
        <f>'Front Sheet and Checklist'!$C$5</f>
        <v>Swansea Bay UHB</v>
      </c>
      <c r="C673" s="17"/>
      <c r="D673" s="17"/>
      <c r="E673" s="17"/>
      <c r="F673" s="17"/>
      <c r="G673" s="17"/>
      <c r="H673" s="17"/>
      <c r="I673" s="361">
        <f t="shared" si="147"/>
        <v>0</v>
      </c>
      <c r="J673" s="17"/>
      <c r="K673" s="18"/>
      <c r="L673" s="18"/>
      <c r="M673" s="17"/>
      <c r="N673" s="17"/>
      <c r="O673" s="17"/>
      <c r="P673" s="17"/>
      <c r="Q673" s="169"/>
      <c r="R673" s="24"/>
      <c r="S673" s="24"/>
      <c r="T673" s="24"/>
      <c r="U673" s="25"/>
      <c r="V673" s="25"/>
      <c r="W673" s="25"/>
      <c r="X673" s="24"/>
      <c r="Y673" s="24"/>
      <c r="Z673" s="24"/>
      <c r="AA673" s="24"/>
      <c r="AB673" s="24"/>
      <c r="AC673" s="24"/>
      <c r="AD673" s="361">
        <f t="shared" si="146"/>
        <v>0</v>
      </c>
      <c r="AE673" s="359" t="str">
        <f t="shared" si="149"/>
        <v/>
      </c>
      <c r="AF673" s="359" t="str">
        <f t="shared" si="158"/>
        <v/>
      </c>
      <c r="AG673" s="359" t="str">
        <f t="shared" si="150"/>
        <v/>
      </c>
      <c r="AH673" s="359" t="str">
        <f t="shared" si="151"/>
        <v/>
      </c>
      <c r="AI673" s="359" t="str">
        <f t="shared" si="152"/>
        <v/>
      </c>
      <c r="AJ673" s="359" t="str">
        <f t="shared" si="153"/>
        <v/>
      </c>
      <c r="AK673" s="359" t="str">
        <f t="shared" si="155"/>
        <v/>
      </c>
      <c r="AL673" s="359" t="str">
        <f t="shared" si="154"/>
        <v/>
      </c>
      <c r="AM673" s="359" t="str">
        <f t="shared" si="156"/>
        <v/>
      </c>
      <c r="AN673" s="262">
        <f t="shared" si="159"/>
        <v>0</v>
      </c>
      <c r="AO673" s="262" t="str">
        <f>IFERROR(HLOOKUP(AN673,'Ref Lists'!Q$1:AL$2,2,FALSE),'Ref Lists'!$AK$2)</f>
        <v>Savings21</v>
      </c>
      <c r="AP673" s="38"/>
      <c r="AQ673" s="38">
        <f t="shared" si="148"/>
        <v>0</v>
      </c>
      <c r="AR673" s="38"/>
      <c r="AS673" s="38"/>
      <c r="AT673" s="38"/>
      <c r="AU673" s="38"/>
      <c r="AV673" s="38"/>
      <c r="AW673" s="38"/>
      <c r="AX673" s="38"/>
      <c r="AY673" s="38"/>
      <c r="AZ673" s="38"/>
      <c r="BA673" s="38"/>
      <c r="BB673" s="38"/>
      <c r="BC673" s="38"/>
      <c r="BD673" s="38"/>
      <c r="BE673" s="38"/>
      <c r="BF673" s="38"/>
      <c r="BG673" s="38"/>
      <c r="BH673" s="38"/>
      <c r="BI673" s="38"/>
      <c r="BJ673" s="38"/>
      <c r="BK673" s="38"/>
      <c r="BL673" s="38"/>
      <c r="BM673" s="38"/>
      <c r="BN673" s="38"/>
      <c r="BO673" s="38"/>
      <c r="BP673" s="38"/>
      <c r="BQ673" s="38"/>
      <c r="BR673" s="38"/>
      <c r="BS673" s="38"/>
      <c r="BT673" s="38"/>
      <c r="BU673" s="38"/>
      <c r="BV673" s="38"/>
      <c r="BW673" s="38"/>
      <c r="BX673" s="38"/>
      <c r="BY673" s="38"/>
      <c r="BZ673" s="38"/>
      <c r="CA673" s="38"/>
      <c r="CB673" s="38"/>
      <c r="CC673" s="38"/>
      <c r="CD673" s="38"/>
      <c r="CE673" s="38"/>
      <c r="CF673" s="38"/>
      <c r="CG673" s="38"/>
      <c r="CH673" s="38"/>
      <c r="CI673" s="38"/>
      <c r="CJ673" s="38"/>
      <c r="CK673" s="38"/>
      <c r="CL673" s="38"/>
      <c r="CM673" s="38"/>
      <c r="CN673" s="38"/>
      <c r="CO673" s="38"/>
      <c r="CP673" s="38"/>
      <c r="CQ673" s="38"/>
      <c r="CR673" s="38"/>
      <c r="CS673" s="38"/>
      <c r="CT673" s="38"/>
      <c r="CU673" s="38"/>
      <c r="CV673" s="38"/>
      <c r="CW673" s="38"/>
      <c r="CX673" s="38"/>
      <c r="CY673" s="38"/>
      <c r="CZ673" s="38"/>
    </row>
    <row r="674" spans="1:104" s="40" customFormat="1" ht="20.149999999999999" customHeight="1">
      <c r="A674" s="358">
        <f t="shared" si="157"/>
        <v>673</v>
      </c>
      <c r="B674" s="359" t="str">
        <f>'Front Sheet and Checklist'!$C$5</f>
        <v>Swansea Bay UHB</v>
      </c>
      <c r="C674" s="17"/>
      <c r="D674" s="17"/>
      <c r="E674" s="17"/>
      <c r="F674" s="17"/>
      <c r="G674" s="17"/>
      <c r="H674" s="17"/>
      <c r="I674" s="361">
        <f t="shared" si="147"/>
        <v>0</v>
      </c>
      <c r="J674" s="17"/>
      <c r="K674" s="18"/>
      <c r="L674" s="18"/>
      <c r="M674" s="17"/>
      <c r="N674" s="17"/>
      <c r="O674" s="17"/>
      <c r="P674" s="17"/>
      <c r="Q674" s="169"/>
      <c r="R674" s="24"/>
      <c r="S674" s="24"/>
      <c r="T674" s="24"/>
      <c r="U674" s="25"/>
      <c r="V674" s="25"/>
      <c r="W674" s="25"/>
      <c r="X674" s="24"/>
      <c r="Y674" s="24"/>
      <c r="Z674" s="24"/>
      <c r="AA674" s="24"/>
      <c r="AB674" s="24"/>
      <c r="AC674" s="24"/>
      <c r="AD674" s="361">
        <f t="shared" si="146"/>
        <v>0</v>
      </c>
      <c r="AE674" s="359" t="str">
        <f t="shared" si="149"/>
        <v/>
      </c>
      <c r="AF674" s="359" t="str">
        <f t="shared" si="158"/>
        <v/>
      </c>
      <c r="AG674" s="359" t="str">
        <f t="shared" si="150"/>
        <v/>
      </c>
      <c r="AH674" s="359" t="str">
        <f t="shared" si="151"/>
        <v/>
      </c>
      <c r="AI674" s="359" t="str">
        <f t="shared" si="152"/>
        <v/>
      </c>
      <c r="AJ674" s="359" t="str">
        <f t="shared" si="153"/>
        <v/>
      </c>
      <c r="AK674" s="359" t="str">
        <f t="shared" si="155"/>
        <v/>
      </c>
      <c r="AL674" s="359" t="str">
        <f t="shared" si="154"/>
        <v/>
      </c>
      <c r="AM674" s="359" t="str">
        <f t="shared" si="156"/>
        <v/>
      </c>
      <c r="AN674" s="262">
        <f t="shared" si="159"/>
        <v>0</v>
      </c>
      <c r="AO674" s="262" t="str">
        <f>IFERROR(HLOOKUP(AN674,'Ref Lists'!Q$1:AL$2,2,FALSE),'Ref Lists'!$AK$2)</f>
        <v>Savings21</v>
      </c>
      <c r="AP674" s="38"/>
      <c r="AQ674" s="38">
        <f t="shared" si="148"/>
        <v>0</v>
      </c>
      <c r="AR674" s="38"/>
      <c r="AS674" s="38"/>
      <c r="AT674" s="38"/>
      <c r="AU674" s="38"/>
      <c r="AV674" s="38"/>
      <c r="AW674" s="38"/>
      <c r="AX674" s="38"/>
      <c r="AY674" s="38"/>
      <c r="AZ674" s="38"/>
      <c r="BA674" s="38"/>
      <c r="BB674" s="38"/>
      <c r="BC674" s="38"/>
      <c r="BD674" s="38"/>
      <c r="BE674" s="38"/>
      <c r="BF674" s="38"/>
      <c r="BG674" s="38"/>
      <c r="BH674" s="38"/>
      <c r="BI674" s="38"/>
      <c r="BJ674" s="38"/>
      <c r="BK674" s="38"/>
      <c r="BL674" s="38"/>
      <c r="BM674" s="38"/>
      <c r="BN674" s="38"/>
      <c r="BO674" s="38"/>
      <c r="BP674" s="38"/>
      <c r="BQ674" s="38"/>
      <c r="BR674" s="38"/>
      <c r="BS674" s="38"/>
      <c r="BT674" s="38"/>
      <c r="BU674" s="38"/>
      <c r="BV674" s="38"/>
      <c r="BW674" s="38"/>
      <c r="BX674" s="38"/>
      <c r="BY674" s="38"/>
      <c r="BZ674" s="38"/>
      <c r="CA674" s="38"/>
      <c r="CB674" s="38"/>
      <c r="CC674" s="38"/>
      <c r="CD674" s="38"/>
      <c r="CE674" s="38"/>
      <c r="CF674" s="38"/>
      <c r="CG674" s="38"/>
      <c r="CH674" s="38"/>
      <c r="CI674" s="38"/>
      <c r="CJ674" s="38"/>
      <c r="CK674" s="38"/>
      <c r="CL674" s="38"/>
      <c r="CM674" s="38"/>
      <c r="CN674" s="38"/>
      <c r="CO674" s="38"/>
      <c r="CP674" s="38"/>
      <c r="CQ674" s="38"/>
      <c r="CR674" s="38"/>
      <c r="CS674" s="38"/>
      <c r="CT674" s="38"/>
      <c r="CU674" s="38"/>
      <c r="CV674" s="38"/>
      <c r="CW674" s="38"/>
      <c r="CX674" s="38"/>
      <c r="CY674" s="38"/>
      <c r="CZ674" s="38"/>
    </row>
    <row r="675" spans="1:104" s="40" customFormat="1" ht="20.149999999999999" customHeight="1">
      <c r="A675" s="358">
        <f t="shared" si="157"/>
        <v>674</v>
      </c>
      <c r="B675" s="359" t="str">
        <f>'Front Sheet and Checklist'!$C$5</f>
        <v>Swansea Bay UHB</v>
      </c>
      <c r="C675" s="17"/>
      <c r="D675" s="17"/>
      <c r="E675" s="17"/>
      <c r="F675" s="17"/>
      <c r="G675" s="17"/>
      <c r="H675" s="17"/>
      <c r="I675" s="361">
        <f t="shared" si="147"/>
        <v>0</v>
      </c>
      <c r="J675" s="17"/>
      <c r="K675" s="18"/>
      <c r="L675" s="18"/>
      <c r="M675" s="17"/>
      <c r="N675" s="17"/>
      <c r="O675" s="17"/>
      <c r="P675" s="17"/>
      <c r="Q675" s="169"/>
      <c r="R675" s="24"/>
      <c r="S675" s="24"/>
      <c r="T675" s="24"/>
      <c r="U675" s="25"/>
      <c r="V675" s="25"/>
      <c r="W675" s="25"/>
      <c r="X675" s="24"/>
      <c r="Y675" s="24"/>
      <c r="Z675" s="24"/>
      <c r="AA675" s="24"/>
      <c r="AB675" s="24"/>
      <c r="AC675" s="24"/>
      <c r="AD675" s="361">
        <f t="shared" si="146"/>
        <v>0</v>
      </c>
      <c r="AE675" s="359" t="str">
        <f t="shared" si="149"/>
        <v/>
      </c>
      <c r="AF675" s="359" t="str">
        <f t="shared" si="158"/>
        <v/>
      </c>
      <c r="AG675" s="359" t="str">
        <f t="shared" si="150"/>
        <v/>
      </c>
      <c r="AH675" s="359" t="str">
        <f t="shared" si="151"/>
        <v/>
      </c>
      <c r="AI675" s="359" t="str">
        <f t="shared" si="152"/>
        <v/>
      </c>
      <c r="AJ675" s="359" t="str">
        <f t="shared" si="153"/>
        <v/>
      </c>
      <c r="AK675" s="359" t="str">
        <f t="shared" si="155"/>
        <v/>
      </c>
      <c r="AL675" s="359" t="str">
        <f t="shared" si="154"/>
        <v/>
      </c>
      <c r="AM675" s="359" t="str">
        <f t="shared" si="156"/>
        <v/>
      </c>
      <c r="AN675" s="262">
        <f t="shared" si="159"/>
        <v>0</v>
      </c>
      <c r="AO675" s="262" t="str">
        <f>IFERROR(HLOOKUP(AN675,'Ref Lists'!Q$1:AL$2,2,FALSE),'Ref Lists'!$AK$2)</f>
        <v>Savings21</v>
      </c>
      <c r="AP675" s="38"/>
      <c r="AQ675" s="38">
        <f t="shared" si="148"/>
        <v>0</v>
      </c>
      <c r="AR675" s="38"/>
      <c r="AS675" s="38"/>
      <c r="AT675" s="38"/>
      <c r="AU675" s="38"/>
      <c r="AV675" s="38"/>
      <c r="AW675" s="38"/>
      <c r="AX675" s="38"/>
      <c r="AY675" s="38"/>
      <c r="AZ675" s="38"/>
      <c r="BA675" s="38"/>
      <c r="BB675" s="38"/>
      <c r="BC675" s="38"/>
      <c r="BD675" s="38"/>
      <c r="BE675" s="38"/>
      <c r="BF675" s="38"/>
      <c r="BG675" s="38"/>
      <c r="BH675" s="38"/>
      <c r="BI675" s="38"/>
      <c r="BJ675" s="38"/>
      <c r="BK675" s="38"/>
      <c r="BL675" s="38"/>
      <c r="BM675" s="38"/>
      <c r="BN675" s="38"/>
      <c r="BO675" s="38"/>
      <c r="BP675" s="38"/>
      <c r="BQ675" s="38"/>
      <c r="BR675" s="38"/>
      <c r="BS675" s="38"/>
      <c r="BT675" s="38"/>
      <c r="BU675" s="38"/>
      <c r="BV675" s="38"/>
      <c r="BW675" s="38"/>
      <c r="BX675" s="38"/>
      <c r="BY675" s="38"/>
      <c r="BZ675" s="38"/>
      <c r="CA675" s="38"/>
      <c r="CB675" s="38"/>
      <c r="CC675" s="38"/>
      <c r="CD675" s="38"/>
      <c r="CE675" s="38"/>
      <c r="CF675" s="38"/>
      <c r="CG675" s="38"/>
      <c r="CH675" s="38"/>
      <c r="CI675" s="38"/>
      <c r="CJ675" s="38"/>
      <c r="CK675" s="38"/>
      <c r="CL675" s="38"/>
      <c r="CM675" s="38"/>
      <c r="CN675" s="38"/>
      <c r="CO675" s="38"/>
      <c r="CP675" s="38"/>
      <c r="CQ675" s="38"/>
      <c r="CR675" s="38"/>
      <c r="CS675" s="38"/>
      <c r="CT675" s="38"/>
      <c r="CU675" s="38"/>
      <c r="CV675" s="38"/>
      <c r="CW675" s="38"/>
      <c r="CX675" s="38"/>
      <c r="CY675" s="38"/>
      <c r="CZ675" s="38"/>
    </row>
    <row r="676" spans="1:104" s="40" customFormat="1" ht="20.149999999999999" customHeight="1">
      <c r="A676" s="358">
        <f t="shared" si="157"/>
        <v>675</v>
      </c>
      <c r="B676" s="359" t="str">
        <f>'Front Sheet and Checklist'!$C$5</f>
        <v>Swansea Bay UHB</v>
      </c>
      <c r="C676" s="17"/>
      <c r="D676" s="17"/>
      <c r="E676" s="17"/>
      <c r="F676" s="17"/>
      <c r="G676" s="17"/>
      <c r="H676" s="17"/>
      <c r="I676" s="361">
        <f t="shared" si="147"/>
        <v>0</v>
      </c>
      <c r="J676" s="17"/>
      <c r="K676" s="18"/>
      <c r="L676" s="18"/>
      <c r="M676" s="17"/>
      <c r="N676" s="17"/>
      <c r="O676" s="17"/>
      <c r="P676" s="17"/>
      <c r="Q676" s="169"/>
      <c r="R676" s="24"/>
      <c r="S676" s="24"/>
      <c r="T676" s="24"/>
      <c r="U676" s="25"/>
      <c r="V676" s="25"/>
      <c r="W676" s="25"/>
      <c r="X676" s="24"/>
      <c r="Y676" s="24"/>
      <c r="Z676" s="24"/>
      <c r="AA676" s="24"/>
      <c r="AB676" s="24"/>
      <c r="AC676" s="24"/>
      <c r="AD676" s="361">
        <f t="shared" si="146"/>
        <v>0</v>
      </c>
      <c r="AE676" s="359" t="str">
        <f t="shared" si="149"/>
        <v/>
      </c>
      <c r="AF676" s="359" t="str">
        <f t="shared" si="158"/>
        <v/>
      </c>
      <c r="AG676" s="359" t="str">
        <f t="shared" si="150"/>
        <v/>
      </c>
      <c r="AH676" s="359" t="str">
        <f t="shared" si="151"/>
        <v/>
      </c>
      <c r="AI676" s="359" t="str">
        <f t="shared" si="152"/>
        <v/>
      </c>
      <c r="AJ676" s="359" t="str">
        <f t="shared" si="153"/>
        <v/>
      </c>
      <c r="AK676" s="359" t="str">
        <f t="shared" si="155"/>
        <v/>
      </c>
      <c r="AL676" s="359" t="str">
        <f t="shared" si="154"/>
        <v/>
      </c>
      <c r="AM676" s="359" t="str">
        <f t="shared" si="156"/>
        <v/>
      </c>
      <c r="AN676" s="262">
        <f t="shared" si="159"/>
        <v>0</v>
      </c>
      <c r="AO676" s="262" t="str">
        <f>IFERROR(HLOOKUP(AN676,'Ref Lists'!Q$1:AL$2,2,FALSE),'Ref Lists'!$AK$2)</f>
        <v>Savings21</v>
      </c>
      <c r="AP676" s="38"/>
      <c r="AQ676" s="38">
        <f t="shared" si="148"/>
        <v>0</v>
      </c>
      <c r="AR676" s="38"/>
      <c r="AS676" s="38"/>
      <c r="AT676" s="38"/>
      <c r="AU676" s="38"/>
      <c r="AV676" s="38"/>
      <c r="AW676" s="38"/>
      <c r="AX676" s="38"/>
      <c r="AY676" s="38"/>
      <c r="AZ676" s="38"/>
      <c r="BA676" s="38"/>
      <c r="BB676" s="38"/>
      <c r="BC676" s="38"/>
      <c r="BD676" s="38"/>
      <c r="BE676" s="38"/>
      <c r="BF676" s="38"/>
      <c r="BG676" s="38"/>
      <c r="BH676" s="38"/>
      <c r="BI676" s="38"/>
      <c r="BJ676" s="38"/>
      <c r="BK676" s="38"/>
      <c r="BL676" s="38"/>
      <c r="BM676" s="38"/>
      <c r="BN676" s="38"/>
      <c r="BO676" s="38"/>
      <c r="BP676" s="38"/>
      <c r="BQ676" s="38"/>
      <c r="BR676" s="38"/>
      <c r="BS676" s="38"/>
      <c r="BT676" s="38"/>
      <c r="BU676" s="38"/>
      <c r="BV676" s="38"/>
      <c r="BW676" s="38"/>
      <c r="BX676" s="38"/>
      <c r="BY676" s="38"/>
      <c r="BZ676" s="38"/>
      <c r="CA676" s="38"/>
      <c r="CB676" s="38"/>
      <c r="CC676" s="38"/>
      <c r="CD676" s="38"/>
      <c r="CE676" s="38"/>
      <c r="CF676" s="38"/>
      <c r="CG676" s="38"/>
      <c r="CH676" s="38"/>
      <c r="CI676" s="38"/>
      <c r="CJ676" s="38"/>
      <c r="CK676" s="38"/>
      <c r="CL676" s="38"/>
      <c r="CM676" s="38"/>
      <c r="CN676" s="38"/>
      <c r="CO676" s="38"/>
      <c r="CP676" s="38"/>
      <c r="CQ676" s="38"/>
      <c r="CR676" s="38"/>
      <c r="CS676" s="38"/>
      <c r="CT676" s="38"/>
      <c r="CU676" s="38"/>
      <c r="CV676" s="38"/>
      <c r="CW676" s="38"/>
      <c r="CX676" s="38"/>
      <c r="CY676" s="38"/>
      <c r="CZ676" s="38"/>
    </row>
    <row r="677" spans="1:104" s="40" customFormat="1" ht="20.149999999999999" customHeight="1">
      <c r="A677" s="358">
        <f t="shared" si="157"/>
        <v>676</v>
      </c>
      <c r="B677" s="359" t="str">
        <f>'Front Sheet and Checklist'!$C$5</f>
        <v>Swansea Bay UHB</v>
      </c>
      <c r="C677" s="17"/>
      <c r="D677" s="17"/>
      <c r="E677" s="17"/>
      <c r="F677" s="17"/>
      <c r="G677" s="17"/>
      <c r="H677" s="17"/>
      <c r="I677" s="361">
        <f t="shared" si="147"/>
        <v>0</v>
      </c>
      <c r="J677" s="17"/>
      <c r="K677" s="18"/>
      <c r="L677" s="18"/>
      <c r="M677" s="17"/>
      <c r="N677" s="17"/>
      <c r="O677" s="17"/>
      <c r="P677" s="17"/>
      <c r="Q677" s="169"/>
      <c r="R677" s="24"/>
      <c r="S677" s="24"/>
      <c r="T677" s="24"/>
      <c r="U677" s="25"/>
      <c r="V677" s="25"/>
      <c r="W677" s="25"/>
      <c r="X677" s="24"/>
      <c r="Y677" s="24"/>
      <c r="Z677" s="24"/>
      <c r="AA677" s="24"/>
      <c r="AB677" s="24"/>
      <c r="AC677" s="24"/>
      <c r="AD677" s="361">
        <f t="shared" si="146"/>
        <v>0</v>
      </c>
      <c r="AE677" s="359" t="str">
        <f t="shared" si="149"/>
        <v/>
      </c>
      <c r="AF677" s="359" t="str">
        <f t="shared" si="158"/>
        <v/>
      </c>
      <c r="AG677" s="359" t="str">
        <f t="shared" si="150"/>
        <v/>
      </c>
      <c r="AH677" s="359" t="str">
        <f t="shared" si="151"/>
        <v/>
      </c>
      <c r="AI677" s="359" t="str">
        <f t="shared" si="152"/>
        <v/>
      </c>
      <c r="AJ677" s="359" t="str">
        <f t="shared" si="153"/>
        <v/>
      </c>
      <c r="AK677" s="359" t="str">
        <f t="shared" si="155"/>
        <v/>
      </c>
      <c r="AL677" s="359" t="str">
        <f t="shared" si="154"/>
        <v/>
      </c>
      <c r="AM677" s="359" t="str">
        <f t="shared" si="156"/>
        <v/>
      </c>
      <c r="AN677" s="262">
        <f t="shared" si="159"/>
        <v>0</v>
      </c>
      <c r="AO677" s="262" t="str">
        <f>IFERROR(HLOOKUP(AN677,'Ref Lists'!Q$1:AL$2,2,FALSE),'Ref Lists'!$AK$2)</f>
        <v>Savings21</v>
      </c>
      <c r="AP677" s="38"/>
      <c r="AQ677" s="38">
        <f t="shared" si="148"/>
        <v>0</v>
      </c>
      <c r="AR677" s="38"/>
      <c r="AS677" s="38"/>
      <c r="AT677" s="38"/>
      <c r="AU677" s="38"/>
      <c r="AV677" s="38"/>
      <c r="AW677" s="38"/>
      <c r="AX677" s="38"/>
      <c r="AY677" s="38"/>
      <c r="AZ677" s="38"/>
      <c r="BA677" s="38"/>
      <c r="BB677" s="38"/>
      <c r="BC677" s="38"/>
      <c r="BD677" s="38"/>
      <c r="BE677" s="38"/>
      <c r="BF677" s="38"/>
      <c r="BG677" s="38"/>
      <c r="BH677" s="38"/>
      <c r="BI677" s="38"/>
      <c r="BJ677" s="38"/>
      <c r="BK677" s="38"/>
      <c r="BL677" s="38"/>
      <c r="BM677" s="38"/>
      <c r="BN677" s="38"/>
      <c r="BO677" s="38"/>
      <c r="BP677" s="38"/>
      <c r="BQ677" s="38"/>
      <c r="BR677" s="38"/>
      <c r="BS677" s="38"/>
      <c r="BT677" s="38"/>
      <c r="BU677" s="38"/>
      <c r="BV677" s="38"/>
      <c r="BW677" s="38"/>
      <c r="BX677" s="38"/>
      <c r="BY677" s="38"/>
      <c r="BZ677" s="38"/>
      <c r="CA677" s="38"/>
      <c r="CB677" s="38"/>
      <c r="CC677" s="38"/>
      <c r="CD677" s="38"/>
      <c r="CE677" s="38"/>
      <c r="CF677" s="38"/>
      <c r="CG677" s="38"/>
      <c r="CH677" s="38"/>
      <c r="CI677" s="38"/>
      <c r="CJ677" s="38"/>
      <c r="CK677" s="38"/>
      <c r="CL677" s="38"/>
      <c r="CM677" s="38"/>
      <c r="CN677" s="38"/>
      <c r="CO677" s="38"/>
      <c r="CP677" s="38"/>
      <c r="CQ677" s="38"/>
      <c r="CR677" s="38"/>
      <c r="CS677" s="38"/>
      <c r="CT677" s="38"/>
      <c r="CU677" s="38"/>
      <c r="CV677" s="38"/>
      <c r="CW677" s="38"/>
      <c r="CX677" s="38"/>
      <c r="CY677" s="38"/>
      <c r="CZ677" s="38"/>
    </row>
    <row r="678" spans="1:104" s="40" customFormat="1" ht="20.149999999999999" customHeight="1">
      <c r="A678" s="358">
        <f t="shared" si="157"/>
        <v>677</v>
      </c>
      <c r="B678" s="359" t="str">
        <f>'Front Sheet and Checklist'!$C$5</f>
        <v>Swansea Bay UHB</v>
      </c>
      <c r="C678" s="17"/>
      <c r="D678" s="17"/>
      <c r="E678" s="17"/>
      <c r="F678" s="17"/>
      <c r="G678" s="17"/>
      <c r="H678" s="17"/>
      <c r="I678" s="361">
        <f t="shared" si="147"/>
        <v>0</v>
      </c>
      <c r="J678" s="17"/>
      <c r="K678" s="18"/>
      <c r="L678" s="18"/>
      <c r="M678" s="17"/>
      <c r="N678" s="17"/>
      <c r="O678" s="17"/>
      <c r="P678" s="17"/>
      <c r="Q678" s="169"/>
      <c r="R678" s="24"/>
      <c r="S678" s="24"/>
      <c r="T678" s="24"/>
      <c r="U678" s="25"/>
      <c r="V678" s="25"/>
      <c r="W678" s="25"/>
      <c r="X678" s="24"/>
      <c r="Y678" s="24"/>
      <c r="Z678" s="24"/>
      <c r="AA678" s="24"/>
      <c r="AB678" s="24"/>
      <c r="AC678" s="24"/>
      <c r="AD678" s="361">
        <f t="shared" si="146"/>
        <v>0</v>
      </c>
      <c r="AE678" s="359" t="str">
        <f t="shared" si="149"/>
        <v/>
      </c>
      <c r="AF678" s="359" t="str">
        <f t="shared" si="158"/>
        <v/>
      </c>
      <c r="AG678" s="359" t="str">
        <f t="shared" si="150"/>
        <v/>
      </c>
      <c r="AH678" s="359" t="str">
        <f t="shared" si="151"/>
        <v/>
      </c>
      <c r="AI678" s="359" t="str">
        <f t="shared" si="152"/>
        <v/>
      </c>
      <c r="AJ678" s="359" t="str">
        <f t="shared" si="153"/>
        <v/>
      </c>
      <c r="AK678" s="359" t="str">
        <f t="shared" si="155"/>
        <v/>
      </c>
      <c r="AL678" s="359" t="str">
        <f t="shared" si="154"/>
        <v/>
      </c>
      <c r="AM678" s="359" t="str">
        <f t="shared" si="156"/>
        <v/>
      </c>
      <c r="AN678" s="262">
        <f t="shared" si="159"/>
        <v>0</v>
      </c>
      <c r="AO678" s="262" t="str">
        <f>IFERROR(HLOOKUP(AN678,'Ref Lists'!Q$1:AL$2,2,FALSE),'Ref Lists'!$AK$2)</f>
        <v>Savings21</v>
      </c>
      <c r="AP678" s="38"/>
      <c r="AQ678" s="38">
        <f t="shared" si="148"/>
        <v>0</v>
      </c>
      <c r="AR678" s="38"/>
      <c r="AS678" s="38"/>
      <c r="AT678" s="38"/>
      <c r="AU678" s="38"/>
      <c r="AV678" s="38"/>
      <c r="AW678" s="38"/>
      <c r="AX678" s="38"/>
      <c r="AY678" s="38"/>
      <c r="AZ678" s="38"/>
      <c r="BA678" s="38"/>
      <c r="BB678" s="38"/>
      <c r="BC678" s="38"/>
      <c r="BD678" s="38"/>
      <c r="BE678" s="38"/>
      <c r="BF678" s="38"/>
      <c r="BG678" s="38"/>
      <c r="BH678" s="38"/>
      <c r="BI678" s="38"/>
      <c r="BJ678" s="38"/>
      <c r="BK678" s="38"/>
      <c r="BL678" s="38"/>
      <c r="BM678" s="38"/>
      <c r="BN678" s="38"/>
      <c r="BO678" s="38"/>
      <c r="BP678" s="38"/>
      <c r="BQ678" s="38"/>
      <c r="BR678" s="38"/>
      <c r="BS678" s="38"/>
      <c r="BT678" s="38"/>
      <c r="BU678" s="38"/>
      <c r="BV678" s="38"/>
      <c r="BW678" s="38"/>
      <c r="BX678" s="38"/>
      <c r="BY678" s="38"/>
      <c r="BZ678" s="38"/>
      <c r="CA678" s="38"/>
      <c r="CB678" s="38"/>
      <c r="CC678" s="38"/>
      <c r="CD678" s="38"/>
      <c r="CE678" s="38"/>
      <c r="CF678" s="38"/>
      <c r="CG678" s="38"/>
      <c r="CH678" s="38"/>
      <c r="CI678" s="38"/>
      <c r="CJ678" s="38"/>
      <c r="CK678" s="38"/>
      <c r="CL678" s="38"/>
      <c r="CM678" s="38"/>
      <c r="CN678" s="38"/>
      <c r="CO678" s="38"/>
      <c r="CP678" s="38"/>
      <c r="CQ678" s="38"/>
      <c r="CR678" s="38"/>
      <c r="CS678" s="38"/>
      <c r="CT678" s="38"/>
      <c r="CU678" s="38"/>
      <c r="CV678" s="38"/>
      <c r="CW678" s="38"/>
      <c r="CX678" s="38"/>
      <c r="CY678" s="38"/>
      <c r="CZ678" s="38"/>
    </row>
    <row r="679" spans="1:104" s="40" customFormat="1" ht="20.149999999999999" customHeight="1">
      <c r="A679" s="358">
        <f t="shared" si="157"/>
        <v>678</v>
      </c>
      <c r="B679" s="359" t="str">
        <f>'Front Sheet and Checklist'!$C$5</f>
        <v>Swansea Bay UHB</v>
      </c>
      <c r="C679" s="17"/>
      <c r="D679" s="17"/>
      <c r="E679" s="17"/>
      <c r="F679" s="17"/>
      <c r="G679" s="17"/>
      <c r="H679" s="17"/>
      <c r="I679" s="361">
        <f t="shared" si="147"/>
        <v>0</v>
      </c>
      <c r="J679" s="17"/>
      <c r="K679" s="18"/>
      <c r="L679" s="18"/>
      <c r="M679" s="17"/>
      <c r="N679" s="17"/>
      <c r="O679" s="17"/>
      <c r="P679" s="17"/>
      <c r="Q679" s="169"/>
      <c r="R679" s="24"/>
      <c r="S679" s="24"/>
      <c r="T679" s="24"/>
      <c r="U679" s="25"/>
      <c r="V679" s="25"/>
      <c r="W679" s="25"/>
      <c r="X679" s="24"/>
      <c r="Y679" s="24"/>
      <c r="Z679" s="24"/>
      <c r="AA679" s="24"/>
      <c r="AB679" s="24"/>
      <c r="AC679" s="24"/>
      <c r="AD679" s="361">
        <f t="shared" si="146"/>
        <v>0</v>
      </c>
      <c r="AE679" s="359" t="str">
        <f t="shared" si="149"/>
        <v/>
      </c>
      <c r="AF679" s="359" t="str">
        <f t="shared" si="158"/>
        <v/>
      </c>
      <c r="AG679" s="359" t="str">
        <f t="shared" si="150"/>
        <v/>
      </c>
      <c r="AH679" s="359" t="str">
        <f t="shared" si="151"/>
        <v/>
      </c>
      <c r="AI679" s="359" t="str">
        <f t="shared" si="152"/>
        <v/>
      </c>
      <c r="AJ679" s="359" t="str">
        <f t="shared" si="153"/>
        <v/>
      </c>
      <c r="AK679" s="359" t="str">
        <f t="shared" si="155"/>
        <v/>
      </c>
      <c r="AL679" s="359" t="str">
        <f t="shared" si="154"/>
        <v/>
      </c>
      <c r="AM679" s="359" t="str">
        <f t="shared" si="156"/>
        <v/>
      </c>
      <c r="AN679" s="262">
        <f t="shared" si="159"/>
        <v>0</v>
      </c>
      <c r="AO679" s="262" t="str">
        <f>IFERROR(HLOOKUP(AN679,'Ref Lists'!Q$1:AL$2,2,FALSE),'Ref Lists'!$AK$2)</f>
        <v>Savings21</v>
      </c>
      <c r="AP679" s="38"/>
      <c r="AQ679" s="38">
        <f t="shared" si="148"/>
        <v>0</v>
      </c>
      <c r="AR679" s="38"/>
      <c r="AS679" s="38"/>
      <c r="AT679" s="38"/>
      <c r="AU679" s="38"/>
      <c r="AV679" s="38"/>
      <c r="AW679" s="38"/>
      <c r="AX679" s="38"/>
      <c r="AY679" s="38"/>
      <c r="AZ679" s="38"/>
      <c r="BA679" s="38"/>
      <c r="BB679" s="38"/>
      <c r="BC679" s="38"/>
      <c r="BD679" s="38"/>
      <c r="BE679" s="38"/>
      <c r="BF679" s="38"/>
      <c r="BG679" s="38"/>
      <c r="BH679" s="38"/>
      <c r="BI679" s="38"/>
      <c r="BJ679" s="38"/>
      <c r="BK679" s="38"/>
      <c r="BL679" s="38"/>
      <c r="BM679" s="38"/>
      <c r="BN679" s="38"/>
      <c r="BO679" s="38"/>
      <c r="BP679" s="38"/>
      <c r="BQ679" s="38"/>
      <c r="BR679" s="38"/>
      <c r="BS679" s="38"/>
      <c r="BT679" s="38"/>
      <c r="BU679" s="38"/>
      <c r="BV679" s="38"/>
      <c r="BW679" s="38"/>
      <c r="BX679" s="38"/>
      <c r="BY679" s="38"/>
      <c r="BZ679" s="38"/>
      <c r="CA679" s="38"/>
      <c r="CB679" s="38"/>
      <c r="CC679" s="38"/>
      <c r="CD679" s="38"/>
      <c r="CE679" s="38"/>
      <c r="CF679" s="38"/>
      <c r="CG679" s="38"/>
      <c r="CH679" s="38"/>
      <c r="CI679" s="38"/>
      <c r="CJ679" s="38"/>
      <c r="CK679" s="38"/>
      <c r="CL679" s="38"/>
      <c r="CM679" s="38"/>
      <c r="CN679" s="38"/>
      <c r="CO679" s="38"/>
      <c r="CP679" s="38"/>
      <c r="CQ679" s="38"/>
      <c r="CR679" s="38"/>
      <c r="CS679" s="38"/>
      <c r="CT679" s="38"/>
      <c r="CU679" s="38"/>
      <c r="CV679" s="38"/>
      <c r="CW679" s="38"/>
      <c r="CX679" s="38"/>
      <c r="CY679" s="38"/>
      <c r="CZ679" s="38"/>
    </row>
    <row r="680" spans="1:104" s="40" customFormat="1" ht="20.149999999999999" customHeight="1">
      <c r="A680" s="358">
        <f t="shared" si="157"/>
        <v>679</v>
      </c>
      <c r="B680" s="359" t="str">
        <f>'Front Sheet and Checklist'!$C$5</f>
        <v>Swansea Bay UHB</v>
      </c>
      <c r="C680" s="17"/>
      <c r="D680" s="17"/>
      <c r="E680" s="17"/>
      <c r="F680" s="17"/>
      <c r="G680" s="17"/>
      <c r="H680" s="17"/>
      <c r="I680" s="361">
        <f t="shared" si="147"/>
        <v>0</v>
      </c>
      <c r="J680" s="17"/>
      <c r="K680" s="18"/>
      <c r="L680" s="18"/>
      <c r="M680" s="17"/>
      <c r="N680" s="17"/>
      <c r="O680" s="17"/>
      <c r="P680" s="17"/>
      <c r="Q680" s="169"/>
      <c r="R680" s="24"/>
      <c r="S680" s="24"/>
      <c r="T680" s="24"/>
      <c r="U680" s="25"/>
      <c r="V680" s="25"/>
      <c r="W680" s="25"/>
      <c r="X680" s="24"/>
      <c r="Y680" s="24"/>
      <c r="Z680" s="24"/>
      <c r="AA680" s="24"/>
      <c r="AB680" s="24"/>
      <c r="AC680" s="24"/>
      <c r="AD680" s="361">
        <f t="shared" si="146"/>
        <v>0</v>
      </c>
      <c r="AE680" s="359" t="str">
        <f t="shared" si="149"/>
        <v/>
      </c>
      <c r="AF680" s="359" t="str">
        <f t="shared" si="158"/>
        <v/>
      </c>
      <c r="AG680" s="359" t="str">
        <f t="shared" si="150"/>
        <v/>
      </c>
      <c r="AH680" s="359" t="str">
        <f t="shared" si="151"/>
        <v/>
      </c>
      <c r="AI680" s="359" t="str">
        <f t="shared" si="152"/>
        <v/>
      </c>
      <c r="AJ680" s="359" t="str">
        <f t="shared" si="153"/>
        <v/>
      </c>
      <c r="AK680" s="359" t="str">
        <f t="shared" si="155"/>
        <v/>
      </c>
      <c r="AL680" s="359" t="str">
        <f t="shared" si="154"/>
        <v/>
      </c>
      <c r="AM680" s="359" t="str">
        <f t="shared" si="156"/>
        <v/>
      </c>
      <c r="AN680" s="262">
        <f t="shared" si="159"/>
        <v>0</v>
      </c>
      <c r="AO680" s="262" t="str">
        <f>IFERROR(HLOOKUP(AN680,'Ref Lists'!Q$1:AL$2,2,FALSE),'Ref Lists'!$AK$2)</f>
        <v>Savings21</v>
      </c>
      <c r="AP680" s="38"/>
      <c r="AQ680" s="38">
        <f t="shared" si="148"/>
        <v>0</v>
      </c>
      <c r="AR680" s="38"/>
      <c r="AS680" s="38"/>
      <c r="AT680" s="38"/>
      <c r="AU680" s="38"/>
      <c r="AV680" s="38"/>
      <c r="AW680" s="38"/>
      <c r="AX680" s="38"/>
      <c r="AY680" s="38"/>
      <c r="AZ680" s="38"/>
      <c r="BA680" s="38"/>
      <c r="BB680" s="38"/>
      <c r="BC680" s="38"/>
      <c r="BD680" s="38"/>
      <c r="BE680" s="38"/>
      <c r="BF680" s="38"/>
      <c r="BG680" s="38"/>
      <c r="BH680" s="38"/>
      <c r="BI680" s="38"/>
      <c r="BJ680" s="38"/>
      <c r="BK680" s="38"/>
      <c r="BL680" s="38"/>
      <c r="BM680" s="38"/>
      <c r="BN680" s="38"/>
      <c r="BO680" s="38"/>
      <c r="BP680" s="38"/>
      <c r="BQ680" s="38"/>
      <c r="BR680" s="38"/>
      <c r="BS680" s="38"/>
      <c r="BT680" s="38"/>
      <c r="BU680" s="38"/>
      <c r="BV680" s="38"/>
      <c r="BW680" s="38"/>
      <c r="BX680" s="38"/>
      <c r="BY680" s="38"/>
      <c r="BZ680" s="38"/>
      <c r="CA680" s="38"/>
      <c r="CB680" s="38"/>
      <c r="CC680" s="38"/>
      <c r="CD680" s="38"/>
      <c r="CE680" s="38"/>
      <c r="CF680" s="38"/>
      <c r="CG680" s="38"/>
      <c r="CH680" s="38"/>
      <c r="CI680" s="38"/>
      <c r="CJ680" s="38"/>
      <c r="CK680" s="38"/>
      <c r="CL680" s="38"/>
      <c r="CM680" s="38"/>
      <c r="CN680" s="38"/>
      <c r="CO680" s="38"/>
      <c r="CP680" s="38"/>
      <c r="CQ680" s="38"/>
      <c r="CR680" s="38"/>
      <c r="CS680" s="38"/>
      <c r="CT680" s="38"/>
      <c r="CU680" s="38"/>
      <c r="CV680" s="38"/>
      <c r="CW680" s="38"/>
      <c r="CX680" s="38"/>
      <c r="CY680" s="38"/>
      <c r="CZ680" s="38"/>
    </row>
    <row r="681" spans="1:104" s="40" customFormat="1" ht="20.149999999999999" customHeight="1">
      <c r="A681" s="358">
        <f t="shared" si="157"/>
        <v>680</v>
      </c>
      <c r="B681" s="359" t="str">
        <f>'Front Sheet and Checklist'!$C$5</f>
        <v>Swansea Bay UHB</v>
      </c>
      <c r="C681" s="17"/>
      <c r="D681" s="17"/>
      <c r="E681" s="17"/>
      <c r="F681" s="17"/>
      <c r="G681" s="17"/>
      <c r="H681" s="17"/>
      <c r="I681" s="361">
        <f t="shared" si="147"/>
        <v>0</v>
      </c>
      <c r="J681" s="17"/>
      <c r="K681" s="18"/>
      <c r="L681" s="18"/>
      <c r="M681" s="17"/>
      <c r="N681" s="17"/>
      <c r="O681" s="17"/>
      <c r="P681" s="17"/>
      <c r="Q681" s="169"/>
      <c r="R681" s="24"/>
      <c r="S681" s="24"/>
      <c r="T681" s="24"/>
      <c r="U681" s="25"/>
      <c r="V681" s="25"/>
      <c r="W681" s="25"/>
      <c r="X681" s="24"/>
      <c r="Y681" s="24"/>
      <c r="Z681" s="24"/>
      <c r="AA681" s="24"/>
      <c r="AB681" s="24"/>
      <c r="AC681" s="24"/>
      <c r="AD681" s="361">
        <f t="shared" si="146"/>
        <v>0</v>
      </c>
      <c r="AE681" s="359" t="str">
        <f t="shared" si="149"/>
        <v/>
      </c>
      <c r="AF681" s="359" t="str">
        <f t="shared" si="158"/>
        <v/>
      </c>
      <c r="AG681" s="359" t="str">
        <f t="shared" si="150"/>
        <v/>
      </c>
      <c r="AH681" s="359" t="str">
        <f t="shared" si="151"/>
        <v/>
      </c>
      <c r="AI681" s="359" t="str">
        <f t="shared" si="152"/>
        <v/>
      </c>
      <c r="AJ681" s="359" t="str">
        <f t="shared" si="153"/>
        <v/>
      </c>
      <c r="AK681" s="359" t="str">
        <f t="shared" si="155"/>
        <v/>
      </c>
      <c r="AL681" s="359" t="str">
        <f t="shared" si="154"/>
        <v/>
      </c>
      <c r="AM681" s="359" t="str">
        <f t="shared" si="156"/>
        <v/>
      </c>
      <c r="AN681" s="262">
        <f t="shared" si="159"/>
        <v>0</v>
      </c>
      <c r="AO681" s="262" t="str">
        <f>IFERROR(HLOOKUP(AN681,'Ref Lists'!Q$1:AL$2,2,FALSE),'Ref Lists'!$AK$2)</f>
        <v>Savings21</v>
      </c>
      <c r="AP681" s="38"/>
      <c r="AQ681" s="38">
        <f t="shared" si="148"/>
        <v>0</v>
      </c>
      <c r="AR681" s="38"/>
      <c r="AS681" s="38"/>
      <c r="AT681" s="38"/>
      <c r="AU681" s="38"/>
      <c r="AV681" s="38"/>
      <c r="AW681" s="38"/>
      <c r="AX681" s="38"/>
      <c r="AY681" s="38"/>
      <c r="AZ681" s="38"/>
      <c r="BA681" s="38"/>
      <c r="BB681" s="38"/>
      <c r="BC681" s="38"/>
      <c r="BD681" s="38"/>
      <c r="BE681" s="38"/>
      <c r="BF681" s="38"/>
      <c r="BG681" s="38"/>
      <c r="BH681" s="38"/>
      <c r="BI681" s="38"/>
      <c r="BJ681" s="38"/>
      <c r="BK681" s="38"/>
      <c r="BL681" s="38"/>
      <c r="BM681" s="38"/>
      <c r="BN681" s="38"/>
      <c r="BO681" s="38"/>
      <c r="BP681" s="38"/>
      <c r="BQ681" s="38"/>
      <c r="BR681" s="38"/>
      <c r="BS681" s="38"/>
      <c r="BT681" s="38"/>
      <c r="BU681" s="38"/>
      <c r="BV681" s="38"/>
      <c r="BW681" s="38"/>
      <c r="BX681" s="38"/>
      <c r="BY681" s="38"/>
      <c r="BZ681" s="38"/>
      <c r="CA681" s="38"/>
      <c r="CB681" s="38"/>
      <c r="CC681" s="38"/>
      <c r="CD681" s="38"/>
      <c r="CE681" s="38"/>
      <c r="CF681" s="38"/>
      <c r="CG681" s="38"/>
      <c r="CH681" s="38"/>
      <c r="CI681" s="38"/>
      <c r="CJ681" s="38"/>
      <c r="CK681" s="38"/>
      <c r="CL681" s="38"/>
      <c r="CM681" s="38"/>
      <c r="CN681" s="38"/>
      <c r="CO681" s="38"/>
      <c r="CP681" s="38"/>
      <c r="CQ681" s="38"/>
      <c r="CR681" s="38"/>
      <c r="CS681" s="38"/>
      <c r="CT681" s="38"/>
      <c r="CU681" s="38"/>
      <c r="CV681" s="38"/>
      <c r="CW681" s="38"/>
      <c r="CX681" s="38"/>
      <c r="CY681" s="38"/>
      <c r="CZ681" s="38"/>
    </row>
    <row r="682" spans="1:104" s="40" customFormat="1" ht="20.149999999999999" customHeight="1">
      <c r="A682" s="358">
        <f t="shared" si="157"/>
        <v>681</v>
      </c>
      <c r="B682" s="359" t="str">
        <f>'Front Sheet and Checklist'!$C$5</f>
        <v>Swansea Bay UHB</v>
      </c>
      <c r="C682" s="17"/>
      <c r="D682" s="17"/>
      <c r="E682" s="17"/>
      <c r="F682" s="17"/>
      <c r="G682" s="17"/>
      <c r="H682" s="17"/>
      <c r="I682" s="361">
        <f t="shared" si="147"/>
        <v>0</v>
      </c>
      <c r="J682" s="17"/>
      <c r="K682" s="18"/>
      <c r="L682" s="18"/>
      <c r="M682" s="17"/>
      <c r="N682" s="17"/>
      <c r="O682" s="17"/>
      <c r="P682" s="17"/>
      <c r="Q682" s="169"/>
      <c r="R682" s="24"/>
      <c r="S682" s="24"/>
      <c r="T682" s="24"/>
      <c r="U682" s="25"/>
      <c r="V682" s="25"/>
      <c r="W682" s="25"/>
      <c r="X682" s="24"/>
      <c r="Y682" s="24"/>
      <c r="Z682" s="24"/>
      <c r="AA682" s="24"/>
      <c r="AB682" s="24"/>
      <c r="AC682" s="24"/>
      <c r="AD682" s="361">
        <f t="shared" si="146"/>
        <v>0</v>
      </c>
      <c r="AE682" s="359" t="str">
        <f t="shared" si="149"/>
        <v/>
      </c>
      <c r="AF682" s="359" t="str">
        <f t="shared" si="158"/>
        <v/>
      </c>
      <c r="AG682" s="359" t="str">
        <f t="shared" si="150"/>
        <v/>
      </c>
      <c r="AH682" s="359" t="str">
        <f t="shared" si="151"/>
        <v/>
      </c>
      <c r="AI682" s="359" t="str">
        <f t="shared" si="152"/>
        <v/>
      </c>
      <c r="AJ682" s="359" t="str">
        <f t="shared" si="153"/>
        <v/>
      </c>
      <c r="AK682" s="359" t="str">
        <f t="shared" si="155"/>
        <v/>
      </c>
      <c r="AL682" s="359" t="str">
        <f t="shared" si="154"/>
        <v/>
      </c>
      <c r="AM682" s="359" t="str">
        <f t="shared" si="156"/>
        <v/>
      </c>
      <c r="AN682" s="262">
        <f t="shared" si="159"/>
        <v>0</v>
      </c>
      <c r="AO682" s="262" t="str">
        <f>IFERROR(HLOOKUP(AN682,'Ref Lists'!Q$1:AL$2,2,FALSE),'Ref Lists'!$AK$2)</f>
        <v>Savings21</v>
      </c>
      <c r="AP682" s="38"/>
      <c r="AQ682" s="38">
        <f t="shared" si="148"/>
        <v>0</v>
      </c>
      <c r="AR682" s="38"/>
      <c r="AS682" s="38"/>
      <c r="AT682" s="38"/>
      <c r="AU682" s="38"/>
      <c r="AV682" s="38"/>
      <c r="AW682" s="38"/>
      <c r="AX682" s="38"/>
      <c r="AY682" s="38"/>
      <c r="AZ682" s="38"/>
      <c r="BA682" s="38"/>
      <c r="BB682" s="38"/>
      <c r="BC682" s="38"/>
      <c r="BD682" s="38"/>
      <c r="BE682" s="38"/>
      <c r="BF682" s="38"/>
      <c r="BG682" s="38"/>
      <c r="BH682" s="38"/>
      <c r="BI682" s="38"/>
      <c r="BJ682" s="38"/>
      <c r="BK682" s="38"/>
      <c r="BL682" s="38"/>
      <c r="BM682" s="38"/>
      <c r="BN682" s="38"/>
      <c r="BO682" s="38"/>
      <c r="BP682" s="38"/>
      <c r="BQ682" s="38"/>
      <c r="BR682" s="38"/>
      <c r="BS682" s="38"/>
      <c r="BT682" s="38"/>
      <c r="BU682" s="38"/>
      <c r="BV682" s="38"/>
      <c r="BW682" s="38"/>
      <c r="BX682" s="38"/>
      <c r="BY682" s="38"/>
      <c r="BZ682" s="38"/>
      <c r="CA682" s="38"/>
      <c r="CB682" s="38"/>
      <c r="CC682" s="38"/>
      <c r="CD682" s="38"/>
      <c r="CE682" s="38"/>
      <c r="CF682" s="38"/>
      <c r="CG682" s="38"/>
      <c r="CH682" s="38"/>
      <c r="CI682" s="38"/>
      <c r="CJ682" s="38"/>
      <c r="CK682" s="38"/>
      <c r="CL682" s="38"/>
      <c r="CM682" s="38"/>
      <c r="CN682" s="38"/>
      <c r="CO682" s="38"/>
      <c r="CP682" s="38"/>
      <c r="CQ682" s="38"/>
      <c r="CR682" s="38"/>
      <c r="CS682" s="38"/>
      <c r="CT682" s="38"/>
      <c r="CU682" s="38"/>
      <c r="CV682" s="38"/>
      <c r="CW682" s="38"/>
      <c r="CX682" s="38"/>
      <c r="CY682" s="38"/>
      <c r="CZ682" s="38"/>
    </row>
    <row r="683" spans="1:104" s="40" customFormat="1" ht="20.149999999999999" customHeight="1">
      <c r="A683" s="358">
        <f t="shared" si="157"/>
        <v>682</v>
      </c>
      <c r="B683" s="359" t="str">
        <f>'Front Sheet and Checklist'!$C$5</f>
        <v>Swansea Bay UHB</v>
      </c>
      <c r="C683" s="17"/>
      <c r="D683" s="17"/>
      <c r="E683" s="17"/>
      <c r="F683" s="17"/>
      <c r="G683" s="17"/>
      <c r="H683" s="17"/>
      <c r="I683" s="361">
        <f t="shared" si="147"/>
        <v>0</v>
      </c>
      <c r="J683" s="17"/>
      <c r="K683" s="18"/>
      <c r="L683" s="18"/>
      <c r="M683" s="17"/>
      <c r="N683" s="17"/>
      <c r="O683" s="17"/>
      <c r="P683" s="17"/>
      <c r="Q683" s="169"/>
      <c r="R683" s="24"/>
      <c r="S683" s="24"/>
      <c r="T683" s="24"/>
      <c r="U683" s="25"/>
      <c r="V683" s="25"/>
      <c r="W683" s="25"/>
      <c r="X683" s="24"/>
      <c r="Y683" s="24"/>
      <c r="Z683" s="24"/>
      <c r="AA683" s="24"/>
      <c r="AB683" s="24"/>
      <c r="AC683" s="24"/>
      <c r="AD683" s="361">
        <f t="shared" si="146"/>
        <v>0</v>
      </c>
      <c r="AE683" s="359" t="str">
        <f t="shared" si="149"/>
        <v/>
      </c>
      <c r="AF683" s="359" t="str">
        <f t="shared" si="158"/>
        <v/>
      </c>
      <c r="AG683" s="359" t="str">
        <f t="shared" si="150"/>
        <v/>
      </c>
      <c r="AH683" s="359" t="str">
        <f t="shared" si="151"/>
        <v/>
      </c>
      <c r="AI683" s="359" t="str">
        <f t="shared" si="152"/>
        <v/>
      </c>
      <c r="AJ683" s="359" t="str">
        <f t="shared" si="153"/>
        <v/>
      </c>
      <c r="AK683" s="359" t="str">
        <f t="shared" si="155"/>
        <v/>
      </c>
      <c r="AL683" s="359" t="str">
        <f t="shared" si="154"/>
        <v/>
      </c>
      <c r="AM683" s="359" t="str">
        <f t="shared" si="156"/>
        <v/>
      </c>
      <c r="AN683" s="262">
        <f t="shared" si="159"/>
        <v>0</v>
      </c>
      <c r="AO683" s="262" t="str">
        <f>IFERROR(HLOOKUP(AN683,'Ref Lists'!Q$1:AL$2,2,FALSE),'Ref Lists'!$AK$2)</f>
        <v>Savings21</v>
      </c>
      <c r="AP683" s="38"/>
      <c r="AQ683" s="38">
        <f t="shared" si="148"/>
        <v>0</v>
      </c>
      <c r="AR683" s="38"/>
      <c r="AS683" s="38"/>
      <c r="AT683" s="38"/>
      <c r="AU683" s="38"/>
      <c r="AV683" s="38"/>
      <c r="AW683" s="38"/>
      <c r="AX683" s="38"/>
      <c r="AY683" s="38"/>
      <c r="AZ683" s="38"/>
      <c r="BA683" s="38"/>
      <c r="BB683" s="38"/>
      <c r="BC683" s="38"/>
      <c r="BD683" s="38"/>
      <c r="BE683" s="38"/>
      <c r="BF683" s="38"/>
      <c r="BG683" s="38"/>
      <c r="BH683" s="38"/>
      <c r="BI683" s="38"/>
      <c r="BJ683" s="38"/>
      <c r="BK683" s="38"/>
      <c r="BL683" s="38"/>
      <c r="BM683" s="38"/>
      <c r="BN683" s="38"/>
      <c r="BO683" s="38"/>
      <c r="BP683" s="38"/>
      <c r="BQ683" s="38"/>
      <c r="BR683" s="38"/>
      <c r="BS683" s="38"/>
      <c r="BT683" s="38"/>
      <c r="BU683" s="38"/>
      <c r="BV683" s="38"/>
      <c r="BW683" s="38"/>
      <c r="BX683" s="38"/>
      <c r="BY683" s="38"/>
      <c r="BZ683" s="38"/>
      <c r="CA683" s="38"/>
      <c r="CB683" s="38"/>
      <c r="CC683" s="38"/>
      <c r="CD683" s="38"/>
      <c r="CE683" s="38"/>
      <c r="CF683" s="38"/>
      <c r="CG683" s="38"/>
      <c r="CH683" s="38"/>
      <c r="CI683" s="38"/>
      <c r="CJ683" s="38"/>
      <c r="CK683" s="38"/>
      <c r="CL683" s="38"/>
      <c r="CM683" s="38"/>
      <c r="CN683" s="38"/>
      <c r="CO683" s="38"/>
      <c r="CP683" s="38"/>
      <c r="CQ683" s="38"/>
      <c r="CR683" s="38"/>
      <c r="CS683" s="38"/>
      <c r="CT683" s="38"/>
      <c r="CU683" s="38"/>
      <c r="CV683" s="38"/>
      <c r="CW683" s="38"/>
      <c r="CX683" s="38"/>
      <c r="CY683" s="38"/>
      <c r="CZ683" s="38"/>
    </row>
    <row r="684" spans="1:104" s="40" customFormat="1" ht="20.149999999999999" customHeight="1">
      <c r="A684" s="358">
        <f t="shared" si="157"/>
        <v>683</v>
      </c>
      <c r="B684" s="359" t="str">
        <f>'Front Sheet and Checklist'!$C$5</f>
        <v>Swansea Bay UHB</v>
      </c>
      <c r="C684" s="17"/>
      <c r="D684" s="17"/>
      <c r="E684" s="17"/>
      <c r="F684" s="17"/>
      <c r="G684" s="17"/>
      <c r="H684" s="17"/>
      <c r="I684" s="361">
        <f t="shared" si="147"/>
        <v>0</v>
      </c>
      <c r="J684" s="17"/>
      <c r="K684" s="18"/>
      <c r="L684" s="18"/>
      <c r="M684" s="17"/>
      <c r="N684" s="17"/>
      <c r="O684" s="17"/>
      <c r="P684" s="17"/>
      <c r="Q684" s="169"/>
      <c r="R684" s="24"/>
      <c r="S684" s="24"/>
      <c r="T684" s="24"/>
      <c r="U684" s="25"/>
      <c r="V684" s="25"/>
      <c r="W684" s="25"/>
      <c r="X684" s="24"/>
      <c r="Y684" s="24"/>
      <c r="Z684" s="24"/>
      <c r="AA684" s="24"/>
      <c r="AB684" s="24"/>
      <c r="AC684" s="24"/>
      <c r="AD684" s="361">
        <f t="shared" si="146"/>
        <v>0</v>
      </c>
      <c r="AE684" s="359" t="str">
        <f t="shared" si="149"/>
        <v/>
      </c>
      <c r="AF684" s="359" t="str">
        <f t="shared" si="158"/>
        <v/>
      </c>
      <c r="AG684" s="359" t="str">
        <f t="shared" si="150"/>
        <v/>
      </c>
      <c r="AH684" s="359" t="str">
        <f t="shared" si="151"/>
        <v/>
      </c>
      <c r="AI684" s="359" t="str">
        <f t="shared" si="152"/>
        <v/>
      </c>
      <c r="AJ684" s="359" t="str">
        <f t="shared" si="153"/>
        <v/>
      </c>
      <c r="AK684" s="359" t="str">
        <f t="shared" si="155"/>
        <v/>
      </c>
      <c r="AL684" s="359" t="str">
        <f t="shared" si="154"/>
        <v/>
      </c>
      <c r="AM684" s="359" t="str">
        <f t="shared" si="156"/>
        <v/>
      </c>
      <c r="AN684" s="262">
        <f t="shared" si="159"/>
        <v>0</v>
      </c>
      <c r="AO684" s="262" t="str">
        <f>IFERROR(HLOOKUP(AN684,'Ref Lists'!Q$1:AL$2,2,FALSE),'Ref Lists'!$AK$2)</f>
        <v>Savings21</v>
      </c>
      <c r="AP684" s="38"/>
      <c r="AQ684" s="38">
        <f t="shared" si="148"/>
        <v>0</v>
      </c>
      <c r="AR684" s="38"/>
      <c r="AS684" s="38"/>
      <c r="AT684" s="38"/>
      <c r="AU684" s="38"/>
      <c r="AV684" s="38"/>
      <c r="AW684" s="38"/>
      <c r="AX684" s="38"/>
      <c r="AY684" s="38"/>
      <c r="AZ684" s="38"/>
      <c r="BA684" s="38"/>
      <c r="BB684" s="38"/>
      <c r="BC684" s="38"/>
      <c r="BD684" s="38"/>
      <c r="BE684" s="38"/>
      <c r="BF684" s="38"/>
      <c r="BG684" s="38"/>
      <c r="BH684" s="38"/>
      <c r="BI684" s="38"/>
      <c r="BJ684" s="38"/>
      <c r="BK684" s="38"/>
      <c r="BL684" s="38"/>
      <c r="BM684" s="38"/>
      <c r="BN684" s="38"/>
      <c r="BO684" s="38"/>
      <c r="BP684" s="38"/>
      <c r="BQ684" s="38"/>
      <c r="BR684" s="38"/>
      <c r="BS684" s="38"/>
      <c r="BT684" s="38"/>
      <c r="BU684" s="38"/>
      <c r="BV684" s="38"/>
      <c r="BW684" s="38"/>
      <c r="BX684" s="38"/>
      <c r="BY684" s="38"/>
      <c r="BZ684" s="38"/>
      <c r="CA684" s="38"/>
      <c r="CB684" s="38"/>
      <c r="CC684" s="38"/>
      <c r="CD684" s="38"/>
      <c r="CE684" s="38"/>
      <c r="CF684" s="38"/>
      <c r="CG684" s="38"/>
      <c r="CH684" s="38"/>
      <c r="CI684" s="38"/>
      <c r="CJ684" s="38"/>
      <c r="CK684" s="38"/>
      <c r="CL684" s="38"/>
      <c r="CM684" s="38"/>
      <c r="CN684" s="38"/>
      <c r="CO684" s="38"/>
      <c r="CP684" s="38"/>
      <c r="CQ684" s="38"/>
      <c r="CR684" s="38"/>
      <c r="CS684" s="38"/>
      <c r="CT684" s="38"/>
      <c r="CU684" s="38"/>
      <c r="CV684" s="38"/>
      <c r="CW684" s="38"/>
      <c r="CX684" s="38"/>
      <c r="CY684" s="38"/>
      <c r="CZ684" s="38"/>
    </row>
    <row r="685" spans="1:104" s="40" customFormat="1" ht="20.149999999999999" customHeight="1">
      <c r="A685" s="358">
        <f t="shared" si="157"/>
        <v>684</v>
      </c>
      <c r="B685" s="359" t="str">
        <f>'Front Sheet and Checklist'!$C$5</f>
        <v>Swansea Bay UHB</v>
      </c>
      <c r="C685" s="17"/>
      <c r="D685" s="17"/>
      <c r="E685" s="17"/>
      <c r="F685" s="17"/>
      <c r="G685" s="17"/>
      <c r="H685" s="17"/>
      <c r="I685" s="361">
        <f t="shared" si="147"/>
        <v>0</v>
      </c>
      <c r="J685" s="17"/>
      <c r="K685" s="18"/>
      <c r="L685" s="18"/>
      <c r="M685" s="17"/>
      <c r="N685" s="17"/>
      <c r="O685" s="17"/>
      <c r="P685" s="17"/>
      <c r="Q685" s="169"/>
      <c r="R685" s="24"/>
      <c r="S685" s="24"/>
      <c r="T685" s="24"/>
      <c r="U685" s="25"/>
      <c r="V685" s="25"/>
      <c r="W685" s="25"/>
      <c r="X685" s="24"/>
      <c r="Y685" s="24"/>
      <c r="Z685" s="24"/>
      <c r="AA685" s="24"/>
      <c r="AB685" s="24"/>
      <c r="AC685" s="24"/>
      <c r="AD685" s="361">
        <f t="shared" si="146"/>
        <v>0</v>
      </c>
      <c r="AE685" s="359" t="str">
        <f t="shared" si="149"/>
        <v/>
      </c>
      <c r="AF685" s="359" t="str">
        <f t="shared" si="158"/>
        <v/>
      </c>
      <c r="AG685" s="359" t="str">
        <f t="shared" si="150"/>
        <v/>
      </c>
      <c r="AH685" s="359" t="str">
        <f t="shared" si="151"/>
        <v/>
      </c>
      <c r="AI685" s="359" t="str">
        <f t="shared" si="152"/>
        <v/>
      </c>
      <c r="AJ685" s="359" t="str">
        <f t="shared" si="153"/>
        <v/>
      </c>
      <c r="AK685" s="359" t="str">
        <f t="shared" si="155"/>
        <v/>
      </c>
      <c r="AL685" s="359" t="str">
        <f t="shared" si="154"/>
        <v/>
      </c>
      <c r="AM685" s="359" t="str">
        <f t="shared" si="156"/>
        <v/>
      </c>
      <c r="AN685" s="262">
        <f t="shared" si="159"/>
        <v>0</v>
      </c>
      <c r="AO685" s="262" t="str">
        <f>IFERROR(HLOOKUP(AN685,'Ref Lists'!Q$1:AL$2,2,FALSE),'Ref Lists'!$AK$2)</f>
        <v>Savings21</v>
      </c>
      <c r="AP685" s="38"/>
      <c r="AQ685" s="38">
        <f t="shared" si="148"/>
        <v>0</v>
      </c>
      <c r="AR685" s="38"/>
      <c r="AS685" s="38"/>
      <c r="AT685" s="38"/>
      <c r="AU685" s="38"/>
      <c r="AV685" s="38"/>
      <c r="AW685" s="38"/>
      <c r="AX685" s="38"/>
      <c r="AY685" s="38"/>
      <c r="AZ685" s="38"/>
      <c r="BA685" s="38"/>
      <c r="BB685" s="38"/>
      <c r="BC685" s="38"/>
      <c r="BD685" s="38"/>
      <c r="BE685" s="38"/>
      <c r="BF685" s="38"/>
      <c r="BG685" s="38"/>
      <c r="BH685" s="38"/>
      <c r="BI685" s="38"/>
      <c r="BJ685" s="38"/>
      <c r="BK685" s="38"/>
      <c r="BL685" s="38"/>
      <c r="BM685" s="38"/>
      <c r="BN685" s="38"/>
      <c r="BO685" s="38"/>
      <c r="BP685" s="38"/>
      <c r="BQ685" s="38"/>
      <c r="BR685" s="38"/>
      <c r="BS685" s="38"/>
      <c r="BT685" s="38"/>
      <c r="BU685" s="38"/>
      <c r="BV685" s="38"/>
      <c r="BW685" s="38"/>
      <c r="BX685" s="38"/>
      <c r="BY685" s="38"/>
      <c r="BZ685" s="38"/>
      <c r="CA685" s="38"/>
      <c r="CB685" s="38"/>
      <c r="CC685" s="38"/>
      <c r="CD685" s="38"/>
      <c r="CE685" s="38"/>
      <c r="CF685" s="38"/>
      <c r="CG685" s="38"/>
      <c r="CH685" s="38"/>
      <c r="CI685" s="38"/>
      <c r="CJ685" s="38"/>
      <c r="CK685" s="38"/>
      <c r="CL685" s="38"/>
      <c r="CM685" s="38"/>
      <c r="CN685" s="38"/>
      <c r="CO685" s="38"/>
      <c r="CP685" s="38"/>
      <c r="CQ685" s="38"/>
      <c r="CR685" s="38"/>
      <c r="CS685" s="38"/>
      <c r="CT685" s="38"/>
      <c r="CU685" s="38"/>
      <c r="CV685" s="38"/>
      <c r="CW685" s="38"/>
      <c r="CX685" s="38"/>
      <c r="CY685" s="38"/>
      <c r="CZ685" s="38"/>
    </row>
    <row r="686" spans="1:104" s="40" customFormat="1" ht="20.149999999999999" customHeight="1">
      <c r="A686" s="358">
        <f t="shared" si="157"/>
        <v>685</v>
      </c>
      <c r="B686" s="359" t="str">
        <f>'Front Sheet and Checklist'!$C$5</f>
        <v>Swansea Bay UHB</v>
      </c>
      <c r="C686" s="17"/>
      <c r="D686" s="17"/>
      <c r="E686" s="17"/>
      <c r="F686" s="17"/>
      <c r="G686" s="17"/>
      <c r="H686" s="17"/>
      <c r="I686" s="361">
        <f t="shared" si="147"/>
        <v>0</v>
      </c>
      <c r="J686" s="17"/>
      <c r="K686" s="18"/>
      <c r="L686" s="18"/>
      <c r="M686" s="17"/>
      <c r="N686" s="17"/>
      <c r="O686" s="17"/>
      <c r="P686" s="17"/>
      <c r="Q686" s="169"/>
      <c r="R686" s="24"/>
      <c r="S686" s="24"/>
      <c r="T686" s="24"/>
      <c r="U686" s="25"/>
      <c r="V686" s="25"/>
      <c r="W686" s="25"/>
      <c r="X686" s="24"/>
      <c r="Y686" s="24"/>
      <c r="Z686" s="24"/>
      <c r="AA686" s="24"/>
      <c r="AB686" s="24"/>
      <c r="AC686" s="24"/>
      <c r="AD686" s="361">
        <f t="shared" si="146"/>
        <v>0</v>
      </c>
      <c r="AE686" s="359" t="str">
        <f t="shared" si="149"/>
        <v/>
      </c>
      <c r="AF686" s="359" t="str">
        <f t="shared" si="158"/>
        <v/>
      </c>
      <c r="AG686" s="359" t="str">
        <f t="shared" si="150"/>
        <v/>
      </c>
      <c r="AH686" s="359" t="str">
        <f t="shared" si="151"/>
        <v/>
      </c>
      <c r="AI686" s="359" t="str">
        <f t="shared" si="152"/>
        <v/>
      </c>
      <c r="AJ686" s="359" t="str">
        <f t="shared" si="153"/>
        <v/>
      </c>
      <c r="AK686" s="359" t="str">
        <f t="shared" si="155"/>
        <v/>
      </c>
      <c r="AL686" s="359" t="str">
        <f t="shared" si="154"/>
        <v/>
      </c>
      <c r="AM686" s="359" t="str">
        <f t="shared" si="156"/>
        <v/>
      </c>
      <c r="AN686" s="262">
        <f t="shared" si="159"/>
        <v>0</v>
      </c>
      <c r="AO686" s="262" t="str">
        <f>IFERROR(HLOOKUP(AN686,'Ref Lists'!Q$1:AL$2,2,FALSE),'Ref Lists'!$AK$2)</f>
        <v>Savings21</v>
      </c>
      <c r="AP686" s="38"/>
      <c r="AQ686" s="38">
        <f t="shared" si="148"/>
        <v>0</v>
      </c>
      <c r="AR686" s="38"/>
      <c r="AS686" s="38"/>
      <c r="AT686" s="38"/>
      <c r="AU686" s="38"/>
      <c r="AV686" s="38"/>
      <c r="AW686" s="38"/>
      <c r="AX686" s="38"/>
      <c r="AY686" s="38"/>
      <c r="AZ686" s="38"/>
      <c r="BA686" s="38"/>
      <c r="BB686" s="38"/>
      <c r="BC686" s="38"/>
      <c r="BD686" s="38"/>
      <c r="BE686" s="38"/>
      <c r="BF686" s="38"/>
      <c r="BG686" s="38"/>
      <c r="BH686" s="38"/>
      <c r="BI686" s="38"/>
      <c r="BJ686" s="38"/>
      <c r="BK686" s="38"/>
      <c r="BL686" s="38"/>
      <c r="BM686" s="38"/>
      <c r="BN686" s="38"/>
      <c r="BO686" s="38"/>
      <c r="BP686" s="38"/>
      <c r="BQ686" s="38"/>
      <c r="BR686" s="38"/>
      <c r="BS686" s="38"/>
      <c r="BT686" s="38"/>
      <c r="BU686" s="38"/>
      <c r="BV686" s="38"/>
      <c r="BW686" s="38"/>
      <c r="BX686" s="38"/>
      <c r="BY686" s="38"/>
      <c r="BZ686" s="38"/>
      <c r="CA686" s="38"/>
      <c r="CB686" s="38"/>
      <c r="CC686" s="38"/>
      <c r="CD686" s="38"/>
      <c r="CE686" s="38"/>
      <c r="CF686" s="38"/>
      <c r="CG686" s="38"/>
      <c r="CH686" s="38"/>
      <c r="CI686" s="38"/>
      <c r="CJ686" s="38"/>
      <c r="CK686" s="38"/>
      <c r="CL686" s="38"/>
      <c r="CM686" s="38"/>
      <c r="CN686" s="38"/>
      <c r="CO686" s="38"/>
      <c r="CP686" s="38"/>
      <c r="CQ686" s="38"/>
      <c r="CR686" s="38"/>
      <c r="CS686" s="38"/>
      <c r="CT686" s="38"/>
      <c r="CU686" s="38"/>
      <c r="CV686" s="38"/>
      <c r="CW686" s="38"/>
      <c r="CX686" s="38"/>
      <c r="CY686" s="38"/>
      <c r="CZ686" s="38"/>
    </row>
    <row r="687" spans="1:104" s="40" customFormat="1" ht="20.149999999999999" customHeight="1">
      <c r="A687" s="358">
        <f t="shared" si="157"/>
        <v>686</v>
      </c>
      <c r="B687" s="359" t="str">
        <f>'Front Sheet and Checklist'!$C$5</f>
        <v>Swansea Bay UHB</v>
      </c>
      <c r="C687" s="17"/>
      <c r="D687" s="17"/>
      <c r="E687" s="17"/>
      <c r="F687" s="17"/>
      <c r="G687" s="17"/>
      <c r="H687" s="17"/>
      <c r="I687" s="361">
        <f t="shared" si="147"/>
        <v>0</v>
      </c>
      <c r="J687" s="17"/>
      <c r="K687" s="18"/>
      <c r="L687" s="18"/>
      <c r="M687" s="17"/>
      <c r="N687" s="17"/>
      <c r="O687" s="17"/>
      <c r="P687" s="17"/>
      <c r="Q687" s="169"/>
      <c r="R687" s="24"/>
      <c r="S687" s="24"/>
      <c r="T687" s="24"/>
      <c r="U687" s="25"/>
      <c r="V687" s="25"/>
      <c r="W687" s="25"/>
      <c r="X687" s="24"/>
      <c r="Y687" s="24"/>
      <c r="Z687" s="24"/>
      <c r="AA687" s="24"/>
      <c r="AB687" s="24"/>
      <c r="AC687" s="24"/>
      <c r="AD687" s="361">
        <f t="shared" si="146"/>
        <v>0</v>
      </c>
      <c r="AE687" s="359" t="str">
        <f t="shared" si="149"/>
        <v/>
      </c>
      <c r="AF687" s="359" t="str">
        <f t="shared" si="158"/>
        <v/>
      </c>
      <c r="AG687" s="359" t="str">
        <f t="shared" si="150"/>
        <v/>
      </c>
      <c r="AH687" s="359" t="str">
        <f t="shared" si="151"/>
        <v/>
      </c>
      <c r="AI687" s="359" t="str">
        <f t="shared" si="152"/>
        <v/>
      </c>
      <c r="AJ687" s="359" t="str">
        <f t="shared" si="153"/>
        <v/>
      </c>
      <c r="AK687" s="359" t="str">
        <f t="shared" si="155"/>
        <v/>
      </c>
      <c r="AL687" s="359" t="str">
        <f t="shared" si="154"/>
        <v/>
      </c>
      <c r="AM687" s="359" t="str">
        <f t="shared" si="156"/>
        <v/>
      </c>
      <c r="AN687" s="262">
        <f t="shared" si="159"/>
        <v>0</v>
      </c>
      <c r="AO687" s="262" t="str">
        <f>IFERROR(HLOOKUP(AN687,'Ref Lists'!Q$1:AL$2,2,FALSE),'Ref Lists'!$AK$2)</f>
        <v>Savings21</v>
      </c>
      <c r="AP687" s="38"/>
      <c r="AQ687" s="38">
        <f t="shared" si="148"/>
        <v>0</v>
      </c>
      <c r="AR687" s="38"/>
      <c r="AS687" s="38"/>
      <c r="AT687" s="38"/>
      <c r="AU687" s="38"/>
      <c r="AV687" s="38"/>
      <c r="AW687" s="38"/>
      <c r="AX687" s="38"/>
      <c r="AY687" s="38"/>
      <c r="AZ687" s="38"/>
      <c r="BA687" s="38"/>
      <c r="BB687" s="38"/>
      <c r="BC687" s="38"/>
      <c r="BD687" s="38"/>
      <c r="BE687" s="38"/>
      <c r="BF687" s="38"/>
      <c r="BG687" s="38"/>
      <c r="BH687" s="38"/>
      <c r="BI687" s="38"/>
      <c r="BJ687" s="38"/>
      <c r="BK687" s="38"/>
      <c r="BL687" s="38"/>
      <c r="BM687" s="38"/>
      <c r="BN687" s="38"/>
      <c r="BO687" s="38"/>
      <c r="BP687" s="38"/>
      <c r="BQ687" s="38"/>
      <c r="BR687" s="38"/>
      <c r="BS687" s="38"/>
      <c r="BT687" s="38"/>
      <c r="BU687" s="38"/>
      <c r="BV687" s="38"/>
      <c r="BW687" s="38"/>
      <c r="BX687" s="38"/>
      <c r="BY687" s="38"/>
      <c r="BZ687" s="38"/>
      <c r="CA687" s="38"/>
      <c r="CB687" s="38"/>
      <c r="CC687" s="38"/>
      <c r="CD687" s="38"/>
      <c r="CE687" s="38"/>
      <c r="CF687" s="38"/>
      <c r="CG687" s="38"/>
      <c r="CH687" s="38"/>
      <c r="CI687" s="38"/>
      <c r="CJ687" s="38"/>
      <c r="CK687" s="38"/>
      <c r="CL687" s="38"/>
      <c r="CM687" s="38"/>
      <c r="CN687" s="38"/>
      <c r="CO687" s="38"/>
      <c r="CP687" s="38"/>
      <c r="CQ687" s="38"/>
      <c r="CR687" s="38"/>
      <c r="CS687" s="38"/>
      <c r="CT687" s="38"/>
      <c r="CU687" s="38"/>
      <c r="CV687" s="38"/>
      <c r="CW687" s="38"/>
      <c r="CX687" s="38"/>
      <c r="CY687" s="38"/>
      <c r="CZ687" s="38"/>
    </row>
    <row r="688" spans="1:104" s="40" customFormat="1" ht="20.149999999999999" customHeight="1">
      <c r="A688" s="358">
        <f t="shared" si="157"/>
        <v>687</v>
      </c>
      <c r="B688" s="359" t="str">
        <f>'Front Sheet and Checklist'!$C$5</f>
        <v>Swansea Bay UHB</v>
      </c>
      <c r="C688" s="17"/>
      <c r="D688" s="17"/>
      <c r="E688" s="17"/>
      <c r="F688" s="17"/>
      <c r="G688" s="17"/>
      <c r="H688" s="17"/>
      <c r="I688" s="361">
        <f t="shared" si="147"/>
        <v>0</v>
      </c>
      <c r="J688" s="17"/>
      <c r="K688" s="18"/>
      <c r="L688" s="18"/>
      <c r="M688" s="17"/>
      <c r="N688" s="17"/>
      <c r="O688" s="17"/>
      <c r="P688" s="17"/>
      <c r="Q688" s="169"/>
      <c r="R688" s="24"/>
      <c r="S688" s="24"/>
      <c r="T688" s="24"/>
      <c r="U688" s="25"/>
      <c r="V688" s="25"/>
      <c r="W688" s="25"/>
      <c r="X688" s="24"/>
      <c r="Y688" s="24"/>
      <c r="Z688" s="24"/>
      <c r="AA688" s="24"/>
      <c r="AB688" s="24"/>
      <c r="AC688" s="24"/>
      <c r="AD688" s="361">
        <f t="shared" si="146"/>
        <v>0</v>
      </c>
      <c r="AE688" s="359" t="str">
        <f t="shared" si="149"/>
        <v/>
      </c>
      <c r="AF688" s="359" t="str">
        <f t="shared" si="158"/>
        <v/>
      </c>
      <c r="AG688" s="359" t="str">
        <f t="shared" si="150"/>
        <v/>
      </c>
      <c r="AH688" s="359" t="str">
        <f t="shared" si="151"/>
        <v/>
      </c>
      <c r="AI688" s="359" t="str">
        <f t="shared" si="152"/>
        <v/>
      </c>
      <c r="AJ688" s="359" t="str">
        <f t="shared" si="153"/>
        <v/>
      </c>
      <c r="AK688" s="359" t="str">
        <f t="shared" si="155"/>
        <v/>
      </c>
      <c r="AL688" s="359" t="str">
        <f t="shared" si="154"/>
        <v/>
      </c>
      <c r="AM688" s="359" t="str">
        <f t="shared" si="156"/>
        <v/>
      </c>
      <c r="AN688" s="262">
        <f t="shared" si="159"/>
        <v>0</v>
      </c>
      <c r="AO688" s="262" t="str">
        <f>IFERROR(HLOOKUP(AN688,'Ref Lists'!Q$1:AL$2,2,FALSE),'Ref Lists'!$AK$2)</f>
        <v>Savings21</v>
      </c>
      <c r="AP688" s="38"/>
      <c r="AQ688" s="38">
        <f t="shared" si="148"/>
        <v>0</v>
      </c>
      <c r="AR688" s="38"/>
      <c r="AS688" s="38"/>
      <c r="AT688" s="38"/>
      <c r="AU688" s="38"/>
      <c r="AV688" s="38"/>
      <c r="AW688" s="38"/>
      <c r="AX688" s="38"/>
      <c r="AY688" s="38"/>
      <c r="AZ688" s="38"/>
      <c r="BA688" s="38"/>
      <c r="BB688" s="38"/>
      <c r="BC688" s="38"/>
      <c r="BD688" s="38"/>
      <c r="BE688" s="38"/>
      <c r="BF688" s="38"/>
      <c r="BG688" s="38"/>
      <c r="BH688" s="38"/>
      <c r="BI688" s="38"/>
      <c r="BJ688" s="38"/>
      <c r="BK688" s="38"/>
      <c r="BL688" s="38"/>
      <c r="BM688" s="38"/>
      <c r="BN688" s="38"/>
      <c r="BO688" s="38"/>
      <c r="BP688" s="38"/>
      <c r="BQ688" s="38"/>
      <c r="BR688" s="38"/>
      <c r="BS688" s="38"/>
      <c r="BT688" s="38"/>
      <c r="BU688" s="38"/>
      <c r="BV688" s="38"/>
      <c r="BW688" s="38"/>
      <c r="BX688" s="38"/>
      <c r="BY688" s="38"/>
      <c r="BZ688" s="38"/>
      <c r="CA688" s="38"/>
      <c r="CB688" s="38"/>
      <c r="CC688" s="38"/>
      <c r="CD688" s="38"/>
      <c r="CE688" s="38"/>
      <c r="CF688" s="38"/>
      <c r="CG688" s="38"/>
      <c r="CH688" s="38"/>
      <c r="CI688" s="38"/>
      <c r="CJ688" s="38"/>
      <c r="CK688" s="38"/>
      <c r="CL688" s="38"/>
      <c r="CM688" s="38"/>
      <c r="CN688" s="38"/>
      <c r="CO688" s="38"/>
      <c r="CP688" s="38"/>
      <c r="CQ688" s="38"/>
      <c r="CR688" s="38"/>
      <c r="CS688" s="38"/>
      <c r="CT688" s="38"/>
      <c r="CU688" s="38"/>
      <c r="CV688" s="38"/>
      <c r="CW688" s="38"/>
      <c r="CX688" s="38"/>
      <c r="CY688" s="38"/>
      <c r="CZ688" s="38"/>
    </row>
    <row r="689" spans="1:104" s="40" customFormat="1" ht="20.149999999999999" customHeight="1">
      <c r="A689" s="358">
        <f t="shared" si="157"/>
        <v>688</v>
      </c>
      <c r="B689" s="359" t="str">
        <f>'Front Sheet and Checklist'!$C$5</f>
        <v>Swansea Bay UHB</v>
      </c>
      <c r="C689" s="17"/>
      <c r="D689" s="17"/>
      <c r="E689" s="17"/>
      <c r="F689" s="17"/>
      <c r="G689" s="17"/>
      <c r="H689" s="17"/>
      <c r="I689" s="361">
        <f t="shared" si="147"/>
        <v>0</v>
      </c>
      <c r="J689" s="17"/>
      <c r="K689" s="18"/>
      <c r="L689" s="18"/>
      <c r="M689" s="17"/>
      <c r="N689" s="17"/>
      <c r="O689" s="17"/>
      <c r="P689" s="17"/>
      <c r="Q689" s="169"/>
      <c r="R689" s="24"/>
      <c r="S689" s="24"/>
      <c r="T689" s="24"/>
      <c r="U689" s="25"/>
      <c r="V689" s="25"/>
      <c r="W689" s="25"/>
      <c r="X689" s="24"/>
      <c r="Y689" s="24"/>
      <c r="Z689" s="24"/>
      <c r="AA689" s="24"/>
      <c r="AB689" s="24"/>
      <c r="AC689" s="24"/>
      <c r="AD689" s="361">
        <f t="shared" si="146"/>
        <v>0</v>
      </c>
      <c r="AE689" s="359" t="str">
        <f t="shared" si="149"/>
        <v/>
      </c>
      <c r="AF689" s="359" t="str">
        <f t="shared" si="158"/>
        <v/>
      </c>
      <c r="AG689" s="359" t="str">
        <f t="shared" si="150"/>
        <v/>
      </c>
      <c r="AH689" s="359" t="str">
        <f t="shared" si="151"/>
        <v/>
      </c>
      <c r="AI689" s="359" t="str">
        <f t="shared" si="152"/>
        <v/>
      </c>
      <c r="AJ689" s="359" t="str">
        <f t="shared" si="153"/>
        <v/>
      </c>
      <c r="AK689" s="359" t="str">
        <f t="shared" si="155"/>
        <v/>
      </c>
      <c r="AL689" s="359" t="str">
        <f t="shared" si="154"/>
        <v/>
      </c>
      <c r="AM689" s="359" t="str">
        <f t="shared" si="156"/>
        <v/>
      </c>
      <c r="AN689" s="262">
        <f t="shared" si="159"/>
        <v>0</v>
      </c>
      <c r="AO689" s="262" t="str">
        <f>IFERROR(HLOOKUP(AN689,'Ref Lists'!Q$1:AL$2,2,FALSE),'Ref Lists'!$AK$2)</f>
        <v>Savings21</v>
      </c>
      <c r="AP689" s="38"/>
      <c r="AQ689" s="38">
        <f t="shared" si="148"/>
        <v>0</v>
      </c>
      <c r="AR689" s="38"/>
      <c r="AS689" s="38"/>
      <c r="AT689" s="38"/>
      <c r="AU689" s="38"/>
      <c r="AV689" s="38"/>
      <c r="AW689" s="38"/>
      <c r="AX689" s="38"/>
      <c r="AY689" s="38"/>
      <c r="AZ689" s="38"/>
      <c r="BA689" s="38"/>
      <c r="BB689" s="38"/>
      <c r="BC689" s="38"/>
      <c r="BD689" s="38"/>
      <c r="BE689" s="38"/>
      <c r="BF689" s="38"/>
      <c r="BG689" s="38"/>
      <c r="BH689" s="38"/>
      <c r="BI689" s="38"/>
      <c r="BJ689" s="38"/>
      <c r="BK689" s="38"/>
      <c r="BL689" s="38"/>
      <c r="BM689" s="38"/>
      <c r="BN689" s="38"/>
      <c r="BO689" s="38"/>
      <c r="BP689" s="38"/>
      <c r="BQ689" s="38"/>
      <c r="BR689" s="38"/>
      <c r="BS689" s="38"/>
      <c r="BT689" s="38"/>
      <c r="BU689" s="38"/>
      <c r="BV689" s="38"/>
      <c r="BW689" s="38"/>
      <c r="BX689" s="38"/>
      <c r="BY689" s="38"/>
      <c r="BZ689" s="38"/>
      <c r="CA689" s="38"/>
      <c r="CB689" s="38"/>
      <c r="CC689" s="38"/>
      <c r="CD689" s="38"/>
      <c r="CE689" s="38"/>
      <c r="CF689" s="38"/>
      <c r="CG689" s="38"/>
      <c r="CH689" s="38"/>
      <c r="CI689" s="38"/>
      <c r="CJ689" s="38"/>
      <c r="CK689" s="38"/>
      <c r="CL689" s="38"/>
      <c r="CM689" s="38"/>
      <c r="CN689" s="38"/>
      <c r="CO689" s="38"/>
      <c r="CP689" s="38"/>
      <c r="CQ689" s="38"/>
      <c r="CR689" s="38"/>
      <c r="CS689" s="38"/>
      <c r="CT689" s="38"/>
      <c r="CU689" s="38"/>
      <c r="CV689" s="38"/>
      <c r="CW689" s="38"/>
      <c r="CX689" s="38"/>
      <c r="CY689" s="38"/>
      <c r="CZ689" s="38"/>
    </row>
    <row r="690" spans="1:104" s="40" customFormat="1" ht="20.149999999999999" customHeight="1">
      <c r="A690" s="358">
        <f t="shared" si="157"/>
        <v>689</v>
      </c>
      <c r="B690" s="359" t="str">
        <f>'Front Sheet and Checklist'!$C$5</f>
        <v>Swansea Bay UHB</v>
      </c>
      <c r="C690" s="17"/>
      <c r="D690" s="17"/>
      <c r="E690" s="17"/>
      <c r="F690" s="17"/>
      <c r="G690" s="17"/>
      <c r="H690" s="17"/>
      <c r="I690" s="361">
        <f t="shared" si="147"/>
        <v>0</v>
      </c>
      <c r="J690" s="17"/>
      <c r="K690" s="18"/>
      <c r="L690" s="18"/>
      <c r="M690" s="17"/>
      <c r="N690" s="17"/>
      <c r="O690" s="17"/>
      <c r="P690" s="17"/>
      <c r="Q690" s="169"/>
      <c r="R690" s="24"/>
      <c r="S690" s="24"/>
      <c r="T690" s="24"/>
      <c r="U690" s="25"/>
      <c r="V690" s="25"/>
      <c r="W690" s="25"/>
      <c r="X690" s="24"/>
      <c r="Y690" s="24"/>
      <c r="Z690" s="24"/>
      <c r="AA690" s="24"/>
      <c r="AB690" s="24"/>
      <c r="AC690" s="24"/>
      <c r="AD690" s="361">
        <f t="shared" si="146"/>
        <v>0</v>
      </c>
      <c r="AE690" s="359" t="str">
        <f t="shared" si="149"/>
        <v/>
      </c>
      <c r="AF690" s="359" t="str">
        <f t="shared" si="158"/>
        <v/>
      </c>
      <c r="AG690" s="359" t="str">
        <f t="shared" si="150"/>
        <v/>
      </c>
      <c r="AH690" s="359" t="str">
        <f t="shared" si="151"/>
        <v/>
      </c>
      <c r="AI690" s="359" t="str">
        <f t="shared" si="152"/>
        <v/>
      </c>
      <c r="AJ690" s="359" t="str">
        <f t="shared" si="153"/>
        <v/>
      </c>
      <c r="AK690" s="359" t="str">
        <f t="shared" si="155"/>
        <v/>
      </c>
      <c r="AL690" s="359" t="str">
        <f t="shared" si="154"/>
        <v/>
      </c>
      <c r="AM690" s="359" t="str">
        <f t="shared" si="156"/>
        <v/>
      </c>
      <c r="AN690" s="262">
        <f t="shared" si="159"/>
        <v>0</v>
      </c>
      <c r="AO690" s="262" t="str">
        <f>IFERROR(HLOOKUP(AN690,'Ref Lists'!Q$1:AL$2,2,FALSE),'Ref Lists'!$AK$2)</f>
        <v>Savings21</v>
      </c>
      <c r="AP690" s="38"/>
      <c r="AQ690" s="38">
        <f t="shared" si="148"/>
        <v>0</v>
      </c>
      <c r="AR690" s="38"/>
      <c r="AS690" s="38"/>
      <c r="AT690" s="38"/>
      <c r="AU690" s="38"/>
      <c r="AV690" s="38"/>
      <c r="AW690" s="38"/>
      <c r="AX690" s="38"/>
      <c r="AY690" s="38"/>
      <c r="AZ690" s="38"/>
      <c r="BA690" s="38"/>
      <c r="BB690" s="38"/>
      <c r="BC690" s="38"/>
      <c r="BD690" s="38"/>
      <c r="BE690" s="38"/>
      <c r="BF690" s="38"/>
      <c r="BG690" s="38"/>
      <c r="BH690" s="38"/>
      <c r="BI690" s="38"/>
      <c r="BJ690" s="38"/>
      <c r="BK690" s="38"/>
      <c r="BL690" s="38"/>
      <c r="BM690" s="38"/>
      <c r="BN690" s="38"/>
      <c r="BO690" s="38"/>
      <c r="BP690" s="38"/>
      <c r="BQ690" s="38"/>
      <c r="BR690" s="38"/>
      <c r="BS690" s="38"/>
      <c r="BT690" s="38"/>
      <c r="BU690" s="38"/>
      <c r="BV690" s="38"/>
      <c r="BW690" s="38"/>
      <c r="BX690" s="38"/>
      <c r="BY690" s="38"/>
      <c r="BZ690" s="38"/>
      <c r="CA690" s="38"/>
      <c r="CB690" s="38"/>
      <c r="CC690" s="38"/>
      <c r="CD690" s="38"/>
      <c r="CE690" s="38"/>
      <c r="CF690" s="38"/>
      <c r="CG690" s="38"/>
      <c r="CH690" s="38"/>
      <c r="CI690" s="38"/>
      <c r="CJ690" s="38"/>
      <c r="CK690" s="38"/>
      <c r="CL690" s="38"/>
      <c r="CM690" s="38"/>
      <c r="CN690" s="38"/>
      <c r="CO690" s="38"/>
      <c r="CP690" s="38"/>
      <c r="CQ690" s="38"/>
      <c r="CR690" s="38"/>
      <c r="CS690" s="38"/>
      <c r="CT690" s="38"/>
      <c r="CU690" s="38"/>
      <c r="CV690" s="38"/>
      <c r="CW690" s="38"/>
      <c r="CX690" s="38"/>
      <c r="CY690" s="38"/>
      <c r="CZ690" s="38"/>
    </row>
    <row r="691" spans="1:104" s="40" customFormat="1" ht="20.149999999999999" customHeight="1">
      <c r="A691" s="358">
        <f t="shared" si="157"/>
        <v>690</v>
      </c>
      <c r="B691" s="359" t="str">
        <f>'Front Sheet and Checklist'!$C$5</f>
        <v>Swansea Bay UHB</v>
      </c>
      <c r="C691" s="17"/>
      <c r="D691" s="17"/>
      <c r="E691" s="17"/>
      <c r="F691" s="17"/>
      <c r="G691" s="17"/>
      <c r="H691" s="17"/>
      <c r="I691" s="361">
        <f t="shared" si="147"/>
        <v>0</v>
      </c>
      <c r="J691" s="17"/>
      <c r="K691" s="18"/>
      <c r="L691" s="18"/>
      <c r="M691" s="17"/>
      <c r="N691" s="17"/>
      <c r="O691" s="17"/>
      <c r="P691" s="17"/>
      <c r="Q691" s="169"/>
      <c r="R691" s="24"/>
      <c r="S691" s="24"/>
      <c r="T691" s="24"/>
      <c r="U691" s="25"/>
      <c r="V691" s="25"/>
      <c r="W691" s="25"/>
      <c r="X691" s="24"/>
      <c r="Y691" s="24"/>
      <c r="Z691" s="24"/>
      <c r="AA691" s="24"/>
      <c r="AB691" s="24"/>
      <c r="AC691" s="24"/>
      <c r="AD691" s="361">
        <f t="shared" si="146"/>
        <v>0</v>
      </c>
      <c r="AE691" s="359" t="str">
        <f t="shared" si="149"/>
        <v/>
      </c>
      <c r="AF691" s="359" t="str">
        <f t="shared" si="158"/>
        <v/>
      </c>
      <c r="AG691" s="359" t="str">
        <f t="shared" si="150"/>
        <v/>
      </c>
      <c r="AH691" s="359" t="str">
        <f t="shared" si="151"/>
        <v/>
      </c>
      <c r="AI691" s="359" t="str">
        <f t="shared" si="152"/>
        <v/>
      </c>
      <c r="AJ691" s="359" t="str">
        <f t="shared" si="153"/>
        <v/>
      </c>
      <c r="AK691" s="359" t="str">
        <f t="shared" si="155"/>
        <v/>
      </c>
      <c r="AL691" s="359" t="str">
        <f t="shared" si="154"/>
        <v/>
      </c>
      <c r="AM691" s="359" t="str">
        <f t="shared" si="156"/>
        <v/>
      </c>
      <c r="AN691" s="262">
        <f t="shared" si="159"/>
        <v>0</v>
      </c>
      <c r="AO691" s="262" t="str">
        <f>IFERROR(HLOOKUP(AN691,'Ref Lists'!Q$1:AL$2,2,FALSE),'Ref Lists'!$AK$2)</f>
        <v>Savings21</v>
      </c>
      <c r="AP691" s="38"/>
      <c r="AQ691" s="38">
        <f t="shared" si="148"/>
        <v>0</v>
      </c>
      <c r="AR691" s="38"/>
      <c r="AS691" s="38"/>
      <c r="AT691" s="38"/>
      <c r="AU691" s="38"/>
      <c r="AV691" s="38"/>
      <c r="AW691" s="38"/>
      <c r="AX691" s="38"/>
      <c r="AY691" s="38"/>
      <c r="AZ691" s="38"/>
      <c r="BA691" s="38"/>
      <c r="BB691" s="38"/>
      <c r="BC691" s="38"/>
      <c r="BD691" s="38"/>
      <c r="BE691" s="38"/>
      <c r="BF691" s="38"/>
      <c r="BG691" s="38"/>
      <c r="BH691" s="38"/>
      <c r="BI691" s="38"/>
      <c r="BJ691" s="38"/>
      <c r="BK691" s="38"/>
      <c r="BL691" s="38"/>
      <c r="BM691" s="38"/>
      <c r="BN691" s="38"/>
      <c r="BO691" s="38"/>
      <c r="BP691" s="38"/>
      <c r="BQ691" s="38"/>
      <c r="BR691" s="38"/>
      <c r="BS691" s="38"/>
      <c r="BT691" s="38"/>
      <c r="BU691" s="38"/>
      <c r="BV691" s="38"/>
      <c r="BW691" s="38"/>
      <c r="BX691" s="38"/>
      <c r="BY691" s="38"/>
      <c r="BZ691" s="38"/>
      <c r="CA691" s="38"/>
      <c r="CB691" s="38"/>
      <c r="CC691" s="38"/>
      <c r="CD691" s="38"/>
      <c r="CE691" s="38"/>
      <c r="CF691" s="38"/>
      <c r="CG691" s="38"/>
      <c r="CH691" s="38"/>
      <c r="CI691" s="38"/>
      <c r="CJ691" s="38"/>
      <c r="CK691" s="38"/>
      <c r="CL691" s="38"/>
      <c r="CM691" s="38"/>
      <c r="CN691" s="38"/>
      <c r="CO691" s="38"/>
      <c r="CP691" s="38"/>
      <c r="CQ691" s="38"/>
      <c r="CR691" s="38"/>
      <c r="CS691" s="38"/>
      <c r="CT691" s="38"/>
      <c r="CU691" s="38"/>
      <c r="CV691" s="38"/>
      <c r="CW691" s="38"/>
      <c r="CX691" s="38"/>
      <c r="CY691" s="38"/>
      <c r="CZ691" s="38"/>
    </row>
    <row r="692" spans="1:104" s="40" customFormat="1" ht="20.149999999999999" customHeight="1">
      <c r="A692" s="358">
        <f t="shared" si="157"/>
        <v>691</v>
      </c>
      <c r="B692" s="359" t="str">
        <f>'Front Sheet and Checklist'!$C$5</f>
        <v>Swansea Bay UHB</v>
      </c>
      <c r="C692" s="17"/>
      <c r="D692" s="17"/>
      <c r="E692" s="17"/>
      <c r="F692" s="17"/>
      <c r="G692" s="17"/>
      <c r="H692" s="17"/>
      <c r="I692" s="361">
        <f t="shared" si="147"/>
        <v>0</v>
      </c>
      <c r="J692" s="17"/>
      <c r="K692" s="18"/>
      <c r="L692" s="18"/>
      <c r="M692" s="17"/>
      <c r="N692" s="17"/>
      <c r="O692" s="17"/>
      <c r="P692" s="17"/>
      <c r="Q692" s="169"/>
      <c r="R692" s="24"/>
      <c r="S692" s="24"/>
      <c r="T692" s="24"/>
      <c r="U692" s="25"/>
      <c r="V692" s="25"/>
      <c r="W692" s="25"/>
      <c r="X692" s="24"/>
      <c r="Y692" s="24"/>
      <c r="Z692" s="24"/>
      <c r="AA692" s="24"/>
      <c r="AB692" s="24"/>
      <c r="AC692" s="24"/>
      <c r="AD692" s="361">
        <f t="shared" si="146"/>
        <v>0</v>
      </c>
      <c r="AE692" s="359" t="str">
        <f t="shared" si="149"/>
        <v/>
      </c>
      <c r="AF692" s="359" t="str">
        <f t="shared" si="158"/>
        <v/>
      </c>
      <c r="AG692" s="359" t="str">
        <f t="shared" si="150"/>
        <v/>
      </c>
      <c r="AH692" s="359" t="str">
        <f t="shared" si="151"/>
        <v/>
      </c>
      <c r="AI692" s="359" t="str">
        <f t="shared" si="152"/>
        <v/>
      </c>
      <c r="AJ692" s="359" t="str">
        <f t="shared" si="153"/>
        <v/>
      </c>
      <c r="AK692" s="359" t="str">
        <f t="shared" si="155"/>
        <v/>
      </c>
      <c r="AL692" s="359" t="str">
        <f t="shared" si="154"/>
        <v/>
      </c>
      <c r="AM692" s="359" t="str">
        <f t="shared" si="156"/>
        <v/>
      </c>
      <c r="AN692" s="262">
        <f t="shared" si="159"/>
        <v>0</v>
      </c>
      <c r="AO692" s="262" t="str">
        <f>IFERROR(HLOOKUP(AN692,'Ref Lists'!Q$1:AL$2,2,FALSE),'Ref Lists'!$AK$2)</f>
        <v>Savings21</v>
      </c>
      <c r="AP692" s="38"/>
      <c r="AQ692" s="38">
        <f t="shared" si="148"/>
        <v>0</v>
      </c>
      <c r="AR692" s="38"/>
      <c r="AS692" s="38"/>
      <c r="AT692" s="38"/>
      <c r="AU692" s="38"/>
      <c r="AV692" s="38"/>
      <c r="AW692" s="38"/>
      <c r="AX692" s="38"/>
      <c r="AY692" s="38"/>
      <c r="AZ692" s="38"/>
      <c r="BA692" s="38"/>
      <c r="BB692" s="38"/>
      <c r="BC692" s="38"/>
      <c r="BD692" s="38"/>
      <c r="BE692" s="38"/>
      <c r="BF692" s="38"/>
      <c r="BG692" s="38"/>
      <c r="BH692" s="38"/>
      <c r="BI692" s="38"/>
      <c r="BJ692" s="38"/>
      <c r="BK692" s="38"/>
      <c r="BL692" s="38"/>
      <c r="BM692" s="38"/>
      <c r="BN692" s="38"/>
      <c r="BO692" s="38"/>
      <c r="BP692" s="38"/>
      <c r="BQ692" s="38"/>
      <c r="BR692" s="38"/>
      <c r="BS692" s="38"/>
      <c r="BT692" s="38"/>
      <c r="BU692" s="38"/>
      <c r="BV692" s="38"/>
      <c r="BW692" s="38"/>
      <c r="BX692" s="38"/>
      <c r="BY692" s="38"/>
      <c r="BZ692" s="38"/>
      <c r="CA692" s="38"/>
      <c r="CB692" s="38"/>
      <c r="CC692" s="38"/>
      <c r="CD692" s="38"/>
      <c r="CE692" s="38"/>
      <c r="CF692" s="38"/>
      <c r="CG692" s="38"/>
      <c r="CH692" s="38"/>
      <c r="CI692" s="38"/>
      <c r="CJ692" s="38"/>
      <c r="CK692" s="38"/>
      <c r="CL692" s="38"/>
      <c r="CM692" s="38"/>
      <c r="CN692" s="38"/>
      <c r="CO692" s="38"/>
      <c r="CP692" s="38"/>
      <c r="CQ692" s="38"/>
      <c r="CR692" s="38"/>
      <c r="CS692" s="38"/>
      <c r="CT692" s="38"/>
      <c r="CU692" s="38"/>
      <c r="CV692" s="38"/>
      <c r="CW692" s="38"/>
      <c r="CX692" s="38"/>
      <c r="CY692" s="38"/>
      <c r="CZ692" s="38"/>
    </row>
    <row r="693" spans="1:104" s="40" customFormat="1" ht="20.149999999999999" customHeight="1">
      <c r="A693" s="358">
        <f t="shared" si="157"/>
        <v>692</v>
      </c>
      <c r="B693" s="359" t="str">
        <f>'Front Sheet and Checklist'!$C$5</f>
        <v>Swansea Bay UHB</v>
      </c>
      <c r="C693" s="17"/>
      <c r="D693" s="17"/>
      <c r="E693" s="17"/>
      <c r="F693" s="17"/>
      <c r="G693" s="17"/>
      <c r="H693" s="17"/>
      <c r="I693" s="361">
        <f t="shared" si="147"/>
        <v>0</v>
      </c>
      <c r="J693" s="17"/>
      <c r="K693" s="18"/>
      <c r="L693" s="18"/>
      <c r="M693" s="17"/>
      <c r="N693" s="17"/>
      <c r="O693" s="17"/>
      <c r="P693" s="17"/>
      <c r="Q693" s="169"/>
      <c r="R693" s="24"/>
      <c r="S693" s="24"/>
      <c r="T693" s="24"/>
      <c r="U693" s="25"/>
      <c r="V693" s="25"/>
      <c r="W693" s="25"/>
      <c r="X693" s="24"/>
      <c r="Y693" s="24"/>
      <c r="Z693" s="24"/>
      <c r="AA693" s="24"/>
      <c r="AB693" s="24"/>
      <c r="AC693" s="24"/>
      <c r="AD693" s="361">
        <f t="shared" si="146"/>
        <v>0</v>
      </c>
      <c r="AE693" s="359" t="str">
        <f t="shared" si="149"/>
        <v/>
      </c>
      <c r="AF693" s="359" t="str">
        <f t="shared" si="158"/>
        <v/>
      </c>
      <c r="AG693" s="359" t="str">
        <f t="shared" si="150"/>
        <v/>
      </c>
      <c r="AH693" s="359" t="str">
        <f t="shared" si="151"/>
        <v/>
      </c>
      <c r="AI693" s="359" t="str">
        <f t="shared" si="152"/>
        <v/>
      </c>
      <c r="AJ693" s="359" t="str">
        <f t="shared" si="153"/>
        <v/>
      </c>
      <c r="AK693" s="359" t="str">
        <f t="shared" si="155"/>
        <v/>
      </c>
      <c r="AL693" s="359" t="str">
        <f t="shared" si="154"/>
        <v/>
      </c>
      <c r="AM693" s="359" t="str">
        <f t="shared" si="156"/>
        <v/>
      </c>
      <c r="AN693" s="262">
        <f t="shared" si="159"/>
        <v>0</v>
      </c>
      <c r="AO693" s="262" t="str">
        <f>IFERROR(HLOOKUP(AN693,'Ref Lists'!Q$1:AL$2,2,FALSE),'Ref Lists'!$AK$2)</f>
        <v>Savings21</v>
      </c>
      <c r="AP693" s="38"/>
      <c r="AQ693" s="38">
        <f t="shared" si="148"/>
        <v>0</v>
      </c>
      <c r="AR693" s="38"/>
      <c r="AS693" s="38"/>
      <c r="AT693" s="38"/>
      <c r="AU693" s="38"/>
      <c r="AV693" s="38"/>
      <c r="AW693" s="38"/>
      <c r="AX693" s="38"/>
      <c r="AY693" s="38"/>
      <c r="AZ693" s="38"/>
      <c r="BA693" s="38"/>
      <c r="BB693" s="38"/>
      <c r="BC693" s="38"/>
      <c r="BD693" s="38"/>
      <c r="BE693" s="38"/>
      <c r="BF693" s="38"/>
      <c r="BG693" s="38"/>
      <c r="BH693" s="38"/>
      <c r="BI693" s="38"/>
      <c r="BJ693" s="38"/>
      <c r="BK693" s="38"/>
      <c r="BL693" s="38"/>
      <c r="BM693" s="38"/>
      <c r="BN693" s="38"/>
      <c r="BO693" s="38"/>
      <c r="BP693" s="38"/>
      <c r="BQ693" s="38"/>
      <c r="BR693" s="38"/>
      <c r="BS693" s="38"/>
      <c r="BT693" s="38"/>
      <c r="BU693" s="38"/>
      <c r="BV693" s="38"/>
      <c r="BW693" s="38"/>
      <c r="BX693" s="38"/>
      <c r="BY693" s="38"/>
      <c r="BZ693" s="38"/>
      <c r="CA693" s="38"/>
      <c r="CB693" s="38"/>
      <c r="CC693" s="38"/>
      <c r="CD693" s="38"/>
      <c r="CE693" s="38"/>
      <c r="CF693" s="38"/>
      <c r="CG693" s="38"/>
      <c r="CH693" s="38"/>
      <c r="CI693" s="38"/>
      <c r="CJ693" s="38"/>
      <c r="CK693" s="38"/>
      <c r="CL693" s="38"/>
      <c r="CM693" s="38"/>
      <c r="CN693" s="38"/>
      <c r="CO693" s="38"/>
      <c r="CP693" s="38"/>
      <c r="CQ693" s="38"/>
      <c r="CR693" s="38"/>
      <c r="CS693" s="38"/>
      <c r="CT693" s="38"/>
      <c r="CU693" s="38"/>
      <c r="CV693" s="38"/>
      <c r="CW693" s="38"/>
      <c r="CX693" s="38"/>
      <c r="CY693" s="38"/>
      <c r="CZ693" s="38"/>
    </row>
    <row r="694" spans="1:104" s="40" customFormat="1" ht="20.149999999999999" customHeight="1">
      <c r="A694" s="358">
        <f t="shared" si="157"/>
        <v>693</v>
      </c>
      <c r="B694" s="359" t="str">
        <f>'Front Sheet and Checklist'!$C$5</f>
        <v>Swansea Bay UHB</v>
      </c>
      <c r="C694" s="17"/>
      <c r="D694" s="17"/>
      <c r="E694" s="17"/>
      <c r="F694" s="17"/>
      <c r="G694" s="17"/>
      <c r="H694" s="17"/>
      <c r="I694" s="361">
        <f t="shared" si="147"/>
        <v>0</v>
      </c>
      <c r="J694" s="17"/>
      <c r="K694" s="18"/>
      <c r="L694" s="18"/>
      <c r="M694" s="17"/>
      <c r="N694" s="17"/>
      <c r="O694" s="17"/>
      <c r="P694" s="17"/>
      <c r="Q694" s="169"/>
      <c r="R694" s="24"/>
      <c r="S694" s="24"/>
      <c r="T694" s="24"/>
      <c r="U694" s="25"/>
      <c r="V694" s="25"/>
      <c r="W694" s="25"/>
      <c r="X694" s="24"/>
      <c r="Y694" s="24"/>
      <c r="Z694" s="24"/>
      <c r="AA694" s="24"/>
      <c r="AB694" s="24"/>
      <c r="AC694" s="24"/>
      <c r="AD694" s="361">
        <f t="shared" si="146"/>
        <v>0</v>
      </c>
      <c r="AE694" s="359" t="str">
        <f t="shared" si="149"/>
        <v/>
      </c>
      <c r="AF694" s="359" t="str">
        <f t="shared" si="158"/>
        <v/>
      </c>
      <c r="AG694" s="359" t="str">
        <f t="shared" si="150"/>
        <v/>
      </c>
      <c r="AH694" s="359" t="str">
        <f t="shared" si="151"/>
        <v/>
      </c>
      <c r="AI694" s="359" t="str">
        <f t="shared" si="152"/>
        <v/>
      </c>
      <c r="AJ694" s="359" t="str">
        <f t="shared" si="153"/>
        <v/>
      </c>
      <c r="AK694" s="359" t="str">
        <f t="shared" si="155"/>
        <v/>
      </c>
      <c r="AL694" s="359" t="str">
        <f t="shared" si="154"/>
        <v/>
      </c>
      <c r="AM694" s="359" t="str">
        <f t="shared" si="156"/>
        <v/>
      </c>
      <c r="AN694" s="262">
        <f t="shared" si="159"/>
        <v>0</v>
      </c>
      <c r="AO694" s="262" t="str">
        <f>IFERROR(HLOOKUP(AN694,'Ref Lists'!Q$1:AL$2,2,FALSE),'Ref Lists'!$AK$2)</f>
        <v>Savings21</v>
      </c>
      <c r="AP694" s="38"/>
      <c r="AQ694" s="38">
        <f t="shared" si="148"/>
        <v>0</v>
      </c>
      <c r="AR694" s="38"/>
      <c r="AS694" s="38"/>
      <c r="AT694" s="38"/>
      <c r="AU694" s="38"/>
      <c r="AV694" s="38"/>
      <c r="AW694" s="38"/>
      <c r="AX694" s="38"/>
      <c r="AY694" s="38"/>
      <c r="AZ694" s="38"/>
      <c r="BA694" s="38"/>
      <c r="BB694" s="38"/>
      <c r="BC694" s="38"/>
      <c r="BD694" s="38"/>
      <c r="BE694" s="38"/>
      <c r="BF694" s="38"/>
      <c r="BG694" s="38"/>
      <c r="BH694" s="38"/>
      <c r="BI694" s="38"/>
      <c r="BJ694" s="38"/>
      <c r="BK694" s="38"/>
      <c r="BL694" s="38"/>
      <c r="BM694" s="38"/>
      <c r="BN694" s="38"/>
      <c r="BO694" s="38"/>
      <c r="BP694" s="38"/>
      <c r="BQ694" s="38"/>
      <c r="BR694" s="38"/>
      <c r="BS694" s="38"/>
      <c r="BT694" s="38"/>
      <c r="BU694" s="38"/>
      <c r="BV694" s="38"/>
      <c r="BW694" s="38"/>
      <c r="BX694" s="38"/>
      <c r="BY694" s="38"/>
      <c r="BZ694" s="38"/>
      <c r="CA694" s="38"/>
      <c r="CB694" s="38"/>
      <c r="CC694" s="38"/>
      <c r="CD694" s="38"/>
      <c r="CE694" s="38"/>
      <c r="CF694" s="38"/>
      <c r="CG694" s="38"/>
      <c r="CH694" s="38"/>
      <c r="CI694" s="38"/>
      <c r="CJ694" s="38"/>
      <c r="CK694" s="38"/>
      <c r="CL694" s="38"/>
      <c r="CM694" s="38"/>
      <c r="CN694" s="38"/>
      <c r="CO694" s="38"/>
      <c r="CP694" s="38"/>
      <c r="CQ694" s="38"/>
      <c r="CR694" s="38"/>
      <c r="CS694" s="38"/>
      <c r="CT694" s="38"/>
      <c r="CU694" s="38"/>
      <c r="CV694" s="38"/>
      <c r="CW694" s="38"/>
      <c r="CX694" s="38"/>
      <c r="CY694" s="38"/>
      <c r="CZ694" s="38"/>
    </row>
    <row r="695" spans="1:104" s="40" customFormat="1" ht="20.149999999999999" customHeight="1">
      <c r="A695" s="358">
        <f t="shared" si="157"/>
        <v>694</v>
      </c>
      <c r="B695" s="359" t="str">
        <f>'Front Sheet and Checklist'!$C$5</f>
        <v>Swansea Bay UHB</v>
      </c>
      <c r="C695" s="17"/>
      <c r="D695" s="17"/>
      <c r="E695" s="17"/>
      <c r="F695" s="17"/>
      <c r="G695" s="17"/>
      <c r="H695" s="17"/>
      <c r="I695" s="361">
        <f t="shared" si="147"/>
        <v>0</v>
      </c>
      <c r="J695" s="17"/>
      <c r="K695" s="18"/>
      <c r="L695" s="18"/>
      <c r="M695" s="17"/>
      <c r="N695" s="17"/>
      <c r="O695" s="17"/>
      <c r="P695" s="17"/>
      <c r="Q695" s="169"/>
      <c r="R695" s="24"/>
      <c r="S695" s="24"/>
      <c r="T695" s="24"/>
      <c r="U695" s="25"/>
      <c r="V695" s="25"/>
      <c r="W695" s="25"/>
      <c r="X695" s="24"/>
      <c r="Y695" s="24"/>
      <c r="Z695" s="24"/>
      <c r="AA695" s="24"/>
      <c r="AB695" s="24"/>
      <c r="AC695" s="24"/>
      <c r="AD695" s="361">
        <f t="shared" si="146"/>
        <v>0</v>
      </c>
      <c r="AE695" s="359" t="str">
        <f t="shared" si="149"/>
        <v/>
      </c>
      <c r="AF695" s="359" t="str">
        <f t="shared" si="158"/>
        <v/>
      </c>
      <c r="AG695" s="359" t="str">
        <f t="shared" si="150"/>
        <v/>
      </c>
      <c r="AH695" s="359" t="str">
        <f t="shared" si="151"/>
        <v/>
      </c>
      <c r="AI695" s="359" t="str">
        <f t="shared" si="152"/>
        <v/>
      </c>
      <c r="AJ695" s="359" t="str">
        <f t="shared" si="153"/>
        <v/>
      </c>
      <c r="AK695" s="359" t="str">
        <f t="shared" si="155"/>
        <v/>
      </c>
      <c r="AL695" s="359" t="str">
        <f t="shared" si="154"/>
        <v/>
      </c>
      <c r="AM695" s="359" t="str">
        <f t="shared" si="156"/>
        <v/>
      </c>
      <c r="AN695" s="262">
        <f t="shared" si="159"/>
        <v>0</v>
      </c>
      <c r="AO695" s="262" t="str">
        <f>IFERROR(HLOOKUP(AN695,'Ref Lists'!Q$1:AL$2,2,FALSE),'Ref Lists'!$AK$2)</f>
        <v>Savings21</v>
      </c>
      <c r="AP695" s="38"/>
      <c r="AQ695" s="38">
        <f t="shared" si="148"/>
        <v>0</v>
      </c>
      <c r="AR695" s="38"/>
      <c r="AS695" s="38"/>
      <c r="AT695" s="38"/>
      <c r="AU695" s="38"/>
      <c r="AV695" s="38"/>
      <c r="AW695" s="38"/>
      <c r="AX695" s="38"/>
      <c r="AY695" s="38"/>
      <c r="AZ695" s="38"/>
      <c r="BA695" s="38"/>
      <c r="BB695" s="38"/>
      <c r="BC695" s="38"/>
      <c r="BD695" s="38"/>
      <c r="BE695" s="38"/>
      <c r="BF695" s="38"/>
      <c r="BG695" s="38"/>
      <c r="BH695" s="38"/>
      <c r="BI695" s="38"/>
      <c r="BJ695" s="38"/>
      <c r="BK695" s="38"/>
      <c r="BL695" s="38"/>
      <c r="BM695" s="38"/>
      <c r="BN695" s="38"/>
      <c r="BO695" s="38"/>
      <c r="BP695" s="38"/>
      <c r="BQ695" s="38"/>
      <c r="BR695" s="38"/>
      <c r="BS695" s="38"/>
      <c r="BT695" s="38"/>
      <c r="BU695" s="38"/>
      <c r="BV695" s="38"/>
      <c r="BW695" s="38"/>
      <c r="BX695" s="38"/>
      <c r="BY695" s="38"/>
      <c r="BZ695" s="38"/>
      <c r="CA695" s="38"/>
      <c r="CB695" s="38"/>
      <c r="CC695" s="38"/>
      <c r="CD695" s="38"/>
      <c r="CE695" s="38"/>
      <c r="CF695" s="38"/>
      <c r="CG695" s="38"/>
      <c r="CH695" s="38"/>
      <c r="CI695" s="38"/>
      <c r="CJ695" s="38"/>
      <c r="CK695" s="38"/>
      <c r="CL695" s="38"/>
      <c r="CM695" s="38"/>
      <c r="CN695" s="38"/>
      <c r="CO695" s="38"/>
      <c r="CP695" s="38"/>
      <c r="CQ695" s="38"/>
      <c r="CR695" s="38"/>
      <c r="CS695" s="38"/>
      <c r="CT695" s="38"/>
      <c r="CU695" s="38"/>
      <c r="CV695" s="38"/>
      <c r="CW695" s="38"/>
      <c r="CX695" s="38"/>
      <c r="CY695" s="38"/>
      <c r="CZ695" s="38"/>
    </row>
    <row r="696" spans="1:104" s="40" customFormat="1" ht="20.149999999999999" customHeight="1">
      <c r="A696" s="358">
        <f t="shared" si="157"/>
        <v>695</v>
      </c>
      <c r="B696" s="359" t="str">
        <f>'Front Sheet and Checklist'!$C$5</f>
        <v>Swansea Bay UHB</v>
      </c>
      <c r="C696" s="17"/>
      <c r="D696" s="17"/>
      <c r="E696" s="17"/>
      <c r="F696" s="17"/>
      <c r="G696" s="17"/>
      <c r="H696" s="17"/>
      <c r="I696" s="361">
        <f t="shared" si="147"/>
        <v>0</v>
      </c>
      <c r="J696" s="17"/>
      <c r="K696" s="18"/>
      <c r="L696" s="18"/>
      <c r="M696" s="17"/>
      <c r="N696" s="17"/>
      <c r="O696" s="17"/>
      <c r="P696" s="17"/>
      <c r="Q696" s="169"/>
      <c r="R696" s="24"/>
      <c r="S696" s="24"/>
      <c r="T696" s="24"/>
      <c r="U696" s="25"/>
      <c r="V696" s="25"/>
      <c r="W696" s="25"/>
      <c r="X696" s="24"/>
      <c r="Y696" s="24"/>
      <c r="Z696" s="24"/>
      <c r="AA696" s="24"/>
      <c r="AB696" s="24"/>
      <c r="AC696" s="24"/>
      <c r="AD696" s="361">
        <f t="shared" si="146"/>
        <v>0</v>
      </c>
      <c r="AE696" s="359" t="str">
        <f t="shared" si="149"/>
        <v/>
      </c>
      <c r="AF696" s="359" t="str">
        <f t="shared" si="158"/>
        <v/>
      </c>
      <c r="AG696" s="359" t="str">
        <f t="shared" si="150"/>
        <v/>
      </c>
      <c r="AH696" s="359" t="str">
        <f t="shared" si="151"/>
        <v/>
      </c>
      <c r="AI696" s="359" t="str">
        <f t="shared" si="152"/>
        <v/>
      </c>
      <c r="AJ696" s="359" t="str">
        <f t="shared" si="153"/>
        <v/>
      </c>
      <c r="AK696" s="359" t="str">
        <f t="shared" si="155"/>
        <v/>
      </c>
      <c r="AL696" s="359" t="str">
        <f t="shared" si="154"/>
        <v/>
      </c>
      <c r="AM696" s="359" t="str">
        <f t="shared" si="156"/>
        <v/>
      </c>
      <c r="AN696" s="262">
        <f t="shared" si="159"/>
        <v>0</v>
      </c>
      <c r="AO696" s="262" t="str">
        <f>IFERROR(HLOOKUP(AN696,'Ref Lists'!Q$1:AL$2,2,FALSE),'Ref Lists'!$AK$2)</f>
        <v>Savings21</v>
      </c>
      <c r="AP696" s="38"/>
      <c r="AQ696" s="38">
        <f t="shared" si="148"/>
        <v>0</v>
      </c>
      <c r="AR696" s="38"/>
      <c r="AS696" s="38"/>
      <c r="AT696" s="38"/>
      <c r="AU696" s="38"/>
      <c r="AV696" s="38"/>
      <c r="AW696" s="38"/>
      <c r="AX696" s="38"/>
      <c r="AY696" s="38"/>
      <c r="AZ696" s="38"/>
      <c r="BA696" s="38"/>
      <c r="BB696" s="38"/>
      <c r="BC696" s="38"/>
      <c r="BD696" s="38"/>
      <c r="BE696" s="38"/>
      <c r="BF696" s="38"/>
      <c r="BG696" s="38"/>
      <c r="BH696" s="38"/>
      <c r="BI696" s="38"/>
      <c r="BJ696" s="38"/>
      <c r="BK696" s="38"/>
      <c r="BL696" s="38"/>
      <c r="BM696" s="38"/>
      <c r="BN696" s="38"/>
      <c r="BO696" s="38"/>
      <c r="BP696" s="38"/>
      <c r="BQ696" s="38"/>
      <c r="BR696" s="38"/>
      <c r="BS696" s="38"/>
      <c r="BT696" s="38"/>
      <c r="BU696" s="38"/>
      <c r="BV696" s="38"/>
      <c r="BW696" s="38"/>
      <c r="BX696" s="38"/>
      <c r="BY696" s="38"/>
      <c r="BZ696" s="38"/>
      <c r="CA696" s="38"/>
      <c r="CB696" s="38"/>
      <c r="CC696" s="38"/>
      <c r="CD696" s="38"/>
      <c r="CE696" s="38"/>
      <c r="CF696" s="38"/>
      <c r="CG696" s="38"/>
      <c r="CH696" s="38"/>
      <c r="CI696" s="38"/>
      <c r="CJ696" s="38"/>
      <c r="CK696" s="38"/>
      <c r="CL696" s="38"/>
      <c r="CM696" s="38"/>
      <c r="CN696" s="38"/>
      <c r="CO696" s="38"/>
      <c r="CP696" s="38"/>
      <c r="CQ696" s="38"/>
      <c r="CR696" s="38"/>
      <c r="CS696" s="38"/>
      <c r="CT696" s="38"/>
      <c r="CU696" s="38"/>
      <c r="CV696" s="38"/>
      <c r="CW696" s="38"/>
      <c r="CX696" s="38"/>
      <c r="CY696" s="38"/>
      <c r="CZ696" s="38"/>
    </row>
    <row r="697" spans="1:104" s="40" customFormat="1" ht="20.149999999999999" customHeight="1">
      <c r="A697" s="358">
        <f t="shared" si="157"/>
        <v>696</v>
      </c>
      <c r="B697" s="359" t="str">
        <f>'Front Sheet and Checklist'!$C$5</f>
        <v>Swansea Bay UHB</v>
      </c>
      <c r="C697" s="17"/>
      <c r="D697" s="17"/>
      <c r="E697" s="17"/>
      <c r="F697" s="17"/>
      <c r="G697" s="17"/>
      <c r="H697" s="17"/>
      <c r="I697" s="361">
        <f t="shared" si="147"/>
        <v>0</v>
      </c>
      <c r="J697" s="17"/>
      <c r="K697" s="18"/>
      <c r="L697" s="18"/>
      <c r="M697" s="17"/>
      <c r="N697" s="17"/>
      <c r="O697" s="17"/>
      <c r="P697" s="17"/>
      <c r="Q697" s="169"/>
      <c r="R697" s="24"/>
      <c r="S697" s="24"/>
      <c r="T697" s="24"/>
      <c r="U697" s="25"/>
      <c r="V697" s="25"/>
      <c r="W697" s="25"/>
      <c r="X697" s="24"/>
      <c r="Y697" s="24"/>
      <c r="Z697" s="24"/>
      <c r="AA697" s="24"/>
      <c r="AB697" s="24"/>
      <c r="AC697" s="24"/>
      <c r="AD697" s="361">
        <f t="shared" si="146"/>
        <v>0</v>
      </c>
      <c r="AE697" s="359" t="str">
        <f t="shared" si="149"/>
        <v/>
      </c>
      <c r="AF697" s="359" t="str">
        <f t="shared" si="158"/>
        <v/>
      </c>
      <c r="AG697" s="359" t="str">
        <f t="shared" si="150"/>
        <v/>
      </c>
      <c r="AH697" s="359" t="str">
        <f t="shared" si="151"/>
        <v/>
      </c>
      <c r="AI697" s="359" t="str">
        <f t="shared" si="152"/>
        <v/>
      </c>
      <c r="AJ697" s="359" t="str">
        <f t="shared" si="153"/>
        <v/>
      </c>
      <c r="AK697" s="359" t="str">
        <f t="shared" si="155"/>
        <v/>
      </c>
      <c r="AL697" s="359" t="str">
        <f t="shared" si="154"/>
        <v/>
      </c>
      <c r="AM697" s="359" t="str">
        <f t="shared" si="156"/>
        <v/>
      </c>
      <c r="AN697" s="262">
        <f t="shared" si="159"/>
        <v>0</v>
      </c>
      <c r="AO697" s="262" t="str">
        <f>IFERROR(HLOOKUP(AN697,'Ref Lists'!Q$1:AL$2,2,FALSE),'Ref Lists'!$AK$2)</f>
        <v>Savings21</v>
      </c>
      <c r="AP697" s="38"/>
      <c r="AQ697" s="38">
        <f t="shared" si="148"/>
        <v>0</v>
      </c>
      <c r="AR697" s="38"/>
      <c r="AS697" s="38"/>
      <c r="AT697" s="38"/>
      <c r="AU697" s="38"/>
      <c r="AV697" s="38"/>
      <c r="AW697" s="38"/>
      <c r="AX697" s="38"/>
      <c r="AY697" s="38"/>
      <c r="AZ697" s="38"/>
      <c r="BA697" s="38"/>
      <c r="BB697" s="38"/>
      <c r="BC697" s="38"/>
      <c r="BD697" s="38"/>
      <c r="BE697" s="38"/>
      <c r="BF697" s="38"/>
      <c r="BG697" s="38"/>
      <c r="BH697" s="38"/>
      <c r="BI697" s="38"/>
      <c r="BJ697" s="38"/>
      <c r="BK697" s="38"/>
      <c r="BL697" s="38"/>
      <c r="BM697" s="38"/>
      <c r="BN697" s="38"/>
      <c r="BO697" s="38"/>
      <c r="BP697" s="38"/>
      <c r="BQ697" s="38"/>
      <c r="BR697" s="38"/>
      <c r="BS697" s="38"/>
      <c r="BT697" s="38"/>
      <c r="BU697" s="38"/>
      <c r="BV697" s="38"/>
      <c r="BW697" s="38"/>
      <c r="BX697" s="38"/>
      <c r="BY697" s="38"/>
      <c r="BZ697" s="38"/>
      <c r="CA697" s="38"/>
      <c r="CB697" s="38"/>
      <c r="CC697" s="38"/>
      <c r="CD697" s="38"/>
      <c r="CE697" s="38"/>
      <c r="CF697" s="38"/>
      <c r="CG697" s="38"/>
      <c r="CH697" s="38"/>
      <c r="CI697" s="38"/>
      <c r="CJ697" s="38"/>
      <c r="CK697" s="38"/>
      <c r="CL697" s="38"/>
      <c r="CM697" s="38"/>
      <c r="CN697" s="38"/>
      <c r="CO697" s="38"/>
      <c r="CP697" s="38"/>
      <c r="CQ697" s="38"/>
      <c r="CR697" s="38"/>
      <c r="CS697" s="38"/>
      <c r="CT697" s="38"/>
      <c r="CU697" s="38"/>
      <c r="CV697" s="38"/>
      <c r="CW697" s="38"/>
      <c r="CX697" s="38"/>
      <c r="CY697" s="38"/>
      <c r="CZ697" s="38"/>
    </row>
    <row r="698" spans="1:104" s="40" customFormat="1" ht="20.149999999999999" customHeight="1">
      <c r="A698" s="358">
        <f t="shared" si="157"/>
        <v>697</v>
      </c>
      <c r="B698" s="359" t="str">
        <f>'Front Sheet and Checklist'!$C$5</f>
        <v>Swansea Bay UHB</v>
      </c>
      <c r="C698" s="17"/>
      <c r="D698" s="17"/>
      <c r="E698" s="17"/>
      <c r="F698" s="17"/>
      <c r="G698" s="17"/>
      <c r="H698" s="17"/>
      <c r="I698" s="361">
        <f t="shared" si="147"/>
        <v>0</v>
      </c>
      <c r="J698" s="17"/>
      <c r="K698" s="18"/>
      <c r="L698" s="18"/>
      <c r="M698" s="17"/>
      <c r="N698" s="17"/>
      <c r="O698" s="17"/>
      <c r="P698" s="17"/>
      <c r="Q698" s="169"/>
      <c r="R698" s="24"/>
      <c r="S698" s="24"/>
      <c r="T698" s="24"/>
      <c r="U698" s="25"/>
      <c r="V698" s="25"/>
      <c r="W698" s="25"/>
      <c r="X698" s="24"/>
      <c r="Y698" s="24"/>
      <c r="Z698" s="24"/>
      <c r="AA698" s="24"/>
      <c r="AB698" s="24"/>
      <c r="AC698" s="24"/>
      <c r="AD698" s="361">
        <f t="shared" ref="AD698:AD761" si="160">SUM(R698:AC698)</f>
        <v>0</v>
      </c>
      <c r="AE698" s="359" t="str">
        <f t="shared" si="149"/>
        <v/>
      </c>
      <c r="AF698" s="359" t="str">
        <f t="shared" si="158"/>
        <v/>
      </c>
      <c r="AG698" s="359" t="str">
        <f t="shared" si="150"/>
        <v/>
      </c>
      <c r="AH698" s="359" t="str">
        <f t="shared" si="151"/>
        <v/>
      </c>
      <c r="AI698" s="359" t="str">
        <f t="shared" si="152"/>
        <v/>
      </c>
      <c r="AJ698" s="359" t="str">
        <f t="shared" si="153"/>
        <v/>
      </c>
      <c r="AK698" s="359" t="str">
        <f t="shared" si="155"/>
        <v/>
      </c>
      <c r="AL698" s="359" t="str">
        <f t="shared" si="154"/>
        <v/>
      </c>
      <c r="AM698" s="359" t="str">
        <f t="shared" si="156"/>
        <v/>
      </c>
      <c r="AN698" s="262">
        <f t="shared" si="159"/>
        <v>0</v>
      </c>
      <c r="AO698" s="262" t="str">
        <f>IFERROR(HLOOKUP(AN698,'Ref Lists'!Q$1:AL$2,2,FALSE),'Ref Lists'!$AK$2)</f>
        <v>Savings21</v>
      </c>
      <c r="AP698" s="38"/>
      <c r="AQ698" s="38">
        <f t="shared" si="148"/>
        <v>0</v>
      </c>
      <c r="AR698" s="38"/>
      <c r="AS698" s="38"/>
      <c r="AT698" s="38"/>
      <c r="AU698" s="38"/>
      <c r="AV698" s="38"/>
      <c r="AW698" s="38"/>
      <c r="AX698" s="38"/>
      <c r="AY698" s="38"/>
      <c r="AZ698" s="38"/>
      <c r="BA698" s="38"/>
      <c r="BB698" s="38"/>
      <c r="BC698" s="38"/>
      <c r="BD698" s="38"/>
      <c r="BE698" s="38"/>
      <c r="BF698" s="38"/>
      <c r="BG698" s="38"/>
      <c r="BH698" s="38"/>
      <c r="BI698" s="38"/>
      <c r="BJ698" s="38"/>
      <c r="BK698" s="38"/>
      <c r="BL698" s="38"/>
      <c r="BM698" s="38"/>
      <c r="BN698" s="38"/>
      <c r="BO698" s="38"/>
      <c r="BP698" s="38"/>
      <c r="BQ698" s="38"/>
      <c r="BR698" s="38"/>
      <c r="BS698" s="38"/>
      <c r="BT698" s="38"/>
      <c r="BU698" s="38"/>
      <c r="BV698" s="38"/>
      <c r="BW698" s="38"/>
      <c r="BX698" s="38"/>
      <c r="BY698" s="38"/>
      <c r="BZ698" s="38"/>
      <c r="CA698" s="38"/>
      <c r="CB698" s="38"/>
      <c r="CC698" s="38"/>
      <c r="CD698" s="38"/>
      <c r="CE698" s="38"/>
      <c r="CF698" s="38"/>
      <c r="CG698" s="38"/>
      <c r="CH698" s="38"/>
      <c r="CI698" s="38"/>
      <c r="CJ698" s="38"/>
      <c r="CK698" s="38"/>
      <c r="CL698" s="38"/>
      <c r="CM698" s="38"/>
      <c r="CN698" s="38"/>
      <c r="CO698" s="38"/>
      <c r="CP698" s="38"/>
      <c r="CQ698" s="38"/>
      <c r="CR698" s="38"/>
      <c r="CS698" s="38"/>
      <c r="CT698" s="38"/>
      <c r="CU698" s="38"/>
      <c r="CV698" s="38"/>
      <c r="CW698" s="38"/>
      <c r="CX698" s="38"/>
      <c r="CY698" s="38"/>
      <c r="CZ698" s="38"/>
    </row>
    <row r="699" spans="1:104" s="40" customFormat="1" ht="20.149999999999999" customHeight="1">
      <c r="A699" s="358">
        <f t="shared" si="157"/>
        <v>698</v>
      </c>
      <c r="B699" s="359" t="str">
        <f>'Front Sheet and Checklist'!$C$5</f>
        <v>Swansea Bay UHB</v>
      </c>
      <c r="C699" s="17"/>
      <c r="D699" s="17"/>
      <c r="E699" s="17"/>
      <c r="F699" s="17"/>
      <c r="G699" s="17"/>
      <c r="H699" s="17"/>
      <c r="I699" s="361">
        <f t="shared" ref="I699:I762" si="161">AD699</f>
        <v>0</v>
      </c>
      <c r="J699" s="17"/>
      <c r="K699" s="18"/>
      <c r="L699" s="18"/>
      <c r="M699" s="17"/>
      <c r="N699" s="17"/>
      <c r="O699" s="17"/>
      <c r="P699" s="17"/>
      <c r="Q699" s="169"/>
      <c r="R699" s="24"/>
      <c r="S699" s="24"/>
      <c r="T699" s="24"/>
      <c r="U699" s="25"/>
      <c r="V699" s="25"/>
      <c r="W699" s="25"/>
      <c r="X699" s="24"/>
      <c r="Y699" s="24"/>
      <c r="Z699" s="24"/>
      <c r="AA699" s="24"/>
      <c r="AB699" s="24"/>
      <c r="AC699" s="24"/>
      <c r="AD699" s="361">
        <f t="shared" si="160"/>
        <v>0</v>
      </c>
      <c r="AE699" s="359" t="str">
        <f t="shared" si="149"/>
        <v/>
      </c>
      <c r="AF699" s="359" t="str">
        <f t="shared" si="158"/>
        <v/>
      </c>
      <c r="AG699" s="359" t="str">
        <f t="shared" si="150"/>
        <v/>
      </c>
      <c r="AH699" s="359" t="str">
        <f t="shared" si="151"/>
        <v/>
      </c>
      <c r="AI699" s="359" t="str">
        <f t="shared" si="152"/>
        <v/>
      </c>
      <c r="AJ699" s="359" t="str">
        <f t="shared" si="153"/>
        <v/>
      </c>
      <c r="AK699" s="359" t="str">
        <f t="shared" si="155"/>
        <v/>
      </c>
      <c r="AL699" s="359" t="str">
        <f t="shared" si="154"/>
        <v/>
      </c>
      <c r="AM699" s="359" t="str">
        <f t="shared" si="156"/>
        <v/>
      </c>
      <c r="AN699" s="262">
        <f t="shared" si="159"/>
        <v>0</v>
      </c>
      <c r="AO699" s="262" t="str">
        <f>IFERROR(HLOOKUP(AN699,'Ref Lists'!Q$1:AL$2,2,FALSE),'Ref Lists'!$AK$2)</f>
        <v>Savings21</v>
      </c>
      <c r="AP699" s="38"/>
      <c r="AQ699" s="38">
        <f t="shared" ref="AQ699:AQ762" si="162">COUNTIFS(AE699:AL699,"Error")</f>
        <v>0</v>
      </c>
      <c r="AR699" s="38"/>
      <c r="AS699" s="38"/>
      <c r="AT699" s="38"/>
      <c r="AU699" s="38"/>
      <c r="AV699" s="38"/>
      <c r="AW699" s="38"/>
      <c r="AX699" s="38"/>
      <c r="AY699" s="38"/>
      <c r="AZ699" s="38"/>
      <c r="BA699" s="38"/>
      <c r="BB699" s="38"/>
      <c r="BC699" s="38"/>
      <c r="BD699" s="38"/>
      <c r="BE699" s="38"/>
      <c r="BF699" s="38"/>
      <c r="BG699" s="38"/>
      <c r="BH699" s="38"/>
      <c r="BI699" s="38"/>
      <c r="BJ699" s="38"/>
      <c r="BK699" s="38"/>
      <c r="BL699" s="38"/>
      <c r="BM699" s="38"/>
      <c r="BN699" s="38"/>
      <c r="BO699" s="38"/>
      <c r="BP699" s="38"/>
      <c r="BQ699" s="38"/>
      <c r="BR699" s="38"/>
      <c r="BS699" s="38"/>
      <c r="BT699" s="38"/>
      <c r="BU699" s="38"/>
      <c r="BV699" s="38"/>
      <c r="BW699" s="38"/>
      <c r="BX699" s="38"/>
      <c r="BY699" s="38"/>
      <c r="BZ699" s="38"/>
      <c r="CA699" s="38"/>
      <c r="CB699" s="38"/>
      <c r="CC699" s="38"/>
      <c r="CD699" s="38"/>
      <c r="CE699" s="38"/>
      <c r="CF699" s="38"/>
      <c r="CG699" s="38"/>
      <c r="CH699" s="38"/>
      <c r="CI699" s="38"/>
      <c r="CJ699" s="38"/>
      <c r="CK699" s="38"/>
      <c r="CL699" s="38"/>
      <c r="CM699" s="38"/>
      <c r="CN699" s="38"/>
      <c r="CO699" s="38"/>
      <c r="CP699" s="38"/>
      <c r="CQ699" s="38"/>
      <c r="CR699" s="38"/>
      <c r="CS699" s="38"/>
      <c r="CT699" s="38"/>
      <c r="CU699" s="38"/>
      <c r="CV699" s="38"/>
      <c r="CW699" s="38"/>
      <c r="CX699" s="38"/>
      <c r="CY699" s="38"/>
      <c r="CZ699" s="38"/>
    </row>
    <row r="700" spans="1:104" s="40" customFormat="1" ht="20.149999999999999" customHeight="1">
      <c r="A700" s="358">
        <f t="shared" si="157"/>
        <v>699</v>
      </c>
      <c r="B700" s="359" t="str">
        <f>'Front Sheet and Checklist'!$C$5</f>
        <v>Swansea Bay UHB</v>
      </c>
      <c r="C700" s="17"/>
      <c r="D700" s="17"/>
      <c r="E700" s="17"/>
      <c r="F700" s="17"/>
      <c r="G700" s="17"/>
      <c r="H700" s="17"/>
      <c r="I700" s="361">
        <f t="shared" si="161"/>
        <v>0</v>
      </c>
      <c r="J700" s="17"/>
      <c r="K700" s="18"/>
      <c r="L700" s="18"/>
      <c r="M700" s="17"/>
      <c r="N700" s="17"/>
      <c r="O700" s="17"/>
      <c r="P700" s="17"/>
      <c r="Q700" s="169"/>
      <c r="R700" s="24"/>
      <c r="S700" s="24"/>
      <c r="T700" s="24"/>
      <c r="U700" s="25"/>
      <c r="V700" s="25"/>
      <c r="W700" s="25"/>
      <c r="X700" s="24"/>
      <c r="Y700" s="24"/>
      <c r="Z700" s="24"/>
      <c r="AA700" s="24"/>
      <c r="AB700" s="24"/>
      <c r="AC700" s="24"/>
      <c r="AD700" s="361">
        <f t="shared" si="160"/>
        <v>0</v>
      </c>
      <c r="AE700" s="359" t="str">
        <f t="shared" si="149"/>
        <v/>
      </c>
      <c r="AF700" s="359" t="str">
        <f t="shared" si="158"/>
        <v/>
      </c>
      <c r="AG700" s="359" t="str">
        <f t="shared" si="150"/>
        <v/>
      </c>
      <c r="AH700" s="359" t="str">
        <f t="shared" si="151"/>
        <v/>
      </c>
      <c r="AI700" s="359" t="str">
        <f t="shared" si="152"/>
        <v/>
      </c>
      <c r="AJ700" s="359" t="str">
        <f t="shared" si="153"/>
        <v/>
      </c>
      <c r="AK700" s="359" t="str">
        <f t="shared" si="155"/>
        <v/>
      </c>
      <c r="AL700" s="359" t="str">
        <f t="shared" si="154"/>
        <v/>
      </c>
      <c r="AM700" s="359" t="str">
        <f t="shared" si="156"/>
        <v/>
      </c>
      <c r="AN700" s="262">
        <f t="shared" si="159"/>
        <v>0</v>
      </c>
      <c r="AO700" s="262" t="str">
        <f>IFERROR(HLOOKUP(AN700,'Ref Lists'!Q$1:AL$2,2,FALSE),'Ref Lists'!$AK$2)</f>
        <v>Savings21</v>
      </c>
      <c r="AP700" s="38"/>
      <c r="AQ700" s="38">
        <f t="shared" si="162"/>
        <v>0</v>
      </c>
      <c r="AR700" s="38"/>
      <c r="AS700" s="38"/>
      <c r="AT700" s="38"/>
      <c r="AU700" s="38"/>
      <c r="AV700" s="38"/>
      <c r="AW700" s="38"/>
      <c r="AX700" s="38"/>
      <c r="AY700" s="38"/>
      <c r="AZ700" s="38"/>
      <c r="BA700" s="38"/>
      <c r="BB700" s="38"/>
      <c r="BC700" s="38"/>
      <c r="BD700" s="38"/>
      <c r="BE700" s="38"/>
      <c r="BF700" s="38"/>
      <c r="BG700" s="38"/>
      <c r="BH700" s="38"/>
      <c r="BI700" s="38"/>
      <c r="BJ700" s="38"/>
      <c r="BK700" s="38"/>
      <c r="BL700" s="38"/>
      <c r="BM700" s="38"/>
      <c r="BN700" s="38"/>
      <c r="BO700" s="38"/>
      <c r="BP700" s="38"/>
      <c r="BQ700" s="38"/>
      <c r="BR700" s="38"/>
      <c r="BS700" s="38"/>
      <c r="BT700" s="38"/>
      <c r="BU700" s="38"/>
      <c r="BV700" s="38"/>
      <c r="BW700" s="38"/>
      <c r="BX700" s="38"/>
      <c r="BY700" s="38"/>
      <c r="BZ700" s="38"/>
      <c r="CA700" s="38"/>
      <c r="CB700" s="38"/>
      <c r="CC700" s="38"/>
      <c r="CD700" s="38"/>
      <c r="CE700" s="38"/>
      <c r="CF700" s="38"/>
      <c r="CG700" s="38"/>
      <c r="CH700" s="38"/>
      <c r="CI700" s="38"/>
      <c r="CJ700" s="38"/>
      <c r="CK700" s="38"/>
      <c r="CL700" s="38"/>
      <c r="CM700" s="38"/>
      <c r="CN700" s="38"/>
      <c r="CO700" s="38"/>
      <c r="CP700" s="38"/>
      <c r="CQ700" s="38"/>
      <c r="CR700" s="38"/>
      <c r="CS700" s="38"/>
      <c r="CT700" s="38"/>
      <c r="CU700" s="38"/>
      <c r="CV700" s="38"/>
      <c r="CW700" s="38"/>
      <c r="CX700" s="38"/>
      <c r="CY700" s="38"/>
      <c r="CZ700" s="38"/>
    </row>
    <row r="701" spans="1:104" s="40" customFormat="1" ht="20.149999999999999" customHeight="1">
      <c r="A701" s="358">
        <f t="shared" si="157"/>
        <v>700</v>
      </c>
      <c r="B701" s="359" t="str">
        <f>'Front Sheet and Checklist'!$C$5</f>
        <v>Swansea Bay UHB</v>
      </c>
      <c r="C701" s="17"/>
      <c r="D701" s="17"/>
      <c r="E701" s="17"/>
      <c r="F701" s="17"/>
      <c r="G701" s="17"/>
      <c r="H701" s="17"/>
      <c r="I701" s="361">
        <f t="shared" si="161"/>
        <v>0</v>
      </c>
      <c r="J701" s="17"/>
      <c r="K701" s="18"/>
      <c r="L701" s="18"/>
      <c r="M701" s="17"/>
      <c r="N701" s="17"/>
      <c r="O701" s="17"/>
      <c r="P701" s="17"/>
      <c r="Q701" s="169"/>
      <c r="R701" s="24"/>
      <c r="S701" s="24"/>
      <c r="T701" s="24"/>
      <c r="U701" s="25"/>
      <c r="V701" s="25"/>
      <c r="W701" s="25"/>
      <c r="X701" s="24"/>
      <c r="Y701" s="24"/>
      <c r="Z701" s="24"/>
      <c r="AA701" s="24"/>
      <c r="AB701" s="24"/>
      <c r="AC701" s="24"/>
      <c r="AD701" s="361">
        <f t="shared" si="160"/>
        <v>0</v>
      </c>
      <c r="AE701" s="359" t="str">
        <f t="shared" si="149"/>
        <v/>
      </c>
      <c r="AF701" s="359" t="str">
        <f t="shared" si="158"/>
        <v/>
      </c>
      <c r="AG701" s="359" t="str">
        <f t="shared" si="150"/>
        <v/>
      </c>
      <c r="AH701" s="359" t="str">
        <f t="shared" si="151"/>
        <v/>
      </c>
      <c r="AI701" s="359" t="str">
        <f t="shared" si="152"/>
        <v/>
      </c>
      <c r="AJ701" s="359" t="str">
        <f t="shared" si="153"/>
        <v/>
      </c>
      <c r="AK701" s="359" t="str">
        <f t="shared" si="155"/>
        <v/>
      </c>
      <c r="AL701" s="359" t="str">
        <f t="shared" si="154"/>
        <v/>
      </c>
      <c r="AM701" s="359" t="str">
        <f t="shared" si="156"/>
        <v/>
      </c>
      <c r="AN701" s="262">
        <f t="shared" si="159"/>
        <v>0</v>
      </c>
      <c r="AO701" s="262" t="str">
        <f>IFERROR(HLOOKUP(AN701,'Ref Lists'!Q$1:AL$2,2,FALSE),'Ref Lists'!$AK$2)</f>
        <v>Savings21</v>
      </c>
      <c r="AP701" s="38"/>
      <c r="AQ701" s="38">
        <f t="shared" si="162"/>
        <v>0</v>
      </c>
      <c r="AR701" s="38"/>
      <c r="AS701" s="38"/>
      <c r="AT701" s="38"/>
      <c r="AU701" s="38"/>
      <c r="AV701" s="38"/>
      <c r="AW701" s="38"/>
      <c r="AX701" s="38"/>
      <c r="AY701" s="38"/>
      <c r="AZ701" s="38"/>
      <c r="BA701" s="38"/>
      <c r="BB701" s="38"/>
      <c r="BC701" s="38"/>
      <c r="BD701" s="38"/>
      <c r="BE701" s="38"/>
      <c r="BF701" s="38"/>
      <c r="BG701" s="38"/>
      <c r="BH701" s="38"/>
      <c r="BI701" s="38"/>
      <c r="BJ701" s="38"/>
      <c r="BK701" s="38"/>
      <c r="BL701" s="38"/>
      <c r="BM701" s="38"/>
      <c r="BN701" s="38"/>
      <c r="BO701" s="38"/>
      <c r="BP701" s="38"/>
      <c r="BQ701" s="38"/>
      <c r="BR701" s="38"/>
      <c r="BS701" s="38"/>
      <c r="BT701" s="38"/>
      <c r="BU701" s="38"/>
      <c r="BV701" s="38"/>
      <c r="BW701" s="38"/>
      <c r="BX701" s="38"/>
      <c r="BY701" s="38"/>
      <c r="BZ701" s="38"/>
      <c r="CA701" s="38"/>
      <c r="CB701" s="38"/>
      <c r="CC701" s="38"/>
      <c r="CD701" s="38"/>
      <c r="CE701" s="38"/>
      <c r="CF701" s="38"/>
      <c r="CG701" s="38"/>
      <c r="CH701" s="38"/>
      <c r="CI701" s="38"/>
      <c r="CJ701" s="38"/>
      <c r="CK701" s="38"/>
      <c r="CL701" s="38"/>
      <c r="CM701" s="38"/>
      <c r="CN701" s="38"/>
      <c r="CO701" s="38"/>
      <c r="CP701" s="38"/>
      <c r="CQ701" s="38"/>
      <c r="CR701" s="38"/>
      <c r="CS701" s="38"/>
      <c r="CT701" s="38"/>
      <c r="CU701" s="38"/>
      <c r="CV701" s="38"/>
      <c r="CW701" s="38"/>
      <c r="CX701" s="38"/>
      <c r="CY701" s="38"/>
      <c r="CZ701" s="38"/>
    </row>
    <row r="702" spans="1:104" s="40" customFormat="1" ht="20.149999999999999" customHeight="1">
      <c r="A702" s="358">
        <f t="shared" si="157"/>
        <v>701</v>
      </c>
      <c r="B702" s="359" t="str">
        <f>'Front Sheet and Checklist'!$C$5</f>
        <v>Swansea Bay UHB</v>
      </c>
      <c r="C702" s="17"/>
      <c r="D702" s="17"/>
      <c r="E702" s="17"/>
      <c r="F702" s="17"/>
      <c r="G702" s="17"/>
      <c r="H702" s="17"/>
      <c r="I702" s="361">
        <f t="shared" si="161"/>
        <v>0</v>
      </c>
      <c r="J702" s="17"/>
      <c r="K702" s="18"/>
      <c r="L702" s="18"/>
      <c r="M702" s="17"/>
      <c r="N702" s="17"/>
      <c r="O702" s="17"/>
      <c r="P702" s="17"/>
      <c r="Q702" s="169"/>
      <c r="R702" s="24"/>
      <c r="S702" s="24"/>
      <c r="T702" s="24"/>
      <c r="U702" s="25"/>
      <c r="V702" s="25"/>
      <c r="W702" s="25"/>
      <c r="X702" s="24"/>
      <c r="Y702" s="24"/>
      <c r="Z702" s="24"/>
      <c r="AA702" s="24"/>
      <c r="AB702" s="24"/>
      <c r="AC702" s="24"/>
      <c r="AD702" s="361">
        <f t="shared" si="160"/>
        <v>0</v>
      </c>
      <c r="AE702" s="359" t="str">
        <f t="shared" si="149"/>
        <v/>
      </c>
      <c r="AF702" s="359" t="str">
        <f t="shared" si="158"/>
        <v/>
      </c>
      <c r="AG702" s="359" t="str">
        <f t="shared" si="150"/>
        <v/>
      </c>
      <c r="AH702" s="359" t="str">
        <f t="shared" si="151"/>
        <v/>
      </c>
      <c r="AI702" s="359" t="str">
        <f t="shared" si="152"/>
        <v/>
      </c>
      <c r="AJ702" s="359" t="str">
        <f t="shared" si="153"/>
        <v/>
      </c>
      <c r="AK702" s="359" t="str">
        <f t="shared" si="155"/>
        <v/>
      </c>
      <c r="AL702" s="359" t="str">
        <f t="shared" si="154"/>
        <v/>
      </c>
      <c r="AM702" s="359" t="str">
        <f t="shared" si="156"/>
        <v/>
      </c>
      <c r="AN702" s="262">
        <f t="shared" si="159"/>
        <v>0</v>
      </c>
      <c r="AO702" s="262" t="str">
        <f>IFERROR(HLOOKUP(AN702,'Ref Lists'!Q$1:AL$2,2,FALSE),'Ref Lists'!$AK$2)</f>
        <v>Savings21</v>
      </c>
      <c r="AP702" s="38"/>
      <c r="AQ702" s="38">
        <f t="shared" si="162"/>
        <v>0</v>
      </c>
      <c r="AR702" s="38"/>
      <c r="AS702" s="38"/>
      <c r="AT702" s="38"/>
      <c r="AU702" s="38"/>
      <c r="AV702" s="38"/>
      <c r="AW702" s="38"/>
      <c r="AX702" s="38"/>
      <c r="AY702" s="38"/>
      <c r="AZ702" s="38"/>
      <c r="BA702" s="38"/>
      <c r="BB702" s="38"/>
      <c r="BC702" s="38"/>
      <c r="BD702" s="38"/>
      <c r="BE702" s="38"/>
      <c r="BF702" s="38"/>
      <c r="BG702" s="38"/>
      <c r="BH702" s="38"/>
      <c r="BI702" s="38"/>
      <c r="BJ702" s="38"/>
      <c r="BK702" s="38"/>
      <c r="BL702" s="38"/>
      <c r="BM702" s="38"/>
      <c r="BN702" s="38"/>
      <c r="BO702" s="38"/>
      <c r="BP702" s="38"/>
      <c r="BQ702" s="38"/>
      <c r="BR702" s="38"/>
      <c r="BS702" s="38"/>
      <c r="BT702" s="38"/>
      <c r="BU702" s="38"/>
      <c r="BV702" s="38"/>
      <c r="BW702" s="38"/>
      <c r="BX702" s="38"/>
      <c r="BY702" s="38"/>
      <c r="BZ702" s="38"/>
      <c r="CA702" s="38"/>
      <c r="CB702" s="38"/>
      <c r="CC702" s="38"/>
      <c r="CD702" s="38"/>
      <c r="CE702" s="38"/>
      <c r="CF702" s="38"/>
      <c r="CG702" s="38"/>
      <c r="CH702" s="38"/>
      <c r="CI702" s="38"/>
      <c r="CJ702" s="38"/>
      <c r="CK702" s="38"/>
      <c r="CL702" s="38"/>
      <c r="CM702" s="38"/>
      <c r="CN702" s="38"/>
      <c r="CO702" s="38"/>
      <c r="CP702" s="38"/>
      <c r="CQ702" s="38"/>
      <c r="CR702" s="38"/>
      <c r="CS702" s="38"/>
      <c r="CT702" s="38"/>
      <c r="CU702" s="38"/>
      <c r="CV702" s="38"/>
      <c r="CW702" s="38"/>
      <c r="CX702" s="38"/>
      <c r="CY702" s="38"/>
      <c r="CZ702" s="38"/>
    </row>
    <row r="703" spans="1:104" s="40" customFormat="1" ht="20.149999999999999" customHeight="1">
      <c r="A703" s="358">
        <f t="shared" si="157"/>
        <v>702</v>
      </c>
      <c r="B703" s="359" t="str">
        <f>'Front Sheet and Checklist'!$C$5</f>
        <v>Swansea Bay UHB</v>
      </c>
      <c r="C703" s="17"/>
      <c r="D703" s="17"/>
      <c r="E703" s="17"/>
      <c r="F703" s="17"/>
      <c r="G703" s="17"/>
      <c r="H703" s="17"/>
      <c r="I703" s="361">
        <f t="shared" si="161"/>
        <v>0</v>
      </c>
      <c r="J703" s="17"/>
      <c r="K703" s="18"/>
      <c r="L703" s="18"/>
      <c r="M703" s="17"/>
      <c r="N703" s="17"/>
      <c r="O703" s="17"/>
      <c r="P703" s="17"/>
      <c r="Q703" s="169"/>
      <c r="R703" s="24"/>
      <c r="S703" s="24"/>
      <c r="T703" s="24"/>
      <c r="U703" s="25"/>
      <c r="V703" s="25"/>
      <c r="W703" s="25"/>
      <c r="X703" s="24"/>
      <c r="Y703" s="24"/>
      <c r="Z703" s="24"/>
      <c r="AA703" s="24"/>
      <c r="AB703" s="24"/>
      <c r="AC703" s="24"/>
      <c r="AD703" s="361">
        <f t="shared" si="160"/>
        <v>0</v>
      </c>
      <c r="AE703" s="359" t="str">
        <f t="shared" si="149"/>
        <v/>
      </c>
      <c r="AF703" s="359" t="str">
        <f t="shared" si="158"/>
        <v/>
      </c>
      <c r="AG703" s="359" t="str">
        <f t="shared" si="150"/>
        <v/>
      </c>
      <c r="AH703" s="359" t="str">
        <f t="shared" si="151"/>
        <v/>
      </c>
      <c r="AI703" s="359" t="str">
        <f t="shared" si="152"/>
        <v/>
      </c>
      <c r="AJ703" s="359" t="str">
        <f t="shared" si="153"/>
        <v/>
      </c>
      <c r="AK703" s="359" t="str">
        <f t="shared" si="155"/>
        <v/>
      </c>
      <c r="AL703" s="359" t="str">
        <f t="shared" si="154"/>
        <v/>
      </c>
      <c r="AM703" s="359" t="str">
        <f t="shared" si="156"/>
        <v/>
      </c>
      <c r="AN703" s="262">
        <f t="shared" si="159"/>
        <v>0</v>
      </c>
      <c r="AO703" s="262" t="str">
        <f>IFERROR(HLOOKUP(AN703,'Ref Lists'!Q$1:AL$2,2,FALSE),'Ref Lists'!$AK$2)</f>
        <v>Savings21</v>
      </c>
      <c r="AP703" s="38"/>
      <c r="AQ703" s="38">
        <f t="shared" si="162"/>
        <v>0</v>
      </c>
      <c r="AR703" s="38"/>
      <c r="AS703" s="38"/>
      <c r="AT703" s="38"/>
      <c r="AU703" s="38"/>
      <c r="AV703" s="38"/>
      <c r="AW703" s="38"/>
      <c r="AX703" s="38"/>
      <c r="AY703" s="38"/>
      <c r="AZ703" s="38"/>
      <c r="BA703" s="38"/>
      <c r="BB703" s="38"/>
      <c r="BC703" s="38"/>
      <c r="BD703" s="38"/>
      <c r="BE703" s="38"/>
      <c r="BF703" s="38"/>
      <c r="BG703" s="38"/>
      <c r="BH703" s="38"/>
      <c r="BI703" s="38"/>
      <c r="BJ703" s="38"/>
      <c r="BK703" s="38"/>
      <c r="BL703" s="38"/>
      <c r="BM703" s="38"/>
      <c r="BN703" s="38"/>
      <c r="BO703" s="38"/>
      <c r="BP703" s="38"/>
      <c r="BQ703" s="38"/>
      <c r="BR703" s="38"/>
      <c r="BS703" s="38"/>
      <c r="BT703" s="38"/>
      <c r="BU703" s="38"/>
      <c r="BV703" s="38"/>
      <c r="BW703" s="38"/>
      <c r="BX703" s="38"/>
      <c r="BY703" s="38"/>
      <c r="BZ703" s="38"/>
      <c r="CA703" s="38"/>
      <c r="CB703" s="38"/>
      <c r="CC703" s="38"/>
      <c r="CD703" s="38"/>
      <c r="CE703" s="38"/>
      <c r="CF703" s="38"/>
      <c r="CG703" s="38"/>
      <c r="CH703" s="38"/>
      <c r="CI703" s="38"/>
      <c r="CJ703" s="38"/>
      <c r="CK703" s="38"/>
      <c r="CL703" s="38"/>
      <c r="CM703" s="38"/>
      <c r="CN703" s="38"/>
      <c r="CO703" s="38"/>
      <c r="CP703" s="38"/>
      <c r="CQ703" s="38"/>
      <c r="CR703" s="38"/>
      <c r="CS703" s="38"/>
      <c r="CT703" s="38"/>
      <c r="CU703" s="38"/>
      <c r="CV703" s="38"/>
      <c r="CW703" s="38"/>
      <c r="CX703" s="38"/>
      <c r="CY703" s="38"/>
      <c r="CZ703" s="38"/>
    </row>
    <row r="704" spans="1:104" s="40" customFormat="1" ht="20.149999999999999" customHeight="1">
      <c r="A704" s="358">
        <f t="shared" si="157"/>
        <v>703</v>
      </c>
      <c r="B704" s="359" t="str">
        <f>'Front Sheet and Checklist'!$C$5</f>
        <v>Swansea Bay UHB</v>
      </c>
      <c r="C704" s="17"/>
      <c r="D704" s="17"/>
      <c r="E704" s="17"/>
      <c r="F704" s="17"/>
      <c r="G704" s="17"/>
      <c r="H704" s="17"/>
      <c r="I704" s="361">
        <f t="shared" si="161"/>
        <v>0</v>
      </c>
      <c r="J704" s="17"/>
      <c r="K704" s="18"/>
      <c r="L704" s="18"/>
      <c r="M704" s="17"/>
      <c r="N704" s="17"/>
      <c r="O704" s="17"/>
      <c r="P704" s="17"/>
      <c r="Q704" s="169"/>
      <c r="R704" s="24"/>
      <c r="S704" s="24"/>
      <c r="T704" s="24"/>
      <c r="U704" s="25"/>
      <c r="V704" s="25"/>
      <c r="W704" s="25"/>
      <c r="X704" s="24"/>
      <c r="Y704" s="24"/>
      <c r="Z704" s="24"/>
      <c r="AA704" s="24"/>
      <c r="AB704" s="24"/>
      <c r="AC704" s="24"/>
      <c r="AD704" s="361">
        <f t="shared" si="160"/>
        <v>0</v>
      </c>
      <c r="AE704" s="359" t="str">
        <f t="shared" si="149"/>
        <v/>
      </c>
      <c r="AF704" s="359" t="str">
        <f t="shared" si="158"/>
        <v/>
      </c>
      <c r="AG704" s="359" t="str">
        <f t="shared" si="150"/>
        <v/>
      </c>
      <c r="AH704" s="359" t="str">
        <f t="shared" si="151"/>
        <v/>
      </c>
      <c r="AI704" s="359" t="str">
        <f t="shared" si="152"/>
        <v/>
      </c>
      <c r="AJ704" s="359" t="str">
        <f t="shared" si="153"/>
        <v/>
      </c>
      <c r="AK704" s="359" t="str">
        <f t="shared" si="155"/>
        <v/>
      </c>
      <c r="AL704" s="359" t="str">
        <f t="shared" si="154"/>
        <v/>
      </c>
      <c r="AM704" s="359" t="str">
        <f t="shared" si="156"/>
        <v/>
      </c>
      <c r="AN704" s="262">
        <f t="shared" si="159"/>
        <v>0</v>
      </c>
      <c r="AO704" s="262" t="str">
        <f>IFERROR(HLOOKUP(AN704,'Ref Lists'!Q$1:AL$2,2,FALSE),'Ref Lists'!$AK$2)</f>
        <v>Savings21</v>
      </c>
      <c r="AP704" s="38"/>
      <c r="AQ704" s="38">
        <f t="shared" si="162"/>
        <v>0</v>
      </c>
      <c r="AR704" s="38"/>
      <c r="AS704" s="38"/>
      <c r="AT704" s="38"/>
      <c r="AU704" s="38"/>
      <c r="AV704" s="38"/>
      <c r="AW704" s="38"/>
      <c r="AX704" s="38"/>
      <c r="AY704" s="38"/>
      <c r="AZ704" s="38"/>
      <c r="BA704" s="38"/>
      <c r="BB704" s="38"/>
      <c r="BC704" s="38"/>
      <c r="BD704" s="38"/>
      <c r="BE704" s="38"/>
      <c r="BF704" s="38"/>
      <c r="BG704" s="38"/>
      <c r="BH704" s="38"/>
      <c r="BI704" s="38"/>
      <c r="BJ704" s="38"/>
      <c r="BK704" s="38"/>
      <c r="BL704" s="38"/>
      <c r="BM704" s="38"/>
      <c r="BN704" s="38"/>
      <c r="BO704" s="38"/>
      <c r="BP704" s="38"/>
      <c r="BQ704" s="38"/>
      <c r="BR704" s="38"/>
      <c r="BS704" s="38"/>
      <c r="BT704" s="38"/>
      <c r="BU704" s="38"/>
      <c r="BV704" s="38"/>
      <c r="BW704" s="38"/>
      <c r="BX704" s="38"/>
      <c r="BY704" s="38"/>
      <c r="BZ704" s="38"/>
      <c r="CA704" s="38"/>
      <c r="CB704" s="38"/>
      <c r="CC704" s="38"/>
      <c r="CD704" s="38"/>
      <c r="CE704" s="38"/>
      <c r="CF704" s="38"/>
      <c r="CG704" s="38"/>
      <c r="CH704" s="38"/>
      <c r="CI704" s="38"/>
      <c r="CJ704" s="38"/>
      <c r="CK704" s="38"/>
      <c r="CL704" s="38"/>
      <c r="CM704" s="38"/>
      <c r="CN704" s="38"/>
      <c r="CO704" s="38"/>
      <c r="CP704" s="38"/>
      <c r="CQ704" s="38"/>
      <c r="CR704" s="38"/>
      <c r="CS704" s="38"/>
      <c r="CT704" s="38"/>
      <c r="CU704" s="38"/>
      <c r="CV704" s="38"/>
      <c r="CW704" s="38"/>
      <c r="CX704" s="38"/>
      <c r="CY704" s="38"/>
      <c r="CZ704" s="38"/>
    </row>
    <row r="705" spans="1:104" s="40" customFormat="1" ht="20.149999999999999" customHeight="1">
      <c r="A705" s="358">
        <f t="shared" si="157"/>
        <v>704</v>
      </c>
      <c r="B705" s="359" t="str">
        <f>'Front Sheet and Checklist'!$C$5</f>
        <v>Swansea Bay UHB</v>
      </c>
      <c r="C705" s="17"/>
      <c r="D705" s="17"/>
      <c r="E705" s="17"/>
      <c r="F705" s="17"/>
      <c r="G705" s="17"/>
      <c r="H705" s="17"/>
      <c r="I705" s="361">
        <f t="shared" si="161"/>
        <v>0</v>
      </c>
      <c r="J705" s="17"/>
      <c r="K705" s="18"/>
      <c r="L705" s="18"/>
      <c r="M705" s="17"/>
      <c r="N705" s="17"/>
      <c r="O705" s="17"/>
      <c r="P705" s="17"/>
      <c r="Q705" s="169"/>
      <c r="R705" s="24"/>
      <c r="S705" s="24"/>
      <c r="T705" s="24"/>
      <c r="U705" s="25"/>
      <c r="V705" s="25"/>
      <c r="W705" s="25"/>
      <c r="X705" s="24"/>
      <c r="Y705" s="24"/>
      <c r="Z705" s="24"/>
      <c r="AA705" s="24"/>
      <c r="AB705" s="24"/>
      <c r="AC705" s="24"/>
      <c r="AD705" s="361">
        <f t="shared" si="160"/>
        <v>0</v>
      </c>
      <c r="AE705" s="359" t="str">
        <f t="shared" si="149"/>
        <v/>
      </c>
      <c r="AF705" s="359" t="str">
        <f t="shared" si="158"/>
        <v/>
      </c>
      <c r="AG705" s="359" t="str">
        <f t="shared" si="150"/>
        <v/>
      </c>
      <c r="AH705" s="359" t="str">
        <f t="shared" si="151"/>
        <v/>
      </c>
      <c r="AI705" s="359" t="str">
        <f t="shared" si="152"/>
        <v/>
      </c>
      <c r="AJ705" s="359" t="str">
        <f t="shared" si="153"/>
        <v/>
      </c>
      <c r="AK705" s="359" t="str">
        <f t="shared" si="155"/>
        <v/>
      </c>
      <c r="AL705" s="359" t="str">
        <f t="shared" si="154"/>
        <v/>
      </c>
      <c r="AM705" s="359" t="str">
        <f t="shared" si="156"/>
        <v/>
      </c>
      <c r="AN705" s="262">
        <f t="shared" si="159"/>
        <v>0</v>
      </c>
      <c r="AO705" s="262" t="str">
        <f>IFERROR(HLOOKUP(AN705,'Ref Lists'!Q$1:AL$2,2,FALSE),'Ref Lists'!$AK$2)</f>
        <v>Savings21</v>
      </c>
      <c r="AP705" s="38"/>
      <c r="AQ705" s="38">
        <f t="shared" si="162"/>
        <v>0</v>
      </c>
      <c r="AR705" s="38"/>
      <c r="AS705" s="38"/>
      <c r="AT705" s="38"/>
      <c r="AU705" s="38"/>
      <c r="AV705" s="38"/>
      <c r="AW705" s="38"/>
      <c r="AX705" s="38"/>
      <c r="AY705" s="38"/>
      <c r="AZ705" s="38"/>
      <c r="BA705" s="38"/>
      <c r="BB705" s="38"/>
      <c r="BC705" s="38"/>
      <c r="BD705" s="38"/>
      <c r="BE705" s="38"/>
      <c r="BF705" s="38"/>
      <c r="BG705" s="38"/>
      <c r="BH705" s="38"/>
      <c r="BI705" s="38"/>
      <c r="BJ705" s="38"/>
      <c r="BK705" s="38"/>
      <c r="BL705" s="38"/>
      <c r="BM705" s="38"/>
      <c r="BN705" s="38"/>
      <c r="BO705" s="38"/>
      <c r="BP705" s="38"/>
      <c r="BQ705" s="38"/>
      <c r="BR705" s="38"/>
      <c r="BS705" s="38"/>
      <c r="BT705" s="38"/>
      <c r="BU705" s="38"/>
      <c r="BV705" s="38"/>
      <c r="BW705" s="38"/>
      <c r="BX705" s="38"/>
      <c r="BY705" s="38"/>
      <c r="BZ705" s="38"/>
      <c r="CA705" s="38"/>
      <c r="CB705" s="38"/>
      <c r="CC705" s="38"/>
      <c r="CD705" s="38"/>
      <c r="CE705" s="38"/>
      <c r="CF705" s="38"/>
      <c r="CG705" s="38"/>
      <c r="CH705" s="38"/>
      <c r="CI705" s="38"/>
      <c r="CJ705" s="38"/>
      <c r="CK705" s="38"/>
      <c r="CL705" s="38"/>
      <c r="CM705" s="38"/>
      <c r="CN705" s="38"/>
      <c r="CO705" s="38"/>
      <c r="CP705" s="38"/>
      <c r="CQ705" s="38"/>
      <c r="CR705" s="38"/>
      <c r="CS705" s="38"/>
      <c r="CT705" s="38"/>
      <c r="CU705" s="38"/>
      <c r="CV705" s="38"/>
      <c r="CW705" s="38"/>
      <c r="CX705" s="38"/>
      <c r="CY705" s="38"/>
      <c r="CZ705" s="38"/>
    </row>
    <row r="706" spans="1:104" s="40" customFormat="1" ht="20.149999999999999" customHeight="1">
      <c r="A706" s="358">
        <f t="shared" si="157"/>
        <v>705</v>
      </c>
      <c r="B706" s="359" t="str">
        <f>'Front Sheet and Checklist'!$C$5</f>
        <v>Swansea Bay UHB</v>
      </c>
      <c r="C706" s="17"/>
      <c r="D706" s="17"/>
      <c r="E706" s="17"/>
      <c r="F706" s="17"/>
      <c r="G706" s="17"/>
      <c r="H706" s="17"/>
      <c r="I706" s="361">
        <f t="shared" si="161"/>
        <v>0</v>
      </c>
      <c r="J706" s="17"/>
      <c r="K706" s="18"/>
      <c r="L706" s="18"/>
      <c r="M706" s="17"/>
      <c r="N706" s="17"/>
      <c r="O706" s="17"/>
      <c r="P706" s="17"/>
      <c r="Q706" s="169"/>
      <c r="R706" s="24"/>
      <c r="S706" s="24"/>
      <c r="T706" s="24"/>
      <c r="U706" s="25"/>
      <c r="V706" s="25"/>
      <c r="W706" s="25"/>
      <c r="X706" s="24"/>
      <c r="Y706" s="24"/>
      <c r="Z706" s="24"/>
      <c r="AA706" s="24"/>
      <c r="AB706" s="24"/>
      <c r="AC706" s="24"/>
      <c r="AD706" s="361">
        <f t="shared" si="160"/>
        <v>0</v>
      </c>
      <c r="AE706" s="359" t="str">
        <f t="shared" ref="AE706:AE769" si="163">IF(AND(I706&gt;0,H706&lt;&gt;"Income Generation"),IF(AND(H706&lt;&gt;"",D706&lt;&gt;"",E706&lt;&gt;"",F706&lt;&gt;"",C706&lt;&gt;"",G706&lt;&gt;"",K706&lt;&gt;"",L706&lt;&gt;"",M706&lt;&gt;"",N706&lt;&gt;"",P706&lt;&gt;"",Q706&lt;&gt;"",O706&lt;&gt;""),"","ERROR"),"")</f>
        <v/>
      </c>
      <c r="AF706" s="359" t="str">
        <f t="shared" si="158"/>
        <v/>
      </c>
      <c r="AG706" s="359" t="str">
        <f t="shared" ref="AG706:AG769" si="164">IF(AND(I706&gt;0,O706=""),"ERROR","")</f>
        <v/>
      </c>
      <c r="AH706" s="359" t="str">
        <f t="shared" ref="AH706:AH769" si="165">IF(AND(OR(H706="Income Generation"),O706&lt;&gt;""),"ERROR","")</f>
        <v/>
      </c>
      <c r="AI706" s="359" t="str">
        <f t="shared" ref="AI706:AI769" si="166">IF(AND(G706="R",I706&gt;J706),"ERROR","")</f>
        <v/>
      </c>
      <c r="AJ706" s="359" t="str">
        <f t="shared" ref="AJ706:AJ769" si="167">IF(AND(G706="NR",J706&gt;0),"ERROR","")</f>
        <v/>
      </c>
      <c r="AK706" s="359" t="str">
        <f t="shared" si="155"/>
        <v/>
      </c>
      <c r="AL706" s="359" t="str">
        <f t="shared" ref="AL706:AL769" si="168">IF(OR(L706="",L706="N/A"),"",IF(OR(L706&lt;DATEVALUE("01/04/24"),L706&gt;DATEVALUE("31/03/25")),"ERROR",""))</f>
        <v/>
      </c>
      <c r="AM706" s="359" t="str">
        <f t="shared" si="156"/>
        <v/>
      </c>
      <c r="AN706" s="262">
        <f t="shared" si="159"/>
        <v>0</v>
      </c>
      <c r="AO706" s="262" t="str">
        <f>IFERROR(HLOOKUP(AN706,'Ref Lists'!Q$1:AL$2,2,FALSE),'Ref Lists'!$AK$2)</f>
        <v>Savings21</v>
      </c>
      <c r="AP706" s="38"/>
      <c r="AQ706" s="38">
        <f t="shared" si="162"/>
        <v>0</v>
      </c>
      <c r="AR706" s="38"/>
      <c r="AS706" s="38"/>
      <c r="AT706" s="38"/>
      <c r="AU706" s="38"/>
      <c r="AV706" s="38"/>
      <c r="AW706" s="38"/>
      <c r="AX706" s="38"/>
      <c r="AY706" s="38"/>
      <c r="AZ706" s="38"/>
      <c r="BA706" s="38"/>
      <c r="BB706" s="38"/>
      <c r="BC706" s="38"/>
      <c r="BD706" s="38"/>
      <c r="BE706" s="38"/>
      <c r="BF706" s="38"/>
      <c r="BG706" s="38"/>
      <c r="BH706" s="38"/>
      <c r="BI706" s="38"/>
      <c r="BJ706" s="38"/>
      <c r="BK706" s="38"/>
      <c r="BL706" s="38"/>
      <c r="BM706" s="38"/>
      <c r="BN706" s="38"/>
      <c r="BO706" s="38"/>
      <c r="BP706" s="38"/>
      <c r="BQ706" s="38"/>
      <c r="BR706" s="38"/>
      <c r="BS706" s="38"/>
      <c r="BT706" s="38"/>
      <c r="BU706" s="38"/>
      <c r="BV706" s="38"/>
      <c r="BW706" s="38"/>
      <c r="BX706" s="38"/>
      <c r="BY706" s="38"/>
      <c r="BZ706" s="38"/>
      <c r="CA706" s="38"/>
      <c r="CB706" s="38"/>
      <c r="CC706" s="38"/>
      <c r="CD706" s="38"/>
      <c r="CE706" s="38"/>
      <c r="CF706" s="38"/>
      <c r="CG706" s="38"/>
      <c r="CH706" s="38"/>
      <c r="CI706" s="38"/>
      <c r="CJ706" s="38"/>
      <c r="CK706" s="38"/>
      <c r="CL706" s="38"/>
      <c r="CM706" s="38"/>
      <c r="CN706" s="38"/>
      <c r="CO706" s="38"/>
      <c r="CP706" s="38"/>
      <c r="CQ706" s="38"/>
      <c r="CR706" s="38"/>
      <c r="CS706" s="38"/>
      <c r="CT706" s="38"/>
      <c r="CU706" s="38"/>
      <c r="CV706" s="38"/>
      <c r="CW706" s="38"/>
      <c r="CX706" s="38"/>
      <c r="CY706" s="38"/>
      <c r="CZ706" s="38"/>
    </row>
    <row r="707" spans="1:104" s="40" customFormat="1" ht="20.149999999999999" customHeight="1">
      <c r="A707" s="358">
        <f t="shared" si="157"/>
        <v>706</v>
      </c>
      <c r="B707" s="359" t="str">
        <f>'Front Sheet and Checklist'!$C$5</f>
        <v>Swansea Bay UHB</v>
      </c>
      <c r="C707" s="17"/>
      <c r="D707" s="17"/>
      <c r="E707" s="17"/>
      <c r="F707" s="17"/>
      <c r="G707" s="17"/>
      <c r="H707" s="17"/>
      <c r="I707" s="361">
        <f t="shared" si="161"/>
        <v>0</v>
      </c>
      <c r="J707" s="17"/>
      <c r="K707" s="18"/>
      <c r="L707" s="18"/>
      <c r="M707" s="17"/>
      <c r="N707" s="17"/>
      <c r="O707" s="17"/>
      <c r="P707" s="17"/>
      <c r="Q707" s="169"/>
      <c r="R707" s="24"/>
      <c r="S707" s="24"/>
      <c r="T707" s="24"/>
      <c r="U707" s="25"/>
      <c r="V707" s="25"/>
      <c r="W707" s="25"/>
      <c r="X707" s="24"/>
      <c r="Y707" s="24"/>
      <c r="Z707" s="24"/>
      <c r="AA707" s="24"/>
      <c r="AB707" s="24"/>
      <c r="AC707" s="24"/>
      <c r="AD707" s="361">
        <f t="shared" si="160"/>
        <v>0</v>
      </c>
      <c r="AE707" s="359" t="str">
        <f t="shared" si="163"/>
        <v/>
      </c>
      <c r="AF707" s="359" t="str">
        <f t="shared" si="158"/>
        <v/>
      </c>
      <c r="AG707" s="359" t="str">
        <f t="shared" si="164"/>
        <v/>
      </c>
      <c r="AH707" s="359" t="str">
        <f t="shared" si="165"/>
        <v/>
      </c>
      <c r="AI707" s="359" t="str">
        <f t="shared" si="166"/>
        <v/>
      </c>
      <c r="AJ707" s="359" t="str">
        <f t="shared" si="167"/>
        <v/>
      </c>
      <c r="AK707" s="359" t="str">
        <f t="shared" ref="AK707:AK770" si="169">IF(OR(K707="",K707="N/a"),"",IF(OR(K707&lt;DATEVALUE("01/04/24"),K707&gt;DATEVALUE("31/03/25")),"ERROR",""))</f>
        <v/>
      </c>
      <c r="AL707" s="359" t="str">
        <f t="shared" si="168"/>
        <v/>
      </c>
      <c r="AM707" s="359" t="str">
        <f t="shared" ref="AM707:AM770" si="170">IF(COUNTA(T707:AC707)&lt;&gt;COUNT(T707:AC707),"ERROR","")</f>
        <v/>
      </c>
      <c r="AN707" s="262">
        <f t="shared" si="159"/>
        <v>0</v>
      </c>
      <c r="AO707" s="262" t="str">
        <f>IFERROR(HLOOKUP(AN707,'Ref Lists'!Q$1:AL$2,2,FALSE),'Ref Lists'!$AK$2)</f>
        <v>Savings21</v>
      </c>
      <c r="AP707" s="38"/>
      <c r="AQ707" s="38">
        <f t="shared" si="162"/>
        <v>0</v>
      </c>
      <c r="AR707" s="38"/>
      <c r="AS707" s="38"/>
      <c r="AT707" s="38"/>
      <c r="AU707" s="38"/>
      <c r="AV707" s="38"/>
      <c r="AW707" s="38"/>
      <c r="AX707" s="38"/>
      <c r="AY707" s="38"/>
      <c r="AZ707" s="38"/>
      <c r="BA707" s="38"/>
      <c r="BB707" s="38"/>
      <c r="BC707" s="38"/>
      <c r="BD707" s="38"/>
      <c r="BE707" s="38"/>
      <c r="BF707" s="38"/>
      <c r="BG707" s="38"/>
      <c r="BH707" s="38"/>
      <c r="BI707" s="38"/>
      <c r="BJ707" s="38"/>
      <c r="BK707" s="38"/>
      <c r="BL707" s="38"/>
      <c r="BM707" s="38"/>
      <c r="BN707" s="38"/>
      <c r="BO707" s="38"/>
      <c r="BP707" s="38"/>
      <c r="BQ707" s="38"/>
      <c r="BR707" s="38"/>
      <c r="BS707" s="38"/>
      <c r="BT707" s="38"/>
      <c r="BU707" s="38"/>
      <c r="BV707" s="38"/>
      <c r="BW707" s="38"/>
      <c r="BX707" s="38"/>
      <c r="BY707" s="38"/>
      <c r="BZ707" s="38"/>
      <c r="CA707" s="38"/>
      <c r="CB707" s="38"/>
      <c r="CC707" s="38"/>
      <c r="CD707" s="38"/>
      <c r="CE707" s="38"/>
      <c r="CF707" s="38"/>
      <c r="CG707" s="38"/>
      <c r="CH707" s="38"/>
      <c r="CI707" s="38"/>
      <c r="CJ707" s="38"/>
      <c r="CK707" s="38"/>
      <c r="CL707" s="38"/>
      <c r="CM707" s="38"/>
      <c r="CN707" s="38"/>
      <c r="CO707" s="38"/>
      <c r="CP707" s="38"/>
      <c r="CQ707" s="38"/>
      <c r="CR707" s="38"/>
      <c r="CS707" s="38"/>
      <c r="CT707" s="38"/>
      <c r="CU707" s="38"/>
      <c r="CV707" s="38"/>
      <c r="CW707" s="38"/>
      <c r="CX707" s="38"/>
      <c r="CY707" s="38"/>
      <c r="CZ707" s="38"/>
    </row>
    <row r="708" spans="1:104" s="40" customFormat="1" ht="20.149999999999999" customHeight="1">
      <c r="A708" s="358">
        <f t="shared" ref="A708:A771" si="171">+A707+1</f>
        <v>707</v>
      </c>
      <c r="B708" s="359" t="str">
        <f>'Front Sheet and Checklist'!$C$5</f>
        <v>Swansea Bay UHB</v>
      </c>
      <c r="C708" s="17"/>
      <c r="D708" s="17"/>
      <c r="E708" s="17"/>
      <c r="F708" s="17"/>
      <c r="G708" s="17"/>
      <c r="H708" s="17"/>
      <c r="I708" s="361">
        <f t="shared" si="161"/>
        <v>0</v>
      </c>
      <c r="J708" s="17"/>
      <c r="K708" s="18"/>
      <c r="L708" s="18"/>
      <c r="M708" s="17"/>
      <c r="N708" s="17"/>
      <c r="O708" s="17"/>
      <c r="P708" s="17"/>
      <c r="Q708" s="169"/>
      <c r="R708" s="24"/>
      <c r="S708" s="24"/>
      <c r="T708" s="24"/>
      <c r="U708" s="25"/>
      <c r="V708" s="25"/>
      <c r="W708" s="25"/>
      <c r="X708" s="24"/>
      <c r="Y708" s="24"/>
      <c r="Z708" s="24"/>
      <c r="AA708" s="24"/>
      <c r="AB708" s="24"/>
      <c r="AC708" s="24"/>
      <c r="AD708" s="361">
        <f t="shared" si="160"/>
        <v>0</v>
      </c>
      <c r="AE708" s="359" t="str">
        <f t="shared" si="163"/>
        <v/>
      </c>
      <c r="AF708" s="359" t="str">
        <f t="shared" ref="AF708:AF771" si="172">IF(COUNTIF($F$2:$F$1001,F708)&gt;1,"ERROR","")</f>
        <v/>
      </c>
      <c r="AG708" s="359" t="str">
        <f t="shared" si="164"/>
        <v/>
      </c>
      <c r="AH708" s="359" t="str">
        <f t="shared" si="165"/>
        <v/>
      </c>
      <c r="AI708" s="359" t="str">
        <f t="shared" si="166"/>
        <v/>
      </c>
      <c r="AJ708" s="359" t="str">
        <f t="shared" si="167"/>
        <v/>
      </c>
      <c r="AK708" s="359" t="str">
        <f t="shared" si="169"/>
        <v/>
      </c>
      <c r="AL708" s="359" t="str">
        <f t="shared" si="168"/>
        <v/>
      </c>
      <c r="AM708" s="359" t="str">
        <f t="shared" si="170"/>
        <v/>
      </c>
      <c r="AN708" s="262">
        <f t="shared" si="159"/>
        <v>0</v>
      </c>
      <c r="AO708" s="262" t="str">
        <f>IFERROR(HLOOKUP(AN708,'Ref Lists'!Q$1:AL$2,2,FALSE),'Ref Lists'!$AK$2)</f>
        <v>Savings21</v>
      </c>
      <c r="AP708" s="38"/>
      <c r="AQ708" s="38">
        <f t="shared" si="162"/>
        <v>0</v>
      </c>
      <c r="AR708" s="38"/>
      <c r="AS708" s="38"/>
      <c r="AT708" s="38"/>
      <c r="AU708" s="38"/>
      <c r="AV708" s="38"/>
      <c r="AW708" s="38"/>
      <c r="AX708" s="38"/>
      <c r="AY708" s="38"/>
      <c r="AZ708" s="38"/>
      <c r="BA708" s="38"/>
      <c r="BB708" s="38"/>
      <c r="BC708" s="38"/>
      <c r="BD708" s="38"/>
      <c r="BE708" s="38"/>
      <c r="BF708" s="38"/>
      <c r="BG708" s="38"/>
      <c r="BH708" s="38"/>
      <c r="BI708" s="38"/>
      <c r="BJ708" s="38"/>
      <c r="BK708" s="38"/>
      <c r="BL708" s="38"/>
      <c r="BM708" s="38"/>
      <c r="BN708" s="38"/>
      <c r="BO708" s="38"/>
      <c r="BP708" s="38"/>
      <c r="BQ708" s="38"/>
      <c r="BR708" s="38"/>
      <c r="BS708" s="38"/>
      <c r="BT708" s="38"/>
      <c r="BU708" s="38"/>
      <c r="BV708" s="38"/>
      <c r="BW708" s="38"/>
      <c r="BX708" s="38"/>
      <c r="BY708" s="38"/>
      <c r="BZ708" s="38"/>
      <c r="CA708" s="38"/>
      <c r="CB708" s="38"/>
      <c r="CC708" s="38"/>
      <c r="CD708" s="38"/>
      <c r="CE708" s="38"/>
      <c r="CF708" s="38"/>
      <c r="CG708" s="38"/>
      <c r="CH708" s="38"/>
      <c r="CI708" s="38"/>
      <c r="CJ708" s="38"/>
      <c r="CK708" s="38"/>
      <c r="CL708" s="38"/>
      <c r="CM708" s="38"/>
      <c r="CN708" s="38"/>
      <c r="CO708" s="38"/>
      <c r="CP708" s="38"/>
      <c r="CQ708" s="38"/>
      <c r="CR708" s="38"/>
      <c r="CS708" s="38"/>
      <c r="CT708" s="38"/>
      <c r="CU708" s="38"/>
      <c r="CV708" s="38"/>
      <c r="CW708" s="38"/>
      <c r="CX708" s="38"/>
      <c r="CY708" s="38"/>
      <c r="CZ708" s="38"/>
    </row>
    <row r="709" spans="1:104" s="40" customFormat="1" ht="20.149999999999999" customHeight="1">
      <c r="A709" s="358">
        <f t="shared" si="171"/>
        <v>708</v>
      </c>
      <c r="B709" s="359" t="str">
        <f>'Front Sheet and Checklist'!$C$5</f>
        <v>Swansea Bay UHB</v>
      </c>
      <c r="C709" s="17"/>
      <c r="D709" s="17"/>
      <c r="E709" s="17"/>
      <c r="F709" s="17"/>
      <c r="G709" s="17"/>
      <c r="H709" s="17"/>
      <c r="I709" s="361">
        <f t="shared" si="161"/>
        <v>0</v>
      </c>
      <c r="J709" s="17"/>
      <c r="K709" s="18"/>
      <c r="L709" s="18"/>
      <c r="M709" s="17"/>
      <c r="N709" s="17"/>
      <c r="O709" s="17"/>
      <c r="P709" s="17"/>
      <c r="Q709" s="169"/>
      <c r="R709" s="24"/>
      <c r="S709" s="24"/>
      <c r="T709" s="24"/>
      <c r="U709" s="25"/>
      <c r="V709" s="25"/>
      <c r="W709" s="25"/>
      <c r="X709" s="24"/>
      <c r="Y709" s="24"/>
      <c r="Z709" s="24"/>
      <c r="AA709" s="24"/>
      <c r="AB709" s="24"/>
      <c r="AC709" s="24"/>
      <c r="AD709" s="361">
        <f t="shared" si="160"/>
        <v>0</v>
      </c>
      <c r="AE709" s="359" t="str">
        <f t="shared" si="163"/>
        <v/>
      </c>
      <c r="AF709" s="359" t="str">
        <f t="shared" si="172"/>
        <v/>
      </c>
      <c r="AG709" s="359" t="str">
        <f t="shared" si="164"/>
        <v/>
      </c>
      <c r="AH709" s="359" t="str">
        <f t="shared" si="165"/>
        <v/>
      </c>
      <c r="AI709" s="359" t="str">
        <f t="shared" si="166"/>
        <v/>
      </c>
      <c r="AJ709" s="359" t="str">
        <f t="shared" si="167"/>
        <v/>
      </c>
      <c r="AK709" s="359" t="str">
        <f t="shared" si="169"/>
        <v/>
      </c>
      <c r="AL709" s="359" t="str">
        <f t="shared" si="168"/>
        <v/>
      </c>
      <c r="AM709" s="359" t="str">
        <f t="shared" si="170"/>
        <v/>
      </c>
      <c r="AN709" s="262">
        <f t="shared" ref="AN709:AN772" si="173">IF(P709="1) Workforce",_xlfn.CONCAT(P709,O709),IF(P709="5) Pathway",_xlfn.CONCAT(P709,N709),P709))</f>
        <v>0</v>
      </c>
      <c r="AO709" s="262" t="str">
        <f>IFERROR(HLOOKUP(AN709,'Ref Lists'!Q$1:AL$2,2,FALSE),'Ref Lists'!$AK$2)</f>
        <v>Savings21</v>
      </c>
      <c r="AP709" s="38"/>
      <c r="AQ709" s="38">
        <f t="shared" si="162"/>
        <v>0</v>
      </c>
      <c r="AR709" s="38"/>
      <c r="AS709" s="38"/>
      <c r="AT709" s="38"/>
      <c r="AU709" s="38"/>
      <c r="AV709" s="38"/>
      <c r="AW709" s="38"/>
      <c r="AX709" s="38"/>
      <c r="AY709" s="38"/>
      <c r="AZ709" s="38"/>
      <c r="BA709" s="38"/>
      <c r="BB709" s="38"/>
      <c r="BC709" s="38"/>
      <c r="BD709" s="38"/>
      <c r="BE709" s="38"/>
      <c r="BF709" s="38"/>
      <c r="BG709" s="38"/>
      <c r="BH709" s="38"/>
      <c r="BI709" s="38"/>
      <c r="BJ709" s="38"/>
      <c r="BK709" s="38"/>
      <c r="BL709" s="38"/>
      <c r="BM709" s="38"/>
      <c r="BN709" s="38"/>
      <c r="BO709" s="38"/>
      <c r="BP709" s="38"/>
      <c r="BQ709" s="38"/>
      <c r="BR709" s="38"/>
      <c r="BS709" s="38"/>
      <c r="BT709" s="38"/>
      <c r="BU709" s="38"/>
      <c r="BV709" s="38"/>
      <c r="BW709" s="38"/>
      <c r="BX709" s="38"/>
      <c r="BY709" s="38"/>
      <c r="BZ709" s="38"/>
      <c r="CA709" s="38"/>
      <c r="CB709" s="38"/>
      <c r="CC709" s="38"/>
      <c r="CD709" s="38"/>
      <c r="CE709" s="38"/>
      <c r="CF709" s="38"/>
      <c r="CG709" s="38"/>
      <c r="CH709" s="38"/>
      <c r="CI709" s="38"/>
      <c r="CJ709" s="38"/>
      <c r="CK709" s="38"/>
      <c r="CL709" s="38"/>
      <c r="CM709" s="38"/>
      <c r="CN709" s="38"/>
      <c r="CO709" s="38"/>
      <c r="CP709" s="38"/>
      <c r="CQ709" s="38"/>
      <c r="CR709" s="38"/>
      <c r="CS709" s="38"/>
      <c r="CT709" s="38"/>
      <c r="CU709" s="38"/>
      <c r="CV709" s="38"/>
      <c r="CW709" s="38"/>
      <c r="CX709" s="38"/>
      <c r="CY709" s="38"/>
      <c r="CZ709" s="38"/>
    </row>
    <row r="710" spans="1:104" s="40" customFormat="1" ht="20.149999999999999" customHeight="1">
      <c r="A710" s="358">
        <f t="shared" si="171"/>
        <v>709</v>
      </c>
      <c r="B710" s="359" t="str">
        <f>'Front Sheet and Checklist'!$C$5</f>
        <v>Swansea Bay UHB</v>
      </c>
      <c r="C710" s="17"/>
      <c r="D710" s="17"/>
      <c r="E710" s="17"/>
      <c r="F710" s="17"/>
      <c r="G710" s="17"/>
      <c r="H710" s="17"/>
      <c r="I710" s="361">
        <f t="shared" si="161"/>
        <v>0</v>
      </c>
      <c r="J710" s="17"/>
      <c r="K710" s="18"/>
      <c r="L710" s="18"/>
      <c r="M710" s="17"/>
      <c r="N710" s="17"/>
      <c r="O710" s="17"/>
      <c r="P710" s="17"/>
      <c r="Q710" s="169"/>
      <c r="R710" s="24"/>
      <c r="S710" s="24"/>
      <c r="T710" s="24"/>
      <c r="U710" s="25"/>
      <c r="V710" s="25"/>
      <c r="W710" s="25"/>
      <c r="X710" s="24"/>
      <c r="Y710" s="24"/>
      <c r="Z710" s="24"/>
      <c r="AA710" s="24"/>
      <c r="AB710" s="24"/>
      <c r="AC710" s="24"/>
      <c r="AD710" s="361">
        <f t="shared" si="160"/>
        <v>0</v>
      </c>
      <c r="AE710" s="359" t="str">
        <f t="shared" si="163"/>
        <v/>
      </c>
      <c r="AF710" s="359" t="str">
        <f t="shared" si="172"/>
        <v/>
      </c>
      <c r="AG710" s="359" t="str">
        <f t="shared" si="164"/>
        <v/>
      </c>
      <c r="AH710" s="359" t="str">
        <f t="shared" si="165"/>
        <v/>
      </c>
      <c r="AI710" s="359" t="str">
        <f t="shared" si="166"/>
        <v/>
      </c>
      <c r="AJ710" s="359" t="str">
        <f t="shared" si="167"/>
        <v/>
      </c>
      <c r="AK710" s="359" t="str">
        <f t="shared" si="169"/>
        <v/>
      </c>
      <c r="AL710" s="359" t="str">
        <f t="shared" si="168"/>
        <v/>
      </c>
      <c r="AM710" s="359" t="str">
        <f t="shared" si="170"/>
        <v/>
      </c>
      <c r="AN710" s="262">
        <f t="shared" si="173"/>
        <v>0</v>
      </c>
      <c r="AO710" s="262" t="str">
        <f>IFERROR(HLOOKUP(AN710,'Ref Lists'!Q$1:AL$2,2,FALSE),'Ref Lists'!$AK$2)</f>
        <v>Savings21</v>
      </c>
      <c r="AP710" s="38"/>
      <c r="AQ710" s="38">
        <f t="shared" si="162"/>
        <v>0</v>
      </c>
      <c r="AR710" s="38"/>
      <c r="AS710" s="38"/>
      <c r="AT710" s="38"/>
      <c r="AU710" s="38"/>
      <c r="AV710" s="38"/>
      <c r="AW710" s="38"/>
      <c r="AX710" s="38"/>
      <c r="AY710" s="38"/>
      <c r="AZ710" s="38"/>
      <c r="BA710" s="38"/>
      <c r="BB710" s="38"/>
      <c r="BC710" s="38"/>
      <c r="BD710" s="38"/>
      <c r="BE710" s="38"/>
      <c r="BF710" s="38"/>
      <c r="BG710" s="38"/>
      <c r="BH710" s="38"/>
      <c r="BI710" s="38"/>
      <c r="BJ710" s="38"/>
      <c r="BK710" s="38"/>
      <c r="BL710" s="38"/>
      <c r="BM710" s="38"/>
      <c r="BN710" s="38"/>
      <c r="BO710" s="38"/>
      <c r="BP710" s="38"/>
      <c r="BQ710" s="38"/>
      <c r="BR710" s="38"/>
      <c r="BS710" s="38"/>
      <c r="BT710" s="38"/>
      <c r="BU710" s="38"/>
      <c r="BV710" s="38"/>
      <c r="BW710" s="38"/>
      <c r="BX710" s="38"/>
      <c r="BY710" s="38"/>
      <c r="BZ710" s="38"/>
      <c r="CA710" s="38"/>
      <c r="CB710" s="38"/>
      <c r="CC710" s="38"/>
      <c r="CD710" s="38"/>
      <c r="CE710" s="38"/>
      <c r="CF710" s="38"/>
      <c r="CG710" s="38"/>
      <c r="CH710" s="38"/>
      <c r="CI710" s="38"/>
      <c r="CJ710" s="38"/>
      <c r="CK710" s="38"/>
      <c r="CL710" s="38"/>
      <c r="CM710" s="38"/>
      <c r="CN710" s="38"/>
      <c r="CO710" s="38"/>
      <c r="CP710" s="38"/>
      <c r="CQ710" s="38"/>
      <c r="CR710" s="38"/>
      <c r="CS710" s="38"/>
      <c r="CT710" s="38"/>
      <c r="CU710" s="38"/>
      <c r="CV710" s="38"/>
      <c r="CW710" s="38"/>
      <c r="CX710" s="38"/>
      <c r="CY710" s="38"/>
      <c r="CZ710" s="38"/>
    </row>
    <row r="711" spans="1:104" s="40" customFormat="1" ht="20.149999999999999" customHeight="1">
      <c r="A711" s="358">
        <f t="shared" si="171"/>
        <v>710</v>
      </c>
      <c r="B711" s="359" t="str">
        <f>'Front Sheet and Checklist'!$C$5</f>
        <v>Swansea Bay UHB</v>
      </c>
      <c r="C711" s="17"/>
      <c r="D711" s="17"/>
      <c r="E711" s="17"/>
      <c r="F711" s="17"/>
      <c r="G711" s="17"/>
      <c r="H711" s="17"/>
      <c r="I711" s="361">
        <f t="shared" si="161"/>
        <v>0</v>
      </c>
      <c r="J711" s="17"/>
      <c r="K711" s="18"/>
      <c r="L711" s="18"/>
      <c r="M711" s="17"/>
      <c r="N711" s="17"/>
      <c r="O711" s="17"/>
      <c r="P711" s="17"/>
      <c r="Q711" s="169"/>
      <c r="R711" s="24"/>
      <c r="S711" s="24"/>
      <c r="T711" s="24"/>
      <c r="U711" s="25"/>
      <c r="V711" s="25"/>
      <c r="W711" s="25"/>
      <c r="X711" s="24"/>
      <c r="Y711" s="24"/>
      <c r="Z711" s="24"/>
      <c r="AA711" s="24"/>
      <c r="AB711" s="24"/>
      <c r="AC711" s="24"/>
      <c r="AD711" s="361">
        <f t="shared" si="160"/>
        <v>0</v>
      </c>
      <c r="AE711" s="359" t="str">
        <f t="shared" si="163"/>
        <v/>
      </c>
      <c r="AF711" s="359" t="str">
        <f t="shared" si="172"/>
        <v/>
      </c>
      <c r="AG711" s="359" t="str">
        <f t="shared" si="164"/>
        <v/>
      </c>
      <c r="AH711" s="359" t="str">
        <f t="shared" si="165"/>
        <v/>
      </c>
      <c r="AI711" s="359" t="str">
        <f t="shared" si="166"/>
        <v/>
      </c>
      <c r="AJ711" s="359" t="str">
        <f t="shared" si="167"/>
        <v/>
      </c>
      <c r="AK711" s="359" t="str">
        <f t="shared" si="169"/>
        <v/>
      </c>
      <c r="AL711" s="359" t="str">
        <f t="shared" si="168"/>
        <v/>
      </c>
      <c r="AM711" s="359" t="str">
        <f t="shared" si="170"/>
        <v/>
      </c>
      <c r="AN711" s="262">
        <f t="shared" si="173"/>
        <v>0</v>
      </c>
      <c r="AO711" s="262" t="str">
        <f>IFERROR(HLOOKUP(AN711,'Ref Lists'!Q$1:AL$2,2,FALSE),'Ref Lists'!$AK$2)</f>
        <v>Savings21</v>
      </c>
      <c r="AP711" s="38"/>
      <c r="AQ711" s="38">
        <f t="shared" si="162"/>
        <v>0</v>
      </c>
      <c r="AR711" s="38"/>
      <c r="AS711" s="38"/>
      <c r="AT711" s="38"/>
      <c r="AU711" s="38"/>
      <c r="AV711" s="38"/>
      <c r="AW711" s="38"/>
      <c r="AX711" s="38"/>
      <c r="AY711" s="38"/>
      <c r="AZ711" s="38"/>
      <c r="BA711" s="38"/>
      <c r="BB711" s="38"/>
      <c r="BC711" s="38"/>
      <c r="BD711" s="38"/>
      <c r="BE711" s="38"/>
      <c r="BF711" s="38"/>
      <c r="BG711" s="38"/>
      <c r="BH711" s="38"/>
      <c r="BI711" s="38"/>
      <c r="BJ711" s="38"/>
      <c r="BK711" s="38"/>
      <c r="BL711" s="38"/>
      <c r="BM711" s="38"/>
      <c r="BN711" s="38"/>
      <c r="BO711" s="38"/>
      <c r="BP711" s="38"/>
      <c r="BQ711" s="38"/>
      <c r="BR711" s="38"/>
      <c r="BS711" s="38"/>
      <c r="BT711" s="38"/>
      <c r="BU711" s="38"/>
      <c r="BV711" s="38"/>
      <c r="BW711" s="38"/>
      <c r="BX711" s="38"/>
      <c r="BY711" s="38"/>
      <c r="BZ711" s="38"/>
      <c r="CA711" s="38"/>
      <c r="CB711" s="38"/>
      <c r="CC711" s="38"/>
      <c r="CD711" s="38"/>
      <c r="CE711" s="38"/>
      <c r="CF711" s="38"/>
      <c r="CG711" s="38"/>
      <c r="CH711" s="38"/>
      <c r="CI711" s="38"/>
      <c r="CJ711" s="38"/>
      <c r="CK711" s="38"/>
      <c r="CL711" s="38"/>
      <c r="CM711" s="38"/>
      <c r="CN711" s="38"/>
      <c r="CO711" s="38"/>
      <c r="CP711" s="38"/>
      <c r="CQ711" s="38"/>
      <c r="CR711" s="38"/>
      <c r="CS711" s="38"/>
      <c r="CT711" s="38"/>
      <c r="CU711" s="38"/>
      <c r="CV711" s="38"/>
      <c r="CW711" s="38"/>
      <c r="CX711" s="38"/>
      <c r="CY711" s="38"/>
      <c r="CZ711" s="38"/>
    </row>
    <row r="712" spans="1:104" s="40" customFormat="1" ht="20.149999999999999" customHeight="1">
      <c r="A712" s="358">
        <f t="shared" si="171"/>
        <v>711</v>
      </c>
      <c r="B712" s="359" t="str">
        <f>'Front Sheet and Checklist'!$C$5</f>
        <v>Swansea Bay UHB</v>
      </c>
      <c r="C712" s="17"/>
      <c r="D712" s="17"/>
      <c r="E712" s="17"/>
      <c r="F712" s="17"/>
      <c r="G712" s="17"/>
      <c r="H712" s="17"/>
      <c r="I712" s="361">
        <f t="shared" si="161"/>
        <v>0</v>
      </c>
      <c r="J712" s="17"/>
      <c r="K712" s="18"/>
      <c r="L712" s="18"/>
      <c r="M712" s="17"/>
      <c r="N712" s="17"/>
      <c r="O712" s="17"/>
      <c r="P712" s="17"/>
      <c r="Q712" s="169"/>
      <c r="R712" s="24"/>
      <c r="S712" s="24"/>
      <c r="T712" s="24"/>
      <c r="U712" s="25"/>
      <c r="V712" s="25"/>
      <c r="W712" s="25"/>
      <c r="X712" s="24"/>
      <c r="Y712" s="24"/>
      <c r="Z712" s="24"/>
      <c r="AA712" s="24"/>
      <c r="AB712" s="24"/>
      <c r="AC712" s="24"/>
      <c r="AD712" s="361">
        <f t="shared" si="160"/>
        <v>0</v>
      </c>
      <c r="AE712" s="359" t="str">
        <f t="shared" si="163"/>
        <v/>
      </c>
      <c r="AF712" s="359" t="str">
        <f t="shared" si="172"/>
        <v/>
      </c>
      <c r="AG712" s="359" t="str">
        <f t="shared" si="164"/>
        <v/>
      </c>
      <c r="AH712" s="359" t="str">
        <f t="shared" si="165"/>
        <v/>
      </c>
      <c r="AI712" s="359" t="str">
        <f t="shared" si="166"/>
        <v/>
      </c>
      <c r="AJ712" s="359" t="str">
        <f t="shared" si="167"/>
        <v/>
      </c>
      <c r="AK712" s="359" t="str">
        <f t="shared" si="169"/>
        <v/>
      </c>
      <c r="AL712" s="359" t="str">
        <f t="shared" si="168"/>
        <v/>
      </c>
      <c r="AM712" s="359" t="str">
        <f t="shared" si="170"/>
        <v/>
      </c>
      <c r="AN712" s="262">
        <f t="shared" si="173"/>
        <v>0</v>
      </c>
      <c r="AO712" s="262" t="str">
        <f>IFERROR(HLOOKUP(AN712,'Ref Lists'!Q$1:AL$2,2,FALSE),'Ref Lists'!$AK$2)</f>
        <v>Savings21</v>
      </c>
      <c r="AP712" s="38"/>
      <c r="AQ712" s="38">
        <f t="shared" si="162"/>
        <v>0</v>
      </c>
      <c r="AR712" s="38"/>
      <c r="AS712" s="38"/>
      <c r="AT712" s="38"/>
      <c r="AU712" s="38"/>
      <c r="AV712" s="38"/>
      <c r="AW712" s="38"/>
      <c r="AX712" s="38"/>
      <c r="AY712" s="38"/>
      <c r="AZ712" s="38"/>
      <c r="BA712" s="38"/>
      <c r="BB712" s="38"/>
      <c r="BC712" s="38"/>
      <c r="BD712" s="38"/>
      <c r="BE712" s="38"/>
      <c r="BF712" s="38"/>
      <c r="BG712" s="38"/>
      <c r="BH712" s="38"/>
      <c r="BI712" s="38"/>
      <c r="BJ712" s="38"/>
      <c r="BK712" s="38"/>
      <c r="BL712" s="38"/>
      <c r="BM712" s="38"/>
      <c r="BN712" s="38"/>
      <c r="BO712" s="38"/>
      <c r="BP712" s="38"/>
      <c r="BQ712" s="38"/>
      <c r="BR712" s="38"/>
      <c r="BS712" s="38"/>
      <c r="BT712" s="38"/>
      <c r="BU712" s="38"/>
      <c r="BV712" s="38"/>
      <c r="BW712" s="38"/>
      <c r="BX712" s="38"/>
      <c r="BY712" s="38"/>
      <c r="BZ712" s="38"/>
      <c r="CA712" s="38"/>
      <c r="CB712" s="38"/>
      <c r="CC712" s="38"/>
      <c r="CD712" s="38"/>
      <c r="CE712" s="38"/>
      <c r="CF712" s="38"/>
      <c r="CG712" s="38"/>
      <c r="CH712" s="38"/>
      <c r="CI712" s="38"/>
      <c r="CJ712" s="38"/>
      <c r="CK712" s="38"/>
      <c r="CL712" s="38"/>
      <c r="CM712" s="38"/>
      <c r="CN712" s="38"/>
      <c r="CO712" s="38"/>
      <c r="CP712" s="38"/>
      <c r="CQ712" s="38"/>
      <c r="CR712" s="38"/>
      <c r="CS712" s="38"/>
      <c r="CT712" s="38"/>
      <c r="CU712" s="38"/>
      <c r="CV712" s="38"/>
      <c r="CW712" s="38"/>
      <c r="CX712" s="38"/>
      <c r="CY712" s="38"/>
      <c r="CZ712" s="38"/>
    </row>
    <row r="713" spans="1:104" s="40" customFormat="1" ht="20.149999999999999" customHeight="1">
      <c r="A713" s="358">
        <f t="shared" si="171"/>
        <v>712</v>
      </c>
      <c r="B713" s="359" t="str">
        <f>'Front Sheet and Checklist'!$C$5</f>
        <v>Swansea Bay UHB</v>
      </c>
      <c r="C713" s="17"/>
      <c r="D713" s="17"/>
      <c r="E713" s="17"/>
      <c r="F713" s="17"/>
      <c r="G713" s="17"/>
      <c r="H713" s="17"/>
      <c r="I713" s="361">
        <f t="shared" si="161"/>
        <v>0</v>
      </c>
      <c r="J713" s="17"/>
      <c r="K713" s="18"/>
      <c r="L713" s="18"/>
      <c r="M713" s="17"/>
      <c r="N713" s="17"/>
      <c r="O713" s="17"/>
      <c r="P713" s="17"/>
      <c r="Q713" s="169"/>
      <c r="R713" s="24"/>
      <c r="S713" s="24"/>
      <c r="T713" s="24"/>
      <c r="U713" s="25"/>
      <c r="V713" s="25"/>
      <c r="W713" s="25"/>
      <c r="X713" s="24"/>
      <c r="Y713" s="24"/>
      <c r="Z713" s="24"/>
      <c r="AA713" s="24"/>
      <c r="AB713" s="24"/>
      <c r="AC713" s="24"/>
      <c r="AD713" s="361">
        <f t="shared" si="160"/>
        <v>0</v>
      </c>
      <c r="AE713" s="359" t="str">
        <f t="shared" si="163"/>
        <v/>
      </c>
      <c r="AF713" s="359" t="str">
        <f t="shared" si="172"/>
        <v/>
      </c>
      <c r="AG713" s="359" t="str">
        <f t="shared" si="164"/>
        <v/>
      </c>
      <c r="AH713" s="359" t="str">
        <f t="shared" si="165"/>
        <v/>
      </c>
      <c r="AI713" s="359" t="str">
        <f t="shared" si="166"/>
        <v/>
      </c>
      <c r="AJ713" s="359" t="str">
        <f t="shared" si="167"/>
        <v/>
      </c>
      <c r="AK713" s="359" t="str">
        <f t="shared" si="169"/>
        <v/>
      </c>
      <c r="AL713" s="359" t="str">
        <f t="shared" si="168"/>
        <v/>
      </c>
      <c r="AM713" s="359" t="str">
        <f t="shared" si="170"/>
        <v/>
      </c>
      <c r="AN713" s="262">
        <f t="shared" si="173"/>
        <v>0</v>
      </c>
      <c r="AO713" s="262" t="str">
        <f>IFERROR(HLOOKUP(AN713,'Ref Lists'!Q$1:AL$2,2,FALSE),'Ref Lists'!$AK$2)</f>
        <v>Savings21</v>
      </c>
      <c r="AP713" s="38"/>
      <c r="AQ713" s="38">
        <f t="shared" si="162"/>
        <v>0</v>
      </c>
      <c r="AR713" s="38"/>
      <c r="AS713" s="38"/>
      <c r="AT713" s="38"/>
      <c r="AU713" s="38"/>
      <c r="AV713" s="38"/>
      <c r="AW713" s="38"/>
      <c r="AX713" s="38"/>
      <c r="AY713" s="38"/>
      <c r="AZ713" s="38"/>
      <c r="BA713" s="38"/>
      <c r="BB713" s="38"/>
      <c r="BC713" s="38"/>
      <c r="BD713" s="38"/>
      <c r="BE713" s="38"/>
      <c r="BF713" s="38"/>
      <c r="BG713" s="38"/>
      <c r="BH713" s="38"/>
      <c r="BI713" s="38"/>
      <c r="BJ713" s="38"/>
      <c r="BK713" s="38"/>
      <c r="BL713" s="38"/>
      <c r="BM713" s="38"/>
      <c r="BN713" s="38"/>
      <c r="BO713" s="38"/>
      <c r="BP713" s="38"/>
      <c r="BQ713" s="38"/>
      <c r="BR713" s="38"/>
      <c r="BS713" s="38"/>
      <c r="BT713" s="38"/>
      <c r="BU713" s="38"/>
      <c r="BV713" s="38"/>
      <c r="BW713" s="38"/>
      <c r="BX713" s="38"/>
      <c r="BY713" s="38"/>
      <c r="BZ713" s="38"/>
      <c r="CA713" s="38"/>
      <c r="CB713" s="38"/>
      <c r="CC713" s="38"/>
      <c r="CD713" s="38"/>
      <c r="CE713" s="38"/>
      <c r="CF713" s="38"/>
      <c r="CG713" s="38"/>
      <c r="CH713" s="38"/>
      <c r="CI713" s="38"/>
      <c r="CJ713" s="38"/>
      <c r="CK713" s="38"/>
      <c r="CL713" s="38"/>
      <c r="CM713" s="38"/>
      <c r="CN713" s="38"/>
      <c r="CO713" s="38"/>
      <c r="CP713" s="38"/>
      <c r="CQ713" s="38"/>
      <c r="CR713" s="38"/>
      <c r="CS713" s="38"/>
      <c r="CT713" s="38"/>
      <c r="CU713" s="38"/>
      <c r="CV713" s="38"/>
      <c r="CW713" s="38"/>
      <c r="CX713" s="38"/>
      <c r="CY713" s="38"/>
      <c r="CZ713" s="38"/>
    </row>
    <row r="714" spans="1:104" s="40" customFormat="1" ht="20.149999999999999" customHeight="1">
      <c r="A714" s="358">
        <f t="shared" si="171"/>
        <v>713</v>
      </c>
      <c r="B714" s="359" t="str">
        <f>'Front Sheet and Checklist'!$C$5</f>
        <v>Swansea Bay UHB</v>
      </c>
      <c r="C714" s="17"/>
      <c r="D714" s="17"/>
      <c r="E714" s="17"/>
      <c r="F714" s="17"/>
      <c r="G714" s="17"/>
      <c r="H714" s="17"/>
      <c r="I714" s="361">
        <f t="shared" si="161"/>
        <v>0</v>
      </c>
      <c r="J714" s="17"/>
      <c r="K714" s="18"/>
      <c r="L714" s="18"/>
      <c r="M714" s="17"/>
      <c r="N714" s="17"/>
      <c r="O714" s="17"/>
      <c r="P714" s="17"/>
      <c r="Q714" s="169"/>
      <c r="R714" s="24"/>
      <c r="S714" s="24"/>
      <c r="T714" s="24"/>
      <c r="U714" s="25"/>
      <c r="V714" s="25"/>
      <c r="W714" s="25"/>
      <c r="X714" s="24"/>
      <c r="Y714" s="24"/>
      <c r="Z714" s="24"/>
      <c r="AA714" s="24"/>
      <c r="AB714" s="24"/>
      <c r="AC714" s="24"/>
      <c r="AD714" s="361">
        <f t="shared" si="160"/>
        <v>0</v>
      </c>
      <c r="AE714" s="359" t="str">
        <f t="shared" si="163"/>
        <v/>
      </c>
      <c r="AF714" s="359" t="str">
        <f t="shared" si="172"/>
        <v/>
      </c>
      <c r="AG714" s="359" t="str">
        <f t="shared" si="164"/>
        <v/>
      </c>
      <c r="AH714" s="359" t="str">
        <f t="shared" si="165"/>
        <v/>
      </c>
      <c r="AI714" s="359" t="str">
        <f t="shared" si="166"/>
        <v/>
      </c>
      <c r="AJ714" s="359" t="str">
        <f t="shared" si="167"/>
        <v/>
      </c>
      <c r="AK714" s="359" t="str">
        <f t="shared" si="169"/>
        <v/>
      </c>
      <c r="AL714" s="359" t="str">
        <f t="shared" si="168"/>
        <v/>
      </c>
      <c r="AM714" s="359" t="str">
        <f t="shared" si="170"/>
        <v/>
      </c>
      <c r="AN714" s="262">
        <f t="shared" si="173"/>
        <v>0</v>
      </c>
      <c r="AO714" s="262" t="str">
        <f>IFERROR(HLOOKUP(AN714,'Ref Lists'!Q$1:AL$2,2,FALSE),'Ref Lists'!$AK$2)</f>
        <v>Savings21</v>
      </c>
      <c r="AP714" s="38"/>
      <c r="AQ714" s="38">
        <f t="shared" si="162"/>
        <v>0</v>
      </c>
      <c r="AR714" s="38"/>
      <c r="AS714" s="38"/>
      <c r="AT714" s="38"/>
      <c r="AU714" s="38"/>
      <c r="AV714" s="38"/>
      <c r="AW714" s="38"/>
      <c r="AX714" s="38"/>
      <c r="AY714" s="38"/>
      <c r="AZ714" s="38"/>
      <c r="BA714" s="38"/>
      <c r="BB714" s="38"/>
      <c r="BC714" s="38"/>
      <c r="BD714" s="38"/>
      <c r="BE714" s="38"/>
      <c r="BF714" s="38"/>
      <c r="BG714" s="38"/>
      <c r="BH714" s="38"/>
      <c r="BI714" s="38"/>
      <c r="BJ714" s="38"/>
      <c r="BK714" s="38"/>
      <c r="BL714" s="38"/>
      <c r="BM714" s="38"/>
      <c r="BN714" s="38"/>
      <c r="BO714" s="38"/>
      <c r="BP714" s="38"/>
      <c r="BQ714" s="38"/>
      <c r="BR714" s="38"/>
      <c r="BS714" s="38"/>
      <c r="BT714" s="38"/>
      <c r="BU714" s="38"/>
      <c r="BV714" s="38"/>
      <c r="BW714" s="38"/>
      <c r="BX714" s="38"/>
      <c r="BY714" s="38"/>
      <c r="BZ714" s="38"/>
      <c r="CA714" s="38"/>
      <c r="CB714" s="38"/>
      <c r="CC714" s="38"/>
      <c r="CD714" s="38"/>
      <c r="CE714" s="38"/>
      <c r="CF714" s="38"/>
      <c r="CG714" s="38"/>
      <c r="CH714" s="38"/>
      <c r="CI714" s="38"/>
      <c r="CJ714" s="38"/>
      <c r="CK714" s="38"/>
      <c r="CL714" s="38"/>
      <c r="CM714" s="38"/>
      <c r="CN714" s="38"/>
      <c r="CO714" s="38"/>
      <c r="CP714" s="38"/>
      <c r="CQ714" s="38"/>
      <c r="CR714" s="38"/>
      <c r="CS714" s="38"/>
      <c r="CT714" s="38"/>
      <c r="CU714" s="38"/>
      <c r="CV714" s="38"/>
      <c r="CW714" s="38"/>
      <c r="CX714" s="38"/>
      <c r="CY714" s="38"/>
      <c r="CZ714" s="38"/>
    </row>
    <row r="715" spans="1:104" s="40" customFormat="1" ht="20.149999999999999" customHeight="1">
      <c r="A715" s="358">
        <f t="shared" si="171"/>
        <v>714</v>
      </c>
      <c r="B715" s="359" t="str">
        <f>'Front Sheet and Checklist'!$C$5</f>
        <v>Swansea Bay UHB</v>
      </c>
      <c r="C715" s="17"/>
      <c r="D715" s="17"/>
      <c r="E715" s="17"/>
      <c r="F715" s="17"/>
      <c r="G715" s="17"/>
      <c r="H715" s="17"/>
      <c r="I715" s="361">
        <f t="shared" si="161"/>
        <v>0</v>
      </c>
      <c r="J715" s="17"/>
      <c r="K715" s="18"/>
      <c r="L715" s="18"/>
      <c r="M715" s="17"/>
      <c r="N715" s="17"/>
      <c r="O715" s="17"/>
      <c r="P715" s="17"/>
      <c r="Q715" s="169"/>
      <c r="R715" s="24"/>
      <c r="S715" s="24"/>
      <c r="T715" s="24"/>
      <c r="U715" s="25"/>
      <c r="V715" s="25"/>
      <c r="W715" s="25"/>
      <c r="X715" s="24"/>
      <c r="Y715" s="24"/>
      <c r="Z715" s="24"/>
      <c r="AA715" s="24"/>
      <c r="AB715" s="24"/>
      <c r="AC715" s="24"/>
      <c r="AD715" s="361">
        <f t="shared" si="160"/>
        <v>0</v>
      </c>
      <c r="AE715" s="359" t="str">
        <f t="shared" si="163"/>
        <v/>
      </c>
      <c r="AF715" s="359" t="str">
        <f t="shared" si="172"/>
        <v/>
      </c>
      <c r="AG715" s="359" t="str">
        <f t="shared" si="164"/>
        <v/>
      </c>
      <c r="AH715" s="359" t="str">
        <f t="shared" si="165"/>
        <v/>
      </c>
      <c r="AI715" s="359" t="str">
        <f t="shared" si="166"/>
        <v/>
      </c>
      <c r="AJ715" s="359" t="str">
        <f t="shared" si="167"/>
        <v/>
      </c>
      <c r="AK715" s="359" t="str">
        <f t="shared" si="169"/>
        <v/>
      </c>
      <c r="AL715" s="359" t="str">
        <f t="shared" si="168"/>
        <v/>
      </c>
      <c r="AM715" s="359" t="str">
        <f t="shared" si="170"/>
        <v/>
      </c>
      <c r="AN715" s="262">
        <f t="shared" si="173"/>
        <v>0</v>
      </c>
      <c r="AO715" s="262" t="str">
        <f>IFERROR(HLOOKUP(AN715,'Ref Lists'!Q$1:AL$2,2,FALSE),'Ref Lists'!$AK$2)</f>
        <v>Savings21</v>
      </c>
      <c r="AP715" s="38"/>
      <c r="AQ715" s="38">
        <f t="shared" si="162"/>
        <v>0</v>
      </c>
      <c r="AR715" s="38"/>
      <c r="AS715" s="38"/>
      <c r="AT715" s="38"/>
      <c r="AU715" s="38"/>
      <c r="AV715" s="38"/>
      <c r="AW715" s="38"/>
      <c r="AX715" s="38"/>
      <c r="AY715" s="38"/>
      <c r="AZ715" s="38"/>
      <c r="BA715" s="38"/>
      <c r="BB715" s="38"/>
      <c r="BC715" s="38"/>
      <c r="BD715" s="38"/>
      <c r="BE715" s="38"/>
      <c r="BF715" s="38"/>
      <c r="BG715" s="38"/>
      <c r="BH715" s="38"/>
      <c r="BI715" s="38"/>
      <c r="BJ715" s="38"/>
      <c r="BK715" s="38"/>
      <c r="BL715" s="38"/>
      <c r="BM715" s="38"/>
      <c r="BN715" s="38"/>
      <c r="BO715" s="38"/>
      <c r="BP715" s="38"/>
      <c r="BQ715" s="38"/>
      <c r="BR715" s="38"/>
      <c r="BS715" s="38"/>
      <c r="BT715" s="38"/>
      <c r="BU715" s="38"/>
      <c r="BV715" s="38"/>
      <c r="BW715" s="38"/>
      <c r="BX715" s="38"/>
      <c r="BY715" s="38"/>
      <c r="BZ715" s="38"/>
      <c r="CA715" s="38"/>
      <c r="CB715" s="38"/>
      <c r="CC715" s="38"/>
      <c r="CD715" s="38"/>
      <c r="CE715" s="38"/>
      <c r="CF715" s="38"/>
      <c r="CG715" s="38"/>
      <c r="CH715" s="38"/>
      <c r="CI715" s="38"/>
      <c r="CJ715" s="38"/>
      <c r="CK715" s="38"/>
      <c r="CL715" s="38"/>
      <c r="CM715" s="38"/>
      <c r="CN715" s="38"/>
      <c r="CO715" s="38"/>
      <c r="CP715" s="38"/>
      <c r="CQ715" s="38"/>
      <c r="CR715" s="38"/>
      <c r="CS715" s="38"/>
      <c r="CT715" s="38"/>
      <c r="CU715" s="38"/>
      <c r="CV715" s="38"/>
      <c r="CW715" s="38"/>
      <c r="CX715" s="38"/>
      <c r="CY715" s="38"/>
      <c r="CZ715" s="38"/>
    </row>
    <row r="716" spans="1:104" s="40" customFormat="1" ht="20.149999999999999" customHeight="1">
      <c r="A716" s="358">
        <f t="shared" si="171"/>
        <v>715</v>
      </c>
      <c r="B716" s="359" t="str">
        <f>'Front Sheet and Checklist'!$C$5</f>
        <v>Swansea Bay UHB</v>
      </c>
      <c r="C716" s="17"/>
      <c r="D716" s="17"/>
      <c r="E716" s="17"/>
      <c r="F716" s="17"/>
      <c r="G716" s="17"/>
      <c r="H716" s="17"/>
      <c r="I716" s="361">
        <f t="shared" si="161"/>
        <v>0</v>
      </c>
      <c r="J716" s="17"/>
      <c r="K716" s="18"/>
      <c r="L716" s="18"/>
      <c r="M716" s="17"/>
      <c r="N716" s="17"/>
      <c r="O716" s="17"/>
      <c r="P716" s="17"/>
      <c r="Q716" s="169"/>
      <c r="R716" s="24"/>
      <c r="S716" s="24"/>
      <c r="T716" s="24"/>
      <c r="U716" s="25"/>
      <c r="V716" s="25"/>
      <c r="W716" s="25"/>
      <c r="X716" s="24"/>
      <c r="Y716" s="24"/>
      <c r="Z716" s="24"/>
      <c r="AA716" s="24"/>
      <c r="AB716" s="24"/>
      <c r="AC716" s="24"/>
      <c r="AD716" s="361">
        <f t="shared" si="160"/>
        <v>0</v>
      </c>
      <c r="AE716" s="359" t="str">
        <f t="shared" si="163"/>
        <v/>
      </c>
      <c r="AF716" s="359" t="str">
        <f t="shared" si="172"/>
        <v/>
      </c>
      <c r="AG716" s="359" t="str">
        <f t="shared" si="164"/>
        <v/>
      </c>
      <c r="AH716" s="359" t="str">
        <f t="shared" si="165"/>
        <v/>
      </c>
      <c r="AI716" s="359" t="str">
        <f t="shared" si="166"/>
        <v/>
      </c>
      <c r="AJ716" s="359" t="str">
        <f t="shared" si="167"/>
        <v/>
      </c>
      <c r="AK716" s="359" t="str">
        <f t="shared" si="169"/>
        <v/>
      </c>
      <c r="AL716" s="359" t="str">
        <f t="shared" si="168"/>
        <v/>
      </c>
      <c r="AM716" s="359" t="str">
        <f t="shared" si="170"/>
        <v/>
      </c>
      <c r="AN716" s="262">
        <f t="shared" si="173"/>
        <v>0</v>
      </c>
      <c r="AO716" s="262" t="str">
        <f>IFERROR(HLOOKUP(AN716,'Ref Lists'!Q$1:AL$2,2,FALSE),'Ref Lists'!$AK$2)</f>
        <v>Savings21</v>
      </c>
      <c r="AP716" s="38"/>
      <c r="AQ716" s="38">
        <f t="shared" si="162"/>
        <v>0</v>
      </c>
      <c r="AR716" s="38"/>
      <c r="AS716" s="38"/>
      <c r="AT716" s="38"/>
      <c r="AU716" s="38"/>
      <c r="AV716" s="38"/>
      <c r="AW716" s="38"/>
      <c r="AX716" s="38"/>
      <c r="AY716" s="38"/>
      <c r="AZ716" s="38"/>
      <c r="BA716" s="38"/>
      <c r="BB716" s="38"/>
      <c r="BC716" s="38"/>
      <c r="BD716" s="38"/>
      <c r="BE716" s="38"/>
      <c r="BF716" s="38"/>
      <c r="BG716" s="38"/>
      <c r="BH716" s="38"/>
      <c r="BI716" s="38"/>
      <c r="BJ716" s="38"/>
      <c r="BK716" s="38"/>
      <c r="BL716" s="38"/>
      <c r="BM716" s="38"/>
      <c r="BN716" s="38"/>
      <c r="BO716" s="38"/>
      <c r="BP716" s="38"/>
      <c r="BQ716" s="38"/>
      <c r="BR716" s="38"/>
      <c r="BS716" s="38"/>
      <c r="BT716" s="38"/>
      <c r="BU716" s="38"/>
      <c r="BV716" s="38"/>
      <c r="BW716" s="38"/>
      <c r="BX716" s="38"/>
      <c r="BY716" s="38"/>
      <c r="BZ716" s="38"/>
      <c r="CA716" s="38"/>
      <c r="CB716" s="38"/>
      <c r="CC716" s="38"/>
      <c r="CD716" s="38"/>
      <c r="CE716" s="38"/>
      <c r="CF716" s="38"/>
      <c r="CG716" s="38"/>
      <c r="CH716" s="38"/>
      <c r="CI716" s="38"/>
      <c r="CJ716" s="38"/>
      <c r="CK716" s="38"/>
      <c r="CL716" s="38"/>
      <c r="CM716" s="38"/>
      <c r="CN716" s="38"/>
      <c r="CO716" s="38"/>
      <c r="CP716" s="38"/>
      <c r="CQ716" s="38"/>
      <c r="CR716" s="38"/>
      <c r="CS716" s="38"/>
      <c r="CT716" s="38"/>
      <c r="CU716" s="38"/>
      <c r="CV716" s="38"/>
      <c r="CW716" s="38"/>
      <c r="CX716" s="38"/>
      <c r="CY716" s="38"/>
      <c r="CZ716" s="38"/>
    </row>
    <row r="717" spans="1:104" s="40" customFormat="1" ht="20.149999999999999" customHeight="1">
      <c r="A717" s="358">
        <f t="shared" si="171"/>
        <v>716</v>
      </c>
      <c r="B717" s="359" t="str">
        <f>'Front Sheet and Checklist'!$C$5</f>
        <v>Swansea Bay UHB</v>
      </c>
      <c r="C717" s="17"/>
      <c r="D717" s="17"/>
      <c r="E717" s="17"/>
      <c r="F717" s="17"/>
      <c r="G717" s="17"/>
      <c r="H717" s="17"/>
      <c r="I717" s="361">
        <f t="shared" si="161"/>
        <v>0</v>
      </c>
      <c r="J717" s="17"/>
      <c r="K717" s="18"/>
      <c r="L717" s="18"/>
      <c r="M717" s="17"/>
      <c r="N717" s="17"/>
      <c r="O717" s="17"/>
      <c r="P717" s="17"/>
      <c r="Q717" s="169"/>
      <c r="R717" s="24"/>
      <c r="S717" s="24"/>
      <c r="T717" s="24"/>
      <c r="U717" s="25"/>
      <c r="V717" s="25"/>
      <c r="W717" s="25"/>
      <c r="X717" s="24"/>
      <c r="Y717" s="24"/>
      <c r="Z717" s="24"/>
      <c r="AA717" s="24"/>
      <c r="AB717" s="24"/>
      <c r="AC717" s="24"/>
      <c r="AD717" s="361">
        <f t="shared" si="160"/>
        <v>0</v>
      </c>
      <c r="AE717" s="359" t="str">
        <f t="shared" si="163"/>
        <v/>
      </c>
      <c r="AF717" s="359" t="str">
        <f t="shared" si="172"/>
        <v/>
      </c>
      <c r="AG717" s="359" t="str">
        <f t="shared" si="164"/>
        <v/>
      </c>
      <c r="AH717" s="359" t="str">
        <f t="shared" si="165"/>
        <v/>
      </c>
      <c r="AI717" s="359" t="str">
        <f t="shared" si="166"/>
        <v/>
      </c>
      <c r="AJ717" s="359" t="str">
        <f t="shared" si="167"/>
        <v/>
      </c>
      <c r="AK717" s="359" t="str">
        <f t="shared" si="169"/>
        <v/>
      </c>
      <c r="AL717" s="359" t="str">
        <f t="shared" si="168"/>
        <v/>
      </c>
      <c r="AM717" s="359" t="str">
        <f t="shared" si="170"/>
        <v/>
      </c>
      <c r="AN717" s="262">
        <f t="shared" si="173"/>
        <v>0</v>
      </c>
      <c r="AO717" s="262" t="str">
        <f>IFERROR(HLOOKUP(AN717,'Ref Lists'!Q$1:AL$2,2,FALSE),'Ref Lists'!$AK$2)</f>
        <v>Savings21</v>
      </c>
      <c r="AP717" s="38"/>
      <c r="AQ717" s="38">
        <f t="shared" si="162"/>
        <v>0</v>
      </c>
      <c r="AR717" s="38"/>
      <c r="AS717" s="38"/>
      <c r="AT717" s="38"/>
      <c r="AU717" s="38"/>
      <c r="AV717" s="38"/>
      <c r="AW717" s="38"/>
      <c r="AX717" s="38"/>
      <c r="AY717" s="38"/>
      <c r="AZ717" s="38"/>
      <c r="BA717" s="38"/>
      <c r="BB717" s="38"/>
      <c r="BC717" s="38"/>
      <c r="BD717" s="38"/>
      <c r="BE717" s="38"/>
      <c r="BF717" s="38"/>
      <c r="BG717" s="38"/>
      <c r="BH717" s="38"/>
      <c r="BI717" s="38"/>
      <c r="BJ717" s="38"/>
      <c r="BK717" s="38"/>
      <c r="BL717" s="38"/>
      <c r="BM717" s="38"/>
      <c r="BN717" s="38"/>
      <c r="BO717" s="38"/>
      <c r="BP717" s="38"/>
      <c r="BQ717" s="38"/>
      <c r="BR717" s="38"/>
      <c r="BS717" s="38"/>
      <c r="BT717" s="38"/>
      <c r="BU717" s="38"/>
      <c r="BV717" s="38"/>
      <c r="BW717" s="38"/>
      <c r="BX717" s="38"/>
      <c r="BY717" s="38"/>
      <c r="BZ717" s="38"/>
      <c r="CA717" s="38"/>
      <c r="CB717" s="38"/>
      <c r="CC717" s="38"/>
      <c r="CD717" s="38"/>
      <c r="CE717" s="38"/>
      <c r="CF717" s="38"/>
      <c r="CG717" s="38"/>
      <c r="CH717" s="38"/>
      <c r="CI717" s="38"/>
      <c r="CJ717" s="38"/>
      <c r="CK717" s="38"/>
      <c r="CL717" s="38"/>
      <c r="CM717" s="38"/>
      <c r="CN717" s="38"/>
      <c r="CO717" s="38"/>
      <c r="CP717" s="38"/>
      <c r="CQ717" s="38"/>
      <c r="CR717" s="38"/>
      <c r="CS717" s="38"/>
      <c r="CT717" s="38"/>
      <c r="CU717" s="38"/>
      <c r="CV717" s="38"/>
      <c r="CW717" s="38"/>
      <c r="CX717" s="38"/>
      <c r="CY717" s="38"/>
      <c r="CZ717" s="38"/>
    </row>
    <row r="718" spans="1:104" s="40" customFormat="1" ht="20.149999999999999" customHeight="1">
      <c r="A718" s="358">
        <f t="shared" si="171"/>
        <v>717</v>
      </c>
      <c r="B718" s="359" t="str">
        <f>'Front Sheet and Checklist'!$C$5</f>
        <v>Swansea Bay UHB</v>
      </c>
      <c r="C718" s="17"/>
      <c r="D718" s="17"/>
      <c r="E718" s="17"/>
      <c r="F718" s="17"/>
      <c r="G718" s="17"/>
      <c r="H718" s="17"/>
      <c r="I718" s="361">
        <f t="shared" si="161"/>
        <v>0</v>
      </c>
      <c r="J718" s="17"/>
      <c r="K718" s="18"/>
      <c r="L718" s="18"/>
      <c r="M718" s="17"/>
      <c r="N718" s="17"/>
      <c r="O718" s="17"/>
      <c r="P718" s="17"/>
      <c r="Q718" s="169"/>
      <c r="R718" s="24"/>
      <c r="S718" s="24"/>
      <c r="T718" s="24"/>
      <c r="U718" s="25"/>
      <c r="V718" s="25"/>
      <c r="W718" s="25"/>
      <c r="X718" s="24"/>
      <c r="Y718" s="24"/>
      <c r="Z718" s="24"/>
      <c r="AA718" s="24"/>
      <c r="AB718" s="24"/>
      <c r="AC718" s="24"/>
      <c r="AD718" s="361">
        <f t="shared" si="160"/>
        <v>0</v>
      </c>
      <c r="AE718" s="359" t="str">
        <f t="shared" si="163"/>
        <v/>
      </c>
      <c r="AF718" s="359" t="str">
        <f t="shared" si="172"/>
        <v/>
      </c>
      <c r="AG718" s="359" t="str">
        <f t="shared" si="164"/>
        <v/>
      </c>
      <c r="AH718" s="359" t="str">
        <f t="shared" si="165"/>
        <v/>
      </c>
      <c r="AI718" s="359" t="str">
        <f t="shared" si="166"/>
        <v/>
      </c>
      <c r="AJ718" s="359" t="str">
        <f t="shared" si="167"/>
        <v/>
      </c>
      <c r="AK718" s="359" t="str">
        <f t="shared" si="169"/>
        <v/>
      </c>
      <c r="AL718" s="359" t="str">
        <f t="shared" si="168"/>
        <v/>
      </c>
      <c r="AM718" s="359" t="str">
        <f t="shared" si="170"/>
        <v/>
      </c>
      <c r="AN718" s="262">
        <f t="shared" si="173"/>
        <v>0</v>
      </c>
      <c r="AO718" s="262" t="str">
        <f>IFERROR(HLOOKUP(AN718,'Ref Lists'!Q$1:AL$2,2,FALSE),'Ref Lists'!$AK$2)</f>
        <v>Savings21</v>
      </c>
      <c r="AP718" s="38"/>
      <c r="AQ718" s="38">
        <f t="shared" si="162"/>
        <v>0</v>
      </c>
      <c r="AR718" s="38"/>
      <c r="AS718" s="38"/>
      <c r="AT718" s="38"/>
      <c r="AU718" s="38"/>
      <c r="AV718" s="38"/>
      <c r="AW718" s="38"/>
      <c r="AX718" s="38"/>
      <c r="AY718" s="38"/>
      <c r="AZ718" s="38"/>
      <c r="BA718" s="38"/>
      <c r="BB718" s="38"/>
      <c r="BC718" s="38"/>
      <c r="BD718" s="38"/>
      <c r="BE718" s="38"/>
      <c r="BF718" s="38"/>
      <c r="BG718" s="38"/>
      <c r="BH718" s="38"/>
      <c r="BI718" s="38"/>
      <c r="BJ718" s="38"/>
      <c r="BK718" s="38"/>
      <c r="BL718" s="38"/>
      <c r="BM718" s="38"/>
      <c r="BN718" s="38"/>
      <c r="BO718" s="38"/>
      <c r="BP718" s="38"/>
      <c r="BQ718" s="38"/>
      <c r="BR718" s="38"/>
      <c r="BS718" s="38"/>
      <c r="BT718" s="38"/>
      <c r="BU718" s="38"/>
      <c r="BV718" s="38"/>
      <c r="BW718" s="38"/>
      <c r="BX718" s="38"/>
      <c r="BY718" s="38"/>
      <c r="BZ718" s="38"/>
      <c r="CA718" s="38"/>
      <c r="CB718" s="38"/>
      <c r="CC718" s="38"/>
      <c r="CD718" s="38"/>
      <c r="CE718" s="38"/>
      <c r="CF718" s="38"/>
      <c r="CG718" s="38"/>
      <c r="CH718" s="38"/>
      <c r="CI718" s="38"/>
      <c r="CJ718" s="38"/>
      <c r="CK718" s="38"/>
      <c r="CL718" s="38"/>
      <c r="CM718" s="38"/>
      <c r="CN718" s="38"/>
      <c r="CO718" s="38"/>
      <c r="CP718" s="38"/>
      <c r="CQ718" s="38"/>
      <c r="CR718" s="38"/>
      <c r="CS718" s="38"/>
      <c r="CT718" s="38"/>
      <c r="CU718" s="38"/>
      <c r="CV718" s="38"/>
      <c r="CW718" s="38"/>
      <c r="CX718" s="38"/>
      <c r="CY718" s="38"/>
      <c r="CZ718" s="38"/>
    </row>
    <row r="719" spans="1:104" s="40" customFormat="1" ht="20.149999999999999" customHeight="1">
      <c r="A719" s="358">
        <f t="shared" si="171"/>
        <v>718</v>
      </c>
      <c r="B719" s="359" t="str">
        <f>'Front Sheet and Checklist'!$C$5</f>
        <v>Swansea Bay UHB</v>
      </c>
      <c r="C719" s="17"/>
      <c r="D719" s="17"/>
      <c r="E719" s="17"/>
      <c r="F719" s="17"/>
      <c r="G719" s="17"/>
      <c r="H719" s="17"/>
      <c r="I719" s="361">
        <f t="shared" si="161"/>
        <v>0</v>
      </c>
      <c r="J719" s="17"/>
      <c r="K719" s="18"/>
      <c r="L719" s="18"/>
      <c r="M719" s="17"/>
      <c r="N719" s="17"/>
      <c r="O719" s="17"/>
      <c r="P719" s="17"/>
      <c r="Q719" s="169"/>
      <c r="R719" s="24"/>
      <c r="S719" s="24"/>
      <c r="T719" s="24"/>
      <c r="U719" s="25"/>
      <c r="V719" s="25"/>
      <c r="W719" s="25"/>
      <c r="X719" s="24"/>
      <c r="Y719" s="24"/>
      <c r="Z719" s="24"/>
      <c r="AA719" s="24"/>
      <c r="AB719" s="24"/>
      <c r="AC719" s="24"/>
      <c r="AD719" s="361">
        <f t="shared" si="160"/>
        <v>0</v>
      </c>
      <c r="AE719" s="359" t="str">
        <f t="shared" si="163"/>
        <v/>
      </c>
      <c r="AF719" s="359" t="str">
        <f t="shared" si="172"/>
        <v/>
      </c>
      <c r="AG719" s="359" t="str">
        <f t="shared" si="164"/>
        <v/>
      </c>
      <c r="AH719" s="359" t="str">
        <f t="shared" si="165"/>
        <v/>
      </c>
      <c r="AI719" s="359" t="str">
        <f t="shared" si="166"/>
        <v/>
      </c>
      <c r="AJ719" s="359" t="str">
        <f t="shared" si="167"/>
        <v/>
      </c>
      <c r="AK719" s="359" t="str">
        <f t="shared" si="169"/>
        <v/>
      </c>
      <c r="AL719" s="359" t="str">
        <f t="shared" si="168"/>
        <v/>
      </c>
      <c r="AM719" s="359" t="str">
        <f t="shared" si="170"/>
        <v/>
      </c>
      <c r="AN719" s="262">
        <f t="shared" si="173"/>
        <v>0</v>
      </c>
      <c r="AO719" s="262" t="str">
        <f>IFERROR(HLOOKUP(AN719,'Ref Lists'!Q$1:AL$2,2,FALSE),'Ref Lists'!$AK$2)</f>
        <v>Savings21</v>
      </c>
      <c r="AP719" s="38"/>
      <c r="AQ719" s="38">
        <f t="shared" si="162"/>
        <v>0</v>
      </c>
      <c r="AR719" s="38"/>
      <c r="AS719" s="38"/>
      <c r="AT719" s="38"/>
      <c r="AU719" s="38"/>
      <c r="AV719" s="38"/>
      <c r="AW719" s="38"/>
      <c r="AX719" s="38"/>
      <c r="AY719" s="38"/>
      <c r="AZ719" s="38"/>
      <c r="BA719" s="38"/>
      <c r="BB719" s="38"/>
      <c r="BC719" s="38"/>
      <c r="BD719" s="38"/>
      <c r="BE719" s="38"/>
      <c r="BF719" s="38"/>
      <c r="BG719" s="38"/>
      <c r="BH719" s="38"/>
      <c r="BI719" s="38"/>
      <c r="BJ719" s="38"/>
      <c r="BK719" s="38"/>
      <c r="BL719" s="38"/>
      <c r="BM719" s="38"/>
      <c r="BN719" s="38"/>
      <c r="BO719" s="38"/>
      <c r="BP719" s="38"/>
      <c r="BQ719" s="38"/>
      <c r="BR719" s="38"/>
      <c r="BS719" s="38"/>
      <c r="BT719" s="38"/>
      <c r="BU719" s="38"/>
      <c r="BV719" s="38"/>
      <c r="BW719" s="38"/>
      <c r="BX719" s="38"/>
      <c r="BY719" s="38"/>
      <c r="BZ719" s="38"/>
      <c r="CA719" s="38"/>
      <c r="CB719" s="38"/>
      <c r="CC719" s="38"/>
      <c r="CD719" s="38"/>
      <c r="CE719" s="38"/>
      <c r="CF719" s="38"/>
      <c r="CG719" s="38"/>
      <c r="CH719" s="38"/>
      <c r="CI719" s="38"/>
      <c r="CJ719" s="38"/>
      <c r="CK719" s="38"/>
      <c r="CL719" s="38"/>
      <c r="CM719" s="38"/>
      <c r="CN719" s="38"/>
      <c r="CO719" s="38"/>
      <c r="CP719" s="38"/>
      <c r="CQ719" s="38"/>
      <c r="CR719" s="38"/>
      <c r="CS719" s="38"/>
      <c r="CT719" s="38"/>
      <c r="CU719" s="38"/>
      <c r="CV719" s="38"/>
      <c r="CW719" s="38"/>
      <c r="CX719" s="38"/>
      <c r="CY719" s="38"/>
      <c r="CZ719" s="38"/>
    </row>
    <row r="720" spans="1:104" s="40" customFormat="1" ht="20.149999999999999" customHeight="1">
      <c r="A720" s="358">
        <f t="shared" si="171"/>
        <v>719</v>
      </c>
      <c r="B720" s="359" t="str">
        <f>'Front Sheet and Checklist'!$C$5</f>
        <v>Swansea Bay UHB</v>
      </c>
      <c r="C720" s="17"/>
      <c r="D720" s="17"/>
      <c r="E720" s="17"/>
      <c r="F720" s="17"/>
      <c r="G720" s="17"/>
      <c r="H720" s="17"/>
      <c r="I720" s="361">
        <f t="shared" si="161"/>
        <v>0</v>
      </c>
      <c r="J720" s="17"/>
      <c r="K720" s="18"/>
      <c r="L720" s="18"/>
      <c r="M720" s="17"/>
      <c r="N720" s="17"/>
      <c r="O720" s="17"/>
      <c r="P720" s="17"/>
      <c r="Q720" s="169"/>
      <c r="R720" s="24"/>
      <c r="S720" s="24"/>
      <c r="T720" s="24"/>
      <c r="U720" s="25"/>
      <c r="V720" s="25"/>
      <c r="W720" s="25"/>
      <c r="X720" s="24"/>
      <c r="Y720" s="24"/>
      <c r="Z720" s="24"/>
      <c r="AA720" s="24"/>
      <c r="AB720" s="24"/>
      <c r="AC720" s="24"/>
      <c r="AD720" s="361">
        <f t="shared" si="160"/>
        <v>0</v>
      </c>
      <c r="AE720" s="359" t="str">
        <f t="shared" si="163"/>
        <v/>
      </c>
      <c r="AF720" s="359" t="str">
        <f t="shared" si="172"/>
        <v/>
      </c>
      <c r="AG720" s="359" t="str">
        <f t="shared" si="164"/>
        <v/>
      </c>
      <c r="AH720" s="359" t="str">
        <f t="shared" si="165"/>
        <v/>
      </c>
      <c r="AI720" s="359" t="str">
        <f t="shared" si="166"/>
        <v/>
      </c>
      <c r="AJ720" s="359" t="str">
        <f t="shared" si="167"/>
        <v/>
      </c>
      <c r="AK720" s="359" t="str">
        <f t="shared" si="169"/>
        <v/>
      </c>
      <c r="AL720" s="359" t="str">
        <f t="shared" si="168"/>
        <v/>
      </c>
      <c r="AM720" s="359" t="str">
        <f t="shared" si="170"/>
        <v/>
      </c>
      <c r="AN720" s="262">
        <f t="shared" si="173"/>
        <v>0</v>
      </c>
      <c r="AO720" s="262" t="str">
        <f>IFERROR(HLOOKUP(AN720,'Ref Lists'!Q$1:AL$2,2,FALSE),'Ref Lists'!$AK$2)</f>
        <v>Savings21</v>
      </c>
      <c r="AP720" s="38"/>
      <c r="AQ720" s="38">
        <f t="shared" si="162"/>
        <v>0</v>
      </c>
      <c r="AR720" s="38"/>
      <c r="AS720" s="38"/>
      <c r="AT720" s="38"/>
      <c r="AU720" s="38"/>
      <c r="AV720" s="38"/>
      <c r="AW720" s="38"/>
      <c r="AX720" s="38"/>
      <c r="AY720" s="38"/>
      <c r="AZ720" s="38"/>
      <c r="BA720" s="38"/>
      <c r="BB720" s="38"/>
      <c r="BC720" s="38"/>
      <c r="BD720" s="38"/>
      <c r="BE720" s="38"/>
      <c r="BF720" s="38"/>
      <c r="BG720" s="38"/>
      <c r="BH720" s="38"/>
      <c r="BI720" s="38"/>
      <c r="BJ720" s="38"/>
      <c r="BK720" s="38"/>
      <c r="BL720" s="38"/>
      <c r="BM720" s="38"/>
      <c r="BN720" s="38"/>
      <c r="BO720" s="38"/>
      <c r="BP720" s="38"/>
      <c r="BQ720" s="38"/>
      <c r="BR720" s="38"/>
      <c r="BS720" s="38"/>
      <c r="BT720" s="38"/>
      <c r="BU720" s="38"/>
      <c r="BV720" s="38"/>
      <c r="BW720" s="38"/>
      <c r="BX720" s="38"/>
      <c r="BY720" s="38"/>
      <c r="BZ720" s="38"/>
      <c r="CA720" s="38"/>
      <c r="CB720" s="38"/>
      <c r="CC720" s="38"/>
      <c r="CD720" s="38"/>
      <c r="CE720" s="38"/>
      <c r="CF720" s="38"/>
      <c r="CG720" s="38"/>
      <c r="CH720" s="38"/>
      <c r="CI720" s="38"/>
      <c r="CJ720" s="38"/>
      <c r="CK720" s="38"/>
      <c r="CL720" s="38"/>
      <c r="CM720" s="38"/>
      <c r="CN720" s="38"/>
      <c r="CO720" s="38"/>
      <c r="CP720" s="38"/>
      <c r="CQ720" s="38"/>
      <c r="CR720" s="38"/>
      <c r="CS720" s="38"/>
      <c r="CT720" s="38"/>
      <c r="CU720" s="38"/>
      <c r="CV720" s="38"/>
      <c r="CW720" s="38"/>
      <c r="CX720" s="38"/>
      <c r="CY720" s="38"/>
      <c r="CZ720" s="38"/>
    </row>
    <row r="721" spans="1:104" s="40" customFormat="1" ht="20.149999999999999" customHeight="1">
      <c r="A721" s="358">
        <f t="shared" si="171"/>
        <v>720</v>
      </c>
      <c r="B721" s="359" t="str">
        <f>'Front Sheet and Checklist'!$C$5</f>
        <v>Swansea Bay UHB</v>
      </c>
      <c r="C721" s="17"/>
      <c r="D721" s="17"/>
      <c r="E721" s="17"/>
      <c r="F721" s="17"/>
      <c r="G721" s="17"/>
      <c r="H721" s="17"/>
      <c r="I721" s="361">
        <f t="shared" si="161"/>
        <v>0</v>
      </c>
      <c r="J721" s="17"/>
      <c r="K721" s="18"/>
      <c r="L721" s="18"/>
      <c r="M721" s="17"/>
      <c r="N721" s="17"/>
      <c r="O721" s="17"/>
      <c r="P721" s="17"/>
      <c r="Q721" s="169"/>
      <c r="R721" s="24"/>
      <c r="S721" s="24"/>
      <c r="T721" s="24"/>
      <c r="U721" s="25"/>
      <c r="V721" s="25"/>
      <c r="W721" s="25"/>
      <c r="X721" s="24"/>
      <c r="Y721" s="24"/>
      <c r="Z721" s="24"/>
      <c r="AA721" s="24"/>
      <c r="AB721" s="24"/>
      <c r="AC721" s="24"/>
      <c r="AD721" s="361">
        <f t="shared" si="160"/>
        <v>0</v>
      </c>
      <c r="AE721" s="359" t="str">
        <f t="shared" si="163"/>
        <v/>
      </c>
      <c r="AF721" s="359" t="str">
        <f t="shared" si="172"/>
        <v/>
      </c>
      <c r="AG721" s="359" t="str">
        <f t="shared" si="164"/>
        <v/>
      </c>
      <c r="AH721" s="359" t="str">
        <f t="shared" si="165"/>
        <v/>
      </c>
      <c r="AI721" s="359" t="str">
        <f t="shared" si="166"/>
        <v/>
      </c>
      <c r="AJ721" s="359" t="str">
        <f t="shared" si="167"/>
        <v/>
      </c>
      <c r="AK721" s="359" t="str">
        <f t="shared" si="169"/>
        <v/>
      </c>
      <c r="AL721" s="359" t="str">
        <f t="shared" si="168"/>
        <v/>
      </c>
      <c r="AM721" s="359" t="str">
        <f t="shared" si="170"/>
        <v/>
      </c>
      <c r="AN721" s="262">
        <f t="shared" si="173"/>
        <v>0</v>
      </c>
      <c r="AO721" s="262" t="str">
        <f>IFERROR(HLOOKUP(AN721,'Ref Lists'!Q$1:AL$2,2,FALSE),'Ref Lists'!$AK$2)</f>
        <v>Savings21</v>
      </c>
      <c r="AP721" s="38"/>
      <c r="AQ721" s="38">
        <f t="shared" si="162"/>
        <v>0</v>
      </c>
      <c r="AR721" s="38"/>
      <c r="AS721" s="38"/>
      <c r="AT721" s="38"/>
      <c r="AU721" s="38"/>
      <c r="AV721" s="38"/>
      <c r="AW721" s="38"/>
      <c r="AX721" s="38"/>
      <c r="AY721" s="38"/>
      <c r="AZ721" s="38"/>
      <c r="BA721" s="38"/>
      <c r="BB721" s="38"/>
      <c r="BC721" s="38"/>
      <c r="BD721" s="38"/>
      <c r="BE721" s="38"/>
      <c r="BF721" s="38"/>
      <c r="BG721" s="38"/>
      <c r="BH721" s="38"/>
      <c r="BI721" s="38"/>
      <c r="BJ721" s="38"/>
      <c r="BK721" s="38"/>
      <c r="BL721" s="38"/>
      <c r="BM721" s="38"/>
      <c r="BN721" s="38"/>
      <c r="BO721" s="38"/>
      <c r="BP721" s="38"/>
      <c r="BQ721" s="38"/>
      <c r="BR721" s="38"/>
      <c r="BS721" s="38"/>
      <c r="BT721" s="38"/>
      <c r="BU721" s="38"/>
      <c r="BV721" s="38"/>
      <c r="BW721" s="38"/>
      <c r="BX721" s="38"/>
      <c r="BY721" s="38"/>
      <c r="BZ721" s="38"/>
      <c r="CA721" s="38"/>
      <c r="CB721" s="38"/>
      <c r="CC721" s="38"/>
      <c r="CD721" s="38"/>
      <c r="CE721" s="38"/>
      <c r="CF721" s="38"/>
      <c r="CG721" s="38"/>
      <c r="CH721" s="38"/>
      <c r="CI721" s="38"/>
      <c r="CJ721" s="38"/>
      <c r="CK721" s="38"/>
      <c r="CL721" s="38"/>
      <c r="CM721" s="38"/>
      <c r="CN721" s="38"/>
      <c r="CO721" s="38"/>
      <c r="CP721" s="38"/>
      <c r="CQ721" s="38"/>
      <c r="CR721" s="38"/>
      <c r="CS721" s="38"/>
      <c r="CT721" s="38"/>
      <c r="CU721" s="38"/>
      <c r="CV721" s="38"/>
      <c r="CW721" s="38"/>
      <c r="CX721" s="38"/>
      <c r="CY721" s="38"/>
      <c r="CZ721" s="38"/>
    </row>
    <row r="722" spans="1:104" s="40" customFormat="1" ht="20.149999999999999" customHeight="1">
      <c r="A722" s="358">
        <f t="shared" si="171"/>
        <v>721</v>
      </c>
      <c r="B722" s="359" t="str">
        <f>'Front Sheet and Checklist'!$C$5</f>
        <v>Swansea Bay UHB</v>
      </c>
      <c r="C722" s="17"/>
      <c r="D722" s="17"/>
      <c r="E722" s="17"/>
      <c r="F722" s="17"/>
      <c r="G722" s="17"/>
      <c r="H722" s="17"/>
      <c r="I722" s="361">
        <f t="shared" si="161"/>
        <v>0</v>
      </c>
      <c r="J722" s="17"/>
      <c r="K722" s="18"/>
      <c r="L722" s="18"/>
      <c r="M722" s="17"/>
      <c r="N722" s="17"/>
      <c r="O722" s="17"/>
      <c r="P722" s="17"/>
      <c r="Q722" s="169"/>
      <c r="R722" s="24"/>
      <c r="S722" s="24"/>
      <c r="T722" s="24"/>
      <c r="U722" s="25"/>
      <c r="V722" s="25"/>
      <c r="W722" s="25"/>
      <c r="X722" s="24"/>
      <c r="Y722" s="24"/>
      <c r="Z722" s="24"/>
      <c r="AA722" s="24"/>
      <c r="AB722" s="24"/>
      <c r="AC722" s="24"/>
      <c r="AD722" s="361">
        <f t="shared" si="160"/>
        <v>0</v>
      </c>
      <c r="AE722" s="359" t="str">
        <f t="shared" si="163"/>
        <v/>
      </c>
      <c r="AF722" s="359" t="str">
        <f t="shared" si="172"/>
        <v/>
      </c>
      <c r="AG722" s="359" t="str">
        <f t="shared" si="164"/>
        <v/>
      </c>
      <c r="AH722" s="359" t="str">
        <f t="shared" si="165"/>
        <v/>
      </c>
      <c r="AI722" s="359" t="str">
        <f t="shared" si="166"/>
        <v/>
      </c>
      <c r="AJ722" s="359" t="str">
        <f t="shared" si="167"/>
        <v/>
      </c>
      <c r="AK722" s="359" t="str">
        <f t="shared" si="169"/>
        <v/>
      </c>
      <c r="AL722" s="359" t="str">
        <f t="shared" si="168"/>
        <v/>
      </c>
      <c r="AM722" s="359" t="str">
        <f t="shared" si="170"/>
        <v/>
      </c>
      <c r="AN722" s="262">
        <f t="shared" si="173"/>
        <v>0</v>
      </c>
      <c r="AO722" s="262" t="str">
        <f>IFERROR(HLOOKUP(AN722,'Ref Lists'!Q$1:AL$2,2,FALSE),'Ref Lists'!$AK$2)</f>
        <v>Savings21</v>
      </c>
      <c r="AP722" s="38"/>
      <c r="AQ722" s="38">
        <f t="shared" si="162"/>
        <v>0</v>
      </c>
      <c r="AR722" s="38"/>
      <c r="AS722" s="38"/>
      <c r="AT722" s="38"/>
      <c r="AU722" s="38"/>
      <c r="AV722" s="38"/>
      <c r="AW722" s="38"/>
      <c r="AX722" s="38"/>
      <c r="AY722" s="38"/>
      <c r="AZ722" s="38"/>
      <c r="BA722" s="38"/>
      <c r="BB722" s="38"/>
      <c r="BC722" s="38"/>
      <c r="BD722" s="38"/>
      <c r="BE722" s="38"/>
      <c r="BF722" s="38"/>
      <c r="BG722" s="38"/>
      <c r="BH722" s="38"/>
      <c r="BI722" s="38"/>
      <c r="BJ722" s="38"/>
      <c r="BK722" s="38"/>
      <c r="BL722" s="38"/>
      <c r="BM722" s="38"/>
      <c r="BN722" s="38"/>
      <c r="BO722" s="38"/>
      <c r="BP722" s="38"/>
      <c r="BQ722" s="38"/>
      <c r="BR722" s="38"/>
      <c r="BS722" s="38"/>
      <c r="BT722" s="38"/>
      <c r="BU722" s="38"/>
      <c r="BV722" s="38"/>
      <c r="BW722" s="38"/>
      <c r="BX722" s="38"/>
      <c r="BY722" s="38"/>
      <c r="BZ722" s="38"/>
      <c r="CA722" s="38"/>
      <c r="CB722" s="38"/>
      <c r="CC722" s="38"/>
      <c r="CD722" s="38"/>
      <c r="CE722" s="38"/>
      <c r="CF722" s="38"/>
      <c r="CG722" s="38"/>
      <c r="CH722" s="38"/>
      <c r="CI722" s="38"/>
      <c r="CJ722" s="38"/>
      <c r="CK722" s="38"/>
      <c r="CL722" s="38"/>
      <c r="CM722" s="38"/>
      <c r="CN722" s="38"/>
      <c r="CO722" s="38"/>
      <c r="CP722" s="38"/>
      <c r="CQ722" s="38"/>
      <c r="CR722" s="38"/>
      <c r="CS722" s="38"/>
      <c r="CT722" s="38"/>
      <c r="CU722" s="38"/>
      <c r="CV722" s="38"/>
      <c r="CW722" s="38"/>
      <c r="CX722" s="38"/>
      <c r="CY722" s="38"/>
      <c r="CZ722" s="38"/>
    </row>
    <row r="723" spans="1:104" s="40" customFormat="1" ht="20.149999999999999" customHeight="1">
      <c r="A723" s="358">
        <f t="shared" si="171"/>
        <v>722</v>
      </c>
      <c r="B723" s="359" t="str">
        <f>'Front Sheet and Checklist'!$C$5</f>
        <v>Swansea Bay UHB</v>
      </c>
      <c r="C723" s="17"/>
      <c r="D723" s="17"/>
      <c r="E723" s="17"/>
      <c r="F723" s="17"/>
      <c r="G723" s="17"/>
      <c r="H723" s="17"/>
      <c r="I723" s="361">
        <f t="shared" si="161"/>
        <v>0</v>
      </c>
      <c r="J723" s="17"/>
      <c r="K723" s="18"/>
      <c r="L723" s="18"/>
      <c r="M723" s="17"/>
      <c r="N723" s="17"/>
      <c r="O723" s="17"/>
      <c r="P723" s="17"/>
      <c r="Q723" s="169"/>
      <c r="R723" s="24"/>
      <c r="S723" s="24"/>
      <c r="T723" s="24"/>
      <c r="U723" s="25"/>
      <c r="V723" s="25"/>
      <c r="W723" s="25"/>
      <c r="X723" s="24"/>
      <c r="Y723" s="24"/>
      <c r="Z723" s="24"/>
      <c r="AA723" s="24"/>
      <c r="AB723" s="24"/>
      <c r="AC723" s="24"/>
      <c r="AD723" s="361">
        <f t="shared" si="160"/>
        <v>0</v>
      </c>
      <c r="AE723" s="359" t="str">
        <f t="shared" si="163"/>
        <v/>
      </c>
      <c r="AF723" s="359" t="str">
        <f t="shared" si="172"/>
        <v/>
      </c>
      <c r="AG723" s="359" t="str">
        <f t="shared" si="164"/>
        <v/>
      </c>
      <c r="AH723" s="359" t="str">
        <f t="shared" si="165"/>
        <v/>
      </c>
      <c r="AI723" s="359" t="str">
        <f t="shared" si="166"/>
        <v/>
      </c>
      <c r="AJ723" s="359" t="str">
        <f t="shared" si="167"/>
        <v/>
      </c>
      <c r="AK723" s="359" t="str">
        <f t="shared" si="169"/>
        <v/>
      </c>
      <c r="AL723" s="359" t="str">
        <f t="shared" si="168"/>
        <v/>
      </c>
      <c r="AM723" s="359" t="str">
        <f t="shared" si="170"/>
        <v/>
      </c>
      <c r="AN723" s="262">
        <f t="shared" si="173"/>
        <v>0</v>
      </c>
      <c r="AO723" s="262" t="str">
        <f>IFERROR(HLOOKUP(AN723,'Ref Lists'!Q$1:AL$2,2,FALSE),'Ref Lists'!$AK$2)</f>
        <v>Savings21</v>
      </c>
      <c r="AP723" s="38"/>
      <c r="AQ723" s="38">
        <f t="shared" si="162"/>
        <v>0</v>
      </c>
      <c r="AR723" s="38"/>
      <c r="AS723" s="38"/>
      <c r="AT723" s="38"/>
      <c r="AU723" s="38"/>
      <c r="AV723" s="38"/>
      <c r="AW723" s="38"/>
      <c r="AX723" s="38"/>
      <c r="AY723" s="38"/>
      <c r="AZ723" s="38"/>
      <c r="BA723" s="38"/>
      <c r="BB723" s="38"/>
      <c r="BC723" s="38"/>
      <c r="BD723" s="38"/>
      <c r="BE723" s="38"/>
      <c r="BF723" s="38"/>
      <c r="BG723" s="38"/>
      <c r="BH723" s="38"/>
      <c r="BI723" s="38"/>
      <c r="BJ723" s="38"/>
      <c r="BK723" s="38"/>
      <c r="BL723" s="38"/>
      <c r="BM723" s="38"/>
      <c r="BN723" s="38"/>
      <c r="BO723" s="38"/>
      <c r="BP723" s="38"/>
      <c r="BQ723" s="38"/>
      <c r="BR723" s="38"/>
      <c r="BS723" s="38"/>
      <c r="BT723" s="38"/>
      <c r="BU723" s="38"/>
      <c r="BV723" s="38"/>
      <c r="BW723" s="38"/>
      <c r="BX723" s="38"/>
      <c r="BY723" s="38"/>
      <c r="BZ723" s="38"/>
      <c r="CA723" s="38"/>
      <c r="CB723" s="38"/>
      <c r="CC723" s="38"/>
      <c r="CD723" s="38"/>
      <c r="CE723" s="38"/>
      <c r="CF723" s="38"/>
      <c r="CG723" s="38"/>
      <c r="CH723" s="38"/>
      <c r="CI723" s="38"/>
      <c r="CJ723" s="38"/>
      <c r="CK723" s="38"/>
      <c r="CL723" s="38"/>
      <c r="CM723" s="38"/>
      <c r="CN723" s="38"/>
      <c r="CO723" s="38"/>
      <c r="CP723" s="38"/>
      <c r="CQ723" s="38"/>
      <c r="CR723" s="38"/>
      <c r="CS723" s="38"/>
      <c r="CT723" s="38"/>
      <c r="CU723" s="38"/>
      <c r="CV723" s="38"/>
      <c r="CW723" s="38"/>
      <c r="CX723" s="38"/>
      <c r="CY723" s="38"/>
      <c r="CZ723" s="38"/>
    </row>
    <row r="724" spans="1:104" s="40" customFormat="1" ht="20.149999999999999" customHeight="1">
      <c r="A724" s="358">
        <f t="shared" si="171"/>
        <v>723</v>
      </c>
      <c r="B724" s="359" t="str">
        <f>'Front Sheet and Checklist'!$C$5</f>
        <v>Swansea Bay UHB</v>
      </c>
      <c r="C724" s="17"/>
      <c r="D724" s="17"/>
      <c r="E724" s="17"/>
      <c r="F724" s="17"/>
      <c r="G724" s="17"/>
      <c r="H724" s="17"/>
      <c r="I724" s="361">
        <f t="shared" si="161"/>
        <v>0</v>
      </c>
      <c r="J724" s="17"/>
      <c r="K724" s="18"/>
      <c r="L724" s="18"/>
      <c r="M724" s="17"/>
      <c r="N724" s="17"/>
      <c r="O724" s="17"/>
      <c r="P724" s="17"/>
      <c r="Q724" s="169"/>
      <c r="R724" s="24"/>
      <c r="S724" s="24"/>
      <c r="T724" s="24"/>
      <c r="U724" s="25"/>
      <c r="V724" s="25"/>
      <c r="W724" s="25"/>
      <c r="X724" s="24"/>
      <c r="Y724" s="24"/>
      <c r="Z724" s="24"/>
      <c r="AA724" s="24"/>
      <c r="AB724" s="24"/>
      <c r="AC724" s="24"/>
      <c r="AD724" s="361">
        <f t="shared" si="160"/>
        <v>0</v>
      </c>
      <c r="AE724" s="359" t="str">
        <f t="shared" si="163"/>
        <v/>
      </c>
      <c r="AF724" s="359" t="str">
        <f t="shared" si="172"/>
        <v/>
      </c>
      <c r="AG724" s="359" t="str">
        <f t="shared" si="164"/>
        <v/>
      </c>
      <c r="AH724" s="359" t="str">
        <f t="shared" si="165"/>
        <v/>
      </c>
      <c r="AI724" s="359" t="str">
        <f t="shared" si="166"/>
        <v/>
      </c>
      <c r="AJ724" s="359" t="str">
        <f t="shared" si="167"/>
        <v/>
      </c>
      <c r="AK724" s="359" t="str">
        <f t="shared" si="169"/>
        <v/>
      </c>
      <c r="AL724" s="359" t="str">
        <f t="shared" si="168"/>
        <v/>
      </c>
      <c r="AM724" s="359" t="str">
        <f t="shared" si="170"/>
        <v/>
      </c>
      <c r="AN724" s="262">
        <f t="shared" si="173"/>
        <v>0</v>
      </c>
      <c r="AO724" s="262" t="str">
        <f>IFERROR(HLOOKUP(AN724,'Ref Lists'!Q$1:AL$2,2,FALSE),'Ref Lists'!$AK$2)</f>
        <v>Savings21</v>
      </c>
      <c r="AP724" s="38"/>
      <c r="AQ724" s="38">
        <f t="shared" si="162"/>
        <v>0</v>
      </c>
      <c r="AR724" s="38"/>
      <c r="AS724" s="38"/>
      <c r="AT724" s="38"/>
      <c r="AU724" s="38"/>
      <c r="AV724" s="38"/>
      <c r="AW724" s="38"/>
      <c r="AX724" s="38"/>
      <c r="AY724" s="38"/>
      <c r="AZ724" s="38"/>
      <c r="BA724" s="38"/>
      <c r="BB724" s="38"/>
      <c r="BC724" s="38"/>
      <c r="BD724" s="38"/>
      <c r="BE724" s="38"/>
      <c r="BF724" s="38"/>
      <c r="BG724" s="38"/>
      <c r="BH724" s="38"/>
      <c r="BI724" s="38"/>
      <c r="BJ724" s="38"/>
      <c r="BK724" s="38"/>
      <c r="BL724" s="38"/>
      <c r="BM724" s="38"/>
      <c r="BN724" s="38"/>
      <c r="BO724" s="38"/>
      <c r="BP724" s="38"/>
      <c r="BQ724" s="38"/>
      <c r="BR724" s="38"/>
      <c r="BS724" s="38"/>
      <c r="BT724" s="38"/>
      <c r="BU724" s="38"/>
      <c r="BV724" s="38"/>
      <c r="BW724" s="38"/>
      <c r="BX724" s="38"/>
      <c r="BY724" s="38"/>
      <c r="BZ724" s="38"/>
      <c r="CA724" s="38"/>
      <c r="CB724" s="38"/>
      <c r="CC724" s="38"/>
      <c r="CD724" s="38"/>
      <c r="CE724" s="38"/>
      <c r="CF724" s="38"/>
      <c r="CG724" s="38"/>
      <c r="CH724" s="38"/>
      <c r="CI724" s="38"/>
      <c r="CJ724" s="38"/>
      <c r="CK724" s="38"/>
      <c r="CL724" s="38"/>
      <c r="CM724" s="38"/>
      <c r="CN724" s="38"/>
      <c r="CO724" s="38"/>
      <c r="CP724" s="38"/>
      <c r="CQ724" s="38"/>
      <c r="CR724" s="38"/>
      <c r="CS724" s="38"/>
      <c r="CT724" s="38"/>
      <c r="CU724" s="38"/>
      <c r="CV724" s="38"/>
      <c r="CW724" s="38"/>
      <c r="CX724" s="38"/>
      <c r="CY724" s="38"/>
      <c r="CZ724" s="38"/>
    </row>
    <row r="725" spans="1:104" s="40" customFormat="1" ht="20.149999999999999" customHeight="1">
      <c r="A725" s="358">
        <f t="shared" si="171"/>
        <v>724</v>
      </c>
      <c r="B725" s="359" t="str">
        <f>'Front Sheet and Checklist'!$C$5</f>
        <v>Swansea Bay UHB</v>
      </c>
      <c r="C725" s="17"/>
      <c r="D725" s="17"/>
      <c r="E725" s="17"/>
      <c r="F725" s="17"/>
      <c r="G725" s="17"/>
      <c r="H725" s="17"/>
      <c r="I725" s="361">
        <f t="shared" si="161"/>
        <v>0</v>
      </c>
      <c r="J725" s="17"/>
      <c r="K725" s="18"/>
      <c r="L725" s="18"/>
      <c r="M725" s="17"/>
      <c r="N725" s="17"/>
      <c r="O725" s="17"/>
      <c r="P725" s="17"/>
      <c r="Q725" s="169"/>
      <c r="R725" s="24"/>
      <c r="S725" s="24"/>
      <c r="T725" s="24"/>
      <c r="U725" s="25"/>
      <c r="V725" s="25"/>
      <c r="W725" s="25"/>
      <c r="X725" s="24"/>
      <c r="Y725" s="24"/>
      <c r="Z725" s="24"/>
      <c r="AA725" s="24"/>
      <c r="AB725" s="24"/>
      <c r="AC725" s="24"/>
      <c r="AD725" s="361">
        <f t="shared" si="160"/>
        <v>0</v>
      </c>
      <c r="AE725" s="359" t="str">
        <f t="shared" si="163"/>
        <v/>
      </c>
      <c r="AF725" s="359" t="str">
        <f t="shared" si="172"/>
        <v/>
      </c>
      <c r="AG725" s="359" t="str">
        <f t="shared" si="164"/>
        <v/>
      </c>
      <c r="AH725" s="359" t="str">
        <f t="shared" si="165"/>
        <v/>
      </c>
      <c r="AI725" s="359" t="str">
        <f t="shared" si="166"/>
        <v/>
      </c>
      <c r="AJ725" s="359" t="str">
        <f t="shared" si="167"/>
        <v/>
      </c>
      <c r="AK725" s="359" t="str">
        <f t="shared" si="169"/>
        <v/>
      </c>
      <c r="AL725" s="359" t="str">
        <f t="shared" si="168"/>
        <v/>
      </c>
      <c r="AM725" s="359" t="str">
        <f t="shared" si="170"/>
        <v/>
      </c>
      <c r="AN725" s="262">
        <f t="shared" si="173"/>
        <v>0</v>
      </c>
      <c r="AO725" s="262" t="str">
        <f>IFERROR(HLOOKUP(AN725,'Ref Lists'!Q$1:AL$2,2,FALSE),'Ref Lists'!$AK$2)</f>
        <v>Savings21</v>
      </c>
      <c r="AP725" s="38"/>
      <c r="AQ725" s="38">
        <f t="shared" si="162"/>
        <v>0</v>
      </c>
      <c r="AR725" s="38"/>
      <c r="AS725" s="38"/>
      <c r="AT725" s="38"/>
      <c r="AU725" s="38"/>
      <c r="AV725" s="38"/>
      <c r="AW725" s="38"/>
      <c r="AX725" s="38"/>
      <c r="AY725" s="38"/>
      <c r="AZ725" s="38"/>
      <c r="BA725" s="38"/>
      <c r="BB725" s="38"/>
      <c r="BC725" s="38"/>
      <c r="BD725" s="38"/>
      <c r="BE725" s="38"/>
      <c r="BF725" s="38"/>
      <c r="BG725" s="38"/>
      <c r="BH725" s="38"/>
      <c r="BI725" s="38"/>
      <c r="BJ725" s="38"/>
      <c r="BK725" s="38"/>
      <c r="BL725" s="38"/>
      <c r="BM725" s="38"/>
      <c r="BN725" s="38"/>
      <c r="BO725" s="38"/>
      <c r="BP725" s="38"/>
      <c r="BQ725" s="38"/>
      <c r="BR725" s="38"/>
      <c r="BS725" s="38"/>
      <c r="BT725" s="38"/>
      <c r="BU725" s="38"/>
      <c r="BV725" s="38"/>
      <c r="BW725" s="38"/>
      <c r="BX725" s="38"/>
      <c r="BY725" s="38"/>
      <c r="BZ725" s="38"/>
      <c r="CA725" s="38"/>
      <c r="CB725" s="38"/>
      <c r="CC725" s="38"/>
      <c r="CD725" s="38"/>
      <c r="CE725" s="38"/>
      <c r="CF725" s="38"/>
      <c r="CG725" s="38"/>
      <c r="CH725" s="38"/>
      <c r="CI725" s="38"/>
      <c r="CJ725" s="38"/>
      <c r="CK725" s="38"/>
      <c r="CL725" s="38"/>
      <c r="CM725" s="38"/>
      <c r="CN725" s="38"/>
      <c r="CO725" s="38"/>
      <c r="CP725" s="38"/>
      <c r="CQ725" s="38"/>
      <c r="CR725" s="38"/>
      <c r="CS725" s="38"/>
      <c r="CT725" s="38"/>
      <c r="CU725" s="38"/>
      <c r="CV725" s="38"/>
      <c r="CW725" s="38"/>
      <c r="CX725" s="38"/>
      <c r="CY725" s="38"/>
      <c r="CZ725" s="38"/>
    </row>
    <row r="726" spans="1:104" s="40" customFormat="1" ht="20.149999999999999" customHeight="1">
      <c r="A726" s="358">
        <f t="shared" si="171"/>
        <v>725</v>
      </c>
      <c r="B726" s="359" t="str">
        <f>'Front Sheet and Checklist'!$C$5</f>
        <v>Swansea Bay UHB</v>
      </c>
      <c r="C726" s="17"/>
      <c r="D726" s="17"/>
      <c r="E726" s="17"/>
      <c r="F726" s="17"/>
      <c r="G726" s="17"/>
      <c r="H726" s="17"/>
      <c r="I726" s="361">
        <f t="shared" si="161"/>
        <v>0</v>
      </c>
      <c r="J726" s="17"/>
      <c r="K726" s="18"/>
      <c r="L726" s="18"/>
      <c r="M726" s="17"/>
      <c r="N726" s="17"/>
      <c r="O726" s="17"/>
      <c r="P726" s="17"/>
      <c r="Q726" s="169"/>
      <c r="R726" s="24"/>
      <c r="S726" s="24"/>
      <c r="T726" s="24"/>
      <c r="U726" s="25"/>
      <c r="V726" s="25"/>
      <c r="W726" s="25"/>
      <c r="X726" s="24"/>
      <c r="Y726" s="24"/>
      <c r="Z726" s="24"/>
      <c r="AA726" s="24"/>
      <c r="AB726" s="24"/>
      <c r="AC726" s="24"/>
      <c r="AD726" s="361">
        <f t="shared" si="160"/>
        <v>0</v>
      </c>
      <c r="AE726" s="359" t="str">
        <f t="shared" si="163"/>
        <v/>
      </c>
      <c r="AF726" s="359" t="str">
        <f t="shared" si="172"/>
        <v/>
      </c>
      <c r="AG726" s="359" t="str">
        <f t="shared" si="164"/>
        <v/>
      </c>
      <c r="AH726" s="359" t="str">
        <f t="shared" si="165"/>
        <v/>
      </c>
      <c r="AI726" s="359" t="str">
        <f t="shared" si="166"/>
        <v/>
      </c>
      <c r="AJ726" s="359" t="str">
        <f t="shared" si="167"/>
        <v/>
      </c>
      <c r="AK726" s="359" t="str">
        <f t="shared" si="169"/>
        <v/>
      </c>
      <c r="AL726" s="359" t="str">
        <f t="shared" si="168"/>
        <v/>
      </c>
      <c r="AM726" s="359" t="str">
        <f t="shared" si="170"/>
        <v/>
      </c>
      <c r="AN726" s="262">
        <f t="shared" si="173"/>
        <v>0</v>
      </c>
      <c r="AO726" s="262" t="str">
        <f>IFERROR(HLOOKUP(AN726,'Ref Lists'!Q$1:AL$2,2,FALSE),'Ref Lists'!$AK$2)</f>
        <v>Savings21</v>
      </c>
      <c r="AP726" s="38"/>
      <c r="AQ726" s="38">
        <f t="shared" si="162"/>
        <v>0</v>
      </c>
      <c r="AR726" s="38"/>
      <c r="AS726" s="38"/>
      <c r="AT726" s="38"/>
      <c r="AU726" s="38"/>
      <c r="AV726" s="38"/>
      <c r="AW726" s="38"/>
      <c r="AX726" s="38"/>
      <c r="AY726" s="38"/>
      <c r="AZ726" s="38"/>
      <c r="BA726" s="38"/>
      <c r="BB726" s="38"/>
      <c r="BC726" s="38"/>
      <c r="BD726" s="38"/>
      <c r="BE726" s="38"/>
      <c r="BF726" s="38"/>
      <c r="BG726" s="38"/>
      <c r="BH726" s="38"/>
      <c r="BI726" s="38"/>
      <c r="BJ726" s="38"/>
      <c r="BK726" s="38"/>
      <c r="BL726" s="38"/>
      <c r="BM726" s="38"/>
      <c r="BN726" s="38"/>
      <c r="BO726" s="38"/>
      <c r="BP726" s="38"/>
      <c r="BQ726" s="38"/>
      <c r="BR726" s="38"/>
      <c r="BS726" s="38"/>
      <c r="BT726" s="38"/>
      <c r="BU726" s="38"/>
      <c r="BV726" s="38"/>
      <c r="BW726" s="38"/>
      <c r="BX726" s="38"/>
      <c r="BY726" s="38"/>
      <c r="BZ726" s="38"/>
      <c r="CA726" s="38"/>
      <c r="CB726" s="38"/>
      <c r="CC726" s="38"/>
      <c r="CD726" s="38"/>
      <c r="CE726" s="38"/>
      <c r="CF726" s="38"/>
      <c r="CG726" s="38"/>
      <c r="CH726" s="38"/>
      <c r="CI726" s="38"/>
      <c r="CJ726" s="38"/>
      <c r="CK726" s="38"/>
      <c r="CL726" s="38"/>
      <c r="CM726" s="38"/>
      <c r="CN726" s="38"/>
      <c r="CO726" s="38"/>
      <c r="CP726" s="38"/>
      <c r="CQ726" s="38"/>
      <c r="CR726" s="38"/>
      <c r="CS726" s="38"/>
      <c r="CT726" s="38"/>
      <c r="CU726" s="38"/>
      <c r="CV726" s="38"/>
      <c r="CW726" s="38"/>
      <c r="CX726" s="38"/>
      <c r="CY726" s="38"/>
      <c r="CZ726" s="38"/>
    </row>
    <row r="727" spans="1:104" s="40" customFormat="1" ht="20.149999999999999" customHeight="1">
      <c r="A727" s="358">
        <f t="shared" si="171"/>
        <v>726</v>
      </c>
      <c r="B727" s="359" t="str">
        <f>'Front Sheet and Checklist'!$C$5</f>
        <v>Swansea Bay UHB</v>
      </c>
      <c r="C727" s="17"/>
      <c r="D727" s="17"/>
      <c r="E727" s="17"/>
      <c r="F727" s="17"/>
      <c r="G727" s="17"/>
      <c r="H727" s="17"/>
      <c r="I727" s="361">
        <f t="shared" si="161"/>
        <v>0</v>
      </c>
      <c r="J727" s="17"/>
      <c r="K727" s="18"/>
      <c r="L727" s="18"/>
      <c r="M727" s="17"/>
      <c r="N727" s="17"/>
      <c r="O727" s="17"/>
      <c r="P727" s="17"/>
      <c r="Q727" s="169"/>
      <c r="R727" s="24"/>
      <c r="S727" s="24"/>
      <c r="T727" s="24"/>
      <c r="U727" s="25"/>
      <c r="V727" s="25"/>
      <c r="W727" s="25"/>
      <c r="X727" s="24"/>
      <c r="Y727" s="24"/>
      <c r="Z727" s="24"/>
      <c r="AA727" s="24"/>
      <c r="AB727" s="24"/>
      <c r="AC727" s="24"/>
      <c r="AD727" s="361">
        <f t="shared" si="160"/>
        <v>0</v>
      </c>
      <c r="AE727" s="359" t="str">
        <f t="shared" si="163"/>
        <v/>
      </c>
      <c r="AF727" s="359" t="str">
        <f t="shared" si="172"/>
        <v/>
      </c>
      <c r="AG727" s="359" t="str">
        <f t="shared" si="164"/>
        <v/>
      </c>
      <c r="AH727" s="359" t="str">
        <f t="shared" si="165"/>
        <v/>
      </c>
      <c r="AI727" s="359" t="str">
        <f t="shared" si="166"/>
        <v/>
      </c>
      <c r="AJ727" s="359" t="str">
        <f t="shared" si="167"/>
        <v/>
      </c>
      <c r="AK727" s="359" t="str">
        <f t="shared" si="169"/>
        <v/>
      </c>
      <c r="AL727" s="359" t="str">
        <f t="shared" si="168"/>
        <v/>
      </c>
      <c r="AM727" s="359" t="str">
        <f t="shared" si="170"/>
        <v/>
      </c>
      <c r="AN727" s="262">
        <f t="shared" si="173"/>
        <v>0</v>
      </c>
      <c r="AO727" s="262" t="str">
        <f>IFERROR(HLOOKUP(AN727,'Ref Lists'!Q$1:AL$2,2,FALSE),'Ref Lists'!$AK$2)</f>
        <v>Savings21</v>
      </c>
      <c r="AP727" s="38"/>
      <c r="AQ727" s="38">
        <f t="shared" si="162"/>
        <v>0</v>
      </c>
      <c r="AR727" s="38"/>
      <c r="AS727" s="38"/>
      <c r="AT727" s="38"/>
      <c r="AU727" s="38"/>
      <c r="AV727" s="38"/>
      <c r="AW727" s="38"/>
      <c r="AX727" s="38"/>
      <c r="AY727" s="38"/>
      <c r="AZ727" s="38"/>
      <c r="BA727" s="38"/>
      <c r="BB727" s="38"/>
      <c r="BC727" s="38"/>
      <c r="BD727" s="38"/>
      <c r="BE727" s="38"/>
      <c r="BF727" s="38"/>
      <c r="BG727" s="38"/>
      <c r="BH727" s="38"/>
      <c r="BI727" s="38"/>
      <c r="BJ727" s="38"/>
      <c r="BK727" s="38"/>
      <c r="BL727" s="38"/>
      <c r="BM727" s="38"/>
      <c r="BN727" s="38"/>
      <c r="BO727" s="38"/>
      <c r="BP727" s="38"/>
      <c r="BQ727" s="38"/>
      <c r="BR727" s="38"/>
      <c r="BS727" s="38"/>
      <c r="BT727" s="38"/>
      <c r="BU727" s="38"/>
      <c r="BV727" s="38"/>
      <c r="BW727" s="38"/>
      <c r="BX727" s="38"/>
      <c r="BY727" s="38"/>
      <c r="BZ727" s="38"/>
      <c r="CA727" s="38"/>
      <c r="CB727" s="38"/>
      <c r="CC727" s="38"/>
      <c r="CD727" s="38"/>
      <c r="CE727" s="38"/>
      <c r="CF727" s="38"/>
      <c r="CG727" s="38"/>
      <c r="CH727" s="38"/>
      <c r="CI727" s="38"/>
      <c r="CJ727" s="38"/>
      <c r="CK727" s="38"/>
      <c r="CL727" s="38"/>
      <c r="CM727" s="38"/>
      <c r="CN727" s="38"/>
      <c r="CO727" s="38"/>
      <c r="CP727" s="38"/>
      <c r="CQ727" s="38"/>
      <c r="CR727" s="38"/>
      <c r="CS727" s="38"/>
      <c r="CT727" s="38"/>
      <c r="CU727" s="38"/>
      <c r="CV727" s="38"/>
      <c r="CW727" s="38"/>
      <c r="CX727" s="38"/>
      <c r="CY727" s="38"/>
      <c r="CZ727" s="38"/>
    </row>
    <row r="728" spans="1:104" s="40" customFormat="1" ht="20.149999999999999" customHeight="1">
      <c r="A728" s="358">
        <f t="shared" si="171"/>
        <v>727</v>
      </c>
      <c r="B728" s="359" t="str">
        <f>'Front Sheet and Checklist'!$C$5</f>
        <v>Swansea Bay UHB</v>
      </c>
      <c r="C728" s="17"/>
      <c r="D728" s="17"/>
      <c r="E728" s="17"/>
      <c r="F728" s="17"/>
      <c r="G728" s="17"/>
      <c r="H728" s="17"/>
      <c r="I728" s="361">
        <f t="shared" si="161"/>
        <v>0</v>
      </c>
      <c r="J728" s="17"/>
      <c r="K728" s="18"/>
      <c r="L728" s="18"/>
      <c r="M728" s="17"/>
      <c r="N728" s="17"/>
      <c r="O728" s="17"/>
      <c r="P728" s="17"/>
      <c r="Q728" s="169"/>
      <c r="R728" s="24"/>
      <c r="S728" s="24"/>
      <c r="T728" s="24"/>
      <c r="U728" s="25"/>
      <c r="V728" s="25"/>
      <c r="W728" s="25"/>
      <c r="X728" s="24"/>
      <c r="Y728" s="24"/>
      <c r="Z728" s="24"/>
      <c r="AA728" s="24"/>
      <c r="AB728" s="24"/>
      <c r="AC728" s="24"/>
      <c r="AD728" s="361">
        <f t="shared" si="160"/>
        <v>0</v>
      </c>
      <c r="AE728" s="359" t="str">
        <f t="shared" si="163"/>
        <v/>
      </c>
      <c r="AF728" s="359" t="str">
        <f t="shared" si="172"/>
        <v/>
      </c>
      <c r="AG728" s="359" t="str">
        <f t="shared" si="164"/>
        <v/>
      </c>
      <c r="AH728" s="359" t="str">
        <f t="shared" si="165"/>
        <v/>
      </c>
      <c r="AI728" s="359" t="str">
        <f t="shared" si="166"/>
        <v/>
      </c>
      <c r="AJ728" s="359" t="str">
        <f t="shared" si="167"/>
        <v/>
      </c>
      <c r="AK728" s="359" t="str">
        <f t="shared" si="169"/>
        <v/>
      </c>
      <c r="AL728" s="359" t="str">
        <f t="shared" si="168"/>
        <v/>
      </c>
      <c r="AM728" s="359" t="str">
        <f t="shared" si="170"/>
        <v/>
      </c>
      <c r="AN728" s="262">
        <f t="shared" si="173"/>
        <v>0</v>
      </c>
      <c r="AO728" s="262" t="str">
        <f>IFERROR(HLOOKUP(AN728,'Ref Lists'!Q$1:AL$2,2,FALSE),'Ref Lists'!$AK$2)</f>
        <v>Savings21</v>
      </c>
      <c r="AP728" s="38"/>
      <c r="AQ728" s="38">
        <f t="shared" si="162"/>
        <v>0</v>
      </c>
      <c r="AR728" s="38"/>
      <c r="AS728" s="38"/>
      <c r="AT728" s="38"/>
      <c r="AU728" s="38"/>
      <c r="AV728" s="38"/>
      <c r="AW728" s="38"/>
      <c r="AX728" s="38"/>
      <c r="AY728" s="38"/>
      <c r="AZ728" s="38"/>
      <c r="BA728" s="38"/>
      <c r="BB728" s="38"/>
      <c r="BC728" s="38"/>
      <c r="BD728" s="38"/>
      <c r="BE728" s="38"/>
      <c r="BF728" s="38"/>
      <c r="BG728" s="38"/>
      <c r="BH728" s="38"/>
      <c r="BI728" s="38"/>
      <c r="BJ728" s="38"/>
      <c r="BK728" s="38"/>
      <c r="BL728" s="38"/>
      <c r="BM728" s="38"/>
      <c r="BN728" s="38"/>
      <c r="BO728" s="38"/>
      <c r="BP728" s="38"/>
      <c r="BQ728" s="38"/>
      <c r="BR728" s="38"/>
      <c r="BS728" s="38"/>
      <c r="BT728" s="38"/>
      <c r="BU728" s="38"/>
      <c r="BV728" s="38"/>
      <c r="BW728" s="38"/>
      <c r="BX728" s="38"/>
      <c r="BY728" s="38"/>
      <c r="BZ728" s="38"/>
      <c r="CA728" s="38"/>
      <c r="CB728" s="38"/>
      <c r="CC728" s="38"/>
      <c r="CD728" s="38"/>
      <c r="CE728" s="38"/>
      <c r="CF728" s="38"/>
      <c r="CG728" s="38"/>
      <c r="CH728" s="38"/>
      <c r="CI728" s="38"/>
      <c r="CJ728" s="38"/>
      <c r="CK728" s="38"/>
      <c r="CL728" s="38"/>
      <c r="CM728" s="38"/>
      <c r="CN728" s="38"/>
      <c r="CO728" s="38"/>
      <c r="CP728" s="38"/>
      <c r="CQ728" s="38"/>
      <c r="CR728" s="38"/>
      <c r="CS728" s="38"/>
      <c r="CT728" s="38"/>
      <c r="CU728" s="38"/>
      <c r="CV728" s="38"/>
      <c r="CW728" s="38"/>
      <c r="CX728" s="38"/>
      <c r="CY728" s="38"/>
      <c r="CZ728" s="38"/>
    </row>
    <row r="729" spans="1:104" s="40" customFormat="1" ht="20.149999999999999" customHeight="1">
      <c r="A729" s="358">
        <f t="shared" si="171"/>
        <v>728</v>
      </c>
      <c r="B729" s="359" t="str">
        <f>'Front Sheet and Checklist'!$C$5</f>
        <v>Swansea Bay UHB</v>
      </c>
      <c r="C729" s="17"/>
      <c r="D729" s="17"/>
      <c r="E729" s="17"/>
      <c r="F729" s="17"/>
      <c r="G729" s="17"/>
      <c r="H729" s="17"/>
      <c r="I729" s="361">
        <f t="shared" si="161"/>
        <v>0</v>
      </c>
      <c r="J729" s="17"/>
      <c r="K729" s="18"/>
      <c r="L729" s="18"/>
      <c r="M729" s="17"/>
      <c r="N729" s="17"/>
      <c r="O729" s="17"/>
      <c r="P729" s="17"/>
      <c r="Q729" s="169"/>
      <c r="R729" s="24"/>
      <c r="S729" s="24"/>
      <c r="T729" s="24"/>
      <c r="U729" s="25"/>
      <c r="V729" s="25"/>
      <c r="W729" s="25"/>
      <c r="X729" s="24"/>
      <c r="Y729" s="24"/>
      <c r="Z729" s="24"/>
      <c r="AA729" s="24"/>
      <c r="AB729" s="24"/>
      <c r="AC729" s="24"/>
      <c r="AD729" s="361">
        <f t="shared" si="160"/>
        <v>0</v>
      </c>
      <c r="AE729" s="359" t="str">
        <f t="shared" si="163"/>
        <v/>
      </c>
      <c r="AF729" s="359" t="str">
        <f t="shared" si="172"/>
        <v/>
      </c>
      <c r="AG729" s="359" t="str">
        <f t="shared" si="164"/>
        <v/>
      </c>
      <c r="AH729" s="359" t="str">
        <f t="shared" si="165"/>
        <v/>
      </c>
      <c r="AI729" s="359" t="str">
        <f t="shared" si="166"/>
        <v/>
      </c>
      <c r="AJ729" s="359" t="str">
        <f t="shared" si="167"/>
        <v/>
      </c>
      <c r="AK729" s="359" t="str">
        <f t="shared" si="169"/>
        <v/>
      </c>
      <c r="AL729" s="359" t="str">
        <f t="shared" si="168"/>
        <v/>
      </c>
      <c r="AM729" s="359" t="str">
        <f t="shared" si="170"/>
        <v/>
      </c>
      <c r="AN729" s="262">
        <f t="shared" si="173"/>
        <v>0</v>
      </c>
      <c r="AO729" s="262" t="str">
        <f>IFERROR(HLOOKUP(AN729,'Ref Lists'!Q$1:AL$2,2,FALSE),'Ref Lists'!$AK$2)</f>
        <v>Savings21</v>
      </c>
      <c r="AP729" s="38"/>
      <c r="AQ729" s="38">
        <f t="shared" si="162"/>
        <v>0</v>
      </c>
      <c r="AR729" s="38"/>
      <c r="AS729" s="38"/>
      <c r="AT729" s="38"/>
      <c r="AU729" s="38"/>
      <c r="AV729" s="38"/>
      <c r="AW729" s="38"/>
      <c r="AX729" s="38"/>
      <c r="AY729" s="38"/>
      <c r="AZ729" s="38"/>
      <c r="BA729" s="38"/>
      <c r="BB729" s="38"/>
      <c r="BC729" s="38"/>
      <c r="BD729" s="38"/>
      <c r="BE729" s="38"/>
      <c r="BF729" s="38"/>
      <c r="BG729" s="38"/>
      <c r="BH729" s="38"/>
      <c r="BI729" s="38"/>
      <c r="BJ729" s="38"/>
      <c r="BK729" s="38"/>
      <c r="BL729" s="38"/>
      <c r="BM729" s="38"/>
      <c r="BN729" s="38"/>
      <c r="BO729" s="38"/>
      <c r="BP729" s="38"/>
      <c r="BQ729" s="38"/>
      <c r="BR729" s="38"/>
      <c r="BS729" s="38"/>
      <c r="BT729" s="38"/>
      <c r="BU729" s="38"/>
      <c r="BV729" s="38"/>
      <c r="BW729" s="38"/>
      <c r="BX729" s="38"/>
      <c r="BY729" s="38"/>
      <c r="BZ729" s="38"/>
      <c r="CA729" s="38"/>
      <c r="CB729" s="38"/>
      <c r="CC729" s="38"/>
      <c r="CD729" s="38"/>
      <c r="CE729" s="38"/>
      <c r="CF729" s="38"/>
      <c r="CG729" s="38"/>
      <c r="CH729" s="38"/>
      <c r="CI729" s="38"/>
      <c r="CJ729" s="38"/>
      <c r="CK729" s="38"/>
      <c r="CL729" s="38"/>
      <c r="CM729" s="38"/>
      <c r="CN729" s="38"/>
      <c r="CO729" s="38"/>
      <c r="CP729" s="38"/>
      <c r="CQ729" s="38"/>
      <c r="CR729" s="38"/>
      <c r="CS729" s="38"/>
      <c r="CT729" s="38"/>
      <c r="CU729" s="38"/>
      <c r="CV729" s="38"/>
      <c r="CW729" s="38"/>
      <c r="CX729" s="38"/>
      <c r="CY729" s="38"/>
      <c r="CZ729" s="38"/>
    </row>
    <row r="730" spans="1:104" s="40" customFormat="1" ht="20.149999999999999" customHeight="1">
      <c r="A730" s="358">
        <f t="shared" si="171"/>
        <v>729</v>
      </c>
      <c r="B730" s="359" t="str">
        <f>'Front Sheet and Checklist'!$C$5</f>
        <v>Swansea Bay UHB</v>
      </c>
      <c r="C730" s="17"/>
      <c r="D730" s="17"/>
      <c r="E730" s="17"/>
      <c r="F730" s="17"/>
      <c r="G730" s="17"/>
      <c r="H730" s="17"/>
      <c r="I730" s="361">
        <f t="shared" si="161"/>
        <v>0</v>
      </c>
      <c r="J730" s="17"/>
      <c r="K730" s="18"/>
      <c r="L730" s="18"/>
      <c r="M730" s="17"/>
      <c r="N730" s="17"/>
      <c r="O730" s="17"/>
      <c r="P730" s="17"/>
      <c r="Q730" s="169"/>
      <c r="R730" s="24"/>
      <c r="S730" s="24"/>
      <c r="T730" s="24"/>
      <c r="U730" s="25"/>
      <c r="V730" s="25"/>
      <c r="W730" s="25"/>
      <c r="X730" s="24"/>
      <c r="Y730" s="24"/>
      <c r="Z730" s="24"/>
      <c r="AA730" s="24"/>
      <c r="AB730" s="24"/>
      <c r="AC730" s="24"/>
      <c r="AD730" s="361">
        <f t="shared" si="160"/>
        <v>0</v>
      </c>
      <c r="AE730" s="359" t="str">
        <f t="shared" si="163"/>
        <v/>
      </c>
      <c r="AF730" s="359" t="str">
        <f t="shared" si="172"/>
        <v/>
      </c>
      <c r="AG730" s="359" t="str">
        <f t="shared" si="164"/>
        <v/>
      </c>
      <c r="AH730" s="359" t="str">
        <f t="shared" si="165"/>
        <v/>
      </c>
      <c r="AI730" s="359" t="str">
        <f t="shared" si="166"/>
        <v/>
      </c>
      <c r="AJ730" s="359" t="str">
        <f t="shared" si="167"/>
        <v/>
      </c>
      <c r="AK730" s="359" t="str">
        <f t="shared" si="169"/>
        <v/>
      </c>
      <c r="AL730" s="359" t="str">
        <f t="shared" si="168"/>
        <v/>
      </c>
      <c r="AM730" s="359" t="str">
        <f t="shared" si="170"/>
        <v/>
      </c>
      <c r="AN730" s="262">
        <f t="shared" si="173"/>
        <v>0</v>
      </c>
      <c r="AO730" s="262" t="str">
        <f>IFERROR(HLOOKUP(AN730,'Ref Lists'!Q$1:AL$2,2,FALSE),'Ref Lists'!$AK$2)</f>
        <v>Savings21</v>
      </c>
      <c r="AP730" s="38"/>
      <c r="AQ730" s="38">
        <f t="shared" si="162"/>
        <v>0</v>
      </c>
      <c r="AR730" s="38"/>
      <c r="AS730" s="38"/>
      <c r="AT730" s="38"/>
      <c r="AU730" s="38"/>
      <c r="AV730" s="38"/>
      <c r="AW730" s="38"/>
      <c r="AX730" s="38"/>
      <c r="AY730" s="38"/>
      <c r="AZ730" s="38"/>
      <c r="BA730" s="38"/>
      <c r="BB730" s="38"/>
      <c r="BC730" s="38"/>
      <c r="BD730" s="38"/>
      <c r="BE730" s="38"/>
      <c r="BF730" s="38"/>
      <c r="BG730" s="38"/>
      <c r="BH730" s="38"/>
      <c r="BI730" s="38"/>
      <c r="BJ730" s="38"/>
      <c r="BK730" s="38"/>
      <c r="BL730" s="38"/>
      <c r="BM730" s="38"/>
      <c r="BN730" s="38"/>
      <c r="BO730" s="38"/>
      <c r="BP730" s="38"/>
      <c r="BQ730" s="38"/>
      <c r="BR730" s="38"/>
      <c r="BS730" s="38"/>
      <c r="BT730" s="38"/>
      <c r="BU730" s="38"/>
      <c r="BV730" s="38"/>
      <c r="BW730" s="38"/>
      <c r="BX730" s="38"/>
      <c r="BY730" s="38"/>
      <c r="BZ730" s="38"/>
      <c r="CA730" s="38"/>
      <c r="CB730" s="38"/>
      <c r="CC730" s="38"/>
      <c r="CD730" s="38"/>
      <c r="CE730" s="38"/>
      <c r="CF730" s="38"/>
      <c r="CG730" s="38"/>
      <c r="CH730" s="38"/>
      <c r="CI730" s="38"/>
      <c r="CJ730" s="38"/>
      <c r="CK730" s="38"/>
      <c r="CL730" s="38"/>
      <c r="CM730" s="38"/>
      <c r="CN730" s="38"/>
      <c r="CO730" s="38"/>
      <c r="CP730" s="38"/>
      <c r="CQ730" s="38"/>
      <c r="CR730" s="38"/>
      <c r="CS730" s="38"/>
      <c r="CT730" s="38"/>
      <c r="CU730" s="38"/>
      <c r="CV730" s="38"/>
      <c r="CW730" s="38"/>
      <c r="CX730" s="38"/>
      <c r="CY730" s="38"/>
      <c r="CZ730" s="38"/>
    </row>
    <row r="731" spans="1:104" s="40" customFormat="1" ht="20.149999999999999" customHeight="1">
      <c r="A731" s="358">
        <f t="shared" si="171"/>
        <v>730</v>
      </c>
      <c r="B731" s="359" t="str">
        <f>'Front Sheet and Checklist'!$C$5</f>
        <v>Swansea Bay UHB</v>
      </c>
      <c r="C731" s="17"/>
      <c r="D731" s="17"/>
      <c r="E731" s="17"/>
      <c r="F731" s="17"/>
      <c r="G731" s="17"/>
      <c r="H731" s="17"/>
      <c r="I731" s="361">
        <f t="shared" si="161"/>
        <v>0</v>
      </c>
      <c r="J731" s="17"/>
      <c r="K731" s="18"/>
      <c r="L731" s="18"/>
      <c r="M731" s="17"/>
      <c r="N731" s="17"/>
      <c r="O731" s="17"/>
      <c r="P731" s="17"/>
      <c r="Q731" s="169"/>
      <c r="R731" s="24"/>
      <c r="S731" s="24"/>
      <c r="T731" s="24"/>
      <c r="U731" s="25"/>
      <c r="V731" s="25"/>
      <c r="W731" s="25"/>
      <c r="X731" s="24"/>
      <c r="Y731" s="24"/>
      <c r="Z731" s="24"/>
      <c r="AA731" s="24"/>
      <c r="AB731" s="24"/>
      <c r="AC731" s="24"/>
      <c r="AD731" s="361">
        <f t="shared" si="160"/>
        <v>0</v>
      </c>
      <c r="AE731" s="359" t="str">
        <f t="shared" si="163"/>
        <v/>
      </c>
      <c r="AF731" s="359" t="str">
        <f t="shared" si="172"/>
        <v/>
      </c>
      <c r="AG731" s="359" t="str">
        <f t="shared" si="164"/>
        <v/>
      </c>
      <c r="AH731" s="359" t="str">
        <f t="shared" si="165"/>
        <v/>
      </c>
      <c r="AI731" s="359" t="str">
        <f t="shared" si="166"/>
        <v/>
      </c>
      <c r="AJ731" s="359" t="str">
        <f t="shared" si="167"/>
        <v/>
      </c>
      <c r="AK731" s="359" t="str">
        <f t="shared" si="169"/>
        <v/>
      </c>
      <c r="AL731" s="359" t="str">
        <f t="shared" si="168"/>
        <v/>
      </c>
      <c r="AM731" s="359" t="str">
        <f t="shared" si="170"/>
        <v/>
      </c>
      <c r="AN731" s="262">
        <f t="shared" si="173"/>
        <v>0</v>
      </c>
      <c r="AO731" s="262" t="str">
        <f>IFERROR(HLOOKUP(AN731,'Ref Lists'!Q$1:AL$2,2,FALSE),'Ref Lists'!$AK$2)</f>
        <v>Savings21</v>
      </c>
      <c r="AP731" s="38"/>
      <c r="AQ731" s="38">
        <f t="shared" si="162"/>
        <v>0</v>
      </c>
      <c r="AR731" s="38"/>
      <c r="AS731" s="38"/>
      <c r="AT731" s="38"/>
      <c r="AU731" s="38"/>
      <c r="AV731" s="38"/>
      <c r="AW731" s="38"/>
      <c r="AX731" s="38"/>
      <c r="AY731" s="38"/>
      <c r="AZ731" s="38"/>
      <c r="BA731" s="38"/>
      <c r="BB731" s="38"/>
      <c r="BC731" s="38"/>
      <c r="BD731" s="38"/>
      <c r="BE731" s="38"/>
      <c r="BF731" s="38"/>
      <c r="BG731" s="38"/>
      <c r="BH731" s="38"/>
      <c r="BI731" s="38"/>
      <c r="BJ731" s="38"/>
      <c r="BK731" s="38"/>
      <c r="BL731" s="38"/>
      <c r="BM731" s="38"/>
      <c r="BN731" s="38"/>
      <c r="BO731" s="38"/>
      <c r="BP731" s="38"/>
      <c r="BQ731" s="38"/>
      <c r="BR731" s="38"/>
      <c r="BS731" s="38"/>
      <c r="BT731" s="38"/>
      <c r="BU731" s="38"/>
      <c r="BV731" s="38"/>
      <c r="BW731" s="38"/>
      <c r="BX731" s="38"/>
      <c r="BY731" s="38"/>
      <c r="BZ731" s="38"/>
      <c r="CA731" s="38"/>
      <c r="CB731" s="38"/>
      <c r="CC731" s="38"/>
      <c r="CD731" s="38"/>
      <c r="CE731" s="38"/>
      <c r="CF731" s="38"/>
      <c r="CG731" s="38"/>
      <c r="CH731" s="38"/>
      <c r="CI731" s="38"/>
      <c r="CJ731" s="38"/>
      <c r="CK731" s="38"/>
      <c r="CL731" s="38"/>
      <c r="CM731" s="38"/>
      <c r="CN731" s="38"/>
      <c r="CO731" s="38"/>
      <c r="CP731" s="38"/>
      <c r="CQ731" s="38"/>
      <c r="CR731" s="38"/>
      <c r="CS731" s="38"/>
      <c r="CT731" s="38"/>
      <c r="CU731" s="38"/>
      <c r="CV731" s="38"/>
      <c r="CW731" s="38"/>
      <c r="CX731" s="38"/>
      <c r="CY731" s="38"/>
      <c r="CZ731" s="38"/>
    </row>
    <row r="732" spans="1:104" s="40" customFormat="1" ht="20.149999999999999" customHeight="1">
      <c r="A732" s="358">
        <f t="shared" si="171"/>
        <v>731</v>
      </c>
      <c r="B732" s="359" t="str">
        <f>'Front Sheet and Checklist'!$C$5</f>
        <v>Swansea Bay UHB</v>
      </c>
      <c r="C732" s="17"/>
      <c r="D732" s="17"/>
      <c r="E732" s="17"/>
      <c r="F732" s="17"/>
      <c r="G732" s="17"/>
      <c r="H732" s="17"/>
      <c r="I732" s="361">
        <f t="shared" si="161"/>
        <v>0</v>
      </c>
      <c r="J732" s="17"/>
      <c r="K732" s="18"/>
      <c r="L732" s="18"/>
      <c r="M732" s="17"/>
      <c r="N732" s="17"/>
      <c r="O732" s="17"/>
      <c r="P732" s="17"/>
      <c r="Q732" s="169"/>
      <c r="R732" s="24"/>
      <c r="S732" s="24"/>
      <c r="T732" s="24"/>
      <c r="U732" s="25"/>
      <c r="V732" s="25"/>
      <c r="W732" s="25"/>
      <c r="X732" s="24"/>
      <c r="Y732" s="24"/>
      <c r="Z732" s="24"/>
      <c r="AA732" s="24"/>
      <c r="AB732" s="24"/>
      <c r="AC732" s="24"/>
      <c r="AD732" s="361">
        <f t="shared" si="160"/>
        <v>0</v>
      </c>
      <c r="AE732" s="359" t="str">
        <f t="shared" si="163"/>
        <v/>
      </c>
      <c r="AF732" s="359" t="str">
        <f t="shared" si="172"/>
        <v/>
      </c>
      <c r="AG732" s="359" t="str">
        <f t="shared" si="164"/>
        <v/>
      </c>
      <c r="AH732" s="359" t="str">
        <f t="shared" si="165"/>
        <v/>
      </c>
      <c r="AI732" s="359" t="str">
        <f t="shared" si="166"/>
        <v/>
      </c>
      <c r="AJ732" s="359" t="str">
        <f t="shared" si="167"/>
        <v/>
      </c>
      <c r="AK732" s="359" t="str">
        <f t="shared" si="169"/>
        <v/>
      </c>
      <c r="AL732" s="359" t="str">
        <f t="shared" si="168"/>
        <v/>
      </c>
      <c r="AM732" s="359" t="str">
        <f t="shared" si="170"/>
        <v/>
      </c>
      <c r="AN732" s="262">
        <f t="shared" si="173"/>
        <v>0</v>
      </c>
      <c r="AO732" s="262" t="str">
        <f>IFERROR(HLOOKUP(AN732,'Ref Lists'!Q$1:AL$2,2,FALSE),'Ref Lists'!$AK$2)</f>
        <v>Savings21</v>
      </c>
      <c r="AP732" s="38"/>
      <c r="AQ732" s="38">
        <f t="shared" si="162"/>
        <v>0</v>
      </c>
      <c r="AR732" s="38"/>
      <c r="AS732" s="38"/>
      <c r="AT732" s="38"/>
      <c r="AU732" s="38"/>
      <c r="AV732" s="38"/>
      <c r="AW732" s="38"/>
      <c r="AX732" s="38"/>
      <c r="AY732" s="38"/>
      <c r="AZ732" s="38"/>
      <c r="BA732" s="38"/>
      <c r="BB732" s="38"/>
      <c r="BC732" s="38"/>
      <c r="BD732" s="38"/>
      <c r="BE732" s="38"/>
      <c r="BF732" s="38"/>
      <c r="BG732" s="38"/>
      <c r="BH732" s="38"/>
      <c r="BI732" s="38"/>
      <c r="BJ732" s="38"/>
      <c r="BK732" s="38"/>
      <c r="BL732" s="38"/>
      <c r="BM732" s="38"/>
      <c r="BN732" s="38"/>
      <c r="BO732" s="38"/>
      <c r="BP732" s="38"/>
      <c r="BQ732" s="38"/>
      <c r="BR732" s="38"/>
      <c r="BS732" s="38"/>
      <c r="BT732" s="38"/>
      <c r="BU732" s="38"/>
      <c r="BV732" s="38"/>
      <c r="BW732" s="38"/>
      <c r="BX732" s="38"/>
      <c r="BY732" s="38"/>
      <c r="BZ732" s="38"/>
      <c r="CA732" s="38"/>
      <c r="CB732" s="38"/>
      <c r="CC732" s="38"/>
      <c r="CD732" s="38"/>
      <c r="CE732" s="38"/>
      <c r="CF732" s="38"/>
      <c r="CG732" s="38"/>
      <c r="CH732" s="38"/>
      <c r="CI732" s="38"/>
      <c r="CJ732" s="38"/>
      <c r="CK732" s="38"/>
      <c r="CL732" s="38"/>
      <c r="CM732" s="38"/>
      <c r="CN732" s="38"/>
      <c r="CO732" s="38"/>
      <c r="CP732" s="38"/>
      <c r="CQ732" s="38"/>
      <c r="CR732" s="38"/>
      <c r="CS732" s="38"/>
      <c r="CT732" s="38"/>
      <c r="CU732" s="38"/>
      <c r="CV732" s="38"/>
      <c r="CW732" s="38"/>
      <c r="CX732" s="38"/>
      <c r="CY732" s="38"/>
      <c r="CZ732" s="38"/>
    </row>
    <row r="733" spans="1:104" s="40" customFormat="1" ht="20.149999999999999" customHeight="1">
      <c r="A733" s="358">
        <f t="shared" si="171"/>
        <v>732</v>
      </c>
      <c r="B733" s="359" t="str">
        <f>'Front Sheet and Checklist'!$C$5</f>
        <v>Swansea Bay UHB</v>
      </c>
      <c r="C733" s="17"/>
      <c r="D733" s="17"/>
      <c r="E733" s="17"/>
      <c r="F733" s="17"/>
      <c r="G733" s="17"/>
      <c r="H733" s="17"/>
      <c r="I733" s="361">
        <f t="shared" si="161"/>
        <v>0</v>
      </c>
      <c r="J733" s="17"/>
      <c r="K733" s="18"/>
      <c r="L733" s="18"/>
      <c r="M733" s="17"/>
      <c r="N733" s="17"/>
      <c r="O733" s="17"/>
      <c r="P733" s="17"/>
      <c r="Q733" s="169"/>
      <c r="R733" s="24"/>
      <c r="S733" s="24"/>
      <c r="T733" s="24"/>
      <c r="U733" s="25"/>
      <c r="V733" s="25"/>
      <c r="W733" s="25"/>
      <c r="X733" s="24"/>
      <c r="Y733" s="24"/>
      <c r="Z733" s="24"/>
      <c r="AA733" s="24"/>
      <c r="AB733" s="24"/>
      <c r="AC733" s="24"/>
      <c r="AD733" s="361">
        <f t="shared" si="160"/>
        <v>0</v>
      </c>
      <c r="AE733" s="359" t="str">
        <f t="shared" si="163"/>
        <v/>
      </c>
      <c r="AF733" s="359" t="str">
        <f t="shared" si="172"/>
        <v/>
      </c>
      <c r="AG733" s="359" t="str">
        <f t="shared" si="164"/>
        <v/>
      </c>
      <c r="AH733" s="359" t="str">
        <f t="shared" si="165"/>
        <v/>
      </c>
      <c r="AI733" s="359" t="str">
        <f t="shared" si="166"/>
        <v/>
      </c>
      <c r="AJ733" s="359" t="str">
        <f t="shared" si="167"/>
        <v/>
      </c>
      <c r="AK733" s="359" t="str">
        <f t="shared" si="169"/>
        <v/>
      </c>
      <c r="AL733" s="359" t="str">
        <f t="shared" si="168"/>
        <v/>
      </c>
      <c r="AM733" s="359" t="str">
        <f t="shared" si="170"/>
        <v/>
      </c>
      <c r="AN733" s="262">
        <f t="shared" si="173"/>
        <v>0</v>
      </c>
      <c r="AO733" s="262" t="str">
        <f>IFERROR(HLOOKUP(AN733,'Ref Lists'!Q$1:AL$2,2,FALSE),'Ref Lists'!$AK$2)</f>
        <v>Savings21</v>
      </c>
      <c r="AP733" s="38"/>
      <c r="AQ733" s="38">
        <f t="shared" si="162"/>
        <v>0</v>
      </c>
      <c r="AR733" s="38"/>
      <c r="AS733" s="38"/>
      <c r="AT733" s="38"/>
      <c r="AU733" s="38"/>
      <c r="AV733" s="38"/>
      <c r="AW733" s="38"/>
      <c r="AX733" s="38"/>
      <c r="AY733" s="38"/>
      <c r="AZ733" s="38"/>
      <c r="BA733" s="38"/>
      <c r="BB733" s="38"/>
      <c r="BC733" s="38"/>
      <c r="BD733" s="38"/>
      <c r="BE733" s="38"/>
      <c r="BF733" s="38"/>
      <c r="BG733" s="38"/>
      <c r="BH733" s="38"/>
      <c r="BI733" s="38"/>
      <c r="BJ733" s="38"/>
      <c r="BK733" s="38"/>
      <c r="BL733" s="38"/>
      <c r="BM733" s="38"/>
      <c r="BN733" s="38"/>
      <c r="BO733" s="38"/>
      <c r="BP733" s="38"/>
      <c r="BQ733" s="38"/>
      <c r="BR733" s="38"/>
      <c r="BS733" s="38"/>
      <c r="BT733" s="38"/>
      <c r="BU733" s="38"/>
      <c r="BV733" s="38"/>
      <c r="BW733" s="38"/>
      <c r="BX733" s="38"/>
      <c r="BY733" s="38"/>
      <c r="BZ733" s="38"/>
      <c r="CA733" s="38"/>
      <c r="CB733" s="38"/>
      <c r="CC733" s="38"/>
      <c r="CD733" s="38"/>
      <c r="CE733" s="38"/>
      <c r="CF733" s="38"/>
      <c r="CG733" s="38"/>
      <c r="CH733" s="38"/>
      <c r="CI733" s="38"/>
      <c r="CJ733" s="38"/>
      <c r="CK733" s="38"/>
      <c r="CL733" s="38"/>
      <c r="CM733" s="38"/>
      <c r="CN733" s="38"/>
      <c r="CO733" s="38"/>
      <c r="CP733" s="38"/>
      <c r="CQ733" s="38"/>
      <c r="CR733" s="38"/>
      <c r="CS733" s="38"/>
      <c r="CT733" s="38"/>
      <c r="CU733" s="38"/>
      <c r="CV733" s="38"/>
      <c r="CW733" s="38"/>
      <c r="CX733" s="38"/>
      <c r="CY733" s="38"/>
      <c r="CZ733" s="38"/>
    </row>
    <row r="734" spans="1:104" s="40" customFormat="1" ht="20.149999999999999" customHeight="1">
      <c r="A734" s="358">
        <f t="shared" si="171"/>
        <v>733</v>
      </c>
      <c r="B734" s="359" t="str">
        <f>'Front Sheet and Checklist'!$C$5</f>
        <v>Swansea Bay UHB</v>
      </c>
      <c r="C734" s="17"/>
      <c r="D734" s="17"/>
      <c r="E734" s="17"/>
      <c r="F734" s="17"/>
      <c r="G734" s="17"/>
      <c r="H734" s="17"/>
      <c r="I734" s="361">
        <f t="shared" si="161"/>
        <v>0</v>
      </c>
      <c r="J734" s="17"/>
      <c r="K734" s="18"/>
      <c r="L734" s="18"/>
      <c r="M734" s="17"/>
      <c r="N734" s="17"/>
      <c r="O734" s="17"/>
      <c r="P734" s="17"/>
      <c r="Q734" s="169"/>
      <c r="R734" s="24"/>
      <c r="S734" s="24"/>
      <c r="T734" s="24"/>
      <c r="U734" s="25"/>
      <c r="V734" s="25"/>
      <c r="W734" s="25"/>
      <c r="X734" s="24"/>
      <c r="Y734" s="24"/>
      <c r="Z734" s="24"/>
      <c r="AA734" s="24"/>
      <c r="AB734" s="24"/>
      <c r="AC734" s="24"/>
      <c r="AD734" s="361">
        <f t="shared" si="160"/>
        <v>0</v>
      </c>
      <c r="AE734" s="359" t="str">
        <f t="shared" si="163"/>
        <v/>
      </c>
      <c r="AF734" s="359" t="str">
        <f t="shared" si="172"/>
        <v/>
      </c>
      <c r="AG734" s="359" t="str">
        <f t="shared" si="164"/>
        <v/>
      </c>
      <c r="AH734" s="359" t="str">
        <f t="shared" si="165"/>
        <v/>
      </c>
      <c r="AI734" s="359" t="str">
        <f t="shared" si="166"/>
        <v/>
      </c>
      <c r="AJ734" s="359" t="str">
        <f t="shared" si="167"/>
        <v/>
      </c>
      <c r="AK734" s="359" t="str">
        <f t="shared" si="169"/>
        <v/>
      </c>
      <c r="AL734" s="359" t="str">
        <f t="shared" si="168"/>
        <v/>
      </c>
      <c r="AM734" s="359" t="str">
        <f t="shared" si="170"/>
        <v/>
      </c>
      <c r="AN734" s="262">
        <f t="shared" si="173"/>
        <v>0</v>
      </c>
      <c r="AO734" s="262" t="str">
        <f>IFERROR(HLOOKUP(AN734,'Ref Lists'!Q$1:AL$2,2,FALSE),'Ref Lists'!$AK$2)</f>
        <v>Savings21</v>
      </c>
      <c r="AP734" s="38"/>
      <c r="AQ734" s="38">
        <f t="shared" si="162"/>
        <v>0</v>
      </c>
      <c r="AR734" s="38"/>
      <c r="AS734" s="38"/>
      <c r="AT734" s="38"/>
      <c r="AU734" s="38"/>
      <c r="AV734" s="38"/>
      <c r="AW734" s="38"/>
      <c r="AX734" s="38"/>
      <c r="AY734" s="38"/>
      <c r="AZ734" s="38"/>
      <c r="BA734" s="38"/>
      <c r="BB734" s="38"/>
      <c r="BC734" s="38"/>
      <c r="BD734" s="38"/>
      <c r="BE734" s="38"/>
      <c r="BF734" s="38"/>
      <c r="BG734" s="38"/>
      <c r="BH734" s="38"/>
      <c r="BI734" s="38"/>
      <c r="BJ734" s="38"/>
      <c r="BK734" s="38"/>
      <c r="BL734" s="38"/>
      <c r="BM734" s="38"/>
      <c r="BN734" s="38"/>
      <c r="BO734" s="38"/>
      <c r="BP734" s="38"/>
      <c r="BQ734" s="38"/>
      <c r="BR734" s="38"/>
      <c r="BS734" s="38"/>
      <c r="BT734" s="38"/>
      <c r="BU734" s="38"/>
      <c r="BV734" s="38"/>
      <c r="BW734" s="38"/>
      <c r="BX734" s="38"/>
      <c r="BY734" s="38"/>
      <c r="BZ734" s="38"/>
      <c r="CA734" s="38"/>
      <c r="CB734" s="38"/>
      <c r="CC734" s="38"/>
      <c r="CD734" s="38"/>
      <c r="CE734" s="38"/>
      <c r="CF734" s="38"/>
      <c r="CG734" s="38"/>
      <c r="CH734" s="38"/>
      <c r="CI734" s="38"/>
      <c r="CJ734" s="38"/>
      <c r="CK734" s="38"/>
      <c r="CL734" s="38"/>
      <c r="CM734" s="38"/>
      <c r="CN734" s="38"/>
      <c r="CO734" s="38"/>
      <c r="CP734" s="38"/>
      <c r="CQ734" s="38"/>
      <c r="CR734" s="38"/>
      <c r="CS734" s="38"/>
      <c r="CT734" s="38"/>
      <c r="CU734" s="38"/>
      <c r="CV734" s="38"/>
      <c r="CW734" s="38"/>
      <c r="CX734" s="38"/>
      <c r="CY734" s="38"/>
      <c r="CZ734" s="38"/>
    </row>
    <row r="735" spans="1:104" s="40" customFormat="1" ht="20.149999999999999" customHeight="1">
      <c r="A735" s="358">
        <f t="shared" si="171"/>
        <v>734</v>
      </c>
      <c r="B735" s="359" t="str">
        <f>'Front Sheet and Checklist'!$C$5</f>
        <v>Swansea Bay UHB</v>
      </c>
      <c r="C735" s="17"/>
      <c r="D735" s="17"/>
      <c r="E735" s="17"/>
      <c r="F735" s="17"/>
      <c r="G735" s="17"/>
      <c r="H735" s="17"/>
      <c r="I735" s="361">
        <f t="shared" si="161"/>
        <v>0</v>
      </c>
      <c r="J735" s="17"/>
      <c r="K735" s="18"/>
      <c r="L735" s="18"/>
      <c r="M735" s="17"/>
      <c r="N735" s="17"/>
      <c r="O735" s="17"/>
      <c r="P735" s="17"/>
      <c r="Q735" s="169"/>
      <c r="R735" s="24"/>
      <c r="S735" s="24"/>
      <c r="T735" s="24"/>
      <c r="U735" s="25"/>
      <c r="V735" s="25"/>
      <c r="W735" s="25"/>
      <c r="X735" s="24"/>
      <c r="Y735" s="24"/>
      <c r="Z735" s="24"/>
      <c r="AA735" s="24"/>
      <c r="AB735" s="24"/>
      <c r="AC735" s="24"/>
      <c r="AD735" s="361">
        <f t="shared" si="160"/>
        <v>0</v>
      </c>
      <c r="AE735" s="359" t="str">
        <f t="shared" si="163"/>
        <v/>
      </c>
      <c r="AF735" s="359" t="str">
        <f t="shared" si="172"/>
        <v/>
      </c>
      <c r="AG735" s="359" t="str">
        <f t="shared" si="164"/>
        <v/>
      </c>
      <c r="AH735" s="359" t="str">
        <f t="shared" si="165"/>
        <v/>
      </c>
      <c r="AI735" s="359" t="str">
        <f t="shared" si="166"/>
        <v/>
      </c>
      <c r="AJ735" s="359" t="str">
        <f t="shared" si="167"/>
        <v/>
      </c>
      <c r="AK735" s="359" t="str">
        <f t="shared" si="169"/>
        <v/>
      </c>
      <c r="AL735" s="359" t="str">
        <f t="shared" si="168"/>
        <v/>
      </c>
      <c r="AM735" s="359" t="str">
        <f t="shared" si="170"/>
        <v/>
      </c>
      <c r="AN735" s="262">
        <f t="shared" si="173"/>
        <v>0</v>
      </c>
      <c r="AO735" s="262" t="str">
        <f>IFERROR(HLOOKUP(AN735,'Ref Lists'!Q$1:AL$2,2,FALSE),'Ref Lists'!$AK$2)</f>
        <v>Savings21</v>
      </c>
      <c r="AP735" s="38"/>
      <c r="AQ735" s="38">
        <f t="shared" si="162"/>
        <v>0</v>
      </c>
      <c r="AR735" s="38"/>
      <c r="AS735" s="38"/>
      <c r="AT735" s="38"/>
      <c r="AU735" s="38"/>
      <c r="AV735" s="38"/>
      <c r="AW735" s="38"/>
      <c r="AX735" s="38"/>
      <c r="AY735" s="38"/>
      <c r="AZ735" s="38"/>
      <c r="BA735" s="38"/>
      <c r="BB735" s="38"/>
      <c r="BC735" s="38"/>
      <c r="BD735" s="38"/>
      <c r="BE735" s="38"/>
      <c r="BF735" s="38"/>
      <c r="BG735" s="38"/>
      <c r="BH735" s="38"/>
      <c r="BI735" s="38"/>
      <c r="BJ735" s="38"/>
      <c r="BK735" s="38"/>
      <c r="BL735" s="38"/>
      <c r="BM735" s="38"/>
      <c r="BN735" s="38"/>
      <c r="BO735" s="38"/>
      <c r="BP735" s="38"/>
      <c r="BQ735" s="38"/>
      <c r="BR735" s="38"/>
      <c r="BS735" s="38"/>
      <c r="BT735" s="38"/>
      <c r="BU735" s="38"/>
      <c r="BV735" s="38"/>
      <c r="BW735" s="38"/>
      <c r="BX735" s="38"/>
      <c r="BY735" s="38"/>
      <c r="BZ735" s="38"/>
      <c r="CA735" s="38"/>
      <c r="CB735" s="38"/>
      <c r="CC735" s="38"/>
      <c r="CD735" s="38"/>
      <c r="CE735" s="38"/>
      <c r="CF735" s="38"/>
      <c r="CG735" s="38"/>
      <c r="CH735" s="38"/>
      <c r="CI735" s="38"/>
      <c r="CJ735" s="38"/>
      <c r="CK735" s="38"/>
      <c r="CL735" s="38"/>
      <c r="CM735" s="38"/>
      <c r="CN735" s="38"/>
      <c r="CO735" s="38"/>
      <c r="CP735" s="38"/>
      <c r="CQ735" s="38"/>
      <c r="CR735" s="38"/>
      <c r="CS735" s="38"/>
      <c r="CT735" s="38"/>
      <c r="CU735" s="38"/>
      <c r="CV735" s="38"/>
      <c r="CW735" s="38"/>
      <c r="CX735" s="38"/>
      <c r="CY735" s="38"/>
      <c r="CZ735" s="38"/>
    </row>
    <row r="736" spans="1:104" s="40" customFormat="1" ht="20.149999999999999" customHeight="1">
      <c r="A736" s="358">
        <f t="shared" si="171"/>
        <v>735</v>
      </c>
      <c r="B736" s="359" t="str">
        <f>'Front Sheet and Checklist'!$C$5</f>
        <v>Swansea Bay UHB</v>
      </c>
      <c r="C736" s="17"/>
      <c r="D736" s="17"/>
      <c r="E736" s="17"/>
      <c r="F736" s="17"/>
      <c r="G736" s="17"/>
      <c r="H736" s="17"/>
      <c r="I736" s="361">
        <f t="shared" si="161"/>
        <v>0</v>
      </c>
      <c r="J736" s="17"/>
      <c r="K736" s="18"/>
      <c r="L736" s="18"/>
      <c r="M736" s="17"/>
      <c r="N736" s="17"/>
      <c r="O736" s="17"/>
      <c r="P736" s="17"/>
      <c r="Q736" s="169"/>
      <c r="R736" s="24"/>
      <c r="S736" s="24"/>
      <c r="T736" s="24"/>
      <c r="U736" s="25"/>
      <c r="V736" s="25"/>
      <c r="W736" s="25"/>
      <c r="X736" s="24"/>
      <c r="Y736" s="24"/>
      <c r="Z736" s="24"/>
      <c r="AA736" s="24"/>
      <c r="AB736" s="24"/>
      <c r="AC736" s="24"/>
      <c r="AD736" s="361">
        <f t="shared" si="160"/>
        <v>0</v>
      </c>
      <c r="AE736" s="359" t="str">
        <f t="shared" si="163"/>
        <v/>
      </c>
      <c r="AF736" s="359" t="str">
        <f t="shared" si="172"/>
        <v/>
      </c>
      <c r="AG736" s="359" t="str">
        <f t="shared" si="164"/>
        <v/>
      </c>
      <c r="AH736" s="359" t="str">
        <f t="shared" si="165"/>
        <v/>
      </c>
      <c r="AI736" s="359" t="str">
        <f t="shared" si="166"/>
        <v/>
      </c>
      <c r="AJ736" s="359" t="str">
        <f t="shared" si="167"/>
        <v/>
      </c>
      <c r="AK736" s="359" t="str">
        <f t="shared" si="169"/>
        <v/>
      </c>
      <c r="AL736" s="359" t="str">
        <f t="shared" si="168"/>
        <v/>
      </c>
      <c r="AM736" s="359" t="str">
        <f t="shared" si="170"/>
        <v/>
      </c>
      <c r="AN736" s="262">
        <f t="shared" si="173"/>
        <v>0</v>
      </c>
      <c r="AO736" s="262" t="str">
        <f>IFERROR(HLOOKUP(AN736,'Ref Lists'!Q$1:AL$2,2,FALSE),'Ref Lists'!$AK$2)</f>
        <v>Savings21</v>
      </c>
      <c r="AP736" s="38"/>
      <c r="AQ736" s="38">
        <f t="shared" si="162"/>
        <v>0</v>
      </c>
      <c r="AR736" s="38"/>
      <c r="AS736" s="38"/>
      <c r="AT736" s="38"/>
      <c r="AU736" s="38"/>
      <c r="AV736" s="38"/>
      <c r="AW736" s="38"/>
      <c r="AX736" s="38"/>
      <c r="AY736" s="38"/>
      <c r="AZ736" s="38"/>
      <c r="BA736" s="38"/>
      <c r="BB736" s="38"/>
      <c r="BC736" s="38"/>
      <c r="BD736" s="38"/>
      <c r="BE736" s="38"/>
      <c r="BF736" s="38"/>
      <c r="BG736" s="38"/>
      <c r="BH736" s="38"/>
      <c r="BI736" s="38"/>
      <c r="BJ736" s="38"/>
      <c r="BK736" s="38"/>
      <c r="BL736" s="38"/>
      <c r="BM736" s="38"/>
      <c r="BN736" s="38"/>
      <c r="BO736" s="38"/>
      <c r="BP736" s="38"/>
      <c r="BQ736" s="38"/>
      <c r="BR736" s="38"/>
      <c r="BS736" s="38"/>
      <c r="BT736" s="38"/>
      <c r="BU736" s="38"/>
      <c r="BV736" s="38"/>
      <c r="BW736" s="38"/>
      <c r="BX736" s="38"/>
      <c r="BY736" s="38"/>
      <c r="BZ736" s="38"/>
      <c r="CA736" s="38"/>
      <c r="CB736" s="38"/>
      <c r="CC736" s="38"/>
      <c r="CD736" s="38"/>
      <c r="CE736" s="38"/>
      <c r="CF736" s="38"/>
      <c r="CG736" s="38"/>
      <c r="CH736" s="38"/>
      <c r="CI736" s="38"/>
      <c r="CJ736" s="38"/>
      <c r="CK736" s="38"/>
      <c r="CL736" s="38"/>
      <c r="CM736" s="38"/>
      <c r="CN736" s="38"/>
      <c r="CO736" s="38"/>
      <c r="CP736" s="38"/>
      <c r="CQ736" s="38"/>
      <c r="CR736" s="38"/>
      <c r="CS736" s="38"/>
      <c r="CT736" s="38"/>
      <c r="CU736" s="38"/>
      <c r="CV736" s="38"/>
      <c r="CW736" s="38"/>
      <c r="CX736" s="38"/>
      <c r="CY736" s="38"/>
      <c r="CZ736" s="38"/>
    </row>
    <row r="737" spans="1:104" s="40" customFormat="1" ht="20.149999999999999" customHeight="1">
      <c r="A737" s="358">
        <f t="shared" si="171"/>
        <v>736</v>
      </c>
      <c r="B737" s="359" t="str">
        <f>'Front Sheet and Checklist'!$C$5</f>
        <v>Swansea Bay UHB</v>
      </c>
      <c r="C737" s="17"/>
      <c r="D737" s="17"/>
      <c r="E737" s="17"/>
      <c r="F737" s="17"/>
      <c r="G737" s="17"/>
      <c r="H737" s="17"/>
      <c r="I737" s="361">
        <f t="shared" si="161"/>
        <v>0</v>
      </c>
      <c r="J737" s="17"/>
      <c r="K737" s="18"/>
      <c r="L737" s="18"/>
      <c r="M737" s="17"/>
      <c r="N737" s="17"/>
      <c r="O737" s="17"/>
      <c r="P737" s="17"/>
      <c r="Q737" s="169"/>
      <c r="R737" s="24"/>
      <c r="S737" s="24"/>
      <c r="T737" s="24"/>
      <c r="U737" s="25"/>
      <c r="V737" s="25"/>
      <c r="W737" s="25"/>
      <c r="X737" s="24"/>
      <c r="Y737" s="24"/>
      <c r="Z737" s="24"/>
      <c r="AA737" s="24"/>
      <c r="AB737" s="24"/>
      <c r="AC737" s="24"/>
      <c r="AD737" s="361">
        <f t="shared" si="160"/>
        <v>0</v>
      </c>
      <c r="AE737" s="359" t="str">
        <f t="shared" si="163"/>
        <v/>
      </c>
      <c r="AF737" s="359" t="str">
        <f t="shared" si="172"/>
        <v/>
      </c>
      <c r="AG737" s="359" t="str">
        <f t="shared" si="164"/>
        <v/>
      </c>
      <c r="AH737" s="359" t="str">
        <f t="shared" si="165"/>
        <v/>
      </c>
      <c r="AI737" s="359" t="str">
        <f t="shared" si="166"/>
        <v/>
      </c>
      <c r="AJ737" s="359" t="str">
        <f t="shared" si="167"/>
        <v/>
      </c>
      <c r="AK737" s="359" t="str">
        <f t="shared" si="169"/>
        <v/>
      </c>
      <c r="AL737" s="359" t="str">
        <f t="shared" si="168"/>
        <v/>
      </c>
      <c r="AM737" s="359" t="str">
        <f t="shared" si="170"/>
        <v/>
      </c>
      <c r="AN737" s="262">
        <f t="shared" si="173"/>
        <v>0</v>
      </c>
      <c r="AO737" s="262" t="str">
        <f>IFERROR(HLOOKUP(AN737,'Ref Lists'!Q$1:AL$2,2,FALSE),'Ref Lists'!$AK$2)</f>
        <v>Savings21</v>
      </c>
      <c r="AP737" s="38"/>
      <c r="AQ737" s="38">
        <f t="shared" si="162"/>
        <v>0</v>
      </c>
      <c r="AR737" s="38"/>
      <c r="AS737" s="38"/>
      <c r="AT737" s="38"/>
      <c r="AU737" s="38"/>
      <c r="AV737" s="38"/>
      <c r="AW737" s="38"/>
      <c r="AX737" s="38"/>
      <c r="AY737" s="38"/>
      <c r="AZ737" s="38"/>
      <c r="BA737" s="38"/>
      <c r="BB737" s="38"/>
      <c r="BC737" s="38"/>
      <c r="BD737" s="38"/>
      <c r="BE737" s="38"/>
      <c r="BF737" s="38"/>
      <c r="BG737" s="38"/>
      <c r="BH737" s="38"/>
      <c r="BI737" s="38"/>
      <c r="BJ737" s="38"/>
      <c r="BK737" s="38"/>
      <c r="BL737" s="38"/>
      <c r="BM737" s="38"/>
      <c r="BN737" s="38"/>
      <c r="BO737" s="38"/>
      <c r="BP737" s="38"/>
      <c r="BQ737" s="38"/>
      <c r="BR737" s="38"/>
      <c r="BS737" s="38"/>
      <c r="BT737" s="38"/>
      <c r="BU737" s="38"/>
      <c r="BV737" s="38"/>
      <c r="BW737" s="38"/>
      <c r="BX737" s="38"/>
      <c r="BY737" s="38"/>
      <c r="BZ737" s="38"/>
      <c r="CA737" s="38"/>
      <c r="CB737" s="38"/>
      <c r="CC737" s="38"/>
      <c r="CD737" s="38"/>
      <c r="CE737" s="38"/>
      <c r="CF737" s="38"/>
      <c r="CG737" s="38"/>
      <c r="CH737" s="38"/>
      <c r="CI737" s="38"/>
      <c r="CJ737" s="38"/>
      <c r="CK737" s="38"/>
      <c r="CL737" s="38"/>
      <c r="CM737" s="38"/>
      <c r="CN737" s="38"/>
      <c r="CO737" s="38"/>
      <c r="CP737" s="38"/>
      <c r="CQ737" s="38"/>
      <c r="CR737" s="38"/>
      <c r="CS737" s="38"/>
      <c r="CT737" s="38"/>
      <c r="CU737" s="38"/>
      <c r="CV737" s="38"/>
      <c r="CW737" s="38"/>
      <c r="CX737" s="38"/>
      <c r="CY737" s="38"/>
      <c r="CZ737" s="38"/>
    </row>
    <row r="738" spans="1:104" s="40" customFormat="1" ht="20.149999999999999" customHeight="1">
      <c r="A738" s="358">
        <f t="shared" si="171"/>
        <v>737</v>
      </c>
      <c r="B738" s="359" t="str">
        <f>'Front Sheet and Checklist'!$C$5</f>
        <v>Swansea Bay UHB</v>
      </c>
      <c r="C738" s="17"/>
      <c r="D738" s="17"/>
      <c r="E738" s="17"/>
      <c r="F738" s="17"/>
      <c r="G738" s="17"/>
      <c r="H738" s="17"/>
      <c r="I738" s="361">
        <f t="shared" si="161"/>
        <v>0</v>
      </c>
      <c r="J738" s="17"/>
      <c r="K738" s="18"/>
      <c r="L738" s="18"/>
      <c r="M738" s="17"/>
      <c r="N738" s="17"/>
      <c r="O738" s="17"/>
      <c r="P738" s="17"/>
      <c r="Q738" s="169"/>
      <c r="R738" s="24"/>
      <c r="S738" s="24"/>
      <c r="T738" s="24"/>
      <c r="U738" s="25"/>
      <c r="V738" s="25"/>
      <c r="W738" s="25"/>
      <c r="X738" s="24"/>
      <c r="Y738" s="24"/>
      <c r="Z738" s="24"/>
      <c r="AA738" s="24"/>
      <c r="AB738" s="24"/>
      <c r="AC738" s="24"/>
      <c r="AD738" s="361">
        <f t="shared" si="160"/>
        <v>0</v>
      </c>
      <c r="AE738" s="359" t="str">
        <f t="shared" si="163"/>
        <v/>
      </c>
      <c r="AF738" s="359" t="str">
        <f t="shared" si="172"/>
        <v/>
      </c>
      <c r="AG738" s="359" t="str">
        <f t="shared" si="164"/>
        <v/>
      </c>
      <c r="AH738" s="359" t="str">
        <f t="shared" si="165"/>
        <v/>
      </c>
      <c r="AI738" s="359" t="str">
        <f t="shared" si="166"/>
        <v/>
      </c>
      <c r="AJ738" s="359" t="str">
        <f t="shared" si="167"/>
        <v/>
      </c>
      <c r="AK738" s="359" t="str">
        <f t="shared" si="169"/>
        <v/>
      </c>
      <c r="AL738" s="359" t="str">
        <f t="shared" si="168"/>
        <v/>
      </c>
      <c r="AM738" s="359" t="str">
        <f t="shared" si="170"/>
        <v/>
      </c>
      <c r="AN738" s="262">
        <f t="shared" si="173"/>
        <v>0</v>
      </c>
      <c r="AO738" s="262" t="str">
        <f>IFERROR(HLOOKUP(AN738,'Ref Lists'!Q$1:AL$2,2,FALSE),'Ref Lists'!$AK$2)</f>
        <v>Savings21</v>
      </c>
      <c r="AP738" s="38"/>
      <c r="AQ738" s="38">
        <f t="shared" si="162"/>
        <v>0</v>
      </c>
      <c r="AR738" s="38"/>
      <c r="AS738" s="38"/>
      <c r="AT738" s="38"/>
      <c r="AU738" s="38"/>
      <c r="AV738" s="38"/>
      <c r="AW738" s="38"/>
      <c r="AX738" s="38"/>
      <c r="AY738" s="38"/>
      <c r="AZ738" s="38"/>
      <c r="BA738" s="38"/>
      <c r="BB738" s="38"/>
      <c r="BC738" s="38"/>
      <c r="BD738" s="38"/>
      <c r="BE738" s="38"/>
      <c r="BF738" s="38"/>
      <c r="BG738" s="38"/>
      <c r="BH738" s="38"/>
      <c r="BI738" s="38"/>
      <c r="BJ738" s="38"/>
      <c r="BK738" s="38"/>
      <c r="BL738" s="38"/>
      <c r="BM738" s="38"/>
      <c r="BN738" s="38"/>
      <c r="BO738" s="38"/>
      <c r="BP738" s="38"/>
      <c r="BQ738" s="38"/>
      <c r="BR738" s="38"/>
      <c r="BS738" s="38"/>
      <c r="BT738" s="38"/>
      <c r="BU738" s="38"/>
      <c r="BV738" s="38"/>
      <c r="BW738" s="38"/>
      <c r="BX738" s="38"/>
      <c r="BY738" s="38"/>
      <c r="BZ738" s="38"/>
      <c r="CA738" s="38"/>
      <c r="CB738" s="38"/>
      <c r="CC738" s="38"/>
      <c r="CD738" s="38"/>
      <c r="CE738" s="38"/>
      <c r="CF738" s="38"/>
      <c r="CG738" s="38"/>
      <c r="CH738" s="38"/>
      <c r="CI738" s="38"/>
      <c r="CJ738" s="38"/>
      <c r="CK738" s="38"/>
      <c r="CL738" s="38"/>
      <c r="CM738" s="38"/>
      <c r="CN738" s="38"/>
      <c r="CO738" s="38"/>
      <c r="CP738" s="38"/>
      <c r="CQ738" s="38"/>
      <c r="CR738" s="38"/>
      <c r="CS738" s="38"/>
      <c r="CT738" s="38"/>
      <c r="CU738" s="38"/>
      <c r="CV738" s="38"/>
      <c r="CW738" s="38"/>
      <c r="CX738" s="38"/>
      <c r="CY738" s="38"/>
      <c r="CZ738" s="38"/>
    </row>
    <row r="739" spans="1:104" s="40" customFormat="1" ht="20.149999999999999" customHeight="1">
      <c r="A739" s="358">
        <f t="shared" si="171"/>
        <v>738</v>
      </c>
      <c r="B739" s="359" t="str">
        <f>'Front Sheet and Checklist'!$C$5</f>
        <v>Swansea Bay UHB</v>
      </c>
      <c r="C739" s="17"/>
      <c r="D739" s="17"/>
      <c r="E739" s="17"/>
      <c r="F739" s="17"/>
      <c r="G739" s="17"/>
      <c r="H739" s="17"/>
      <c r="I739" s="361">
        <f t="shared" si="161"/>
        <v>0</v>
      </c>
      <c r="J739" s="17"/>
      <c r="K739" s="18"/>
      <c r="L739" s="18"/>
      <c r="M739" s="17"/>
      <c r="N739" s="17"/>
      <c r="O739" s="17"/>
      <c r="P739" s="17"/>
      <c r="Q739" s="169"/>
      <c r="R739" s="24"/>
      <c r="S739" s="24"/>
      <c r="T739" s="24"/>
      <c r="U739" s="25"/>
      <c r="V739" s="25"/>
      <c r="W739" s="25"/>
      <c r="X739" s="24"/>
      <c r="Y739" s="24"/>
      <c r="Z739" s="24"/>
      <c r="AA739" s="24"/>
      <c r="AB739" s="24"/>
      <c r="AC739" s="24"/>
      <c r="AD739" s="361">
        <f t="shared" si="160"/>
        <v>0</v>
      </c>
      <c r="AE739" s="359" t="str">
        <f t="shared" si="163"/>
        <v/>
      </c>
      <c r="AF739" s="359" t="str">
        <f t="shared" si="172"/>
        <v/>
      </c>
      <c r="AG739" s="359" t="str">
        <f t="shared" si="164"/>
        <v/>
      </c>
      <c r="AH739" s="359" t="str">
        <f t="shared" si="165"/>
        <v/>
      </c>
      <c r="AI739" s="359" t="str">
        <f t="shared" si="166"/>
        <v/>
      </c>
      <c r="AJ739" s="359" t="str">
        <f t="shared" si="167"/>
        <v/>
      </c>
      <c r="AK739" s="359" t="str">
        <f t="shared" si="169"/>
        <v/>
      </c>
      <c r="AL739" s="359" t="str">
        <f t="shared" si="168"/>
        <v/>
      </c>
      <c r="AM739" s="359" t="str">
        <f t="shared" si="170"/>
        <v/>
      </c>
      <c r="AN739" s="262">
        <f t="shared" si="173"/>
        <v>0</v>
      </c>
      <c r="AO739" s="262" t="str">
        <f>IFERROR(HLOOKUP(AN739,'Ref Lists'!Q$1:AL$2,2,FALSE),'Ref Lists'!$AK$2)</f>
        <v>Savings21</v>
      </c>
      <c r="AP739" s="38"/>
      <c r="AQ739" s="38">
        <f t="shared" si="162"/>
        <v>0</v>
      </c>
      <c r="AR739" s="38"/>
      <c r="AS739" s="38"/>
      <c r="AT739" s="38"/>
      <c r="AU739" s="38"/>
      <c r="AV739" s="38"/>
      <c r="AW739" s="38"/>
      <c r="AX739" s="38"/>
      <c r="AY739" s="38"/>
      <c r="AZ739" s="38"/>
      <c r="BA739" s="38"/>
      <c r="BB739" s="38"/>
      <c r="BC739" s="38"/>
      <c r="BD739" s="38"/>
      <c r="BE739" s="38"/>
      <c r="BF739" s="38"/>
      <c r="BG739" s="38"/>
      <c r="BH739" s="38"/>
      <c r="BI739" s="38"/>
      <c r="BJ739" s="38"/>
      <c r="BK739" s="38"/>
      <c r="BL739" s="38"/>
      <c r="BM739" s="38"/>
      <c r="BN739" s="38"/>
      <c r="BO739" s="38"/>
      <c r="BP739" s="38"/>
      <c r="BQ739" s="38"/>
      <c r="BR739" s="38"/>
      <c r="BS739" s="38"/>
      <c r="BT739" s="38"/>
      <c r="BU739" s="38"/>
      <c r="BV739" s="38"/>
      <c r="BW739" s="38"/>
      <c r="BX739" s="38"/>
      <c r="BY739" s="38"/>
      <c r="BZ739" s="38"/>
      <c r="CA739" s="38"/>
      <c r="CB739" s="38"/>
      <c r="CC739" s="38"/>
      <c r="CD739" s="38"/>
      <c r="CE739" s="38"/>
      <c r="CF739" s="38"/>
      <c r="CG739" s="38"/>
      <c r="CH739" s="38"/>
      <c r="CI739" s="38"/>
      <c r="CJ739" s="38"/>
      <c r="CK739" s="38"/>
      <c r="CL739" s="38"/>
      <c r="CM739" s="38"/>
      <c r="CN739" s="38"/>
      <c r="CO739" s="38"/>
      <c r="CP739" s="38"/>
      <c r="CQ739" s="38"/>
      <c r="CR739" s="38"/>
      <c r="CS739" s="38"/>
      <c r="CT739" s="38"/>
      <c r="CU739" s="38"/>
      <c r="CV739" s="38"/>
      <c r="CW739" s="38"/>
      <c r="CX739" s="38"/>
      <c r="CY739" s="38"/>
      <c r="CZ739" s="38"/>
    </row>
    <row r="740" spans="1:104" s="40" customFormat="1" ht="20.149999999999999" customHeight="1">
      <c r="A740" s="358">
        <f t="shared" si="171"/>
        <v>739</v>
      </c>
      <c r="B740" s="359" t="str">
        <f>'Front Sheet and Checklist'!$C$5</f>
        <v>Swansea Bay UHB</v>
      </c>
      <c r="C740" s="17"/>
      <c r="D740" s="17"/>
      <c r="E740" s="17"/>
      <c r="F740" s="17"/>
      <c r="G740" s="17"/>
      <c r="H740" s="17"/>
      <c r="I740" s="361">
        <f t="shared" si="161"/>
        <v>0</v>
      </c>
      <c r="J740" s="17"/>
      <c r="K740" s="18"/>
      <c r="L740" s="18"/>
      <c r="M740" s="17"/>
      <c r="N740" s="17"/>
      <c r="O740" s="17"/>
      <c r="P740" s="17"/>
      <c r="Q740" s="169"/>
      <c r="R740" s="24"/>
      <c r="S740" s="24"/>
      <c r="T740" s="24"/>
      <c r="U740" s="25"/>
      <c r="V740" s="25"/>
      <c r="W740" s="25"/>
      <c r="X740" s="24"/>
      <c r="Y740" s="24"/>
      <c r="Z740" s="24"/>
      <c r="AA740" s="24"/>
      <c r="AB740" s="24"/>
      <c r="AC740" s="24"/>
      <c r="AD740" s="361">
        <f t="shared" si="160"/>
        <v>0</v>
      </c>
      <c r="AE740" s="359" t="str">
        <f t="shared" si="163"/>
        <v/>
      </c>
      <c r="AF740" s="359" t="str">
        <f t="shared" si="172"/>
        <v/>
      </c>
      <c r="AG740" s="359" t="str">
        <f t="shared" si="164"/>
        <v/>
      </c>
      <c r="AH740" s="359" t="str">
        <f t="shared" si="165"/>
        <v/>
      </c>
      <c r="AI740" s="359" t="str">
        <f t="shared" si="166"/>
        <v/>
      </c>
      <c r="AJ740" s="359" t="str">
        <f t="shared" si="167"/>
        <v/>
      </c>
      <c r="AK740" s="359" t="str">
        <f t="shared" si="169"/>
        <v/>
      </c>
      <c r="AL740" s="359" t="str">
        <f t="shared" si="168"/>
        <v/>
      </c>
      <c r="AM740" s="359" t="str">
        <f t="shared" si="170"/>
        <v/>
      </c>
      <c r="AN740" s="262">
        <f t="shared" si="173"/>
        <v>0</v>
      </c>
      <c r="AO740" s="262" t="str">
        <f>IFERROR(HLOOKUP(AN740,'Ref Lists'!Q$1:AL$2,2,FALSE),'Ref Lists'!$AK$2)</f>
        <v>Savings21</v>
      </c>
      <c r="AP740" s="38"/>
      <c r="AQ740" s="38">
        <f t="shared" si="162"/>
        <v>0</v>
      </c>
      <c r="AR740" s="38"/>
      <c r="AS740" s="38"/>
      <c r="AT740" s="38"/>
      <c r="AU740" s="38"/>
      <c r="AV740" s="38"/>
      <c r="AW740" s="38"/>
      <c r="AX740" s="38"/>
      <c r="AY740" s="38"/>
      <c r="AZ740" s="38"/>
      <c r="BA740" s="38"/>
      <c r="BB740" s="38"/>
      <c r="BC740" s="38"/>
      <c r="BD740" s="38"/>
      <c r="BE740" s="38"/>
      <c r="BF740" s="38"/>
      <c r="BG740" s="38"/>
      <c r="BH740" s="38"/>
      <c r="BI740" s="38"/>
      <c r="BJ740" s="38"/>
      <c r="BK740" s="38"/>
      <c r="BL740" s="38"/>
      <c r="BM740" s="38"/>
      <c r="BN740" s="38"/>
      <c r="BO740" s="38"/>
      <c r="BP740" s="38"/>
      <c r="BQ740" s="38"/>
      <c r="BR740" s="38"/>
      <c r="BS740" s="38"/>
      <c r="BT740" s="38"/>
      <c r="BU740" s="38"/>
      <c r="BV740" s="38"/>
      <c r="BW740" s="38"/>
      <c r="BX740" s="38"/>
      <c r="BY740" s="38"/>
      <c r="BZ740" s="38"/>
      <c r="CA740" s="38"/>
      <c r="CB740" s="38"/>
      <c r="CC740" s="38"/>
      <c r="CD740" s="38"/>
      <c r="CE740" s="38"/>
      <c r="CF740" s="38"/>
      <c r="CG740" s="38"/>
      <c r="CH740" s="38"/>
      <c r="CI740" s="38"/>
      <c r="CJ740" s="38"/>
      <c r="CK740" s="38"/>
      <c r="CL740" s="38"/>
      <c r="CM740" s="38"/>
      <c r="CN740" s="38"/>
      <c r="CO740" s="38"/>
      <c r="CP740" s="38"/>
      <c r="CQ740" s="38"/>
      <c r="CR740" s="38"/>
      <c r="CS740" s="38"/>
      <c r="CT740" s="38"/>
      <c r="CU740" s="38"/>
      <c r="CV740" s="38"/>
      <c r="CW740" s="38"/>
      <c r="CX740" s="38"/>
      <c r="CY740" s="38"/>
      <c r="CZ740" s="38"/>
    </row>
    <row r="741" spans="1:104" s="40" customFormat="1" ht="20.149999999999999" customHeight="1">
      <c r="A741" s="358">
        <f t="shared" si="171"/>
        <v>740</v>
      </c>
      <c r="B741" s="359" t="str">
        <f>'Front Sheet and Checklist'!$C$5</f>
        <v>Swansea Bay UHB</v>
      </c>
      <c r="C741" s="17"/>
      <c r="D741" s="17"/>
      <c r="E741" s="17"/>
      <c r="F741" s="17"/>
      <c r="G741" s="17"/>
      <c r="H741" s="17"/>
      <c r="I741" s="361">
        <f t="shared" si="161"/>
        <v>0</v>
      </c>
      <c r="J741" s="17"/>
      <c r="K741" s="18"/>
      <c r="L741" s="18"/>
      <c r="M741" s="17"/>
      <c r="N741" s="17"/>
      <c r="O741" s="17"/>
      <c r="P741" s="17"/>
      <c r="Q741" s="169"/>
      <c r="R741" s="24"/>
      <c r="S741" s="24"/>
      <c r="T741" s="24"/>
      <c r="U741" s="25"/>
      <c r="V741" s="25"/>
      <c r="W741" s="25"/>
      <c r="X741" s="24"/>
      <c r="Y741" s="24"/>
      <c r="Z741" s="24"/>
      <c r="AA741" s="24"/>
      <c r="AB741" s="24"/>
      <c r="AC741" s="24"/>
      <c r="AD741" s="361">
        <f t="shared" si="160"/>
        <v>0</v>
      </c>
      <c r="AE741" s="359" t="str">
        <f t="shared" si="163"/>
        <v/>
      </c>
      <c r="AF741" s="359" t="str">
        <f t="shared" si="172"/>
        <v/>
      </c>
      <c r="AG741" s="359" t="str">
        <f t="shared" si="164"/>
        <v/>
      </c>
      <c r="AH741" s="359" t="str">
        <f t="shared" si="165"/>
        <v/>
      </c>
      <c r="AI741" s="359" t="str">
        <f t="shared" si="166"/>
        <v/>
      </c>
      <c r="AJ741" s="359" t="str">
        <f t="shared" si="167"/>
        <v/>
      </c>
      <c r="AK741" s="359" t="str">
        <f t="shared" si="169"/>
        <v/>
      </c>
      <c r="AL741" s="359" t="str">
        <f t="shared" si="168"/>
        <v/>
      </c>
      <c r="AM741" s="359" t="str">
        <f t="shared" si="170"/>
        <v/>
      </c>
      <c r="AN741" s="262">
        <f t="shared" si="173"/>
        <v>0</v>
      </c>
      <c r="AO741" s="262" t="str">
        <f>IFERROR(HLOOKUP(AN741,'Ref Lists'!Q$1:AL$2,2,FALSE),'Ref Lists'!$AK$2)</f>
        <v>Savings21</v>
      </c>
      <c r="AP741" s="38"/>
      <c r="AQ741" s="38">
        <f t="shared" si="162"/>
        <v>0</v>
      </c>
      <c r="AR741" s="38"/>
      <c r="AS741" s="38"/>
      <c r="AT741" s="38"/>
      <c r="AU741" s="38"/>
      <c r="AV741" s="38"/>
      <c r="AW741" s="38"/>
      <c r="AX741" s="38"/>
      <c r="AY741" s="38"/>
      <c r="AZ741" s="38"/>
      <c r="BA741" s="38"/>
      <c r="BB741" s="38"/>
      <c r="BC741" s="38"/>
      <c r="BD741" s="38"/>
      <c r="BE741" s="38"/>
      <c r="BF741" s="38"/>
      <c r="BG741" s="38"/>
      <c r="BH741" s="38"/>
      <c r="BI741" s="38"/>
      <c r="BJ741" s="38"/>
      <c r="BK741" s="38"/>
      <c r="BL741" s="38"/>
      <c r="BM741" s="38"/>
      <c r="BN741" s="38"/>
      <c r="BO741" s="38"/>
      <c r="BP741" s="38"/>
      <c r="BQ741" s="38"/>
      <c r="BR741" s="38"/>
      <c r="BS741" s="38"/>
      <c r="BT741" s="38"/>
      <c r="BU741" s="38"/>
      <c r="BV741" s="38"/>
      <c r="BW741" s="38"/>
      <c r="BX741" s="38"/>
      <c r="BY741" s="38"/>
      <c r="BZ741" s="38"/>
      <c r="CA741" s="38"/>
      <c r="CB741" s="38"/>
      <c r="CC741" s="38"/>
      <c r="CD741" s="38"/>
      <c r="CE741" s="38"/>
      <c r="CF741" s="38"/>
      <c r="CG741" s="38"/>
      <c r="CH741" s="38"/>
      <c r="CI741" s="38"/>
      <c r="CJ741" s="38"/>
      <c r="CK741" s="38"/>
      <c r="CL741" s="38"/>
      <c r="CM741" s="38"/>
      <c r="CN741" s="38"/>
      <c r="CO741" s="38"/>
      <c r="CP741" s="38"/>
      <c r="CQ741" s="38"/>
      <c r="CR741" s="38"/>
      <c r="CS741" s="38"/>
      <c r="CT741" s="38"/>
      <c r="CU741" s="38"/>
      <c r="CV741" s="38"/>
      <c r="CW741" s="38"/>
      <c r="CX741" s="38"/>
      <c r="CY741" s="38"/>
      <c r="CZ741" s="38"/>
    </row>
    <row r="742" spans="1:104" s="40" customFormat="1" ht="20.149999999999999" customHeight="1">
      <c r="A742" s="358">
        <f t="shared" si="171"/>
        <v>741</v>
      </c>
      <c r="B742" s="359" t="str">
        <f>'Front Sheet and Checklist'!$C$5</f>
        <v>Swansea Bay UHB</v>
      </c>
      <c r="C742" s="17"/>
      <c r="D742" s="17"/>
      <c r="E742" s="17"/>
      <c r="F742" s="17"/>
      <c r="G742" s="17"/>
      <c r="H742" s="17"/>
      <c r="I742" s="361">
        <f t="shared" si="161"/>
        <v>0</v>
      </c>
      <c r="J742" s="17"/>
      <c r="K742" s="18"/>
      <c r="L742" s="18"/>
      <c r="M742" s="17"/>
      <c r="N742" s="17"/>
      <c r="O742" s="17"/>
      <c r="P742" s="17"/>
      <c r="Q742" s="169"/>
      <c r="R742" s="24"/>
      <c r="S742" s="24"/>
      <c r="T742" s="24"/>
      <c r="U742" s="25"/>
      <c r="V742" s="25"/>
      <c r="W742" s="25"/>
      <c r="X742" s="24"/>
      <c r="Y742" s="24"/>
      <c r="Z742" s="24"/>
      <c r="AA742" s="24"/>
      <c r="AB742" s="24"/>
      <c r="AC742" s="24"/>
      <c r="AD742" s="361">
        <f t="shared" si="160"/>
        <v>0</v>
      </c>
      <c r="AE742" s="359" t="str">
        <f t="shared" si="163"/>
        <v/>
      </c>
      <c r="AF742" s="359" t="str">
        <f t="shared" si="172"/>
        <v/>
      </c>
      <c r="AG742" s="359" t="str">
        <f t="shared" si="164"/>
        <v/>
      </c>
      <c r="AH742" s="359" t="str">
        <f t="shared" si="165"/>
        <v/>
      </c>
      <c r="AI742" s="359" t="str">
        <f t="shared" si="166"/>
        <v/>
      </c>
      <c r="AJ742" s="359" t="str">
        <f t="shared" si="167"/>
        <v/>
      </c>
      <c r="AK742" s="359" t="str">
        <f t="shared" si="169"/>
        <v/>
      </c>
      <c r="AL742" s="359" t="str">
        <f t="shared" si="168"/>
        <v/>
      </c>
      <c r="AM742" s="359" t="str">
        <f t="shared" si="170"/>
        <v/>
      </c>
      <c r="AN742" s="262">
        <f t="shared" si="173"/>
        <v>0</v>
      </c>
      <c r="AO742" s="262" t="str">
        <f>IFERROR(HLOOKUP(AN742,'Ref Lists'!Q$1:AL$2,2,FALSE),'Ref Lists'!$AK$2)</f>
        <v>Savings21</v>
      </c>
      <c r="AP742" s="38"/>
      <c r="AQ742" s="38">
        <f t="shared" si="162"/>
        <v>0</v>
      </c>
      <c r="AR742" s="38"/>
      <c r="AS742" s="38"/>
      <c r="AT742" s="38"/>
      <c r="AU742" s="38"/>
      <c r="AV742" s="38"/>
      <c r="AW742" s="38"/>
      <c r="AX742" s="38"/>
      <c r="AY742" s="38"/>
      <c r="AZ742" s="38"/>
      <c r="BA742" s="38"/>
      <c r="BB742" s="38"/>
      <c r="BC742" s="38"/>
      <c r="BD742" s="38"/>
      <c r="BE742" s="38"/>
      <c r="BF742" s="38"/>
      <c r="BG742" s="38"/>
      <c r="BH742" s="38"/>
      <c r="BI742" s="38"/>
      <c r="BJ742" s="38"/>
      <c r="BK742" s="38"/>
      <c r="BL742" s="38"/>
      <c r="BM742" s="38"/>
      <c r="BN742" s="38"/>
      <c r="BO742" s="38"/>
      <c r="BP742" s="38"/>
      <c r="BQ742" s="38"/>
      <c r="BR742" s="38"/>
      <c r="BS742" s="38"/>
      <c r="BT742" s="38"/>
      <c r="BU742" s="38"/>
      <c r="BV742" s="38"/>
      <c r="BW742" s="38"/>
      <c r="BX742" s="38"/>
      <c r="BY742" s="38"/>
      <c r="BZ742" s="38"/>
      <c r="CA742" s="38"/>
      <c r="CB742" s="38"/>
      <c r="CC742" s="38"/>
      <c r="CD742" s="38"/>
      <c r="CE742" s="38"/>
      <c r="CF742" s="38"/>
      <c r="CG742" s="38"/>
      <c r="CH742" s="38"/>
      <c r="CI742" s="38"/>
      <c r="CJ742" s="38"/>
      <c r="CK742" s="38"/>
      <c r="CL742" s="38"/>
      <c r="CM742" s="38"/>
      <c r="CN742" s="38"/>
      <c r="CO742" s="38"/>
      <c r="CP742" s="38"/>
      <c r="CQ742" s="38"/>
      <c r="CR742" s="38"/>
      <c r="CS742" s="38"/>
      <c r="CT742" s="38"/>
      <c r="CU742" s="38"/>
      <c r="CV742" s="38"/>
      <c r="CW742" s="38"/>
      <c r="CX742" s="38"/>
      <c r="CY742" s="38"/>
      <c r="CZ742" s="38"/>
    </row>
    <row r="743" spans="1:104" s="40" customFormat="1" ht="20.149999999999999" customHeight="1">
      <c r="A743" s="358">
        <f t="shared" si="171"/>
        <v>742</v>
      </c>
      <c r="B743" s="359" t="str">
        <f>'Front Sheet and Checklist'!$C$5</f>
        <v>Swansea Bay UHB</v>
      </c>
      <c r="C743" s="17"/>
      <c r="D743" s="17"/>
      <c r="E743" s="17"/>
      <c r="F743" s="17"/>
      <c r="G743" s="17"/>
      <c r="H743" s="17"/>
      <c r="I743" s="361">
        <f t="shared" si="161"/>
        <v>0</v>
      </c>
      <c r="J743" s="17"/>
      <c r="K743" s="18"/>
      <c r="L743" s="18"/>
      <c r="M743" s="17"/>
      <c r="N743" s="17"/>
      <c r="O743" s="17"/>
      <c r="P743" s="17"/>
      <c r="Q743" s="169"/>
      <c r="R743" s="24"/>
      <c r="S743" s="24"/>
      <c r="T743" s="24"/>
      <c r="U743" s="25"/>
      <c r="V743" s="25"/>
      <c r="W743" s="25"/>
      <c r="X743" s="24"/>
      <c r="Y743" s="24"/>
      <c r="Z743" s="24"/>
      <c r="AA743" s="24"/>
      <c r="AB743" s="24"/>
      <c r="AC743" s="24"/>
      <c r="AD743" s="361">
        <f t="shared" si="160"/>
        <v>0</v>
      </c>
      <c r="AE743" s="359" t="str">
        <f t="shared" si="163"/>
        <v/>
      </c>
      <c r="AF743" s="359" t="str">
        <f t="shared" si="172"/>
        <v/>
      </c>
      <c r="AG743" s="359" t="str">
        <f t="shared" si="164"/>
        <v/>
      </c>
      <c r="AH743" s="359" t="str">
        <f t="shared" si="165"/>
        <v/>
      </c>
      <c r="AI743" s="359" t="str">
        <f t="shared" si="166"/>
        <v/>
      </c>
      <c r="AJ743" s="359" t="str">
        <f t="shared" si="167"/>
        <v/>
      </c>
      <c r="AK743" s="359" t="str">
        <f t="shared" si="169"/>
        <v/>
      </c>
      <c r="AL743" s="359" t="str">
        <f t="shared" si="168"/>
        <v/>
      </c>
      <c r="AM743" s="359" t="str">
        <f t="shared" si="170"/>
        <v/>
      </c>
      <c r="AN743" s="262">
        <f t="shared" si="173"/>
        <v>0</v>
      </c>
      <c r="AO743" s="262" t="str">
        <f>IFERROR(HLOOKUP(AN743,'Ref Lists'!Q$1:AL$2,2,FALSE),'Ref Lists'!$AK$2)</f>
        <v>Savings21</v>
      </c>
      <c r="AP743" s="38"/>
      <c r="AQ743" s="38">
        <f t="shared" si="162"/>
        <v>0</v>
      </c>
      <c r="AR743" s="38"/>
      <c r="AS743" s="38"/>
      <c r="AT743" s="38"/>
      <c r="AU743" s="38"/>
      <c r="AV743" s="38"/>
      <c r="AW743" s="38"/>
      <c r="AX743" s="38"/>
      <c r="AY743" s="38"/>
      <c r="AZ743" s="38"/>
      <c r="BA743" s="38"/>
      <c r="BB743" s="38"/>
      <c r="BC743" s="38"/>
      <c r="BD743" s="38"/>
      <c r="BE743" s="38"/>
      <c r="BF743" s="38"/>
      <c r="BG743" s="38"/>
      <c r="BH743" s="38"/>
      <c r="BI743" s="38"/>
      <c r="BJ743" s="38"/>
      <c r="BK743" s="38"/>
      <c r="BL743" s="38"/>
      <c r="BM743" s="38"/>
      <c r="BN743" s="38"/>
      <c r="BO743" s="38"/>
      <c r="BP743" s="38"/>
      <c r="BQ743" s="38"/>
      <c r="BR743" s="38"/>
      <c r="BS743" s="38"/>
      <c r="BT743" s="38"/>
      <c r="BU743" s="38"/>
      <c r="BV743" s="38"/>
      <c r="BW743" s="38"/>
      <c r="BX743" s="38"/>
      <c r="BY743" s="38"/>
      <c r="BZ743" s="38"/>
      <c r="CA743" s="38"/>
      <c r="CB743" s="38"/>
      <c r="CC743" s="38"/>
      <c r="CD743" s="38"/>
      <c r="CE743" s="38"/>
      <c r="CF743" s="38"/>
      <c r="CG743" s="38"/>
      <c r="CH743" s="38"/>
      <c r="CI743" s="38"/>
      <c r="CJ743" s="38"/>
      <c r="CK743" s="38"/>
      <c r="CL743" s="38"/>
      <c r="CM743" s="38"/>
      <c r="CN743" s="38"/>
      <c r="CO743" s="38"/>
      <c r="CP743" s="38"/>
      <c r="CQ743" s="38"/>
      <c r="CR743" s="38"/>
      <c r="CS743" s="38"/>
      <c r="CT743" s="38"/>
      <c r="CU743" s="38"/>
      <c r="CV743" s="38"/>
      <c r="CW743" s="38"/>
      <c r="CX743" s="38"/>
      <c r="CY743" s="38"/>
      <c r="CZ743" s="38"/>
    </row>
    <row r="744" spans="1:104" s="40" customFormat="1" ht="20.149999999999999" customHeight="1">
      <c r="A744" s="358">
        <f t="shared" si="171"/>
        <v>743</v>
      </c>
      <c r="B744" s="359" t="str">
        <f>'Front Sheet and Checklist'!$C$5</f>
        <v>Swansea Bay UHB</v>
      </c>
      <c r="C744" s="17"/>
      <c r="D744" s="17"/>
      <c r="E744" s="17"/>
      <c r="F744" s="17"/>
      <c r="G744" s="17"/>
      <c r="H744" s="17"/>
      <c r="I744" s="361">
        <f t="shared" si="161"/>
        <v>0</v>
      </c>
      <c r="J744" s="17"/>
      <c r="K744" s="18"/>
      <c r="L744" s="18"/>
      <c r="M744" s="17"/>
      <c r="N744" s="17"/>
      <c r="O744" s="17"/>
      <c r="P744" s="17"/>
      <c r="Q744" s="169"/>
      <c r="R744" s="24"/>
      <c r="S744" s="24"/>
      <c r="T744" s="24"/>
      <c r="U744" s="25"/>
      <c r="V744" s="25"/>
      <c r="W744" s="25"/>
      <c r="X744" s="24"/>
      <c r="Y744" s="24"/>
      <c r="Z744" s="24"/>
      <c r="AA744" s="24"/>
      <c r="AB744" s="24"/>
      <c r="AC744" s="24"/>
      <c r="AD744" s="361">
        <f t="shared" si="160"/>
        <v>0</v>
      </c>
      <c r="AE744" s="359" t="str">
        <f t="shared" si="163"/>
        <v/>
      </c>
      <c r="AF744" s="359" t="str">
        <f t="shared" si="172"/>
        <v/>
      </c>
      <c r="AG744" s="359" t="str">
        <f t="shared" si="164"/>
        <v/>
      </c>
      <c r="AH744" s="359" t="str">
        <f t="shared" si="165"/>
        <v/>
      </c>
      <c r="AI744" s="359" t="str">
        <f t="shared" si="166"/>
        <v/>
      </c>
      <c r="AJ744" s="359" t="str">
        <f t="shared" si="167"/>
        <v/>
      </c>
      <c r="AK744" s="359" t="str">
        <f t="shared" si="169"/>
        <v/>
      </c>
      <c r="AL744" s="359" t="str">
        <f t="shared" si="168"/>
        <v/>
      </c>
      <c r="AM744" s="359" t="str">
        <f t="shared" si="170"/>
        <v/>
      </c>
      <c r="AN744" s="262">
        <f t="shared" si="173"/>
        <v>0</v>
      </c>
      <c r="AO744" s="262" t="str">
        <f>IFERROR(HLOOKUP(AN744,'Ref Lists'!Q$1:AL$2,2,FALSE),'Ref Lists'!$AK$2)</f>
        <v>Savings21</v>
      </c>
      <c r="AP744" s="38"/>
      <c r="AQ744" s="38">
        <f t="shared" si="162"/>
        <v>0</v>
      </c>
      <c r="AR744" s="38"/>
      <c r="AS744" s="38"/>
      <c r="AT744" s="38"/>
      <c r="AU744" s="38"/>
      <c r="AV744" s="38"/>
      <c r="AW744" s="38"/>
      <c r="AX744" s="38"/>
      <c r="AY744" s="38"/>
      <c r="AZ744" s="38"/>
      <c r="BA744" s="38"/>
      <c r="BB744" s="38"/>
      <c r="BC744" s="38"/>
      <c r="BD744" s="38"/>
      <c r="BE744" s="38"/>
      <c r="BF744" s="38"/>
      <c r="BG744" s="38"/>
      <c r="BH744" s="38"/>
      <c r="BI744" s="38"/>
      <c r="BJ744" s="38"/>
      <c r="BK744" s="38"/>
      <c r="BL744" s="38"/>
      <c r="BM744" s="38"/>
      <c r="BN744" s="38"/>
      <c r="BO744" s="38"/>
      <c r="BP744" s="38"/>
      <c r="BQ744" s="38"/>
      <c r="BR744" s="38"/>
      <c r="BS744" s="38"/>
      <c r="BT744" s="38"/>
      <c r="BU744" s="38"/>
      <c r="BV744" s="38"/>
      <c r="BW744" s="38"/>
      <c r="BX744" s="38"/>
      <c r="BY744" s="38"/>
      <c r="BZ744" s="38"/>
      <c r="CA744" s="38"/>
      <c r="CB744" s="38"/>
      <c r="CC744" s="38"/>
      <c r="CD744" s="38"/>
      <c r="CE744" s="38"/>
      <c r="CF744" s="38"/>
      <c r="CG744" s="38"/>
      <c r="CH744" s="38"/>
      <c r="CI744" s="38"/>
      <c r="CJ744" s="38"/>
      <c r="CK744" s="38"/>
      <c r="CL744" s="38"/>
      <c r="CM744" s="38"/>
      <c r="CN744" s="38"/>
      <c r="CO744" s="38"/>
      <c r="CP744" s="38"/>
      <c r="CQ744" s="38"/>
      <c r="CR744" s="38"/>
      <c r="CS744" s="38"/>
      <c r="CT744" s="38"/>
      <c r="CU744" s="38"/>
      <c r="CV744" s="38"/>
      <c r="CW744" s="38"/>
      <c r="CX744" s="38"/>
      <c r="CY744" s="38"/>
      <c r="CZ744" s="38"/>
    </row>
    <row r="745" spans="1:104" s="40" customFormat="1" ht="20.149999999999999" customHeight="1">
      <c r="A745" s="358">
        <f t="shared" si="171"/>
        <v>744</v>
      </c>
      <c r="B745" s="359" t="str">
        <f>'Front Sheet and Checklist'!$C$5</f>
        <v>Swansea Bay UHB</v>
      </c>
      <c r="C745" s="17"/>
      <c r="D745" s="17"/>
      <c r="E745" s="17"/>
      <c r="F745" s="17"/>
      <c r="G745" s="17"/>
      <c r="H745" s="17"/>
      <c r="I745" s="361">
        <f t="shared" si="161"/>
        <v>0</v>
      </c>
      <c r="J745" s="17"/>
      <c r="K745" s="18"/>
      <c r="L745" s="18"/>
      <c r="M745" s="17"/>
      <c r="N745" s="17"/>
      <c r="O745" s="17"/>
      <c r="P745" s="17"/>
      <c r="Q745" s="169"/>
      <c r="R745" s="24"/>
      <c r="S745" s="24"/>
      <c r="T745" s="24"/>
      <c r="U745" s="25"/>
      <c r="V745" s="25"/>
      <c r="W745" s="25"/>
      <c r="X745" s="24"/>
      <c r="Y745" s="24"/>
      <c r="Z745" s="24"/>
      <c r="AA745" s="24"/>
      <c r="AB745" s="24"/>
      <c r="AC745" s="24"/>
      <c r="AD745" s="361">
        <f t="shared" si="160"/>
        <v>0</v>
      </c>
      <c r="AE745" s="359" t="str">
        <f t="shared" si="163"/>
        <v/>
      </c>
      <c r="AF745" s="359" t="str">
        <f t="shared" si="172"/>
        <v/>
      </c>
      <c r="AG745" s="359" t="str">
        <f t="shared" si="164"/>
        <v/>
      </c>
      <c r="AH745" s="359" t="str">
        <f t="shared" si="165"/>
        <v/>
      </c>
      <c r="AI745" s="359" t="str">
        <f t="shared" si="166"/>
        <v/>
      </c>
      <c r="AJ745" s="359" t="str">
        <f t="shared" si="167"/>
        <v/>
      </c>
      <c r="AK745" s="359" t="str">
        <f t="shared" si="169"/>
        <v/>
      </c>
      <c r="AL745" s="359" t="str">
        <f t="shared" si="168"/>
        <v/>
      </c>
      <c r="AM745" s="359" t="str">
        <f t="shared" si="170"/>
        <v/>
      </c>
      <c r="AN745" s="262">
        <f t="shared" si="173"/>
        <v>0</v>
      </c>
      <c r="AO745" s="262" t="str">
        <f>IFERROR(HLOOKUP(AN745,'Ref Lists'!Q$1:AL$2,2,FALSE),'Ref Lists'!$AK$2)</f>
        <v>Savings21</v>
      </c>
      <c r="AP745" s="38"/>
      <c r="AQ745" s="38">
        <f t="shared" si="162"/>
        <v>0</v>
      </c>
      <c r="AR745" s="38"/>
      <c r="AS745" s="38"/>
      <c r="AT745" s="38"/>
      <c r="AU745" s="38"/>
      <c r="AV745" s="38"/>
      <c r="AW745" s="38"/>
      <c r="AX745" s="38"/>
      <c r="AY745" s="38"/>
      <c r="AZ745" s="38"/>
      <c r="BA745" s="38"/>
      <c r="BB745" s="38"/>
      <c r="BC745" s="38"/>
      <c r="BD745" s="38"/>
      <c r="BE745" s="38"/>
      <c r="BF745" s="38"/>
      <c r="BG745" s="38"/>
      <c r="BH745" s="38"/>
      <c r="BI745" s="38"/>
      <c r="BJ745" s="38"/>
      <c r="BK745" s="38"/>
      <c r="BL745" s="38"/>
      <c r="BM745" s="38"/>
      <c r="BN745" s="38"/>
      <c r="BO745" s="38"/>
      <c r="BP745" s="38"/>
      <c r="BQ745" s="38"/>
      <c r="BR745" s="38"/>
      <c r="BS745" s="38"/>
      <c r="BT745" s="38"/>
      <c r="BU745" s="38"/>
      <c r="BV745" s="38"/>
      <c r="BW745" s="38"/>
      <c r="BX745" s="38"/>
      <c r="BY745" s="38"/>
      <c r="BZ745" s="38"/>
      <c r="CA745" s="38"/>
      <c r="CB745" s="38"/>
      <c r="CC745" s="38"/>
      <c r="CD745" s="38"/>
      <c r="CE745" s="38"/>
      <c r="CF745" s="38"/>
      <c r="CG745" s="38"/>
      <c r="CH745" s="38"/>
      <c r="CI745" s="38"/>
      <c r="CJ745" s="38"/>
      <c r="CK745" s="38"/>
      <c r="CL745" s="38"/>
      <c r="CM745" s="38"/>
      <c r="CN745" s="38"/>
      <c r="CO745" s="38"/>
      <c r="CP745" s="38"/>
      <c r="CQ745" s="38"/>
      <c r="CR745" s="38"/>
      <c r="CS745" s="38"/>
      <c r="CT745" s="38"/>
      <c r="CU745" s="38"/>
      <c r="CV745" s="38"/>
      <c r="CW745" s="38"/>
      <c r="CX745" s="38"/>
      <c r="CY745" s="38"/>
      <c r="CZ745" s="38"/>
    </row>
    <row r="746" spans="1:104" s="40" customFormat="1" ht="20.149999999999999" customHeight="1">
      <c r="A746" s="358">
        <f t="shared" si="171"/>
        <v>745</v>
      </c>
      <c r="B746" s="359" t="str">
        <f>'Front Sheet and Checklist'!$C$5</f>
        <v>Swansea Bay UHB</v>
      </c>
      <c r="C746" s="17"/>
      <c r="D746" s="17"/>
      <c r="E746" s="17"/>
      <c r="F746" s="17"/>
      <c r="G746" s="17"/>
      <c r="H746" s="17"/>
      <c r="I746" s="361">
        <f t="shared" si="161"/>
        <v>0</v>
      </c>
      <c r="J746" s="17"/>
      <c r="K746" s="18"/>
      <c r="L746" s="18"/>
      <c r="M746" s="17"/>
      <c r="N746" s="17"/>
      <c r="O746" s="17"/>
      <c r="P746" s="17"/>
      <c r="Q746" s="169"/>
      <c r="R746" s="24"/>
      <c r="S746" s="24"/>
      <c r="T746" s="24"/>
      <c r="U746" s="25"/>
      <c r="V746" s="25"/>
      <c r="W746" s="25"/>
      <c r="X746" s="24"/>
      <c r="Y746" s="24"/>
      <c r="Z746" s="24"/>
      <c r="AA746" s="24"/>
      <c r="AB746" s="24"/>
      <c r="AC746" s="24"/>
      <c r="AD746" s="361">
        <f t="shared" si="160"/>
        <v>0</v>
      </c>
      <c r="AE746" s="359" t="str">
        <f t="shared" si="163"/>
        <v/>
      </c>
      <c r="AF746" s="359" t="str">
        <f t="shared" si="172"/>
        <v/>
      </c>
      <c r="AG746" s="359" t="str">
        <f t="shared" si="164"/>
        <v/>
      </c>
      <c r="AH746" s="359" t="str">
        <f t="shared" si="165"/>
        <v/>
      </c>
      <c r="AI746" s="359" t="str">
        <f t="shared" si="166"/>
        <v/>
      </c>
      <c r="AJ746" s="359" t="str">
        <f t="shared" si="167"/>
        <v/>
      </c>
      <c r="AK746" s="359" t="str">
        <f t="shared" si="169"/>
        <v/>
      </c>
      <c r="AL746" s="359" t="str">
        <f t="shared" si="168"/>
        <v/>
      </c>
      <c r="AM746" s="359" t="str">
        <f t="shared" si="170"/>
        <v/>
      </c>
      <c r="AN746" s="262">
        <f t="shared" si="173"/>
        <v>0</v>
      </c>
      <c r="AO746" s="262" t="str">
        <f>IFERROR(HLOOKUP(AN746,'Ref Lists'!Q$1:AL$2,2,FALSE),'Ref Lists'!$AK$2)</f>
        <v>Savings21</v>
      </c>
      <c r="AP746" s="38"/>
      <c r="AQ746" s="38">
        <f t="shared" si="162"/>
        <v>0</v>
      </c>
      <c r="AR746" s="38"/>
      <c r="AS746" s="38"/>
      <c r="AT746" s="38"/>
      <c r="AU746" s="38"/>
      <c r="AV746" s="38"/>
      <c r="AW746" s="38"/>
      <c r="AX746" s="38"/>
      <c r="AY746" s="38"/>
      <c r="AZ746" s="38"/>
      <c r="BA746" s="38"/>
      <c r="BB746" s="38"/>
      <c r="BC746" s="38"/>
      <c r="BD746" s="38"/>
      <c r="BE746" s="38"/>
      <c r="BF746" s="38"/>
      <c r="BG746" s="38"/>
      <c r="BH746" s="38"/>
      <c r="BI746" s="38"/>
      <c r="BJ746" s="38"/>
      <c r="BK746" s="38"/>
      <c r="BL746" s="38"/>
      <c r="BM746" s="38"/>
      <c r="BN746" s="38"/>
      <c r="BO746" s="38"/>
      <c r="BP746" s="38"/>
      <c r="BQ746" s="38"/>
      <c r="BR746" s="38"/>
      <c r="BS746" s="38"/>
      <c r="BT746" s="38"/>
      <c r="BU746" s="38"/>
      <c r="BV746" s="38"/>
      <c r="BW746" s="38"/>
      <c r="BX746" s="38"/>
      <c r="BY746" s="38"/>
      <c r="BZ746" s="38"/>
      <c r="CA746" s="38"/>
      <c r="CB746" s="38"/>
      <c r="CC746" s="38"/>
      <c r="CD746" s="38"/>
      <c r="CE746" s="38"/>
      <c r="CF746" s="38"/>
      <c r="CG746" s="38"/>
      <c r="CH746" s="38"/>
      <c r="CI746" s="38"/>
      <c r="CJ746" s="38"/>
      <c r="CK746" s="38"/>
      <c r="CL746" s="38"/>
      <c r="CM746" s="38"/>
      <c r="CN746" s="38"/>
      <c r="CO746" s="38"/>
      <c r="CP746" s="38"/>
      <c r="CQ746" s="38"/>
      <c r="CR746" s="38"/>
      <c r="CS746" s="38"/>
      <c r="CT746" s="38"/>
      <c r="CU746" s="38"/>
      <c r="CV746" s="38"/>
      <c r="CW746" s="38"/>
      <c r="CX746" s="38"/>
      <c r="CY746" s="38"/>
      <c r="CZ746" s="38"/>
    </row>
    <row r="747" spans="1:104" s="40" customFormat="1" ht="20.149999999999999" customHeight="1">
      <c r="A747" s="358">
        <f t="shared" si="171"/>
        <v>746</v>
      </c>
      <c r="B747" s="359" t="str">
        <f>'Front Sheet and Checklist'!$C$5</f>
        <v>Swansea Bay UHB</v>
      </c>
      <c r="C747" s="17"/>
      <c r="D747" s="17"/>
      <c r="E747" s="17"/>
      <c r="F747" s="17"/>
      <c r="G747" s="17"/>
      <c r="H747" s="17"/>
      <c r="I747" s="361">
        <f t="shared" si="161"/>
        <v>0</v>
      </c>
      <c r="J747" s="17"/>
      <c r="K747" s="18"/>
      <c r="L747" s="18"/>
      <c r="M747" s="17"/>
      <c r="N747" s="17"/>
      <c r="O747" s="17"/>
      <c r="P747" s="17"/>
      <c r="Q747" s="169"/>
      <c r="R747" s="24"/>
      <c r="S747" s="24"/>
      <c r="T747" s="24"/>
      <c r="U747" s="25"/>
      <c r="V747" s="25"/>
      <c r="W747" s="25"/>
      <c r="X747" s="24"/>
      <c r="Y747" s="24"/>
      <c r="Z747" s="24"/>
      <c r="AA747" s="24"/>
      <c r="AB747" s="24"/>
      <c r="AC747" s="24"/>
      <c r="AD747" s="361">
        <f t="shared" si="160"/>
        <v>0</v>
      </c>
      <c r="AE747" s="359" t="str">
        <f t="shared" si="163"/>
        <v/>
      </c>
      <c r="AF747" s="359" t="str">
        <f t="shared" si="172"/>
        <v/>
      </c>
      <c r="AG747" s="359" t="str">
        <f t="shared" si="164"/>
        <v/>
      </c>
      <c r="AH747" s="359" t="str">
        <f t="shared" si="165"/>
        <v/>
      </c>
      <c r="AI747" s="359" t="str">
        <f t="shared" si="166"/>
        <v/>
      </c>
      <c r="AJ747" s="359" t="str">
        <f t="shared" si="167"/>
        <v/>
      </c>
      <c r="AK747" s="359" t="str">
        <f t="shared" si="169"/>
        <v/>
      </c>
      <c r="AL747" s="359" t="str">
        <f t="shared" si="168"/>
        <v/>
      </c>
      <c r="AM747" s="359" t="str">
        <f t="shared" si="170"/>
        <v/>
      </c>
      <c r="AN747" s="262">
        <f t="shared" si="173"/>
        <v>0</v>
      </c>
      <c r="AO747" s="262" t="str">
        <f>IFERROR(HLOOKUP(AN747,'Ref Lists'!Q$1:AL$2,2,FALSE),'Ref Lists'!$AK$2)</f>
        <v>Savings21</v>
      </c>
      <c r="AP747" s="38"/>
      <c r="AQ747" s="38">
        <f t="shared" si="162"/>
        <v>0</v>
      </c>
      <c r="AR747" s="38"/>
      <c r="AS747" s="38"/>
      <c r="AT747" s="38"/>
      <c r="AU747" s="38"/>
      <c r="AV747" s="38"/>
      <c r="AW747" s="38"/>
      <c r="AX747" s="38"/>
      <c r="AY747" s="38"/>
      <c r="AZ747" s="38"/>
      <c r="BA747" s="38"/>
      <c r="BB747" s="38"/>
      <c r="BC747" s="38"/>
      <c r="BD747" s="38"/>
      <c r="BE747" s="38"/>
      <c r="BF747" s="38"/>
      <c r="BG747" s="38"/>
      <c r="BH747" s="38"/>
      <c r="BI747" s="38"/>
      <c r="BJ747" s="38"/>
      <c r="BK747" s="38"/>
      <c r="BL747" s="38"/>
      <c r="BM747" s="38"/>
      <c r="BN747" s="38"/>
      <c r="BO747" s="38"/>
      <c r="BP747" s="38"/>
      <c r="BQ747" s="38"/>
      <c r="BR747" s="38"/>
      <c r="BS747" s="38"/>
      <c r="BT747" s="38"/>
      <c r="BU747" s="38"/>
      <c r="BV747" s="38"/>
      <c r="BW747" s="38"/>
      <c r="BX747" s="38"/>
      <c r="BY747" s="38"/>
      <c r="BZ747" s="38"/>
      <c r="CA747" s="38"/>
      <c r="CB747" s="38"/>
      <c r="CC747" s="38"/>
      <c r="CD747" s="38"/>
      <c r="CE747" s="38"/>
      <c r="CF747" s="38"/>
      <c r="CG747" s="38"/>
      <c r="CH747" s="38"/>
      <c r="CI747" s="38"/>
      <c r="CJ747" s="38"/>
      <c r="CK747" s="38"/>
      <c r="CL747" s="38"/>
      <c r="CM747" s="38"/>
      <c r="CN747" s="38"/>
      <c r="CO747" s="38"/>
      <c r="CP747" s="38"/>
      <c r="CQ747" s="38"/>
      <c r="CR747" s="38"/>
      <c r="CS747" s="38"/>
      <c r="CT747" s="38"/>
      <c r="CU747" s="38"/>
      <c r="CV747" s="38"/>
      <c r="CW747" s="38"/>
      <c r="CX747" s="38"/>
      <c r="CY747" s="38"/>
      <c r="CZ747" s="38"/>
    </row>
    <row r="748" spans="1:104" s="40" customFormat="1" ht="20.149999999999999" customHeight="1">
      <c r="A748" s="358">
        <f t="shared" si="171"/>
        <v>747</v>
      </c>
      <c r="B748" s="359" t="str">
        <f>'Front Sheet and Checklist'!$C$5</f>
        <v>Swansea Bay UHB</v>
      </c>
      <c r="C748" s="17"/>
      <c r="D748" s="17"/>
      <c r="E748" s="17"/>
      <c r="F748" s="17"/>
      <c r="G748" s="17"/>
      <c r="H748" s="17"/>
      <c r="I748" s="361">
        <f t="shared" si="161"/>
        <v>0</v>
      </c>
      <c r="J748" s="17"/>
      <c r="K748" s="18"/>
      <c r="L748" s="18"/>
      <c r="M748" s="17"/>
      <c r="N748" s="17"/>
      <c r="O748" s="17"/>
      <c r="P748" s="17"/>
      <c r="Q748" s="169"/>
      <c r="R748" s="24"/>
      <c r="S748" s="24"/>
      <c r="T748" s="24"/>
      <c r="U748" s="25"/>
      <c r="V748" s="25"/>
      <c r="W748" s="25"/>
      <c r="X748" s="24"/>
      <c r="Y748" s="24"/>
      <c r="Z748" s="24"/>
      <c r="AA748" s="24"/>
      <c r="AB748" s="24"/>
      <c r="AC748" s="24"/>
      <c r="AD748" s="361">
        <f t="shared" si="160"/>
        <v>0</v>
      </c>
      <c r="AE748" s="359" t="str">
        <f t="shared" si="163"/>
        <v/>
      </c>
      <c r="AF748" s="359" t="str">
        <f t="shared" si="172"/>
        <v/>
      </c>
      <c r="AG748" s="359" t="str">
        <f t="shared" si="164"/>
        <v/>
      </c>
      <c r="AH748" s="359" t="str">
        <f t="shared" si="165"/>
        <v/>
      </c>
      <c r="AI748" s="359" t="str">
        <f t="shared" si="166"/>
        <v/>
      </c>
      <c r="AJ748" s="359" t="str">
        <f t="shared" si="167"/>
        <v/>
      </c>
      <c r="AK748" s="359" t="str">
        <f t="shared" si="169"/>
        <v/>
      </c>
      <c r="AL748" s="359" t="str">
        <f t="shared" si="168"/>
        <v/>
      </c>
      <c r="AM748" s="359" t="str">
        <f t="shared" si="170"/>
        <v/>
      </c>
      <c r="AN748" s="262">
        <f t="shared" si="173"/>
        <v>0</v>
      </c>
      <c r="AO748" s="262" t="str">
        <f>IFERROR(HLOOKUP(AN748,'Ref Lists'!Q$1:AL$2,2,FALSE),'Ref Lists'!$AK$2)</f>
        <v>Savings21</v>
      </c>
      <c r="AP748" s="38"/>
      <c r="AQ748" s="38">
        <f t="shared" si="162"/>
        <v>0</v>
      </c>
      <c r="AR748" s="38"/>
      <c r="AS748" s="38"/>
      <c r="AT748" s="38"/>
      <c r="AU748" s="38"/>
      <c r="AV748" s="38"/>
      <c r="AW748" s="38"/>
      <c r="AX748" s="38"/>
      <c r="AY748" s="38"/>
      <c r="AZ748" s="38"/>
      <c r="BA748" s="38"/>
      <c r="BB748" s="38"/>
      <c r="BC748" s="38"/>
      <c r="BD748" s="38"/>
      <c r="BE748" s="38"/>
      <c r="BF748" s="38"/>
      <c r="BG748" s="38"/>
      <c r="BH748" s="38"/>
      <c r="BI748" s="38"/>
      <c r="BJ748" s="38"/>
      <c r="BK748" s="38"/>
      <c r="BL748" s="38"/>
      <c r="BM748" s="38"/>
      <c r="BN748" s="38"/>
      <c r="BO748" s="38"/>
      <c r="BP748" s="38"/>
      <c r="BQ748" s="38"/>
      <c r="BR748" s="38"/>
      <c r="BS748" s="38"/>
      <c r="BT748" s="38"/>
      <c r="BU748" s="38"/>
      <c r="BV748" s="38"/>
      <c r="BW748" s="38"/>
      <c r="BX748" s="38"/>
      <c r="BY748" s="38"/>
      <c r="BZ748" s="38"/>
      <c r="CA748" s="38"/>
      <c r="CB748" s="38"/>
      <c r="CC748" s="38"/>
      <c r="CD748" s="38"/>
      <c r="CE748" s="38"/>
      <c r="CF748" s="38"/>
      <c r="CG748" s="38"/>
      <c r="CH748" s="38"/>
      <c r="CI748" s="38"/>
      <c r="CJ748" s="38"/>
      <c r="CK748" s="38"/>
      <c r="CL748" s="38"/>
      <c r="CM748" s="38"/>
      <c r="CN748" s="38"/>
      <c r="CO748" s="38"/>
      <c r="CP748" s="38"/>
      <c r="CQ748" s="38"/>
      <c r="CR748" s="38"/>
      <c r="CS748" s="38"/>
      <c r="CT748" s="38"/>
      <c r="CU748" s="38"/>
      <c r="CV748" s="38"/>
      <c r="CW748" s="38"/>
      <c r="CX748" s="38"/>
      <c r="CY748" s="38"/>
      <c r="CZ748" s="38"/>
    </row>
    <row r="749" spans="1:104" s="40" customFormat="1" ht="20.149999999999999" customHeight="1">
      <c r="A749" s="358">
        <f t="shared" si="171"/>
        <v>748</v>
      </c>
      <c r="B749" s="359" t="str">
        <f>'Front Sheet and Checklist'!$C$5</f>
        <v>Swansea Bay UHB</v>
      </c>
      <c r="C749" s="17"/>
      <c r="D749" s="17"/>
      <c r="E749" s="17"/>
      <c r="F749" s="17"/>
      <c r="G749" s="17"/>
      <c r="H749" s="17"/>
      <c r="I749" s="361">
        <f t="shared" si="161"/>
        <v>0</v>
      </c>
      <c r="J749" s="17"/>
      <c r="K749" s="18"/>
      <c r="L749" s="18"/>
      <c r="M749" s="17"/>
      <c r="N749" s="17"/>
      <c r="O749" s="17"/>
      <c r="P749" s="17"/>
      <c r="Q749" s="169"/>
      <c r="R749" s="24"/>
      <c r="S749" s="24"/>
      <c r="T749" s="24"/>
      <c r="U749" s="25"/>
      <c r="V749" s="25"/>
      <c r="W749" s="25"/>
      <c r="X749" s="24"/>
      <c r="Y749" s="24"/>
      <c r="Z749" s="24"/>
      <c r="AA749" s="24"/>
      <c r="AB749" s="24"/>
      <c r="AC749" s="24"/>
      <c r="AD749" s="361">
        <f t="shared" si="160"/>
        <v>0</v>
      </c>
      <c r="AE749" s="359" t="str">
        <f t="shared" si="163"/>
        <v/>
      </c>
      <c r="AF749" s="359" t="str">
        <f t="shared" si="172"/>
        <v/>
      </c>
      <c r="AG749" s="359" t="str">
        <f t="shared" si="164"/>
        <v/>
      </c>
      <c r="AH749" s="359" t="str">
        <f t="shared" si="165"/>
        <v/>
      </c>
      <c r="AI749" s="359" t="str">
        <f t="shared" si="166"/>
        <v/>
      </c>
      <c r="AJ749" s="359" t="str">
        <f t="shared" si="167"/>
        <v/>
      </c>
      <c r="AK749" s="359" t="str">
        <f t="shared" si="169"/>
        <v/>
      </c>
      <c r="AL749" s="359" t="str">
        <f t="shared" si="168"/>
        <v/>
      </c>
      <c r="AM749" s="359" t="str">
        <f t="shared" si="170"/>
        <v/>
      </c>
      <c r="AN749" s="262">
        <f t="shared" si="173"/>
        <v>0</v>
      </c>
      <c r="AO749" s="262" t="str">
        <f>IFERROR(HLOOKUP(AN749,'Ref Lists'!Q$1:AL$2,2,FALSE),'Ref Lists'!$AK$2)</f>
        <v>Savings21</v>
      </c>
      <c r="AP749" s="38"/>
      <c r="AQ749" s="38">
        <f t="shared" si="162"/>
        <v>0</v>
      </c>
      <c r="AR749" s="38"/>
      <c r="AS749" s="38"/>
      <c r="AT749" s="38"/>
      <c r="AU749" s="38"/>
      <c r="AV749" s="38"/>
      <c r="AW749" s="38"/>
      <c r="AX749" s="38"/>
      <c r="AY749" s="38"/>
      <c r="AZ749" s="38"/>
      <c r="BA749" s="38"/>
      <c r="BB749" s="38"/>
      <c r="BC749" s="38"/>
      <c r="BD749" s="38"/>
      <c r="BE749" s="38"/>
      <c r="BF749" s="38"/>
      <c r="BG749" s="38"/>
      <c r="BH749" s="38"/>
      <c r="BI749" s="38"/>
      <c r="BJ749" s="38"/>
      <c r="BK749" s="38"/>
      <c r="BL749" s="38"/>
      <c r="BM749" s="38"/>
      <c r="BN749" s="38"/>
      <c r="BO749" s="38"/>
      <c r="BP749" s="38"/>
      <c r="BQ749" s="38"/>
      <c r="BR749" s="38"/>
      <c r="BS749" s="38"/>
      <c r="BT749" s="38"/>
      <c r="BU749" s="38"/>
      <c r="BV749" s="38"/>
      <c r="BW749" s="38"/>
      <c r="BX749" s="38"/>
      <c r="BY749" s="38"/>
      <c r="BZ749" s="38"/>
      <c r="CA749" s="38"/>
      <c r="CB749" s="38"/>
      <c r="CC749" s="38"/>
      <c r="CD749" s="38"/>
      <c r="CE749" s="38"/>
      <c r="CF749" s="38"/>
      <c r="CG749" s="38"/>
      <c r="CH749" s="38"/>
      <c r="CI749" s="38"/>
      <c r="CJ749" s="38"/>
      <c r="CK749" s="38"/>
      <c r="CL749" s="38"/>
      <c r="CM749" s="38"/>
      <c r="CN749" s="38"/>
      <c r="CO749" s="38"/>
      <c r="CP749" s="38"/>
      <c r="CQ749" s="38"/>
      <c r="CR749" s="38"/>
      <c r="CS749" s="38"/>
      <c r="CT749" s="38"/>
      <c r="CU749" s="38"/>
      <c r="CV749" s="38"/>
      <c r="CW749" s="38"/>
      <c r="CX749" s="38"/>
      <c r="CY749" s="38"/>
      <c r="CZ749" s="38"/>
    </row>
    <row r="750" spans="1:104" s="40" customFormat="1" ht="20.149999999999999" customHeight="1">
      <c r="A750" s="358">
        <f t="shared" si="171"/>
        <v>749</v>
      </c>
      <c r="B750" s="359" t="str">
        <f>'Front Sheet and Checklist'!$C$5</f>
        <v>Swansea Bay UHB</v>
      </c>
      <c r="C750" s="17"/>
      <c r="D750" s="17"/>
      <c r="E750" s="17"/>
      <c r="F750" s="17"/>
      <c r="G750" s="17"/>
      <c r="H750" s="17"/>
      <c r="I750" s="361">
        <f t="shared" si="161"/>
        <v>0</v>
      </c>
      <c r="J750" s="17"/>
      <c r="K750" s="18"/>
      <c r="L750" s="18"/>
      <c r="M750" s="17"/>
      <c r="N750" s="17"/>
      <c r="O750" s="17"/>
      <c r="P750" s="17"/>
      <c r="Q750" s="169"/>
      <c r="R750" s="24"/>
      <c r="S750" s="24"/>
      <c r="T750" s="24"/>
      <c r="U750" s="25"/>
      <c r="V750" s="25"/>
      <c r="W750" s="25"/>
      <c r="X750" s="24"/>
      <c r="Y750" s="24"/>
      <c r="Z750" s="24"/>
      <c r="AA750" s="24"/>
      <c r="AB750" s="24"/>
      <c r="AC750" s="24"/>
      <c r="AD750" s="361">
        <f t="shared" si="160"/>
        <v>0</v>
      </c>
      <c r="AE750" s="359" t="str">
        <f t="shared" si="163"/>
        <v/>
      </c>
      <c r="AF750" s="359" t="str">
        <f t="shared" si="172"/>
        <v/>
      </c>
      <c r="AG750" s="359" t="str">
        <f t="shared" si="164"/>
        <v/>
      </c>
      <c r="AH750" s="359" t="str">
        <f t="shared" si="165"/>
        <v/>
      </c>
      <c r="AI750" s="359" t="str">
        <f t="shared" si="166"/>
        <v/>
      </c>
      <c r="AJ750" s="359" t="str">
        <f t="shared" si="167"/>
        <v/>
      </c>
      <c r="AK750" s="359" t="str">
        <f t="shared" si="169"/>
        <v/>
      </c>
      <c r="AL750" s="359" t="str">
        <f t="shared" si="168"/>
        <v/>
      </c>
      <c r="AM750" s="359" t="str">
        <f t="shared" si="170"/>
        <v/>
      </c>
      <c r="AN750" s="262">
        <f t="shared" si="173"/>
        <v>0</v>
      </c>
      <c r="AO750" s="262" t="str">
        <f>IFERROR(HLOOKUP(AN750,'Ref Lists'!Q$1:AL$2,2,FALSE),'Ref Lists'!$AK$2)</f>
        <v>Savings21</v>
      </c>
      <c r="AP750" s="38"/>
      <c r="AQ750" s="38">
        <f t="shared" si="162"/>
        <v>0</v>
      </c>
      <c r="AR750" s="38"/>
      <c r="AS750" s="38"/>
      <c r="AT750" s="38"/>
      <c r="AU750" s="38"/>
      <c r="AV750" s="38"/>
      <c r="AW750" s="38"/>
      <c r="AX750" s="38"/>
      <c r="AY750" s="38"/>
      <c r="AZ750" s="38"/>
      <c r="BA750" s="38"/>
      <c r="BB750" s="38"/>
      <c r="BC750" s="38"/>
      <c r="BD750" s="38"/>
      <c r="BE750" s="38"/>
      <c r="BF750" s="38"/>
      <c r="BG750" s="38"/>
      <c r="BH750" s="38"/>
      <c r="BI750" s="38"/>
      <c r="BJ750" s="38"/>
      <c r="BK750" s="38"/>
      <c r="BL750" s="38"/>
      <c r="BM750" s="38"/>
      <c r="BN750" s="38"/>
      <c r="BO750" s="38"/>
      <c r="BP750" s="38"/>
      <c r="BQ750" s="38"/>
      <c r="BR750" s="38"/>
      <c r="BS750" s="38"/>
      <c r="BT750" s="38"/>
      <c r="BU750" s="38"/>
      <c r="BV750" s="38"/>
      <c r="BW750" s="38"/>
      <c r="BX750" s="38"/>
      <c r="BY750" s="38"/>
      <c r="BZ750" s="38"/>
      <c r="CA750" s="38"/>
      <c r="CB750" s="38"/>
      <c r="CC750" s="38"/>
      <c r="CD750" s="38"/>
      <c r="CE750" s="38"/>
      <c r="CF750" s="38"/>
      <c r="CG750" s="38"/>
      <c r="CH750" s="38"/>
      <c r="CI750" s="38"/>
      <c r="CJ750" s="38"/>
      <c r="CK750" s="38"/>
      <c r="CL750" s="38"/>
      <c r="CM750" s="38"/>
      <c r="CN750" s="38"/>
      <c r="CO750" s="38"/>
      <c r="CP750" s="38"/>
      <c r="CQ750" s="38"/>
      <c r="CR750" s="38"/>
      <c r="CS750" s="38"/>
      <c r="CT750" s="38"/>
      <c r="CU750" s="38"/>
      <c r="CV750" s="38"/>
      <c r="CW750" s="38"/>
      <c r="CX750" s="38"/>
      <c r="CY750" s="38"/>
      <c r="CZ750" s="38"/>
    </row>
    <row r="751" spans="1:104" s="40" customFormat="1" ht="20.149999999999999" customHeight="1">
      <c r="A751" s="358">
        <f t="shared" si="171"/>
        <v>750</v>
      </c>
      <c r="B751" s="359" t="str">
        <f>'Front Sheet and Checklist'!$C$5</f>
        <v>Swansea Bay UHB</v>
      </c>
      <c r="C751" s="17"/>
      <c r="D751" s="17"/>
      <c r="E751" s="17"/>
      <c r="F751" s="17"/>
      <c r="G751" s="17"/>
      <c r="H751" s="17"/>
      <c r="I751" s="361">
        <f t="shared" si="161"/>
        <v>0</v>
      </c>
      <c r="J751" s="17"/>
      <c r="K751" s="18"/>
      <c r="L751" s="18"/>
      <c r="M751" s="17"/>
      <c r="N751" s="17"/>
      <c r="O751" s="17"/>
      <c r="P751" s="17"/>
      <c r="Q751" s="169"/>
      <c r="R751" s="24"/>
      <c r="S751" s="24"/>
      <c r="T751" s="24"/>
      <c r="U751" s="25"/>
      <c r="V751" s="25"/>
      <c r="W751" s="25"/>
      <c r="X751" s="24"/>
      <c r="Y751" s="24"/>
      <c r="Z751" s="24"/>
      <c r="AA751" s="24"/>
      <c r="AB751" s="24"/>
      <c r="AC751" s="24"/>
      <c r="AD751" s="361">
        <f t="shared" si="160"/>
        <v>0</v>
      </c>
      <c r="AE751" s="359" t="str">
        <f t="shared" si="163"/>
        <v/>
      </c>
      <c r="AF751" s="359" t="str">
        <f t="shared" si="172"/>
        <v/>
      </c>
      <c r="AG751" s="359" t="str">
        <f t="shared" si="164"/>
        <v/>
      </c>
      <c r="AH751" s="359" t="str">
        <f t="shared" si="165"/>
        <v/>
      </c>
      <c r="AI751" s="359" t="str">
        <f t="shared" si="166"/>
        <v/>
      </c>
      <c r="AJ751" s="359" t="str">
        <f t="shared" si="167"/>
        <v/>
      </c>
      <c r="AK751" s="359" t="str">
        <f t="shared" si="169"/>
        <v/>
      </c>
      <c r="AL751" s="359" t="str">
        <f t="shared" si="168"/>
        <v/>
      </c>
      <c r="AM751" s="359" t="str">
        <f t="shared" si="170"/>
        <v/>
      </c>
      <c r="AN751" s="262">
        <f t="shared" si="173"/>
        <v>0</v>
      </c>
      <c r="AO751" s="262" t="str">
        <f>IFERROR(HLOOKUP(AN751,'Ref Lists'!Q$1:AL$2,2,FALSE),'Ref Lists'!$AK$2)</f>
        <v>Savings21</v>
      </c>
      <c r="AP751" s="38"/>
      <c r="AQ751" s="38">
        <f t="shared" si="162"/>
        <v>0</v>
      </c>
      <c r="AR751" s="38"/>
      <c r="AS751" s="38"/>
      <c r="AT751" s="38"/>
      <c r="AU751" s="38"/>
      <c r="AV751" s="38"/>
      <c r="AW751" s="38"/>
      <c r="AX751" s="38"/>
      <c r="AY751" s="38"/>
      <c r="AZ751" s="38"/>
      <c r="BA751" s="38"/>
      <c r="BB751" s="38"/>
      <c r="BC751" s="38"/>
      <c r="BD751" s="38"/>
      <c r="BE751" s="38"/>
      <c r="BF751" s="38"/>
      <c r="BG751" s="38"/>
      <c r="BH751" s="38"/>
      <c r="BI751" s="38"/>
      <c r="BJ751" s="38"/>
      <c r="BK751" s="38"/>
      <c r="BL751" s="38"/>
      <c r="BM751" s="38"/>
      <c r="BN751" s="38"/>
      <c r="BO751" s="38"/>
      <c r="BP751" s="38"/>
      <c r="BQ751" s="38"/>
      <c r="BR751" s="38"/>
      <c r="BS751" s="38"/>
      <c r="BT751" s="38"/>
      <c r="BU751" s="38"/>
      <c r="BV751" s="38"/>
      <c r="BW751" s="38"/>
      <c r="BX751" s="38"/>
      <c r="BY751" s="38"/>
      <c r="BZ751" s="38"/>
      <c r="CA751" s="38"/>
      <c r="CB751" s="38"/>
      <c r="CC751" s="38"/>
      <c r="CD751" s="38"/>
      <c r="CE751" s="38"/>
      <c r="CF751" s="38"/>
      <c r="CG751" s="38"/>
      <c r="CH751" s="38"/>
      <c r="CI751" s="38"/>
      <c r="CJ751" s="38"/>
      <c r="CK751" s="38"/>
      <c r="CL751" s="38"/>
      <c r="CM751" s="38"/>
      <c r="CN751" s="38"/>
      <c r="CO751" s="38"/>
      <c r="CP751" s="38"/>
      <c r="CQ751" s="38"/>
      <c r="CR751" s="38"/>
      <c r="CS751" s="38"/>
      <c r="CT751" s="38"/>
      <c r="CU751" s="38"/>
      <c r="CV751" s="38"/>
      <c r="CW751" s="38"/>
      <c r="CX751" s="38"/>
      <c r="CY751" s="38"/>
      <c r="CZ751" s="38"/>
    </row>
    <row r="752" spans="1:104" s="40" customFormat="1" ht="20.149999999999999" customHeight="1">
      <c r="A752" s="358">
        <f t="shared" si="171"/>
        <v>751</v>
      </c>
      <c r="B752" s="359" t="str">
        <f>'Front Sheet and Checklist'!$C$5</f>
        <v>Swansea Bay UHB</v>
      </c>
      <c r="C752" s="17"/>
      <c r="D752" s="17"/>
      <c r="E752" s="17"/>
      <c r="F752" s="17"/>
      <c r="G752" s="17"/>
      <c r="H752" s="17"/>
      <c r="I752" s="361">
        <f t="shared" si="161"/>
        <v>0</v>
      </c>
      <c r="J752" s="17"/>
      <c r="K752" s="18"/>
      <c r="L752" s="18"/>
      <c r="M752" s="17"/>
      <c r="N752" s="17"/>
      <c r="O752" s="17"/>
      <c r="P752" s="17"/>
      <c r="Q752" s="169"/>
      <c r="R752" s="24"/>
      <c r="S752" s="24"/>
      <c r="T752" s="24"/>
      <c r="U752" s="25"/>
      <c r="V752" s="25"/>
      <c r="W752" s="25"/>
      <c r="X752" s="24"/>
      <c r="Y752" s="24"/>
      <c r="Z752" s="24"/>
      <c r="AA752" s="24"/>
      <c r="AB752" s="24"/>
      <c r="AC752" s="24"/>
      <c r="AD752" s="361">
        <f t="shared" si="160"/>
        <v>0</v>
      </c>
      <c r="AE752" s="359" t="str">
        <f t="shared" si="163"/>
        <v/>
      </c>
      <c r="AF752" s="359" t="str">
        <f t="shared" si="172"/>
        <v/>
      </c>
      <c r="AG752" s="359" t="str">
        <f t="shared" si="164"/>
        <v/>
      </c>
      <c r="AH752" s="359" t="str">
        <f t="shared" si="165"/>
        <v/>
      </c>
      <c r="AI752" s="359" t="str">
        <f t="shared" si="166"/>
        <v/>
      </c>
      <c r="AJ752" s="359" t="str">
        <f t="shared" si="167"/>
        <v/>
      </c>
      <c r="AK752" s="359" t="str">
        <f t="shared" si="169"/>
        <v/>
      </c>
      <c r="AL752" s="359" t="str">
        <f t="shared" si="168"/>
        <v/>
      </c>
      <c r="AM752" s="359" t="str">
        <f t="shared" si="170"/>
        <v/>
      </c>
      <c r="AN752" s="262">
        <f t="shared" si="173"/>
        <v>0</v>
      </c>
      <c r="AO752" s="262" t="str">
        <f>IFERROR(HLOOKUP(AN752,'Ref Lists'!Q$1:AL$2,2,FALSE),'Ref Lists'!$AK$2)</f>
        <v>Savings21</v>
      </c>
      <c r="AP752" s="38"/>
      <c r="AQ752" s="38">
        <f t="shared" si="162"/>
        <v>0</v>
      </c>
      <c r="AR752" s="38"/>
      <c r="AS752" s="38"/>
      <c r="AT752" s="38"/>
      <c r="AU752" s="38"/>
      <c r="AV752" s="38"/>
      <c r="AW752" s="38"/>
      <c r="AX752" s="38"/>
      <c r="AY752" s="38"/>
      <c r="AZ752" s="38"/>
      <c r="BA752" s="38"/>
      <c r="BB752" s="38"/>
      <c r="BC752" s="38"/>
      <c r="BD752" s="38"/>
      <c r="BE752" s="38"/>
      <c r="BF752" s="38"/>
      <c r="BG752" s="38"/>
      <c r="BH752" s="38"/>
      <c r="BI752" s="38"/>
      <c r="BJ752" s="38"/>
      <c r="BK752" s="38"/>
      <c r="BL752" s="38"/>
      <c r="BM752" s="38"/>
      <c r="BN752" s="38"/>
      <c r="BO752" s="38"/>
      <c r="BP752" s="38"/>
      <c r="BQ752" s="38"/>
      <c r="BR752" s="38"/>
      <c r="BS752" s="38"/>
      <c r="BT752" s="38"/>
      <c r="BU752" s="38"/>
      <c r="BV752" s="38"/>
      <c r="BW752" s="38"/>
      <c r="BX752" s="38"/>
      <c r="BY752" s="38"/>
      <c r="BZ752" s="38"/>
      <c r="CA752" s="38"/>
      <c r="CB752" s="38"/>
      <c r="CC752" s="38"/>
      <c r="CD752" s="38"/>
      <c r="CE752" s="38"/>
      <c r="CF752" s="38"/>
      <c r="CG752" s="38"/>
      <c r="CH752" s="38"/>
      <c r="CI752" s="38"/>
      <c r="CJ752" s="38"/>
      <c r="CK752" s="38"/>
      <c r="CL752" s="38"/>
      <c r="CM752" s="38"/>
      <c r="CN752" s="38"/>
      <c r="CO752" s="38"/>
      <c r="CP752" s="38"/>
      <c r="CQ752" s="38"/>
      <c r="CR752" s="38"/>
      <c r="CS752" s="38"/>
      <c r="CT752" s="38"/>
      <c r="CU752" s="38"/>
      <c r="CV752" s="38"/>
      <c r="CW752" s="38"/>
      <c r="CX752" s="38"/>
      <c r="CY752" s="38"/>
      <c r="CZ752" s="38"/>
    </row>
    <row r="753" spans="1:104" s="40" customFormat="1" ht="20.149999999999999" customHeight="1">
      <c r="A753" s="358">
        <f t="shared" si="171"/>
        <v>752</v>
      </c>
      <c r="B753" s="359" t="str">
        <f>'Front Sheet and Checklist'!$C$5</f>
        <v>Swansea Bay UHB</v>
      </c>
      <c r="C753" s="17"/>
      <c r="D753" s="17"/>
      <c r="E753" s="17"/>
      <c r="F753" s="17"/>
      <c r="G753" s="17"/>
      <c r="H753" s="17"/>
      <c r="I753" s="361">
        <f t="shared" si="161"/>
        <v>0</v>
      </c>
      <c r="J753" s="17"/>
      <c r="K753" s="18"/>
      <c r="L753" s="18"/>
      <c r="M753" s="17"/>
      <c r="N753" s="17"/>
      <c r="O753" s="17"/>
      <c r="P753" s="17"/>
      <c r="Q753" s="169"/>
      <c r="R753" s="24"/>
      <c r="S753" s="24"/>
      <c r="T753" s="24"/>
      <c r="U753" s="25"/>
      <c r="V753" s="25"/>
      <c r="W753" s="25"/>
      <c r="X753" s="24"/>
      <c r="Y753" s="24"/>
      <c r="Z753" s="24"/>
      <c r="AA753" s="24"/>
      <c r="AB753" s="24"/>
      <c r="AC753" s="24"/>
      <c r="AD753" s="361">
        <f t="shared" si="160"/>
        <v>0</v>
      </c>
      <c r="AE753" s="359" t="str">
        <f t="shared" si="163"/>
        <v/>
      </c>
      <c r="AF753" s="359" t="str">
        <f t="shared" si="172"/>
        <v/>
      </c>
      <c r="AG753" s="359" t="str">
        <f t="shared" si="164"/>
        <v/>
      </c>
      <c r="AH753" s="359" t="str">
        <f t="shared" si="165"/>
        <v/>
      </c>
      <c r="AI753" s="359" t="str">
        <f t="shared" si="166"/>
        <v/>
      </c>
      <c r="AJ753" s="359" t="str">
        <f t="shared" si="167"/>
        <v/>
      </c>
      <c r="AK753" s="359" t="str">
        <f t="shared" si="169"/>
        <v/>
      </c>
      <c r="AL753" s="359" t="str">
        <f t="shared" si="168"/>
        <v/>
      </c>
      <c r="AM753" s="359" t="str">
        <f t="shared" si="170"/>
        <v/>
      </c>
      <c r="AN753" s="262">
        <f t="shared" si="173"/>
        <v>0</v>
      </c>
      <c r="AO753" s="262" t="str">
        <f>IFERROR(HLOOKUP(AN753,'Ref Lists'!Q$1:AL$2,2,FALSE),'Ref Lists'!$AK$2)</f>
        <v>Savings21</v>
      </c>
      <c r="AP753" s="38"/>
      <c r="AQ753" s="38">
        <f t="shared" si="162"/>
        <v>0</v>
      </c>
      <c r="AR753" s="38"/>
      <c r="AS753" s="38"/>
      <c r="AT753" s="38"/>
      <c r="AU753" s="38"/>
      <c r="AV753" s="38"/>
      <c r="AW753" s="38"/>
      <c r="AX753" s="38"/>
      <c r="AY753" s="38"/>
      <c r="AZ753" s="38"/>
      <c r="BA753" s="38"/>
      <c r="BB753" s="38"/>
      <c r="BC753" s="38"/>
      <c r="BD753" s="38"/>
      <c r="BE753" s="38"/>
      <c r="BF753" s="38"/>
      <c r="BG753" s="38"/>
      <c r="BH753" s="38"/>
      <c r="BI753" s="38"/>
      <c r="BJ753" s="38"/>
      <c r="BK753" s="38"/>
      <c r="BL753" s="38"/>
      <c r="BM753" s="38"/>
      <c r="BN753" s="38"/>
      <c r="BO753" s="38"/>
      <c r="BP753" s="38"/>
      <c r="BQ753" s="38"/>
      <c r="BR753" s="38"/>
      <c r="BS753" s="38"/>
      <c r="BT753" s="38"/>
      <c r="BU753" s="38"/>
      <c r="BV753" s="38"/>
      <c r="BW753" s="38"/>
      <c r="BX753" s="38"/>
      <c r="BY753" s="38"/>
      <c r="BZ753" s="38"/>
      <c r="CA753" s="38"/>
      <c r="CB753" s="38"/>
      <c r="CC753" s="38"/>
      <c r="CD753" s="38"/>
      <c r="CE753" s="38"/>
      <c r="CF753" s="38"/>
      <c r="CG753" s="38"/>
      <c r="CH753" s="38"/>
      <c r="CI753" s="38"/>
      <c r="CJ753" s="38"/>
      <c r="CK753" s="38"/>
      <c r="CL753" s="38"/>
      <c r="CM753" s="38"/>
      <c r="CN753" s="38"/>
      <c r="CO753" s="38"/>
      <c r="CP753" s="38"/>
      <c r="CQ753" s="38"/>
      <c r="CR753" s="38"/>
      <c r="CS753" s="38"/>
      <c r="CT753" s="38"/>
      <c r="CU753" s="38"/>
      <c r="CV753" s="38"/>
      <c r="CW753" s="38"/>
      <c r="CX753" s="38"/>
      <c r="CY753" s="38"/>
      <c r="CZ753" s="38"/>
    </row>
    <row r="754" spans="1:104" s="40" customFormat="1" ht="20.149999999999999" customHeight="1">
      <c r="A754" s="358">
        <f t="shared" si="171"/>
        <v>753</v>
      </c>
      <c r="B754" s="359" t="str">
        <f>'Front Sheet and Checklist'!$C$5</f>
        <v>Swansea Bay UHB</v>
      </c>
      <c r="C754" s="17"/>
      <c r="D754" s="17"/>
      <c r="E754" s="17"/>
      <c r="F754" s="17"/>
      <c r="G754" s="17"/>
      <c r="H754" s="17"/>
      <c r="I754" s="361">
        <f t="shared" si="161"/>
        <v>0</v>
      </c>
      <c r="J754" s="17"/>
      <c r="K754" s="18"/>
      <c r="L754" s="18"/>
      <c r="M754" s="17"/>
      <c r="N754" s="17"/>
      <c r="O754" s="17"/>
      <c r="P754" s="17"/>
      <c r="Q754" s="169"/>
      <c r="R754" s="24"/>
      <c r="S754" s="24"/>
      <c r="T754" s="24"/>
      <c r="U754" s="25"/>
      <c r="V754" s="25"/>
      <c r="W754" s="25"/>
      <c r="X754" s="24"/>
      <c r="Y754" s="24"/>
      <c r="Z754" s="24"/>
      <c r="AA754" s="24"/>
      <c r="AB754" s="24"/>
      <c r="AC754" s="24"/>
      <c r="AD754" s="361">
        <f t="shared" si="160"/>
        <v>0</v>
      </c>
      <c r="AE754" s="359" t="str">
        <f t="shared" si="163"/>
        <v/>
      </c>
      <c r="AF754" s="359" t="str">
        <f t="shared" si="172"/>
        <v/>
      </c>
      <c r="AG754" s="359" t="str">
        <f t="shared" si="164"/>
        <v/>
      </c>
      <c r="AH754" s="359" t="str">
        <f t="shared" si="165"/>
        <v/>
      </c>
      <c r="AI754" s="359" t="str">
        <f t="shared" si="166"/>
        <v/>
      </c>
      <c r="AJ754" s="359" t="str">
        <f t="shared" si="167"/>
        <v/>
      </c>
      <c r="AK754" s="359" t="str">
        <f t="shared" si="169"/>
        <v/>
      </c>
      <c r="AL754" s="359" t="str">
        <f t="shared" si="168"/>
        <v/>
      </c>
      <c r="AM754" s="359" t="str">
        <f t="shared" si="170"/>
        <v/>
      </c>
      <c r="AN754" s="262">
        <f t="shared" si="173"/>
        <v>0</v>
      </c>
      <c r="AO754" s="262" t="str">
        <f>IFERROR(HLOOKUP(AN754,'Ref Lists'!Q$1:AL$2,2,FALSE),'Ref Lists'!$AK$2)</f>
        <v>Savings21</v>
      </c>
      <c r="AP754" s="38"/>
      <c r="AQ754" s="38">
        <f t="shared" si="162"/>
        <v>0</v>
      </c>
      <c r="AR754" s="38"/>
      <c r="AS754" s="38"/>
      <c r="AT754" s="38"/>
      <c r="AU754" s="38"/>
      <c r="AV754" s="38"/>
      <c r="AW754" s="38"/>
      <c r="AX754" s="38"/>
      <c r="AY754" s="38"/>
      <c r="AZ754" s="38"/>
      <c r="BA754" s="38"/>
      <c r="BB754" s="38"/>
      <c r="BC754" s="38"/>
      <c r="BD754" s="38"/>
      <c r="BE754" s="38"/>
      <c r="BF754" s="38"/>
      <c r="BG754" s="38"/>
      <c r="BH754" s="38"/>
      <c r="BI754" s="38"/>
      <c r="BJ754" s="38"/>
      <c r="BK754" s="38"/>
      <c r="BL754" s="38"/>
      <c r="BM754" s="38"/>
      <c r="BN754" s="38"/>
      <c r="BO754" s="38"/>
      <c r="BP754" s="38"/>
      <c r="BQ754" s="38"/>
      <c r="BR754" s="38"/>
      <c r="BS754" s="38"/>
      <c r="BT754" s="38"/>
      <c r="BU754" s="38"/>
      <c r="BV754" s="38"/>
      <c r="BW754" s="38"/>
      <c r="BX754" s="38"/>
      <c r="BY754" s="38"/>
      <c r="BZ754" s="38"/>
      <c r="CA754" s="38"/>
      <c r="CB754" s="38"/>
      <c r="CC754" s="38"/>
      <c r="CD754" s="38"/>
      <c r="CE754" s="38"/>
      <c r="CF754" s="38"/>
      <c r="CG754" s="38"/>
      <c r="CH754" s="38"/>
      <c r="CI754" s="38"/>
      <c r="CJ754" s="38"/>
      <c r="CK754" s="38"/>
      <c r="CL754" s="38"/>
      <c r="CM754" s="38"/>
      <c r="CN754" s="38"/>
      <c r="CO754" s="38"/>
      <c r="CP754" s="38"/>
      <c r="CQ754" s="38"/>
      <c r="CR754" s="38"/>
      <c r="CS754" s="38"/>
      <c r="CT754" s="38"/>
      <c r="CU754" s="38"/>
      <c r="CV754" s="38"/>
      <c r="CW754" s="38"/>
      <c r="CX754" s="38"/>
      <c r="CY754" s="38"/>
      <c r="CZ754" s="38"/>
    </row>
    <row r="755" spans="1:104" s="40" customFormat="1" ht="20.149999999999999" customHeight="1">
      <c r="A755" s="358">
        <f t="shared" si="171"/>
        <v>754</v>
      </c>
      <c r="B755" s="359" t="str">
        <f>'Front Sheet and Checklist'!$C$5</f>
        <v>Swansea Bay UHB</v>
      </c>
      <c r="C755" s="17"/>
      <c r="D755" s="17"/>
      <c r="E755" s="17"/>
      <c r="F755" s="17"/>
      <c r="G755" s="17"/>
      <c r="H755" s="17"/>
      <c r="I755" s="361">
        <f t="shared" si="161"/>
        <v>0</v>
      </c>
      <c r="J755" s="17"/>
      <c r="K755" s="18"/>
      <c r="L755" s="18"/>
      <c r="M755" s="17"/>
      <c r="N755" s="17"/>
      <c r="O755" s="17"/>
      <c r="P755" s="17"/>
      <c r="Q755" s="169"/>
      <c r="R755" s="24"/>
      <c r="S755" s="24"/>
      <c r="T755" s="24"/>
      <c r="U755" s="25"/>
      <c r="V755" s="25"/>
      <c r="W755" s="25"/>
      <c r="X755" s="24"/>
      <c r="Y755" s="24"/>
      <c r="Z755" s="24"/>
      <c r="AA755" s="24"/>
      <c r="AB755" s="24"/>
      <c r="AC755" s="24"/>
      <c r="AD755" s="361">
        <f t="shared" si="160"/>
        <v>0</v>
      </c>
      <c r="AE755" s="359" t="str">
        <f t="shared" si="163"/>
        <v/>
      </c>
      <c r="AF755" s="359" t="str">
        <f t="shared" si="172"/>
        <v/>
      </c>
      <c r="AG755" s="359" t="str">
        <f t="shared" si="164"/>
        <v/>
      </c>
      <c r="AH755" s="359" t="str">
        <f t="shared" si="165"/>
        <v/>
      </c>
      <c r="AI755" s="359" t="str">
        <f t="shared" si="166"/>
        <v/>
      </c>
      <c r="AJ755" s="359" t="str">
        <f t="shared" si="167"/>
        <v/>
      </c>
      <c r="AK755" s="359" t="str">
        <f t="shared" si="169"/>
        <v/>
      </c>
      <c r="AL755" s="359" t="str">
        <f t="shared" si="168"/>
        <v/>
      </c>
      <c r="AM755" s="359" t="str">
        <f t="shared" si="170"/>
        <v/>
      </c>
      <c r="AN755" s="262">
        <f t="shared" si="173"/>
        <v>0</v>
      </c>
      <c r="AO755" s="262" t="str">
        <f>IFERROR(HLOOKUP(AN755,'Ref Lists'!Q$1:AL$2,2,FALSE),'Ref Lists'!$AK$2)</f>
        <v>Savings21</v>
      </c>
      <c r="AP755" s="38"/>
      <c r="AQ755" s="38">
        <f t="shared" si="162"/>
        <v>0</v>
      </c>
      <c r="AR755" s="38"/>
      <c r="AS755" s="38"/>
      <c r="AT755" s="38"/>
      <c r="AU755" s="38"/>
      <c r="AV755" s="38"/>
      <c r="AW755" s="38"/>
      <c r="AX755" s="38"/>
      <c r="AY755" s="38"/>
      <c r="AZ755" s="38"/>
      <c r="BA755" s="38"/>
      <c r="BB755" s="38"/>
      <c r="BC755" s="38"/>
      <c r="BD755" s="38"/>
      <c r="BE755" s="38"/>
      <c r="BF755" s="38"/>
      <c r="BG755" s="38"/>
      <c r="BH755" s="38"/>
      <c r="BI755" s="38"/>
      <c r="BJ755" s="38"/>
      <c r="BK755" s="38"/>
      <c r="BL755" s="38"/>
      <c r="BM755" s="38"/>
      <c r="BN755" s="38"/>
      <c r="BO755" s="38"/>
      <c r="BP755" s="38"/>
      <c r="BQ755" s="38"/>
      <c r="BR755" s="38"/>
      <c r="BS755" s="38"/>
      <c r="BT755" s="38"/>
      <c r="BU755" s="38"/>
      <c r="BV755" s="38"/>
      <c r="BW755" s="38"/>
      <c r="BX755" s="38"/>
      <c r="BY755" s="38"/>
      <c r="BZ755" s="38"/>
      <c r="CA755" s="38"/>
      <c r="CB755" s="38"/>
      <c r="CC755" s="38"/>
      <c r="CD755" s="38"/>
      <c r="CE755" s="38"/>
      <c r="CF755" s="38"/>
      <c r="CG755" s="38"/>
      <c r="CH755" s="38"/>
      <c r="CI755" s="38"/>
      <c r="CJ755" s="38"/>
      <c r="CK755" s="38"/>
      <c r="CL755" s="38"/>
      <c r="CM755" s="38"/>
      <c r="CN755" s="38"/>
      <c r="CO755" s="38"/>
      <c r="CP755" s="38"/>
      <c r="CQ755" s="38"/>
      <c r="CR755" s="38"/>
      <c r="CS755" s="38"/>
      <c r="CT755" s="38"/>
      <c r="CU755" s="38"/>
      <c r="CV755" s="38"/>
      <c r="CW755" s="38"/>
      <c r="CX755" s="38"/>
      <c r="CY755" s="38"/>
      <c r="CZ755" s="38"/>
    </row>
    <row r="756" spans="1:104" s="40" customFormat="1" ht="20.149999999999999" customHeight="1">
      <c r="A756" s="358">
        <f t="shared" si="171"/>
        <v>755</v>
      </c>
      <c r="B756" s="359" t="str">
        <f>'Front Sheet and Checklist'!$C$5</f>
        <v>Swansea Bay UHB</v>
      </c>
      <c r="C756" s="17"/>
      <c r="D756" s="17"/>
      <c r="E756" s="17"/>
      <c r="F756" s="17"/>
      <c r="G756" s="17"/>
      <c r="H756" s="17"/>
      <c r="I756" s="361">
        <f t="shared" si="161"/>
        <v>0</v>
      </c>
      <c r="J756" s="17"/>
      <c r="K756" s="18"/>
      <c r="L756" s="18"/>
      <c r="M756" s="17"/>
      <c r="N756" s="17"/>
      <c r="O756" s="17"/>
      <c r="P756" s="17"/>
      <c r="Q756" s="169"/>
      <c r="R756" s="24"/>
      <c r="S756" s="24"/>
      <c r="T756" s="24"/>
      <c r="U756" s="25"/>
      <c r="V756" s="25"/>
      <c r="W756" s="25"/>
      <c r="X756" s="24"/>
      <c r="Y756" s="24"/>
      <c r="Z756" s="24"/>
      <c r="AA756" s="24"/>
      <c r="AB756" s="24"/>
      <c r="AC756" s="24"/>
      <c r="AD756" s="361">
        <f t="shared" si="160"/>
        <v>0</v>
      </c>
      <c r="AE756" s="359" t="str">
        <f t="shared" si="163"/>
        <v/>
      </c>
      <c r="AF756" s="359" t="str">
        <f t="shared" si="172"/>
        <v/>
      </c>
      <c r="AG756" s="359" t="str">
        <f t="shared" si="164"/>
        <v/>
      </c>
      <c r="AH756" s="359" t="str">
        <f t="shared" si="165"/>
        <v/>
      </c>
      <c r="AI756" s="359" t="str">
        <f t="shared" si="166"/>
        <v/>
      </c>
      <c r="AJ756" s="359" t="str">
        <f t="shared" si="167"/>
        <v/>
      </c>
      <c r="AK756" s="359" t="str">
        <f t="shared" si="169"/>
        <v/>
      </c>
      <c r="AL756" s="359" t="str">
        <f t="shared" si="168"/>
        <v/>
      </c>
      <c r="AM756" s="359" t="str">
        <f t="shared" si="170"/>
        <v/>
      </c>
      <c r="AN756" s="262">
        <f t="shared" si="173"/>
        <v>0</v>
      </c>
      <c r="AO756" s="262" t="str">
        <f>IFERROR(HLOOKUP(AN756,'Ref Lists'!Q$1:AL$2,2,FALSE),'Ref Lists'!$AK$2)</f>
        <v>Savings21</v>
      </c>
      <c r="AP756" s="38"/>
      <c r="AQ756" s="38">
        <f t="shared" si="162"/>
        <v>0</v>
      </c>
      <c r="AR756" s="38"/>
      <c r="AS756" s="38"/>
      <c r="AT756" s="38"/>
      <c r="AU756" s="38"/>
      <c r="AV756" s="38"/>
      <c r="AW756" s="38"/>
      <c r="AX756" s="38"/>
      <c r="AY756" s="38"/>
      <c r="AZ756" s="38"/>
      <c r="BA756" s="38"/>
      <c r="BB756" s="38"/>
      <c r="BC756" s="38"/>
      <c r="BD756" s="38"/>
      <c r="BE756" s="38"/>
      <c r="BF756" s="38"/>
      <c r="BG756" s="38"/>
      <c r="BH756" s="38"/>
      <c r="BI756" s="38"/>
      <c r="BJ756" s="38"/>
      <c r="BK756" s="38"/>
      <c r="BL756" s="38"/>
      <c r="BM756" s="38"/>
      <c r="BN756" s="38"/>
      <c r="BO756" s="38"/>
      <c r="BP756" s="38"/>
      <c r="BQ756" s="38"/>
      <c r="BR756" s="38"/>
      <c r="BS756" s="38"/>
      <c r="BT756" s="38"/>
      <c r="BU756" s="38"/>
      <c r="BV756" s="38"/>
      <c r="BW756" s="38"/>
      <c r="BX756" s="38"/>
      <c r="BY756" s="38"/>
      <c r="BZ756" s="38"/>
      <c r="CA756" s="38"/>
      <c r="CB756" s="38"/>
      <c r="CC756" s="38"/>
      <c r="CD756" s="38"/>
      <c r="CE756" s="38"/>
      <c r="CF756" s="38"/>
      <c r="CG756" s="38"/>
      <c r="CH756" s="38"/>
      <c r="CI756" s="38"/>
      <c r="CJ756" s="38"/>
      <c r="CK756" s="38"/>
      <c r="CL756" s="38"/>
      <c r="CM756" s="38"/>
      <c r="CN756" s="38"/>
      <c r="CO756" s="38"/>
      <c r="CP756" s="38"/>
      <c r="CQ756" s="38"/>
      <c r="CR756" s="38"/>
      <c r="CS756" s="38"/>
      <c r="CT756" s="38"/>
      <c r="CU756" s="38"/>
      <c r="CV756" s="38"/>
      <c r="CW756" s="38"/>
      <c r="CX756" s="38"/>
      <c r="CY756" s="38"/>
      <c r="CZ756" s="38"/>
    </row>
    <row r="757" spans="1:104" s="40" customFormat="1" ht="20.149999999999999" customHeight="1">
      <c r="A757" s="358">
        <f t="shared" si="171"/>
        <v>756</v>
      </c>
      <c r="B757" s="359" t="str">
        <f>'Front Sheet and Checklist'!$C$5</f>
        <v>Swansea Bay UHB</v>
      </c>
      <c r="C757" s="17"/>
      <c r="D757" s="17"/>
      <c r="E757" s="17"/>
      <c r="F757" s="17"/>
      <c r="G757" s="17"/>
      <c r="H757" s="17"/>
      <c r="I757" s="361">
        <f t="shared" si="161"/>
        <v>0</v>
      </c>
      <c r="J757" s="17"/>
      <c r="K757" s="18"/>
      <c r="L757" s="18"/>
      <c r="M757" s="17"/>
      <c r="N757" s="17"/>
      <c r="O757" s="17"/>
      <c r="P757" s="17"/>
      <c r="Q757" s="169"/>
      <c r="R757" s="24"/>
      <c r="S757" s="24"/>
      <c r="T757" s="24"/>
      <c r="U757" s="25"/>
      <c r="V757" s="25"/>
      <c r="W757" s="25"/>
      <c r="X757" s="24"/>
      <c r="Y757" s="24"/>
      <c r="Z757" s="24"/>
      <c r="AA757" s="24"/>
      <c r="AB757" s="24"/>
      <c r="AC757" s="24"/>
      <c r="AD757" s="361">
        <f t="shared" si="160"/>
        <v>0</v>
      </c>
      <c r="AE757" s="359" t="str">
        <f t="shared" si="163"/>
        <v/>
      </c>
      <c r="AF757" s="359" t="str">
        <f t="shared" si="172"/>
        <v/>
      </c>
      <c r="AG757" s="359" t="str">
        <f t="shared" si="164"/>
        <v/>
      </c>
      <c r="AH757" s="359" t="str">
        <f t="shared" si="165"/>
        <v/>
      </c>
      <c r="AI757" s="359" t="str">
        <f t="shared" si="166"/>
        <v/>
      </c>
      <c r="AJ757" s="359" t="str">
        <f t="shared" si="167"/>
        <v/>
      </c>
      <c r="AK757" s="359" t="str">
        <f t="shared" si="169"/>
        <v/>
      </c>
      <c r="AL757" s="359" t="str">
        <f t="shared" si="168"/>
        <v/>
      </c>
      <c r="AM757" s="359" t="str">
        <f t="shared" si="170"/>
        <v/>
      </c>
      <c r="AN757" s="262">
        <f t="shared" si="173"/>
        <v>0</v>
      </c>
      <c r="AO757" s="262" t="str">
        <f>IFERROR(HLOOKUP(AN757,'Ref Lists'!Q$1:AL$2,2,FALSE),'Ref Lists'!$AK$2)</f>
        <v>Savings21</v>
      </c>
      <c r="AP757" s="38"/>
      <c r="AQ757" s="38">
        <f t="shared" si="162"/>
        <v>0</v>
      </c>
      <c r="AR757" s="38"/>
      <c r="AS757" s="38"/>
      <c r="AT757" s="38"/>
      <c r="AU757" s="38"/>
      <c r="AV757" s="38"/>
      <c r="AW757" s="38"/>
      <c r="AX757" s="38"/>
      <c r="AY757" s="38"/>
      <c r="AZ757" s="38"/>
      <c r="BA757" s="38"/>
      <c r="BB757" s="38"/>
      <c r="BC757" s="38"/>
      <c r="BD757" s="38"/>
      <c r="BE757" s="38"/>
      <c r="BF757" s="38"/>
      <c r="BG757" s="38"/>
      <c r="BH757" s="38"/>
      <c r="BI757" s="38"/>
      <c r="BJ757" s="38"/>
      <c r="BK757" s="38"/>
      <c r="BL757" s="38"/>
      <c r="BM757" s="38"/>
      <c r="BN757" s="38"/>
      <c r="BO757" s="38"/>
      <c r="BP757" s="38"/>
      <c r="BQ757" s="38"/>
      <c r="BR757" s="38"/>
      <c r="BS757" s="38"/>
      <c r="BT757" s="38"/>
      <c r="BU757" s="38"/>
      <c r="BV757" s="38"/>
      <c r="BW757" s="38"/>
      <c r="BX757" s="38"/>
      <c r="BY757" s="38"/>
      <c r="BZ757" s="38"/>
      <c r="CA757" s="38"/>
      <c r="CB757" s="38"/>
      <c r="CC757" s="38"/>
      <c r="CD757" s="38"/>
      <c r="CE757" s="38"/>
      <c r="CF757" s="38"/>
      <c r="CG757" s="38"/>
      <c r="CH757" s="38"/>
      <c r="CI757" s="38"/>
      <c r="CJ757" s="38"/>
      <c r="CK757" s="38"/>
      <c r="CL757" s="38"/>
      <c r="CM757" s="38"/>
      <c r="CN757" s="38"/>
      <c r="CO757" s="38"/>
      <c r="CP757" s="38"/>
      <c r="CQ757" s="38"/>
      <c r="CR757" s="38"/>
      <c r="CS757" s="38"/>
      <c r="CT757" s="38"/>
      <c r="CU757" s="38"/>
      <c r="CV757" s="38"/>
      <c r="CW757" s="38"/>
      <c r="CX757" s="38"/>
      <c r="CY757" s="38"/>
      <c r="CZ757" s="38"/>
    </row>
    <row r="758" spans="1:104" s="40" customFormat="1" ht="20.149999999999999" customHeight="1">
      <c r="A758" s="358">
        <f t="shared" si="171"/>
        <v>757</v>
      </c>
      <c r="B758" s="359" t="str">
        <f>'Front Sheet and Checklist'!$C$5</f>
        <v>Swansea Bay UHB</v>
      </c>
      <c r="C758" s="17"/>
      <c r="D758" s="17"/>
      <c r="E758" s="17"/>
      <c r="F758" s="17"/>
      <c r="G758" s="17"/>
      <c r="H758" s="17"/>
      <c r="I758" s="361">
        <f t="shared" si="161"/>
        <v>0</v>
      </c>
      <c r="J758" s="17"/>
      <c r="K758" s="18"/>
      <c r="L758" s="18"/>
      <c r="M758" s="17"/>
      <c r="N758" s="17"/>
      <c r="O758" s="17"/>
      <c r="P758" s="17"/>
      <c r="Q758" s="169"/>
      <c r="R758" s="24"/>
      <c r="S758" s="24"/>
      <c r="T758" s="24"/>
      <c r="U758" s="25"/>
      <c r="V758" s="25"/>
      <c r="W758" s="25"/>
      <c r="X758" s="24"/>
      <c r="Y758" s="24"/>
      <c r="Z758" s="24"/>
      <c r="AA758" s="24"/>
      <c r="AB758" s="24"/>
      <c r="AC758" s="24"/>
      <c r="AD758" s="361">
        <f t="shared" si="160"/>
        <v>0</v>
      </c>
      <c r="AE758" s="359" t="str">
        <f t="shared" si="163"/>
        <v/>
      </c>
      <c r="AF758" s="359" t="str">
        <f t="shared" si="172"/>
        <v/>
      </c>
      <c r="AG758" s="359" t="str">
        <f t="shared" si="164"/>
        <v/>
      </c>
      <c r="AH758" s="359" t="str">
        <f t="shared" si="165"/>
        <v/>
      </c>
      <c r="AI758" s="359" t="str">
        <f t="shared" si="166"/>
        <v/>
      </c>
      <c r="AJ758" s="359" t="str">
        <f t="shared" si="167"/>
        <v/>
      </c>
      <c r="AK758" s="359" t="str">
        <f t="shared" si="169"/>
        <v/>
      </c>
      <c r="AL758" s="359" t="str">
        <f t="shared" si="168"/>
        <v/>
      </c>
      <c r="AM758" s="359" t="str">
        <f t="shared" si="170"/>
        <v/>
      </c>
      <c r="AN758" s="262">
        <f t="shared" si="173"/>
        <v>0</v>
      </c>
      <c r="AO758" s="262" t="str">
        <f>IFERROR(HLOOKUP(AN758,'Ref Lists'!Q$1:AL$2,2,FALSE),'Ref Lists'!$AK$2)</f>
        <v>Savings21</v>
      </c>
      <c r="AP758" s="38"/>
      <c r="AQ758" s="38">
        <f t="shared" si="162"/>
        <v>0</v>
      </c>
      <c r="AR758" s="38"/>
      <c r="AS758" s="38"/>
      <c r="AT758" s="38"/>
      <c r="AU758" s="38"/>
      <c r="AV758" s="38"/>
      <c r="AW758" s="38"/>
      <c r="AX758" s="38"/>
      <c r="AY758" s="38"/>
      <c r="AZ758" s="38"/>
      <c r="BA758" s="38"/>
      <c r="BB758" s="38"/>
      <c r="BC758" s="38"/>
      <c r="BD758" s="38"/>
      <c r="BE758" s="38"/>
      <c r="BF758" s="38"/>
      <c r="BG758" s="38"/>
      <c r="BH758" s="38"/>
      <c r="BI758" s="38"/>
      <c r="BJ758" s="38"/>
      <c r="BK758" s="38"/>
      <c r="BL758" s="38"/>
      <c r="BM758" s="38"/>
      <c r="BN758" s="38"/>
      <c r="BO758" s="38"/>
      <c r="BP758" s="38"/>
      <c r="BQ758" s="38"/>
      <c r="BR758" s="38"/>
      <c r="BS758" s="38"/>
      <c r="BT758" s="38"/>
      <c r="BU758" s="38"/>
      <c r="BV758" s="38"/>
      <c r="BW758" s="38"/>
      <c r="BX758" s="38"/>
      <c r="BY758" s="38"/>
      <c r="BZ758" s="38"/>
      <c r="CA758" s="38"/>
      <c r="CB758" s="38"/>
      <c r="CC758" s="38"/>
      <c r="CD758" s="38"/>
      <c r="CE758" s="38"/>
      <c r="CF758" s="38"/>
      <c r="CG758" s="38"/>
      <c r="CH758" s="38"/>
      <c r="CI758" s="38"/>
      <c r="CJ758" s="38"/>
      <c r="CK758" s="38"/>
      <c r="CL758" s="38"/>
      <c r="CM758" s="38"/>
      <c r="CN758" s="38"/>
      <c r="CO758" s="38"/>
      <c r="CP758" s="38"/>
      <c r="CQ758" s="38"/>
      <c r="CR758" s="38"/>
      <c r="CS758" s="38"/>
      <c r="CT758" s="38"/>
      <c r="CU758" s="38"/>
      <c r="CV758" s="38"/>
      <c r="CW758" s="38"/>
      <c r="CX758" s="38"/>
      <c r="CY758" s="38"/>
      <c r="CZ758" s="38"/>
    </row>
    <row r="759" spans="1:104" s="40" customFormat="1" ht="20.149999999999999" customHeight="1">
      <c r="A759" s="358">
        <f t="shared" si="171"/>
        <v>758</v>
      </c>
      <c r="B759" s="359" t="str">
        <f>'Front Sheet and Checklist'!$C$5</f>
        <v>Swansea Bay UHB</v>
      </c>
      <c r="C759" s="17"/>
      <c r="D759" s="17"/>
      <c r="E759" s="17"/>
      <c r="F759" s="17"/>
      <c r="G759" s="17"/>
      <c r="H759" s="17"/>
      <c r="I759" s="361">
        <f t="shared" si="161"/>
        <v>0</v>
      </c>
      <c r="J759" s="17"/>
      <c r="K759" s="18"/>
      <c r="L759" s="18"/>
      <c r="M759" s="17"/>
      <c r="N759" s="17"/>
      <c r="O759" s="17"/>
      <c r="P759" s="17"/>
      <c r="Q759" s="169"/>
      <c r="R759" s="24"/>
      <c r="S759" s="24"/>
      <c r="T759" s="24"/>
      <c r="U759" s="25"/>
      <c r="V759" s="25"/>
      <c r="W759" s="25"/>
      <c r="X759" s="24"/>
      <c r="Y759" s="24"/>
      <c r="Z759" s="24"/>
      <c r="AA759" s="24"/>
      <c r="AB759" s="24"/>
      <c r="AC759" s="24"/>
      <c r="AD759" s="361">
        <f t="shared" si="160"/>
        <v>0</v>
      </c>
      <c r="AE759" s="359" t="str">
        <f t="shared" si="163"/>
        <v/>
      </c>
      <c r="AF759" s="359" t="str">
        <f t="shared" si="172"/>
        <v/>
      </c>
      <c r="AG759" s="359" t="str">
        <f t="shared" si="164"/>
        <v/>
      </c>
      <c r="AH759" s="359" t="str">
        <f t="shared" si="165"/>
        <v/>
      </c>
      <c r="AI759" s="359" t="str">
        <f t="shared" si="166"/>
        <v/>
      </c>
      <c r="AJ759" s="359" t="str">
        <f t="shared" si="167"/>
        <v/>
      </c>
      <c r="AK759" s="359" t="str">
        <f t="shared" si="169"/>
        <v/>
      </c>
      <c r="AL759" s="359" t="str">
        <f t="shared" si="168"/>
        <v/>
      </c>
      <c r="AM759" s="359" t="str">
        <f t="shared" si="170"/>
        <v/>
      </c>
      <c r="AN759" s="262">
        <f t="shared" si="173"/>
        <v>0</v>
      </c>
      <c r="AO759" s="262" t="str">
        <f>IFERROR(HLOOKUP(AN759,'Ref Lists'!Q$1:AL$2,2,FALSE),'Ref Lists'!$AK$2)</f>
        <v>Savings21</v>
      </c>
      <c r="AP759" s="38"/>
      <c r="AQ759" s="38">
        <f t="shared" si="162"/>
        <v>0</v>
      </c>
      <c r="AR759" s="38"/>
      <c r="AS759" s="38"/>
      <c r="AT759" s="38"/>
      <c r="AU759" s="38"/>
      <c r="AV759" s="38"/>
      <c r="AW759" s="38"/>
      <c r="AX759" s="38"/>
      <c r="AY759" s="38"/>
      <c r="AZ759" s="38"/>
      <c r="BA759" s="38"/>
      <c r="BB759" s="38"/>
      <c r="BC759" s="38"/>
      <c r="BD759" s="38"/>
      <c r="BE759" s="38"/>
      <c r="BF759" s="38"/>
      <c r="BG759" s="38"/>
      <c r="BH759" s="38"/>
      <c r="BI759" s="38"/>
      <c r="BJ759" s="38"/>
      <c r="BK759" s="38"/>
      <c r="BL759" s="38"/>
      <c r="BM759" s="38"/>
      <c r="BN759" s="38"/>
      <c r="BO759" s="38"/>
      <c r="BP759" s="38"/>
      <c r="BQ759" s="38"/>
      <c r="BR759" s="38"/>
      <c r="BS759" s="38"/>
      <c r="BT759" s="38"/>
      <c r="BU759" s="38"/>
      <c r="BV759" s="38"/>
      <c r="BW759" s="38"/>
      <c r="BX759" s="38"/>
      <c r="BY759" s="38"/>
      <c r="BZ759" s="38"/>
      <c r="CA759" s="38"/>
      <c r="CB759" s="38"/>
      <c r="CC759" s="38"/>
      <c r="CD759" s="38"/>
      <c r="CE759" s="38"/>
      <c r="CF759" s="38"/>
      <c r="CG759" s="38"/>
      <c r="CH759" s="38"/>
      <c r="CI759" s="38"/>
      <c r="CJ759" s="38"/>
      <c r="CK759" s="38"/>
      <c r="CL759" s="38"/>
      <c r="CM759" s="38"/>
      <c r="CN759" s="38"/>
      <c r="CO759" s="38"/>
      <c r="CP759" s="38"/>
      <c r="CQ759" s="38"/>
      <c r="CR759" s="38"/>
      <c r="CS759" s="38"/>
      <c r="CT759" s="38"/>
      <c r="CU759" s="38"/>
      <c r="CV759" s="38"/>
      <c r="CW759" s="38"/>
      <c r="CX759" s="38"/>
      <c r="CY759" s="38"/>
      <c r="CZ759" s="38"/>
    </row>
    <row r="760" spans="1:104" s="40" customFormat="1" ht="20.149999999999999" customHeight="1">
      <c r="A760" s="358">
        <f t="shared" si="171"/>
        <v>759</v>
      </c>
      <c r="B760" s="359" t="str">
        <f>'Front Sheet and Checklist'!$C$5</f>
        <v>Swansea Bay UHB</v>
      </c>
      <c r="C760" s="17"/>
      <c r="D760" s="17"/>
      <c r="E760" s="17"/>
      <c r="F760" s="17"/>
      <c r="G760" s="17"/>
      <c r="H760" s="17"/>
      <c r="I760" s="361">
        <f t="shared" si="161"/>
        <v>0</v>
      </c>
      <c r="J760" s="17"/>
      <c r="K760" s="18"/>
      <c r="L760" s="18"/>
      <c r="M760" s="17"/>
      <c r="N760" s="17"/>
      <c r="O760" s="17"/>
      <c r="P760" s="17"/>
      <c r="Q760" s="169"/>
      <c r="R760" s="24"/>
      <c r="S760" s="24"/>
      <c r="T760" s="24"/>
      <c r="U760" s="25"/>
      <c r="V760" s="25"/>
      <c r="W760" s="25"/>
      <c r="X760" s="24"/>
      <c r="Y760" s="24"/>
      <c r="Z760" s="24"/>
      <c r="AA760" s="24"/>
      <c r="AB760" s="24"/>
      <c r="AC760" s="24"/>
      <c r="AD760" s="361">
        <f t="shared" si="160"/>
        <v>0</v>
      </c>
      <c r="AE760" s="359" t="str">
        <f t="shared" si="163"/>
        <v/>
      </c>
      <c r="AF760" s="359" t="str">
        <f t="shared" si="172"/>
        <v/>
      </c>
      <c r="AG760" s="359" t="str">
        <f t="shared" si="164"/>
        <v/>
      </c>
      <c r="AH760" s="359" t="str">
        <f t="shared" si="165"/>
        <v/>
      </c>
      <c r="AI760" s="359" t="str">
        <f t="shared" si="166"/>
        <v/>
      </c>
      <c r="AJ760" s="359" t="str">
        <f t="shared" si="167"/>
        <v/>
      </c>
      <c r="AK760" s="359" t="str">
        <f t="shared" si="169"/>
        <v/>
      </c>
      <c r="AL760" s="359" t="str">
        <f t="shared" si="168"/>
        <v/>
      </c>
      <c r="AM760" s="359" t="str">
        <f t="shared" si="170"/>
        <v/>
      </c>
      <c r="AN760" s="262">
        <f t="shared" si="173"/>
        <v>0</v>
      </c>
      <c r="AO760" s="262" t="str">
        <f>IFERROR(HLOOKUP(AN760,'Ref Lists'!Q$1:AL$2,2,FALSE),'Ref Lists'!$AK$2)</f>
        <v>Savings21</v>
      </c>
      <c r="AP760" s="38"/>
      <c r="AQ760" s="38">
        <f t="shared" si="162"/>
        <v>0</v>
      </c>
      <c r="AR760" s="38"/>
      <c r="AS760" s="38"/>
      <c r="AT760" s="38"/>
      <c r="AU760" s="38"/>
      <c r="AV760" s="38"/>
      <c r="AW760" s="38"/>
      <c r="AX760" s="38"/>
      <c r="AY760" s="38"/>
      <c r="AZ760" s="38"/>
      <c r="BA760" s="38"/>
      <c r="BB760" s="38"/>
      <c r="BC760" s="38"/>
      <c r="BD760" s="38"/>
      <c r="BE760" s="38"/>
      <c r="BF760" s="38"/>
      <c r="BG760" s="38"/>
      <c r="BH760" s="38"/>
      <c r="BI760" s="38"/>
      <c r="BJ760" s="38"/>
      <c r="BK760" s="38"/>
      <c r="BL760" s="38"/>
      <c r="BM760" s="38"/>
      <c r="BN760" s="38"/>
      <c r="BO760" s="38"/>
      <c r="BP760" s="38"/>
      <c r="BQ760" s="38"/>
      <c r="BR760" s="38"/>
      <c r="BS760" s="38"/>
      <c r="BT760" s="38"/>
      <c r="BU760" s="38"/>
      <c r="BV760" s="38"/>
      <c r="BW760" s="38"/>
      <c r="BX760" s="38"/>
      <c r="BY760" s="38"/>
      <c r="BZ760" s="38"/>
      <c r="CA760" s="38"/>
      <c r="CB760" s="38"/>
      <c r="CC760" s="38"/>
      <c r="CD760" s="38"/>
      <c r="CE760" s="38"/>
      <c r="CF760" s="38"/>
      <c r="CG760" s="38"/>
      <c r="CH760" s="38"/>
      <c r="CI760" s="38"/>
      <c r="CJ760" s="38"/>
      <c r="CK760" s="38"/>
      <c r="CL760" s="38"/>
      <c r="CM760" s="38"/>
      <c r="CN760" s="38"/>
      <c r="CO760" s="38"/>
      <c r="CP760" s="38"/>
      <c r="CQ760" s="38"/>
      <c r="CR760" s="38"/>
      <c r="CS760" s="38"/>
      <c r="CT760" s="38"/>
      <c r="CU760" s="38"/>
      <c r="CV760" s="38"/>
      <c r="CW760" s="38"/>
      <c r="CX760" s="38"/>
      <c r="CY760" s="38"/>
      <c r="CZ760" s="38"/>
    </row>
    <row r="761" spans="1:104" s="40" customFormat="1" ht="20.149999999999999" customHeight="1">
      <c r="A761" s="358">
        <f t="shared" si="171"/>
        <v>760</v>
      </c>
      <c r="B761" s="359" t="str">
        <f>'Front Sheet and Checklist'!$C$5</f>
        <v>Swansea Bay UHB</v>
      </c>
      <c r="C761" s="17"/>
      <c r="D761" s="17"/>
      <c r="E761" s="17"/>
      <c r="F761" s="17"/>
      <c r="G761" s="17"/>
      <c r="H761" s="17"/>
      <c r="I761" s="361">
        <f t="shared" si="161"/>
        <v>0</v>
      </c>
      <c r="J761" s="17"/>
      <c r="K761" s="18"/>
      <c r="L761" s="18"/>
      <c r="M761" s="17"/>
      <c r="N761" s="17"/>
      <c r="O761" s="17"/>
      <c r="P761" s="17"/>
      <c r="Q761" s="169"/>
      <c r="R761" s="24"/>
      <c r="S761" s="24"/>
      <c r="T761" s="24"/>
      <c r="U761" s="25"/>
      <c r="V761" s="25"/>
      <c r="W761" s="25"/>
      <c r="X761" s="24"/>
      <c r="Y761" s="24"/>
      <c r="Z761" s="24"/>
      <c r="AA761" s="24"/>
      <c r="AB761" s="24"/>
      <c r="AC761" s="24"/>
      <c r="AD761" s="361">
        <f t="shared" si="160"/>
        <v>0</v>
      </c>
      <c r="AE761" s="359" t="str">
        <f t="shared" si="163"/>
        <v/>
      </c>
      <c r="AF761" s="359" t="str">
        <f t="shared" si="172"/>
        <v/>
      </c>
      <c r="AG761" s="359" t="str">
        <f t="shared" si="164"/>
        <v/>
      </c>
      <c r="AH761" s="359" t="str">
        <f t="shared" si="165"/>
        <v/>
      </c>
      <c r="AI761" s="359" t="str">
        <f t="shared" si="166"/>
        <v/>
      </c>
      <c r="AJ761" s="359" t="str">
        <f t="shared" si="167"/>
        <v/>
      </c>
      <c r="AK761" s="359" t="str">
        <f t="shared" si="169"/>
        <v/>
      </c>
      <c r="AL761" s="359" t="str">
        <f t="shared" si="168"/>
        <v/>
      </c>
      <c r="AM761" s="359" t="str">
        <f t="shared" si="170"/>
        <v/>
      </c>
      <c r="AN761" s="262">
        <f t="shared" si="173"/>
        <v>0</v>
      </c>
      <c r="AO761" s="262" t="str">
        <f>IFERROR(HLOOKUP(AN761,'Ref Lists'!Q$1:AL$2,2,FALSE),'Ref Lists'!$AK$2)</f>
        <v>Savings21</v>
      </c>
      <c r="AP761" s="38"/>
      <c r="AQ761" s="38">
        <f t="shared" si="162"/>
        <v>0</v>
      </c>
      <c r="AR761" s="38"/>
      <c r="AS761" s="38"/>
      <c r="AT761" s="38"/>
      <c r="AU761" s="38"/>
      <c r="AV761" s="38"/>
      <c r="AW761" s="38"/>
      <c r="AX761" s="38"/>
      <c r="AY761" s="38"/>
      <c r="AZ761" s="38"/>
      <c r="BA761" s="38"/>
      <c r="BB761" s="38"/>
      <c r="BC761" s="38"/>
      <c r="BD761" s="38"/>
      <c r="BE761" s="38"/>
      <c r="BF761" s="38"/>
      <c r="BG761" s="38"/>
      <c r="BH761" s="38"/>
      <c r="BI761" s="38"/>
      <c r="BJ761" s="38"/>
      <c r="BK761" s="38"/>
      <c r="BL761" s="38"/>
      <c r="BM761" s="38"/>
      <c r="BN761" s="38"/>
      <c r="BO761" s="38"/>
      <c r="BP761" s="38"/>
      <c r="BQ761" s="38"/>
      <c r="BR761" s="38"/>
      <c r="BS761" s="38"/>
      <c r="BT761" s="38"/>
      <c r="BU761" s="38"/>
      <c r="BV761" s="38"/>
      <c r="BW761" s="38"/>
      <c r="BX761" s="38"/>
      <c r="BY761" s="38"/>
      <c r="BZ761" s="38"/>
      <c r="CA761" s="38"/>
      <c r="CB761" s="38"/>
      <c r="CC761" s="38"/>
      <c r="CD761" s="38"/>
      <c r="CE761" s="38"/>
      <c r="CF761" s="38"/>
      <c r="CG761" s="38"/>
      <c r="CH761" s="38"/>
      <c r="CI761" s="38"/>
      <c r="CJ761" s="38"/>
      <c r="CK761" s="38"/>
      <c r="CL761" s="38"/>
      <c r="CM761" s="38"/>
      <c r="CN761" s="38"/>
      <c r="CO761" s="38"/>
      <c r="CP761" s="38"/>
      <c r="CQ761" s="38"/>
      <c r="CR761" s="38"/>
      <c r="CS761" s="38"/>
      <c r="CT761" s="38"/>
      <c r="CU761" s="38"/>
      <c r="CV761" s="38"/>
      <c r="CW761" s="38"/>
      <c r="CX761" s="38"/>
      <c r="CY761" s="38"/>
      <c r="CZ761" s="38"/>
    </row>
    <row r="762" spans="1:104" s="40" customFormat="1" ht="20.149999999999999" customHeight="1">
      <c r="A762" s="358">
        <f t="shared" si="171"/>
        <v>761</v>
      </c>
      <c r="B762" s="359" t="str">
        <f>'Front Sheet and Checklist'!$C$5</f>
        <v>Swansea Bay UHB</v>
      </c>
      <c r="C762" s="17"/>
      <c r="D762" s="17"/>
      <c r="E762" s="17"/>
      <c r="F762" s="17"/>
      <c r="G762" s="17"/>
      <c r="H762" s="17"/>
      <c r="I762" s="361">
        <f t="shared" si="161"/>
        <v>0</v>
      </c>
      <c r="J762" s="17"/>
      <c r="K762" s="18"/>
      <c r="L762" s="18"/>
      <c r="M762" s="17"/>
      <c r="N762" s="17"/>
      <c r="O762" s="17"/>
      <c r="P762" s="17"/>
      <c r="Q762" s="169"/>
      <c r="R762" s="24"/>
      <c r="S762" s="24"/>
      <c r="T762" s="24"/>
      <c r="U762" s="25"/>
      <c r="V762" s="25"/>
      <c r="W762" s="25"/>
      <c r="X762" s="24"/>
      <c r="Y762" s="24"/>
      <c r="Z762" s="24"/>
      <c r="AA762" s="24"/>
      <c r="AB762" s="24"/>
      <c r="AC762" s="24"/>
      <c r="AD762" s="361">
        <f t="shared" ref="AD762:AD825" si="174">SUM(R762:AC762)</f>
        <v>0</v>
      </c>
      <c r="AE762" s="359" t="str">
        <f t="shared" si="163"/>
        <v/>
      </c>
      <c r="AF762" s="359" t="str">
        <f t="shared" si="172"/>
        <v/>
      </c>
      <c r="AG762" s="359" t="str">
        <f t="shared" si="164"/>
        <v/>
      </c>
      <c r="AH762" s="359" t="str">
        <f t="shared" si="165"/>
        <v/>
      </c>
      <c r="AI762" s="359" t="str">
        <f t="shared" si="166"/>
        <v/>
      </c>
      <c r="AJ762" s="359" t="str">
        <f t="shared" si="167"/>
        <v/>
      </c>
      <c r="AK762" s="359" t="str">
        <f t="shared" si="169"/>
        <v/>
      </c>
      <c r="AL762" s="359" t="str">
        <f t="shared" si="168"/>
        <v/>
      </c>
      <c r="AM762" s="359" t="str">
        <f t="shared" si="170"/>
        <v/>
      </c>
      <c r="AN762" s="262">
        <f t="shared" si="173"/>
        <v>0</v>
      </c>
      <c r="AO762" s="262" t="str">
        <f>IFERROR(HLOOKUP(AN762,'Ref Lists'!Q$1:AL$2,2,FALSE),'Ref Lists'!$AK$2)</f>
        <v>Savings21</v>
      </c>
      <c r="AP762" s="38"/>
      <c r="AQ762" s="38">
        <f t="shared" si="162"/>
        <v>0</v>
      </c>
      <c r="AR762" s="38"/>
      <c r="AS762" s="38"/>
      <c r="AT762" s="38"/>
      <c r="AU762" s="38"/>
      <c r="AV762" s="38"/>
      <c r="AW762" s="38"/>
      <c r="AX762" s="38"/>
      <c r="AY762" s="38"/>
      <c r="AZ762" s="38"/>
      <c r="BA762" s="38"/>
      <c r="BB762" s="38"/>
      <c r="BC762" s="38"/>
      <c r="BD762" s="38"/>
      <c r="BE762" s="38"/>
      <c r="BF762" s="38"/>
      <c r="BG762" s="38"/>
      <c r="BH762" s="38"/>
      <c r="BI762" s="38"/>
      <c r="BJ762" s="38"/>
      <c r="BK762" s="38"/>
      <c r="BL762" s="38"/>
      <c r="BM762" s="38"/>
      <c r="BN762" s="38"/>
      <c r="BO762" s="38"/>
      <c r="BP762" s="38"/>
      <c r="BQ762" s="38"/>
      <c r="BR762" s="38"/>
      <c r="BS762" s="38"/>
      <c r="BT762" s="38"/>
      <c r="BU762" s="38"/>
      <c r="BV762" s="38"/>
      <c r="BW762" s="38"/>
      <c r="BX762" s="38"/>
      <c r="BY762" s="38"/>
      <c r="BZ762" s="38"/>
      <c r="CA762" s="38"/>
      <c r="CB762" s="38"/>
      <c r="CC762" s="38"/>
      <c r="CD762" s="38"/>
      <c r="CE762" s="38"/>
      <c r="CF762" s="38"/>
      <c r="CG762" s="38"/>
      <c r="CH762" s="38"/>
      <c r="CI762" s="38"/>
      <c r="CJ762" s="38"/>
      <c r="CK762" s="38"/>
      <c r="CL762" s="38"/>
      <c r="CM762" s="38"/>
      <c r="CN762" s="38"/>
      <c r="CO762" s="38"/>
      <c r="CP762" s="38"/>
      <c r="CQ762" s="38"/>
      <c r="CR762" s="38"/>
      <c r="CS762" s="38"/>
      <c r="CT762" s="38"/>
      <c r="CU762" s="38"/>
      <c r="CV762" s="38"/>
      <c r="CW762" s="38"/>
      <c r="CX762" s="38"/>
      <c r="CY762" s="38"/>
      <c r="CZ762" s="38"/>
    </row>
    <row r="763" spans="1:104" s="40" customFormat="1" ht="20.149999999999999" customHeight="1">
      <c r="A763" s="358">
        <f t="shared" si="171"/>
        <v>762</v>
      </c>
      <c r="B763" s="359" t="str">
        <f>'Front Sheet and Checklist'!$C$5</f>
        <v>Swansea Bay UHB</v>
      </c>
      <c r="C763" s="17"/>
      <c r="D763" s="17"/>
      <c r="E763" s="17"/>
      <c r="F763" s="17"/>
      <c r="G763" s="17"/>
      <c r="H763" s="17"/>
      <c r="I763" s="361">
        <f t="shared" ref="I763:I826" si="175">AD763</f>
        <v>0</v>
      </c>
      <c r="J763" s="17"/>
      <c r="K763" s="18"/>
      <c r="L763" s="18"/>
      <c r="M763" s="17"/>
      <c r="N763" s="17"/>
      <c r="O763" s="17"/>
      <c r="P763" s="17"/>
      <c r="Q763" s="169"/>
      <c r="R763" s="24"/>
      <c r="S763" s="24"/>
      <c r="T763" s="24"/>
      <c r="U763" s="25"/>
      <c r="V763" s="25"/>
      <c r="W763" s="25"/>
      <c r="X763" s="24"/>
      <c r="Y763" s="24"/>
      <c r="Z763" s="24"/>
      <c r="AA763" s="24"/>
      <c r="AB763" s="24"/>
      <c r="AC763" s="24"/>
      <c r="AD763" s="361">
        <f t="shared" si="174"/>
        <v>0</v>
      </c>
      <c r="AE763" s="359" t="str">
        <f t="shared" si="163"/>
        <v/>
      </c>
      <c r="AF763" s="359" t="str">
        <f t="shared" si="172"/>
        <v/>
      </c>
      <c r="AG763" s="359" t="str">
        <f t="shared" si="164"/>
        <v/>
      </c>
      <c r="AH763" s="359" t="str">
        <f t="shared" si="165"/>
        <v/>
      </c>
      <c r="AI763" s="359" t="str">
        <f t="shared" si="166"/>
        <v/>
      </c>
      <c r="AJ763" s="359" t="str">
        <f t="shared" si="167"/>
        <v/>
      </c>
      <c r="AK763" s="359" t="str">
        <f t="shared" si="169"/>
        <v/>
      </c>
      <c r="AL763" s="359" t="str">
        <f t="shared" si="168"/>
        <v/>
      </c>
      <c r="AM763" s="359" t="str">
        <f t="shared" si="170"/>
        <v/>
      </c>
      <c r="AN763" s="262">
        <f t="shared" si="173"/>
        <v>0</v>
      </c>
      <c r="AO763" s="262" t="str">
        <f>IFERROR(HLOOKUP(AN763,'Ref Lists'!Q$1:AL$2,2,FALSE),'Ref Lists'!$AK$2)</f>
        <v>Savings21</v>
      </c>
      <c r="AP763" s="38"/>
      <c r="AQ763" s="38">
        <f t="shared" ref="AQ763:AQ826" si="176">COUNTIFS(AE763:AL763,"Error")</f>
        <v>0</v>
      </c>
      <c r="AR763" s="38"/>
      <c r="AS763" s="38"/>
      <c r="AT763" s="38"/>
      <c r="AU763" s="38"/>
      <c r="AV763" s="38"/>
      <c r="AW763" s="38"/>
      <c r="AX763" s="38"/>
      <c r="AY763" s="38"/>
      <c r="AZ763" s="38"/>
      <c r="BA763" s="38"/>
      <c r="BB763" s="38"/>
      <c r="BC763" s="38"/>
      <c r="BD763" s="38"/>
      <c r="BE763" s="38"/>
      <c r="BF763" s="38"/>
      <c r="BG763" s="38"/>
      <c r="BH763" s="38"/>
      <c r="BI763" s="38"/>
      <c r="BJ763" s="38"/>
      <c r="BK763" s="38"/>
      <c r="BL763" s="38"/>
      <c r="BM763" s="38"/>
      <c r="BN763" s="38"/>
      <c r="BO763" s="38"/>
      <c r="BP763" s="38"/>
      <c r="BQ763" s="38"/>
      <c r="BR763" s="38"/>
      <c r="BS763" s="38"/>
      <c r="BT763" s="38"/>
      <c r="BU763" s="38"/>
      <c r="BV763" s="38"/>
      <c r="BW763" s="38"/>
      <c r="BX763" s="38"/>
      <c r="BY763" s="38"/>
      <c r="BZ763" s="38"/>
      <c r="CA763" s="38"/>
      <c r="CB763" s="38"/>
      <c r="CC763" s="38"/>
      <c r="CD763" s="38"/>
      <c r="CE763" s="38"/>
      <c r="CF763" s="38"/>
      <c r="CG763" s="38"/>
      <c r="CH763" s="38"/>
      <c r="CI763" s="38"/>
      <c r="CJ763" s="38"/>
      <c r="CK763" s="38"/>
      <c r="CL763" s="38"/>
      <c r="CM763" s="38"/>
      <c r="CN763" s="38"/>
      <c r="CO763" s="38"/>
      <c r="CP763" s="38"/>
      <c r="CQ763" s="38"/>
      <c r="CR763" s="38"/>
      <c r="CS763" s="38"/>
      <c r="CT763" s="38"/>
      <c r="CU763" s="38"/>
      <c r="CV763" s="38"/>
      <c r="CW763" s="38"/>
      <c r="CX763" s="38"/>
      <c r="CY763" s="38"/>
      <c r="CZ763" s="38"/>
    </row>
    <row r="764" spans="1:104" s="40" customFormat="1" ht="20.149999999999999" customHeight="1">
      <c r="A764" s="358">
        <f t="shared" si="171"/>
        <v>763</v>
      </c>
      <c r="B764" s="359" t="str">
        <f>'Front Sheet and Checklist'!$C$5</f>
        <v>Swansea Bay UHB</v>
      </c>
      <c r="C764" s="17"/>
      <c r="D764" s="17"/>
      <c r="E764" s="17"/>
      <c r="F764" s="17"/>
      <c r="G764" s="17"/>
      <c r="H764" s="17"/>
      <c r="I764" s="361">
        <f t="shared" si="175"/>
        <v>0</v>
      </c>
      <c r="J764" s="17"/>
      <c r="K764" s="18"/>
      <c r="L764" s="18"/>
      <c r="M764" s="17"/>
      <c r="N764" s="17"/>
      <c r="O764" s="17"/>
      <c r="P764" s="17"/>
      <c r="Q764" s="169"/>
      <c r="R764" s="24"/>
      <c r="S764" s="24"/>
      <c r="T764" s="24"/>
      <c r="U764" s="25"/>
      <c r="V764" s="25"/>
      <c r="W764" s="25"/>
      <c r="X764" s="24"/>
      <c r="Y764" s="24"/>
      <c r="Z764" s="24"/>
      <c r="AA764" s="24"/>
      <c r="AB764" s="24"/>
      <c r="AC764" s="24"/>
      <c r="AD764" s="361">
        <f t="shared" si="174"/>
        <v>0</v>
      </c>
      <c r="AE764" s="359" t="str">
        <f t="shared" si="163"/>
        <v/>
      </c>
      <c r="AF764" s="359" t="str">
        <f t="shared" si="172"/>
        <v/>
      </c>
      <c r="AG764" s="359" t="str">
        <f t="shared" si="164"/>
        <v/>
      </c>
      <c r="AH764" s="359" t="str">
        <f t="shared" si="165"/>
        <v/>
      </c>
      <c r="AI764" s="359" t="str">
        <f t="shared" si="166"/>
        <v/>
      </c>
      <c r="AJ764" s="359" t="str">
        <f t="shared" si="167"/>
        <v/>
      </c>
      <c r="AK764" s="359" t="str">
        <f t="shared" si="169"/>
        <v/>
      </c>
      <c r="AL764" s="359" t="str">
        <f t="shared" si="168"/>
        <v/>
      </c>
      <c r="AM764" s="359" t="str">
        <f t="shared" si="170"/>
        <v/>
      </c>
      <c r="AN764" s="262">
        <f t="shared" si="173"/>
        <v>0</v>
      </c>
      <c r="AO764" s="262" t="str">
        <f>IFERROR(HLOOKUP(AN764,'Ref Lists'!Q$1:AL$2,2,FALSE),'Ref Lists'!$AK$2)</f>
        <v>Savings21</v>
      </c>
      <c r="AP764" s="38"/>
      <c r="AQ764" s="38">
        <f t="shared" si="176"/>
        <v>0</v>
      </c>
      <c r="AR764" s="38"/>
      <c r="AS764" s="38"/>
      <c r="AT764" s="38"/>
      <c r="AU764" s="38"/>
      <c r="AV764" s="38"/>
      <c r="AW764" s="38"/>
      <c r="AX764" s="38"/>
      <c r="AY764" s="38"/>
      <c r="AZ764" s="38"/>
      <c r="BA764" s="38"/>
      <c r="BB764" s="38"/>
      <c r="BC764" s="38"/>
      <c r="BD764" s="38"/>
      <c r="BE764" s="38"/>
      <c r="BF764" s="38"/>
      <c r="BG764" s="38"/>
      <c r="BH764" s="38"/>
      <c r="BI764" s="38"/>
      <c r="BJ764" s="38"/>
      <c r="BK764" s="38"/>
      <c r="BL764" s="38"/>
      <c r="BM764" s="38"/>
      <c r="BN764" s="38"/>
      <c r="BO764" s="38"/>
      <c r="BP764" s="38"/>
      <c r="BQ764" s="38"/>
      <c r="BR764" s="38"/>
      <c r="BS764" s="38"/>
      <c r="BT764" s="38"/>
      <c r="BU764" s="38"/>
      <c r="BV764" s="38"/>
      <c r="BW764" s="38"/>
      <c r="BX764" s="38"/>
      <c r="BY764" s="38"/>
      <c r="BZ764" s="38"/>
      <c r="CA764" s="38"/>
      <c r="CB764" s="38"/>
      <c r="CC764" s="38"/>
      <c r="CD764" s="38"/>
      <c r="CE764" s="38"/>
      <c r="CF764" s="38"/>
      <c r="CG764" s="38"/>
      <c r="CH764" s="38"/>
      <c r="CI764" s="38"/>
      <c r="CJ764" s="38"/>
      <c r="CK764" s="38"/>
      <c r="CL764" s="38"/>
      <c r="CM764" s="38"/>
      <c r="CN764" s="38"/>
      <c r="CO764" s="38"/>
      <c r="CP764" s="38"/>
      <c r="CQ764" s="38"/>
      <c r="CR764" s="38"/>
      <c r="CS764" s="38"/>
      <c r="CT764" s="38"/>
      <c r="CU764" s="38"/>
      <c r="CV764" s="38"/>
      <c r="CW764" s="38"/>
      <c r="CX764" s="38"/>
      <c r="CY764" s="38"/>
      <c r="CZ764" s="38"/>
    </row>
    <row r="765" spans="1:104" s="40" customFormat="1" ht="20.149999999999999" customHeight="1">
      <c r="A765" s="358">
        <f t="shared" si="171"/>
        <v>764</v>
      </c>
      <c r="B765" s="359" t="str">
        <f>'Front Sheet and Checklist'!$C$5</f>
        <v>Swansea Bay UHB</v>
      </c>
      <c r="C765" s="17"/>
      <c r="D765" s="17"/>
      <c r="E765" s="17"/>
      <c r="F765" s="17"/>
      <c r="G765" s="17"/>
      <c r="H765" s="17"/>
      <c r="I765" s="361">
        <f t="shared" si="175"/>
        <v>0</v>
      </c>
      <c r="J765" s="17"/>
      <c r="K765" s="18"/>
      <c r="L765" s="18"/>
      <c r="M765" s="17"/>
      <c r="N765" s="17"/>
      <c r="O765" s="17"/>
      <c r="P765" s="17"/>
      <c r="Q765" s="169"/>
      <c r="R765" s="24"/>
      <c r="S765" s="24"/>
      <c r="T765" s="24"/>
      <c r="U765" s="25"/>
      <c r="V765" s="25"/>
      <c r="W765" s="25"/>
      <c r="X765" s="24"/>
      <c r="Y765" s="24"/>
      <c r="Z765" s="24"/>
      <c r="AA765" s="24"/>
      <c r="AB765" s="24"/>
      <c r="AC765" s="24"/>
      <c r="AD765" s="361">
        <f t="shared" si="174"/>
        <v>0</v>
      </c>
      <c r="AE765" s="359" t="str">
        <f t="shared" si="163"/>
        <v/>
      </c>
      <c r="AF765" s="359" t="str">
        <f t="shared" si="172"/>
        <v/>
      </c>
      <c r="AG765" s="359" t="str">
        <f t="shared" si="164"/>
        <v/>
      </c>
      <c r="AH765" s="359" t="str">
        <f t="shared" si="165"/>
        <v/>
      </c>
      <c r="AI765" s="359" t="str">
        <f t="shared" si="166"/>
        <v/>
      </c>
      <c r="AJ765" s="359" t="str">
        <f t="shared" si="167"/>
        <v/>
      </c>
      <c r="AK765" s="359" t="str">
        <f t="shared" si="169"/>
        <v/>
      </c>
      <c r="AL765" s="359" t="str">
        <f t="shared" si="168"/>
        <v/>
      </c>
      <c r="AM765" s="359" t="str">
        <f t="shared" si="170"/>
        <v/>
      </c>
      <c r="AN765" s="262">
        <f t="shared" si="173"/>
        <v>0</v>
      </c>
      <c r="AO765" s="262" t="str">
        <f>IFERROR(HLOOKUP(AN765,'Ref Lists'!Q$1:AL$2,2,FALSE),'Ref Lists'!$AK$2)</f>
        <v>Savings21</v>
      </c>
      <c r="AP765" s="38"/>
      <c r="AQ765" s="38">
        <f t="shared" si="176"/>
        <v>0</v>
      </c>
      <c r="AR765" s="38"/>
      <c r="AS765" s="38"/>
      <c r="AT765" s="38"/>
      <c r="AU765" s="38"/>
      <c r="AV765" s="38"/>
      <c r="AW765" s="38"/>
      <c r="AX765" s="38"/>
      <c r="AY765" s="38"/>
      <c r="AZ765" s="38"/>
      <c r="BA765" s="38"/>
      <c r="BB765" s="38"/>
      <c r="BC765" s="38"/>
      <c r="BD765" s="38"/>
      <c r="BE765" s="38"/>
      <c r="BF765" s="38"/>
      <c r="BG765" s="38"/>
      <c r="BH765" s="38"/>
      <c r="BI765" s="38"/>
      <c r="BJ765" s="38"/>
      <c r="BK765" s="38"/>
      <c r="BL765" s="38"/>
      <c r="BM765" s="38"/>
      <c r="BN765" s="38"/>
      <c r="BO765" s="38"/>
      <c r="BP765" s="38"/>
      <c r="BQ765" s="38"/>
      <c r="BR765" s="38"/>
      <c r="BS765" s="38"/>
      <c r="BT765" s="38"/>
      <c r="BU765" s="38"/>
      <c r="BV765" s="38"/>
      <c r="BW765" s="38"/>
      <c r="BX765" s="38"/>
      <c r="BY765" s="38"/>
      <c r="BZ765" s="38"/>
      <c r="CA765" s="38"/>
      <c r="CB765" s="38"/>
      <c r="CC765" s="38"/>
      <c r="CD765" s="38"/>
      <c r="CE765" s="38"/>
      <c r="CF765" s="38"/>
      <c r="CG765" s="38"/>
      <c r="CH765" s="38"/>
      <c r="CI765" s="38"/>
      <c r="CJ765" s="38"/>
      <c r="CK765" s="38"/>
      <c r="CL765" s="38"/>
      <c r="CM765" s="38"/>
      <c r="CN765" s="38"/>
      <c r="CO765" s="38"/>
      <c r="CP765" s="38"/>
      <c r="CQ765" s="38"/>
      <c r="CR765" s="38"/>
      <c r="CS765" s="38"/>
      <c r="CT765" s="38"/>
      <c r="CU765" s="38"/>
      <c r="CV765" s="38"/>
      <c r="CW765" s="38"/>
      <c r="CX765" s="38"/>
      <c r="CY765" s="38"/>
      <c r="CZ765" s="38"/>
    </row>
    <row r="766" spans="1:104" s="40" customFormat="1" ht="20.149999999999999" customHeight="1">
      <c r="A766" s="358">
        <f t="shared" si="171"/>
        <v>765</v>
      </c>
      <c r="B766" s="359" t="str">
        <f>'Front Sheet and Checklist'!$C$5</f>
        <v>Swansea Bay UHB</v>
      </c>
      <c r="C766" s="17"/>
      <c r="D766" s="17"/>
      <c r="E766" s="17"/>
      <c r="F766" s="17"/>
      <c r="G766" s="17"/>
      <c r="H766" s="17"/>
      <c r="I766" s="361">
        <f t="shared" si="175"/>
        <v>0</v>
      </c>
      <c r="J766" s="17"/>
      <c r="K766" s="18"/>
      <c r="L766" s="18"/>
      <c r="M766" s="17"/>
      <c r="N766" s="17"/>
      <c r="O766" s="17"/>
      <c r="P766" s="17"/>
      <c r="Q766" s="169"/>
      <c r="R766" s="24"/>
      <c r="S766" s="24"/>
      <c r="T766" s="24"/>
      <c r="U766" s="25"/>
      <c r="V766" s="25"/>
      <c r="W766" s="25"/>
      <c r="X766" s="24"/>
      <c r="Y766" s="24"/>
      <c r="Z766" s="24"/>
      <c r="AA766" s="24"/>
      <c r="AB766" s="24"/>
      <c r="AC766" s="24"/>
      <c r="AD766" s="361">
        <f t="shared" si="174"/>
        <v>0</v>
      </c>
      <c r="AE766" s="359" t="str">
        <f t="shared" si="163"/>
        <v/>
      </c>
      <c r="AF766" s="359" t="str">
        <f t="shared" si="172"/>
        <v/>
      </c>
      <c r="AG766" s="359" t="str">
        <f t="shared" si="164"/>
        <v/>
      </c>
      <c r="AH766" s="359" t="str">
        <f t="shared" si="165"/>
        <v/>
      </c>
      <c r="AI766" s="359" t="str">
        <f t="shared" si="166"/>
        <v/>
      </c>
      <c r="AJ766" s="359" t="str">
        <f t="shared" si="167"/>
        <v/>
      </c>
      <c r="AK766" s="359" t="str">
        <f t="shared" si="169"/>
        <v/>
      </c>
      <c r="AL766" s="359" t="str">
        <f t="shared" si="168"/>
        <v/>
      </c>
      <c r="AM766" s="359" t="str">
        <f t="shared" si="170"/>
        <v/>
      </c>
      <c r="AN766" s="262">
        <f t="shared" si="173"/>
        <v>0</v>
      </c>
      <c r="AO766" s="262" t="str">
        <f>IFERROR(HLOOKUP(AN766,'Ref Lists'!Q$1:AL$2,2,FALSE),'Ref Lists'!$AK$2)</f>
        <v>Savings21</v>
      </c>
      <c r="AP766" s="38"/>
      <c r="AQ766" s="38">
        <f t="shared" si="176"/>
        <v>0</v>
      </c>
      <c r="AR766" s="38"/>
      <c r="AS766" s="38"/>
      <c r="AT766" s="38"/>
      <c r="AU766" s="38"/>
      <c r="AV766" s="38"/>
      <c r="AW766" s="38"/>
      <c r="AX766" s="38"/>
      <c r="AY766" s="38"/>
      <c r="AZ766" s="38"/>
      <c r="BA766" s="38"/>
      <c r="BB766" s="38"/>
      <c r="BC766" s="38"/>
      <c r="BD766" s="38"/>
      <c r="BE766" s="38"/>
      <c r="BF766" s="38"/>
      <c r="BG766" s="38"/>
      <c r="BH766" s="38"/>
      <c r="BI766" s="38"/>
      <c r="BJ766" s="38"/>
      <c r="BK766" s="38"/>
      <c r="BL766" s="38"/>
      <c r="BM766" s="38"/>
      <c r="BN766" s="38"/>
      <c r="BO766" s="38"/>
      <c r="BP766" s="38"/>
      <c r="BQ766" s="38"/>
      <c r="BR766" s="38"/>
      <c r="BS766" s="38"/>
      <c r="BT766" s="38"/>
      <c r="BU766" s="38"/>
      <c r="BV766" s="38"/>
      <c r="BW766" s="38"/>
      <c r="BX766" s="38"/>
      <c r="BY766" s="38"/>
      <c r="BZ766" s="38"/>
      <c r="CA766" s="38"/>
      <c r="CB766" s="38"/>
      <c r="CC766" s="38"/>
      <c r="CD766" s="38"/>
      <c r="CE766" s="38"/>
      <c r="CF766" s="38"/>
      <c r="CG766" s="38"/>
      <c r="CH766" s="38"/>
      <c r="CI766" s="38"/>
      <c r="CJ766" s="38"/>
      <c r="CK766" s="38"/>
      <c r="CL766" s="38"/>
      <c r="CM766" s="38"/>
      <c r="CN766" s="38"/>
      <c r="CO766" s="38"/>
      <c r="CP766" s="38"/>
      <c r="CQ766" s="38"/>
      <c r="CR766" s="38"/>
      <c r="CS766" s="38"/>
      <c r="CT766" s="38"/>
      <c r="CU766" s="38"/>
      <c r="CV766" s="38"/>
      <c r="CW766" s="38"/>
      <c r="CX766" s="38"/>
      <c r="CY766" s="38"/>
      <c r="CZ766" s="38"/>
    </row>
    <row r="767" spans="1:104" s="40" customFormat="1" ht="20.149999999999999" customHeight="1">
      <c r="A767" s="358">
        <f t="shared" si="171"/>
        <v>766</v>
      </c>
      <c r="B767" s="359" t="str">
        <f>'Front Sheet and Checklist'!$C$5</f>
        <v>Swansea Bay UHB</v>
      </c>
      <c r="C767" s="17"/>
      <c r="D767" s="17"/>
      <c r="E767" s="17"/>
      <c r="F767" s="17"/>
      <c r="G767" s="17"/>
      <c r="H767" s="17"/>
      <c r="I767" s="361">
        <f t="shared" si="175"/>
        <v>0</v>
      </c>
      <c r="J767" s="17"/>
      <c r="K767" s="18"/>
      <c r="L767" s="18"/>
      <c r="M767" s="17"/>
      <c r="N767" s="17"/>
      <c r="O767" s="17"/>
      <c r="P767" s="17"/>
      <c r="Q767" s="169"/>
      <c r="R767" s="24"/>
      <c r="S767" s="24"/>
      <c r="T767" s="24"/>
      <c r="U767" s="25"/>
      <c r="V767" s="25"/>
      <c r="W767" s="25"/>
      <c r="X767" s="24"/>
      <c r="Y767" s="24"/>
      <c r="Z767" s="24"/>
      <c r="AA767" s="24"/>
      <c r="AB767" s="24"/>
      <c r="AC767" s="24"/>
      <c r="AD767" s="361">
        <f t="shared" si="174"/>
        <v>0</v>
      </c>
      <c r="AE767" s="359" t="str">
        <f t="shared" si="163"/>
        <v/>
      </c>
      <c r="AF767" s="359" t="str">
        <f t="shared" si="172"/>
        <v/>
      </c>
      <c r="AG767" s="359" t="str">
        <f t="shared" si="164"/>
        <v/>
      </c>
      <c r="AH767" s="359" t="str">
        <f t="shared" si="165"/>
        <v/>
      </c>
      <c r="AI767" s="359" t="str">
        <f t="shared" si="166"/>
        <v/>
      </c>
      <c r="AJ767" s="359" t="str">
        <f t="shared" si="167"/>
        <v/>
      </c>
      <c r="AK767" s="359" t="str">
        <f t="shared" si="169"/>
        <v/>
      </c>
      <c r="AL767" s="359" t="str">
        <f t="shared" si="168"/>
        <v/>
      </c>
      <c r="AM767" s="359" t="str">
        <f t="shared" si="170"/>
        <v/>
      </c>
      <c r="AN767" s="262">
        <f t="shared" si="173"/>
        <v>0</v>
      </c>
      <c r="AO767" s="262" t="str">
        <f>IFERROR(HLOOKUP(AN767,'Ref Lists'!Q$1:AL$2,2,FALSE),'Ref Lists'!$AK$2)</f>
        <v>Savings21</v>
      </c>
      <c r="AP767" s="38"/>
      <c r="AQ767" s="38">
        <f t="shared" si="176"/>
        <v>0</v>
      </c>
      <c r="AR767" s="38"/>
      <c r="AS767" s="38"/>
      <c r="AT767" s="38"/>
      <c r="AU767" s="38"/>
      <c r="AV767" s="38"/>
      <c r="AW767" s="38"/>
      <c r="AX767" s="38"/>
      <c r="AY767" s="38"/>
      <c r="AZ767" s="38"/>
      <c r="BA767" s="38"/>
      <c r="BB767" s="38"/>
      <c r="BC767" s="38"/>
      <c r="BD767" s="38"/>
      <c r="BE767" s="38"/>
      <c r="BF767" s="38"/>
      <c r="BG767" s="38"/>
      <c r="BH767" s="38"/>
      <c r="BI767" s="38"/>
      <c r="BJ767" s="38"/>
      <c r="BK767" s="38"/>
      <c r="BL767" s="38"/>
      <c r="BM767" s="38"/>
      <c r="BN767" s="38"/>
      <c r="BO767" s="38"/>
      <c r="BP767" s="38"/>
      <c r="BQ767" s="38"/>
      <c r="BR767" s="38"/>
      <c r="BS767" s="38"/>
      <c r="BT767" s="38"/>
      <c r="BU767" s="38"/>
      <c r="BV767" s="38"/>
      <c r="BW767" s="38"/>
      <c r="BX767" s="38"/>
      <c r="BY767" s="38"/>
      <c r="BZ767" s="38"/>
      <c r="CA767" s="38"/>
      <c r="CB767" s="38"/>
      <c r="CC767" s="38"/>
      <c r="CD767" s="38"/>
      <c r="CE767" s="38"/>
      <c r="CF767" s="38"/>
      <c r="CG767" s="38"/>
      <c r="CH767" s="38"/>
      <c r="CI767" s="38"/>
      <c r="CJ767" s="38"/>
      <c r="CK767" s="38"/>
      <c r="CL767" s="38"/>
      <c r="CM767" s="38"/>
      <c r="CN767" s="38"/>
      <c r="CO767" s="38"/>
      <c r="CP767" s="38"/>
      <c r="CQ767" s="38"/>
      <c r="CR767" s="38"/>
      <c r="CS767" s="38"/>
      <c r="CT767" s="38"/>
      <c r="CU767" s="38"/>
      <c r="CV767" s="38"/>
      <c r="CW767" s="38"/>
      <c r="CX767" s="38"/>
      <c r="CY767" s="38"/>
      <c r="CZ767" s="38"/>
    </row>
    <row r="768" spans="1:104" s="40" customFormat="1" ht="20.149999999999999" customHeight="1">
      <c r="A768" s="358">
        <f t="shared" si="171"/>
        <v>767</v>
      </c>
      <c r="B768" s="359" t="str">
        <f>'Front Sheet and Checklist'!$C$5</f>
        <v>Swansea Bay UHB</v>
      </c>
      <c r="C768" s="17"/>
      <c r="D768" s="17"/>
      <c r="E768" s="17"/>
      <c r="F768" s="17"/>
      <c r="G768" s="17"/>
      <c r="H768" s="17"/>
      <c r="I768" s="361">
        <f t="shared" si="175"/>
        <v>0</v>
      </c>
      <c r="J768" s="17"/>
      <c r="K768" s="18"/>
      <c r="L768" s="18"/>
      <c r="M768" s="17"/>
      <c r="N768" s="17"/>
      <c r="O768" s="17"/>
      <c r="P768" s="17"/>
      <c r="Q768" s="169"/>
      <c r="R768" s="24"/>
      <c r="S768" s="24"/>
      <c r="T768" s="24"/>
      <c r="U768" s="25"/>
      <c r="V768" s="25"/>
      <c r="W768" s="25"/>
      <c r="X768" s="24"/>
      <c r="Y768" s="24"/>
      <c r="Z768" s="24"/>
      <c r="AA768" s="24"/>
      <c r="AB768" s="24"/>
      <c r="AC768" s="24"/>
      <c r="AD768" s="361">
        <f t="shared" si="174"/>
        <v>0</v>
      </c>
      <c r="AE768" s="359" t="str">
        <f t="shared" si="163"/>
        <v/>
      </c>
      <c r="AF768" s="359" t="str">
        <f t="shared" si="172"/>
        <v/>
      </c>
      <c r="AG768" s="359" t="str">
        <f t="shared" si="164"/>
        <v/>
      </c>
      <c r="AH768" s="359" t="str">
        <f t="shared" si="165"/>
        <v/>
      </c>
      <c r="AI768" s="359" t="str">
        <f t="shared" si="166"/>
        <v/>
      </c>
      <c r="AJ768" s="359" t="str">
        <f t="shared" si="167"/>
        <v/>
      </c>
      <c r="AK768" s="359" t="str">
        <f t="shared" si="169"/>
        <v/>
      </c>
      <c r="AL768" s="359" t="str">
        <f t="shared" si="168"/>
        <v/>
      </c>
      <c r="AM768" s="359" t="str">
        <f t="shared" si="170"/>
        <v/>
      </c>
      <c r="AN768" s="262">
        <f t="shared" si="173"/>
        <v>0</v>
      </c>
      <c r="AO768" s="262" t="str">
        <f>IFERROR(HLOOKUP(AN768,'Ref Lists'!Q$1:AL$2,2,FALSE),'Ref Lists'!$AK$2)</f>
        <v>Savings21</v>
      </c>
      <c r="AP768" s="38"/>
      <c r="AQ768" s="38">
        <f t="shared" si="176"/>
        <v>0</v>
      </c>
      <c r="AR768" s="38"/>
      <c r="AS768" s="38"/>
      <c r="AT768" s="38"/>
      <c r="AU768" s="38"/>
      <c r="AV768" s="38"/>
      <c r="AW768" s="38"/>
      <c r="AX768" s="38"/>
      <c r="AY768" s="38"/>
      <c r="AZ768" s="38"/>
      <c r="BA768" s="38"/>
      <c r="BB768" s="38"/>
      <c r="BC768" s="38"/>
      <c r="BD768" s="38"/>
      <c r="BE768" s="38"/>
      <c r="BF768" s="38"/>
      <c r="BG768" s="38"/>
      <c r="BH768" s="38"/>
      <c r="BI768" s="38"/>
      <c r="BJ768" s="38"/>
      <c r="BK768" s="38"/>
      <c r="BL768" s="38"/>
      <c r="BM768" s="38"/>
      <c r="BN768" s="38"/>
      <c r="BO768" s="38"/>
      <c r="BP768" s="38"/>
      <c r="BQ768" s="38"/>
      <c r="BR768" s="38"/>
      <c r="BS768" s="38"/>
      <c r="BT768" s="38"/>
      <c r="BU768" s="38"/>
      <c r="BV768" s="38"/>
      <c r="BW768" s="38"/>
      <c r="BX768" s="38"/>
      <c r="BY768" s="38"/>
      <c r="BZ768" s="38"/>
      <c r="CA768" s="38"/>
      <c r="CB768" s="38"/>
      <c r="CC768" s="38"/>
      <c r="CD768" s="38"/>
      <c r="CE768" s="38"/>
      <c r="CF768" s="38"/>
      <c r="CG768" s="38"/>
      <c r="CH768" s="38"/>
      <c r="CI768" s="38"/>
      <c r="CJ768" s="38"/>
      <c r="CK768" s="38"/>
      <c r="CL768" s="38"/>
      <c r="CM768" s="38"/>
      <c r="CN768" s="38"/>
      <c r="CO768" s="38"/>
      <c r="CP768" s="38"/>
      <c r="CQ768" s="38"/>
      <c r="CR768" s="38"/>
      <c r="CS768" s="38"/>
      <c r="CT768" s="38"/>
      <c r="CU768" s="38"/>
      <c r="CV768" s="38"/>
      <c r="CW768" s="38"/>
      <c r="CX768" s="38"/>
      <c r="CY768" s="38"/>
      <c r="CZ768" s="38"/>
    </row>
    <row r="769" spans="1:104" s="40" customFormat="1" ht="20.149999999999999" customHeight="1">
      <c r="A769" s="358">
        <f t="shared" si="171"/>
        <v>768</v>
      </c>
      <c r="B769" s="359" t="str">
        <f>'Front Sheet and Checklist'!$C$5</f>
        <v>Swansea Bay UHB</v>
      </c>
      <c r="C769" s="17"/>
      <c r="D769" s="17"/>
      <c r="E769" s="17"/>
      <c r="F769" s="17"/>
      <c r="G769" s="17"/>
      <c r="H769" s="17"/>
      <c r="I769" s="361">
        <f t="shared" si="175"/>
        <v>0</v>
      </c>
      <c r="J769" s="17"/>
      <c r="K769" s="18"/>
      <c r="L769" s="18"/>
      <c r="M769" s="17"/>
      <c r="N769" s="17"/>
      <c r="O769" s="17"/>
      <c r="P769" s="17"/>
      <c r="Q769" s="169"/>
      <c r="R769" s="24"/>
      <c r="S769" s="24"/>
      <c r="T769" s="24"/>
      <c r="U769" s="25"/>
      <c r="V769" s="25"/>
      <c r="W769" s="25"/>
      <c r="X769" s="24"/>
      <c r="Y769" s="24"/>
      <c r="Z769" s="24"/>
      <c r="AA769" s="24"/>
      <c r="AB769" s="24"/>
      <c r="AC769" s="24"/>
      <c r="AD769" s="361">
        <f t="shared" si="174"/>
        <v>0</v>
      </c>
      <c r="AE769" s="359" t="str">
        <f t="shared" si="163"/>
        <v/>
      </c>
      <c r="AF769" s="359" t="str">
        <f t="shared" si="172"/>
        <v/>
      </c>
      <c r="AG769" s="359" t="str">
        <f t="shared" si="164"/>
        <v/>
      </c>
      <c r="AH769" s="359" t="str">
        <f t="shared" si="165"/>
        <v/>
      </c>
      <c r="AI769" s="359" t="str">
        <f t="shared" si="166"/>
        <v/>
      </c>
      <c r="AJ769" s="359" t="str">
        <f t="shared" si="167"/>
        <v/>
      </c>
      <c r="AK769" s="359" t="str">
        <f t="shared" si="169"/>
        <v/>
      </c>
      <c r="AL769" s="359" t="str">
        <f t="shared" si="168"/>
        <v/>
      </c>
      <c r="AM769" s="359" t="str">
        <f t="shared" si="170"/>
        <v/>
      </c>
      <c r="AN769" s="262">
        <f t="shared" si="173"/>
        <v>0</v>
      </c>
      <c r="AO769" s="262" t="str">
        <f>IFERROR(HLOOKUP(AN769,'Ref Lists'!Q$1:AL$2,2,FALSE),'Ref Lists'!$AK$2)</f>
        <v>Savings21</v>
      </c>
      <c r="AP769" s="38"/>
      <c r="AQ769" s="38">
        <f t="shared" si="176"/>
        <v>0</v>
      </c>
      <c r="AR769" s="38"/>
      <c r="AS769" s="38"/>
      <c r="AT769" s="38"/>
      <c r="AU769" s="38"/>
      <c r="AV769" s="38"/>
      <c r="AW769" s="38"/>
      <c r="AX769" s="38"/>
      <c r="AY769" s="38"/>
      <c r="AZ769" s="38"/>
      <c r="BA769" s="38"/>
      <c r="BB769" s="38"/>
      <c r="BC769" s="38"/>
      <c r="BD769" s="38"/>
      <c r="BE769" s="38"/>
      <c r="BF769" s="38"/>
      <c r="BG769" s="38"/>
      <c r="BH769" s="38"/>
      <c r="BI769" s="38"/>
      <c r="BJ769" s="38"/>
      <c r="BK769" s="38"/>
      <c r="BL769" s="38"/>
      <c r="BM769" s="38"/>
      <c r="BN769" s="38"/>
      <c r="BO769" s="38"/>
      <c r="BP769" s="38"/>
      <c r="BQ769" s="38"/>
      <c r="BR769" s="38"/>
      <c r="BS769" s="38"/>
      <c r="BT769" s="38"/>
      <c r="BU769" s="38"/>
      <c r="BV769" s="38"/>
      <c r="BW769" s="38"/>
      <c r="BX769" s="38"/>
      <c r="BY769" s="38"/>
      <c r="BZ769" s="38"/>
      <c r="CA769" s="38"/>
      <c r="CB769" s="38"/>
      <c r="CC769" s="38"/>
      <c r="CD769" s="38"/>
      <c r="CE769" s="38"/>
      <c r="CF769" s="38"/>
      <c r="CG769" s="38"/>
      <c r="CH769" s="38"/>
      <c r="CI769" s="38"/>
      <c r="CJ769" s="38"/>
      <c r="CK769" s="38"/>
      <c r="CL769" s="38"/>
      <c r="CM769" s="38"/>
      <c r="CN769" s="38"/>
      <c r="CO769" s="38"/>
      <c r="CP769" s="38"/>
      <c r="CQ769" s="38"/>
      <c r="CR769" s="38"/>
      <c r="CS769" s="38"/>
      <c r="CT769" s="38"/>
      <c r="CU769" s="38"/>
      <c r="CV769" s="38"/>
      <c r="CW769" s="38"/>
      <c r="CX769" s="38"/>
      <c r="CY769" s="38"/>
      <c r="CZ769" s="38"/>
    </row>
    <row r="770" spans="1:104" s="40" customFormat="1" ht="20.149999999999999" customHeight="1">
      <c r="A770" s="358">
        <f t="shared" si="171"/>
        <v>769</v>
      </c>
      <c r="B770" s="359" t="str">
        <f>'Front Sheet and Checklist'!$C$5</f>
        <v>Swansea Bay UHB</v>
      </c>
      <c r="C770" s="17"/>
      <c r="D770" s="17"/>
      <c r="E770" s="17"/>
      <c r="F770" s="17"/>
      <c r="G770" s="17"/>
      <c r="H770" s="17"/>
      <c r="I770" s="361">
        <f t="shared" si="175"/>
        <v>0</v>
      </c>
      <c r="J770" s="17"/>
      <c r="K770" s="18"/>
      <c r="L770" s="18"/>
      <c r="M770" s="17"/>
      <c r="N770" s="17"/>
      <c r="O770" s="17"/>
      <c r="P770" s="17"/>
      <c r="Q770" s="169"/>
      <c r="R770" s="24"/>
      <c r="S770" s="24"/>
      <c r="T770" s="24"/>
      <c r="U770" s="25"/>
      <c r="V770" s="25"/>
      <c r="W770" s="25"/>
      <c r="X770" s="24"/>
      <c r="Y770" s="24"/>
      <c r="Z770" s="24"/>
      <c r="AA770" s="24"/>
      <c r="AB770" s="24"/>
      <c r="AC770" s="24"/>
      <c r="AD770" s="361">
        <f t="shared" si="174"/>
        <v>0</v>
      </c>
      <c r="AE770" s="359" t="str">
        <f t="shared" ref="AE770:AE833" si="177">IF(AND(I770&gt;0,H770&lt;&gt;"Income Generation"),IF(AND(H770&lt;&gt;"",D770&lt;&gt;"",E770&lt;&gt;"",F770&lt;&gt;"",C770&lt;&gt;"",G770&lt;&gt;"",K770&lt;&gt;"",L770&lt;&gt;"",M770&lt;&gt;"",N770&lt;&gt;"",P770&lt;&gt;"",Q770&lt;&gt;"",O770&lt;&gt;""),"","ERROR"),"")</f>
        <v/>
      </c>
      <c r="AF770" s="359" t="str">
        <f t="shared" si="172"/>
        <v/>
      </c>
      <c r="AG770" s="359" t="str">
        <f t="shared" ref="AG770:AG833" si="178">IF(AND(I770&gt;0,O770=""),"ERROR","")</f>
        <v/>
      </c>
      <c r="AH770" s="359" t="str">
        <f t="shared" ref="AH770:AH833" si="179">IF(AND(OR(H770="Income Generation"),O770&lt;&gt;""),"ERROR","")</f>
        <v/>
      </c>
      <c r="AI770" s="359" t="str">
        <f t="shared" ref="AI770:AI833" si="180">IF(AND(G770="R",I770&gt;J770),"ERROR","")</f>
        <v/>
      </c>
      <c r="AJ770" s="359" t="str">
        <f t="shared" ref="AJ770:AJ833" si="181">IF(AND(G770="NR",J770&gt;0),"ERROR","")</f>
        <v/>
      </c>
      <c r="AK770" s="359" t="str">
        <f t="shared" si="169"/>
        <v/>
      </c>
      <c r="AL770" s="359" t="str">
        <f t="shared" ref="AL770:AL833" si="182">IF(OR(L770="",L770="N/A"),"",IF(OR(L770&lt;DATEVALUE("01/04/24"),L770&gt;DATEVALUE("31/03/25")),"ERROR",""))</f>
        <v/>
      </c>
      <c r="AM770" s="359" t="str">
        <f t="shared" si="170"/>
        <v/>
      </c>
      <c r="AN770" s="262">
        <f t="shared" si="173"/>
        <v>0</v>
      </c>
      <c r="AO770" s="262" t="str">
        <f>IFERROR(HLOOKUP(AN770,'Ref Lists'!Q$1:AL$2,2,FALSE),'Ref Lists'!$AK$2)</f>
        <v>Savings21</v>
      </c>
      <c r="AP770" s="38"/>
      <c r="AQ770" s="38">
        <f t="shared" si="176"/>
        <v>0</v>
      </c>
      <c r="AR770" s="38"/>
      <c r="AS770" s="38"/>
      <c r="AT770" s="38"/>
      <c r="AU770" s="38"/>
      <c r="AV770" s="38"/>
      <c r="AW770" s="38"/>
      <c r="AX770" s="38"/>
      <c r="AY770" s="38"/>
      <c r="AZ770" s="38"/>
      <c r="BA770" s="38"/>
      <c r="BB770" s="38"/>
      <c r="BC770" s="38"/>
      <c r="BD770" s="38"/>
      <c r="BE770" s="38"/>
      <c r="BF770" s="38"/>
      <c r="BG770" s="38"/>
      <c r="BH770" s="38"/>
      <c r="BI770" s="38"/>
      <c r="BJ770" s="38"/>
      <c r="BK770" s="38"/>
      <c r="BL770" s="38"/>
      <c r="BM770" s="38"/>
      <c r="BN770" s="38"/>
      <c r="BO770" s="38"/>
      <c r="BP770" s="38"/>
      <c r="BQ770" s="38"/>
      <c r="BR770" s="38"/>
      <c r="BS770" s="38"/>
      <c r="BT770" s="38"/>
      <c r="BU770" s="38"/>
      <c r="BV770" s="38"/>
      <c r="BW770" s="38"/>
      <c r="BX770" s="38"/>
      <c r="BY770" s="38"/>
      <c r="BZ770" s="38"/>
      <c r="CA770" s="38"/>
      <c r="CB770" s="38"/>
      <c r="CC770" s="38"/>
      <c r="CD770" s="38"/>
      <c r="CE770" s="38"/>
      <c r="CF770" s="38"/>
      <c r="CG770" s="38"/>
      <c r="CH770" s="38"/>
      <c r="CI770" s="38"/>
      <c r="CJ770" s="38"/>
      <c r="CK770" s="38"/>
      <c r="CL770" s="38"/>
      <c r="CM770" s="38"/>
      <c r="CN770" s="38"/>
      <c r="CO770" s="38"/>
      <c r="CP770" s="38"/>
      <c r="CQ770" s="38"/>
      <c r="CR770" s="38"/>
      <c r="CS770" s="38"/>
      <c r="CT770" s="38"/>
      <c r="CU770" s="38"/>
      <c r="CV770" s="38"/>
      <c r="CW770" s="38"/>
      <c r="CX770" s="38"/>
      <c r="CY770" s="38"/>
      <c r="CZ770" s="38"/>
    </row>
    <row r="771" spans="1:104" s="40" customFormat="1" ht="20.149999999999999" customHeight="1">
      <c r="A771" s="358">
        <f t="shared" si="171"/>
        <v>770</v>
      </c>
      <c r="B771" s="359" t="str">
        <f>'Front Sheet and Checklist'!$C$5</f>
        <v>Swansea Bay UHB</v>
      </c>
      <c r="C771" s="17"/>
      <c r="D771" s="17"/>
      <c r="E771" s="17"/>
      <c r="F771" s="17"/>
      <c r="G771" s="17"/>
      <c r="H771" s="17"/>
      <c r="I771" s="361">
        <f t="shared" si="175"/>
        <v>0</v>
      </c>
      <c r="J771" s="17"/>
      <c r="K771" s="18"/>
      <c r="L771" s="18"/>
      <c r="M771" s="17"/>
      <c r="N771" s="17"/>
      <c r="O771" s="17"/>
      <c r="P771" s="17"/>
      <c r="Q771" s="169"/>
      <c r="R771" s="24"/>
      <c r="S771" s="24"/>
      <c r="T771" s="24"/>
      <c r="U771" s="25"/>
      <c r="V771" s="25"/>
      <c r="W771" s="25"/>
      <c r="X771" s="24"/>
      <c r="Y771" s="24"/>
      <c r="Z771" s="24"/>
      <c r="AA771" s="24"/>
      <c r="AB771" s="24"/>
      <c r="AC771" s="24"/>
      <c r="AD771" s="361">
        <f t="shared" si="174"/>
        <v>0</v>
      </c>
      <c r="AE771" s="359" t="str">
        <f t="shared" si="177"/>
        <v/>
      </c>
      <c r="AF771" s="359" t="str">
        <f t="shared" si="172"/>
        <v/>
      </c>
      <c r="AG771" s="359" t="str">
        <f t="shared" si="178"/>
        <v/>
      </c>
      <c r="AH771" s="359" t="str">
        <f t="shared" si="179"/>
        <v/>
      </c>
      <c r="AI771" s="359" t="str">
        <f t="shared" si="180"/>
        <v/>
      </c>
      <c r="AJ771" s="359" t="str">
        <f t="shared" si="181"/>
        <v/>
      </c>
      <c r="AK771" s="359" t="str">
        <f t="shared" ref="AK771:AK834" si="183">IF(OR(K771="",K771="N/a"),"",IF(OR(K771&lt;DATEVALUE("01/04/24"),K771&gt;DATEVALUE("31/03/25")),"ERROR",""))</f>
        <v/>
      </c>
      <c r="AL771" s="359" t="str">
        <f t="shared" si="182"/>
        <v/>
      </c>
      <c r="AM771" s="359" t="str">
        <f t="shared" ref="AM771:AM834" si="184">IF(COUNTA(T771:AC771)&lt;&gt;COUNT(T771:AC771),"ERROR","")</f>
        <v/>
      </c>
      <c r="AN771" s="262">
        <f t="shared" si="173"/>
        <v>0</v>
      </c>
      <c r="AO771" s="262" t="str">
        <f>IFERROR(HLOOKUP(AN771,'Ref Lists'!Q$1:AL$2,2,FALSE),'Ref Lists'!$AK$2)</f>
        <v>Savings21</v>
      </c>
      <c r="AP771" s="38"/>
      <c r="AQ771" s="38">
        <f t="shared" si="176"/>
        <v>0</v>
      </c>
      <c r="AR771" s="38"/>
      <c r="AS771" s="38"/>
      <c r="AT771" s="38"/>
      <c r="AU771" s="38"/>
      <c r="AV771" s="38"/>
      <c r="AW771" s="38"/>
      <c r="AX771" s="38"/>
      <c r="AY771" s="38"/>
      <c r="AZ771" s="38"/>
      <c r="BA771" s="38"/>
      <c r="BB771" s="38"/>
      <c r="BC771" s="38"/>
      <c r="BD771" s="38"/>
      <c r="BE771" s="38"/>
      <c r="BF771" s="38"/>
      <c r="BG771" s="38"/>
      <c r="BH771" s="38"/>
      <c r="BI771" s="38"/>
      <c r="BJ771" s="38"/>
      <c r="BK771" s="38"/>
      <c r="BL771" s="38"/>
      <c r="BM771" s="38"/>
      <c r="BN771" s="38"/>
      <c r="BO771" s="38"/>
      <c r="BP771" s="38"/>
      <c r="BQ771" s="38"/>
      <c r="BR771" s="38"/>
      <c r="BS771" s="38"/>
      <c r="BT771" s="38"/>
      <c r="BU771" s="38"/>
      <c r="BV771" s="38"/>
      <c r="BW771" s="38"/>
      <c r="BX771" s="38"/>
      <c r="BY771" s="38"/>
      <c r="BZ771" s="38"/>
      <c r="CA771" s="38"/>
      <c r="CB771" s="38"/>
      <c r="CC771" s="38"/>
      <c r="CD771" s="38"/>
      <c r="CE771" s="38"/>
      <c r="CF771" s="38"/>
      <c r="CG771" s="38"/>
      <c r="CH771" s="38"/>
      <c r="CI771" s="38"/>
      <c r="CJ771" s="38"/>
      <c r="CK771" s="38"/>
      <c r="CL771" s="38"/>
      <c r="CM771" s="38"/>
      <c r="CN771" s="38"/>
      <c r="CO771" s="38"/>
      <c r="CP771" s="38"/>
      <c r="CQ771" s="38"/>
      <c r="CR771" s="38"/>
      <c r="CS771" s="38"/>
      <c r="CT771" s="38"/>
      <c r="CU771" s="38"/>
      <c r="CV771" s="38"/>
      <c r="CW771" s="38"/>
      <c r="CX771" s="38"/>
      <c r="CY771" s="38"/>
      <c r="CZ771" s="38"/>
    </row>
    <row r="772" spans="1:104" s="40" customFormat="1" ht="20.149999999999999" customHeight="1">
      <c r="A772" s="358">
        <f t="shared" ref="A772:A835" si="185">+A771+1</f>
        <v>771</v>
      </c>
      <c r="B772" s="359" t="str">
        <f>'Front Sheet and Checklist'!$C$5</f>
        <v>Swansea Bay UHB</v>
      </c>
      <c r="C772" s="17"/>
      <c r="D772" s="17"/>
      <c r="E772" s="17"/>
      <c r="F772" s="17"/>
      <c r="G772" s="17"/>
      <c r="H772" s="17"/>
      <c r="I772" s="361">
        <f t="shared" si="175"/>
        <v>0</v>
      </c>
      <c r="J772" s="17"/>
      <c r="K772" s="18"/>
      <c r="L772" s="18"/>
      <c r="M772" s="17"/>
      <c r="N772" s="17"/>
      <c r="O772" s="17"/>
      <c r="P772" s="17"/>
      <c r="Q772" s="169"/>
      <c r="R772" s="24"/>
      <c r="S772" s="24"/>
      <c r="T772" s="24"/>
      <c r="U772" s="25"/>
      <c r="V772" s="25"/>
      <c r="W772" s="25"/>
      <c r="X772" s="24"/>
      <c r="Y772" s="24"/>
      <c r="Z772" s="24"/>
      <c r="AA772" s="24"/>
      <c r="AB772" s="24"/>
      <c r="AC772" s="24"/>
      <c r="AD772" s="361">
        <f t="shared" si="174"/>
        <v>0</v>
      </c>
      <c r="AE772" s="359" t="str">
        <f t="shared" si="177"/>
        <v/>
      </c>
      <c r="AF772" s="359" t="str">
        <f t="shared" ref="AF772:AF835" si="186">IF(COUNTIF($F$2:$F$1001,F772)&gt;1,"ERROR","")</f>
        <v/>
      </c>
      <c r="AG772" s="359" t="str">
        <f t="shared" si="178"/>
        <v/>
      </c>
      <c r="AH772" s="359" t="str">
        <f t="shared" si="179"/>
        <v/>
      </c>
      <c r="AI772" s="359" t="str">
        <f t="shared" si="180"/>
        <v/>
      </c>
      <c r="AJ772" s="359" t="str">
        <f t="shared" si="181"/>
        <v/>
      </c>
      <c r="AK772" s="359" t="str">
        <f t="shared" si="183"/>
        <v/>
      </c>
      <c r="AL772" s="359" t="str">
        <f t="shared" si="182"/>
        <v/>
      </c>
      <c r="AM772" s="359" t="str">
        <f t="shared" si="184"/>
        <v/>
      </c>
      <c r="AN772" s="262">
        <f t="shared" si="173"/>
        <v>0</v>
      </c>
      <c r="AO772" s="262" t="str">
        <f>IFERROR(HLOOKUP(AN772,'Ref Lists'!Q$1:AL$2,2,FALSE),'Ref Lists'!$AK$2)</f>
        <v>Savings21</v>
      </c>
      <c r="AP772" s="38"/>
      <c r="AQ772" s="38">
        <f t="shared" si="176"/>
        <v>0</v>
      </c>
      <c r="AR772" s="38"/>
      <c r="AS772" s="38"/>
      <c r="AT772" s="38"/>
      <c r="AU772" s="38"/>
      <c r="AV772" s="38"/>
      <c r="AW772" s="38"/>
      <c r="AX772" s="38"/>
      <c r="AY772" s="38"/>
      <c r="AZ772" s="38"/>
      <c r="BA772" s="38"/>
      <c r="BB772" s="38"/>
      <c r="BC772" s="38"/>
      <c r="BD772" s="38"/>
      <c r="BE772" s="38"/>
      <c r="BF772" s="38"/>
      <c r="BG772" s="38"/>
      <c r="BH772" s="38"/>
      <c r="BI772" s="38"/>
      <c r="BJ772" s="38"/>
      <c r="BK772" s="38"/>
      <c r="BL772" s="38"/>
      <c r="BM772" s="38"/>
      <c r="BN772" s="38"/>
      <c r="BO772" s="38"/>
      <c r="BP772" s="38"/>
      <c r="BQ772" s="38"/>
      <c r="BR772" s="38"/>
      <c r="BS772" s="38"/>
      <c r="BT772" s="38"/>
      <c r="BU772" s="38"/>
      <c r="BV772" s="38"/>
      <c r="BW772" s="38"/>
      <c r="BX772" s="38"/>
      <c r="BY772" s="38"/>
      <c r="BZ772" s="38"/>
      <c r="CA772" s="38"/>
      <c r="CB772" s="38"/>
      <c r="CC772" s="38"/>
      <c r="CD772" s="38"/>
      <c r="CE772" s="38"/>
      <c r="CF772" s="38"/>
      <c r="CG772" s="38"/>
      <c r="CH772" s="38"/>
      <c r="CI772" s="38"/>
      <c r="CJ772" s="38"/>
      <c r="CK772" s="38"/>
      <c r="CL772" s="38"/>
      <c r="CM772" s="38"/>
      <c r="CN772" s="38"/>
      <c r="CO772" s="38"/>
      <c r="CP772" s="38"/>
      <c r="CQ772" s="38"/>
      <c r="CR772" s="38"/>
      <c r="CS772" s="38"/>
      <c r="CT772" s="38"/>
      <c r="CU772" s="38"/>
      <c r="CV772" s="38"/>
      <c r="CW772" s="38"/>
      <c r="CX772" s="38"/>
      <c r="CY772" s="38"/>
      <c r="CZ772" s="38"/>
    </row>
    <row r="773" spans="1:104" s="40" customFormat="1" ht="20.149999999999999" customHeight="1">
      <c r="A773" s="358">
        <f t="shared" si="185"/>
        <v>772</v>
      </c>
      <c r="B773" s="359" t="str">
        <f>'Front Sheet and Checklist'!$C$5</f>
        <v>Swansea Bay UHB</v>
      </c>
      <c r="C773" s="17"/>
      <c r="D773" s="17"/>
      <c r="E773" s="17"/>
      <c r="F773" s="17"/>
      <c r="G773" s="17"/>
      <c r="H773" s="17"/>
      <c r="I773" s="361">
        <f t="shared" si="175"/>
        <v>0</v>
      </c>
      <c r="J773" s="17"/>
      <c r="K773" s="18"/>
      <c r="L773" s="18"/>
      <c r="M773" s="17"/>
      <c r="N773" s="17"/>
      <c r="O773" s="17"/>
      <c r="P773" s="17"/>
      <c r="Q773" s="169"/>
      <c r="R773" s="24"/>
      <c r="S773" s="24"/>
      <c r="T773" s="24"/>
      <c r="U773" s="25"/>
      <c r="V773" s="25"/>
      <c r="W773" s="25"/>
      <c r="X773" s="24"/>
      <c r="Y773" s="24"/>
      <c r="Z773" s="24"/>
      <c r="AA773" s="24"/>
      <c r="AB773" s="24"/>
      <c r="AC773" s="24"/>
      <c r="AD773" s="361">
        <f t="shared" si="174"/>
        <v>0</v>
      </c>
      <c r="AE773" s="359" t="str">
        <f t="shared" si="177"/>
        <v/>
      </c>
      <c r="AF773" s="359" t="str">
        <f t="shared" si="186"/>
        <v/>
      </c>
      <c r="AG773" s="359" t="str">
        <f t="shared" si="178"/>
        <v/>
      </c>
      <c r="AH773" s="359" t="str">
        <f t="shared" si="179"/>
        <v/>
      </c>
      <c r="AI773" s="359" t="str">
        <f t="shared" si="180"/>
        <v/>
      </c>
      <c r="AJ773" s="359" t="str">
        <f t="shared" si="181"/>
        <v/>
      </c>
      <c r="AK773" s="359" t="str">
        <f t="shared" si="183"/>
        <v/>
      </c>
      <c r="AL773" s="359" t="str">
        <f t="shared" si="182"/>
        <v/>
      </c>
      <c r="AM773" s="359" t="str">
        <f t="shared" si="184"/>
        <v/>
      </c>
      <c r="AN773" s="262">
        <f t="shared" ref="AN773:AN836" si="187">IF(P773="1) Workforce",_xlfn.CONCAT(P773,O773),IF(P773="5) Pathway",_xlfn.CONCAT(P773,N773),P773))</f>
        <v>0</v>
      </c>
      <c r="AO773" s="262" t="str">
        <f>IFERROR(HLOOKUP(AN773,'Ref Lists'!Q$1:AL$2,2,FALSE),'Ref Lists'!$AK$2)</f>
        <v>Savings21</v>
      </c>
      <c r="AP773" s="38"/>
      <c r="AQ773" s="38">
        <f t="shared" si="176"/>
        <v>0</v>
      </c>
      <c r="AR773" s="38"/>
      <c r="AS773" s="38"/>
      <c r="AT773" s="38"/>
      <c r="AU773" s="38"/>
      <c r="AV773" s="38"/>
      <c r="AW773" s="38"/>
      <c r="AX773" s="38"/>
      <c r="AY773" s="38"/>
      <c r="AZ773" s="38"/>
      <c r="BA773" s="38"/>
      <c r="BB773" s="38"/>
      <c r="BC773" s="38"/>
      <c r="BD773" s="38"/>
      <c r="BE773" s="38"/>
      <c r="BF773" s="38"/>
      <c r="BG773" s="38"/>
      <c r="BH773" s="38"/>
      <c r="BI773" s="38"/>
      <c r="BJ773" s="38"/>
      <c r="BK773" s="38"/>
      <c r="BL773" s="38"/>
      <c r="BM773" s="38"/>
      <c r="BN773" s="38"/>
      <c r="BO773" s="38"/>
      <c r="BP773" s="38"/>
      <c r="BQ773" s="38"/>
      <c r="BR773" s="38"/>
      <c r="BS773" s="38"/>
      <c r="BT773" s="38"/>
      <c r="BU773" s="38"/>
      <c r="BV773" s="38"/>
      <c r="BW773" s="38"/>
      <c r="BX773" s="38"/>
      <c r="BY773" s="38"/>
      <c r="BZ773" s="38"/>
      <c r="CA773" s="38"/>
      <c r="CB773" s="38"/>
      <c r="CC773" s="38"/>
      <c r="CD773" s="38"/>
      <c r="CE773" s="38"/>
      <c r="CF773" s="38"/>
      <c r="CG773" s="38"/>
      <c r="CH773" s="38"/>
      <c r="CI773" s="38"/>
      <c r="CJ773" s="38"/>
      <c r="CK773" s="38"/>
      <c r="CL773" s="38"/>
      <c r="CM773" s="38"/>
      <c r="CN773" s="38"/>
      <c r="CO773" s="38"/>
      <c r="CP773" s="38"/>
      <c r="CQ773" s="38"/>
      <c r="CR773" s="38"/>
      <c r="CS773" s="38"/>
      <c r="CT773" s="38"/>
      <c r="CU773" s="38"/>
      <c r="CV773" s="38"/>
      <c r="CW773" s="38"/>
      <c r="CX773" s="38"/>
      <c r="CY773" s="38"/>
      <c r="CZ773" s="38"/>
    </row>
    <row r="774" spans="1:104" s="40" customFormat="1" ht="20.149999999999999" customHeight="1">
      <c r="A774" s="358">
        <f t="shared" si="185"/>
        <v>773</v>
      </c>
      <c r="B774" s="359" t="str">
        <f>'Front Sheet and Checklist'!$C$5</f>
        <v>Swansea Bay UHB</v>
      </c>
      <c r="C774" s="17"/>
      <c r="D774" s="17"/>
      <c r="E774" s="17"/>
      <c r="F774" s="17"/>
      <c r="G774" s="17"/>
      <c r="H774" s="17"/>
      <c r="I774" s="361">
        <f t="shared" si="175"/>
        <v>0</v>
      </c>
      <c r="J774" s="17"/>
      <c r="K774" s="18"/>
      <c r="L774" s="18"/>
      <c r="M774" s="17"/>
      <c r="N774" s="17"/>
      <c r="O774" s="17"/>
      <c r="P774" s="17"/>
      <c r="Q774" s="169"/>
      <c r="R774" s="24"/>
      <c r="S774" s="24"/>
      <c r="T774" s="24"/>
      <c r="U774" s="25"/>
      <c r="V774" s="25"/>
      <c r="W774" s="25"/>
      <c r="X774" s="24"/>
      <c r="Y774" s="24"/>
      <c r="Z774" s="24"/>
      <c r="AA774" s="24"/>
      <c r="AB774" s="24"/>
      <c r="AC774" s="24"/>
      <c r="AD774" s="361">
        <f t="shared" si="174"/>
        <v>0</v>
      </c>
      <c r="AE774" s="359" t="str">
        <f t="shared" si="177"/>
        <v/>
      </c>
      <c r="AF774" s="359" t="str">
        <f t="shared" si="186"/>
        <v/>
      </c>
      <c r="AG774" s="359" t="str">
        <f t="shared" si="178"/>
        <v/>
      </c>
      <c r="AH774" s="359" t="str">
        <f t="shared" si="179"/>
        <v/>
      </c>
      <c r="AI774" s="359" t="str">
        <f t="shared" si="180"/>
        <v/>
      </c>
      <c r="AJ774" s="359" t="str">
        <f t="shared" si="181"/>
        <v/>
      </c>
      <c r="AK774" s="359" t="str">
        <f t="shared" si="183"/>
        <v/>
      </c>
      <c r="AL774" s="359" t="str">
        <f t="shared" si="182"/>
        <v/>
      </c>
      <c r="AM774" s="359" t="str">
        <f t="shared" si="184"/>
        <v/>
      </c>
      <c r="AN774" s="262">
        <f t="shared" si="187"/>
        <v>0</v>
      </c>
      <c r="AO774" s="262" t="str">
        <f>IFERROR(HLOOKUP(AN774,'Ref Lists'!Q$1:AL$2,2,FALSE),'Ref Lists'!$AK$2)</f>
        <v>Savings21</v>
      </c>
      <c r="AP774" s="38"/>
      <c r="AQ774" s="38">
        <f t="shared" si="176"/>
        <v>0</v>
      </c>
      <c r="AR774" s="38"/>
      <c r="AS774" s="38"/>
      <c r="AT774" s="38"/>
      <c r="AU774" s="38"/>
      <c r="AV774" s="38"/>
      <c r="AW774" s="38"/>
      <c r="AX774" s="38"/>
      <c r="AY774" s="38"/>
      <c r="AZ774" s="38"/>
      <c r="BA774" s="38"/>
      <c r="BB774" s="38"/>
      <c r="BC774" s="38"/>
      <c r="BD774" s="38"/>
      <c r="BE774" s="38"/>
      <c r="BF774" s="38"/>
      <c r="BG774" s="38"/>
      <c r="BH774" s="38"/>
      <c r="BI774" s="38"/>
      <c r="BJ774" s="38"/>
      <c r="BK774" s="38"/>
      <c r="BL774" s="38"/>
      <c r="BM774" s="38"/>
      <c r="BN774" s="38"/>
      <c r="BO774" s="38"/>
      <c r="BP774" s="38"/>
      <c r="BQ774" s="38"/>
      <c r="BR774" s="38"/>
      <c r="BS774" s="38"/>
      <c r="BT774" s="38"/>
      <c r="BU774" s="38"/>
      <c r="BV774" s="38"/>
      <c r="BW774" s="38"/>
      <c r="BX774" s="38"/>
      <c r="BY774" s="38"/>
      <c r="BZ774" s="38"/>
      <c r="CA774" s="38"/>
      <c r="CB774" s="38"/>
      <c r="CC774" s="38"/>
      <c r="CD774" s="38"/>
      <c r="CE774" s="38"/>
      <c r="CF774" s="38"/>
      <c r="CG774" s="38"/>
      <c r="CH774" s="38"/>
      <c r="CI774" s="38"/>
      <c r="CJ774" s="38"/>
      <c r="CK774" s="38"/>
      <c r="CL774" s="38"/>
      <c r="CM774" s="38"/>
      <c r="CN774" s="38"/>
      <c r="CO774" s="38"/>
      <c r="CP774" s="38"/>
      <c r="CQ774" s="38"/>
      <c r="CR774" s="38"/>
      <c r="CS774" s="38"/>
      <c r="CT774" s="38"/>
      <c r="CU774" s="38"/>
      <c r="CV774" s="38"/>
      <c r="CW774" s="38"/>
      <c r="CX774" s="38"/>
      <c r="CY774" s="38"/>
      <c r="CZ774" s="38"/>
    </row>
    <row r="775" spans="1:104" s="40" customFormat="1" ht="20.149999999999999" customHeight="1">
      <c r="A775" s="358">
        <f t="shared" si="185"/>
        <v>774</v>
      </c>
      <c r="B775" s="359" t="str">
        <f>'Front Sheet and Checklist'!$C$5</f>
        <v>Swansea Bay UHB</v>
      </c>
      <c r="C775" s="17"/>
      <c r="D775" s="17"/>
      <c r="E775" s="17"/>
      <c r="F775" s="17"/>
      <c r="G775" s="17"/>
      <c r="H775" s="17"/>
      <c r="I775" s="361">
        <f t="shared" si="175"/>
        <v>0</v>
      </c>
      <c r="J775" s="17"/>
      <c r="K775" s="18"/>
      <c r="L775" s="18"/>
      <c r="M775" s="17"/>
      <c r="N775" s="17"/>
      <c r="O775" s="17"/>
      <c r="P775" s="17"/>
      <c r="Q775" s="169"/>
      <c r="R775" s="24"/>
      <c r="S775" s="24"/>
      <c r="T775" s="24"/>
      <c r="U775" s="25"/>
      <c r="V775" s="25"/>
      <c r="W775" s="25"/>
      <c r="X775" s="24"/>
      <c r="Y775" s="24"/>
      <c r="Z775" s="24"/>
      <c r="AA775" s="24"/>
      <c r="AB775" s="24"/>
      <c r="AC775" s="24"/>
      <c r="AD775" s="361">
        <f t="shared" si="174"/>
        <v>0</v>
      </c>
      <c r="AE775" s="359" t="str">
        <f t="shared" si="177"/>
        <v/>
      </c>
      <c r="AF775" s="359" t="str">
        <f t="shared" si="186"/>
        <v/>
      </c>
      <c r="AG775" s="359" t="str">
        <f t="shared" si="178"/>
        <v/>
      </c>
      <c r="AH775" s="359" t="str">
        <f t="shared" si="179"/>
        <v/>
      </c>
      <c r="AI775" s="359" t="str">
        <f t="shared" si="180"/>
        <v/>
      </c>
      <c r="AJ775" s="359" t="str">
        <f t="shared" si="181"/>
        <v/>
      </c>
      <c r="AK775" s="359" t="str">
        <f t="shared" si="183"/>
        <v/>
      </c>
      <c r="AL775" s="359" t="str">
        <f t="shared" si="182"/>
        <v/>
      </c>
      <c r="AM775" s="359" t="str">
        <f t="shared" si="184"/>
        <v/>
      </c>
      <c r="AN775" s="262">
        <f t="shared" si="187"/>
        <v>0</v>
      </c>
      <c r="AO775" s="262" t="str">
        <f>IFERROR(HLOOKUP(AN775,'Ref Lists'!Q$1:AL$2,2,FALSE),'Ref Lists'!$AK$2)</f>
        <v>Savings21</v>
      </c>
      <c r="AP775" s="38"/>
      <c r="AQ775" s="38">
        <f t="shared" si="176"/>
        <v>0</v>
      </c>
      <c r="AR775" s="38"/>
      <c r="AS775" s="38"/>
      <c r="AT775" s="38"/>
      <c r="AU775" s="38"/>
      <c r="AV775" s="38"/>
      <c r="AW775" s="38"/>
      <c r="AX775" s="38"/>
      <c r="AY775" s="38"/>
      <c r="AZ775" s="38"/>
      <c r="BA775" s="38"/>
      <c r="BB775" s="38"/>
      <c r="BC775" s="38"/>
      <c r="BD775" s="38"/>
      <c r="BE775" s="38"/>
      <c r="BF775" s="38"/>
      <c r="BG775" s="38"/>
      <c r="BH775" s="38"/>
      <c r="BI775" s="38"/>
      <c r="BJ775" s="38"/>
      <c r="BK775" s="38"/>
      <c r="BL775" s="38"/>
      <c r="BM775" s="38"/>
      <c r="BN775" s="38"/>
      <c r="BO775" s="38"/>
      <c r="BP775" s="38"/>
      <c r="BQ775" s="38"/>
      <c r="BR775" s="38"/>
      <c r="BS775" s="38"/>
      <c r="BT775" s="38"/>
      <c r="BU775" s="38"/>
      <c r="BV775" s="38"/>
      <c r="BW775" s="38"/>
      <c r="BX775" s="38"/>
      <c r="BY775" s="38"/>
      <c r="BZ775" s="38"/>
      <c r="CA775" s="38"/>
      <c r="CB775" s="38"/>
      <c r="CC775" s="38"/>
      <c r="CD775" s="38"/>
      <c r="CE775" s="38"/>
      <c r="CF775" s="38"/>
      <c r="CG775" s="38"/>
      <c r="CH775" s="38"/>
      <c r="CI775" s="38"/>
      <c r="CJ775" s="38"/>
      <c r="CK775" s="38"/>
      <c r="CL775" s="38"/>
      <c r="CM775" s="38"/>
      <c r="CN775" s="38"/>
      <c r="CO775" s="38"/>
      <c r="CP775" s="38"/>
      <c r="CQ775" s="38"/>
      <c r="CR775" s="38"/>
      <c r="CS775" s="38"/>
      <c r="CT775" s="38"/>
      <c r="CU775" s="38"/>
      <c r="CV775" s="38"/>
      <c r="CW775" s="38"/>
      <c r="CX775" s="38"/>
      <c r="CY775" s="38"/>
      <c r="CZ775" s="38"/>
    </row>
    <row r="776" spans="1:104" s="40" customFormat="1" ht="20.149999999999999" customHeight="1">
      <c r="A776" s="358">
        <f t="shared" si="185"/>
        <v>775</v>
      </c>
      <c r="B776" s="359" t="str">
        <f>'Front Sheet and Checklist'!$C$5</f>
        <v>Swansea Bay UHB</v>
      </c>
      <c r="C776" s="17"/>
      <c r="D776" s="17"/>
      <c r="E776" s="17"/>
      <c r="F776" s="17"/>
      <c r="G776" s="17"/>
      <c r="H776" s="17"/>
      <c r="I776" s="361">
        <f t="shared" si="175"/>
        <v>0</v>
      </c>
      <c r="J776" s="17"/>
      <c r="K776" s="18"/>
      <c r="L776" s="18"/>
      <c r="M776" s="17"/>
      <c r="N776" s="17"/>
      <c r="O776" s="17"/>
      <c r="P776" s="17"/>
      <c r="Q776" s="169"/>
      <c r="R776" s="24"/>
      <c r="S776" s="24"/>
      <c r="T776" s="24"/>
      <c r="U776" s="25"/>
      <c r="V776" s="25"/>
      <c r="W776" s="25"/>
      <c r="X776" s="24"/>
      <c r="Y776" s="24"/>
      <c r="Z776" s="24"/>
      <c r="AA776" s="24"/>
      <c r="AB776" s="24"/>
      <c r="AC776" s="24"/>
      <c r="AD776" s="361">
        <f t="shared" si="174"/>
        <v>0</v>
      </c>
      <c r="AE776" s="359" t="str">
        <f t="shared" si="177"/>
        <v/>
      </c>
      <c r="AF776" s="359" t="str">
        <f t="shared" si="186"/>
        <v/>
      </c>
      <c r="AG776" s="359" t="str">
        <f t="shared" si="178"/>
        <v/>
      </c>
      <c r="AH776" s="359" t="str">
        <f t="shared" si="179"/>
        <v/>
      </c>
      <c r="AI776" s="359" t="str">
        <f t="shared" si="180"/>
        <v/>
      </c>
      <c r="AJ776" s="359" t="str">
        <f t="shared" si="181"/>
        <v/>
      </c>
      <c r="AK776" s="359" t="str">
        <f t="shared" si="183"/>
        <v/>
      </c>
      <c r="AL776" s="359" t="str">
        <f t="shared" si="182"/>
        <v/>
      </c>
      <c r="AM776" s="359" t="str">
        <f t="shared" si="184"/>
        <v/>
      </c>
      <c r="AN776" s="262">
        <f t="shared" si="187"/>
        <v>0</v>
      </c>
      <c r="AO776" s="262" t="str">
        <f>IFERROR(HLOOKUP(AN776,'Ref Lists'!Q$1:AL$2,2,FALSE),'Ref Lists'!$AK$2)</f>
        <v>Savings21</v>
      </c>
      <c r="AP776" s="38"/>
      <c r="AQ776" s="38">
        <f t="shared" si="176"/>
        <v>0</v>
      </c>
      <c r="AR776" s="38"/>
      <c r="AS776" s="38"/>
      <c r="AT776" s="38"/>
      <c r="AU776" s="38"/>
      <c r="AV776" s="38"/>
      <c r="AW776" s="38"/>
      <c r="AX776" s="38"/>
      <c r="AY776" s="38"/>
      <c r="AZ776" s="38"/>
      <c r="BA776" s="38"/>
      <c r="BB776" s="38"/>
      <c r="BC776" s="38"/>
      <c r="BD776" s="38"/>
      <c r="BE776" s="38"/>
      <c r="BF776" s="38"/>
      <c r="BG776" s="38"/>
      <c r="BH776" s="38"/>
      <c r="BI776" s="38"/>
      <c r="BJ776" s="38"/>
      <c r="BK776" s="38"/>
      <c r="BL776" s="38"/>
      <c r="BM776" s="38"/>
      <c r="BN776" s="38"/>
      <c r="BO776" s="38"/>
      <c r="BP776" s="38"/>
      <c r="BQ776" s="38"/>
      <c r="BR776" s="38"/>
      <c r="BS776" s="38"/>
      <c r="BT776" s="38"/>
      <c r="BU776" s="38"/>
      <c r="BV776" s="38"/>
      <c r="BW776" s="38"/>
      <c r="BX776" s="38"/>
      <c r="BY776" s="38"/>
      <c r="BZ776" s="38"/>
      <c r="CA776" s="38"/>
      <c r="CB776" s="38"/>
      <c r="CC776" s="38"/>
      <c r="CD776" s="38"/>
      <c r="CE776" s="38"/>
      <c r="CF776" s="38"/>
      <c r="CG776" s="38"/>
      <c r="CH776" s="38"/>
      <c r="CI776" s="38"/>
      <c r="CJ776" s="38"/>
      <c r="CK776" s="38"/>
      <c r="CL776" s="38"/>
      <c r="CM776" s="38"/>
      <c r="CN776" s="38"/>
      <c r="CO776" s="38"/>
      <c r="CP776" s="38"/>
      <c r="CQ776" s="38"/>
      <c r="CR776" s="38"/>
      <c r="CS776" s="38"/>
      <c r="CT776" s="38"/>
      <c r="CU776" s="38"/>
      <c r="CV776" s="38"/>
      <c r="CW776" s="38"/>
      <c r="CX776" s="38"/>
      <c r="CY776" s="38"/>
      <c r="CZ776" s="38"/>
    </row>
    <row r="777" spans="1:104" s="40" customFormat="1" ht="20.149999999999999" customHeight="1">
      <c r="A777" s="358">
        <f t="shared" si="185"/>
        <v>776</v>
      </c>
      <c r="B777" s="359" t="str">
        <f>'Front Sheet and Checklist'!$C$5</f>
        <v>Swansea Bay UHB</v>
      </c>
      <c r="C777" s="17"/>
      <c r="D777" s="17"/>
      <c r="E777" s="17"/>
      <c r="F777" s="17"/>
      <c r="G777" s="17"/>
      <c r="H777" s="17"/>
      <c r="I777" s="361">
        <f t="shared" si="175"/>
        <v>0</v>
      </c>
      <c r="J777" s="17"/>
      <c r="K777" s="18"/>
      <c r="L777" s="18"/>
      <c r="M777" s="17"/>
      <c r="N777" s="17"/>
      <c r="O777" s="17"/>
      <c r="P777" s="17"/>
      <c r="Q777" s="169"/>
      <c r="R777" s="24"/>
      <c r="S777" s="24"/>
      <c r="T777" s="24"/>
      <c r="U777" s="25"/>
      <c r="V777" s="25"/>
      <c r="W777" s="25"/>
      <c r="X777" s="24"/>
      <c r="Y777" s="24"/>
      <c r="Z777" s="24"/>
      <c r="AA777" s="24"/>
      <c r="AB777" s="24"/>
      <c r="AC777" s="24"/>
      <c r="AD777" s="361">
        <f t="shared" si="174"/>
        <v>0</v>
      </c>
      <c r="AE777" s="359" t="str">
        <f t="shared" si="177"/>
        <v/>
      </c>
      <c r="AF777" s="359" t="str">
        <f t="shared" si="186"/>
        <v/>
      </c>
      <c r="AG777" s="359" t="str">
        <f t="shared" si="178"/>
        <v/>
      </c>
      <c r="AH777" s="359" t="str">
        <f t="shared" si="179"/>
        <v/>
      </c>
      <c r="AI777" s="359" t="str">
        <f t="shared" si="180"/>
        <v/>
      </c>
      <c r="AJ777" s="359" t="str">
        <f t="shared" si="181"/>
        <v/>
      </c>
      <c r="AK777" s="359" t="str">
        <f t="shared" si="183"/>
        <v/>
      </c>
      <c r="AL777" s="359" t="str">
        <f t="shared" si="182"/>
        <v/>
      </c>
      <c r="AM777" s="359" t="str">
        <f t="shared" si="184"/>
        <v/>
      </c>
      <c r="AN777" s="262">
        <f t="shared" si="187"/>
        <v>0</v>
      </c>
      <c r="AO777" s="262" t="str">
        <f>IFERROR(HLOOKUP(AN777,'Ref Lists'!Q$1:AL$2,2,FALSE),'Ref Lists'!$AK$2)</f>
        <v>Savings21</v>
      </c>
      <c r="AP777" s="38"/>
      <c r="AQ777" s="38">
        <f t="shared" si="176"/>
        <v>0</v>
      </c>
      <c r="AR777" s="38"/>
      <c r="AS777" s="38"/>
      <c r="AT777" s="38"/>
      <c r="AU777" s="38"/>
      <c r="AV777" s="38"/>
      <c r="AW777" s="38"/>
      <c r="AX777" s="38"/>
      <c r="AY777" s="38"/>
      <c r="AZ777" s="38"/>
      <c r="BA777" s="38"/>
      <c r="BB777" s="38"/>
      <c r="BC777" s="38"/>
      <c r="BD777" s="38"/>
      <c r="BE777" s="38"/>
      <c r="BF777" s="38"/>
      <c r="BG777" s="38"/>
      <c r="BH777" s="38"/>
      <c r="BI777" s="38"/>
      <c r="BJ777" s="38"/>
      <c r="BK777" s="38"/>
      <c r="BL777" s="38"/>
      <c r="BM777" s="38"/>
      <c r="BN777" s="38"/>
      <c r="BO777" s="38"/>
      <c r="BP777" s="38"/>
      <c r="BQ777" s="38"/>
      <c r="BR777" s="38"/>
      <c r="BS777" s="38"/>
      <c r="BT777" s="38"/>
      <c r="BU777" s="38"/>
      <c r="BV777" s="38"/>
      <c r="BW777" s="38"/>
      <c r="BX777" s="38"/>
      <c r="BY777" s="38"/>
      <c r="BZ777" s="38"/>
      <c r="CA777" s="38"/>
      <c r="CB777" s="38"/>
      <c r="CC777" s="38"/>
      <c r="CD777" s="38"/>
      <c r="CE777" s="38"/>
      <c r="CF777" s="38"/>
      <c r="CG777" s="38"/>
      <c r="CH777" s="38"/>
      <c r="CI777" s="38"/>
      <c r="CJ777" s="38"/>
      <c r="CK777" s="38"/>
      <c r="CL777" s="38"/>
      <c r="CM777" s="38"/>
      <c r="CN777" s="38"/>
      <c r="CO777" s="38"/>
      <c r="CP777" s="38"/>
      <c r="CQ777" s="38"/>
      <c r="CR777" s="38"/>
      <c r="CS777" s="38"/>
      <c r="CT777" s="38"/>
      <c r="CU777" s="38"/>
      <c r="CV777" s="38"/>
      <c r="CW777" s="38"/>
      <c r="CX777" s="38"/>
      <c r="CY777" s="38"/>
      <c r="CZ777" s="38"/>
    </row>
    <row r="778" spans="1:104" s="40" customFormat="1" ht="20.149999999999999" customHeight="1">
      <c r="A778" s="358">
        <f t="shared" si="185"/>
        <v>777</v>
      </c>
      <c r="B778" s="359" t="str">
        <f>'Front Sheet and Checklist'!$C$5</f>
        <v>Swansea Bay UHB</v>
      </c>
      <c r="C778" s="17"/>
      <c r="D778" s="17"/>
      <c r="E778" s="17"/>
      <c r="F778" s="17"/>
      <c r="G778" s="17"/>
      <c r="H778" s="17"/>
      <c r="I778" s="361">
        <f t="shared" si="175"/>
        <v>0</v>
      </c>
      <c r="J778" s="17"/>
      <c r="K778" s="18"/>
      <c r="L778" s="18"/>
      <c r="M778" s="17"/>
      <c r="N778" s="17"/>
      <c r="O778" s="17"/>
      <c r="P778" s="17"/>
      <c r="Q778" s="169"/>
      <c r="R778" s="24"/>
      <c r="S778" s="24"/>
      <c r="T778" s="24"/>
      <c r="U778" s="25"/>
      <c r="V778" s="25"/>
      <c r="W778" s="25"/>
      <c r="X778" s="24"/>
      <c r="Y778" s="24"/>
      <c r="Z778" s="24"/>
      <c r="AA778" s="24"/>
      <c r="AB778" s="24"/>
      <c r="AC778" s="24"/>
      <c r="AD778" s="361">
        <f t="shared" si="174"/>
        <v>0</v>
      </c>
      <c r="AE778" s="359" t="str">
        <f t="shared" si="177"/>
        <v/>
      </c>
      <c r="AF778" s="359" t="str">
        <f t="shared" si="186"/>
        <v/>
      </c>
      <c r="AG778" s="359" t="str">
        <f t="shared" si="178"/>
        <v/>
      </c>
      <c r="AH778" s="359" t="str">
        <f t="shared" si="179"/>
        <v/>
      </c>
      <c r="AI778" s="359" t="str">
        <f t="shared" si="180"/>
        <v/>
      </c>
      <c r="AJ778" s="359" t="str">
        <f t="shared" si="181"/>
        <v/>
      </c>
      <c r="AK778" s="359" t="str">
        <f t="shared" si="183"/>
        <v/>
      </c>
      <c r="AL778" s="359" t="str">
        <f t="shared" si="182"/>
        <v/>
      </c>
      <c r="AM778" s="359" t="str">
        <f t="shared" si="184"/>
        <v/>
      </c>
      <c r="AN778" s="262">
        <f t="shared" si="187"/>
        <v>0</v>
      </c>
      <c r="AO778" s="262" t="str">
        <f>IFERROR(HLOOKUP(AN778,'Ref Lists'!Q$1:AL$2,2,FALSE),'Ref Lists'!$AK$2)</f>
        <v>Savings21</v>
      </c>
      <c r="AP778" s="38"/>
      <c r="AQ778" s="38">
        <f t="shared" si="176"/>
        <v>0</v>
      </c>
      <c r="AR778" s="38"/>
      <c r="AS778" s="38"/>
      <c r="AT778" s="38"/>
      <c r="AU778" s="38"/>
      <c r="AV778" s="38"/>
      <c r="AW778" s="38"/>
      <c r="AX778" s="38"/>
      <c r="AY778" s="38"/>
      <c r="AZ778" s="38"/>
      <c r="BA778" s="38"/>
      <c r="BB778" s="38"/>
      <c r="BC778" s="38"/>
      <c r="BD778" s="38"/>
      <c r="BE778" s="38"/>
      <c r="BF778" s="38"/>
      <c r="BG778" s="38"/>
      <c r="BH778" s="38"/>
      <c r="BI778" s="38"/>
      <c r="BJ778" s="38"/>
      <c r="BK778" s="38"/>
      <c r="BL778" s="38"/>
      <c r="BM778" s="38"/>
      <c r="BN778" s="38"/>
      <c r="BO778" s="38"/>
      <c r="BP778" s="38"/>
      <c r="BQ778" s="38"/>
      <c r="BR778" s="38"/>
      <c r="BS778" s="38"/>
      <c r="BT778" s="38"/>
      <c r="BU778" s="38"/>
      <c r="BV778" s="38"/>
      <c r="BW778" s="38"/>
      <c r="BX778" s="38"/>
      <c r="BY778" s="38"/>
      <c r="BZ778" s="38"/>
      <c r="CA778" s="38"/>
      <c r="CB778" s="38"/>
      <c r="CC778" s="38"/>
      <c r="CD778" s="38"/>
      <c r="CE778" s="38"/>
      <c r="CF778" s="38"/>
      <c r="CG778" s="38"/>
      <c r="CH778" s="38"/>
      <c r="CI778" s="38"/>
      <c r="CJ778" s="38"/>
      <c r="CK778" s="38"/>
      <c r="CL778" s="38"/>
      <c r="CM778" s="38"/>
      <c r="CN778" s="38"/>
      <c r="CO778" s="38"/>
      <c r="CP778" s="38"/>
      <c r="CQ778" s="38"/>
      <c r="CR778" s="38"/>
      <c r="CS778" s="38"/>
      <c r="CT778" s="38"/>
      <c r="CU778" s="38"/>
      <c r="CV778" s="38"/>
      <c r="CW778" s="38"/>
      <c r="CX778" s="38"/>
      <c r="CY778" s="38"/>
      <c r="CZ778" s="38"/>
    </row>
    <row r="779" spans="1:104" s="40" customFormat="1" ht="20.149999999999999" customHeight="1">
      <c r="A779" s="358">
        <f t="shared" si="185"/>
        <v>778</v>
      </c>
      <c r="B779" s="359" t="str">
        <f>'Front Sheet and Checklist'!$C$5</f>
        <v>Swansea Bay UHB</v>
      </c>
      <c r="C779" s="17"/>
      <c r="D779" s="17"/>
      <c r="E779" s="17"/>
      <c r="F779" s="17"/>
      <c r="G779" s="17"/>
      <c r="H779" s="17"/>
      <c r="I779" s="361">
        <f t="shared" si="175"/>
        <v>0</v>
      </c>
      <c r="J779" s="17"/>
      <c r="K779" s="18"/>
      <c r="L779" s="18"/>
      <c r="M779" s="17"/>
      <c r="N779" s="17"/>
      <c r="O779" s="17"/>
      <c r="P779" s="17"/>
      <c r="Q779" s="169"/>
      <c r="R779" s="24"/>
      <c r="S779" s="24"/>
      <c r="T779" s="24"/>
      <c r="U779" s="25"/>
      <c r="V779" s="25"/>
      <c r="W779" s="25"/>
      <c r="X779" s="24"/>
      <c r="Y779" s="24"/>
      <c r="Z779" s="24"/>
      <c r="AA779" s="24"/>
      <c r="AB779" s="24"/>
      <c r="AC779" s="24"/>
      <c r="AD779" s="361">
        <f t="shared" si="174"/>
        <v>0</v>
      </c>
      <c r="AE779" s="359" t="str">
        <f t="shared" si="177"/>
        <v/>
      </c>
      <c r="AF779" s="359" t="str">
        <f t="shared" si="186"/>
        <v/>
      </c>
      <c r="AG779" s="359" t="str">
        <f t="shared" si="178"/>
        <v/>
      </c>
      <c r="AH779" s="359" t="str">
        <f t="shared" si="179"/>
        <v/>
      </c>
      <c r="AI779" s="359" t="str">
        <f t="shared" si="180"/>
        <v/>
      </c>
      <c r="AJ779" s="359" t="str">
        <f t="shared" si="181"/>
        <v/>
      </c>
      <c r="AK779" s="359" t="str">
        <f t="shared" si="183"/>
        <v/>
      </c>
      <c r="AL779" s="359" t="str">
        <f t="shared" si="182"/>
        <v/>
      </c>
      <c r="AM779" s="359" t="str">
        <f t="shared" si="184"/>
        <v/>
      </c>
      <c r="AN779" s="262">
        <f t="shared" si="187"/>
        <v>0</v>
      </c>
      <c r="AO779" s="262" t="str">
        <f>IFERROR(HLOOKUP(AN779,'Ref Lists'!Q$1:AL$2,2,FALSE),'Ref Lists'!$AK$2)</f>
        <v>Savings21</v>
      </c>
      <c r="AP779" s="38"/>
      <c r="AQ779" s="38">
        <f t="shared" si="176"/>
        <v>0</v>
      </c>
      <c r="AR779" s="38"/>
      <c r="AS779" s="38"/>
      <c r="AT779" s="38"/>
      <c r="AU779" s="38"/>
      <c r="AV779" s="38"/>
      <c r="AW779" s="38"/>
      <c r="AX779" s="38"/>
      <c r="AY779" s="38"/>
      <c r="AZ779" s="38"/>
      <c r="BA779" s="38"/>
      <c r="BB779" s="38"/>
      <c r="BC779" s="38"/>
      <c r="BD779" s="38"/>
      <c r="BE779" s="38"/>
      <c r="BF779" s="38"/>
      <c r="BG779" s="38"/>
      <c r="BH779" s="38"/>
      <c r="BI779" s="38"/>
      <c r="BJ779" s="38"/>
      <c r="BK779" s="38"/>
      <c r="BL779" s="38"/>
      <c r="BM779" s="38"/>
      <c r="BN779" s="38"/>
      <c r="BO779" s="38"/>
      <c r="BP779" s="38"/>
      <c r="BQ779" s="38"/>
      <c r="BR779" s="38"/>
      <c r="BS779" s="38"/>
      <c r="BT779" s="38"/>
      <c r="BU779" s="38"/>
      <c r="BV779" s="38"/>
      <c r="BW779" s="38"/>
      <c r="BX779" s="38"/>
      <c r="BY779" s="38"/>
      <c r="BZ779" s="38"/>
      <c r="CA779" s="38"/>
      <c r="CB779" s="38"/>
      <c r="CC779" s="38"/>
      <c r="CD779" s="38"/>
      <c r="CE779" s="38"/>
      <c r="CF779" s="38"/>
      <c r="CG779" s="38"/>
      <c r="CH779" s="38"/>
      <c r="CI779" s="38"/>
      <c r="CJ779" s="38"/>
      <c r="CK779" s="38"/>
      <c r="CL779" s="38"/>
      <c r="CM779" s="38"/>
      <c r="CN779" s="38"/>
      <c r="CO779" s="38"/>
      <c r="CP779" s="38"/>
      <c r="CQ779" s="38"/>
      <c r="CR779" s="38"/>
      <c r="CS779" s="38"/>
      <c r="CT779" s="38"/>
      <c r="CU779" s="38"/>
      <c r="CV779" s="38"/>
      <c r="CW779" s="38"/>
      <c r="CX779" s="38"/>
      <c r="CY779" s="38"/>
      <c r="CZ779" s="38"/>
    </row>
    <row r="780" spans="1:104" s="40" customFormat="1" ht="20.149999999999999" customHeight="1">
      <c r="A780" s="358">
        <f t="shared" si="185"/>
        <v>779</v>
      </c>
      <c r="B780" s="359" t="str">
        <f>'Front Sheet and Checklist'!$C$5</f>
        <v>Swansea Bay UHB</v>
      </c>
      <c r="C780" s="17"/>
      <c r="D780" s="17"/>
      <c r="E780" s="17"/>
      <c r="F780" s="17"/>
      <c r="G780" s="17"/>
      <c r="H780" s="17"/>
      <c r="I780" s="361">
        <f t="shared" si="175"/>
        <v>0</v>
      </c>
      <c r="J780" s="17"/>
      <c r="K780" s="18"/>
      <c r="L780" s="18"/>
      <c r="M780" s="17"/>
      <c r="N780" s="17"/>
      <c r="O780" s="17"/>
      <c r="P780" s="17"/>
      <c r="Q780" s="169"/>
      <c r="R780" s="24"/>
      <c r="S780" s="24"/>
      <c r="T780" s="24"/>
      <c r="U780" s="25"/>
      <c r="V780" s="25"/>
      <c r="W780" s="25"/>
      <c r="X780" s="24"/>
      <c r="Y780" s="24"/>
      <c r="Z780" s="24"/>
      <c r="AA780" s="24"/>
      <c r="AB780" s="24"/>
      <c r="AC780" s="24"/>
      <c r="AD780" s="361">
        <f t="shared" si="174"/>
        <v>0</v>
      </c>
      <c r="AE780" s="359" t="str">
        <f t="shared" si="177"/>
        <v/>
      </c>
      <c r="AF780" s="359" t="str">
        <f t="shared" si="186"/>
        <v/>
      </c>
      <c r="AG780" s="359" t="str">
        <f t="shared" si="178"/>
        <v/>
      </c>
      <c r="AH780" s="359" t="str">
        <f t="shared" si="179"/>
        <v/>
      </c>
      <c r="AI780" s="359" t="str">
        <f t="shared" si="180"/>
        <v/>
      </c>
      <c r="AJ780" s="359" t="str">
        <f t="shared" si="181"/>
        <v/>
      </c>
      <c r="AK780" s="359" t="str">
        <f t="shared" si="183"/>
        <v/>
      </c>
      <c r="AL780" s="359" t="str">
        <f t="shared" si="182"/>
        <v/>
      </c>
      <c r="AM780" s="359" t="str">
        <f t="shared" si="184"/>
        <v/>
      </c>
      <c r="AN780" s="262">
        <f t="shared" si="187"/>
        <v>0</v>
      </c>
      <c r="AO780" s="262" t="str">
        <f>IFERROR(HLOOKUP(AN780,'Ref Lists'!Q$1:AL$2,2,FALSE),'Ref Lists'!$AK$2)</f>
        <v>Savings21</v>
      </c>
      <c r="AP780" s="38"/>
      <c r="AQ780" s="38">
        <f t="shared" si="176"/>
        <v>0</v>
      </c>
      <c r="AR780" s="38"/>
      <c r="AS780" s="38"/>
      <c r="AT780" s="38"/>
      <c r="AU780" s="38"/>
      <c r="AV780" s="38"/>
      <c r="AW780" s="38"/>
      <c r="AX780" s="38"/>
      <c r="AY780" s="38"/>
      <c r="AZ780" s="38"/>
      <c r="BA780" s="38"/>
      <c r="BB780" s="38"/>
      <c r="BC780" s="38"/>
      <c r="BD780" s="38"/>
      <c r="BE780" s="38"/>
      <c r="BF780" s="38"/>
      <c r="BG780" s="38"/>
      <c r="BH780" s="38"/>
      <c r="BI780" s="38"/>
      <c r="BJ780" s="38"/>
      <c r="BK780" s="38"/>
      <c r="BL780" s="38"/>
      <c r="BM780" s="38"/>
      <c r="BN780" s="38"/>
      <c r="BO780" s="38"/>
      <c r="BP780" s="38"/>
      <c r="BQ780" s="38"/>
      <c r="BR780" s="38"/>
      <c r="BS780" s="38"/>
      <c r="BT780" s="38"/>
      <c r="BU780" s="38"/>
      <c r="BV780" s="38"/>
      <c r="BW780" s="38"/>
      <c r="BX780" s="38"/>
      <c r="BY780" s="38"/>
      <c r="BZ780" s="38"/>
      <c r="CA780" s="38"/>
      <c r="CB780" s="38"/>
      <c r="CC780" s="38"/>
      <c r="CD780" s="38"/>
      <c r="CE780" s="38"/>
      <c r="CF780" s="38"/>
      <c r="CG780" s="38"/>
      <c r="CH780" s="38"/>
      <c r="CI780" s="38"/>
      <c r="CJ780" s="38"/>
      <c r="CK780" s="38"/>
      <c r="CL780" s="38"/>
      <c r="CM780" s="38"/>
      <c r="CN780" s="38"/>
      <c r="CO780" s="38"/>
      <c r="CP780" s="38"/>
      <c r="CQ780" s="38"/>
      <c r="CR780" s="38"/>
      <c r="CS780" s="38"/>
      <c r="CT780" s="38"/>
      <c r="CU780" s="38"/>
      <c r="CV780" s="38"/>
      <c r="CW780" s="38"/>
      <c r="CX780" s="38"/>
      <c r="CY780" s="38"/>
      <c r="CZ780" s="38"/>
    </row>
    <row r="781" spans="1:104" s="40" customFormat="1" ht="20.149999999999999" customHeight="1">
      <c r="A781" s="358">
        <f t="shared" si="185"/>
        <v>780</v>
      </c>
      <c r="B781" s="359" t="str">
        <f>'Front Sheet and Checklist'!$C$5</f>
        <v>Swansea Bay UHB</v>
      </c>
      <c r="C781" s="17"/>
      <c r="D781" s="17"/>
      <c r="E781" s="17"/>
      <c r="F781" s="17"/>
      <c r="G781" s="17"/>
      <c r="H781" s="17"/>
      <c r="I781" s="361">
        <f t="shared" si="175"/>
        <v>0</v>
      </c>
      <c r="J781" s="17"/>
      <c r="K781" s="18"/>
      <c r="L781" s="18"/>
      <c r="M781" s="17"/>
      <c r="N781" s="17"/>
      <c r="O781" s="17"/>
      <c r="P781" s="17"/>
      <c r="Q781" s="169"/>
      <c r="R781" s="24"/>
      <c r="S781" s="24"/>
      <c r="T781" s="24"/>
      <c r="U781" s="25"/>
      <c r="V781" s="25"/>
      <c r="W781" s="25"/>
      <c r="X781" s="24"/>
      <c r="Y781" s="24"/>
      <c r="Z781" s="24"/>
      <c r="AA781" s="24"/>
      <c r="AB781" s="24"/>
      <c r="AC781" s="24"/>
      <c r="AD781" s="361">
        <f t="shared" si="174"/>
        <v>0</v>
      </c>
      <c r="AE781" s="359" t="str">
        <f t="shared" si="177"/>
        <v/>
      </c>
      <c r="AF781" s="359" t="str">
        <f t="shared" si="186"/>
        <v/>
      </c>
      <c r="AG781" s="359" t="str">
        <f t="shared" si="178"/>
        <v/>
      </c>
      <c r="AH781" s="359" t="str">
        <f t="shared" si="179"/>
        <v/>
      </c>
      <c r="AI781" s="359" t="str">
        <f t="shared" si="180"/>
        <v/>
      </c>
      <c r="AJ781" s="359" t="str">
        <f t="shared" si="181"/>
        <v/>
      </c>
      <c r="AK781" s="359" t="str">
        <f t="shared" si="183"/>
        <v/>
      </c>
      <c r="AL781" s="359" t="str">
        <f t="shared" si="182"/>
        <v/>
      </c>
      <c r="AM781" s="359" t="str">
        <f t="shared" si="184"/>
        <v/>
      </c>
      <c r="AN781" s="262">
        <f t="shared" si="187"/>
        <v>0</v>
      </c>
      <c r="AO781" s="262" t="str">
        <f>IFERROR(HLOOKUP(AN781,'Ref Lists'!Q$1:AL$2,2,FALSE),'Ref Lists'!$AK$2)</f>
        <v>Savings21</v>
      </c>
      <c r="AP781" s="38"/>
      <c r="AQ781" s="38">
        <f t="shared" si="176"/>
        <v>0</v>
      </c>
      <c r="AR781" s="38"/>
      <c r="AS781" s="38"/>
      <c r="AT781" s="38"/>
      <c r="AU781" s="38"/>
      <c r="AV781" s="38"/>
      <c r="AW781" s="38"/>
      <c r="AX781" s="38"/>
      <c r="AY781" s="38"/>
      <c r="AZ781" s="38"/>
      <c r="BA781" s="38"/>
      <c r="BB781" s="38"/>
      <c r="BC781" s="38"/>
      <c r="BD781" s="38"/>
      <c r="BE781" s="38"/>
      <c r="BF781" s="38"/>
      <c r="BG781" s="38"/>
      <c r="BH781" s="38"/>
      <c r="BI781" s="38"/>
      <c r="BJ781" s="38"/>
      <c r="BK781" s="38"/>
      <c r="BL781" s="38"/>
      <c r="BM781" s="38"/>
      <c r="BN781" s="38"/>
      <c r="BO781" s="38"/>
      <c r="BP781" s="38"/>
      <c r="BQ781" s="38"/>
      <c r="BR781" s="38"/>
      <c r="BS781" s="38"/>
      <c r="BT781" s="38"/>
      <c r="BU781" s="38"/>
      <c r="BV781" s="38"/>
      <c r="BW781" s="38"/>
      <c r="BX781" s="38"/>
      <c r="BY781" s="38"/>
      <c r="BZ781" s="38"/>
      <c r="CA781" s="38"/>
      <c r="CB781" s="38"/>
      <c r="CC781" s="38"/>
      <c r="CD781" s="38"/>
      <c r="CE781" s="38"/>
      <c r="CF781" s="38"/>
      <c r="CG781" s="38"/>
      <c r="CH781" s="38"/>
      <c r="CI781" s="38"/>
      <c r="CJ781" s="38"/>
      <c r="CK781" s="38"/>
      <c r="CL781" s="38"/>
      <c r="CM781" s="38"/>
      <c r="CN781" s="38"/>
      <c r="CO781" s="38"/>
      <c r="CP781" s="38"/>
      <c r="CQ781" s="38"/>
      <c r="CR781" s="38"/>
      <c r="CS781" s="38"/>
      <c r="CT781" s="38"/>
      <c r="CU781" s="38"/>
      <c r="CV781" s="38"/>
      <c r="CW781" s="38"/>
      <c r="CX781" s="38"/>
      <c r="CY781" s="38"/>
      <c r="CZ781" s="38"/>
    </row>
    <row r="782" spans="1:104" s="40" customFormat="1" ht="20.149999999999999" customHeight="1">
      <c r="A782" s="358">
        <f t="shared" si="185"/>
        <v>781</v>
      </c>
      <c r="B782" s="359" t="str">
        <f>'Front Sheet and Checklist'!$C$5</f>
        <v>Swansea Bay UHB</v>
      </c>
      <c r="C782" s="17"/>
      <c r="D782" s="17"/>
      <c r="E782" s="17"/>
      <c r="F782" s="17"/>
      <c r="G782" s="17"/>
      <c r="H782" s="17"/>
      <c r="I782" s="361">
        <f t="shared" si="175"/>
        <v>0</v>
      </c>
      <c r="J782" s="17"/>
      <c r="K782" s="18"/>
      <c r="L782" s="18"/>
      <c r="M782" s="17"/>
      <c r="N782" s="17"/>
      <c r="O782" s="17"/>
      <c r="P782" s="17"/>
      <c r="Q782" s="169"/>
      <c r="R782" s="24"/>
      <c r="S782" s="24"/>
      <c r="T782" s="24"/>
      <c r="U782" s="25"/>
      <c r="V782" s="25"/>
      <c r="W782" s="25"/>
      <c r="X782" s="24"/>
      <c r="Y782" s="24"/>
      <c r="Z782" s="24"/>
      <c r="AA782" s="24"/>
      <c r="AB782" s="24"/>
      <c r="AC782" s="24"/>
      <c r="AD782" s="361">
        <f t="shared" si="174"/>
        <v>0</v>
      </c>
      <c r="AE782" s="359" t="str">
        <f t="shared" si="177"/>
        <v/>
      </c>
      <c r="AF782" s="359" t="str">
        <f t="shared" si="186"/>
        <v/>
      </c>
      <c r="AG782" s="359" t="str">
        <f t="shared" si="178"/>
        <v/>
      </c>
      <c r="AH782" s="359" t="str">
        <f t="shared" si="179"/>
        <v/>
      </c>
      <c r="AI782" s="359" t="str">
        <f t="shared" si="180"/>
        <v/>
      </c>
      <c r="AJ782" s="359" t="str">
        <f t="shared" si="181"/>
        <v/>
      </c>
      <c r="AK782" s="359" t="str">
        <f t="shared" si="183"/>
        <v/>
      </c>
      <c r="AL782" s="359" t="str">
        <f t="shared" si="182"/>
        <v/>
      </c>
      <c r="AM782" s="359" t="str">
        <f t="shared" si="184"/>
        <v/>
      </c>
      <c r="AN782" s="262">
        <f t="shared" si="187"/>
        <v>0</v>
      </c>
      <c r="AO782" s="262" t="str">
        <f>IFERROR(HLOOKUP(AN782,'Ref Lists'!Q$1:AL$2,2,FALSE),'Ref Lists'!$AK$2)</f>
        <v>Savings21</v>
      </c>
      <c r="AP782" s="38"/>
      <c r="AQ782" s="38">
        <f t="shared" si="176"/>
        <v>0</v>
      </c>
      <c r="AR782" s="38"/>
      <c r="AS782" s="38"/>
      <c r="AT782" s="38"/>
      <c r="AU782" s="38"/>
      <c r="AV782" s="38"/>
      <c r="AW782" s="38"/>
      <c r="AX782" s="38"/>
      <c r="AY782" s="38"/>
      <c r="AZ782" s="38"/>
      <c r="BA782" s="38"/>
      <c r="BB782" s="38"/>
      <c r="BC782" s="38"/>
      <c r="BD782" s="38"/>
      <c r="BE782" s="38"/>
      <c r="BF782" s="38"/>
      <c r="BG782" s="38"/>
      <c r="BH782" s="38"/>
      <c r="BI782" s="38"/>
      <c r="BJ782" s="38"/>
      <c r="BK782" s="38"/>
      <c r="BL782" s="38"/>
      <c r="BM782" s="38"/>
      <c r="BN782" s="38"/>
      <c r="BO782" s="38"/>
      <c r="BP782" s="38"/>
      <c r="BQ782" s="38"/>
      <c r="BR782" s="38"/>
      <c r="BS782" s="38"/>
      <c r="BT782" s="38"/>
      <c r="BU782" s="38"/>
      <c r="BV782" s="38"/>
      <c r="BW782" s="38"/>
      <c r="BX782" s="38"/>
      <c r="BY782" s="38"/>
      <c r="BZ782" s="38"/>
      <c r="CA782" s="38"/>
      <c r="CB782" s="38"/>
      <c r="CC782" s="38"/>
      <c r="CD782" s="38"/>
      <c r="CE782" s="38"/>
      <c r="CF782" s="38"/>
      <c r="CG782" s="38"/>
      <c r="CH782" s="38"/>
      <c r="CI782" s="38"/>
      <c r="CJ782" s="38"/>
      <c r="CK782" s="38"/>
      <c r="CL782" s="38"/>
      <c r="CM782" s="38"/>
      <c r="CN782" s="38"/>
      <c r="CO782" s="38"/>
      <c r="CP782" s="38"/>
      <c r="CQ782" s="38"/>
      <c r="CR782" s="38"/>
      <c r="CS782" s="38"/>
      <c r="CT782" s="38"/>
      <c r="CU782" s="38"/>
      <c r="CV782" s="38"/>
      <c r="CW782" s="38"/>
      <c r="CX782" s="38"/>
      <c r="CY782" s="38"/>
      <c r="CZ782" s="38"/>
    </row>
    <row r="783" spans="1:104" s="40" customFormat="1" ht="20.149999999999999" customHeight="1">
      <c r="A783" s="358">
        <f t="shared" si="185"/>
        <v>782</v>
      </c>
      <c r="B783" s="359" t="str">
        <f>'Front Sheet and Checklist'!$C$5</f>
        <v>Swansea Bay UHB</v>
      </c>
      <c r="C783" s="17"/>
      <c r="D783" s="17"/>
      <c r="E783" s="17"/>
      <c r="F783" s="17"/>
      <c r="G783" s="17"/>
      <c r="H783" s="17"/>
      <c r="I783" s="361">
        <f t="shared" si="175"/>
        <v>0</v>
      </c>
      <c r="J783" s="17"/>
      <c r="K783" s="18"/>
      <c r="L783" s="18"/>
      <c r="M783" s="17"/>
      <c r="N783" s="17"/>
      <c r="O783" s="17"/>
      <c r="P783" s="17"/>
      <c r="Q783" s="169"/>
      <c r="R783" s="24"/>
      <c r="S783" s="24"/>
      <c r="T783" s="24"/>
      <c r="U783" s="25"/>
      <c r="V783" s="25"/>
      <c r="W783" s="25"/>
      <c r="X783" s="24"/>
      <c r="Y783" s="24"/>
      <c r="Z783" s="24"/>
      <c r="AA783" s="24"/>
      <c r="AB783" s="24"/>
      <c r="AC783" s="24"/>
      <c r="AD783" s="361">
        <f t="shared" si="174"/>
        <v>0</v>
      </c>
      <c r="AE783" s="359" t="str">
        <f t="shared" si="177"/>
        <v/>
      </c>
      <c r="AF783" s="359" t="str">
        <f t="shared" si="186"/>
        <v/>
      </c>
      <c r="AG783" s="359" t="str">
        <f t="shared" si="178"/>
        <v/>
      </c>
      <c r="AH783" s="359" t="str">
        <f t="shared" si="179"/>
        <v/>
      </c>
      <c r="AI783" s="359" t="str">
        <f t="shared" si="180"/>
        <v/>
      </c>
      <c r="AJ783" s="359" t="str">
        <f t="shared" si="181"/>
        <v/>
      </c>
      <c r="AK783" s="359" t="str">
        <f t="shared" si="183"/>
        <v/>
      </c>
      <c r="AL783" s="359" t="str">
        <f t="shared" si="182"/>
        <v/>
      </c>
      <c r="AM783" s="359" t="str">
        <f t="shared" si="184"/>
        <v/>
      </c>
      <c r="AN783" s="262">
        <f t="shared" si="187"/>
        <v>0</v>
      </c>
      <c r="AO783" s="262" t="str">
        <f>IFERROR(HLOOKUP(AN783,'Ref Lists'!Q$1:AL$2,2,FALSE),'Ref Lists'!$AK$2)</f>
        <v>Savings21</v>
      </c>
      <c r="AP783" s="38"/>
      <c r="AQ783" s="38">
        <f t="shared" si="176"/>
        <v>0</v>
      </c>
      <c r="AR783" s="38"/>
      <c r="AS783" s="38"/>
      <c r="AT783" s="38"/>
      <c r="AU783" s="38"/>
      <c r="AV783" s="38"/>
      <c r="AW783" s="38"/>
      <c r="AX783" s="38"/>
      <c r="AY783" s="38"/>
      <c r="AZ783" s="38"/>
      <c r="BA783" s="38"/>
      <c r="BB783" s="38"/>
      <c r="BC783" s="38"/>
      <c r="BD783" s="38"/>
      <c r="BE783" s="38"/>
      <c r="BF783" s="38"/>
      <c r="BG783" s="38"/>
      <c r="BH783" s="38"/>
      <c r="BI783" s="38"/>
      <c r="BJ783" s="38"/>
      <c r="BK783" s="38"/>
      <c r="BL783" s="38"/>
      <c r="BM783" s="38"/>
      <c r="BN783" s="38"/>
      <c r="BO783" s="38"/>
      <c r="BP783" s="38"/>
      <c r="BQ783" s="38"/>
      <c r="BR783" s="38"/>
      <c r="BS783" s="38"/>
      <c r="BT783" s="38"/>
      <c r="BU783" s="38"/>
      <c r="BV783" s="38"/>
      <c r="BW783" s="38"/>
      <c r="BX783" s="38"/>
      <c r="BY783" s="38"/>
      <c r="BZ783" s="38"/>
      <c r="CA783" s="38"/>
      <c r="CB783" s="38"/>
      <c r="CC783" s="38"/>
      <c r="CD783" s="38"/>
      <c r="CE783" s="38"/>
      <c r="CF783" s="38"/>
      <c r="CG783" s="38"/>
      <c r="CH783" s="38"/>
      <c r="CI783" s="38"/>
      <c r="CJ783" s="38"/>
      <c r="CK783" s="38"/>
      <c r="CL783" s="38"/>
      <c r="CM783" s="38"/>
      <c r="CN783" s="38"/>
      <c r="CO783" s="38"/>
      <c r="CP783" s="38"/>
      <c r="CQ783" s="38"/>
      <c r="CR783" s="38"/>
      <c r="CS783" s="38"/>
      <c r="CT783" s="38"/>
      <c r="CU783" s="38"/>
      <c r="CV783" s="38"/>
      <c r="CW783" s="38"/>
      <c r="CX783" s="38"/>
      <c r="CY783" s="38"/>
      <c r="CZ783" s="38"/>
    </row>
    <row r="784" spans="1:104" s="40" customFormat="1" ht="20.149999999999999" customHeight="1">
      <c r="A784" s="358">
        <f t="shared" si="185"/>
        <v>783</v>
      </c>
      <c r="B784" s="359" t="str">
        <f>'Front Sheet and Checklist'!$C$5</f>
        <v>Swansea Bay UHB</v>
      </c>
      <c r="C784" s="17"/>
      <c r="D784" s="17"/>
      <c r="E784" s="17"/>
      <c r="F784" s="17"/>
      <c r="G784" s="17"/>
      <c r="H784" s="17"/>
      <c r="I784" s="361">
        <f t="shared" si="175"/>
        <v>0</v>
      </c>
      <c r="J784" s="17"/>
      <c r="K784" s="18"/>
      <c r="L784" s="18"/>
      <c r="M784" s="17"/>
      <c r="N784" s="17"/>
      <c r="O784" s="17"/>
      <c r="P784" s="17"/>
      <c r="Q784" s="169"/>
      <c r="R784" s="24"/>
      <c r="S784" s="24"/>
      <c r="T784" s="24"/>
      <c r="U784" s="25"/>
      <c r="V784" s="25"/>
      <c r="W784" s="25"/>
      <c r="X784" s="24"/>
      <c r="Y784" s="24"/>
      <c r="Z784" s="24"/>
      <c r="AA784" s="24"/>
      <c r="AB784" s="24"/>
      <c r="AC784" s="24"/>
      <c r="AD784" s="361">
        <f t="shared" si="174"/>
        <v>0</v>
      </c>
      <c r="AE784" s="359" t="str">
        <f t="shared" si="177"/>
        <v/>
      </c>
      <c r="AF784" s="359" t="str">
        <f t="shared" si="186"/>
        <v/>
      </c>
      <c r="AG784" s="359" t="str">
        <f t="shared" si="178"/>
        <v/>
      </c>
      <c r="AH784" s="359" t="str">
        <f t="shared" si="179"/>
        <v/>
      </c>
      <c r="AI784" s="359" t="str">
        <f t="shared" si="180"/>
        <v/>
      </c>
      <c r="AJ784" s="359" t="str">
        <f t="shared" si="181"/>
        <v/>
      </c>
      <c r="AK784" s="359" t="str">
        <f t="shared" si="183"/>
        <v/>
      </c>
      <c r="AL784" s="359" t="str">
        <f t="shared" si="182"/>
        <v/>
      </c>
      <c r="AM784" s="359" t="str">
        <f t="shared" si="184"/>
        <v/>
      </c>
      <c r="AN784" s="262">
        <f t="shared" si="187"/>
        <v>0</v>
      </c>
      <c r="AO784" s="262" t="str">
        <f>IFERROR(HLOOKUP(AN784,'Ref Lists'!Q$1:AL$2,2,FALSE),'Ref Lists'!$AK$2)</f>
        <v>Savings21</v>
      </c>
      <c r="AP784" s="38"/>
      <c r="AQ784" s="38">
        <f t="shared" si="176"/>
        <v>0</v>
      </c>
      <c r="AR784" s="38"/>
      <c r="AS784" s="38"/>
      <c r="AT784" s="38"/>
      <c r="AU784" s="38"/>
      <c r="AV784" s="38"/>
      <c r="AW784" s="38"/>
      <c r="AX784" s="38"/>
      <c r="AY784" s="38"/>
      <c r="AZ784" s="38"/>
      <c r="BA784" s="38"/>
      <c r="BB784" s="38"/>
      <c r="BC784" s="38"/>
      <c r="BD784" s="38"/>
      <c r="BE784" s="38"/>
      <c r="BF784" s="38"/>
      <c r="BG784" s="38"/>
      <c r="BH784" s="38"/>
      <c r="BI784" s="38"/>
      <c r="BJ784" s="38"/>
      <c r="BK784" s="38"/>
      <c r="BL784" s="38"/>
      <c r="BM784" s="38"/>
      <c r="BN784" s="38"/>
      <c r="BO784" s="38"/>
      <c r="BP784" s="38"/>
      <c r="BQ784" s="38"/>
      <c r="BR784" s="38"/>
      <c r="BS784" s="38"/>
      <c r="BT784" s="38"/>
      <c r="BU784" s="38"/>
      <c r="BV784" s="38"/>
      <c r="BW784" s="38"/>
      <c r="BX784" s="38"/>
      <c r="BY784" s="38"/>
      <c r="BZ784" s="38"/>
      <c r="CA784" s="38"/>
      <c r="CB784" s="38"/>
      <c r="CC784" s="38"/>
      <c r="CD784" s="38"/>
      <c r="CE784" s="38"/>
      <c r="CF784" s="38"/>
      <c r="CG784" s="38"/>
      <c r="CH784" s="38"/>
      <c r="CI784" s="38"/>
      <c r="CJ784" s="38"/>
      <c r="CK784" s="38"/>
      <c r="CL784" s="38"/>
      <c r="CM784" s="38"/>
      <c r="CN784" s="38"/>
      <c r="CO784" s="38"/>
      <c r="CP784" s="38"/>
      <c r="CQ784" s="38"/>
      <c r="CR784" s="38"/>
      <c r="CS784" s="38"/>
      <c r="CT784" s="38"/>
      <c r="CU784" s="38"/>
      <c r="CV784" s="38"/>
      <c r="CW784" s="38"/>
      <c r="CX784" s="38"/>
      <c r="CY784" s="38"/>
      <c r="CZ784" s="38"/>
    </row>
    <row r="785" spans="1:104" s="40" customFormat="1" ht="20.149999999999999" customHeight="1">
      <c r="A785" s="358">
        <f t="shared" si="185"/>
        <v>784</v>
      </c>
      <c r="B785" s="359" t="str">
        <f>'Front Sheet and Checklist'!$C$5</f>
        <v>Swansea Bay UHB</v>
      </c>
      <c r="C785" s="17"/>
      <c r="D785" s="17"/>
      <c r="E785" s="17"/>
      <c r="F785" s="17"/>
      <c r="G785" s="17"/>
      <c r="H785" s="17"/>
      <c r="I785" s="361">
        <f t="shared" si="175"/>
        <v>0</v>
      </c>
      <c r="J785" s="17"/>
      <c r="K785" s="18"/>
      <c r="L785" s="18"/>
      <c r="M785" s="17"/>
      <c r="N785" s="17"/>
      <c r="O785" s="17"/>
      <c r="P785" s="17"/>
      <c r="Q785" s="169"/>
      <c r="R785" s="24"/>
      <c r="S785" s="24"/>
      <c r="T785" s="24"/>
      <c r="U785" s="25"/>
      <c r="V785" s="25"/>
      <c r="W785" s="25"/>
      <c r="X785" s="24"/>
      <c r="Y785" s="24"/>
      <c r="Z785" s="24"/>
      <c r="AA785" s="24"/>
      <c r="AB785" s="24"/>
      <c r="AC785" s="24"/>
      <c r="AD785" s="361">
        <f t="shared" si="174"/>
        <v>0</v>
      </c>
      <c r="AE785" s="359" t="str">
        <f t="shared" si="177"/>
        <v/>
      </c>
      <c r="AF785" s="359" t="str">
        <f t="shared" si="186"/>
        <v/>
      </c>
      <c r="AG785" s="359" t="str">
        <f t="shared" si="178"/>
        <v/>
      </c>
      <c r="AH785" s="359" t="str">
        <f t="shared" si="179"/>
        <v/>
      </c>
      <c r="AI785" s="359" t="str">
        <f t="shared" si="180"/>
        <v/>
      </c>
      <c r="AJ785" s="359" t="str">
        <f t="shared" si="181"/>
        <v/>
      </c>
      <c r="AK785" s="359" t="str">
        <f t="shared" si="183"/>
        <v/>
      </c>
      <c r="AL785" s="359" t="str">
        <f t="shared" si="182"/>
        <v/>
      </c>
      <c r="AM785" s="359" t="str">
        <f t="shared" si="184"/>
        <v/>
      </c>
      <c r="AN785" s="262">
        <f t="shared" si="187"/>
        <v>0</v>
      </c>
      <c r="AO785" s="262" t="str">
        <f>IFERROR(HLOOKUP(AN785,'Ref Lists'!Q$1:AL$2,2,FALSE),'Ref Lists'!$AK$2)</f>
        <v>Savings21</v>
      </c>
      <c r="AP785" s="38"/>
      <c r="AQ785" s="38">
        <f t="shared" si="176"/>
        <v>0</v>
      </c>
      <c r="AR785" s="38"/>
      <c r="AS785" s="38"/>
      <c r="AT785" s="38"/>
      <c r="AU785" s="38"/>
      <c r="AV785" s="38"/>
      <c r="AW785" s="38"/>
      <c r="AX785" s="38"/>
      <c r="AY785" s="38"/>
      <c r="AZ785" s="38"/>
      <c r="BA785" s="38"/>
      <c r="BB785" s="38"/>
      <c r="BC785" s="38"/>
      <c r="BD785" s="38"/>
      <c r="BE785" s="38"/>
      <c r="BF785" s="38"/>
      <c r="BG785" s="38"/>
      <c r="BH785" s="38"/>
      <c r="BI785" s="38"/>
      <c r="BJ785" s="38"/>
      <c r="BK785" s="38"/>
      <c r="BL785" s="38"/>
      <c r="BM785" s="38"/>
      <c r="BN785" s="38"/>
      <c r="BO785" s="38"/>
      <c r="BP785" s="38"/>
      <c r="BQ785" s="38"/>
      <c r="BR785" s="38"/>
      <c r="BS785" s="38"/>
      <c r="BT785" s="38"/>
      <c r="BU785" s="38"/>
      <c r="BV785" s="38"/>
      <c r="BW785" s="38"/>
      <c r="BX785" s="38"/>
      <c r="BY785" s="38"/>
      <c r="BZ785" s="38"/>
      <c r="CA785" s="38"/>
      <c r="CB785" s="38"/>
      <c r="CC785" s="38"/>
      <c r="CD785" s="38"/>
      <c r="CE785" s="38"/>
      <c r="CF785" s="38"/>
      <c r="CG785" s="38"/>
      <c r="CH785" s="38"/>
      <c r="CI785" s="38"/>
      <c r="CJ785" s="38"/>
      <c r="CK785" s="38"/>
      <c r="CL785" s="38"/>
      <c r="CM785" s="38"/>
      <c r="CN785" s="38"/>
      <c r="CO785" s="38"/>
      <c r="CP785" s="38"/>
      <c r="CQ785" s="38"/>
      <c r="CR785" s="38"/>
      <c r="CS785" s="38"/>
      <c r="CT785" s="38"/>
      <c r="CU785" s="38"/>
      <c r="CV785" s="38"/>
      <c r="CW785" s="38"/>
      <c r="CX785" s="38"/>
      <c r="CY785" s="38"/>
      <c r="CZ785" s="38"/>
    </row>
    <row r="786" spans="1:104" s="40" customFormat="1" ht="20.149999999999999" customHeight="1">
      <c r="A786" s="358">
        <f t="shared" si="185"/>
        <v>785</v>
      </c>
      <c r="B786" s="359" t="str">
        <f>'Front Sheet and Checklist'!$C$5</f>
        <v>Swansea Bay UHB</v>
      </c>
      <c r="C786" s="17"/>
      <c r="D786" s="17"/>
      <c r="E786" s="17"/>
      <c r="F786" s="17"/>
      <c r="G786" s="17"/>
      <c r="H786" s="17"/>
      <c r="I786" s="361">
        <f t="shared" si="175"/>
        <v>0</v>
      </c>
      <c r="J786" s="17"/>
      <c r="K786" s="18"/>
      <c r="L786" s="18"/>
      <c r="M786" s="17"/>
      <c r="N786" s="17"/>
      <c r="O786" s="17"/>
      <c r="P786" s="17"/>
      <c r="Q786" s="169"/>
      <c r="R786" s="24"/>
      <c r="S786" s="24"/>
      <c r="T786" s="24"/>
      <c r="U786" s="25"/>
      <c r="V786" s="25"/>
      <c r="W786" s="25"/>
      <c r="X786" s="24"/>
      <c r="Y786" s="24"/>
      <c r="Z786" s="24"/>
      <c r="AA786" s="24"/>
      <c r="AB786" s="24"/>
      <c r="AC786" s="24"/>
      <c r="AD786" s="361">
        <f t="shared" si="174"/>
        <v>0</v>
      </c>
      <c r="AE786" s="359" t="str">
        <f t="shared" si="177"/>
        <v/>
      </c>
      <c r="AF786" s="359" t="str">
        <f t="shared" si="186"/>
        <v/>
      </c>
      <c r="AG786" s="359" t="str">
        <f t="shared" si="178"/>
        <v/>
      </c>
      <c r="AH786" s="359" t="str">
        <f t="shared" si="179"/>
        <v/>
      </c>
      <c r="AI786" s="359" t="str">
        <f t="shared" si="180"/>
        <v/>
      </c>
      <c r="AJ786" s="359" t="str">
        <f t="shared" si="181"/>
        <v/>
      </c>
      <c r="AK786" s="359" t="str">
        <f t="shared" si="183"/>
        <v/>
      </c>
      <c r="AL786" s="359" t="str">
        <f t="shared" si="182"/>
        <v/>
      </c>
      <c r="AM786" s="359" t="str">
        <f t="shared" si="184"/>
        <v/>
      </c>
      <c r="AN786" s="262">
        <f t="shared" si="187"/>
        <v>0</v>
      </c>
      <c r="AO786" s="262" t="str">
        <f>IFERROR(HLOOKUP(AN786,'Ref Lists'!Q$1:AL$2,2,FALSE),'Ref Lists'!$AK$2)</f>
        <v>Savings21</v>
      </c>
      <c r="AP786" s="38"/>
      <c r="AQ786" s="38">
        <f t="shared" si="176"/>
        <v>0</v>
      </c>
      <c r="AR786" s="38"/>
      <c r="AS786" s="38"/>
      <c r="AT786" s="38"/>
      <c r="AU786" s="38"/>
      <c r="AV786" s="38"/>
      <c r="AW786" s="38"/>
      <c r="AX786" s="38"/>
      <c r="AY786" s="38"/>
      <c r="AZ786" s="38"/>
      <c r="BA786" s="38"/>
      <c r="BB786" s="38"/>
      <c r="BC786" s="38"/>
      <c r="BD786" s="38"/>
      <c r="BE786" s="38"/>
      <c r="BF786" s="38"/>
      <c r="BG786" s="38"/>
      <c r="BH786" s="38"/>
      <c r="BI786" s="38"/>
      <c r="BJ786" s="38"/>
      <c r="BK786" s="38"/>
      <c r="BL786" s="38"/>
      <c r="BM786" s="38"/>
      <c r="BN786" s="38"/>
      <c r="BO786" s="38"/>
      <c r="BP786" s="38"/>
      <c r="BQ786" s="38"/>
      <c r="BR786" s="38"/>
      <c r="BS786" s="38"/>
      <c r="BT786" s="38"/>
      <c r="BU786" s="38"/>
      <c r="BV786" s="38"/>
      <c r="BW786" s="38"/>
      <c r="BX786" s="38"/>
      <c r="BY786" s="38"/>
      <c r="BZ786" s="38"/>
      <c r="CA786" s="38"/>
      <c r="CB786" s="38"/>
      <c r="CC786" s="38"/>
      <c r="CD786" s="38"/>
      <c r="CE786" s="38"/>
      <c r="CF786" s="38"/>
      <c r="CG786" s="38"/>
      <c r="CH786" s="38"/>
      <c r="CI786" s="38"/>
      <c r="CJ786" s="38"/>
      <c r="CK786" s="38"/>
      <c r="CL786" s="38"/>
      <c r="CM786" s="38"/>
      <c r="CN786" s="38"/>
      <c r="CO786" s="38"/>
      <c r="CP786" s="38"/>
      <c r="CQ786" s="38"/>
      <c r="CR786" s="38"/>
      <c r="CS786" s="38"/>
      <c r="CT786" s="38"/>
      <c r="CU786" s="38"/>
      <c r="CV786" s="38"/>
      <c r="CW786" s="38"/>
      <c r="CX786" s="38"/>
      <c r="CY786" s="38"/>
      <c r="CZ786" s="38"/>
    </row>
    <row r="787" spans="1:104" s="40" customFormat="1" ht="20.149999999999999" customHeight="1">
      <c r="A787" s="358">
        <f t="shared" si="185"/>
        <v>786</v>
      </c>
      <c r="B787" s="359" t="str">
        <f>'Front Sheet and Checklist'!$C$5</f>
        <v>Swansea Bay UHB</v>
      </c>
      <c r="C787" s="17"/>
      <c r="D787" s="17"/>
      <c r="E787" s="17"/>
      <c r="F787" s="17"/>
      <c r="G787" s="17"/>
      <c r="H787" s="17"/>
      <c r="I787" s="361">
        <f t="shared" si="175"/>
        <v>0</v>
      </c>
      <c r="J787" s="17"/>
      <c r="K787" s="18"/>
      <c r="L787" s="18"/>
      <c r="M787" s="17"/>
      <c r="N787" s="17"/>
      <c r="O787" s="17"/>
      <c r="P787" s="17"/>
      <c r="Q787" s="169"/>
      <c r="R787" s="24"/>
      <c r="S787" s="24"/>
      <c r="T787" s="24"/>
      <c r="U787" s="25"/>
      <c r="V787" s="25"/>
      <c r="W787" s="25"/>
      <c r="X787" s="24"/>
      <c r="Y787" s="24"/>
      <c r="Z787" s="24"/>
      <c r="AA787" s="24"/>
      <c r="AB787" s="24"/>
      <c r="AC787" s="24"/>
      <c r="AD787" s="361">
        <f t="shared" si="174"/>
        <v>0</v>
      </c>
      <c r="AE787" s="359" t="str">
        <f t="shared" si="177"/>
        <v/>
      </c>
      <c r="AF787" s="359" t="str">
        <f t="shared" si="186"/>
        <v/>
      </c>
      <c r="AG787" s="359" t="str">
        <f t="shared" si="178"/>
        <v/>
      </c>
      <c r="AH787" s="359" t="str">
        <f t="shared" si="179"/>
        <v/>
      </c>
      <c r="AI787" s="359" t="str">
        <f t="shared" si="180"/>
        <v/>
      </c>
      <c r="AJ787" s="359" t="str">
        <f t="shared" si="181"/>
        <v/>
      </c>
      <c r="AK787" s="359" t="str">
        <f t="shared" si="183"/>
        <v/>
      </c>
      <c r="AL787" s="359" t="str">
        <f t="shared" si="182"/>
        <v/>
      </c>
      <c r="AM787" s="359" t="str">
        <f t="shared" si="184"/>
        <v/>
      </c>
      <c r="AN787" s="262">
        <f t="shared" si="187"/>
        <v>0</v>
      </c>
      <c r="AO787" s="262" t="str">
        <f>IFERROR(HLOOKUP(AN787,'Ref Lists'!Q$1:AL$2,2,FALSE),'Ref Lists'!$AK$2)</f>
        <v>Savings21</v>
      </c>
      <c r="AP787" s="38"/>
      <c r="AQ787" s="38">
        <f t="shared" si="176"/>
        <v>0</v>
      </c>
      <c r="AR787" s="38"/>
      <c r="AS787" s="38"/>
      <c r="AT787" s="38"/>
      <c r="AU787" s="38"/>
      <c r="AV787" s="38"/>
      <c r="AW787" s="38"/>
      <c r="AX787" s="38"/>
      <c r="AY787" s="38"/>
      <c r="AZ787" s="38"/>
      <c r="BA787" s="38"/>
      <c r="BB787" s="38"/>
      <c r="BC787" s="38"/>
      <c r="BD787" s="38"/>
      <c r="BE787" s="38"/>
      <c r="BF787" s="38"/>
      <c r="BG787" s="38"/>
      <c r="BH787" s="38"/>
      <c r="BI787" s="38"/>
      <c r="BJ787" s="38"/>
      <c r="BK787" s="38"/>
      <c r="BL787" s="38"/>
      <c r="BM787" s="38"/>
      <c r="BN787" s="38"/>
      <c r="BO787" s="38"/>
      <c r="BP787" s="38"/>
      <c r="BQ787" s="38"/>
      <c r="BR787" s="38"/>
      <c r="BS787" s="38"/>
      <c r="BT787" s="38"/>
      <c r="BU787" s="38"/>
      <c r="BV787" s="38"/>
      <c r="BW787" s="38"/>
      <c r="BX787" s="38"/>
      <c r="BY787" s="38"/>
      <c r="BZ787" s="38"/>
      <c r="CA787" s="38"/>
      <c r="CB787" s="38"/>
      <c r="CC787" s="38"/>
      <c r="CD787" s="38"/>
      <c r="CE787" s="38"/>
      <c r="CF787" s="38"/>
      <c r="CG787" s="38"/>
      <c r="CH787" s="38"/>
      <c r="CI787" s="38"/>
      <c r="CJ787" s="38"/>
      <c r="CK787" s="38"/>
      <c r="CL787" s="38"/>
      <c r="CM787" s="38"/>
      <c r="CN787" s="38"/>
      <c r="CO787" s="38"/>
      <c r="CP787" s="38"/>
      <c r="CQ787" s="38"/>
      <c r="CR787" s="38"/>
      <c r="CS787" s="38"/>
      <c r="CT787" s="38"/>
      <c r="CU787" s="38"/>
      <c r="CV787" s="38"/>
      <c r="CW787" s="38"/>
      <c r="CX787" s="38"/>
      <c r="CY787" s="38"/>
      <c r="CZ787" s="38"/>
    </row>
    <row r="788" spans="1:104" s="40" customFormat="1" ht="20.149999999999999" customHeight="1">
      <c r="A788" s="358">
        <f t="shared" si="185"/>
        <v>787</v>
      </c>
      <c r="B788" s="359" t="str">
        <f>'Front Sheet and Checklist'!$C$5</f>
        <v>Swansea Bay UHB</v>
      </c>
      <c r="C788" s="17"/>
      <c r="D788" s="17"/>
      <c r="E788" s="17"/>
      <c r="F788" s="17"/>
      <c r="G788" s="17"/>
      <c r="H788" s="17"/>
      <c r="I788" s="361">
        <f t="shared" si="175"/>
        <v>0</v>
      </c>
      <c r="J788" s="17"/>
      <c r="K788" s="18"/>
      <c r="L788" s="18"/>
      <c r="M788" s="17"/>
      <c r="N788" s="17"/>
      <c r="O788" s="17"/>
      <c r="P788" s="17"/>
      <c r="Q788" s="169"/>
      <c r="R788" s="24"/>
      <c r="S788" s="24"/>
      <c r="T788" s="24"/>
      <c r="U788" s="25"/>
      <c r="V788" s="25"/>
      <c r="W788" s="25"/>
      <c r="X788" s="24"/>
      <c r="Y788" s="24"/>
      <c r="Z788" s="24"/>
      <c r="AA788" s="24"/>
      <c r="AB788" s="24"/>
      <c r="AC788" s="24"/>
      <c r="AD788" s="361">
        <f t="shared" si="174"/>
        <v>0</v>
      </c>
      <c r="AE788" s="359" t="str">
        <f t="shared" si="177"/>
        <v/>
      </c>
      <c r="AF788" s="359" t="str">
        <f t="shared" si="186"/>
        <v/>
      </c>
      <c r="AG788" s="359" t="str">
        <f t="shared" si="178"/>
        <v/>
      </c>
      <c r="AH788" s="359" t="str">
        <f t="shared" si="179"/>
        <v/>
      </c>
      <c r="AI788" s="359" t="str">
        <f t="shared" si="180"/>
        <v/>
      </c>
      <c r="AJ788" s="359" t="str">
        <f t="shared" si="181"/>
        <v/>
      </c>
      <c r="AK788" s="359" t="str">
        <f t="shared" si="183"/>
        <v/>
      </c>
      <c r="AL788" s="359" t="str">
        <f t="shared" si="182"/>
        <v/>
      </c>
      <c r="AM788" s="359" t="str">
        <f t="shared" si="184"/>
        <v/>
      </c>
      <c r="AN788" s="262">
        <f t="shared" si="187"/>
        <v>0</v>
      </c>
      <c r="AO788" s="262" t="str">
        <f>IFERROR(HLOOKUP(AN788,'Ref Lists'!Q$1:AL$2,2,FALSE),'Ref Lists'!$AK$2)</f>
        <v>Savings21</v>
      </c>
      <c r="AP788" s="38"/>
      <c r="AQ788" s="38">
        <f t="shared" si="176"/>
        <v>0</v>
      </c>
      <c r="AR788" s="38"/>
      <c r="AS788" s="38"/>
      <c r="AT788" s="38"/>
      <c r="AU788" s="38"/>
      <c r="AV788" s="38"/>
      <c r="AW788" s="38"/>
      <c r="AX788" s="38"/>
      <c r="AY788" s="38"/>
      <c r="AZ788" s="38"/>
      <c r="BA788" s="38"/>
      <c r="BB788" s="38"/>
      <c r="BC788" s="38"/>
      <c r="BD788" s="38"/>
      <c r="BE788" s="38"/>
      <c r="BF788" s="38"/>
      <c r="BG788" s="38"/>
      <c r="BH788" s="38"/>
      <c r="BI788" s="38"/>
      <c r="BJ788" s="38"/>
      <c r="BK788" s="38"/>
      <c r="BL788" s="38"/>
      <c r="BM788" s="38"/>
      <c r="BN788" s="38"/>
      <c r="BO788" s="38"/>
      <c r="BP788" s="38"/>
      <c r="BQ788" s="38"/>
      <c r="BR788" s="38"/>
      <c r="BS788" s="38"/>
      <c r="BT788" s="38"/>
      <c r="BU788" s="38"/>
      <c r="BV788" s="38"/>
      <c r="BW788" s="38"/>
      <c r="BX788" s="38"/>
      <c r="BY788" s="38"/>
      <c r="BZ788" s="38"/>
      <c r="CA788" s="38"/>
      <c r="CB788" s="38"/>
      <c r="CC788" s="38"/>
      <c r="CD788" s="38"/>
      <c r="CE788" s="38"/>
      <c r="CF788" s="38"/>
      <c r="CG788" s="38"/>
      <c r="CH788" s="38"/>
      <c r="CI788" s="38"/>
      <c r="CJ788" s="38"/>
      <c r="CK788" s="38"/>
      <c r="CL788" s="38"/>
      <c r="CM788" s="38"/>
      <c r="CN788" s="38"/>
      <c r="CO788" s="38"/>
      <c r="CP788" s="38"/>
      <c r="CQ788" s="38"/>
      <c r="CR788" s="38"/>
      <c r="CS788" s="38"/>
      <c r="CT788" s="38"/>
      <c r="CU788" s="38"/>
      <c r="CV788" s="38"/>
      <c r="CW788" s="38"/>
      <c r="CX788" s="38"/>
      <c r="CY788" s="38"/>
      <c r="CZ788" s="38"/>
    </row>
    <row r="789" spans="1:104" s="40" customFormat="1" ht="20.149999999999999" customHeight="1">
      <c r="A789" s="358">
        <f t="shared" si="185"/>
        <v>788</v>
      </c>
      <c r="B789" s="359" t="str">
        <f>'Front Sheet and Checklist'!$C$5</f>
        <v>Swansea Bay UHB</v>
      </c>
      <c r="C789" s="17"/>
      <c r="D789" s="17"/>
      <c r="E789" s="17"/>
      <c r="F789" s="17"/>
      <c r="G789" s="17"/>
      <c r="H789" s="17"/>
      <c r="I789" s="361">
        <f t="shared" si="175"/>
        <v>0</v>
      </c>
      <c r="J789" s="17"/>
      <c r="K789" s="18"/>
      <c r="L789" s="18"/>
      <c r="M789" s="17"/>
      <c r="N789" s="17"/>
      <c r="O789" s="17"/>
      <c r="P789" s="17"/>
      <c r="Q789" s="169"/>
      <c r="R789" s="24"/>
      <c r="S789" s="24"/>
      <c r="T789" s="24"/>
      <c r="U789" s="25"/>
      <c r="V789" s="25"/>
      <c r="W789" s="25"/>
      <c r="X789" s="24"/>
      <c r="Y789" s="24"/>
      <c r="Z789" s="24"/>
      <c r="AA789" s="24"/>
      <c r="AB789" s="24"/>
      <c r="AC789" s="24"/>
      <c r="AD789" s="361">
        <f t="shared" si="174"/>
        <v>0</v>
      </c>
      <c r="AE789" s="359" t="str">
        <f t="shared" si="177"/>
        <v/>
      </c>
      <c r="AF789" s="359" t="str">
        <f t="shared" si="186"/>
        <v/>
      </c>
      <c r="AG789" s="359" t="str">
        <f t="shared" si="178"/>
        <v/>
      </c>
      <c r="AH789" s="359" t="str">
        <f t="shared" si="179"/>
        <v/>
      </c>
      <c r="AI789" s="359" t="str">
        <f t="shared" si="180"/>
        <v/>
      </c>
      <c r="AJ789" s="359" t="str">
        <f t="shared" si="181"/>
        <v/>
      </c>
      <c r="AK789" s="359" t="str">
        <f t="shared" si="183"/>
        <v/>
      </c>
      <c r="AL789" s="359" t="str">
        <f t="shared" si="182"/>
        <v/>
      </c>
      <c r="AM789" s="359" t="str">
        <f t="shared" si="184"/>
        <v/>
      </c>
      <c r="AN789" s="262">
        <f t="shared" si="187"/>
        <v>0</v>
      </c>
      <c r="AO789" s="262" t="str">
        <f>IFERROR(HLOOKUP(AN789,'Ref Lists'!Q$1:AL$2,2,FALSE),'Ref Lists'!$AK$2)</f>
        <v>Savings21</v>
      </c>
      <c r="AP789" s="38"/>
      <c r="AQ789" s="38">
        <f t="shared" si="176"/>
        <v>0</v>
      </c>
      <c r="AR789" s="38"/>
      <c r="AS789" s="38"/>
      <c r="AT789" s="38"/>
      <c r="AU789" s="38"/>
      <c r="AV789" s="38"/>
      <c r="AW789" s="38"/>
      <c r="AX789" s="38"/>
      <c r="AY789" s="38"/>
      <c r="AZ789" s="38"/>
      <c r="BA789" s="38"/>
      <c r="BB789" s="38"/>
      <c r="BC789" s="38"/>
      <c r="BD789" s="38"/>
      <c r="BE789" s="38"/>
      <c r="BF789" s="38"/>
      <c r="BG789" s="38"/>
      <c r="BH789" s="38"/>
      <c r="BI789" s="38"/>
      <c r="BJ789" s="38"/>
      <c r="BK789" s="38"/>
      <c r="BL789" s="38"/>
      <c r="BM789" s="38"/>
      <c r="BN789" s="38"/>
      <c r="BO789" s="38"/>
      <c r="BP789" s="38"/>
      <c r="BQ789" s="38"/>
      <c r="BR789" s="38"/>
      <c r="BS789" s="38"/>
      <c r="BT789" s="38"/>
      <c r="BU789" s="38"/>
      <c r="BV789" s="38"/>
      <c r="BW789" s="38"/>
      <c r="BX789" s="38"/>
      <c r="BY789" s="38"/>
      <c r="BZ789" s="38"/>
      <c r="CA789" s="38"/>
      <c r="CB789" s="38"/>
      <c r="CC789" s="38"/>
      <c r="CD789" s="38"/>
      <c r="CE789" s="38"/>
      <c r="CF789" s="38"/>
      <c r="CG789" s="38"/>
      <c r="CH789" s="38"/>
      <c r="CI789" s="38"/>
      <c r="CJ789" s="38"/>
      <c r="CK789" s="38"/>
      <c r="CL789" s="38"/>
      <c r="CM789" s="38"/>
      <c r="CN789" s="38"/>
      <c r="CO789" s="38"/>
      <c r="CP789" s="38"/>
      <c r="CQ789" s="38"/>
      <c r="CR789" s="38"/>
      <c r="CS789" s="38"/>
      <c r="CT789" s="38"/>
      <c r="CU789" s="38"/>
      <c r="CV789" s="38"/>
      <c r="CW789" s="38"/>
      <c r="CX789" s="38"/>
      <c r="CY789" s="38"/>
      <c r="CZ789" s="38"/>
    </row>
    <row r="790" spans="1:104" s="40" customFormat="1" ht="20.149999999999999" customHeight="1">
      <c r="A790" s="358">
        <f t="shared" si="185"/>
        <v>789</v>
      </c>
      <c r="B790" s="359" t="str">
        <f>'Front Sheet and Checklist'!$C$5</f>
        <v>Swansea Bay UHB</v>
      </c>
      <c r="C790" s="17"/>
      <c r="D790" s="17"/>
      <c r="E790" s="17"/>
      <c r="F790" s="17"/>
      <c r="G790" s="17"/>
      <c r="H790" s="17"/>
      <c r="I790" s="361">
        <f t="shared" si="175"/>
        <v>0</v>
      </c>
      <c r="J790" s="17"/>
      <c r="K790" s="18"/>
      <c r="L790" s="18"/>
      <c r="M790" s="17"/>
      <c r="N790" s="17"/>
      <c r="O790" s="17"/>
      <c r="P790" s="17"/>
      <c r="Q790" s="169"/>
      <c r="R790" s="24"/>
      <c r="S790" s="24"/>
      <c r="T790" s="24"/>
      <c r="U790" s="25"/>
      <c r="V790" s="25"/>
      <c r="W790" s="25"/>
      <c r="X790" s="24"/>
      <c r="Y790" s="24"/>
      <c r="Z790" s="24"/>
      <c r="AA790" s="24"/>
      <c r="AB790" s="24"/>
      <c r="AC790" s="24"/>
      <c r="AD790" s="361">
        <f t="shared" si="174"/>
        <v>0</v>
      </c>
      <c r="AE790" s="359" t="str">
        <f t="shared" si="177"/>
        <v/>
      </c>
      <c r="AF790" s="359" t="str">
        <f t="shared" si="186"/>
        <v/>
      </c>
      <c r="AG790" s="359" t="str">
        <f t="shared" si="178"/>
        <v/>
      </c>
      <c r="AH790" s="359" t="str">
        <f t="shared" si="179"/>
        <v/>
      </c>
      <c r="AI790" s="359" t="str">
        <f t="shared" si="180"/>
        <v/>
      </c>
      <c r="AJ790" s="359" t="str">
        <f t="shared" si="181"/>
        <v/>
      </c>
      <c r="AK790" s="359" t="str">
        <f t="shared" si="183"/>
        <v/>
      </c>
      <c r="AL790" s="359" t="str">
        <f t="shared" si="182"/>
        <v/>
      </c>
      <c r="AM790" s="359" t="str">
        <f t="shared" si="184"/>
        <v/>
      </c>
      <c r="AN790" s="262">
        <f t="shared" si="187"/>
        <v>0</v>
      </c>
      <c r="AO790" s="262" t="str">
        <f>IFERROR(HLOOKUP(AN790,'Ref Lists'!Q$1:AL$2,2,FALSE),'Ref Lists'!$AK$2)</f>
        <v>Savings21</v>
      </c>
      <c r="AP790" s="38"/>
      <c r="AQ790" s="38">
        <f t="shared" si="176"/>
        <v>0</v>
      </c>
      <c r="AR790" s="38"/>
      <c r="AS790" s="38"/>
      <c r="AT790" s="38"/>
      <c r="AU790" s="38"/>
      <c r="AV790" s="38"/>
      <c r="AW790" s="38"/>
      <c r="AX790" s="38"/>
      <c r="AY790" s="38"/>
      <c r="AZ790" s="38"/>
      <c r="BA790" s="38"/>
      <c r="BB790" s="38"/>
      <c r="BC790" s="38"/>
      <c r="BD790" s="38"/>
      <c r="BE790" s="38"/>
      <c r="BF790" s="38"/>
      <c r="BG790" s="38"/>
      <c r="BH790" s="38"/>
      <c r="BI790" s="38"/>
      <c r="BJ790" s="38"/>
      <c r="BK790" s="38"/>
      <c r="BL790" s="38"/>
      <c r="BM790" s="38"/>
      <c r="BN790" s="38"/>
      <c r="BO790" s="38"/>
      <c r="BP790" s="38"/>
      <c r="BQ790" s="38"/>
      <c r="BR790" s="38"/>
      <c r="BS790" s="38"/>
      <c r="BT790" s="38"/>
      <c r="BU790" s="38"/>
      <c r="BV790" s="38"/>
      <c r="BW790" s="38"/>
      <c r="BX790" s="38"/>
      <c r="BY790" s="38"/>
      <c r="BZ790" s="38"/>
      <c r="CA790" s="38"/>
      <c r="CB790" s="38"/>
      <c r="CC790" s="38"/>
      <c r="CD790" s="38"/>
      <c r="CE790" s="38"/>
      <c r="CF790" s="38"/>
      <c r="CG790" s="38"/>
      <c r="CH790" s="38"/>
      <c r="CI790" s="38"/>
      <c r="CJ790" s="38"/>
      <c r="CK790" s="38"/>
      <c r="CL790" s="38"/>
      <c r="CM790" s="38"/>
      <c r="CN790" s="38"/>
      <c r="CO790" s="38"/>
      <c r="CP790" s="38"/>
      <c r="CQ790" s="38"/>
      <c r="CR790" s="38"/>
      <c r="CS790" s="38"/>
      <c r="CT790" s="38"/>
      <c r="CU790" s="38"/>
      <c r="CV790" s="38"/>
      <c r="CW790" s="38"/>
      <c r="CX790" s="38"/>
      <c r="CY790" s="38"/>
      <c r="CZ790" s="38"/>
    </row>
    <row r="791" spans="1:104" s="40" customFormat="1" ht="20.149999999999999" customHeight="1">
      <c r="A791" s="358">
        <f t="shared" si="185"/>
        <v>790</v>
      </c>
      <c r="B791" s="359" t="str">
        <f>'Front Sheet and Checklist'!$C$5</f>
        <v>Swansea Bay UHB</v>
      </c>
      <c r="C791" s="17"/>
      <c r="D791" s="17"/>
      <c r="E791" s="17"/>
      <c r="F791" s="17"/>
      <c r="G791" s="17"/>
      <c r="H791" s="17"/>
      <c r="I791" s="361">
        <f t="shared" si="175"/>
        <v>0</v>
      </c>
      <c r="J791" s="17"/>
      <c r="K791" s="18"/>
      <c r="L791" s="18"/>
      <c r="M791" s="17"/>
      <c r="N791" s="17"/>
      <c r="O791" s="17"/>
      <c r="P791" s="17"/>
      <c r="Q791" s="169"/>
      <c r="R791" s="24"/>
      <c r="S791" s="24"/>
      <c r="T791" s="24"/>
      <c r="U791" s="25"/>
      <c r="V791" s="25"/>
      <c r="W791" s="25"/>
      <c r="X791" s="24"/>
      <c r="Y791" s="24"/>
      <c r="Z791" s="24"/>
      <c r="AA791" s="24"/>
      <c r="AB791" s="24"/>
      <c r="AC791" s="24"/>
      <c r="AD791" s="361">
        <f t="shared" si="174"/>
        <v>0</v>
      </c>
      <c r="AE791" s="359" t="str">
        <f t="shared" si="177"/>
        <v/>
      </c>
      <c r="AF791" s="359" t="str">
        <f t="shared" si="186"/>
        <v/>
      </c>
      <c r="AG791" s="359" t="str">
        <f t="shared" si="178"/>
        <v/>
      </c>
      <c r="AH791" s="359" t="str">
        <f t="shared" si="179"/>
        <v/>
      </c>
      <c r="AI791" s="359" t="str">
        <f t="shared" si="180"/>
        <v/>
      </c>
      <c r="AJ791" s="359" t="str">
        <f t="shared" si="181"/>
        <v/>
      </c>
      <c r="AK791" s="359" t="str">
        <f t="shared" si="183"/>
        <v/>
      </c>
      <c r="AL791" s="359" t="str">
        <f t="shared" si="182"/>
        <v/>
      </c>
      <c r="AM791" s="359" t="str">
        <f t="shared" si="184"/>
        <v/>
      </c>
      <c r="AN791" s="262">
        <f t="shared" si="187"/>
        <v>0</v>
      </c>
      <c r="AO791" s="262" t="str">
        <f>IFERROR(HLOOKUP(AN791,'Ref Lists'!Q$1:AL$2,2,FALSE),'Ref Lists'!$AK$2)</f>
        <v>Savings21</v>
      </c>
      <c r="AP791" s="38"/>
      <c r="AQ791" s="38">
        <f t="shared" si="176"/>
        <v>0</v>
      </c>
      <c r="AR791" s="38"/>
      <c r="AS791" s="38"/>
      <c r="AT791" s="38"/>
      <c r="AU791" s="38"/>
      <c r="AV791" s="38"/>
      <c r="AW791" s="38"/>
      <c r="AX791" s="38"/>
      <c r="AY791" s="38"/>
      <c r="AZ791" s="38"/>
      <c r="BA791" s="38"/>
      <c r="BB791" s="38"/>
      <c r="BC791" s="38"/>
      <c r="BD791" s="38"/>
      <c r="BE791" s="38"/>
      <c r="BF791" s="38"/>
      <c r="BG791" s="38"/>
      <c r="BH791" s="38"/>
      <c r="BI791" s="38"/>
      <c r="BJ791" s="38"/>
      <c r="BK791" s="38"/>
      <c r="BL791" s="38"/>
      <c r="BM791" s="38"/>
      <c r="BN791" s="38"/>
      <c r="BO791" s="38"/>
      <c r="BP791" s="38"/>
      <c r="BQ791" s="38"/>
      <c r="BR791" s="38"/>
      <c r="BS791" s="38"/>
      <c r="BT791" s="38"/>
      <c r="BU791" s="38"/>
      <c r="BV791" s="38"/>
      <c r="BW791" s="38"/>
      <c r="BX791" s="38"/>
      <c r="BY791" s="38"/>
      <c r="BZ791" s="38"/>
      <c r="CA791" s="38"/>
      <c r="CB791" s="38"/>
      <c r="CC791" s="38"/>
      <c r="CD791" s="38"/>
      <c r="CE791" s="38"/>
      <c r="CF791" s="38"/>
      <c r="CG791" s="38"/>
      <c r="CH791" s="38"/>
      <c r="CI791" s="38"/>
      <c r="CJ791" s="38"/>
      <c r="CK791" s="38"/>
      <c r="CL791" s="38"/>
      <c r="CM791" s="38"/>
      <c r="CN791" s="38"/>
      <c r="CO791" s="38"/>
      <c r="CP791" s="38"/>
      <c r="CQ791" s="38"/>
      <c r="CR791" s="38"/>
      <c r="CS791" s="38"/>
      <c r="CT791" s="38"/>
      <c r="CU791" s="38"/>
      <c r="CV791" s="38"/>
      <c r="CW791" s="38"/>
      <c r="CX791" s="38"/>
      <c r="CY791" s="38"/>
      <c r="CZ791" s="38"/>
    </row>
    <row r="792" spans="1:104" s="40" customFormat="1" ht="20.149999999999999" customHeight="1">
      <c r="A792" s="358">
        <f t="shared" si="185"/>
        <v>791</v>
      </c>
      <c r="B792" s="359" t="str">
        <f>'Front Sheet and Checklist'!$C$5</f>
        <v>Swansea Bay UHB</v>
      </c>
      <c r="C792" s="17"/>
      <c r="D792" s="17"/>
      <c r="E792" s="17"/>
      <c r="F792" s="17"/>
      <c r="G792" s="17"/>
      <c r="H792" s="17"/>
      <c r="I792" s="361">
        <f t="shared" si="175"/>
        <v>0</v>
      </c>
      <c r="J792" s="17"/>
      <c r="K792" s="18"/>
      <c r="L792" s="18"/>
      <c r="M792" s="17"/>
      <c r="N792" s="17"/>
      <c r="O792" s="17"/>
      <c r="P792" s="17"/>
      <c r="Q792" s="169"/>
      <c r="R792" s="24"/>
      <c r="S792" s="24"/>
      <c r="T792" s="24"/>
      <c r="U792" s="25"/>
      <c r="V792" s="25"/>
      <c r="W792" s="25"/>
      <c r="X792" s="24"/>
      <c r="Y792" s="24"/>
      <c r="Z792" s="24"/>
      <c r="AA792" s="24"/>
      <c r="AB792" s="24"/>
      <c r="AC792" s="24"/>
      <c r="AD792" s="361">
        <f t="shared" si="174"/>
        <v>0</v>
      </c>
      <c r="AE792" s="359" t="str">
        <f t="shared" si="177"/>
        <v/>
      </c>
      <c r="AF792" s="359" t="str">
        <f t="shared" si="186"/>
        <v/>
      </c>
      <c r="AG792" s="359" t="str">
        <f t="shared" si="178"/>
        <v/>
      </c>
      <c r="AH792" s="359" t="str">
        <f t="shared" si="179"/>
        <v/>
      </c>
      <c r="AI792" s="359" t="str">
        <f t="shared" si="180"/>
        <v/>
      </c>
      <c r="AJ792" s="359" t="str">
        <f t="shared" si="181"/>
        <v/>
      </c>
      <c r="AK792" s="359" t="str">
        <f t="shared" si="183"/>
        <v/>
      </c>
      <c r="AL792" s="359" t="str">
        <f t="shared" si="182"/>
        <v/>
      </c>
      <c r="AM792" s="359" t="str">
        <f t="shared" si="184"/>
        <v/>
      </c>
      <c r="AN792" s="262">
        <f t="shared" si="187"/>
        <v>0</v>
      </c>
      <c r="AO792" s="262" t="str">
        <f>IFERROR(HLOOKUP(AN792,'Ref Lists'!Q$1:AL$2,2,FALSE),'Ref Lists'!$AK$2)</f>
        <v>Savings21</v>
      </c>
      <c r="AP792" s="38"/>
      <c r="AQ792" s="38">
        <f t="shared" si="176"/>
        <v>0</v>
      </c>
      <c r="AR792" s="38"/>
      <c r="AS792" s="38"/>
      <c r="AT792" s="38"/>
      <c r="AU792" s="38"/>
      <c r="AV792" s="38"/>
      <c r="AW792" s="38"/>
      <c r="AX792" s="38"/>
      <c r="AY792" s="38"/>
      <c r="AZ792" s="38"/>
      <c r="BA792" s="38"/>
      <c r="BB792" s="38"/>
      <c r="BC792" s="38"/>
      <c r="BD792" s="38"/>
      <c r="BE792" s="38"/>
      <c r="BF792" s="38"/>
      <c r="BG792" s="38"/>
      <c r="BH792" s="38"/>
      <c r="BI792" s="38"/>
      <c r="BJ792" s="38"/>
      <c r="BK792" s="38"/>
      <c r="BL792" s="38"/>
      <c r="BM792" s="38"/>
      <c r="BN792" s="38"/>
      <c r="BO792" s="38"/>
      <c r="BP792" s="38"/>
      <c r="BQ792" s="38"/>
      <c r="BR792" s="38"/>
      <c r="BS792" s="38"/>
      <c r="BT792" s="38"/>
      <c r="BU792" s="38"/>
      <c r="BV792" s="38"/>
      <c r="BW792" s="38"/>
      <c r="BX792" s="38"/>
      <c r="BY792" s="38"/>
      <c r="BZ792" s="38"/>
      <c r="CA792" s="38"/>
      <c r="CB792" s="38"/>
      <c r="CC792" s="38"/>
      <c r="CD792" s="38"/>
      <c r="CE792" s="38"/>
      <c r="CF792" s="38"/>
      <c r="CG792" s="38"/>
      <c r="CH792" s="38"/>
      <c r="CI792" s="38"/>
      <c r="CJ792" s="38"/>
      <c r="CK792" s="38"/>
      <c r="CL792" s="38"/>
      <c r="CM792" s="38"/>
      <c r="CN792" s="38"/>
      <c r="CO792" s="38"/>
      <c r="CP792" s="38"/>
      <c r="CQ792" s="38"/>
      <c r="CR792" s="38"/>
      <c r="CS792" s="38"/>
      <c r="CT792" s="38"/>
      <c r="CU792" s="38"/>
      <c r="CV792" s="38"/>
      <c r="CW792" s="38"/>
      <c r="CX792" s="38"/>
      <c r="CY792" s="38"/>
      <c r="CZ792" s="38"/>
    </row>
    <row r="793" spans="1:104" s="40" customFormat="1" ht="20.149999999999999" customHeight="1">
      <c r="A793" s="358">
        <f t="shared" si="185"/>
        <v>792</v>
      </c>
      <c r="B793" s="359" t="str">
        <f>'Front Sheet and Checklist'!$C$5</f>
        <v>Swansea Bay UHB</v>
      </c>
      <c r="C793" s="17"/>
      <c r="D793" s="17"/>
      <c r="E793" s="17"/>
      <c r="F793" s="17"/>
      <c r="G793" s="17"/>
      <c r="H793" s="17"/>
      <c r="I793" s="361">
        <f t="shared" si="175"/>
        <v>0</v>
      </c>
      <c r="J793" s="17"/>
      <c r="K793" s="18"/>
      <c r="L793" s="18"/>
      <c r="M793" s="17"/>
      <c r="N793" s="17"/>
      <c r="O793" s="17"/>
      <c r="P793" s="17"/>
      <c r="Q793" s="169"/>
      <c r="R793" s="24"/>
      <c r="S793" s="24"/>
      <c r="T793" s="24"/>
      <c r="U793" s="25"/>
      <c r="V793" s="25"/>
      <c r="W793" s="25"/>
      <c r="X793" s="24"/>
      <c r="Y793" s="24"/>
      <c r="Z793" s="24"/>
      <c r="AA793" s="24"/>
      <c r="AB793" s="24"/>
      <c r="AC793" s="24"/>
      <c r="AD793" s="361">
        <f t="shared" si="174"/>
        <v>0</v>
      </c>
      <c r="AE793" s="359" t="str">
        <f t="shared" si="177"/>
        <v/>
      </c>
      <c r="AF793" s="359" t="str">
        <f t="shared" si="186"/>
        <v/>
      </c>
      <c r="AG793" s="359" t="str">
        <f t="shared" si="178"/>
        <v/>
      </c>
      <c r="AH793" s="359" t="str">
        <f t="shared" si="179"/>
        <v/>
      </c>
      <c r="AI793" s="359" t="str">
        <f t="shared" si="180"/>
        <v/>
      </c>
      <c r="AJ793" s="359" t="str">
        <f t="shared" si="181"/>
        <v/>
      </c>
      <c r="AK793" s="359" t="str">
        <f t="shared" si="183"/>
        <v/>
      </c>
      <c r="AL793" s="359" t="str">
        <f t="shared" si="182"/>
        <v/>
      </c>
      <c r="AM793" s="359" t="str">
        <f t="shared" si="184"/>
        <v/>
      </c>
      <c r="AN793" s="262">
        <f t="shared" si="187"/>
        <v>0</v>
      </c>
      <c r="AO793" s="262" t="str">
        <f>IFERROR(HLOOKUP(AN793,'Ref Lists'!Q$1:AL$2,2,FALSE),'Ref Lists'!$AK$2)</f>
        <v>Savings21</v>
      </c>
      <c r="AP793" s="38"/>
      <c r="AQ793" s="38">
        <f t="shared" si="176"/>
        <v>0</v>
      </c>
      <c r="AR793" s="38"/>
      <c r="AS793" s="38"/>
      <c r="AT793" s="38"/>
      <c r="AU793" s="38"/>
      <c r="AV793" s="38"/>
      <c r="AW793" s="38"/>
      <c r="AX793" s="38"/>
      <c r="AY793" s="38"/>
      <c r="AZ793" s="38"/>
      <c r="BA793" s="38"/>
      <c r="BB793" s="38"/>
      <c r="BC793" s="38"/>
      <c r="BD793" s="38"/>
      <c r="BE793" s="38"/>
      <c r="BF793" s="38"/>
      <c r="BG793" s="38"/>
      <c r="BH793" s="38"/>
      <c r="BI793" s="38"/>
      <c r="BJ793" s="38"/>
      <c r="BK793" s="38"/>
      <c r="BL793" s="38"/>
      <c r="BM793" s="38"/>
      <c r="BN793" s="38"/>
      <c r="BO793" s="38"/>
      <c r="BP793" s="38"/>
      <c r="BQ793" s="38"/>
      <c r="BR793" s="38"/>
      <c r="BS793" s="38"/>
      <c r="BT793" s="38"/>
      <c r="BU793" s="38"/>
      <c r="BV793" s="38"/>
      <c r="BW793" s="38"/>
      <c r="BX793" s="38"/>
      <c r="BY793" s="38"/>
      <c r="BZ793" s="38"/>
      <c r="CA793" s="38"/>
      <c r="CB793" s="38"/>
      <c r="CC793" s="38"/>
      <c r="CD793" s="38"/>
      <c r="CE793" s="38"/>
      <c r="CF793" s="38"/>
      <c r="CG793" s="38"/>
      <c r="CH793" s="38"/>
      <c r="CI793" s="38"/>
      <c r="CJ793" s="38"/>
      <c r="CK793" s="38"/>
      <c r="CL793" s="38"/>
      <c r="CM793" s="38"/>
      <c r="CN793" s="38"/>
      <c r="CO793" s="38"/>
      <c r="CP793" s="38"/>
      <c r="CQ793" s="38"/>
      <c r="CR793" s="38"/>
      <c r="CS793" s="38"/>
      <c r="CT793" s="38"/>
      <c r="CU793" s="38"/>
      <c r="CV793" s="38"/>
      <c r="CW793" s="38"/>
      <c r="CX793" s="38"/>
      <c r="CY793" s="38"/>
      <c r="CZ793" s="38"/>
    </row>
    <row r="794" spans="1:104" s="40" customFormat="1" ht="20.149999999999999" customHeight="1">
      <c r="A794" s="358">
        <f t="shared" si="185"/>
        <v>793</v>
      </c>
      <c r="B794" s="359" t="str">
        <f>'Front Sheet and Checklist'!$C$5</f>
        <v>Swansea Bay UHB</v>
      </c>
      <c r="C794" s="17"/>
      <c r="D794" s="17"/>
      <c r="E794" s="17"/>
      <c r="F794" s="17"/>
      <c r="G794" s="17"/>
      <c r="H794" s="17"/>
      <c r="I794" s="361">
        <f t="shared" si="175"/>
        <v>0</v>
      </c>
      <c r="J794" s="17"/>
      <c r="K794" s="18"/>
      <c r="L794" s="18"/>
      <c r="M794" s="17"/>
      <c r="N794" s="17"/>
      <c r="O794" s="17"/>
      <c r="P794" s="17"/>
      <c r="Q794" s="169"/>
      <c r="R794" s="24"/>
      <c r="S794" s="24"/>
      <c r="T794" s="24"/>
      <c r="U794" s="25"/>
      <c r="V794" s="25"/>
      <c r="W794" s="25"/>
      <c r="X794" s="24"/>
      <c r="Y794" s="24"/>
      <c r="Z794" s="24"/>
      <c r="AA794" s="24"/>
      <c r="AB794" s="24"/>
      <c r="AC794" s="24"/>
      <c r="AD794" s="361">
        <f t="shared" si="174"/>
        <v>0</v>
      </c>
      <c r="AE794" s="359" t="str">
        <f t="shared" si="177"/>
        <v/>
      </c>
      <c r="AF794" s="359" t="str">
        <f t="shared" si="186"/>
        <v/>
      </c>
      <c r="AG794" s="359" t="str">
        <f t="shared" si="178"/>
        <v/>
      </c>
      <c r="AH794" s="359" t="str">
        <f t="shared" si="179"/>
        <v/>
      </c>
      <c r="AI794" s="359" t="str">
        <f t="shared" si="180"/>
        <v/>
      </c>
      <c r="AJ794" s="359" t="str">
        <f t="shared" si="181"/>
        <v/>
      </c>
      <c r="AK794" s="359" t="str">
        <f t="shared" si="183"/>
        <v/>
      </c>
      <c r="AL794" s="359" t="str">
        <f t="shared" si="182"/>
        <v/>
      </c>
      <c r="AM794" s="359" t="str">
        <f t="shared" si="184"/>
        <v/>
      </c>
      <c r="AN794" s="262">
        <f t="shared" si="187"/>
        <v>0</v>
      </c>
      <c r="AO794" s="262" t="str">
        <f>IFERROR(HLOOKUP(AN794,'Ref Lists'!Q$1:AL$2,2,FALSE),'Ref Lists'!$AK$2)</f>
        <v>Savings21</v>
      </c>
      <c r="AP794" s="38"/>
      <c r="AQ794" s="38">
        <f t="shared" si="176"/>
        <v>0</v>
      </c>
      <c r="AR794" s="38"/>
      <c r="AS794" s="38"/>
      <c r="AT794" s="38"/>
      <c r="AU794" s="38"/>
      <c r="AV794" s="38"/>
      <c r="AW794" s="38"/>
      <c r="AX794" s="38"/>
      <c r="AY794" s="38"/>
      <c r="AZ794" s="38"/>
      <c r="BA794" s="38"/>
      <c r="BB794" s="38"/>
      <c r="BC794" s="38"/>
      <c r="BD794" s="38"/>
      <c r="BE794" s="38"/>
      <c r="BF794" s="38"/>
      <c r="BG794" s="38"/>
      <c r="BH794" s="38"/>
      <c r="BI794" s="38"/>
      <c r="BJ794" s="38"/>
      <c r="BK794" s="38"/>
      <c r="BL794" s="38"/>
      <c r="BM794" s="38"/>
      <c r="BN794" s="38"/>
      <c r="BO794" s="38"/>
      <c r="BP794" s="38"/>
      <c r="BQ794" s="38"/>
      <c r="BR794" s="38"/>
      <c r="BS794" s="38"/>
      <c r="BT794" s="38"/>
      <c r="BU794" s="38"/>
      <c r="BV794" s="38"/>
      <c r="BW794" s="38"/>
      <c r="BX794" s="38"/>
      <c r="BY794" s="38"/>
      <c r="BZ794" s="38"/>
      <c r="CA794" s="38"/>
      <c r="CB794" s="38"/>
      <c r="CC794" s="38"/>
      <c r="CD794" s="38"/>
      <c r="CE794" s="38"/>
      <c r="CF794" s="38"/>
      <c r="CG794" s="38"/>
      <c r="CH794" s="38"/>
      <c r="CI794" s="38"/>
      <c r="CJ794" s="38"/>
      <c r="CK794" s="38"/>
      <c r="CL794" s="38"/>
      <c r="CM794" s="38"/>
      <c r="CN794" s="38"/>
      <c r="CO794" s="38"/>
      <c r="CP794" s="38"/>
      <c r="CQ794" s="38"/>
      <c r="CR794" s="38"/>
      <c r="CS794" s="38"/>
      <c r="CT794" s="38"/>
      <c r="CU794" s="38"/>
      <c r="CV794" s="38"/>
      <c r="CW794" s="38"/>
      <c r="CX794" s="38"/>
      <c r="CY794" s="38"/>
      <c r="CZ794" s="38"/>
    </row>
    <row r="795" spans="1:104" s="40" customFormat="1" ht="20.149999999999999" customHeight="1">
      <c r="A795" s="358">
        <f t="shared" si="185"/>
        <v>794</v>
      </c>
      <c r="B795" s="359" t="str">
        <f>'Front Sheet and Checklist'!$C$5</f>
        <v>Swansea Bay UHB</v>
      </c>
      <c r="C795" s="17"/>
      <c r="D795" s="17"/>
      <c r="E795" s="17"/>
      <c r="F795" s="17"/>
      <c r="G795" s="17"/>
      <c r="H795" s="17"/>
      <c r="I795" s="361">
        <f t="shared" si="175"/>
        <v>0</v>
      </c>
      <c r="J795" s="17"/>
      <c r="K795" s="18"/>
      <c r="L795" s="18"/>
      <c r="M795" s="17"/>
      <c r="N795" s="17"/>
      <c r="O795" s="17"/>
      <c r="P795" s="17"/>
      <c r="Q795" s="169"/>
      <c r="R795" s="24"/>
      <c r="S795" s="24"/>
      <c r="T795" s="24"/>
      <c r="U795" s="25"/>
      <c r="V795" s="25"/>
      <c r="W795" s="25"/>
      <c r="X795" s="24"/>
      <c r="Y795" s="24"/>
      <c r="Z795" s="24"/>
      <c r="AA795" s="24"/>
      <c r="AB795" s="24"/>
      <c r="AC795" s="24"/>
      <c r="AD795" s="361">
        <f t="shared" si="174"/>
        <v>0</v>
      </c>
      <c r="AE795" s="359" t="str">
        <f t="shared" si="177"/>
        <v/>
      </c>
      <c r="AF795" s="359" t="str">
        <f t="shared" si="186"/>
        <v/>
      </c>
      <c r="AG795" s="359" t="str">
        <f t="shared" si="178"/>
        <v/>
      </c>
      <c r="AH795" s="359" t="str">
        <f t="shared" si="179"/>
        <v/>
      </c>
      <c r="AI795" s="359" t="str">
        <f t="shared" si="180"/>
        <v/>
      </c>
      <c r="AJ795" s="359" t="str">
        <f t="shared" si="181"/>
        <v/>
      </c>
      <c r="AK795" s="359" t="str">
        <f t="shared" si="183"/>
        <v/>
      </c>
      <c r="AL795" s="359" t="str">
        <f t="shared" si="182"/>
        <v/>
      </c>
      <c r="AM795" s="359" t="str">
        <f t="shared" si="184"/>
        <v/>
      </c>
      <c r="AN795" s="262">
        <f t="shared" si="187"/>
        <v>0</v>
      </c>
      <c r="AO795" s="262" t="str">
        <f>IFERROR(HLOOKUP(AN795,'Ref Lists'!Q$1:AL$2,2,FALSE),'Ref Lists'!$AK$2)</f>
        <v>Savings21</v>
      </c>
      <c r="AP795" s="38"/>
      <c r="AQ795" s="38">
        <f t="shared" si="176"/>
        <v>0</v>
      </c>
      <c r="AR795" s="38"/>
      <c r="AS795" s="38"/>
      <c r="AT795" s="38"/>
      <c r="AU795" s="38"/>
      <c r="AV795" s="38"/>
      <c r="AW795" s="38"/>
      <c r="AX795" s="38"/>
      <c r="AY795" s="38"/>
      <c r="AZ795" s="38"/>
      <c r="BA795" s="38"/>
      <c r="BB795" s="38"/>
      <c r="BC795" s="38"/>
      <c r="BD795" s="38"/>
      <c r="BE795" s="38"/>
      <c r="BF795" s="38"/>
      <c r="BG795" s="38"/>
      <c r="BH795" s="38"/>
      <c r="BI795" s="38"/>
      <c r="BJ795" s="38"/>
      <c r="BK795" s="38"/>
      <c r="BL795" s="38"/>
      <c r="BM795" s="38"/>
      <c r="BN795" s="38"/>
      <c r="BO795" s="38"/>
      <c r="BP795" s="38"/>
      <c r="BQ795" s="38"/>
      <c r="BR795" s="38"/>
      <c r="BS795" s="38"/>
      <c r="BT795" s="38"/>
      <c r="BU795" s="38"/>
      <c r="BV795" s="38"/>
      <c r="BW795" s="38"/>
      <c r="BX795" s="38"/>
      <c r="BY795" s="38"/>
      <c r="BZ795" s="38"/>
      <c r="CA795" s="38"/>
      <c r="CB795" s="38"/>
      <c r="CC795" s="38"/>
      <c r="CD795" s="38"/>
      <c r="CE795" s="38"/>
      <c r="CF795" s="38"/>
      <c r="CG795" s="38"/>
      <c r="CH795" s="38"/>
      <c r="CI795" s="38"/>
      <c r="CJ795" s="38"/>
      <c r="CK795" s="38"/>
      <c r="CL795" s="38"/>
      <c r="CM795" s="38"/>
      <c r="CN795" s="38"/>
      <c r="CO795" s="38"/>
      <c r="CP795" s="38"/>
      <c r="CQ795" s="38"/>
      <c r="CR795" s="38"/>
      <c r="CS795" s="38"/>
      <c r="CT795" s="38"/>
      <c r="CU795" s="38"/>
      <c r="CV795" s="38"/>
      <c r="CW795" s="38"/>
      <c r="CX795" s="38"/>
      <c r="CY795" s="38"/>
      <c r="CZ795" s="38"/>
    </row>
    <row r="796" spans="1:104" s="40" customFormat="1" ht="20.149999999999999" customHeight="1">
      <c r="A796" s="358">
        <f t="shared" si="185"/>
        <v>795</v>
      </c>
      <c r="B796" s="359" t="str">
        <f>'Front Sheet and Checklist'!$C$5</f>
        <v>Swansea Bay UHB</v>
      </c>
      <c r="C796" s="17"/>
      <c r="D796" s="17"/>
      <c r="E796" s="17"/>
      <c r="F796" s="17"/>
      <c r="G796" s="17"/>
      <c r="H796" s="17"/>
      <c r="I796" s="361">
        <f t="shared" si="175"/>
        <v>0</v>
      </c>
      <c r="J796" s="17"/>
      <c r="K796" s="18"/>
      <c r="L796" s="18"/>
      <c r="M796" s="17"/>
      <c r="N796" s="17"/>
      <c r="O796" s="17"/>
      <c r="P796" s="17"/>
      <c r="Q796" s="169"/>
      <c r="R796" s="24"/>
      <c r="S796" s="24"/>
      <c r="T796" s="24"/>
      <c r="U796" s="25"/>
      <c r="V796" s="25"/>
      <c r="W796" s="25"/>
      <c r="X796" s="24"/>
      <c r="Y796" s="24"/>
      <c r="Z796" s="24"/>
      <c r="AA796" s="24"/>
      <c r="AB796" s="24"/>
      <c r="AC796" s="24"/>
      <c r="AD796" s="361">
        <f t="shared" si="174"/>
        <v>0</v>
      </c>
      <c r="AE796" s="359" t="str">
        <f t="shared" si="177"/>
        <v/>
      </c>
      <c r="AF796" s="359" t="str">
        <f t="shared" si="186"/>
        <v/>
      </c>
      <c r="AG796" s="359" t="str">
        <f t="shared" si="178"/>
        <v/>
      </c>
      <c r="AH796" s="359" t="str">
        <f t="shared" si="179"/>
        <v/>
      </c>
      <c r="AI796" s="359" t="str">
        <f t="shared" si="180"/>
        <v/>
      </c>
      <c r="AJ796" s="359" t="str">
        <f t="shared" si="181"/>
        <v/>
      </c>
      <c r="AK796" s="359" t="str">
        <f t="shared" si="183"/>
        <v/>
      </c>
      <c r="AL796" s="359" t="str">
        <f t="shared" si="182"/>
        <v/>
      </c>
      <c r="AM796" s="359" t="str">
        <f t="shared" si="184"/>
        <v/>
      </c>
      <c r="AN796" s="262">
        <f t="shared" si="187"/>
        <v>0</v>
      </c>
      <c r="AO796" s="262" t="str">
        <f>IFERROR(HLOOKUP(AN796,'Ref Lists'!Q$1:AL$2,2,FALSE),'Ref Lists'!$AK$2)</f>
        <v>Savings21</v>
      </c>
      <c r="AP796" s="38"/>
      <c r="AQ796" s="38">
        <f t="shared" si="176"/>
        <v>0</v>
      </c>
      <c r="AR796" s="38"/>
      <c r="AS796" s="38"/>
      <c r="AT796" s="38"/>
      <c r="AU796" s="38"/>
      <c r="AV796" s="38"/>
      <c r="AW796" s="38"/>
      <c r="AX796" s="38"/>
      <c r="AY796" s="38"/>
      <c r="AZ796" s="38"/>
      <c r="BA796" s="38"/>
      <c r="BB796" s="38"/>
      <c r="BC796" s="38"/>
      <c r="BD796" s="38"/>
      <c r="BE796" s="38"/>
      <c r="BF796" s="38"/>
      <c r="BG796" s="38"/>
      <c r="BH796" s="38"/>
      <c r="BI796" s="38"/>
      <c r="BJ796" s="38"/>
      <c r="BK796" s="38"/>
      <c r="BL796" s="38"/>
      <c r="BM796" s="38"/>
      <c r="BN796" s="38"/>
      <c r="BO796" s="38"/>
      <c r="BP796" s="38"/>
      <c r="BQ796" s="38"/>
      <c r="BR796" s="38"/>
      <c r="BS796" s="38"/>
      <c r="BT796" s="38"/>
      <c r="BU796" s="38"/>
      <c r="BV796" s="38"/>
      <c r="BW796" s="38"/>
      <c r="BX796" s="38"/>
      <c r="BY796" s="38"/>
      <c r="BZ796" s="38"/>
      <c r="CA796" s="38"/>
      <c r="CB796" s="38"/>
      <c r="CC796" s="38"/>
      <c r="CD796" s="38"/>
      <c r="CE796" s="38"/>
      <c r="CF796" s="38"/>
      <c r="CG796" s="38"/>
      <c r="CH796" s="38"/>
      <c r="CI796" s="38"/>
      <c r="CJ796" s="38"/>
      <c r="CK796" s="38"/>
      <c r="CL796" s="38"/>
      <c r="CM796" s="38"/>
      <c r="CN796" s="38"/>
      <c r="CO796" s="38"/>
      <c r="CP796" s="38"/>
      <c r="CQ796" s="38"/>
      <c r="CR796" s="38"/>
      <c r="CS796" s="38"/>
      <c r="CT796" s="38"/>
      <c r="CU796" s="38"/>
      <c r="CV796" s="38"/>
      <c r="CW796" s="38"/>
      <c r="CX796" s="38"/>
      <c r="CY796" s="38"/>
      <c r="CZ796" s="38"/>
    </row>
    <row r="797" spans="1:104" s="40" customFormat="1" ht="20.149999999999999" customHeight="1">
      <c r="A797" s="358">
        <f t="shared" si="185"/>
        <v>796</v>
      </c>
      <c r="B797" s="359" t="str">
        <f>'Front Sheet and Checklist'!$C$5</f>
        <v>Swansea Bay UHB</v>
      </c>
      <c r="C797" s="17"/>
      <c r="D797" s="17"/>
      <c r="E797" s="17"/>
      <c r="F797" s="17"/>
      <c r="G797" s="17"/>
      <c r="H797" s="17"/>
      <c r="I797" s="361">
        <f t="shared" si="175"/>
        <v>0</v>
      </c>
      <c r="J797" s="17"/>
      <c r="K797" s="18"/>
      <c r="L797" s="18"/>
      <c r="M797" s="17"/>
      <c r="N797" s="17"/>
      <c r="O797" s="17"/>
      <c r="P797" s="17"/>
      <c r="Q797" s="169"/>
      <c r="R797" s="24"/>
      <c r="S797" s="24"/>
      <c r="T797" s="24"/>
      <c r="U797" s="25"/>
      <c r="V797" s="25"/>
      <c r="W797" s="25"/>
      <c r="X797" s="24"/>
      <c r="Y797" s="24"/>
      <c r="Z797" s="24"/>
      <c r="AA797" s="24"/>
      <c r="AB797" s="24"/>
      <c r="AC797" s="24"/>
      <c r="AD797" s="361">
        <f t="shared" si="174"/>
        <v>0</v>
      </c>
      <c r="AE797" s="359" t="str">
        <f t="shared" si="177"/>
        <v/>
      </c>
      <c r="AF797" s="359" t="str">
        <f t="shared" si="186"/>
        <v/>
      </c>
      <c r="AG797" s="359" t="str">
        <f t="shared" si="178"/>
        <v/>
      </c>
      <c r="AH797" s="359" t="str">
        <f t="shared" si="179"/>
        <v/>
      </c>
      <c r="AI797" s="359" t="str">
        <f t="shared" si="180"/>
        <v/>
      </c>
      <c r="AJ797" s="359" t="str">
        <f t="shared" si="181"/>
        <v/>
      </c>
      <c r="AK797" s="359" t="str">
        <f t="shared" si="183"/>
        <v/>
      </c>
      <c r="AL797" s="359" t="str">
        <f t="shared" si="182"/>
        <v/>
      </c>
      <c r="AM797" s="359" t="str">
        <f t="shared" si="184"/>
        <v/>
      </c>
      <c r="AN797" s="262">
        <f t="shared" si="187"/>
        <v>0</v>
      </c>
      <c r="AO797" s="262" t="str">
        <f>IFERROR(HLOOKUP(AN797,'Ref Lists'!Q$1:AL$2,2,FALSE),'Ref Lists'!$AK$2)</f>
        <v>Savings21</v>
      </c>
      <c r="AP797" s="38"/>
      <c r="AQ797" s="38">
        <f t="shared" si="176"/>
        <v>0</v>
      </c>
      <c r="AR797" s="38"/>
      <c r="AS797" s="38"/>
      <c r="AT797" s="38"/>
      <c r="AU797" s="38"/>
      <c r="AV797" s="38"/>
      <c r="AW797" s="38"/>
      <c r="AX797" s="38"/>
      <c r="AY797" s="38"/>
      <c r="AZ797" s="38"/>
      <c r="BA797" s="38"/>
      <c r="BB797" s="38"/>
      <c r="BC797" s="38"/>
      <c r="BD797" s="38"/>
      <c r="BE797" s="38"/>
      <c r="BF797" s="38"/>
      <c r="BG797" s="38"/>
      <c r="BH797" s="38"/>
      <c r="BI797" s="38"/>
      <c r="BJ797" s="38"/>
      <c r="BK797" s="38"/>
      <c r="BL797" s="38"/>
      <c r="BM797" s="38"/>
      <c r="BN797" s="38"/>
      <c r="BO797" s="38"/>
      <c r="BP797" s="38"/>
      <c r="BQ797" s="38"/>
      <c r="BR797" s="38"/>
      <c r="BS797" s="38"/>
      <c r="BT797" s="38"/>
      <c r="BU797" s="38"/>
      <c r="BV797" s="38"/>
      <c r="BW797" s="38"/>
      <c r="BX797" s="38"/>
      <c r="BY797" s="38"/>
      <c r="BZ797" s="38"/>
      <c r="CA797" s="38"/>
      <c r="CB797" s="38"/>
      <c r="CC797" s="38"/>
      <c r="CD797" s="38"/>
      <c r="CE797" s="38"/>
      <c r="CF797" s="38"/>
      <c r="CG797" s="38"/>
      <c r="CH797" s="38"/>
      <c r="CI797" s="38"/>
      <c r="CJ797" s="38"/>
      <c r="CK797" s="38"/>
      <c r="CL797" s="38"/>
      <c r="CM797" s="38"/>
      <c r="CN797" s="38"/>
      <c r="CO797" s="38"/>
      <c r="CP797" s="38"/>
      <c r="CQ797" s="38"/>
      <c r="CR797" s="38"/>
      <c r="CS797" s="38"/>
      <c r="CT797" s="38"/>
      <c r="CU797" s="38"/>
      <c r="CV797" s="38"/>
      <c r="CW797" s="38"/>
      <c r="CX797" s="38"/>
      <c r="CY797" s="38"/>
      <c r="CZ797" s="38"/>
    </row>
    <row r="798" spans="1:104" s="40" customFormat="1" ht="20.149999999999999" customHeight="1">
      <c r="A798" s="358">
        <f t="shared" si="185"/>
        <v>797</v>
      </c>
      <c r="B798" s="359" t="str">
        <f>'Front Sheet and Checklist'!$C$5</f>
        <v>Swansea Bay UHB</v>
      </c>
      <c r="C798" s="17"/>
      <c r="D798" s="17"/>
      <c r="E798" s="17"/>
      <c r="F798" s="17"/>
      <c r="G798" s="17"/>
      <c r="H798" s="17"/>
      <c r="I798" s="361">
        <f t="shared" si="175"/>
        <v>0</v>
      </c>
      <c r="J798" s="17"/>
      <c r="K798" s="18"/>
      <c r="L798" s="18"/>
      <c r="M798" s="17"/>
      <c r="N798" s="17"/>
      <c r="O798" s="17"/>
      <c r="P798" s="17"/>
      <c r="Q798" s="169"/>
      <c r="R798" s="24"/>
      <c r="S798" s="24"/>
      <c r="T798" s="24"/>
      <c r="U798" s="25"/>
      <c r="V798" s="25"/>
      <c r="W798" s="25"/>
      <c r="X798" s="24"/>
      <c r="Y798" s="24"/>
      <c r="Z798" s="24"/>
      <c r="AA798" s="24"/>
      <c r="AB798" s="24"/>
      <c r="AC798" s="24"/>
      <c r="AD798" s="361">
        <f t="shared" si="174"/>
        <v>0</v>
      </c>
      <c r="AE798" s="359" t="str">
        <f t="shared" si="177"/>
        <v/>
      </c>
      <c r="AF798" s="359" t="str">
        <f t="shared" si="186"/>
        <v/>
      </c>
      <c r="AG798" s="359" t="str">
        <f t="shared" si="178"/>
        <v/>
      </c>
      <c r="AH798" s="359" t="str">
        <f t="shared" si="179"/>
        <v/>
      </c>
      <c r="AI798" s="359" t="str">
        <f t="shared" si="180"/>
        <v/>
      </c>
      <c r="AJ798" s="359" t="str">
        <f t="shared" si="181"/>
        <v/>
      </c>
      <c r="AK798" s="359" t="str">
        <f t="shared" si="183"/>
        <v/>
      </c>
      <c r="AL798" s="359" t="str">
        <f t="shared" si="182"/>
        <v/>
      </c>
      <c r="AM798" s="359" t="str">
        <f t="shared" si="184"/>
        <v/>
      </c>
      <c r="AN798" s="262">
        <f t="shared" si="187"/>
        <v>0</v>
      </c>
      <c r="AO798" s="262" t="str">
        <f>IFERROR(HLOOKUP(AN798,'Ref Lists'!Q$1:AL$2,2,FALSE),'Ref Lists'!$AK$2)</f>
        <v>Savings21</v>
      </c>
      <c r="AP798" s="38"/>
      <c r="AQ798" s="38">
        <f t="shared" si="176"/>
        <v>0</v>
      </c>
      <c r="AR798" s="38"/>
      <c r="AS798" s="38"/>
      <c r="AT798" s="38"/>
      <c r="AU798" s="38"/>
      <c r="AV798" s="38"/>
      <c r="AW798" s="38"/>
      <c r="AX798" s="38"/>
      <c r="AY798" s="38"/>
      <c r="AZ798" s="38"/>
      <c r="BA798" s="38"/>
      <c r="BB798" s="38"/>
      <c r="BC798" s="38"/>
      <c r="BD798" s="38"/>
      <c r="BE798" s="38"/>
      <c r="BF798" s="38"/>
      <c r="BG798" s="38"/>
      <c r="BH798" s="38"/>
      <c r="BI798" s="38"/>
      <c r="BJ798" s="38"/>
      <c r="BK798" s="38"/>
      <c r="BL798" s="38"/>
      <c r="BM798" s="38"/>
      <c r="BN798" s="38"/>
      <c r="BO798" s="38"/>
      <c r="BP798" s="38"/>
      <c r="BQ798" s="38"/>
      <c r="BR798" s="38"/>
      <c r="BS798" s="38"/>
      <c r="BT798" s="38"/>
      <c r="BU798" s="38"/>
      <c r="BV798" s="38"/>
      <c r="BW798" s="38"/>
      <c r="BX798" s="38"/>
      <c r="BY798" s="38"/>
      <c r="BZ798" s="38"/>
      <c r="CA798" s="38"/>
      <c r="CB798" s="38"/>
      <c r="CC798" s="38"/>
      <c r="CD798" s="38"/>
      <c r="CE798" s="38"/>
      <c r="CF798" s="38"/>
      <c r="CG798" s="38"/>
      <c r="CH798" s="38"/>
      <c r="CI798" s="38"/>
      <c r="CJ798" s="38"/>
      <c r="CK798" s="38"/>
      <c r="CL798" s="38"/>
      <c r="CM798" s="38"/>
      <c r="CN798" s="38"/>
      <c r="CO798" s="38"/>
      <c r="CP798" s="38"/>
      <c r="CQ798" s="38"/>
      <c r="CR798" s="38"/>
      <c r="CS798" s="38"/>
      <c r="CT798" s="38"/>
      <c r="CU798" s="38"/>
      <c r="CV798" s="38"/>
      <c r="CW798" s="38"/>
      <c r="CX798" s="38"/>
      <c r="CY798" s="38"/>
      <c r="CZ798" s="38"/>
    </row>
    <row r="799" spans="1:104" s="40" customFormat="1" ht="20.149999999999999" customHeight="1">
      <c r="A799" s="358">
        <f t="shared" si="185"/>
        <v>798</v>
      </c>
      <c r="B799" s="359" t="str">
        <f>'Front Sheet and Checklist'!$C$5</f>
        <v>Swansea Bay UHB</v>
      </c>
      <c r="C799" s="17"/>
      <c r="D799" s="17"/>
      <c r="E799" s="17"/>
      <c r="F799" s="17"/>
      <c r="G799" s="17"/>
      <c r="H799" s="17"/>
      <c r="I799" s="361">
        <f t="shared" si="175"/>
        <v>0</v>
      </c>
      <c r="J799" s="17"/>
      <c r="K799" s="18"/>
      <c r="L799" s="18"/>
      <c r="M799" s="17"/>
      <c r="N799" s="17"/>
      <c r="O799" s="17"/>
      <c r="P799" s="17"/>
      <c r="Q799" s="169"/>
      <c r="R799" s="24"/>
      <c r="S799" s="24"/>
      <c r="T799" s="24"/>
      <c r="U799" s="25"/>
      <c r="V799" s="25"/>
      <c r="W799" s="25"/>
      <c r="X799" s="24"/>
      <c r="Y799" s="24"/>
      <c r="Z799" s="24"/>
      <c r="AA799" s="24"/>
      <c r="AB799" s="24"/>
      <c r="AC799" s="24"/>
      <c r="AD799" s="361">
        <f t="shared" si="174"/>
        <v>0</v>
      </c>
      <c r="AE799" s="359" t="str">
        <f t="shared" si="177"/>
        <v/>
      </c>
      <c r="AF799" s="359" t="str">
        <f t="shared" si="186"/>
        <v/>
      </c>
      <c r="AG799" s="359" t="str">
        <f t="shared" si="178"/>
        <v/>
      </c>
      <c r="AH799" s="359" t="str">
        <f t="shared" si="179"/>
        <v/>
      </c>
      <c r="AI799" s="359" t="str">
        <f t="shared" si="180"/>
        <v/>
      </c>
      <c r="AJ799" s="359" t="str">
        <f t="shared" si="181"/>
        <v/>
      </c>
      <c r="AK799" s="359" t="str">
        <f t="shared" si="183"/>
        <v/>
      </c>
      <c r="AL799" s="359" t="str">
        <f t="shared" si="182"/>
        <v/>
      </c>
      <c r="AM799" s="359" t="str">
        <f t="shared" si="184"/>
        <v/>
      </c>
      <c r="AN799" s="262">
        <f t="shared" si="187"/>
        <v>0</v>
      </c>
      <c r="AO799" s="262" t="str">
        <f>IFERROR(HLOOKUP(AN799,'Ref Lists'!Q$1:AL$2,2,FALSE),'Ref Lists'!$AK$2)</f>
        <v>Savings21</v>
      </c>
      <c r="AP799" s="38"/>
      <c r="AQ799" s="38">
        <f t="shared" si="176"/>
        <v>0</v>
      </c>
      <c r="AR799" s="38"/>
      <c r="AS799" s="38"/>
      <c r="AT799" s="38"/>
      <c r="AU799" s="38"/>
      <c r="AV799" s="38"/>
      <c r="AW799" s="38"/>
      <c r="AX799" s="38"/>
      <c r="AY799" s="38"/>
      <c r="AZ799" s="38"/>
      <c r="BA799" s="38"/>
      <c r="BB799" s="38"/>
      <c r="BC799" s="38"/>
      <c r="BD799" s="38"/>
      <c r="BE799" s="38"/>
      <c r="BF799" s="38"/>
      <c r="BG799" s="38"/>
      <c r="BH799" s="38"/>
      <c r="BI799" s="38"/>
      <c r="BJ799" s="38"/>
      <c r="BK799" s="38"/>
      <c r="BL799" s="38"/>
      <c r="BM799" s="38"/>
      <c r="BN799" s="38"/>
      <c r="BO799" s="38"/>
      <c r="BP799" s="38"/>
      <c r="BQ799" s="38"/>
      <c r="BR799" s="38"/>
      <c r="BS799" s="38"/>
      <c r="BT799" s="38"/>
      <c r="BU799" s="38"/>
      <c r="BV799" s="38"/>
      <c r="BW799" s="38"/>
      <c r="BX799" s="38"/>
      <c r="BY799" s="38"/>
      <c r="BZ799" s="38"/>
      <c r="CA799" s="38"/>
      <c r="CB799" s="38"/>
      <c r="CC799" s="38"/>
      <c r="CD799" s="38"/>
      <c r="CE799" s="38"/>
      <c r="CF799" s="38"/>
      <c r="CG799" s="38"/>
      <c r="CH799" s="38"/>
      <c r="CI799" s="38"/>
      <c r="CJ799" s="38"/>
      <c r="CK799" s="38"/>
      <c r="CL799" s="38"/>
      <c r="CM799" s="38"/>
      <c r="CN799" s="38"/>
      <c r="CO799" s="38"/>
      <c r="CP799" s="38"/>
      <c r="CQ799" s="38"/>
      <c r="CR799" s="38"/>
      <c r="CS799" s="38"/>
      <c r="CT799" s="38"/>
      <c r="CU799" s="38"/>
      <c r="CV799" s="38"/>
      <c r="CW799" s="38"/>
      <c r="CX799" s="38"/>
      <c r="CY799" s="38"/>
      <c r="CZ799" s="38"/>
    </row>
    <row r="800" spans="1:104" s="40" customFormat="1" ht="20.149999999999999" customHeight="1">
      <c r="A800" s="358">
        <f t="shared" si="185"/>
        <v>799</v>
      </c>
      <c r="B800" s="359" t="str">
        <f>'Front Sheet and Checklist'!$C$5</f>
        <v>Swansea Bay UHB</v>
      </c>
      <c r="C800" s="17"/>
      <c r="D800" s="17"/>
      <c r="E800" s="17"/>
      <c r="F800" s="17"/>
      <c r="G800" s="17"/>
      <c r="H800" s="17"/>
      <c r="I800" s="361">
        <f t="shared" si="175"/>
        <v>0</v>
      </c>
      <c r="J800" s="17"/>
      <c r="K800" s="18"/>
      <c r="L800" s="18"/>
      <c r="M800" s="17"/>
      <c r="N800" s="17"/>
      <c r="O800" s="17"/>
      <c r="P800" s="17"/>
      <c r="Q800" s="169"/>
      <c r="R800" s="24"/>
      <c r="S800" s="24"/>
      <c r="T800" s="24"/>
      <c r="U800" s="25"/>
      <c r="V800" s="25"/>
      <c r="W800" s="25"/>
      <c r="X800" s="24"/>
      <c r="Y800" s="24"/>
      <c r="Z800" s="24"/>
      <c r="AA800" s="24"/>
      <c r="AB800" s="24"/>
      <c r="AC800" s="24"/>
      <c r="AD800" s="361">
        <f t="shared" si="174"/>
        <v>0</v>
      </c>
      <c r="AE800" s="359" t="str">
        <f t="shared" si="177"/>
        <v/>
      </c>
      <c r="AF800" s="359" t="str">
        <f t="shared" si="186"/>
        <v/>
      </c>
      <c r="AG800" s="359" t="str">
        <f t="shared" si="178"/>
        <v/>
      </c>
      <c r="AH800" s="359" t="str">
        <f t="shared" si="179"/>
        <v/>
      </c>
      <c r="AI800" s="359" t="str">
        <f t="shared" si="180"/>
        <v/>
      </c>
      <c r="AJ800" s="359" t="str">
        <f t="shared" si="181"/>
        <v/>
      </c>
      <c r="AK800" s="359" t="str">
        <f t="shared" si="183"/>
        <v/>
      </c>
      <c r="AL800" s="359" t="str">
        <f t="shared" si="182"/>
        <v/>
      </c>
      <c r="AM800" s="359" t="str">
        <f t="shared" si="184"/>
        <v/>
      </c>
      <c r="AN800" s="262">
        <f t="shared" si="187"/>
        <v>0</v>
      </c>
      <c r="AO800" s="262" t="str">
        <f>IFERROR(HLOOKUP(AN800,'Ref Lists'!Q$1:AL$2,2,FALSE),'Ref Lists'!$AK$2)</f>
        <v>Savings21</v>
      </c>
      <c r="AP800" s="38"/>
      <c r="AQ800" s="38">
        <f t="shared" si="176"/>
        <v>0</v>
      </c>
      <c r="AR800" s="38"/>
      <c r="AS800" s="38"/>
      <c r="AT800" s="38"/>
      <c r="AU800" s="38"/>
      <c r="AV800" s="38"/>
      <c r="AW800" s="38"/>
      <c r="AX800" s="38"/>
      <c r="AY800" s="38"/>
      <c r="AZ800" s="38"/>
      <c r="BA800" s="38"/>
      <c r="BB800" s="38"/>
      <c r="BC800" s="38"/>
      <c r="BD800" s="38"/>
      <c r="BE800" s="38"/>
      <c r="BF800" s="38"/>
      <c r="BG800" s="38"/>
      <c r="BH800" s="38"/>
      <c r="BI800" s="38"/>
      <c r="BJ800" s="38"/>
      <c r="BK800" s="38"/>
      <c r="BL800" s="38"/>
      <c r="BM800" s="38"/>
      <c r="BN800" s="38"/>
      <c r="BO800" s="38"/>
      <c r="BP800" s="38"/>
      <c r="BQ800" s="38"/>
      <c r="BR800" s="38"/>
      <c r="BS800" s="38"/>
      <c r="BT800" s="38"/>
      <c r="BU800" s="38"/>
      <c r="BV800" s="38"/>
      <c r="BW800" s="38"/>
      <c r="BX800" s="38"/>
      <c r="BY800" s="38"/>
      <c r="BZ800" s="38"/>
      <c r="CA800" s="38"/>
      <c r="CB800" s="38"/>
      <c r="CC800" s="38"/>
      <c r="CD800" s="38"/>
      <c r="CE800" s="38"/>
      <c r="CF800" s="38"/>
      <c r="CG800" s="38"/>
      <c r="CH800" s="38"/>
      <c r="CI800" s="38"/>
      <c r="CJ800" s="38"/>
      <c r="CK800" s="38"/>
      <c r="CL800" s="38"/>
      <c r="CM800" s="38"/>
      <c r="CN800" s="38"/>
      <c r="CO800" s="38"/>
      <c r="CP800" s="38"/>
      <c r="CQ800" s="38"/>
      <c r="CR800" s="38"/>
      <c r="CS800" s="38"/>
      <c r="CT800" s="38"/>
      <c r="CU800" s="38"/>
      <c r="CV800" s="38"/>
      <c r="CW800" s="38"/>
      <c r="CX800" s="38"/>
      <c r="CY800" s="38"/>
      <c r="CZ800" s="38"/>
    </row>
    <row r="801" spans="1:104" s="40" customFormat="1" ht="20.149999999999999" customHeight="1">
      <c r="A801" s="358">
        <f t="shared" si="185"/>
        <v>800</v>
      </c>
      <c r="B801" s="359" t="str">
        <f>'Front Sheet and Checklist'!$C$5</f>
        <v>Swansea Bay UHB</v>
      </c>
      <c r="C801" s="17"/>
      <c r="D801" s="17"/>
      <c r="E801" s="17"/>
      <c r="F801" s="17"/>
      <c r="G801" s="17"/>
      <c r="H801" s="17"/>
      <c r="I801" s="361">
        <f t="shared" si="175"/>
        <v>0</v>
      </c>
      <c r="J801" s="17"/>
      <c r="K801" s="18"/>
      <c r="L801" s="18"/>
      <c r="M801" s="17"/>
      <c r="N801" s="17"/>
      <c r="O801" s="17"/>
      <c r="P801" s="17"/>
      <c r="Q801" s="169"/>
      <c r="R801" s="24"/>
      <c r="S801" s="24"/>
      <c r="T801" s="24"/>
      <c r="U801" s="25"/>
      <c r="V801" s="25"/>
      <c r="W801" s="25"/>
      <c r="X801" s="24"/>
      <c r="Y801" s="24"/>
      <c r="Z801" s="24"/>
      <c r="AA801" s="24"/>
      <c r="AB801" s="24"/>
      <c r="AC801" s="24"/>
      <c r="AD801" s="361">
        <f t="shared" si="174"/>
        <v>0</v>
      </c>
      <c r="AE801" s="359" t="str">
        <f t="shared" si="177"/>
        <v/>
      </c>
      <c r="AF801" s="359" t="str">
        <f t="shared" si="186"/>
        <v/>
      </c>
      <c r="AG801" s="359" t="str">
        <f t="shared" si="178"/>
        <v/>
      </c>
      <c r="AH801" s="359" t="str">
        <f t="shared" si="179"/>
        <v/>
      </c>
      <c r="AI801" s="359" t="str">
        <f t="shared" si="180"/>
        <v/>
      </c>
      <c r="AJ801" s="359" t="str">
        <f t="shared" si="181"/>
        <v/>
      </c>
      <c r="AK801" s="359" t="str">
        <f t="shared" si="183"/>
        <v/>
      </c>
      <c r="AL801" s="359" t="str">
        <f t="shared" si="182"/>
        <v/>
      </c>
      <c r="AM801" s="359" t="str">
        <f t="shared" si="184"/>
        <v/>
      </c>
      <c r="AN801" s="262">
        <f t="shared" si="187"/>
        <v>0</v>
      </c>
      <c r="AO801" s="262" t="str">
        <f>IFERROR(HLOOKUP(AN801,'Ref Lists'!Q$1:AL$2,2,FALSE),'Ref Lists'!$AK$2)</f>
        <v>Savings21</v>
      </c>
      <c r="AP801" s="38"/>
      <c r="AQ801" s="38">
        <f t="shared" si="176"/>
        <v>0</v>
      </c>
      <c r="AR801" s="38"/>
      <c r="AS801" s="38"/>
      <c r="AT801" s="38"/>
      <c r="AU801" s="38"/>
      <c r="AV801" s="38"/>
      <c r="AW801" s="38"/>
      <c r="AX801" s="38"/>
      <c r="AY801" s="38"/>
      <c r="AZ801" s="38"/>
      <c r="BA801" s="38"/>
      <c r="BB801" s="38"/>
      <c r="BC801" s="38"/>
      <c r="BD801" s="38"/>
      <c r="BE801" s="38"/>
      <c r="BF801" s="38"/>
      <c r="BG801" s="38"/>
      <c r="BH801" s="38"/>
      <c r="BI801" s="38"/>
      <c r="BJ801" s="38"/>
      <c r="BK801" s="38"/>
      <c r="BL801" s="38"/>
      <c r="BM801" s="38"/>
      <c r="BN801" s="38"/>
      <c r="BO801" s="38"/>
      <c r="BP801" s="38"/>
      <c r="BQ801" s="38"/>
      <c r="BR801" s="38"/>
      <c r="BS801" s="38"/>
      <c r="BT801" s="38"/>
      <c r="BU801" s="38"/>
      <c r="BV801" s="38"/>
      <c r="BW801" s="38"/>
      <c r="BX801" s="38"/>
      <c r="BY801" s="38"/>
      <c r="BZ801" s="38"/>
      <c r="CA801" s="38"/>
      <c r="CB801" s="38"/>
      <c r="CC801" s="38"/>
      <c r="CD801" s="38"/>
      <c r="CE801" s="38"/>
      <c r="CF801" s="38"/>
      <c r="CG801" s="38"/>
      <c r="CH801" s="38"/>
      <c r="CI801" s="38"/>
      <c r="CJ801" s="38"/>
      <c r="CK801" s="38"/>
      <c r="CL801" s="38"/>
      <c r="CM801" s="38"/>
      <c r="CN801" s="38"/>
      <c r="CO801" s="38"/>
      <c r="CP801" s="38"/>
      <c r="CQ801" s="38"/>
      <c r="CR801" s="38"/>
      <c r="CS801" s="38"/>
      <c r="CT801" s="38"/>
      <c r="CU801" s="38"/>
      <c r="CV801" s="38"/>
      <c r="CW801" s="38"/>
      <c r="CX801" s="38"/>
      <c r="CY801" s="38"/>
      <c r="CZ801" s="38"/>
    </row>
    <row r="802" spans="1:104" s="40" customFormat="1" ht="20.149999999999999" customHeight="1">
      <c r="A802" s="358">
        <f t="shared" si="185"/>
        <v>801</v>
      </c>
      <c r="B802" s="359" t="str">
        <f>'Front Sheet and Checklist'!$C$5</f>
        <v>Swansea Bay UHB</v>
      </c>
      <c r="C802" s="17"/>
      <c r="D802" s="17"/>
      <c r="E802" s="17"/>
      <c r="F802" s="17"/>
      <c r="G802" s="17"/>
      <c r="H802" s="17"/>
      <c r="I802" s="361">
        <f t="shared" si="175"/>
        <v>0</v>
      </c>
      <c r="J802" s="17"/>
      <c r="K802" s="18"/>
      <c r="L802" s="18"/>
      <c r="M802" s="17"/>
      <c r="N802" s="17"/>
      <c r="O802" s="17"/>
      <c r="P802" s="17"/>
      <c r="Q802" s="169"/>
      <c r="R802" s="24"/>
      <c r="S802" s="24"/>
      <c r="T802" s="24"/>
      <c r="U802" s="25"/>
      <c r="V802" s="25"/>
      <c r="W802" s="25"/>
      <c r="X802" s="24"/>
      <c r="Y802" s="24"/>
      <c r="Z802" s="24"/>
      <c r="AA802" s="24"/>
      <c r="AB802" s="24"/>
      <c r="AC802" s="24"/>
      <c r="AD802" s="361">
        <f t="shared" si="174"/>
        <v>0</v>
      </c>
      <c r="AE802" s="359" t="str">
        <f t="shared" si="177"/>
        <v/>
      </c>
      <c r="AF802" s="359" t="str">
        <f t="shared" si="186"/>
        <v/>
      </c>
      <c r="AG802" s="359" t="str">
        <f t="shared" si="178"/>
        <v/>
      </c>
      <c r="AH802" s="359" t="str">
        <f t="shared" si="179"/>
        <v/>
      </c>
      <c r="AI802" s="359" t="str">
        <f t="shared" si="180"/>
        <v/>
      </c>
      <c r="AJ802" s="359" t="str">
        <f t="shared" si="181"/>
        <v/>
      </c>
      <c r="AK802" s="359" t="str">
        <f t="shared" si="183"/>
        <v/>
      </c>
      <c r="AL802" s="359" t="str">
        <f t="shared" si="182"/>
        <v/>
      </c>
      <c r="AM802" s="359" t="str">
        <f t="shared" si="184"/>
        <v/>
      </c>
      <c r="AN802" s="262">
        <f t="shared" si="187"/>
        <v>0</v>
      </c>
      <c r="AO802" s="262" t="str">
        <f>IFERROR(HLOOKUP(AN802,'Ref Lists'!Q$1:AL$2,2,FALSE),'Ref Lists'!$AK$2)</f>
        <v>Savings21</v>
      </c>
      <c r="AP802" s="38"/>
      <c r="AQ802" s="38">
        <f t="shared" si="176"/>
        <v>0</v>
      </c>
      <c r="AR802" s="38"/>
      <c r="AS802" s="38"/>
      <c r="AT802" s="38"/>
      <c r="AU802" s="38"/>
      <c r="AV802" s="38"/>
      <c r="AW802" s="38"/>
      <c r="AX802" s="38"/>
      <c r="AY802" s="38"/>
      <c r="AZ802" s="38"/>
      <c r="BA802" s="38"/>
      <c r="BB802" s="38"/>
      <c r="BC802" s="38"/>
      <c r="BD802" s="38"/>
      <c r="BE802" s="38"/>
      <c r="BF802" s="38"/>
      <c r="BG802" s="38"/>
      <c r="BH802" s="38"/>
      <c r="BI802" s="38"/>
      <c r="BJ802" s="38"/>
      <c r="BK802" s="38"/>
      <c r="BL802" s="38"/>
      <c r="BM802" s="38"/>
      <c r="BN802" s="38"/>
      <c r="BO802" s="38"/>
      <c r="BP802" s="38"/>
      <c r="BQ802" s="38"/>
      <c r="BR802" s="38"/>
      <c r="BS802" s="38"/>
      <c r="BT802" s="38"/>
      <c r="BU802" s="38"/>
      <c r="BV802" s="38"/>
      <c r="BW802" s="38"/>
      <c r="BX802" s="38"/>
      <c r="BY802" s="38"/>
      <c r="BZ802" s="38"/>
      <c r="CA802" s="38"/>
      <c r="CB802" s="38"/>
      <c r="CC802" s="38"/>
      <c r="CD802" s="38"/>
      <c r="CE802" s="38"/>
      <c r="CF802" s="38"/>
      <c r="CG802" s="38"/>
      <c r="CH802" s="38"/>
      <c r="CI802" s="38"/>
      <c r="CJ802" s="38"/>
      <c r="CK802" s="38"/>
      <c r="CL802" s="38"/>
      <c r="CM802" s="38"/>
      <c r="CN802" s="38"/>
      <c r="CO802" s="38"/>
      <c r="CP802" s="38"/>
      <c r="CQ802" s="38"/>
      <c r="CR802" s="38"/>
      <c r="CS802" s="38"/>
      <c r="CT802" s="38"/>
      <c r="CU802" s="38"/>
      <c r="CV802" s="38"/>
      <c r="CW802" s="38"/>
      <c r="CX802" s="38"/>
      <c r="CY802" s="38"/>
      <c r="CZ802" s="38"/>
    </row>
    <row r="803" spans="1:104" s="40" customFormat="1" ht="20.149999999999999" customHeight="1">
      <c r="A803" s="358">
        <f t="shared" si="185"/>
        <v>802</v>
      </c>
      <c r="B803" s="359" t="str">
        <f>'Front Sheet and Checklist'!$C$5</f>
        <v>Swansea Bay UHB</v>
      </c>
      <c r="C803" s="17"/>
      <c r="D803" s="17"/>
      <c r="E803" s="17"/>
      <c r="F803" s="17"/>
      <c r="G803" s="17"/>
      <c r="H803" s="17"/>
      <c r="I803" s="361">
        <f t="shared" si="175"/>
        <v>0</v>
      </c>
      <c r="J803" s="17"/>
      <c r="K803" s="18"/>
      <c r="L803" s="18"/>
      <c r="M803" s="17"/>
      <c r="N803" s="17"/>
      <c r="O803" s="17"/>
      <c r="P803" s="17"/>
      <c r="Q803" s="169"/>
      <c r="R803" s="24"/>
      <c r="S803" s="24"/>
      <c r="T803" s="24"/>
      <c r="U803" s="25"/>
      <c r="V803" s="25"/>
      <c r="W803" s="25"/>
      <c r="X803" s="24"/>
      <c r="Y803" s="24"/>
      <c r="Z803" s="24"/>
      <c r="AA803" s="24"/>
      <c r="AB803" s="24"/>
      <c r="AC803" s="24"/>
      <c r="AD803" s="361">
        <f t="shared" si="174"/>
        <v>0</v>
      </c>
      <c r="AE803" s="359" t="str">
        <f t="shared" si="177"/>
        <v/>
      </c>
      <c r="AF803" s="359" t="str">
        <f t="shared" si="186"/>
        <v/>
      </c>
      <c r="AG803" s="359" t="str">
        <f t="shared" si="178"/>
        <v/>
      </c>
      <c r="AH803" s="359" t="str">
        <f t="shared" si="179"/>
        <v/>
      </c>
      <c r="AI803" s="359" t="str">
        <f t="shared" si="180"/>
        <v/>
      </c>
      <c r="AJ803" s="359" t="str">
        <f t="shared" si="181"/>
        <v/>
      </c>
      <c r="AK803" s="359" t="str">
        <f t="shared" si="183"/>
        <v/>
      </c>
      <c r="AL803" s="359" t="str">
        <f t="shared" si="182"/>
        <v/>
      </c>
      <c r="AM803" s="359" t="str">
        <f t="shared" si="184"/>
        <v/>
      </c>
      <c r="AN803" s="262">
        <f t="shared" si="187"/>
        <v>0</v>
      </c>
      <c r="AO803" s="262" t="str">
        <f>IFERROR(HLOOKUP(AN803,'Ref Lists'!Q$1:AL$2,2,FALSE),'Ref Lists'!$AK$2)</f>
        <v>Savings21</v>
      </c>
      <c r="AP803" s="38"/>
      <c r="AQ803" s="38">
        <f t="shared" si="176"/>
        <v>0</v>
      </c>
      <c r="AR803" s="38"/>
      <c r="AS803" s="38"/>
      <c r="AT803" s="38"/>
      <c r="AU803" s="38"/>
      <c r="AV803" s="38"/>
      <c r="AW803" s="38"/>
      <c r="AX803" s="38"/>
      <c r="AY803" s="38"/>
      <c r="AZ803" s="38"/>
      <c r="BA803" s="38"/>
      <c r="BB803" s="38"/>
      <c r="BC803" s="38"/>
      <c r="BD803" s="38"/>
      <c r="BE803" s="38"/>
      <c r="BF803" s="38"/>
      <c r="BG803" s="38"/>
      <c r="BH803" s="38"/>
      <c r="BI803" s="38"/>
      <c r="BJ803" s="38"/>
      <c r="BK803" s="38"/>
      <c r="BL803" s="38"/>
      <c r="BM803" s="38"/>
      <c r="BN803" s="38"/>
      <c r="BO803" s="38"/>
      <c r="BP803" s="38"/>
      <c r="BQ803" s="38"/>
      <c r="BR803" s="38"/>
      <c r="BS803" s="38"/>
      <c r="BT803" s="38"/>
      <c r="BU803" s="38"/>
      <c r="BV803" s="38"/>
      <c r="BW803" s="38"/>
      <c r="BX803" s="38"/>
      <c r="BY803" s="38"/>
      <c r="BZ803" s="38"/>
      <c r="CA803" s="38"/>
      <c r="CB803" s="38"/>
      <c r="CC803" s="38"/>
      <c r="CD803" s="38"/>
      <c r="CE803" s="38"/>
      <c r="CF803" s="38"/>
      <c r="CG803" s="38"/>
      <c r="CH803" s="38"/>
      <c r="CI803" s="38"/>
      <c r="CJ803" s="38"/>
      <c r="CK803" s="38"/>
      <c r="CL803" s="38"/>
      <c r="CM803" s="38"/>
      <c r="CN803" s="38"/>
      <c r="CO803" s="38"/>
      <c r="CP803" s="38"/>
      <c r="CQ803" s="38"/>
      <c r="CR803" s="38"/>
      <c r="CS803" s="38"/>
      <c r="CT803" s="38"/>
      <c r="CU803" s="38"/>
      <c r="CV803" s="38"/>
      <c r="CW803" s="38"/>
      <c r="CX803" s="38"/>
      <c r="CY803" s="38"/>
      <c r="CZ803" s="38"/>
    </row>
    <row r="804" spans="1:104" s="40" customFormat="1" ht="20.149999999999999" customHeight="1">
      <c r="A804" s="358">
        <f t="shared" si="185"/>
        <v>803</v>
      </c>
      <c r="B804" s="359" t="str">
        <f>'Front Sheet and Checklist'!$C$5</f>
        <v>Swansea Bay UHB</v>
      </c>
      <c r="C804" s="17"/>
      <c r="D804" s="17"/>
      <c r="E804" s="17"/>
      <c r="F804" s="17"/>
      <c r="G804" s="17"/>
      <c r="H804" s="17"/>
      <c r="I804" s="361">
        <f t="shared" si="175"/>
        <v>0</v>
      </c>
      <c r="J804" s="17"/>
      <c r="K804" s="18"/>
      <c r="L804" s="18"/>
      <c r="M804" s="17"/>
      <c r="N804" s="17"/>
      <c r="O804" s="17"/>
      <c r="P804" s="17"/>
      <c r="Q804" s="169"/>
      <c r="R804" s="24"/>
      <c r="S804" s="24"/>
      <c r="T804" s="24"/>
      <c r="U804" s="25"/>
      <c r="V804" s="25"/>
      <c r="W804" s="25"/>
      <c r="X804" s="24"/>
      <c r="Y804" s="24"/>
      <c r="Z804" s="24"/>
      <c r="AA804" s="24"/>
      <c r="AB804" s="24"/>
      <c r="AC804" s="24"/>
      <c r="AD804" s="361">
        <f t="shared" si="174"/>
        <v>0</v>
      </c>
      <c r="AE804" s="359" t="str">
        <f t="shared" si="177"/>
        <v/>
      </c>
      <c r="AF804" s="359" t="str">
        <f t="shared" si="186"/>
        <v/>
      </c>
      <c r="AG804" s="359" t="str">
        <f t="shared" si="178"/>
        <v/>
      </c>
      <c r="AH804" s="359" t="str">
        <f t="shared" si="179"/>
        <v/>
      </c>
      <c r="AI804" s="359" t="str">
        <f t="shared" si="180"/>
        <v/>
      </c>
      <c r="AJ804" s="359" t="str">
        <f t="shared" si="181"/>
        <v/>
      </c>
      <c r="AK804" s="359" t="str">
        <f t="shared" si="183"/>
        <v/>
      </c>
      <c r="AL804" s="359" t="str">
        <f t="shared" si="182"/>
        <v/>
      </c>
      <c r="AM804" s="359" t="str">
        <f t="shared" si="184"/>
        <v/>
      </c>
      <c r="AN804" s="262">
        <f t="shared" si="187"/>
        <v>0</v>
      </c>
      <c r="AO804" s="262" t="str">
        <f>IFERROR(HLOOKUP(AN804,'Ref Lists'!Q$1:AL$2,2,FALSE),'Ref Lists'!$AK$2)</f>
        <v>Savings21</v>
      </c>
      <c r="AP804" s="38"/>
      <c r="AQ804" s="38">
        <f t="shared" si="176"/>
        <v>0</v>
      </c>
      <c r="AR804" s="38"/>
      <c r="AS804" s="38"/>
      <c r="AT804" s="38"/>
      <c r="AU804" s="38"/>
      <c r="AV804" s="38"/>
      <c r="AW804" s="38"/>
      <c r="AX804" s="38"/>
      <c r="AY804" s="38"/>
      <c r="AZ804" s="38"/>
      <c r="BA804" s="38"/>
      <c r="BB804" s="38"/>
      <c r="BC804" s="38"/>
      <c r="BD804" s="38"/>
      <c r="BE804" s="38"/>
      <c r="BF804" s="38"/>
      <c r="BG804" s="38"/>
      <c r="BH804" s="38"/>
      <c r="BI804" s="38"/>
      <c r="BJ804" s="38"/>
      <c r="BK804" s="38"/>
      <c r="BL804" s="38"/>
      <c r="BM804" s="38"/>
      <c r="BN804" s="38"/>
      <c r="BO804" s="38"/>
      <c r="BP804" s="38"/>
      <c r="BQ804" s="38"/>
      <c r="BR804" s="38"/>
      <c r="BS804" s="38"/>
      <c r="BT804" s="38"/>
      <c r="BU804" s="38"/>
      <c r="BV804" s="38"/>
      <c r="BW804" s="38"/>
      <c r="BX804" s="38"/>
      <c r="BY804" s="38"/>
      <c r="BZ804" s="38"/>
      <c r="CA804" s="38"/>
      <c r="CB804" s="38"/>
      <c r="CC804" s="38"/>
      <c r="CD804" s="38"/>
      <c r="CE804" s="38"/>
      <c r="CF804" s="38"/>
      <c r="CG804" s="38"/>
      <c r="CH804" s="38"/>
      <c r="CI804" s="38"/>
      <c r="CJ804" s="38"/>
      <c r="CK804" s="38"/>
      <c r="CL804" s="38"/>
      <c r="CM804" s="38"/>
      <c r="CN804" s="38"/>
      <c r="CO804" s="38"/>
      <c r="CP804" s="38"/>
      <c r="CQ804" s="38"/>
      <c r="CR804" s="38"/>
      <c r="CS804" s="38"/>
      <c r="CT804" s="38"/>
      <c r="CU804" s="38"/>
      <c r="CV804" s="38"/>
      <c r="CW804" s="38"/>
      <c r="CX804" s="38"/>
      <c r="CY804" s="38"/>
      <c r="CZ804" s="38"/>
    </row>
    <row r="805" spans="1:104" s="40" customFormat="1" ht="20.149999999999999" customHeight="1">
      <c r="A805" s="358">
        <f t="shared" si="185"/>
        <v>804</v>
      </c>
      <c r="B805" s="359" t="str">
        <f>'Front Sheet and Checklist'!$C$5</f>
        <v>Swansea Bay UHB</v>
      </c>
      <c r="C805" s="17"/>
      <c r="D805" s="17"/>
      <c r="E805" s="17"/>
      <c r="F805" s="17"/>
      <c r="G805" s="17"/>
      <c r="H805" s="17"/>
      <c r="I805" s="361">
        <f t="shared" si="175"/>
        <v>0</v>
      </c>
      <c r="J805" s="17"/>
      <c r="K805" s="18"/>
      <c r="L805" s="18"/>
      <c r="M805" s="17"/>
      <c r="N805" s="17"/>
      <c r="O805" s="17"/>
      <c r="P805" s="17"/>
      <c r="Q805" s="169"/>
      <c r="R805" s="24"/>
      <c r="S805" s="24"/>
      <c r="T805" s="24"/>
      <c r="U805" s="25"/>
      <c r="V805" s="25"/>
      <c r="W805" s="25"/>
      <c r="X805" s="24"/>
      <c r="Y805" s="24"/>
      <c r="Z805" s="24"/>
      <c r="AA805" s="24"/>
      <c r="AB805" s="24"/>
      <c r="AC805" s="24"/>
      <c r="AD805" s="361">
        <f t="shared" si="174"/>
        <v>0</v>
      </c>
      <c r="AE805" s="359" t="str">
        <f t="shared" si="177"/>
        <v/>
      </c>
      <c r="AF805" s="359" t="str">
        <f t="shared" si="186"/>
        <v/>
      </c>
      <c r="AG805" s="359" t="str">
        <f t="shared" si="178"/>
        <v/>
      </c>
      <c r="AH805" s="359" t="str">
        <f t="shared" si="179"/>
        <v/>
      </c>
      <c r="AI805" s="359" t="str">
        <f t="shared" si="180"/>
        <v/>
      </c>
      <c r="AJ805" s="359" t="str">
        <f t="shared" si="181"/>
        <v/>
      </c>
      <c r="AK805" s="359" t="str">
        <f t="shared" si="183"/>
        <v/>
      </c>
      <c r="AL805" s="359" t="str">
        <f t="shared" si="182"/>
        <v/>
      </c>
      <c r="AM805" s="359" t="str">
        <f t="shared" si="184"/>
        <v/>
      </c>
      <c r="AN805" s="262">
        <f t="shared" si="187"/>
        <v>0</v>
      </c>
      <c r="AO805" s="262" t="str">
        <f>IFERROR(HLOOKUP(AN805,'Ref Lists'!Q$1:AL$2,2,FALSE),'Ref Lists'!$AK$2)</f>
        <v>Savings21</v>
      </c>
      <c r="AP805" s="38"/>
      <c r="AQ805" s="38">
        <f t="shared" si="176"/>
        <v>0</v>
      </c>
      <c r="AR805" s="38"/>
      <c r="AS805" s="38"/>
      <c r="AT805" s="38"/>
      <c r="AU805" s="38"/>
      <c r="AV805" s="38"/>
      <c r="AW805" s="38"/>
      <c r="AX805" s="38"/>
      <c r="AY805" s="38"/>
      <c r="AZ805" s="38"/>
      <c r="BA805" s="38"/>
      <c r="BB805" s="38"/>
      <c r="BC805" s="38"/>
      <c r="BD805" s="38"/>
      <c r="BE805" s="38"/>
      <c r="BF805" s="38"/>
      <c r="BG805" s="38"/>
      <c r="BH805" s="38"/>
      <c r="BI805" s="38"/>
      <c r="BJ805" s="38"/>
      <c r="BK805" s="38"/>
      <c r="BL805" s="38"/>
      <c r="BM805" s="38"/>
      <c r="BN805" s="38"/>
      <c r="BO805" s="38"/>
      <c r="BP805" s="38"/>
      <c r="BQ805" s="38"/>
      <c r="BR805" s="38"/>
      <c r="BS805" s="38"/>
      <c r="BT805" s="38"/>
      <c r="BU805" s="38"/>
      <c r="BV805" s="38"/>
      <c r="BW805" s="38"/>
      <c r="BX805" s="38"/>
      <c r="BY805" s="38"/>
      <c r="BZ805" s="38"/>
      <c r="CA805" s="38"/>
      <c r="CB805" s="38"/>
      <c r="CC805" s="38"/>
      <c r="CD805" s="38"/>
      <c r="CE805" s="38"/>
      <c r="CF805" s="38"/>
      <c r="CG805" s="38"/>
      <c r="CH805" s="38"/>
      <c r="CI805" s="38"/>
      <c r="CJ805" s="38"/>
      <c r="CK805" s="38"/>
      <c r="CL805" s="38"/>
      <c r="CM805" s="38"/>
      <c r="CN805" s="38"/>
      <c r="CO805" s="38"/>
      <c r="CP805" s="38"/>
      <c r="CQ805" s="38"/>
      <c r="CR805" s="38"/>
      <c r="CS805" s="38"/>
      <c r="CT805" s="38"/>
      <c r="CU805" s="38"/>
      <c r="CV805" s="38"/>
      <c r="CW805" s="38"/>
      <c r="CX805" s="38"/>
      <c r="CY805" s="38"/>
      <c r="CZ805" s="38"/>
    </row>
    <row r="806" spans="1:104" s="40" customFormat="1" ht="20.149999999999999" customHeight="1">
      <c r="A806" s="358">
        <f t="shared" si="185"/>
        <v>805</v>
      </c>
      <c r="B806" s="359" t="str">
        <f>'Front Sheet and Checklist'!$C$5</f>
        <v>Swansea Bay UHB</v>
      </c>
      <c r="C806" s="17"/>
      <c r="D806" s="17"/>
      <c r="E806" s="17"/>
      <c r="F806" s="17"/>
      <c r="G806" s="17"/>
      <c r="H806" s="17"/>
      <c r="I806" s="361">
        <f t="shared" si="175"/>
        <v>0</v>
      </c>
      <c r="J806" s="17"/>
      <c r="K806" s="18"/>
      <c r="L806" s="18"/>
      <c r="M806" s="17"/>
      <c r="N806" s="17"/>
      <c r="O806" s="17"/>
      <c r="P806" s="17"/>
      <c r="Q806" s="169"/>
      <c r="R806" s="24"/>
      <c r="S806" s="24"/>
      <c r="T806" s="24"/>
      <c r="U806" s="25"/>
      <c r="V806" s="25"/>
      <c r="W806" s="25"/>
      <c r="X806" s="24"/>
      <c r="Y806" s="24"/>
      <c r="Z806" s="24"/>
      <c r="AA806" s="24"/>
      <c r="AB806" s="24"/>
      <c r="AC806" s="24"/>
      <c r="AD806" s="361">
        <f t="shared" si="174"/>
        <v>0</v>
      </c>
      <c r="AE806" s="359" t="str">
        <f t="shared" si="177"/>
        <v/>
      </c>
      <c r="AF806" s="359" t="str">
        <f t="shared" si="186"/>
        <v/>
      </c>
      <c r="AG806" s="359" t="str">
        <f t="shared" si="178"/>
        <v/>
      </c>
      <c r="AH806" s="359" t="str">
        <f t="shared" si="179"/>
        <v/>
      </c>
      <c r="AI806" s="359" t="str">
        <f t="shared" si="180"/>
        <v/>
      </c>
      <c r="AJ806" s="359" t="str">
        <f t="shared" si="181"/>
        <v/>
      </c>
      <c r="AK806" s="359" t="str">
        <f t="shared" si="183"/>
        <v/>
      </c>
      <c r="AL806" s="359" t="str">
        <f t="shared" si="182"/>
        <v/>
      </c>
      <c r="AM806" s="359" t="str">
        <f t="shared" si="184"/>
        <v/>
      </c>
      <c r="AN806" s="262">
        <f t="shared" si="187"/>
        <v>0</v>
      </c>
      <c r="AO806" s="262" t="str">
        <f>IFERROR(HLOOKUP(AN806,'Ref Lists'!Q$1:AL$2,2,FALSE),'Ref Lists'!$AK$2)</f>
        <v>Savings21</v>
      </c>
      <c r="AP806" s="38"/>
      <c r="AQ806" s="38">
        <f t="shared" si="176"/>
        <v>0</v>
      </c>
      <c r="AR806" s="38"/>
      <c r="AS806" s="38"/>
      <c r="AT806" s="38"/>
      <c r="AU806" s="38"/>
      <c r="AV806" s="38"/>
      <c r="AW806" s="38"/>
      <c r="AX806" s="38"/>
      <c r="AY806" s="38"/>
      <c r="AZ806" s="38"/>
      <c r="BA806" s="38"/>
      <c r="BB806" s="38"/>
      <c r="BC806" s="38"/>
      <c r="BD806" s="38"/>
      <c r="BE806" s="38"/>
      <c r="BF806" s="38"/>
      <c r="BG806" s="38"/>
      <c r="BH806" s="38"/>
      <c r="BI806" s="38"/>
      <c r="BJ806" s="38"/>
      <c r="BK806" s="38"/>
      <c r="BL806" s="38"/>
      <c r="BM806" s="38"/>
      <c r="BN806" s="38"/>
      <c r="BO806" s="38"/>
      <c r="BP806" s="38"/>
      <c r="BQ806" s="38"/>
      <c r="BR806" s="38"/>
      <c r="BS806" s="38"/>
      <c r="BT806" s="38"/>
      <c r="BU806" s="38"/>
      <c r="BV806" s="38"/>
      <c r="BW806" s="38"/>
      <c r="BX806" s="38"/>
      <c r="BY806" s="38"/>
      <c r="BZ806" s="38"/>
      <c r="CA806" s="38"/>
      <c r="CB806" s="38"/>
      <c r="CC806" s="38"/>
      <c r="CD806" s="38"/>
      <c r="CE806" s="38"/>
      <c r="CF806" s="38"/>
      <c r="CG806" s="38"/>
      <c r="CH806" s="38"/>
      <c r="CI806" s="38"/>
      <c r="CJ806" s="38"/>
      <c r="CK806" s="38"/>
      <c r="CL806" s="38"/>
      <c r="CM806" s="38"/>
      <c r="CN806" s="38"/>
      <c r="CO806" s="38"/>
      <c r="CP806" s="38"/>
      <c r="CQ806" s="38"/>
      <c r="CR806" s="38"/>
      <c r="CS806" s="38"/>
      <c r="CT806" s="38"/>
      <c r="CU806" s="38"/>
      <c r="CV806" s="38"/>
      <c r="CW806" s="38"/>
      <c r="CX806" s="38"/>
      <c r="CY806" s="38"/>
      <c r="CZ806" s="38"/>
    </row>
    <row r="807" spans="1:104" s="40" customFormat="1" ht="20.149999999999999" customHeight="1">
      <c r="A807" s="358">
        <f t="shared" si="185"/>
        <v>806</v>
      </c>
      <c r="B807" s="359" t="str">
        <f>'Front Sheet and Checklist'!$C$5</f>
        <v>Swansea Bay UHB</v>
      </c>
      <c r="C807" s="17"/>
      <c r="D807" s="17"/>
      <c r="E807" s="17"/>
      <c r="F807" s="17"/>
      <c r="G807" s="17"/>
      <c r="H807" s="17"/>
      <c r="I807" s="361">
        <f t="shared" si="175"/>
        <v>0</v>
      </c>
      <c r="J807" s="17"/>
      <c r="K807" s="18"/>
      <c r="L807" s="18"/>
      <c r="M807" s="17"/>
      <c r="N807" s="17"/>
      <c r="O807" s="17"/>
      <c r="P807" s="17"/>
      <c r="Q807" s="169"/>
      <c r="R807" s="24"/>
      <c r="S807" s="24"/>
      <c r="T807" s="24"/>
      <c r="U807" s="25"/>
      <c r="V807" s="25"/>
      <c r="W807" s="25"/>
      <c r="X807" s="24"/>
      <c r="Y807" s="24"/>
      <c r="Z807" s="24"/>
      <c r="AA807" s="24"/>
      <c r="AB807" s="24"/>
      <c r="AC807" s="24"/>
      <c r="AD807" s="361">
        <f t="shared" si="174"/>
        <v>0</v>
      </c>
      <c r="AE807" s="359" t="str">
        <f t="shared" si="177"/>
        <v/>
      </c>
      <c r="AF807" s="359" t="str">
        <f t="shared" si="186"/>
        <v/>
      </c>
      <c r="AG807" s="359" t="str">
        <f t="shared" si="178"/>
        <v/>
      </c>
      <c r="AH807" s="359" t="str">
        <f t="shared" si="179"/>
        <v/>
      </c>
      <c r="AI807" s="359" t="str">
        <f t="shared" si="180"/>
        <v/>
      </c>
      <c r="AJ807" s="359" t="str">
        <f t="shared" si="181"/>
        <v/>
      </c>
      <c r="AK807" s="359" t="str">
        <f t="shared" si="183"/>
        <v/>
      </c>
      <c r="AL807" s="359" t="str">
        <f t="shared" si="182"/>
        <v/>
      </c>
      <c r="AM807" s="359" t="str">
        <f t="shared" si="184"/>
        <v/>
      </c>
      <c r="AN807" s="262">
        <f t="shared" si="187"/>
        <v>0</v>
      </c>
      <c r="AO807" s="262" t="str">
        <f>IFERROR(HLOOKUP(AN807,'Ref Lists'!Q$1:AL$2,2,FALSE),'Ref Lists'!$AK$2)</f>
        <v>Savings21</v>
      </c>
      <c r="AP807" s="38"/>
      <c r="AQ807" s="38">
        <f t="shared" si="176"/>
        <v>0</v>
      </c>
      <c r="AR807" s="38"/>
      <c r="AS807" s="38"/>
      <c r="AT807" s="38"/>
      <c r="AU807" s="38"/>
      <c r="AV807" s="38"/>
      <c r="AW807" s="38"/>
      <c r="AX807" s="38"/>
      <c r="AY807" s="38"/>
      <c r="AZ807" s="38"/>
      <c r="BA807" s="38"/>
      <c r="BB807" s="38"/>
      <c r="BC807" s="38"/>
      <c r="BD807" s="38"/>
      <c r="BE807" s="38"/>
      <c r="BF807" s="38"/>
      <c r="BG807" s="38"/>
      <c r="BH807" s="38"/>
      <c r="BI807" s="38"/>
      <c r="BJ807" s="38"/>
      <c r="BK807" s="38"/>
      <c r="BL807" s="38"/>
      <c r="BM807" s="38"/>
      <c r="BN807" s="38"/>
      <c r="BO807" s="38"/>
      <c r="BP807" s="38"/>
      <c r="BQ807" s="38"/>
      <c r="BR807" s="38"/>
      <c r="BS807" s="38"/>
      <c r="BT807" s="38"/>
      <c r="BU807" s="38"/>
      <c r="BV807" s="38"/>
      <c r="BW807" s="38"/>
      <c r="BX807" s="38"/>
      <c r="BY807" s="38"/>
      <c r="BZ807" s="38"/>
      <c r="CA807" s="38"/>
      <c r="CB807" s="38"/>
      <c r="CC807" s="38"/>
      <c r="CD807" s="38"/>
      <c r="CE807" s="38"/>
      <c r="CF807" s="38"/>
      <c r="CG807" s="38"/>
      <c r="CH807" s="38"/>
      <c r="CI807" s="38"/>
      <c r="CJ807" s="38"/>
      <c r="CK807" s="38"/>
      <c r="CL807" s="38"/>
      <c r="CM807" s="38"/>
      <c r="CN807" s="38"/>
      <c r="CO807" s="38"/>
      <c r="CP807" s="38"/>
      <c r="CQ807" s="38"/>
      <c r="CR807" s="38"/>
      <c r="CS807" s="38"/>
      <c r="CT807" s="38"/>
      <c r="CU807" s="38"/>
      <c r="CV807" s="38"/>
      <c r="CW807" s="38"/>
      <c r="CX807" s="38"/>
      <c r="CY807" s="38"/>
      <c r="CZ807" s="38"/>
    </row>
    <row r="808" spans="1:104" s="40" customFormat="1" ht="20.149999999999999" customHeight="1">
      <c r="A808" s="358">
        <f t="shared" si="185"/>
        <v>807</v>
      </c>
      <c r="B808" s="359" t="str">
        <f>'Front Sheet and Checklist'!$C$5</f>
        <v>Swansea Bay UHB</v>
      </c>
      <c r="C808" s="17"/>
      <c r="D808" s="17"/>
      <c r="E808" s="17"/>
      <c r="F808" s="17"/>
      <c r="G808" s="17"/>
      <c r="H808" s="17"/>
      <c r="I808" s="361">
        <f t="shared" si="175"/>
        <v>0</v>
      </c>
      <c r="J808" s="17"/>
      <c r="K808" s="18"/>
      <c r="L808" s="18"/>
      <c r="M808" s="17"/>
      <c r="N808" s="17"/>
      <c r="O808" s="17"/>
      <c r="P808" s="17"/>
      <c r="Q808" s="169"/>
      <c r="R808" s="24"/>
      <c r="S808" s="24"/>
      <c r="T808" s="24"/>
      <c r="U808" s="25"/>
      <c r="V808" s="25"/>
      <c r="W808" s="25"/>
      <c r="X808" s="24"/>
      <c r="Y808" s="24"/>
      <c r="Z808" s="24"/>
      <c r="AA808" s="24"/>
      <c r="AB808" s="24"/>
      <c r="AC808" s="24"/>
      <c r="AD808" s="361">
        <f t="shared" si="174"/>
        <v>0</v>
      </c>
      <c r="AE808" s="359" t="str">
        <f t="shared" si="177"/>
        <v/>
      </c>
      <c r="AF808" s="359" t="str">
        <f t="shared" si="186"/>
        <v/>
      </c>
      <c r="AG808" s="359" t="str">
        <f t="shared" si="178"/>
        <v/>
      </c>
      <c r="AH808" s="359" t="str">
        <f t="shared" si="179"/>
        <v/>
      </c>
      <c r="AI808" s="359" t="str">
        <f t="shared" si="180"/>
        <v/>
      </c>
      <c r="AJ808" s="359" t="str">
        <f t="shared" si="181"/>
        <v/>
      </c>
      <c r="AK808" s="359" t="str">
        <f t="shared" si="183"/>
        <v/>
      </c>
      <c r="AL808" s="359" t="str">
        <f t="shared" si="182"/>
        <v/>
      </c>
      <c r="AM808" s="359" t="str">
        <f t="shared" si="184"/>
        <v/>
      </c>
      <c r="AN808" s="262">
        <f t="shared" si="187"/>
        <v>0</v>
      </c>
      <c r="AO808" s="262" t="str">
        <f>IFERROR(HLOOKUP(AN808,'Ref Lists'!Q$1:AL$2,2,FALSE),'Ref Lists'!$AK$2)</f>
        <v>Savings21</v>
      </c>
      <c r="AP808" s="38"/>
      <c r="AQ808" s="38">
        <f t="shared" si="176"/>
        <v>0</v>
      </c>
      <c r="AR808" s="38"/>
      <c r="AS808" s="38"/>
      <c r="AT808" s="38"/>
      <c r="AU808" s="38"/>
      <c r="AV808" s="38"/>
      <c r="AW808" s="38"/>
      <c r="AX808" s="38"/>
      <c r="AY808" s="38"/>
      <c r="AZ808" s="38"/>
      <c r="BA808" s="38"/>
      <c r="BB808" s="38"/>
      <c r="BC808" s="38"/>
      <c r="BD808" s="38"/>
      <c r="BE808" s="38"/>
      <c r="BF808" s="38"/>
      <c r="BG808" s="38"/>
      <c r="BH808" s="38"/>
      <c r="BI808" s="38"/>
      <c r="BJ808" s="38"/>
      <c r="BK808" s="38"/>
      <c r="BL808" s="38"/>
      <c r="BM808" s="38"/>
      <c r="BN808" s="38"/>
      <c r="BO808" s="38"/>
      <c r="BP808" s="38"/>
      <c r="BQ808" s="38"/>
      <c r="BR808" s="38"/>
      <c r="BS808" s="38"/>
      <c r="BT808" s="38"/>
      <c r="BU808" s="38"/>
      <c r="BV808" s="38"/>
      <c r="BW808" s="38"/>
      <c r="BX808" s="38"/>
      <c r="BY808" s="38"/>
      <c r="BZ808" s="38"/>
      <c r="CA808" s="38"/>
      <c r="CB808" s="38"/>
      <c r="CC808" s="38"/>
      <c r="CD808" s="38"/>
      <c r="CE808" s="38"/>
      <c r="CF808" s="38"/>
      <c r="CG808" s="38"/>
      <c r="CH808" s="38"/>
      <c r="CI808" s="38"/>
      <c r="CJ808" s="38"/>
      <c r="CK808" s="38"/>
      <c r="CL808" s="38"/>
      <c r="CM808" s="38"/>
      <c r="CN808" s="38"/>
      <c r="CO808" s="38"/>
      <c r="CP808" s="38"/>
      <c r="CQ808" s="38"/>
      <c r="CR808" s="38"/>
      <c r="CS808" s="38"/>
      <c r="CT808" s="38"/>
      <c r="CU808" s="38"/>
      <c r="CV808" s="38"/>
      <c r="CW808" s="38"/>
      <c r="CX808" s="38"/>
      <c r="CY808" s="38"/>
      <c r="CZ808" s="38"/>
    </row>
    <row r="809" spans="1:104" s="40" customFormat="1" ht="20.149999999999999" customHeight="1">
      <c r="A809" s="358">
        <f t="shared" si="185"/>
        <v>808</v>
      </c>
      <c r="B809" s="359" t="str">
        <f>'Front Sheet and Checklist'!$C$5</f>
        <v>Swansea Bay UHB</v>
      </c>
      <c r="C809" s="17"/>
      <c r="D809" s="17"/>
      <c r="E809" s="17"/>
      <c r="F809" s="17"/>
      <c r="G809" s="17"/>
      <c r="H809" s="17"/>
      <c r="I809" s="361">
        <f t="shared" si="175"/>
        <v>0</v>
      </c>
      <c r="J809" s="17"/>
      <c r="K809" s="18"/>
      <c r="L809" s="18"/>
      <c r="M809" s="17"/>
      <c r="N809" s="17"/>
      <c r="O809" s="17"/>
      <c r="P809" s="17"/>
      <c r="Q809" s="169"/>
      <c r="R809" s="24"/>
      <c r="S809" s="24"/>
      <c r="T809" s="24"/>
      <c r="U809" s="25"/>
      <c r="V809" s="25"/>
      <c r="W809" s="25"/>
      <c r="X809" s="24"/>
      <c r="Y809" s="24"/>
      <c r="Z809" s="24"/>
      <c r="AA809" s="24"/>
      <c r="AB809" s="24"/>
      <c r="AC809" s="24"/>
      <c r="AD809" s="361">
        <f t="shared" si="174"/>
        <v>0</v>
      </c>
      <c r="AE809" s="359" t="str">
        <f t="shared" si="177"/>
        <v/>
      </c>
      <c r="AF809" s="359" t="str">
        <f t="shared" si="186"/>
        <v/>
      </c>
      <c r="AG809" s="359" t="str">
        <f t="shared" si="178"/>
        <v/>
      </c>
      <c r="AH809" s="359" t="str">
        <f t="shared" si="179"/>
        <v/>
      </c>
      <c r="AI809" s="359" t="str">
        <f t="shared" si="180"/>
        <v/>
      </c>
      <c r="AJ809" s="359" t="str">
        <f t="shared" si="181"/>
        <v/>
      </c>
      <c r="AK809" s="359" t="str">
        <f t="shared" si="183"/>
        <v/>
      </c>
      <c r="AL809" s="359" t="str">
        <f t="shared" si="182"/>
        <v/>
      </c>
      <c r="AM809" s="359" t="str">
        <f t="shared" si="184"/>
        <v/>
      </c>
      <c r="AN809" s="262">
        <f t="shared" si="187"/>
        <v>0</v>
      </c>
      <c r="AO809" s="262" t="str">
        <f>IFERROR(HLOOKUP(AN809,'Ref Lists'!Q$1:AL$2,2,FALSE),'Ref Lists'!$AK$2)</f>
        <v>Savings21</v>
      </c>
      <c r="AP809" s="38"/>
      <c r="AQ809" s="38">
        <f t="shared" si="176"/>
        <v>0</v>
      </c>
      <c r="AR809" s="38"/>
      <c r="AS809" s="38"/>
      <c r="AT809" s="38"/>
      <c r="AU809" s="38"/>
      <c r="AV809" s="38"/>
      <c r="AW809" s="38"/>
      <c r="AX809" s="38"/>
      <c r="AY809" s="38"/>
      <c r="AZ809" s="38"/>
      <c r="BA809" s="38"/>
      <c r="BB809" s="38"/>
      <c r="BC809" s="38"/>
      <c r="BD809" s="38"/>
      <c r="BE809" s="38"/>
      <c r="BF809" s="38"/>
      <c r="BG809" s="38"/>
      <c r="BH809" s="38"/>
      <c r="BI809" s="38"/>
      <c r="BJ809" s="38"/>
      <c r="BK809" s="38"/>
      <c r="BL809" s="38"/>
      <c r="BM809" s="38"/>
      <c r="BN809" s="38"/>
      <c r="BO809" s="38"/>
      <c r="BP809" s="38"/>
      <c r="BQ809" s="38"/>
      <c r="BR809" s="38"/>
      <c r="BS809" s="38"/>
      <c r="BT809" s="38"/>
      <c r="BU809" s="38"/>
      <c r="BV809" s="38"/>
      <c r="BW809" s="38"/>
      <c r="BX809" s="38"/>
      <c r="BY809" s="38"/>
      <c r="BZ809" s="38"/>
      <c r="CA809" s="38"/>
      <c r="CB809" s="38"/>
      <c r="CC809" s="38"/>
      <c r="CD809" s="38"/>
      <c r="CE809" s="38"/>
      <c r="CF809" s="38"/>
      <c r="CG809" s="38"/>
      <c r="CH809" s="38"/>
      <c r="CI809" s="38"/>
      <c r="CJ809" s="38"/>
      <c r="CK809" s="38"/>
      <c r="CL809" s="38"/>
      <c r="CM809" s="38"/>
      <c r="CN809" s="38"/>
      <c r="CO809" s="38"/>
      <c r="CP809" s="38"/>
      <c r="CQ809" s="38"/>
      <c r="CR809" s="38"/>
      <c r="CS809" s="38"/>
      <c r="CT809" s="38"/>
      <c r="CU809" s="38"/>
      <c r="CV809" s="38"/>
      <c r="CW809" s="38"/>
      <c r="CX809" s="38"/>
      <c r="CY809" s="38"/>
      <c r="CZ809" s="38"/>
    </row>
    <row r="810" spans="1:104" s="40" customFormat="1" ht="20.149999999999999" customHeight="1">
      <c r="A810" s="358">
        <f t="shared" si="185"/>
        <v>809</v>
      </c>
      <c r="B810" s="359" t="str">
        <f>'Front Sheet and Checklist'!$C$5</f>
        <v>Swansea Bay UHB</v>
      </c>
      <c r="C810" s="17"/>
      <c r="D810" s="17"/>
      <c r="E810" s="17"/>
      <c r="F810" s="17"/>
      <c r="G810" s="17"/>
      <c r="H810" s="17"/>
      <c r="I810" s="361">
        <f t="shared" si="175"/>
        <v>0</v>
      </c>
      <c r="J810" s="17"/>
      <c r="K810" s="18"/>
      <c r="L810" s="18"/>
      <c r="M810" s="17"/>
      <c r="N810" s="17"/>
      <c r="O810" s="17"/>
      <c r="P810" s="17"/>
      <c r="Q810" s="169"/>
      <c r="R810" s="24"/>
      <c r="S810" s="24"/>
      <c r="T810" s="24"/>
      <c r="U810" s="25"/>
      <c r="V810" s="25"/>
      <c r="W810" s="25"/>
      <c r="X810" s="24"/>
      <c r="Y810" s="24"/>
      <c r="Z810" s="24"/>
      <c r="AA810" s="24"/>
      <c r="AB810" s="24"/>
      <c r="AC810" s="24"/>
      <c r="AD810" s="361">
        <f t="shared" si="174"/>
        <v>0</v>
      </c>
      <c r="AE810" s="359" t="str">
        <f t="shared" si="177"/>
        <v/>
      </c>
      <c r="AF810" s="359" t="str">
        <f t="shared" si="186"/>
        <v/>
      </c>
      <c r="AG810" s="359" t="str">
        <f t="shared" si="178"/>
        <v/>
      </c>
      <c r="AH810" s="359" t="str">
        <f t="shared" si="179"/>
        <v/>
      </c>
      <c r="AI810" s="359" t="str">
        <f t="shared" si="180"/>
        <v/>
      </c>
      <c r="AJ810" s="359" t="str">
        <f t="shared" si="181"/>
        <v/>
      </c>
      <c r="AK810" s="359" t="str">
        <f t="shared" si="183"/>
        <v/>
      </c>
      <c r="AL810" s="359" t="str">
        <f t="shared" si="182"/>
        <v/>
      </c>
      <c r="AM810" s="359" t="str">
        <f t="shared" si="184"/>
        <v/>
      </c>
      <c r="AN810" s="262">
        <f t="shared" si="187"/>
        <v>0</v>
      </c>
      <c r="AO810" s="262" t="str">
        <f>IFERROR(HLOOKUP(AN810,'Ref Lists'!Q$1:AL$2,2,FALSE),'Ref Lists'!$AK$2)</f>
        <v>Savings21</v>
      </c>
      <c r="AP810" s="38"/>
      <c r="AQ810" s="38">
        <f t="shared" si="176"/>
        <v>0</v>
      </c>
      <c r="AR810" s="38"/>
      <c r="AS810" s="38"/>
      <c r="AT810" s="38"/>
      <c r="AU810" s="38"/>
      <c r="AV810" s="38"/>
      <c r="AW810" s="38"/>
      <c r="AX810" s="38"/>
      <c r="AY810" s="38"/>
      <c r="AZ810" s="38"/>
      <c r="BA810" s="38"/>
      <c r="BB810" s="38"/>
      <c r="BC810" s="38"/>
      <c r="BD810" s="38"/>
      <c r="BE810" s="38"/>
      <c r="BF810" s="38"/>
      <c r="BG810" s="38"/>
      <c r="BH810" s="38"/>
      <c r="BI810" s="38"/>
      <c r="BJ810" s="38"/>
      <c r="BK810" s="38"/>
      <c r="BL810" s="38"/>
      <c r="BM810" s="38"/>
      <c r="BN810" s="38"/>
      <c r="BO810" s="38"/>
      <c r="BP810" s="38"/>
      <c r="BQ810" s="38"/>
      <c r="BR810" s="38"/>
      <c r="BS810" s="38"/>
      <c r="BT810" s="38"/>
      <c r="BU810" s="38"/>
      <c r="BV810" s="38"/>
      <c r="BW810" s="38"/>
      <c r="BX810" s="38"/>
      <c r="BY810" s="38"/>
      <c r="BZ810" s="38"/>
      <c r="CA810" s="38"/>
      <c r="CB810" s="38"/>
      <c r="CC810" s="38"/>
      <c r="CD810" s="38"/>
      <c r="CE810" s="38"/>
      <c r="CF810" s="38"/>
      <c r="CG810" s="38"/>
      <c r="CH810" s="38"/>
      <c r="CI810" s="38"/>
      <c r="CJ810" s="38"/>
      <c r="CK810" s="38"/>
      <c r="CL810" s="38"/>
      <c r="CM810" s="38"/>
      <c r="CN810" s="38"/>
      <c r="CO810" s="38"/>
      <c r="CP810" s="38"/>
      <c r="CQ810" s="38"/>
      <c r="CR810" s="38"/>
      <c r="CS810" s="38"/>
      <c r="CT810" s="38"/>
      <c r="CU810" s="38"/>
      <c r="CV810" s="38"/>
      <c r="CW810" s="38"/>
      <c r="CX810" s="38"/>
      <c r="CY810" s="38"/>
      <c r="CZ810" s="38"/>
    </row>
    <row r="811" spans="1:104" s="40" customFormat="1" ht="20.149999999999999" customHeight="1">
      <c r="A811" s="358">
        <f t="shared" si="185"/>
        <v>810</v>
      </c>
      <c r="B811" s="359" t="str">
        <f>'Front Sheet and Checklist'!$C$5</f>
        <v>Swansea Bay UHB</v>
      </c>
      <c r="C811" s="17"/>
      <c r="D811" s="17"/>
      <c r="E811" s="17"/>
      <c r="F811" s="17"/>
      <c r="G811" s="17"/>
      <c r="H811" s="17"/>
      <c r="I811" s="361">
        <f t="shared" si="175"/>
        <v>0</v>
      </c>
      <c r="J811" s="17"/>
      <c r="K811" s="18"/>
      <c r="L811" s="18"/>
      <c r="M811" s="17"/>
      <c r="N811" s="17"/>
      <c r="O811" s="17"/>
      <c r="P811" s="17"/>
      <c r="Q811" s="169"/>
      <c r="R811" s="24"/>
      <c r="S811" s="24"/>
      <c r="T811" s="24"/>
      <c r="U811" s="25"/>
      <c r="V811" s="25"/>
      <c r="W811" s="25"/>
      <c r="X811" s="24"/>
      <c r="Y811" s="24"/>
      <c r="Z811" s="24"/>
      <c r="AA811" s="24"/>
      <c r="AB811" s="24"/>
      <c r="AC811" s="24"/>
      <c r="AD811" s="361">
        <f t="shared" si="174"/>
        <v>0</v>
      </c>
      <c r="AE811" s="359" t="str">
        <f t="shared" si="177"/>
        <v/>
      </c>
      <c r="AF811" s="359" t="str">
        <f t="shared" si="186"/>
        <v/>
      </c>
      <c r="AG811" s="359" t="str">
        <f t="shared" si="178"/>
        <v/>
      </c>
      <c r="AH811" s="359" t="str">
        <f t="shared" si="179"/>
        <v/>
      </c>
      <c r="AI811" s="359" t="str">
        <f t="shared" si="180"/>
        <v/>
      </c>
      <c r="AJ811" s="359" t="str">
        <f t="shared" si="181"/>
        <v/>
      </c>
      <c r="AK811" s="359" t="str">
        <f t="shared" si="183"/>
        <v/>
      </c>
      <c r="AL811" s="359" t="str">
        <f t="shared" si="182"/>
        <v/>
      </c>
      <c r="AM811" s="359" t="str">
        <f t="shared" si="184"/>
        <v/>
      </c>
      <c r="AN811" s="262">
        <f t="shared" si="187"/>
        <v>0</v>
      </c>
      <c r="AO811" s="262" t="str">
        <f>IFERROR(HLOOKUP(AN811,'Ref Lists'!Q$1:AL$2,2,FALSE),'Ref Lists'!$AK$2)</f>
        <v>Savings21</v>
      </c>
      <c r="AP811" s="38"/>
      <c r="AQ811" s="38">
        <f t="shared" si="176"/>
        <v>0</v>
      </c>
      <c r="AR811" s="38"/>
      <c r="AS811" s="38"/>
      <c r="AT811" s="38"/>
      <c r="AU811" s="38"/>
      <c r="AV811" s="38"/>
      <c r="AW811" s="38"/>
      <c r="AX811" s="38"/>
      <c r="AY811" s="38"/>
      <c r="AZ811" s="38"/>
      <c r="BA811" s="38"/>
      <c r="BB811" s="38"/>
      <c r="BC811" s="38"/>
      <c r="BD811" s="38"/>
      <c r="BE811" s="38"/>
      <c r="BF811" s="38"/>
      <c r="BG811" s="38"/>
      <c r="BH811" s="38"/>
      <c r="BI811" s="38"/>
      <c r="BJ811" s="38"/>
      <c r="BK811" s="38"/>
      <c r="BL811" s="38"/>
      <c r="BM811" s="38"/>
      <c r="BN811" s="38"/>
      <c r="BO811" s="38"/>
      <c r="BP811" s="38"/>
      <c r="BQ811" s="38"/>
      <c r="BR811" s="38"/>
      <c r="BS811" s="38"/>
      <c r="BT811" s="38"/>
      <c r="BU811" s="38"/>
      <c r="BV811" s="38"/>
      <c r="BW811" s="38"/>
      <c r="BX811" s="38"/>
      <c r="BY811" s="38"/>
      <c r="BZ811" s="38"/>
      <c r="CA811" s="38"/>
      <c r="CB811" s="38"/>
      <c r="CC811" s="38"/>
      <c r="CD811" s="38"/>
      <c r="CE811" s="38"/>
      <c r="CF811" s="38"/>
      <c r="CG811" s="38"/>
      <c r="CH811" s="38"/>
      <c r="CI811" s="38"/>
      <c r="CJ811" s="38"/>
      <c r="CK811" s="38"/>
      <c r="CL811" s="38"/>
      <c r="CM811" s="38"/>
      <c r="CN811" s="38"/>
      <c r="CO811" s="38"/>
      <c r="CP811" s="38"/>
      <c r="CQ811" s="38"/>
      <c r="CR811" s="38"/>
      <c r="CS811" s="38"/>
      <c r="CT811" s="38"/>
      <c r="CU811" s="38"/>
      <c r="CV811" s="38"/>
      <c r="CW811" s="38"/>
      <c r="CX811" s="38"/>
      <c r="CY811" s="38"/>
      <c r="CZ811" s="38"/>
    </row>
    <row r="812" spans="1:104" s="40" customFormat="1" ht="20.149999999999999" customHeight="1">
      <c r="A812" s="358">
        <f t="shared" si="185"/>
        <v>811</v>
      </c>
      <c r="B812" s="359" t="str">
        <f>'Front Sheet and Checklist'!$C$5</f>
        <v>Swansea Bay UHB</v>
      </c>
      <c r="C812" s="17"/>
      <c r="D812" s="17"/>
      <c r="E812" s="17"/>
      <c r="F812" s="17"/>
      <c r="G812" s="17"/>
      <c r="H812" s="17"/>
      <c r="I812" s="361">
        <f t="shared" si="175"/>
        <v>0</v>
      </c>
      <c r="J812" s="17"/>
      <c r="K812" s="18"/>
      <c r="L812" s="18"/>
      <c r="M812" s="17"/>
      <c r="N812" s="17"/>
      <c r="O812" s="17"/>
      <c r="P812" s="17"/>
      <c r="Q812" s="169"/>
      <c r="R812" s="24"/>
      <c r="S812" s="24"/>
      <c r="T812" s="24"/>
      <c r="U812" s="25"/>
      <c r="V812" s="25"/>
      <c r="W812" s="25"/>
      <c r="X812" s="24"/>
      <c r="Y812" s="24"/>
      <c r="Z812" s="24"/>
      <c r="AA812" s="24"/>
      <c r="AB812" s="24"/>
      <c r="AC812" s="24"/>
      <c r="AD812" s="361">
        <f t="shared" si="174"/>
        <v>0</v>
      </c>
      <c r="AE812" s="359" t="str">
        <f t="shared" si="177"/>
        <v/>
      </c>
      <c r="AF812" s="359" t="str">
        <f t="shared" si="186"/>
        <v/>
      </c>
      <c r="AG812" s="359" t="str">
        <f t="shared" si="178"/>
        <v/>
      </c>
      <c r="AH812" s="359" t="str">
        <f t="shared" si="179"/>
        <v/>
      </c>
      <c r="AI812" s="359" t="str">
        <f t="shared" si="180"/>
        <v/>
      </c>
      <c r="AJ812" s="359" t="str">
        <f t="shared" si="181"/>
        <v/>
      </c>
      <c r="AK812" s="359" t="str">
        <f t="shared" si="183"/>
        <v/>
      </c>
      <c r="AL812" s="359" t="str">
        <f t="shared" si="182"/>
        <v/>
      </c>
      <c r="AM812" s="359" t="str">
        <f t="shared" si="184"/>
        <v/>
      </c>
      <c r="AN812" s="262">
        <f t="shared" si="187"/>
        <v>0</v>
      </c>
      <c r="AO812" s="262" t="str">
        <f>IFERROR(HLOOKUP(AN812,'Ref Lists'!Q$1:AL$2,2,FALSE),'Ref Lists'!$AK$2)</f>
        <v>Savings21</v>
      </c>
      <c r="AP812" s="38"/>
      <c r="AQ812" s="38">
        <f t="shared" si="176"/>
        <v>0</v>
      </c>
      <c r="AR812" s="38"/>
      <c r="AS812" s="38"/>
      <c r="AT812" s="38"/>
      <c r="AU812" s="38"/>
      <c r="AV812" s="38"/>
      <c r="AW812" s="38"/>
      <c r="AX812" s="38"/>
      <c r="AY812" s="38"/>
      <c r="AZ812" s="38"/>
      <c r="BA812" s="38"/>
      <c r="BB812" s="38"/>
      <c r="BC812" s="38"/>
      <c r="BD812" s="38"/>
      <c r="BE812" s="38"/>
      <c r="BF812" s="38"/>
      <c r="BG812" s="38"/>
      <c r="BH812" s="38"/>
      <c r="BI812" s="38"/>
      <c r="BJ812" s="38"/>
      <c r="BK812" s="38"/>
      <c r="BL812" s="38"/>
      <c r="BM812" s="38"/>
      <c r="BN812" s="38"/>
      <c r="BO812" s="38"/>
      <c r="BP812" s="38"/>
      <c r="BQ812" s="38"/>
      <c r="BR812" s="38"/>
      <c r="BS812" s="38"/>
      <c r="BT812" s="38"/>
      <c r="BU812" s="38"/>
      <c r="BV812" s="38"/>
      <c r="BW812" s="38"/>
      <c r="BX812" s="38"/>
      <c r="BY812" s="38"/>
      <c r="BZ812" s="38"/>
      <c r="CA812" s="38"/>
      <c r="CB812" s="38"/>
      <c r="CC812" s="38"/>
      <c r="CD812" s="38"/>
      <c r="CE812" s="38"/>
      <c r="CF812" s="38"/>
      <c r="CG812" s="38"/>
      <c r="CH812" s="38"/>
      <c r="CI812" s="38"/>
      <c r="CJ812" s="38"/>
      <c r="CK812" s="38"/>
      <c r="CL812" s="38"/>
      <c r="CM812" s="38"/>
      <c r="CN812" s="38"/>
      <c r="CO812" s="38"/>
      <c r="CP812" s="38"/>
      <c r="CQ812" s="38"/>
      <c r="CR812" s="38"/>
      <c r="CS812" s="38"/>
      <c r="CT812" s="38"/>
      <c r="CU812" s="38"/>
      <c r="CV812" s="38"/>
      <c r="CW812" s="38"/>
      <c r="CX812" s="38"/>
      <c r="CY812" s="38"/>
      <c r="CZ812" s="38"/>
    </row>
    <row r="813" spans="1:104" s="40" customFormat="1" ht="20.149999999999999" customHeight="1">
      <c r="A813" s="358">
        <f t="shared" si="185"/>
        <v>812</v>
      </c>
      <c r="B813" s="359" t="str">
        <f>'Front Sheet and Checklist'!$C$5</f>
        <v>Swansea Bay UHB</v>
      </c>
      <c r="C813" s="17"/>
      <c r="D813" s="17"/>
      <c r="E813" s="17"/>
      <c r="F813" s="17"/>
      <c r="G813" s="17"/>
      <c r="H813" s="17"/>
      <c r="I813" s="361">
        <f t="shared" si="175"/>
        <v>0</v>
      </c>
      <c r="J813" s="17"/>
      <c r="K813" s="18"/>
      <c r="L813" s="18"/>
      <c r="M813" s="17"/>
      <c r="N813" s="17"/>
      <c r="O813" s="17"/>
      <c r="P813" s="17"/>
      <c r="Q813" s="169"/>
      <c r="R813" s="24"/>
      <c r="S813" s="24"/>
      <c r="T813" s="24"/>
      <c r="U813" s="25"/>
      <c r="V813" s="25"/>
      <c r="W813" s="25"/>
      <c r="X813" s="24"/>
      <c r="Y813" s="24"/>
      <c r="Z813" s="24"/>
      <c r="AA813" s="24"/>
      <c r="AB813" s="24"/>
      <c r="AC813" s="24"/>
      <c r="AD813" s="361">
        <f t="shared" si="174"/>
        <v>0</v>
      </c>
      <c r="AE813" s="359" t="str">
        <f t="shared" si="177"/>
        <v/>
      </c>
      <c r="AF813" s="359" t="str">
        <f t="shared" si="186"/>
        <v/>
      </c>
      <c r="AG813" s="359" t="str">
        <f t="shared" si="178"/>
        <v/>
      </c>
      <c r="AH813" s="359" t="str">
        <f t="shared" si="179"/>
        <v/>
      </c>
      <c r="AI813" s="359" t="str">
        <f t="shared" si="180"/>
        <v/>
      </c>
      <c r="AJ813" s="359" t="str">
        <f t="shared" si="181"/>
        <v/>
      </c>
      <c r="AK813" s="359" t="str">
        <f t="shared" si="183"/>
        <v/>
      </c>
      <c r="AL813" s="359" t="str">
        <f t="shared" si="182"/>
        <v/>
      </c>
      <c r="AM813" s="359" t="str">
        <f t="shared" si="184"/>
        <v/>
      </c>
      <c r="AN813" s="262">
        <f t="shared" si="187"/>
        <v>0</v>
      </c>
      <c r="AO813" s="262" t="str">
        <f>IFERROR(HLOOKUP(AN813,'Ref Lists'!Q$1:AL$2,2,FALSE),'Ref Lists'!$AK$2)</f>
        <v>Savings21</v>
      </c>
      <c r="AP813" s="38"/>
      <c r="AQ813" s="38">
        <f t="shared" si="176"/>
        <v>0</v>
      </c>
      <c r="AR813" s="38"/>
      <c r="AS813" s="38"/>
      <c r="AT813" s="38"/>
      <c r="AU813" s="38"/>
      <c r="AV813" s="38"/>
      <c r="AW813" s="38"/>
      <c r="AX813" s="38"/>
      <c r="AY813" s="38"/>
      <c r="AZ813" s="38"/>
      <c r="BA813" s="38"/>
      <c r="BB813" s="38"/>
      <c r="BC813" s="38"/>
      <c r="BD813" s="38"/>
      <c r="BE813" s="38"/>
      <c r="BF813" s="38"/>
      <c r="BG813" s="38"/>
      <c r="BH813" s="38"/>
      <c r="BI813" s="38"/>
      <c r="BJ813" s="38"/>
      <c r="BK813" s="38"/>
      <c r="BL813" s="38"/>
      <c r="BM813" s="38"/>
      <c r="BN813" s="38"/>
      <c r="BO813" s="38"/>
      <c r="BP813" s="38"/>
      <c r="BQ813" s="38"/>
      <c r="BR813" s="38"/>
      <c r="BS813" s="38"/>
      <c r="BT813" s="38"/>
      <c r="BU813" s="38"/>
      <c r="BV813" s="38"/>
      <c r="BW813" s="38"/>
      <c r="BX813" s="38"/>
      <c r="BY813" s="38"/>
      <c r="BZ813" s="38"/>
      <c r="CA813" s="38"/>
      <c r="CB813" s="38"/>
      <c r="CC813" s="38"/>
      <c r="CD813" s="38"/>
      <c r="CE813" s="38"/>
      <c r="CF813" s="38"/>
      <c r="CG813" s="38"/>
      <c r="CH813" s="38"/>
      <c r="CI813" s="38"/>
      <c r="CJ813" s="38"/>
      <c r="CK813" s="38"/>
      <c r="CL813" s="38"/>
      <c r="CM813" s="38"/>
      <c r="CN813" s="38"/>
      <c r="CO813" s="38"/>
      <c r="CP813" s="38"/>
      <c r="CQ813" s="38"/>
      <c r="CR813" s="38"/>
      <c r="CS813" s="38"/>
      <c r="CT813" s="38"/>
      <c r="CU813" s="38"/>
      <c r="CV813" s="38"/>
      <c r="CW813" s="38"/>
      <c r="CX813" s="38"/>
      <c r="CY813" s="38"/>
      <c r="CZ813" s="38"/>
    </row>
    <row r="814" spans="1:104" s="40" customFormat="1" ht="20.149999999999999" customHeight="1">
      <c r="A814" s="358">
        <f t="shared" si="185"/>
        <v>813</v>
      </c>
      <c r="B814" s="359" t="str">
        <f>'Front Sheet and Checklist'!$C$5</f>
        <v>Swansea Bay UHB</v>
      </c>
      <c r="C814" s="17"/>
      <c r="D814" s="17"/>
      <c r="E814" s="17"/>
      <c r="F814" s="17"/>
      <c r="G814" s="17"/>
      <c r="H814" s="17"/>
      <c r="I814" s="361">
        <f t="shared" si="175"/>
        <v>0</v>
      </c>
      <c r="J814" s="17"/>
      <c r="K814" s="18"/>
      <c r="L814" s="18"/>
      <c r="M814" s="17"/>
      <c r="N814" s="17"/>
      <c r="O814" s="17"/>
      <c r="P814" s="17"/>
      <c r="Q814" s="169"/>
      <c r="R814" s="24"/>
      <c r="S814" s="24"/>
      <c r="T814" s="24"/>
      <c r="U814" s="25"/>
      <c r="V814" s="25"/>
      <c r="W814" s="25"/>
      <c r="X814" s="24"/>
      <c r="Y814" s="24"/>
      <c r="Z814" s="24"/>
      <c r="AA814" s="24"/>
      <c r="AB814" s="24"/>
      <c r="AC814" s="24"/>
      <c r="AD814" s="361">
        <f t="shared" si="174"/>
        <v>0</v>
      </c>
      <c r="AE814" s="359" t="str">
        <f t="shared" si="177"/>
        <v/>
      </c>
      <c r="AF814" s="359" t="str">
        <f t="shared" si="186"/>
        <v/>
      </c>
      <c r="AG814" s="359" t="str">
        <f t="shared" si="178"/>
        <v/>
      </c>
      <c r="AH814" s="359" t="str">
        <f t="shared" si="179"/>
        <v/>
      </c>
      <c r="AI814" s="359" t="str">
        <f t="shared" si="180"/>
        <v/>
      </c>
      <c r="AJ814" s="359" t="str">
        <f t="shared" si="181"/>
        <v/>
      </c>
      <c r="AK814" s="359" t="str">
        <f t="shared" si="183"/>
        <v/>
      </c>
      <c r="AL814" s="359" t="str">
        <f t="shared" si="182"/>
        <v/>
      </c>
      <c r="AM814" s="359" t="str">
        <f t="shared" si="184"/>
        <v/>
      </c>
      <c r="AN814" s="262">
        <f t="shared" si="187"/>
        <v>0</v>
      </c>
      <c r="AO814" s="262" t="str">
        <f>IFERROR(HLOOKUP(AN814,'Ref Lists'!Q$1:AL$2,2,FALSE),'Ref Lists'!$AK$2)</f>
        <v>Savings21</v>
      </c>
      <c r="AP814" s="38"/>
      <c r="AQ814" s="38">
        <f t="shared" si="176"/>
        <v>0</v>
      </c>
      <c r="AR814" s="38"/>
      <c r="AS814" s="38"/>
      <c r="AT814" s="38"/>
      <c r="AU814" s="38"/>
      <c r="AV814" s="38"/>
      <c r="AW814" s="38"/>
      <c r="AX814" s="38"/>
      <c r="AY814" s="38"/>
      <c r="AZ814" s="38"/>
      <c r="BA814" s="38"/>
      <c r="BB814" s="38"/>
      <c r="BC814" s="38"/>
      <c r="BD814" s="38"/>
      <c r="BE814" s="38"/>
      <c r="BF814" s="38"/>
      <c r="BG814" s="38"/>
      <c r="BH814" s="38"/>
      <c r="BI814" s="38"/>
      <c r="BJ814" s="38"/>
      <c r="BK814" s="38"/>
      <c r="BL814" s="38"/>
      <c r="BM814" s="38"/>
      <c r="BN814" s="38"/>
      <c r="BO814" s="38"/>
      <c r="BP814" s="38"/>
      <c r="BQ814" s="38"/>
      <c r="BR814" s="38"/>
      <c r="BS814" s="38"/>
      <c r="BT814" s="38"/>
      <c r="BU814" s="38"/>
      <c r="BV814" s="38"/>
      <c r="BW814" s="38"/>
      <c r="BX814" s="38"/>
      <c r="BY814" s="38"/>
      <c r="BZ814" s="38"/>
      <c r="CA814" s="38"/>
      <c r="CB814" s="38"/>
      <c r="CC814" s="38"/>
      <c r="CD814" s="38"/>
      <c r="CE814" s="38"/>
      <c r="CF814" s="38"/>
      <c r="CG814" s="38"/>
      <c r="CH814" s="38"/>
      <c r="CI814" s="38"/>
      <c r="CJ814" s="38"/>
      <c r="CK814" s="38"/>
      <c r="CL814" s="38"/>
      <c r="CM814" s="38"/>
      <c r="CN814" s="38"/>
      <c r="CO814" s="38"/>
      <c r="CP814" s="38"/>
      <c r="CQ814" s="38"/>
      <c r="CR814" s="38"/>
      <c r="CS814" s="38"/>
      <c r="CT814" s="38"/>
      <c r="CU814" s="38"/>
      <c r="CV814" s="38"/>
      <c r="CW814" s="38"/>
      <c r="CX814" s="38"/>
      <c r="CY814" s="38"/>
      <c r="CZ814" s="38"/>
    </row>
    <row r="815" spans="1:104" s="40" customFormat="1" ht="20.149999999999999" customHeight="1">
      <c r="A815" s="358">
        <f t="shared" si="185"/>
        <v>814</v>
      </c>
      <c r="B815" s="359" t="str">
        <f>'Front Sheet and Checklist'!$C$5</f>
        <v>Swansea Bay UHB</v>
      </c>
      <c r="C815" s="17"/>
      <c r="D815" s="17"/>
      <c r="E815" s="17"/>
      <c r="F815" s="17"/>
      <c r="G815" s="17"/>
      <c r="H815" s="17"/>
      <c r="I815" s="361">
        <f t="shared" si="175"/>
        <v>0</v>
      </c>
      <c r="J815" s="17"/>
      <c r="K815" s="18"/>
      <c r="L815" s="18"/>
      <c r="M815" s="17"/>
      <c r="N815" s="17"/>
      <c r="O815" s="17"/>
      <c r="P815" s="17"/>
      <c r="Q815" s="169"/>
      <c r="R815" s="24"/>
      <c r="S815" s="24"/>
      <c r="T815" s="24"/>
      <c r="U815" s="25"/>
      <c r="V815" s="25"/>
      <c r="W815" s="25"/>
      <c r="X815" s="24"/>
      <c r="Y815" s="24"/>
      <c r="Z815" s="24"/>
      <c r="AA815" s="24"/>
      <c r="AB815" s="24"/>
      <c r="AC815" s="24"/>
      <c r="AD815" s="361">
        <f t="shared" si="174"/>
        <v>0</v>
      </c>
      <c r="AE815" s="359" t="str">
        <f t="shared" si="177"/>
        <v/>
      </c>
      <c r="AF815" s="359" t="str">
        <f t="shared" si="186"/>
        <v/>
      </c>
      <c r="AG815" s="359" t="str">
        <f t="shared" si="178"/>
        <v/>
      </c>
      <c r="AH815" s="359" t="str">
        <f t="shared" si="179"/>
        <v/>
      </c>
      <c r="AI815" s="359" t="str">
        <f t="shared" si="180"/>
        <v/>
      </c>
      <c r="AJ815" s="359" t="str">
        <f t="shared" si="181"/>
        <v/>
      </c>
      <c r="AK815" s="359" t="str">
        <f t="shared" si="183"/>
        <v/>
      </c>
      <c r="AL815" s="359" t="str">
        <f t="shared" si="182"/>
        <v/>
      </c>
      <c r="AM815" s="359" t="str">
        <f t="shared" si="184"/>
        <v/>
      </c>
      <c r="AN815" s="262">
        <f t="shared" si="187"/>
        <v>0</v>
      </c>
      <c r="AO815" s="262" t="str">
        <f>IFERROR(HLOOKUP(AN815,'Ref Lists'!Q$1:AL$2,2,FALSE),'Ref Lists'!$AK$2)</f>
        <v>Savings21</v>
      </c>
      <c r="AP815" s="38"/>
      <c r="AQ815" s="38">
        <f t="shared" si="176"/>
        <v>0</v>
      </c>
      <c r="AR815" s="38"/>
      <c r="AS815" s="38"/>
      <c r="AT815" s="38"/>
      <c r="AU815" s="38"/>
      <c r="AV815" s="38"/>
      <c r="AW815" s="38"/>
      <c r="AX815" s="38"/>
      <c r="AY815" s="38"/>
      <c r="AZ815" s="38"/>
      <c r="BA815" s="38"/>
      <c r="BB815" s="38"/>
      <c r="BC815" s="38"/>
      <c r="BD815" s="38"/>
      <c r="BE815" s="38"/>
      <c r="BF815" s="38"/>
      <c r="BG815" s="38"/>
      <c r="BH815" s="38"/>
      <c r="BI815" s="38"/>
      <c r="BJ815" s="38"/>
      <c r="BK815" s="38"/>
      <c r="BL815" s="38"/>
      <c r="BM815" s="38"/>
      <c r="BN815" s="38"/>
      <c r="BO815" s="38"/>
      <c r="BP815" s="38"/>
      <c r="BQ815" s="38"/>
      <c r="BR815" s="38"/>
      <c r="BS815" s="38"/>
      <c r="BT815" s="38"/>
      <c r="BU815" s="38"/>
      <c r="BV815" s="38"/>
      <c r="BW815" s="38"/>
      <c r="BX815" s="38"/>
      <c r="BY815" s="38"/>
      <c r="BZ815" s="38"/>
      <c r="CA815" s="38"/>
      <c r="CB815" s="38"/>
      <c r="CC815" s="38"/>
      <c r="CD815" s="38"/>
      <c r="CE815" s="38"/>
      <c r="CF815" s="38"/>
      <c r="CG815" s="38"/>
      <c r="CH815" s="38"/>
      <c r="CI815" s="38"/>
      <c r="CJ815" s="38"/>
      <c r="CK815" s="38"/>
      <c r="CL815" s="38"/>
      <c r="CM815" s="38"/>
      <c r="CN815" s="38"/>
      <c r="CO815" s="38"/>
      <c r="CP815" s="38"/>
      <c r="CQ815" s="38"/>
      <c r="CR815" s="38"/>
      <c r="CS815" s="38"/>
      <c r="CT815" s="38"/>
      <c r="CU815" s="38"/>
      <c r="CV815" s="38"/>
      <c r="CW815" s="38"/>
      <c r="CX815" s="38"/>
      <c r="CY815" s="38"/>
      <c r="CZ815" s="38"/>
    </row>
    <row r="816" spans="1:104" s="40" customFormat="1" ht="20.149999999999999" customHeight="1">
      <c r="A816" s="358">
        <f t="shared" si="185"/>
        <v>815</v>
      </c>
      <c r="B816" s="359" t="str">
        <f>'Front Sheet and Checklist'!$C$5</f>
        <v>Swansea Bay UHB</v>
      </c>
      <c r="C816" s="17"/>
      <c r="D816" s="17"/>
      <c r="E816" s="17"/>
      <c r="F816" s="17"/>
      <c r="G816" s="17"/>
      <c r="H816" s="17"/>
      <c r="I816" s="361">
        <f t="shared" si="175"/>
        <v>0</v>
      </c>
      <c r="J816" s="17"/>
      <c r="K816" s="18"/>
      <c r="L816" s="18"/>
      <c r="M816" s="17"/>
      <c r="N816" s="17"/>
      <c r="O816" s="17"/>
      <c r="P816" s="17"/>
      <c r="Q816" s="169"/>
      <c r="R816" s="24"/>
      <c r="S816" s="24"/>
      <c r="T816" s="24"/>
      <c r="U816" s="25"/>
      <c r="V816" s="25"/>
      <c r="W816" s="25"/>
      <c r="X816" s="24"/>
      <c r="Y816" s="24"/>
      <c r="Z816" s="24"/>
      <c r="AA816" s="24"/>
      <c r="AB816" s="24"/>
      <c r="AC816" s="24"/>
      <c r="AD816" s="361">
        <f t="shared" si="174"/>
        <v>0</v>
      </c>
      <c r="AE816" s="359" t="str">
        <f t="shared" si="177"/>
        <v/>
      </c>
      <c r="AF816" s="359" t="str">
        <f t="shared" si="186"/>
        <v/>
      </c>
      <c r="AG816" s="359" t="str">
        <f t="shared" si="178"/>
        <v/>
      </c>
      <c r="AH816" s="359" t="str">
        <f t="shared" si="179"/>
        <v/>
      </c>
      <c r="AI816" s="359" t="str">
        <f t="shared" si="180"/>
        <v/>
      </c>
      <c r="AJ816" s="359" t="str">
        <f t="shared" si="181"/>
        <v/>
      </c>
      <c r="AK816" s="359" t="str">
        <f t="shared" si="183"/>
        <v/>
      </c>
      <c r="AL816" s="359" t="str">
        <f t="shared" si="182"/>
        <v/>
      </c>
      <c r="AM816" s="359" t="str">
        <f t="shared" si="184"/>
        <v/>
      </c>
      <c r="AN816" s="262">
        <f t="shared" si="187"/>
        <v>0</v>
      </c>
      <c r="AO816" s="262" t="str">
        <f>IFERROR(HLOOKUP(AN816,'Ref Lists'!Q$1:AL$2,2,FALSE),'Ref Lists'!$AK$2)</f>
        <v>Savings21</v>
      </c>
      <c r="AP816" s="38"/>
      <c r="AQ816" s="38">
        <f t="shared" si="176"/>
        <v>0</v>
      </c>
      <c r="AR816" s="38"/>
      <c r="AS816" s="38"/>
      <c r="AT816" s="38"/>
      <c r="AU816" s="38"/>
      <c r="AV816" s="38"/>
      <c r="AW816" s="38"/>
      <c r="AX816" s="38"/>
      <c r="AY816" s="38"/>
      <c r="AZ816" s="38"/>
      <c r="BA816" s="38"/>
      <c r="BB816" s="38"/>
      <c r="BC816" s="38"/>
      <c r="BD816" s="38"/>
      <c r="BE816" s="38"/>
      <c r="BF816" s="38"/>
      <c r="BG816" s="38"/>
      <c r="BH816" s="38"/>
      <c r="BI816" s="38"/>
      <c r="BJ816" s="38"/>
      <c r="BK816" s="38"/>
      <c r="BL816" s="38"/>
      <c r="BM816" s="38"/>
      <c r="BN816" s="38"/>
      <c r="BO816" s="38"/>
      <c r="BP816" s="38"/>
      <c r="BQ816" s="38"/>
      <c r="BR816" s="38"/>
      <c r="BS816" s="38"/>
      <c r="BT816" s="38"/>
      <c r="BU816" s="38"/>
      <c r="BV816" s="38"/>
      <c r="BW816" s="38"/>
      <c r="BX816" s="38"/>
      <c r="BY816" s="38"/>
      <c r="BZ816" s="38"/>
      <c r="CA816" s="38"/>
      <c r="CB816" s="38"/>
      <c r="CC816" s="38"/>
      <c r="CD816" s="38"/>
      <c r="CE816" s="38"/>
      <c r="CF816" s="38"/>
      <c r="CG816" s="38"/>
      <c r="CH816" s="38"/>
      <c r="CI816" s="38"/>
      <c r="CJ816" s="38"/>
      <c r="CK816" s="38"/>
      <c r="CL816" s="38"/>
      <c r="CM816" s="38"/>
      <c r="CN816" s="38"/>
      <c r="CO816" s="38"/>
      <c r="CP816" s="38"/>
      <c r="CQ816" s="38"/>
      <c r="CR816" s="38"/>
      <c r="CS816" s="38"/>
      <c r="CT816" s="38"/>
      <c r="CU816" s="38"/>
      <c r="CV816" s="38"/>
      <c r="CW816" s="38"/>
      <c r="CX816" s="38"/>
      <c r="CY816" s="38"/>
      <c r="CZ816" s="38"/>
    </row>
    <row r="817" spans="1:104" s="40" customFormat="1" ht="20.149999999999999" customHeight="1">
      <c r="A817" s="358">
        <f t="shared" si="185"/>
        <v>816</v>
      </c>
      <c r="B817" s="359" t="str">
        <f>'Front Sheet and Checklist'!$C$5</f>
        <v>Swansea Bay UHB</v>
      </c>
      <c r="C817" s="17"/>
      <c r="D817" s="17"/>
      <c r="E817" s="17"/>
      <c r="F817" s="17"/>
      <c r="G817" s="17"/>
      <c r="H817" s="17"/>
      <c r="I817" s="361">
        <f t="shared" si="175"/>
        <v>0</v>
      </c>
      <c r="J817" s="17"/>
      <c r="K817" s="18"/>
      <c r="L817" s="18"/>
      <c r="M817" s="17"/>
      <c r="N817" s="17"/>
      <c r="O817" s="17"/>
      <c r="P817" s="17"/>
      <c r="Q817" s="169"/>
      <c r="R817" s="24"/>
      <c r="S817" s="24"/>
      <c r="T817" s="24"/>
      <c r="U817" s="25"/>
      <c r="V817" s="25"/>
      <c r="W817" s="25"/>
      <c r="X817" s="24"/>
      <c r="Y817" s="24"/>
      <c r="Z817" s="24"/>
      <c r="AA817" s="24"/>
      <c r="AB817" s="24"/>
      <c r="AC817" s="24"/>
      <c r="AD817" s="361">
        <f t="shared" si="174"/>
        <v>0</v>
      </c>
      <c r="AE817" s="359" t="str">
        <f t="shared" si="177"/>
        <v/>
      </c>
      <c r="AF817" s="359" t="str">
        <f t="shared" si="186"/>
        <v/>
      </c>
      <c r="AG817" s="359" t="str">
        <f t="shared" si="178"/>
        <v/>
      </c>
      <c r="AH817" s="359" t="str">
        <f t="shared" si="179"/>
        <v/>
      </c>
      <c r="AI817" s="359" t="str">
        <f t="shared" si="180"/>
        <v/>
      </c>
      <c r="AJ817" s="359" t="str">
        <f t="shared" si="181"/>
        <v/>
      </c>
      <c r="AK817" s="359" t="str">
        <f t="shared" si="183"/>
        <v/>
      </c>
      <c r="AL817" s="359" t="str">
        <f t="shared" si="182"/>
        <v/>
      </c>
      <c r="AM817" s="359" t="str">
        <f t="shared" si="184"/>
        <v/>
      </c>
      <c r="AN817" s="262">
        <f t="shared" si="187"/>
        <v>0</v>
      </c>
      <c r="AO817" s="262" t="str">
        <f>IFERROR(HLOOKUP(AN817,'Ref Lists'!Q$1:AL$2,2,FALSE),'Ref Lists'!$AK$2)</f>
        <v>Savings21</v>
      </c>
      <c r="AP817" s="38"/>
      <c r="AQ817" s="38">
        <f t="shared" si="176"/>
        <v>0</v>
      </c>
      <c r="AR817" s="38"/>
      <c r="AS817" s="38"/>
      <c r="AT817" s="38"/>
      <c r="AU817" s="38"/>
      <c r="AV817" s="38"/>
      <c r="AW817" s="38"/>
      <c r="AX817" s="38"/>
      <c r="AY817" s="38"/>
      <c r="AZ817" s="38"/>
      <c r="BA817" s="38"/>
      <c r="BB817" s="38"/>
      <c r="BC817" s="38"/>
      <c r="BD817" s="38"/>
      <c r="BE817" s="38"/>
      <c r="BF817" s="38"/>
      <c r="BG817" s="38"/>
      <c r="BH817" s="38"/>
      <c r="BI817" s="38"/>
      <c r="BJ817" s="38"/>
      <c r="BK817" s="38"/>
      <c r="BL817" s="38"/>
      <c r="BM817" s="38"/>
      <c r="BN817" s="38"/>
      <c r="BO817" s="38"/>
      <c r="BP817" s="38"/>
      <c r="BQ817" s="38"/>
      <c r="BR817" s="38"/>
      <c r="BS817" s="38"/>
      <c r="BT817" s="38"/>
      <c r="BU817" s="38"/>
      <c r="BV817" s="38"/>
      <c r="BW817" s="38"/>
      <c r="BX817" s="38"/>
      <c r="BY817" s="38"/>
      <c r="BZ817" s="38"/>
      <c r="CA817" s="38"/>
      <c r="CB817" s="38"/>
      <c r="CC817" s="38"/>
      <c r="CD817" s="38"/>
      <c r="CE817" s="38"/>
      <c r="CF817" s="38"/>
      <c r="CG817" s="38"/>
      <c r="CH817" s="38"/>
      <c r="CI817" s="38"/>
      <c r="CJ817" s="38"/>
      <c r="CK817" s="38"/>
      <c r="CL817" s="38"/>
      <c r="CM817" s="38"/>
      <c r="CN817" s="38"/>
      <c r="CO817" s="38"/>
      <c r="CP817" s="38"/>
      <c r="CQ817" s="38"/>
      <c r="CR817" s="38"/>
      <c r="CS817" s="38"/>
      <c r="CT817" s="38"/>
      <c r="CU817" s="38"/>
      <c r="CV817" s="38"/>
      <c r="CW817" s="38"/>
      <c r="CX817" s="38"/>
      <c r="CY817" s="38"/>
      <c r="CZ817" s="38"/>
    </row>
    <row r="818" spans="1:104" s="40" customFormat="1" ht="20.149999999999999" customHeight="1">
      <c r="A818" s="358">
        <f t="shared" si="185"/>
        <v>817</v>
      </c>
      <c r="B818" s="359" t="str">
        <f>'Front Sheet and Checklist'!$C$5</f>
        <v>Swansea Bay UHB</v>
      </c>
      <c r="C818" s="17"/>
      <c r="D818" s="17"/>
      <c r="E818" s="17"/>
      <c r="F818" s="17"/>
      <c r="G818" s="17"/>
      <c r="H818" s="17"/>
      <c r="I818" s="361">
        <f t="shared" si="175"/>
        <v>0</v>
      </c>
      <c r="J818" s="17"/>
      <c r="K818" s="18"/>
      <c r="L818" s="18"/>
      <c r="M818" s="17"/>
      <c r="N818" s="17"/>
      <c r="O818" s="17"/>
      <c r="P818" s="17"/>
      <c r="Q818" s="169"/>
      <c r="R818" s="24"/>
      <c r="S818" s="24"/>
      <c r="T818" s="24"/>
      <c r="U818" s="25"/>
      <c r="V818" s="25"/>
      <c r="W818" s="25"/>
      <c r="X818" s="24"/>
      <c r="Y818" s="24"/>
      <c r="Z818" s="24"/>
      <c r="AA818" s="24"/>
      <c r="AB818" s="24"/>
      <c r="AC818" s="24"/>
      <c r="AD818" s="361">
        <f t="shared" si="174"/>
        <v>0</v>
      </c>
      <c r="AE818" s="359" t="str">
        <f t="shared" si="177"/>
        <v/>
      </c>
      <c r="AF818" s="359" t="str">
        <f t="shared" si="186"/>
        <v/>
      </c>
      <c r="AG818" s="359" t="str">
        <f t="shared" si="178"/>
        <v/>
      </c>
      <c r="AH818" s="359" t="str">
        <f t="shared" si="179"/>
        <v/>
      </c>
      <c r="AI818" s="359" t="str">
        <f t="shared" si="180"/>
        <v/>
      </c>
      <c r="AJ818" s="359" t="str">
        <f t="shared" si="181"/>
        <v/>
      </c>
      <c r="AK818" s="359" t="str">
        <f t="shared" si="183"/>
        <v/>
      </c>
      <c r="AL818" s="359" t="str">
        <f t="shared" si="182"/>
        <v/>
      </c>
      <c r="AM818" s="359" t="str">
        <f t="shared" si="184"/>
        <v/>
      </c>
      <c r="AN818" s="262">
        <f t="shared" si="187"/>
        <v>0</v>
      </c>
      <c r="AO818" s="262" t="str">
        <f>IFERROR(HLOOKUP(AN818,'Ref Lists'!Q$1:AL$2,2,FALSE),'Ref Lists'!$AK$2)</f>
        <v>Savings21</v>
      </c>
      <c r="AP818" s="38"/>
      <c r="AQ818" s="38">
        <f t="shared" si="176"/>
        <v>0</v>
      </c>
      <c r="AR818" s="38"/>
      <c r="AS818" s="38"/>
      <c r="AT818" s="38"/>
      <c r="AU818" s="38"/>
      <c r="AV818" s="38"/>
      <c r="AW818" s="38"/>
      <c r="AX818" s="38"/>
      <c r="AY818" s="38"/>
      <c r="AZ818" s="38"/>
      <c r="BA818" s="38"/>
      <c r="BB818" s="38"/>
      <c r="BC818" s="38"/>
      <c r="BD818" s="38"/>
      <c r="BE818" s="38"/>
      <c r="BF818" s="38"/>
      <c r="BG818" s="38"/>
      <c r="BH818" s="38"/>
      <c r="BI818" s="38"/>
      <c r="BJ818" s="38"/>
      <c r="BK818" s="38"/>
      <c r="BL818" s="38"/>
      <c r="BM818" s="38"/>
      <c r="BN818" s="38"/>
      <c r="BO818" s="38"/>
      <c r="BP818" s="38"/>
      <c r="BQ818" s="38"/>
      <c r="BR818" s="38"/>
      <c r="BS818" s="38"/>
      <c r="BT818" s="38"/>
      <c r="BU818" s="38"/>
      <c r="BV818" s="38"/>
      <c r="BW818" s="38"/>
      <c r="BX818" s="38"/>
      <c r="BY818" s="38"/>
      <c r="BZ818" s="38"/>
      <c r="CA818" s="38"/>
      <c r="CB818" s="38"/>
      <c r="CC818" s="38"/>
      <c r="CD818" s="38"/>
      <c r="CE818" s="38"/>
      <c r="CF818" s="38"/>
      <c r="CG818" s="38"/>
      <c r="CH818" s="38"/>
      <c r="CI818" s="38"/>
      <c r="CJ818" s="38"/>
      <c r="CK818" s="38"/>
      <c r="CL818" s="38"/>
      <c r="CM818" s="38"/>
      <c r="CN818" s="38"/>
      <c r="CO818" s="38"/>
      <c r="CP818" s="38"/>
      <c r="CQ818" s="38"/>
      <c r="CR818" s="38"/>
      <c r="CS818" s="38"/>
      <c r="CT818" s="38"/>
      <c r="CU818" s="38"/>
      <c r="CV818" s="38"/>
      <c r="CW818" s="38"/>
      <c r="CX818" s="38"/>
      <c r="CY818" s="38"/>
      <c r="CZ818" s="38"/>
    </row>
    <row r="819" spans="1:104" s="40" customFormat="1" ht="20.149999999999999" customHeight="1">
      <c r="A819" s="358">
        <f t="shared" si="185"/>
        <v>818</v>
      </c>
      <c r="B819" s="359" t="str">
        <f>'Front Sheet and Checklist'!$C$5</f>
        <v>Swansea Bay UHB</v>
      </c>
      <c r="C819" s="17"/>
      <c r="D819" s="17"/>
      <c r="E819" s="17"/>
      <c r="F819" s="17"/>
      <c r="G819" s="17"/>
      <c r="H819" s="17"/>
      <c r="I819" s="361">
        <f t="shared" si="175"/>
        <v>0</v>
      </c>
      <c r="J819" s="17"/>
      <c r="K819" s="18"/>
      <c r="L819" s="18"/>
      <c r="M819" s="17"/>
      <c r="N819" s="17"/>
      <c r="O819" s="17"/>
      <c r="P819" s="17"/>
      <c r="Q819" s="169"/>
      <c r="R819" s="24"/>
      <c r="S819" s="24"/>
      <c r="T819" s="24"/>
      <c r="U819" s="25"/>
      <c r="V819" s="25"/>
      <c r="W819" s="25"/>
      <c r="X819" s="24"/>
      <c r="Y819" s="24"/>
      <c r="Z819" s="24"/>
      <c r="AA819" s="24"/>
      <c r="AB819" s="24"/>
      <c r="AC819" s="24"/>
      <c r="AD819" s="361">
        <f t="shared" si="174"/>
        <v>0</v>
      </c>
      <c r="AE819" s="359" t="str">
        <f t="shared" si="177"/>
        <v/>
      </c>
      <c r="AF819" s="359" t="str">
        <f t="shared" si="186"/>
        <v/>
      </c>
      <c r="AG819" s="359" t="str">
        <f t="shared" si="178"/>
        <v/>
      </c>
      <c r="AH819" s="359" t="str">
        <f t="shared" si="179"/>
        <v/>
      </c>
      <c r="AI819" s="359" t="str">
        <f t="shared" si="180"/>
        <v/>
      </c>
      <c r="AJ819" s="359" t="str">
        <f t="shared" si="181"/>
        <v/>
      </c>
      <c r="AK819" s="359" t="str">
        <f t="shared" si="183"/>
        <v/>
      </c>
      <c r="AL819" s="359" t="str">
        <f t="shared" si="182"/>
        <v/>
      </c>
      <c r="AM819" s="359" t="str">
        <f t="shared" si="184"/>
        <v/>
      </c>
      <c r="AN819" s="262">
        <f t="shared" si="187"/>
        <v>0</v>
      </c>
      <c r="AO819" s="262" t="str">
        <f>IFERROR(HLOOKUP(AN819,'Ref Lists'!Q$1:AL$2,2,FALSE),'Ref Lists'!$AK$2)</f>
        <v>Savings21</v>
      </c>
      <c r="AP819" s="38"/>
      <c r="AQ819" s="38">
        <f t="shared" si="176"/>
        <v>0</v>
      </c>
      <c r="AR819" s="38"/>
      <c r="AS819" s="38"/>
      <c r="AT819" s="38"/>
      <c r="AU819" s="38"/>
      <c r="AV819" s="38"/>
      <c r="AW819" s="38"/>
      <c r="AX819" s="38"/>
      <c r="AY819" s="38"/>
      <c r="AZ819" s="38"/>
      <c r="BA819" s="38"/>
      <c r="BB819" s="38"/>
      <c r="BC819" s="38"/>
      <c r="BD819" s="38"/>
      <c r="BE819" s="38"/>
      <c r="BF819" s="38"/>
      <c r="BG819" s="38"/>
      <c r="BH819" s="38"/>
      <c r="BI819" s="38"/>
      <c r="BJ819" s="38"/>
      <c r="BK819" s="38"/>
      <c r="BL819" s="38"/>
      <c r="BM819" s="38"/>
      <c r="BN819" s="38"/>
      <c r="BO819" s="38"/>
      <c r="BP819" s="38"/>
      <c r="BQ819" s="38"/>
      <c r="BR819" s="38"/>
      <c r="BS819" s="38"/>
      <c r="BT819" s="38"/>
      <c r="BU819" s="38"/>
      <c r="BV819" s="38"/>
      <c r="BW819" s="38"/>
      <c r="BX819" s="38"/>
      <c r="BY819" s="38"/>
      <c r="BZ819" s="38"/>
      <c r="CA819" s="38"/>
      <c r="CB819" s="38"/>
      <c r="CC819" s="38"/>
      <c r="CD819" s="38"/>
      <c r="CE819" s="38"/>
      <c r="CF819" s="38"/>
      <c r="CG819" s="38"/>
      <c r="CH819" s="38"/>
      <c r="CI819" s="38"/>
      <c r="CJ819" s="38"/>
      <c r="CK819" s="38"/>
      <c r="CL819" s="38"/>
      <c r="CM819" s="38"/>
      <c r="CN819" s="38"/>
      <c r="CO819" s="38"/>
      <c r="CP819" s="38"/>
      <c r="CQ819" s="38"/>
      <c r="CR819" s="38"/>
      <c r="CS819" s="38"/>
      <c r="CT819" s="38"/>
      <c r="CU819" s="38"/>
      <c r="CV819" s="38"/>
      <c r="CW819" s="38"/>
      <c r="CX819" s="38"/>
      <c r="CY819" s="38"/>
      <c r="CZ819" s="38"/>
    </row>
    <row r="820" spans="1:104" s="40" customFormat="1" ht="20.149999999999999" customHeight="1">
      <c r="A820" s="358">
        <f t="shared" si="185"/>
        <v>819</v>
      </c>
      <c r="B820" s="359" t="str">
        <f>'Front Sheet and Checklist'!$C$5</f>
        <v>Swansea Bay UHB</v>
      </c>
      <c r="C820" s="17"/>
      <c r="D820" s="17"/>
      <c r="E820" s="17"/>
      <c r="F820" s="17"/>
      <c r="G820" s="17"/>
      <c r="H820" s="17"/>
      <c r="I820" s="361">
        <f t="shared" si="175"/>
        <v>0</v>
      </c>
      <c r="J820" s="17"/>
      <c r="K820" s="18"/>
      <c r="L820" s="18"/>
      <c r="M820" s="17"/>
      <c r="N820" s="17"/>
      <c r="O820" s="17"/>
      <c r="P820" s="17"/>
      <c r="Q820" s="169"/>
      <c r="R820" s="24"/>
      <c r="S820" s="24"/>
      <c r="T820" s="24"/>
      <c r="U820" s="25"/>
      <c r="V820" s="25"/>
      <c r="W820" s="25"/>
      <c r="X820" s="24"/>
      <c r="Y820" s="24"/>
      <c r="Z820" s="24"/>
      <c r="AA820" s="24"/>
      <c r="AB820" s="24"/>
      <c r="AC820" s="24"/>
      <c r="AD820" s="361">
        <f t="shared" si="174"/>
        <v>0</v>
      </c>
      <c r="AE820" s="359" t="str">
        <f t="shared" si="177"/>
        <v/>
      </c>
      <c r="AF820" s="359" t="str">
        <f t="shared" si="186"/>
        <v/>
      </c>
      <c r="AG820" s="359" t="str">
        <f t="shared" si="178"/>
        <v/>
      </c>
      <c r="AH820" s="359" t="str">
        <f t="shared" si="179"/>
        <v/>
      </c>
      <c r="AI820" s="359" t="str">
        <f t="shared" si="180"/>
        <v/>
      </c>
      <c r="AJ820" s="359" t="str">
        <f t="shared" si="181"/>
        <v/>
      </c>
      <c r="AK820" s="359" t="str">
        <f t="shared" si="183"/>
        <v/>
      </c>
      <c r="AL820" s="359" t="str">
        <f t="shared" si="182"/>
        <v/>
      </c>
      <c r="AM820" s="359" t="str">
        <f t="shared" si="184"/>
        <v/>
      </c>
      <c r="AN820" s="262">
        <f t="shared" si="187"/>
        <v>0</v>
      </c>
      <c r="AO820" s="262" t="str">
        <f>IFERROR(HLOOKUP(AN820,'Ref Lists'!Q$1:AL$2,2,FALSE),'Ref Lists'!$AK$2)</f>
        <v>Savings21</v>
      </c>
      <c r="AP820" s="38"/>
      <c r="AQ820" s="38">
        <f t="shared" si="176"/>
        <v>0</v>
      </c>
      <c r="AR820" s="38"/>
      <c r="AS820" s="38"/>
      <c r="AT820" s="38"/>
      <c r="AU820" s="38"/>
      <c r="AV820" s="38"/>
      <c r="AW820" s="38"/>
      <c r="AX820" s="38"/>
      <c r="AY820" s="38"/>
      <c r="AZ820" s="38"/>
      <c r="BA820" s="38"/>
      <c r="BB820" s="38"/>
      <c r="BC820" s="38"/>
      <c r="BD820" s="38"/>
      <c r="BE820" s="38"/>
      <c r="BF820" s="38"/>
      <c r="BG820" s="38"/>
      <c r="BH820" s="38"/>
      <c r="BI820" s="38"/>
      <c r="BJ820" s="38"/>
      <c r="BK820" s="38"/>
      <c r="BL820" s="38"/>
      <c r="BM820" s="38"/>
      <c r="BN820" s="38"/>
      <c r="BO820" s="38"/>
      <c r="BP820" s="38"/>
      <c r="BQ820" s="38"/>
      <c r="BR820" s="38"/>
      <c r="BS820" s="38"/>
      <c r="BT820" s="38"/>
      <c r="BU820" s="38"/>
      <c r="BV820" s="38"/>
      <c r="BW820" s="38"/>
      <c r="BX820" s="38"/>
      <c r="BY820" s="38"/>
      <c r="BZ820" s="38"/>
      <c r="CA820" s="38"/>
      <c r="CB820" s="38"/>
      <c r="CC820" s="38"/>
      <c r="CD820" s="38"/>
      <c r="CE820" s="38"/>
      <c r="CF820" s="38"/>
      <c r="CG820" s="38"/>
      <c r="CH820" s="38"/>
      <c r="CI820" s="38"/>
      <c r="CJ820" s="38"/>
      <c r="CK820" s="38"/>
      <c r="CL820" s="38"/>
      <c r="CM820" s="38"/>
      <c r="CN820" s="38"/>
      <c r="CO820" s="38"/>
      <c r="CP820" s="38"/>
      <c r="CQ820" s="38"/>
      <c r="CR820" s="38"/>
      <c r="CS820" s="38"/>
      <c r="CT820" s="38"/>
      <c r="CU820" s="38"/>
      <c r="CV820" s="38"/>
      <c r="CW820" s="38"/>
      <c r="CX820" s="38"/>
      <c r="CY820" s="38"/>
      <c r="CZ820" s="38"/>
    </row>
    <row r="821" spans="1:104" s="40" customFormat="1" ht="20.149999999999999" customHeight="1">
      <c r="A821" s="358">
        <f t="shared" si="185"/>
        <v>820</v>
      </c>
      <c r="B821" s="359" t="str">
        <f>'Front Sheet and Checklist'!$C$5</f>
        <v>Swansea Bay UHB</v>
      </c>
      <c r="C821" s="17"/>
      <c r="D821" s="17"/>
      <c r="E821" s="17"/>
      <c r="F821" s="17"/>
      <c r="G821" s="17"/>
      <c r="H821" s="17"/>
      <c r="I821" s="361">
        <f t="shared" si="175"/>
        <v>0</v>
      </c>
      <c r="J821" s="17"/>
      <c r="K821" s="18"/>
      <c r="L821" s="18"/>
      <c r="M821" s="17"/>
      <c r="N821" s="17"/>
      <c r="O821" s="17"/>
      <c r="P821" s="17"/>
      <c r="Q821" s="169"/>
      <c r="R821" s="24"/>
      <c r="S821" s="24"/>
      <c r="T821" s="24"/>
      <c r="U821" s="25"/>
      <c r="V821" s="25"/>
      <c r="W821" s="25"/>
      <c r="X821" s="24"/>
      <c r="Y821" s="24"/>
      <c r="Z821" s="24"/>
      <c r="AA821" s="24"/>
      <c r="AB821" s="24"/>
      <c r="AC821" s="24"/>
      <c r="AD821" s="361">
        <f t="shared" si="174"/>
        <v>0</v>
      </c>
      <c r="AE821" s="359" t="str">
        <f t="shared" si="177"/>
        <v/>
      </c>
      <c r="AF821" s="359" t="str">
        <f t="shared" si="186"/>
        <v/>
      </c>
      <c r="AG821" s="359" t="str">
        <f t="shared" si="178"/>
        <v/>
      </c>
      <c r="AH821" s="359" t="str">
        <f t="shared" si="179"/>
        <v/>
      </c>
      <c r="AI821" s="359" t="str">
        <f t="shared" si="180"/>
        <v/>
      </c>
      <c r="AJ821" s="359" t="str">
        <f t="shared" si="181"/>
        <v/>
      </c>
      <c r="AK821" s="359" t="str">
        <f t="shared" si="183"/>
        <v/>
      </c>
      <c r="AL821" s="359" t="str">
        <f t="shared" si="182"/>
        <v/>
      </c>
      <c r="AM821" s="359" t="str">
        <f t="shared" si="184"/>
        <v/>
      </c>
      <c r="AN821" s="262">
        <f t="shared" si="187"/>
        <v>0</v>
      </c>
      <c r="AO821" s="262" t="str">
        <f>IFERROR(HLOOKUP(AN821,'Ref Lists'!Q$1:AL$2,2,FALSE),'Ref Lists'!$AK$2)</f>
        <v>Savings21</v>
      </c>
      <c r="AP821" s="38"/>
      <c r="AQ821" s="38">
        <f t="shared" si="176"/>
        <v>0</v>
      </c>
      <c r="AR821" s="38"/>
      <c r="AS821" s="38"/>
      <c r="AT821" s="38"/>
      <c r="AU821" s="38"/>
      <c r="AV821" s="38"/>
      <c r="AW821" s="38"/>
      <c r="AX821" s="38"/>
      <c r="AY821" s="38"/>
      <c r="AZ821" s="38"/>
      <c r="BA821" s="38"/>
      <c r="BB821" s="38"/>
      <c r="BC821" s="38"/>
      <c r="BD821" s="38"/>
      <c r="BE821" s="38"/>
      <c r="BF821" s="38"/>
      <c r="BG821" s="38"/>
      <c r="BH821" s="38"/>
      <c r="BI821" s="38"/>
      <c r="BJ821" s="38"/>
      <c r="BK821" s="38"/>
      <c r="BL821" s="38"/>
      <c r="BM821" s="38"/>
      <c r="BN821" s="38"/>
      <c r="BO821" s="38"/>
      <c r="BP821" s="38"/>
      <c r="BQ821" s="38"/>
      <c r="BR821" s="38"/>
      <c r="BS821" s="38"/>
      <c r="BT821" s="38"/>
      <c r="BU821" s="38"/>
      <c r="BV821" s="38"/>
      <c r="BW821" s="38"/>
      <c r="BX821" s="38"/>
      <c r="BY821" s="38"/>
      <c r="BZ821" s="38"/>
      <c r="CA821" s="38"/>
      <c r="CB821" s="38"/>
      <c r="CC821" s="38"/>
      <c r="CD821" s="38"/>
      <c r="CE821" s="38"/>
      <c r="CF821" s="38"/>
      <c r="CG821" s="38"/>
      <c r="CH821" s="38"/>
      <c r="CI821" s="38"/>
      <c r="CJ821" s="38"/>
      <c r="CK821" s="38"/>
      <c r="CL821" s="38"/>
      <c r="CM821" s="38"/>
      <c r="CN821" s="38"/>
      <c r="CO821" s="38"/>
      <c r="CP821" s="38"/>
      <c r="CQ821" s="38"/>
      <c r="CR821" s="38"/>
      <c r="CS821" s="38"/>
      <c r="CT821" s="38"/>
      <c r="CU821" s="38"/>
      <c r="CV821" s="38"/>
      <c r="CW821" s="38"/>
      <c r="CX821" s="38"/>
      <c r="CY821" s="38"/>
      <c r="CZ821" s="38"/>
    </row>
    <row r="822" spans="1:104" s="40" customFormat="1" ht="20.149999999999999" customHeight="1">
      <c r="A822" s="358">
        <f t="shared" si="185"/>
        <v>821</v>
      </c>
      <c r="B822" s="359" t="str">
        <f>'Front Sheet and Checklist'!$C$5</f>
        <v>Swansea Bay UHB</v>
      </c>
      <c r="C822" s="17"/>
      <c r="D822" s="17"/>
      <c r="E822" s="17"/>
      <c r="F822" s="17"/>
      <c r="G822" s="17"/>
      <c r="H822" s="17"/>
      <c r="I822" s="361">
        <f t="shared" si="175"/>
        <v>0</v>
      </c>
      <c r="J822" s="17"/>
      <c r="K822" s="18"/>
      <c r="L822" s="18"/>
      <c r="M822" s="17"/>
      <c r="N822" s="17"/>
      <c r="O822" s="17"/>
      <c r="P822" s="17"/>
      <c r="Q822" s="169"/>
      <c r="R822" s="24"/>
      <c r="S822" s="24"/>
      <c r="T822" s="24"/>
      <c r="U822" s="25"/>
      <c r="V822" s="25"/>
      <c r="W822" s="25"/>
      <c r="X822" s="24"/>
      <c r="Y822" s="24"/>
      <c r="Z822" s="24"/>
      <c r="AA822" s="24"/>
      <c r="AB822" s="24"/>
      <c r="AC822" s="24"/>
      <c r="AD822" s="361">
        <f t="shared" si="174"/>
        <v>0</v>
      </c>
      <c r="AE822" s="359" t="str">
        <f t="shared" si="177"/>
        <v/>
      </c>
      <c r="AF822" s="359" t="str">
        <f t="shared" si="186"/>
        <v/>
      </c>
      <c r="AG822" s="359" t="str">
        <f t="shared" si="178"/>
        <v/>
      </c>
      <c r="AH822" s="359" t="str">
        <f t="shared" si="179"/>
        <v/>
      </c>
      <c r="AI822" s="359" t="str">
        <f t="shared" si="180"/>
        <v/>
      </c>
      <c r="AJ822" s="359" t="str">
        <f t="shared" si="181"/>
        <v/>
      </c>
      <c r="AK822" s="359" t="str">
        <f t="shared" si="183"/>
        <v/>
      </c>
      <c r="AL822" s="359" t="str">
        <f t="shared" si="182"/>
        <v/>
      </c>
      <c r="AM822" s="359" t="str">
        <f t="shared" si="184"/>
        <v/>
      </c>
      <c r="AN822" s="262">
        <f t="shared" si="187"/>
        <v>0</v>
      </c>
      <c r="AO822" s="262" t="str">
        <f>IFERROR(HLOOKUP(AN822,'Ref Lists'!Q$1:AL$2,2,FALSE),'Ref Lists'!$AK$2)</f>
        <v>Savings21</v>
      </c>
      <c r="AP822" s="38"/>
      <c r="AQ822" s="38">
        <f t="shared" si="176"/>
        <v>0</v>
      </c>
      <c r="AR822" s="38"/>
      <c r="AS822" s="38"/>
      <c r="AT822" s="38"/>
      <c r="AU822" s="38"/>
      <c r="AV822" s="38"/>
      <c r="AW822" s="38"/>
      <c r="AX822" s="38"/>
      <c r="AY822" s="38"/>
      <c r="AZ822" s="38"/>
      <c r="BA822" s="38"/>
      <c r="BB822" s="38"/>
      <c r="BC822" s="38"/>
      <c r="BD822" s="38"/>
      <c r="BE822" s="38"/>
      <c r="BF822" s="38"/>
      <c r="BG822" s="38"/>
      <c r="BH822" s="38"/>
      <c r="BI822" s="38"/>
      <c r="BJ822" s="38"/>
      <c r="BK822" s="38"/>
      <c r="BL822" s="38"/>
      <c r="BM822" s="38"/>
      <c r="BN822" s="38"/>
      <c r="BO822" s="38"/>
      <c r="BP822" s="38"/>
      <c r="BQ822" s="38"/>
      <c r="BR822" s="38"/>
      <c r="BS822" s="38"/>
      <c r="BT822" s="38"/>
      <c r="BU822" s="38"/>
      <c r="BV822" s="38"/>
      <c r="BW822" s="38"/>
      <c r="BX822" s="38"/>
      <c r="BY822" s="38"/>
      <c r="BZ822" s="38"/>
      <c r="CA822" s="38"/>
      <c r="CB822" s="38"/>
      <c r="CC822" s="38"/>
      <c r="CD822" s="38"/>
      <c r="CE822" s="38"/>
      <c r="CF822" s="38"/>
      <c r="CG822" s="38"/>
      <c r="CH822" s="38"/>
      <c r="CI822" s="38"/>
      <c r="CJ822" s="38"/>
      <c r="CK822" s="38"/>
      <c r="CL822" s="38"/>
      <c r="CM822" s="38"/>
      <c r="CN822" s="38"/>
      <c r="CO822" s="38"/>
      <c r="CP822" s="38"/>
      <c r="CQ822" s="38"/>
      <c r="CR822" s="38"/>
      <c r="CS822" s="38"/>
      <c r="CT822" s="38"/>
      <c r="CU822" s="38"/>
      <c r="CV822" s="38"/>
      <c r="CW822" s="38"/>
      <c r="CX822" s="38"/>
      <c r="CY822" s="38"/>
      <c r="CZ822" s="38"/>
    </row>
    <row r="823" spans="1:104" s="40" customFormat="1" ht="20.149999999999999" customHeight="1">
      <c r="A823" s="358">
        <f t="shared" si="185"/>
        <v>822</v>
      </c>
      <c r="B823" s="359" t="str">
        <f>'Front Sheet and Checklist'!$C$5</f>
        <v>Swansea Bay UHB</v>
      </c>
      <c r="C823" s="17"/>
      <c r="D823" s="17"/>
      <c r="E823" s="17"/>
      <c r="F823" s="17"/>
      <c r="G823" s="17"/>
      <c r="H823" s="17"/>
      <c r="I823" s="361">
        <f t="shared" si="175"/>
        <v>0</v>
      </c>
      <c r="J823" s="17"/>
      <c r="K823" s="18"/>
      <c r="L823" s="18"/>
      <c r="M823" s="17"/>
      <c r="N823" s="17"/>
      <c r="O823" s="17"/>
      <c r="P823" s="17"/>
      <c r="Q823" s="169"/>
      <c r="R823" s="24"/>
      <c r="S823" s="24"/>
      <c r="T823" s="24"/>
      <c r="U823" s="25"/>
      <c r="V823" s="25"/>
      <c r="W823" s="25"/>
      <c r="X823" s="24"/>
      <c r="Y823" s="24"/>
      <c r="Z823" s="24"/>
      <c r="AA823" s="24"/>
      <c r="AB823" s="24"/>
      <c r="AC823" s="24"/>
      <c r="AD823" s="361">
        <f t="shared" si="174"/>
        <v>0</v>
      </c>
      <c r="AE823" s="359" t="str">
        <f t="shared" si="177"/>
        <v/>
      </c>
      <c r="AF823" s="359" t="str">
        <f t="shared" si="186"/>
        <v/>
      </c>
      <c r="AG823" s="359" t="str">
        <f t="shared" si="178"/>
        <v/>
      </c>
      <c r="AH823" s="359" t="str">
        <f t="shared" si="179"/>
        <v/>
      </c>
      <c r="AI823" s="359" t="str">
        <f t="shared" si="180"/>
        <v/>
      </c>
      <c r="AJ823" s="359" t="str">
        <f t="shared" si="181"/>
        <v/>
      </c>
      <c r="AK823" s="359" t="str">
        <f t="shared" si="183"/>
        <v/>
      </c>
      <c r="AL823" s="359" t="str">
        <f t="shared" si="182"/>
        <v/>
      </c>
      <c r="AM823" s="359" t="str">
        <f t="shared" si="184"/>
        <v/>
      </c>
      <c r="AN823" s="262">
        <f t="shared" si="187"/>
        <v>0</v>
      </c>
      <c r="AO823" s="262" t="str">
        <f>IFERROR(HLOOKUP(AN823,'Ref Lists'!Q$1:AL$2,2,FALSE),'Ref Lists'!$AK$2)</f>
        <v>Savings21</v>
      </c>
      <c r="AP823" s="38"/>
      <c r="AQ823" s="38">
        <f t="shared" si="176"/>
        <v>0</v>
      </c>
      <c r="AR823" s="38"/>
      <c r="AS823" s="38"/>
      <c r="AT823" s="38"/>
      <c r="AU823" s="38"/>
      <c r="AV823" s="38"/>
      <c r="AW823" s="38"/>
      <c r="AX823" s="38"/>
      <c r="AY823" s="38"/>
      <c r="AZ823" s="38"/>
      <c r="BA823" s="38"/>
      <c r="BB823" s="38"/>
      <c r="BC823" s="38"/>
      <c r="BD823" s="38"/>
      <c r="BE823" s="38"/>
      <c r="BF823" s="38"/>
      <c r="BG823" s="38"/>
      <c r="BH823" s="38"/>
      <c r="BI823" s="38"/>
      <c r="BJ823" s="38"/>
      <c r="BK823" s="38"/>
      <c r="BL823" s="38"/>
      <c r="BM823" s="38"/>
      <c r="BN823" s="38"/>
      <c r="BO823" s="38"/>
      <c r="BP823" s="38"/>
      <c r="BQ823" s="38"/>
      <c r="BR823" s="38"/>
      <c r="BS823" s="38"/>
      <c r="BT823" s="38"/>
      <c r="BU823" s="38"/>
      <c r="BV823" s="38"/>
      <c r="BW823" s="38"/>
      <c r="BX823" s="38"/>
      <c r="BY823" s="38"/>
      <c r="BZ823" s="38"/>
      <c r="CA823" s="38"/>
      <c r="CB823" s="38"/>
      <c r="CC823" s="38"/>
      <c r="CD823" s="38"/>
      <c r="CE823" s="38"/>
      <c r="CF823" s="38"/>
      <c r="CG823" s="38"/>
      <c r="CH823" s="38"/>
      <c r="CI823" s="38"/>
      <c r="CJ823" s="38"/>
      <c r="CK823" s="38"/>
      <c r="CL823" s="38"/>
      <c r="CM823" s="38"/>
      <c r="CN823" s="38"/>
      <c r="CO823" s="38"/>
      <c r="CP823" s="38"/>
      <c r="CQ823" s="38"/>
      <c r="CR823" s="38"/>
      <c r="CS823" s="38"/>
      <c r="CT823" s="38"/>
      <c r="CU823" s="38"/>
      <c r="CV823" s="38"/>
      <c r="CW823" s="38"/>
      <c r="CX823" s="38"/>
      <c r="CY823" s="38"/>
      <c r="CZ823" s="38"/>
    </row>
    <row r="824" spans="1:104" s="40" customFormat="1" ht="20.149999999999999" customHeight="1">
      <c r="A824" s="358">
        <f t="shared" si="185"/>
        <v>823</v>
      </c>
      <c r="B824" s="359" t="str">
        <f>'Front Sheet and Checklist'!$C$5</f>
        <v>Swansea Bay UHB</v>
      </c>
      <c r="C824" s="17"/>
      <c r="D824" s="17"/>
      <c r="E824" s="17"/>
      <c r="F824" s="17"/>
      <c r="G824" s="17"/>
      <c r="H824" s="17"/>
      <c r="I824" s="361">
        <f t="shared" si="175"/>
        <v>0</v>
      </c>
      <c r="J824" s="17"/>
      <c r="K824" s="18"/>
      <c r="L824" s="18"/>
      <c r="M824" s="17"/>
      <c r="N824" s="17"/>
      <c r="O824" s="17"/>
      <c r="P824" s="17"/>
      <c r="Q824" s="169"/>
      <c r="R824" s="24"/>
      <c r="S824" s="24"/>
      <c r="T824" s="24"/>
      <c r="U824" s="25"/>
      <c r="V824" s="25"/>
      <c r="W824" s="25"/>
      <c r="X824" s="24"/>
      <c r="Y824" s="24"/>
      <c r="Z824" s="24"/>
      <c r="AA824" s="24"/>
      <c r="AB824" s="24"/>
      <c r="AC824" s="24"/>
      <c r="AD824" s="361">
        <f t="shared" si="174"/>
        <v>0</v>
      </c>
      <c r="AE824" s="359" t="str">
        <f t="shared" si="177"/>
        <v/>
      </c>
      <c r="AF824" s="359" t="str">
        <f t="shared" si="186"/>
        <v/>
      </c>
      <c r="AG824" s="359" t="str">
        <f t="shared" si="178"/>
        <v/>
      </c>
      <c r="AH824" s="359" t="str">
        <f t="shared" si="179"/>
        <v/>
      </c>
      <c r="AI824" s="359" t="str">
        <f t="shared" si="180"/>
        <v/>
      </c>
      <c r="AJ824" s="359" t="str">
        <f t="shared" si="181"/>
        <v/>
      </c>
      <c r="AK824" s="359" t="str">
        <f t="shared" si="183"/>
        <v/>
      </c>
      <c r="AL824" s="359" t="str">
        <f t="shared" si="182"/>
        <v/>
      </c>
      <c r="AM824" s="359" t="str">
        <f t="shared" si="184"/>
        <v/>
      </c>
      <c r="AN824" s="262">
        <f t="shared" si="187"/>
        <v>0</v>
      </c>
      <c r="AO824" s="262" t="str">
        <f>IFERROR(HLOOKUP(AN824,'Ref Lists'!Q$1:AL$2,2,FALSE),'Ref Lists'!$AK$2)</f>
        <v>Savings21</v>
      </c>
      <c r="AP824" s="38"/>
      <c r="AQ824" s="38">
        <f t="shared" si="176"/>
        <v>0</v>
      </c>
      <c r="AR824" s="38"/>
      <c r="AS824" s="38"/>
      <c r="AT824" s="38"/>
      <c r="AU824" s="38"/>
      <c r="AV824" s="38"/>
      <c r="AW824" s="38"/>
      <c r="AX824" s="38"/>
      <c r="AY824" s="38"/>
      <c r="AZ824" s="38"/>
      <c r="BA824" s="38"/>
      <c r="BB824" s="38"/>
      <c r="BC824" s="38"/>
      <c r="BD824" s="38"/>
      <c r="BE824" s="38"/>
      <c r="BF824" s="38"/>
      <c r="BG824" s="38"/>
      <c r="BH824" s="38"/>
      <c r="BI824" s="38"/>
      <c r="BJ824" s="38"/>
      <c r="BK824" s="38"/>
      <c r="BL824" s="38"/>
      <c r="BM824" s="38"/>
      <c r="BN824" s="38"/>
      <c r="BO824" s="38"/>
      <c r="BP824" s="38"/>
      <c r="BQ824" s="38"/>
      <c r="BR824" s="38"/>
      <c r="BS824" s="38"/>
      <c r="BT824" s="38"/>
      <c r="BU824" s="38"/>
      <c r="BV824" s="38"/>
      <c r="BW824" s="38"/>
      <c r="BX824" s="38"/>
      <c r="BY824" s="38"/>
      <c r="BZ824" s="38"/>
      <c r="CA824" s="38"/>
      <c r="CB824" s="38"/>
      <c r="CC824" s="38"/>
      <c r="CD824" s="38"/>
      <c r="CE824" s="38"/>
      <c r="CF824" s="38"/>
      <c r="CG824" s="38"/>
      <c r="CH824" s="38"/>
      <c r="CI824" s="38"/>
      <c r="CJ824" s="38"/>
      <c r="CK824" s="38"/>
      <c r="CL824" s="38"/>
      <c r="CM824" s="38"/>
      <c r="CN824" s="38"/>
      <c r="CO824" s="38"/>
      <c r="CP824" s="38"/>
      <c r="CQ824" s="38"/>
      <c r="CR824" s="38"/>
      <c r="CS824" s="38"/>
      <c r="CT824" s="38"/>
      <c r="CU824" s="38"/>
      <c r="CV824" s="38"/>
      <c r="CW824" s="38"/>
      <c r="CX824" s="38"/>
      <c r="CY824" s="38"/>
      <c r="CZ824" s="38"/>
    </row>
    <row r="825" spans="1:104" s="40" customFormat="1" ht="20.149999999999999" customHeight="1">
      <c r="A825" s="358">
        <f t="shared" si="185"/>
        <v>824</v>
      </c>
      <c r="B825" s="359" t="str">
        <f>'Front Sheet and Checklist'!$C$5</f>
        <v>Swansea Bay UHB</v>
      </c>
      <c r="C825" s="17"/>
      <c r="D825" s="17"/>
      <c r="E825" s="17"/>
      <c r="F825" s="17"/>
      <c r="G825" s="17"/>
      <c r="H825" s="17"/>
      <c r="I825" s="361">
        <f t="shared" si="175"/>
        <v>0</v>
      </c>
      <c r="J825" s="17"/>
      <c r="K825" s="18"/>
      <c r="L825" s="18"/>
      <c r="M825" s="17"/>
      <c r="N825" s="17"/>
      <c r="O825" s="17"/>
      <c r="P825" s="17"/>
      <c r="Q825" s="169"/>
      <c r="R825" s="24"/>
      <c r="S825" s="24"/>
      <c r="T825" s="24"/>
      <c r="U825" s="25"/>
      <c r="V825" s="25"/>
      <c r="W825" s="25"/>
      <c r="X825" s="24"/>
      <c r="Y825" s="24"/>
      <c r="Z825" s="24"/>
      <c r="AA825" s="24"/>
      <c r="AB825" s="24"/>
      <c r="AC825" s="24"/>
      <c r="AD825" s="361">
        <f t="shared" si="174"/>
        <v>0</v>
      </c>
      <c r="AE825" s="359" t="str">
        <f t="shared" si="177"/>
        <v/>
      </c>
      <c r="AF825" s="359" t="str">
        <f t="shared" si="186"/>
        <v/>
      </c>
      <c r="AG825" s="359" t="str">
        <f t="shared" si="178"/>
        <v/>
      </c>
      <c r="AH825" s="359" t="str">
        <f t="shared" si="179"/>
        <v/>
      </c>
      <c r="AI825" s="359" t="str">
        <f t="shared" si="180"/>
        <v/>
      </c>
      <c r="AJ825" s="359" t="str">
        <f t="shared" si="181"/>
        <v/>
      </c>
      <c r="AK825" s="359" t="str">
        <f t="shared" si="183"/>
        <v/>
      </c>
      <c r="AL825" s="359" t="str">
        <f t="shared" si="182"/>
        <v/>
      </c>
      <c r="AM825" s="359" t="str">
        <f t="shared" si="184"/>
        <v/>
      </c>
      <c r="AN825" s="262">
        <f t="shared" si="187"/>
        <v>0</v>
      </c>
      <c r="AO825" s="262" t="str">
        <f>IFERROR(HLOOKUP(AN825,'Ref Lists'!Q$1:AL$2,2,FALSE),'Ref Lists'!$AK$2)</f>
        <v>Savings21</v>
      </c>
      <c r="AP825" s="38"/>
      <c r="AQ825" s="38">
        <f t="shared" si="176"/>
        <v>0</v>
      </c>
      <c r="AR825" s="38"/>
      <c r="AS825" s="38"/>
      <c r="AT825" s="38"/>
      <c r="AU825" s="38"/>
      <c r="AV825" s="38"/>
      <c r="AW825" s="38"/>
      <c r="AX825" s="38"/>
      <c r="AY825" s="38"/>
      <c r="AZ825" s="38"/>
      <c r="BA825" s="38"/>
      <c r="BB825" s="38"/>
      <c r="BC825" s="38"/>
      <c r="BD825" s="38"/>
      <c r="BE825" s="38"/>
      <c r="BF825" s="38"/>
      <c r="BG825" s="38"/>
      <c r="BH825" s="38"/>
      <c r="BI825" s="38"/>
      <c r="BJ825" s="38"/>
      <c r="BK825" s="38"/>
      <c r="BL825" s="38"/>
      <c r="BM825" s="38"/>
      <c r="BN825" s="38"/>
      <c r="BO825" s="38"/>
      <c r="BP825" s="38"/>
      <c r="BQ825" s="38"/>
      <c r="BR825" s="38"/>
      <c r="BS825" s="38"/>
      <c r="BT825" s="38"/>
      <c r="BU825" s="38"/>
      <c r="BV825" s="38"/>
      <c r="BW825" s="38"/>
      <c r="BX825" s="38"/>
      <c r="BY825" s="38"/>
      <c r="BZ825" s="38"/>
      <c r="CA825" s="38"/>
      <c r="CB825" s="38"/>
      <c r="CC825" s="38"/>
      <c r="CD825" s="38"/>
      <c r="CE825" s="38"/>
      <c r="CF825" s="38"/>
      <c r="CG825" s="38"/>
      <c r="CH825" s="38"/>
      <c r="CI825" s="38"/>
      <c r="CJ825" s="38"/>
      <c r="CK825" s="38"/>
      <c r="CL825" s="38"/>
      <c r="CM825" s="38"/>
      <c r="CN825" s="38"/>
      <c r="CO825" s="38"/>
      <c r="CP825" s="38"/>
      <c r="CQ825" s="38"/>
      <c r="CR825" s="38"/>
      <c r="CS825" s="38"/>
      <c r="CT825" s="38"/>
      <c r="CU825" s="38"/>
      <c r="CV825" s="38"/>
      <c r="CW825" s="38"/>
      <c r="CX825" s="38"/>
      <c r="CY825" s="38"/>
      <c r="CZ825" s="38"/>
    </row>
    <row r="826" spans="1:104" s="40" customFormat="1" ht="20.149999999999999" customHeight="1">
      <c r="A826" s="358">
        <f t="shared" si="185"/>
        <v>825</v>
      </c>
      <c r="B826" s="359" t="str">
        <f>'Front Sheet and Checklist'!$C$5</f>
        <v>Swansea Bay UHB</v>
      </c>
      <c r="C826" s="17"/>
      <c r="D826" s="17"/>
      <c r="E826" s="17"/>
      <c r="F826" s="17"/>
      <c r="G826" s="17"/>
      <c r="H826" s="17"/>
      <c r="I826" s="361">
        <f t="shared" si="175"/>
        <v>0</v>
      </c>
      <c r="J826" s="17"/>
      <c r="K826" s="18"/>
      <c r="L826" s="18"/>
      <c r="M826" s="17"/>
      <c r="N826" s="17"/>
      <c r="O826" s="17"/>
      <c r="P826" s="17"/>
      <c r="Q826" s="169"/>
      <c r="R826" s="24"/>
      <c r="S826" s="24"/>
      <c r="T826" s="24"/>
      <c r="U826" s="25"/>
      <c r="V826" s="25"/>
      <c r="W826" s="25"/>
      <c r="X826" s="24"/>
      <c r="Y826" s="24"/>
      <c r="Z826" s="24"/>
      <c r="AA826" s="24"/>
      <c r="AB826" s="24"/>
      <c r="AC826" s="24"/>
      <c r="AD826" s="361">
        <f t="shared" ref="AD826:AD889" si="188">SUM(R826:AC826)</f>
        <v>0</v>
      </c>
      <c r="AE826" s="359" t="str">
        <f t="shared" si="177"/>
        <v/>
      </c>
      <c r="AF826" s="359" t="str">
        <f t="shared" si="186"/>
        <v/>
      </c>
      <c r="AG826" s="359" t="str">
        <f t="shared" si="178"/>
        <v/>
      </c>
      <c r="AH826" s="359" t="str">
        <f t="shared" si="179"/>
        <v/>
      </c>
      <c r="AI826" s="359" t="str">
        <f t="shared" si="180"/>
        <v/>
      </c>
      <c r="AJ826" s="359" t="str">
        <f t="shared" si="181"/>
        <v/>
      </c>
      <c r="AK826" s="359" t="str">
        <f t="shared" si="183"/>
        <v/>
      </c>
      <c r="AL826" s="359" t="str">
        <f t="shared" si="182"/>
        <v/>
      </c>
      <c r="AM826" s="359" t="str">
        <f t="shared" si="184"/>
        <v/>
      </c>
      <c r="AN826" s="262">
        <f t="shared" si="187"/>
        <v>0</v>
      </c>
      <c r="AO826" s="262" t="str">
        <f>IFERROR(HLOOKUP(AN826,'Ref Lists'!Q$1:AL$2,2,FALSE),'Ref Lists'!$AK$2)</f>
        <v>Savings21</v>
      </c>
      <c r="AP826" s="38"/>
      <c r="AQ826" s="38">
        <f t="shared" si="176"/>
        <v>0</v>
      </c>
      <c r="AR826" s="38"/>
      <c r="AS826" s="38"/>
      <c r="AT826" s="38"/>
      <c r="AU826" s="38"/>
      <c r="AV826" s="38"/>
      <c r="AW826" s="38"/>
      <c r="AX826" s="38"/>
      <c r="AY826" s="38"/>
      <c r="AZ826" s="38"/>
      <c r="BA826" s="38"/>
      <c r="BB826" s="38"/>
      <c r="BC826" s="38"/>
      <c r="BD826" s="38"/>
      <c r="BE826" s="38"/>
      <c r="BF826" s="38"/>
      <c r="BG826" s="38"/>
      <c r="BH826" s="38"/>
      <c r="BI826" s="38"/>
      <c r="BJ826" s="38"/>
      <c r="BK826" s="38"/>
      <c r="BL826" s="38"/>
      <c r="BM826" s="38"/>
      <c r="BN826" s="38"/>
      <c r="BO826" s="38"/>
      <c r="BP826" s="38"/>
      <c r="BQ826" s="38"/>
      <c r="BR826" s="38"/>
      <c r="BS826" s="38"/>
      <c r="BT826" s="38"/>
      <c r="BU826" s="38"/>
      <c r="BV826" s="38"/>
      <c r="BW826" s="38"/>
      <c r="BX826" s="38"/>
      <c r="BY826" s="38"/>
      <c r="BZ826" s="38"/>
      <c r="CA826" s="38"/>
      <c r="CB826" s="38"/>
      <c r="CC826" s="38"/>
      <c r="CD826" s="38"/>
      <c r="CE826" s="38"/>
      <c r="CF826" s="38"/>
      <c r="CG826" s="38"/>
      <c r="CH826" s="38"/>
      <c r="CI826" s="38"/>
      <c r="CJ826" s="38"/>
      <c r="CK826" s="38"/>
      <c r="CL826" s="38"/>
      <c r="CM826" s="38"/>
      <c r="CN826" s="38"/>
      <c r="CO826" s="38"/>
      <c r="CP826" s="38"/>
      <c r="CQ826" s="38"/>
      <c r="CR826" s="38"/>
      <c r="CS826" s="38"/>
      <c r="CT826" s="38"/>
      <c r="CU826" s="38"/>
      <c r="CV826" s="38"/>
      <c r="CW826" s="38"/>
      <c r="CX826" s="38"/>
      <c r="CY826" s="38"/>
      <c r="CZ826" s="38"/>
    </row>
    <row r="827" spans="1:104" s="40" customFormat="1" ht="20.149999999999999" customHeight="1">
      <c r="A827" s="358">
        <f t="shared" si="185"/>
        <v>826</v>
      </c>
      <c r="B827" s="359" t="str">
        <f>'Front Sheet and Checklist'!$C$5</f>
        <v>Swansea Bay UHB</v>
      </c>
      <c r="C827" s="17"/>
      <c r="D827" s="17"/>
      <c r="E827" s="17"/>
      <c r="F827" s="17"/>
      <c r="G827" s="17"/>
      <c r="H827" s="17"/>
      <c r="I827" s="361">
        <f t="shared" ref="I827:I890" si="189">AD827</f>
        <v>0</v>
      </c>
      <c r="J827" s="17"/>
      <c r="K827" s="18"/>
      <c r="L827" s="18"/>
      <c r="M827" s="17"/>
      <c r="N827" s="17"/>
      <c r="O827" s="17"/>
      <c r="P827" s="17"/>
      <c r="Q827" s="169"/>
      <c r="R827" s="24"/>
      <c r="S827" s="24"/>
      <c r="T827" s="24"/>
      <c r="U827" s="25"/>
      <c r="V827" s="25"/>
      <c r="W827" s="25"/>
      <c r="X827" s="24"/>
      <c r="Y827" s="24"/>
      <c r="Z827" s="24"/>
      <c r="AA827" s="24"/>
      <c r="AB827" s="24"/>
      <c r="AC827" s="24"/>
      <c r="AD827" s="361">
        <f t="shared" si="188"/>
        <v>0</v>
      </c>
      <c r="AE827" s="359" t="str">
        <f t="shared" si="177"/>
        <v/>
      </c>
      <c r="AF827" s="359" t="str">
        <f t="shared" si="186"/>
        <v/>
      </c>
      <c r="AG827" s="359" t="str">
        <f t="shared" si="178"/>
        <v/>
      </c>
      <c r="AH827" s="359" t="str">
        <f t="shared" si="179"/>
        <v/>
      </c>
      <c r="AI827" s="359" t="str">
        <f t="shared" si="180"/>
        <v/>
      </c>
      <c r="AJ827" s="359" t="str">
        <f t="shared" si="181"/>
        <v/>
      </c>
      <c r="AK827" s="359" t="str">
        <f t="shared" si="183"/>
        <v/>
      </c>
      <c r="AL827" s="359" t="str">
        <f t="shared" si="182"/>
        <v/>
      </c>
      <c r="AM827" s="359" t="str">
        <f t="shared" si="184"/>
        <v/>
      </c>
      <c r="AN827" s="262">
        <f t="shared" si="187"/>
        <v>0</v>
      </c>
      <c r="AO827" s="262" t="str">
        <f>IFERROR(HLOOKUP(AN827,'Ref Lists'!Q$1:AL$2,2,FALSE),'Ref Lists'!$AK$2)</f>
        <v>Savings21</v>
      </c>
      <c r="AP827" s="38"/>
      <c r="AQ827" s="38">
        <f t="shared" ref="AQ827:AQ890" si="190">COUNTIFS(AE827:AL827,"Error")</f>
        <v>0</v>
      </c>
      <c r="AR827" s="38"/>
      <c r="AS827" s="38"/>
      <c r="AT827" s="38"/>
      <c r="AU827" s="38"/>
      <c r="AV827" s="38"/>
      <c r="AW827" s="38"/>
      <c r="AX827" s="38"/>
      <c r="AY827" s="38"/>
      <c r="AZ827" s="38"/>
      <c r="BA827" s="38"/>
      <c r="BB827" s="38"/>
      <c r="BC827" s="38"/>
      <c r="BD827" s="38"/>
      <c r="BE827" s="38"/>
      <c r="BF827" s="38"/>
      <c r="BG827" s="38"/>
      <c r="BH827" s="38"/>
      <c r="BI827" s="38"/>
      <c r="BJ827" s="38"/>
      <c r="BK827" s="38"/>
      <c r="BL827" s="38"/>
      <c r="BM827" s="38"/>
      <c r="BN827" s="38"/>
      <c r="BO827" s="38"/>
      <c r="BP827" s="38"/>
      <c r="BQ827" s="38"/>
      <c r="BR827" s="38"/>
      <c r="BS827" s="38"/>
      <c r="BT827" s="38"/>
      <c r="BU827" s="38"/>
      <c r="BV827" s="38"/>
      <c r="BW827" s="38"/>
      <c r="BX827" s="38"/>
      <c r="BY827" s="38"/>
      <c r="BZ827" s="38"/>
      <c r="CA827" s="38"/>
      <c r="CB827" s="38"/>
      <c r="CC827" s="38"/>
      <c r="CD827" s="38"/>
      <c r="CE827" s="38"/>
      <c r="CF827" s="38"/>
      <c r="CG827" s="38"/>
      <c r="CH827" s="38"/>
      <c r="CI827" s="38"/>
      <c r="CJ827" s="38"/>
      <c r="CK827" s="38"/>
      <c r="CL827" s="38"/>
      <c r="CM827" s="38"/>
      <c r="CN827" s="38"/>
      <c r="CO827" s="38"/>
      <c r="CP827" s="38"/>
      <c r="CQ827" s="38"/>
      <c r="CR827" s="38"/>
      <c r="CS827" s="38"/>
      <c r="CT827" s="38"/>
      <c r="CU827" s="38"/>
      <c r="CV827" s="38"/>
      <c r="CW827" s="38"/>
      <c r="CX827" s="38"/>
      <c r="CY827" s="38"/>
      <c r="CZ827" s="38"/>
    </row>
    <row r="828" spans="1:104" s="40" customFormat="1" ht="20.149999999999999" customHeight="1">
      <c r="A828" s="358">
        <f t="shared" si="185"/>
        <v>827</v>
      </c>
      <c r="B828" s="359" t="str">
        <f>'Front Sheet and Checklist'!$C$5</f>
        <v>Swansea Bay UHB</v>
      </c>
      <c r="C828" s="17"/>
      <c r="D828" s="17"/>
      <c r="E828" s="17"/>
      <c r="F828" s="17"/>
      <c r="G828" s="17"/>
      <c r="H828" s="17"/>
      <c r="I828" s="361">
        <f t="shared" si="189"/>
        <v>0</v>
      </c>
      <c r="J828" s="17"/>
      <c r="K828" s="18"/>
      <c r="L828" s="18"/>
      <c r="M828" s="17"/>
      <c r="N828" s="17"/>
      <c r="O828" s="17"/>
      <c r="P828" s="17"/>
      <c r="Q828" s="169"/>
      <c r="R828" s="24"/>
      <c r="S828" s="24"/>
      <c r="T828" s="24"/>
      <c r="U828" s="25"/>
      <c r="V828" s="25"/>
      <c r="W828" s="25"/>
      <c r="X828" s="24"/>
      <c r="Y828" s="24"/>
      <c r="Z828" s="24"/>
      <c r="AA828" s="24"/>
      <c r="AB828" s="24"/>
      <c r="AC828" s="24"/>
      <c r="AD828" s="361">
        <f t="shared" si="188"/>
        <v>0</v>
      </c>
      <c r="AE828" s="359" t="str">
        <f t="shared" si="177"/>
        <v/>
      </c>
      <c r="AF828" s="359" t="str">
        <f t="shared" si="186"/>
        <v/>
      </c>
      <c r="AG828" s="359" t="str">
        <f t="shared" si="178"/>
        <v/>
      </c>
      <c r="AH828" s="359" t="str">
        <f t="shared" si="179"/>
        <v/>
      </c>
      <c r="AI828" s="359" t="str">
        <f t="shared" si="180"/>
        <v/>
      </c>
      <c r="AJ828" s="359" t="str">
        <f t="shared" si="181"/>
        <v/>
      </c>
      <c r="AK828" s="359" t="str">
        <f t="shared" si="183"/>
        <v/>
      </c>
      <c r="AL828" s="359" t="str">
        <f t="shared" si="182"/>
        <v/>
      </c>
      <c r="AM828" s="359" t="str">
        <f t="shared" si="184"/>
        <v/>
      </c>
      <c r="AN828" s="262">
        <f t="shared" si="187"/>
        <v>0</v>
      </c>
      <c r="AO828" s="262" t="str">
        <f>IFERROR(HLOOKUP(AN828,'Ref Lists'!Q$1:AL$2,2,FALSE),'Ref Lists'!$AK$2)</f>
        <v>Savings21</v>
      </c>
      <c r="AP828" s="38"/>
      <c r="AQ828" s="38">
        <f t="shared" si="190"/>
        <v>0</v>
      </c>
      <c r="AR828" s="38"/>
      <c r="AS828" s="38"/>
      <c r="AT828" s="38"/>
      <c r="AU828" s="38"/>
      <c r="AV828" s="38"/>
      <c r="AW828" s="38"/>
      <c r="AX828" s="38"/>
      <c r="AY828" s="38"/>
      <c r="AZ828" s="38"/>
      <c r="BA828" s="38"/>
      <c r="BB828" s="38"/>
      <c r="BC828" s="38"/>
      <c r="BD828" s="38"/>
      <c r="BE828" s="38"/>
      <c r="BF828" s="38"/>
      <c r="BG828" s="38"/>
      <c r="BH828" s="38"/>
      <c r="BI828" s="38"/>
      <c r="BJ828" s="38"/>
      <c r="BK828" s="38"/>
      <c r="BL828" s="38"/>
      <c r="BM828" s="38"/>
      <c r="BN828" s="38"/>
      <c r="BO828" s="38"/>
      <c r="BP828" s="38"/>
      <c r="BQ828" s="38"/>
      <c r="BR828" s="38"/>
      <c r="BS828" s="38"/>
      <c r="BT828" s="38"/>
      <c r="BU828" s="38"/>
      <c r="BV828" s="38"/>
      <c r="BW828" s="38"/>
      <c r="BX828" s="38"/>
      <c r="BY828" s="38"/>
      <c r="BZ828" s="38"/>
      <c r="CA828" s="38"/>
      <c r="CB828" s="38"/>
      <c r="CC828" s="38"/>
      <c r="CD828" s="38"/>
      <c r="CE828" s="38"/>
      <c r="CF828" s="38"/>
      <c r="CG828" s="38"/>
      <c r="CH828" s="38"/>
      <c r="CI828" s="38"/>
      <c r="CJ828" s="38"/>
      <c r="CK828" s="38"/>
      <c r="CL828" s="38"/>
      <c r="CM828" s="38"/>
      <c r="CN828" s="38"/>
      <c r="CO828" s="38"/>
      <c r="CP828" s="38"/>
      <c r="CQ828" s="38"/>
      <c r="CR828" s="38"/>
      <c r="CS828" s="38"/>
      <c r="CT828" s="38"/>
      <c r="CU828" s="38"/>
      <c r="CV828" s="38"/>
      <c r="CW828" s="38"/>
      <c r="CX828" s="38"/>
      <c r="CY828" s="38"/>
      <c r="CZ828" s="38"/>
    </row>
    <row r="829" spans="1:104" s="40" customFormat="1" ht="20.149999999999999" customHeight="1">
      <c r="A829" s="358">
        <f t="shared" si="185"/>
        <v>828</v>
      </c>
      <c r="B829" s="359" t="str">
        <f>'Front Sheet and Checklist'!$C$5</f>
        <v>Swansea Bay UHB</v>
      </c>
      <c r="C829" s="17"/>
      <c r="D829" s="17"/>
      <c r="E829" s="17"/>
      <c r="F829" s="17"/>
      <c r="G829" s="17"/>
      <c r="H829" s="17"/>
      <c r="I829" s="361">
        <f t="shared" si="189"/>
        <v>0</v>
      </c>
      <c r="J829" s="17"/>
      <c r="K829" s="18"/>
      <c r="L829" s="18"/>
      <c r="M829" s="17"/>
      <c r="N829" s="17"/>
      <c r="O829" s="17"/>
      <c r="P829" s="17"/>
      <c r="Q829" s="169"/>
      <c r="R829" s="24"/>
      <c r="S829" s="24"/>
      <c r="T829" s="24"/>
      <c r="U829" s="25"/>
      <c r="V829" s="25"/>
      <c r="W829" s="25"/>
      <c r="X829" s="24"/>
      <c r="Y829" s="24"/>
      <c r="Z829" s="24"/>
      <c r="AA829" s="24"/>
      <c r="AB829" s="24"/>
      <c r="AC829" s="24"/>
      <c r="AD829" s="361">
        <f t="shared" si="188"/>
        <v>0</v>
      </c>
      <c r="AE829" s="359" t="str">
        <f t="shared" si="177"/>
        <v/>
      </c>
      <c r="AF829" s="359" t="str">
        <f t="shared" si="186"/>
        <v/>
      </c>
      <c r="AG829" s="359" t="str">
        <f t="shared" si="178"/>
        <v/>
      </c>
      <c r="AH829" s="359" t="str">
        <f t="shared" si="179"/>
        <v/>
      </c>
      <c r="AI829" s="359" t="str">
        <f t="shared" si="180"/>
        <v/>
      </c>
      <c r="AJ829" s="359" t="str">
        <f t="shared" si="181"/>
        <v/>
      </c>
      <c r="AK829" s="359" t="str">
        <f t="shared" si="183"/>
        <v/>
      </c>
      <c r="AL829" s="359" t="str">
        <f t="shared" si="182"/>
        <v/>
      </c>
      <c r="AM829" s="359" t="str">
        <f t="shared" si="184"/>
        <v/>
      </c>
      <c r="AN829" s="262">
        <f t="shared" si="187"/>
        <v>0</v>
      </c>
      <c r="AO829" s="262" t="str">
        <f>IFERROR(HLOOKUP(AN829,'Ref Lists'!Q$1:AL$2,2,FALSE),'Ref Lists'!$AK$2)</f>
        <v>Savings21</v>
      </c>
      <c r="AP829" s="38"/>
      <c r="AQ829" s="38">
        <f t="shared" si="190"/>
        <v>0</v>
      </c>
      <c r="AR829" s="38"/>
      <c r="AS829" s="38"/>
      <c r="AT829" s="38"/>
      <c r="AU829" s="38"/>
      <c r="AV829" s="38"/>
      <c r="AW829" s="38"/>
      <c r="AX829" s="38"/>
      <c r="AY829" s="38"/>
      <c r="AZ829" s="38"/>
      <c r="BA829" s="38"/>
      <c r="BB829" s="38"/>
      <c r="BC829" s="38"/>
      <c r="BD829" s="38"/>
      <c r="BE829" s="38"/>
      <c r="BF829" s="38"/>
      <c r="BG829" s="38"/>
      <c r="BH829" s="38"/>
      <c r="BI829" s="38"/>
      <c r="BJ829" s="38"/>
      <c r="BK829" s="38"/>
      <c r="BL829" s="38"/>
      <c r="BM829" s="38"/>
      <c r="BN829" s="38"/>
      <c r="BO829" s="38"/>
      <c r="BP829" s="38"/>
      <c r="BQ829" s="38"/>
      <c r="BR829" s="38"/>
      <c r="BS829" s="38"/>
      <c r="BT829" s="38"/>
      <c r="BU829" s="38"/>
      <c r="BV829" s="38"/>
      <c r="BW829" s="38"/>
      <c r="BX829" s="38"/>
      <c r="BY829" s="38"/>
      <c r="BZ829" s="38"/>
      <c r="CA829" s="38"/>
      <c r="CB829" s="38"/>
      <c r="CC829" s="38"/>
      <c r="CD829" s="38"/>
      <c r="CE829" s="38"/>
      <c r="CF829" s="38"/>
      <c r="CG829" s="38"/>
      <c r="CH829" s="38"/>
      <c r="CI829" s="38"/>
      <c r="CJ829" s="38"/>
      <c r="CK829" s="38"/>
      <c r="CL829" s="38"/>
      <c r="CM829" s="38"/>
      <c r="CN829" s="38"/>
      <c r="CO829" s="38"/>
      <c r="CP829" s="38"/>
      <c r="CQ829" s="38"/>
      <c r="CR829" s="38"/>
      <c r="CS829" s="38"/>
      <c r="CT829" s="38"/>
      <c r="CU829" s="38"/>
      <c r="CV829" s="38"/>
      <c r="CW829" s="38"/>
      <c r="CX829" s="38"/>
      <c r="CY829" s="38"/>
      <c r="CZ829" s="38"/>
    </row>
    <row r="830" spans="1:104" s="40" customFormat="1" ht="20.149999999999999" customHeight="1">
      <c r="A830" s="358">
        <f t="shared" si="185"/>
        <v>829</v>
      </c>
      <c r="B830" s="359" t="str">
        <f>'Front Sheet and Checklist'!$C$5</f>
        <v>Swansea Bay UHB</v>
      </c>
      <c r="C830" s="17"/>
      <c r="D830" s="17"/>
      <c r="E830" s="17"/>
      <c r="F830" s="17"/>
      <c r="G830" s="17"/>
      <c r="H830" s="17"/>
      <c r="I830" s="361">
        <f t="shared" si="189"/>
        <v>0</v>
      </c>
      <c r="J830" s="17"/>
      <c r="K830" s="18"/>
      <c r="L830" s="18"/>
      <c r="M830" s="17"/>
      <c r="N830" s="17"/>
      <c r="O830" s="17"/>
      <c r="P830" s="17"/>
      <c r="Q830" s="169"/>
      <c r="R830" s="24"/>
      <c r="S830" s="24"/>
      <c r="T830" s="24"/>
      <c r="U830" s="25"/>
      <c r="V830" s="25"/>
      <c r="W830" s="25"/>
      <c r="X830" s="24"/>
      <c r="Y830" s="24"/>
      <c r="Z830" s="24"/>
      <c r="AA830" s="24"/>
      <c r="AB830" s="24"/>
      <c r="AC830" s="24"/>
      <c r="AD830" s="361">
        <f t="shared" si="188"/>
        <v>0</v>
      </c>
      <c r="AE830" s="359" t="str">
        <f t="shared" si="177"/>
        <v/>
      </c>
      <c r="AF830" s="359" t="str">
        <f t="shared" si="186"/>
        <v/>
      </c>
      <c r="AG830" s="359" t="str">
        <f t="shared" si="178"/>
        <v/>
      </c>
      <c r="AH830" s="359" t="str">
        <f t="shared" si="179"/>
        <v/>
      </c>
      <c r="AI830" s="359" t="str">
        <f t="shared" si="180"/>
        <v/>
      </c>
      <c r="AJ830" s="359" t="str">
        <f t="shared" si="181"/>
        <v/>
      </c>
      <c r="AK830" s="359" t="str">
        <f t="shared" si="183"/>
        <v/>
      </c>
      <c r="AL830" s="359" t="str">
        <f t="shared" si="182"/>
        <v/>
      </c>
      <c r="AM830" s="359" t="str">
        <f t="shared" si="184"/>
        <v/>
      </c>
      <c r="AN830" s="262">
        <f t="shared" si="187"/>
        <v>0</v>
      </c>
      <c r="AO830" s="262" t="str">
        <f>IFERROR(HLOOKUP(AN830,'Ref Lists'!Q$1:AL$2,2,FALSE),'Ref Lists'!$AK$2)</f>
        <v>Savings21</v>
      </c>
      <c r="AP830" s="38"/>
      <c r="AQ830" s="38">
        <f t="shared" si="190"/>
        <v>0</v>
      </c>
      <c r="AR830" s="38"/>
      <c r="AS830" s="38"/>
      <c r="AT830" s="38"/>
      <c r="AU830" s="38"/>
      <c r="AV830" s="38"/>
      <c r="AW830" s="38"/>
      <c r="AX830" s="38"/>
      <c r="AY830" s="38"/>
      <c r="AZ830" s="38"/>
      <c r="BA830" s="38"/>
      <c r="BB830" s="38"/>
      <c r="BC830" s="38"/>
      <c r="BD830" s="38"/>
      <c r="BE830" s="38"/>
      <c r="BF830" s="38"/>
      <c r="BG830" s="38"/>
      <c r="BH830" s="38"/>
      <c r="BI830" s="38"/>
      <c r="BJ830" s="38"/>
      <c r="BK830" s="38"/>
      <c r="BL830" s="38"/>
      <c r="BM830" s="38"/>
      <c r="BN830" s="38"/>
      <c r="BO830" s="38"/>
      <c r="BP830" s="38"/>
      <c r="BQ830" s="38"/>
      <c r="BR830" s="38"/>
      <c r="BS830" s="38"/>
      <c r="BT830" s="38"/>
      <c r="BU830" s="38"/>
      <c r="BV830" s="38"/>
      <c r="BW830" s="38"/>
      <c r="BX830" s="38"/>
      <c r="BY830" s="38"/>
      <c r="BZ830" s="38"/>
      <c r="CA830" s="38"/>
      <c r="CB830" s="38"/>
      <c r="CC830" s="38"/>
      <c r="CD830" s="38"/>
      <c r="CE830" s="38"/>
      <c r="CF830" s="38"/>
      <c r="CG830" s="38"/>
      <c r="CH830" s="38"/>
      <c r="CI830" s="38"/>
      <c r="CJ830" s="38"/>
      <c r="CK830" s="38"/>
      <c r="CL830" s="38"/>
      <c r="CM830" s="38"/>
      <c r="CN830" s="38"/>
      <c r="CO830" s="38"/>
      <c r="CP830" s="38"/>
      <c r="CQ830" s="38"/>
      <c r="CR830" s="38"/>
      <c r="CS830" s="38"/>
      <c r="CT830" s="38"/>
      <c r="CU830" s="38"/>
      <c r="CV830" s="38"/>
      <c r="CW830" s="38"/>
      <c r="CX830" s="38"/>
      <c r="CY830" s="38"/>
      <c r="CZ830" s="38"/>
    </row>
    <row r="831" spans="1:104" s="40" customFormat="1" ht="20.149999999999999" customHeight="1">
      <c r="A831" s="358">
        <f t="shared" si="185"/>
        <v>830</v>
      </c>
      <c r="B831" s="359" t="str">
        <f>'Front Sheet and Checklist'!$C$5</f>
        <v>Swansea Bay UHB</v>
      </c>
      <c r="C831" s="17"/>
      <c r="D831" s="17"/>
      <c r="E831" s="17"/>
      <c r="F831" s="17"/>
      <c r="G831" s="17"/>
      <c r="H831" s="17"/>
      <c r="I831" s="361">
        <f t="shared" si="189"/>
        <v>0</v>
      </c>
      <c r="J831" s="17"/>
      <c r="K831" s="18"/>
      <c r="L831" s="18"/>
      <c r="M831" s="17"/>
      <c r="N831" s="17"/>
      <c r="O831" s="17"/>
      <c r="P831" s="17"/>
      <c r="Q831" s="169"/>
      <c r="R831" s="24"/>
      <c r="S831" s="24"/>
      <c r="T831" s="24"/>
      <c r="U831" s="25"/>
      <c r="V831" s="25"/>
      <c r="W831" s="25"/>
      <c r="X831" s="24"/>
      <c r="Y831" s="24"/>
      <c r="Z831" s="24"/>
      <c r="AA831" s="24"/>
      <c r="AB831" s="24"/>
      <c r="AC831" s="24"/>
      <c r="AD831" s="361">
        <f t="shared" si="188"/>
        <v>0</v>
      </c>
      <c r="AE831" s="359" t="str">
        <f t="shared" si="177"/>
        <v/>
      </c>
      <c r="AF831" s="359" t="str">
        <f t="shared" si="186"/>
        <v/>
      </c>
      <c r="AG831" s="359" t="str">
        <f t="shared" si="178"/>
        <v/>
      </c>
      <c r="AH831" s="359" t="str">
        <f t="shared" si="179"/>
        <v/>
      </c>
      <c r="AI831" s="359" t="str">
        <f t="shared" si="180"/>
        <v/>
      </c>
      <c r="AJ831" s="359" t="str">
        <f t="shared" si="181"/>
        <v/>
      </c>
      <c r="AK831" s="359" t="str">
        <f t="shared" si="183"/>
        <v/>
      </c>
      <c r="AL831" s="359" t="str">
        <f t="shared" si="182"/>
        <v/>
      </c>
      <c r="AM831" s="359" t="str">
        <f t="shared" si="184"/>
        <v/>
      </c>
      <c r="AN831" s="262">
        <f t="shared" si="187"/>
        <v>0</v>
      </c>
      <c r="AO831" s="262" t="str">
        <f>IFERROR(HLOOKUP(AN831,'Ref Lists'!Q$1:AL$2,2,FALSE),'Ref Lists'!$AK$2)</f>
        <v>Savings21</v>
      </c>
      <c r="AP831" s="38"/>
      <c r="AQ831" s="38">
        <f t="shared" si="190"/>
        <v>0</v>
      </c>
      <c r="AR831" s="38"/>
      <c r="AS831" s="38"/>
      <c r="AT831" s="38"/>
      <c r="AU831" s="38"/>
      <c r="AV831" s="38"/>
      <c r="AW831" s="38"/>
      <c r="AX831" s="38"/>
      <c r="AY831" s="38"/>
      <c r="AZ831" s="38"/>
      <c r="BA831" s="38"/>
      <c r="BB831" s="38"/>
      <c r="BC831" s="38"/>
      <c r="BD831" s="38"/>
      <c r="BE831" s="38"/>
      <c r="BF831" s="38"/>
      <c r="BG831" s="38"/>
      <c r="BH831" s="38"/>
      <c r="BI831" s="38"/>
      <c r="BJ831" s="38"/>
      <c r="BK831" s="38"/>
      <c r="BL831" s="38"/>
      <c r="BM831" s="38"/>
      <c r="BN831" s="38"/>
      <c r="BO831" s="38"/>
      <c r="BP831" s="38"/>
      <c r="BQ831" s="38"/>
      <c r="BR831" s="38"/>
      <c r="BS831" s="38"/>
      <c r="BT831" s="38"/>
      <c r="BU831" s="38"/>
      <c r="BV831" s="38"/>
      <c r="BW831" s="38"/>
      <c r="BX831" s="38"/>
      <c r="BY831" s="38"/>
      <c r="BZ831" s="38"/>
      <c r="CA831" s="38"/>
      <c r="CB831" s="38"/>
      <c r="CC831" s="38"/>
      <c r="CD831" s="38"/>
      <c r="CE831" s="38"/>
      <c r="CF831" s="38"/>
      <c r="CG831" s="38"/>
      <c r="CH831" s="38"/>
      <c r="CI831" s="38"/>
      <c r="CJ831" s="38"/>
      <c r="CK831" s="38"/>
      <c r="CL831" s="38"/>
      <c r="CM831" s="38"/>
      <c r="CN831" s="38"/>
      <c r="CO831" s="38"/>
      <c r="CP831" s="38"/>
      <c r="CQ831" s="38"/>
      <c r="CR831" s="38"/>
      <c r="CS831" s="38"/>
      <c r="CT831" s="38"/>
      <c r="CU831" s="38"/>
      <c r="CV831" s="38"/>
      <c r="CW831" s="38"/>
      <c r="CX831" s="38"/>
      <c r="CY831" s="38"/>
      <c r="CZ831" s="38"/>
    </row>
    <row r="832" spans="1:104" s="40" customFormat="1" ht="20.149999999999999" customHeight="1">
      <c r="A832" s="358">
        <f t="shared" si="185"/>
        <v>831</v>
      </c>
      <c r="B832" s="359" t="str">
        <f>'Front Sheet and Checklist'!$C$5</f>
        <v>Swansea Bay UHB</v>
      </c>
      <c r="C832" s="17"/>
      <c r="D832" s="17"/>
      <c r="E832" s="17"/>
      <c r="F832" s="17"/>
      <c r="G832" s="17"/>
      <c r="H832" s="17"/>
      <c r="I832" s="361">
        <f t="shared" si="189"/>
        <v>0</v>
      </c>
      <c r="J832" s="17"/>
      <c r="K832" s="18"/>
      <c r="L832" s="18"/>
      <c r="M832" s="17"/>
      <c r="N832" s="17"/>
      <c r="O832" s="17"/>
      <c r="P832" s="17"/>
      <c r="Q832" s="169"/>
      <c r="R832" s="24"/>
      <c r="S832" s="24"/>
      <c r="T832" s="24"/>
      <c r="U832" s="25"/>
      <c r="V832" s="25"/>
      <c r="W832" s="25"/>
      <c r="X832" s="24"/>
      <c r="Y832" s="24"/>
      <c r="Z832" s="24"/>
      <c r="AA832" s="24"/>
      <c r="AB832" s="24"/>
      <c r="AC832" s="24"/>
      <c r="AD832" s="361">
        <f t="shared" si="188"/>
        <v>0</v>
      </c>
      <c r="AE832" s="359" t="str">
        <f t="shared" si="177"/>
        <v/>
      </c>
      <c r="AF832" s="359" t="str">
        <f t="shared" si="186"/>
        <v/>
      </c>
      <c r="AG832" s="359" t="str">
        <f t="shared" si="178"/>
        <v/>
      </c>
      <c r="AH832" s="359" t="str">
        <f t="shared" si="179"/>
        <v/>
      </c>
      <c r="AI832" s="359" t="str">
        <f t="shared" si="180"/>
        <v/>
      </c>
      <c r="AJ832" s="359" t="str">
        <f t="shared" si="181"/>
        <v/>
      </c>
      <c r="AK832" s="359" t="str">
        <f t="shared" si="183"/>
        <v/>
      </c>
      <c r="AL832" s="359" t="str">
        <f t="shared" si="182"/>
        <v/>
      </c>
      <c r="AM832" s="359" t="str">
        <f t="shared" si="184"/>
        <v/>
      </c>
      <c r="AN832" s="262">
        <f t="shared" si="187"/>
        <v>0</v>
      </c>
      <c r="AO832" s="262" t="str">
        <f>IFERROR(HLOOKUP(AN832,'Ref Lists'!Q$1:AL$2,2,FALSE),'Ref Lists'!$AK$2)</f>
        <v>Savings21</v>
      </c>
      <c r="AP832" s="38"/>
      <c r="AQ832" s="38">
        <f t="shared" si="190"/>
        <v>0</v>
      </c>
      <c r="AR832" s="38"/>
      <c r="AS832" s="38"/>
      <c r="AT832" s="38"/>
      <c r="AU832" s="38"/>
      <c r="AV832" s="38"/>
      <c r="AW832" s="38"/>
      <c r="AX832" s="38"/>
      <c r="AY832" s="38"/>
      <c r="AZ832" s="38"/>
      <c r="BA832" s="38"/>
      <c r="BB832" s="38"/>
      <c r="BC832" s="38"/>
      <c r="BD832" s="38"/>
      <c r="BE832" s="38"/>
      <c r="BF832" s="38"/>
      <c r="BG832" s="38"/>
      <c r="BH832" s="38"/>
      <c r="BI832" s="38"/>
      <c r="BJ832" s="38"/>
      <c r="BK832" s="38"/>
      <c r="BL832" s="38"/>
      <c r="BM832" s="38"/>
      <c r="BN832" s="38"/>
      <c r="BO832" s="38"/>
      <c r="BP832" s="38"/>
      <c r="BQ832" s="38"/>
      <c r="BR832" s="38"/>
      <c r="BS832" s="38"/>
      <c r="BT832" s="38"/>
      <c r="BU832" s="38"/>
      <c r="BV832" s="38"/>
      <c r="BW832" s="38"/>
      <c r="BX832" s="38"/>
      <c r="BY832" s="38"/>
      <c r="BZ832" s="38"/>
      <c r="CA832" s="38"/>
      <c r="CB832" s="38"/>
      <c r="CC832" s="38"/>
      <c r="CD832" s="38"/>
      <c r="CE832" s="38"/>
      <c r="CF832" s="38"/>
      <c r="CG832" s="38"/>
      <c r="CH832" s="38"/>
      <c r="CI832" s="38"/>
      <c r="CJ832" s="38"/>
      <c r="CK832" s="38"/>
      <c r="CL832" s="38"/>
      <c r="CM832" s="38"/>
      <c r="CN832" s="38"/>
      <c r="CO832" s="38"/>
      <c r="CP832" s="38"/>
      <c r="CQ832" s="38"/>
      <c r="CR832" s="38"/>
      <c r="CS832" s="38"/>
      <c r="CT832" s="38"/>
      <c r="CU832" s="38"/>
      <c r="CV832" s="38"/>
      <c r="CW832" s="38"/>
      <c r="CX832" s="38"/>
      <c r="CY832" s="38"/>
      <c r="CZ832" s="38"/>
    </row>
    <row r="833" spans="1:104" s="40" customFormat="1" ht="20.149999999999999" customHeight="1">
      <c r="A833" s="358">
        <f t="shared" si="185"/>
        <v>832</v>
      </c>
      <c r="B833" s="359" t="str">
        <f>'Front Sheet and Checklist'!$C$5</f>
        <v>Swansea Bay UHB</v>
      </c>
      <c r="C833" s="17"/>
      <c r="D833" s="17"/>
      <c r="E833" s="17"/>
      <c r="F833" s="17"/>
      <c r="G833" s="17"/>
      <c r="H833" s="17"/>
      <c r="I833" s="361">
        <f t="shared" si="189"/>
        <v>0</v>
      </c>
      <c r="J833" s="17"/>
      <c r="K833" s="18"/>
      <c r="L833" s="18"/>
      <c r="M833" s="17"/>
      <c r="N833" s="17"/>
      <c r="O833" s="17"/>
      <c r="P833" s="17"/>
      <c r="Q833" s="169"/>
      <c r="R833" s="24"/>
      <c r="S833" s="24"/>
      <c r="T833" s="24"/>
      <c r="U833" s="25"/>
      <c r="V833" s="25"/>
      <c r="W833" s="25"/>
      <c r="X833" s="24"/>
      <c r="Y833" s="24"/>
      <c r="Z833" s="24"/>
      <c r="AA833" s="24"/>
      <c r="AB833" s="24"/>
      <c r="AC833" s="24"/>
      <c r="AD833" s="361">
        <f t="shared" si="188"/>
        <v>0</v>
      </c>
      <c r="AE833" s="359" t="str">
        <f t="shared" si="177"/>
        <v/>
      </c>
      <c r="AF833" s="359" t="str">
        <f t="shared" si="186"/>
        <v/>
      </c>
      <c r="AG833" s="359" t="str">
        <f t="shared" si="178"/>
        <v/>
      </c>
      <c r="AH833" s="359" t="str">
        <f t="shared" si="179"/>
        <v/>
      </c>
      <c r="AI833" s="359" t="str">
        <f t="shared" si="180"/>
        <v/>
      </c>
      <c r="AJ833" s="359" t="str">
        <f t="shared" si="181"/>
        <v/>
      </c>
      <c r="AK833" s="359" t="str">
        <f t="shared" si="183"/>
        <v/>
      </c>
      <c r="AL833" s="359" t="str">
        <f t="shared" si="182"/>
        <v/>
      </c>
      <c r="AM833" s="359" t="str">
        <f t="shared" si="184"/>
        <v/>
      </c>
      <c r="AN833" s="262">
        <f t="shared" si="187"/>
        <v>0</v>
      </c>
      <c r="AO833" s="262" t="str">
        <f>IFERROR(HLOOKUP(AN833,'Ref Lists'!Q$1:AL$2,2,FALSE),'Ref Lists'!$AK$2)</f>
        <v>Savings21</v>
      </c>
      <c r="AP833" s="38"/>
      <c r="AQ833" s="38">
        <f t="shared" si="190"/>
        <v>0</v>
      </c>
      <c r="AR833" s="38"/>
      <c r="AS833" s="38"/>
      <c r="AT833" s="38"/>
      <c r="AU833" s="38"/>
      <c r="AV833" s="38"/>
      <c r="AW833" s="38"/>
      <c r="AX833" s="38"/>
      <c r="AY833" s="38"/>
      <c r="AZ833" s="38"/>
      <c r="BA833" s="38"/>
      <c r="BB833" s="38"/>
      <c r="BC833" s="38"/>
      <c r="BD833" s="38"/>
      <c r="BE833" s="38"/>
      <c r="BF833" s="38"/>
      <c r="BG833" s="38"/>
      <c r="BH833" s="38"/>
      <c r="BI833" s="38"/>
      <c r="BJ833" s="38"/>
      <c r="BK833" s="38"/>
      <c r="BL833" s="38"/>
      <c r="BM833" s="38"/>
      <c r="BN833" s="38"/>
      <c r="BO833" s="38"/>
      <c r="BP833" s="38"/>
      <c r="BQ833" s="38"/>
      <c r="BR833" s="38"/>
      <c r="BS833" s="38"/>
      <c r="BT833" s="38"/>
      <c r="BU833" s="38"/>
      <c r="BV833" s="38"/>
      <c r="BW833" s="38"/>
      <c r="BX833" s="38"/>
      <c r="BY833" s="38"/>
      <c r="BZ833" s="38"/>
      <c r="CA833" s="38"/>
      <c r="CB833" s="38"/>
      <c r="CC833" s="38"/>
      <c r="CD833" s="38"/>
      <c r="CE833" s="38"/>
      <c r="CF833" s="38"/>
      <c r="CG833" s="38"/>
      <c r="CH833" s="38"/>
      <c r="CI833" s="38"/>
      <c r="CJ833" s="38"/>
      <c r="CK833" s="38"/>
      <c r="CL833" s="38"/>
      <c r="CM833" s="38"/>
      <c r="CN833" s="38"/>
      <c r="CO833" s="38"/>
      <c r="CP833" s="38"/>
      <c r="CQ833" s="38"/>
      <c r="CR833" s="38"/>
      <c r="CS833" s="38"/>
      <c r="CT833" s="38"/>
      <c r="CU833" s="38"/>
      <c r="CV833" s="38"/>
      <c r="CW833" s="38"/>
      <c r="CX833" s="38"/>
      <c r="CY833" s="38"/>
      <c r="CZ833" s="38"/>
    </row>
    <row r="834" spans="1:104" s="40" customFormat="1" ht="20.149999999999999" customHeight="1">
      <c r="A834" s="358">
        <f t="shared" si="185"/>
        <v>833</v>
      </c>
      <c r="B834" s="359" t="str">
        <f>'Front Sheet and Checklist'!$C$5</f>
        <v>Swansea Bay UHB</v>
      </c>
      <c r="C834" s="17"/>
      <c r="D834" s="17"/>
      <c r="E834" s="17"/>
      <c r="F834" s="17"/>
      <c r="G834" s="17"/>
      <c r="H834" s="17"/>
      <c r="I834" s="361">
        <f t="shared" si="189"/>
        <v>0</v>
      </c>
      <c r="J834" s="17"/>
      <c r="K834" s="18"/>
      <c r="L834" s="18"/>
      <c r="M834" s="17"/>
      <c r="N834" s="17"/>
      <c r="O834" s="17"/>
      <c r="P834" s="17"/>
      <c r="Q834" s="169"/>
      <c r="R834" s="24"/>
      <c r="S834" s="24"/>
      <c r="T834" s="24"/>
      <c r="U834" s="25"/>
      <c r="V834" s="25"/>
      <c r="W834" s="25"/>
      <c r="X834" s="24"/>
      <c r="Y834" s="24"/>
      <c r="Z834" s="24"/>
      <c r="AA834" s="24"/>
      <c r="AB834" s="24"/>
      <c r="AC834" s="24"/>
      <c r="AD834" s="361">
        <f t="shared" si="188"/>
        <v>0</v>
      </c>
      <c r="AE834" s="359" t="str">
        <f t="shared" ref="AE834:AE897" si="191">IF(AND(I834&gt;0,H834&lt;&gt;"Income Generation"),IF(AND(H834&lt;&gt;"",D834&lt;&gt;"",E834&lt;&gt;"",F834&lt;&gt;"",C834&lt;&gt;"",G834&lt;&gt;"",K834&lt;&gt;"",L834&lt;&gt;"",M834&lt;&gt;"",N834&lt;&gt;"",P834&lt;&gt;"",Q834&lt;&gt;"",O834&lt;&gt;""),"","ERROR"),"")</f>
        <v/>
      </c>
      <c r="AF834" s="359" t="str">
        <f t="shared" si="186"/>
        <v/>
      </c>
      <c r="AG834" s="359" t="str">
        <f t="shared" ref="AG834:AG897" si="192">IF(AND(I834&gt;0,O834=""),"ERROR","")</f>
        <v/>
      </c>
      <c r="AH834" s="359" t="str">
        <f t="shared" ref="AH834:AH897" si="193">IF(AND(OR(H834="Income Generation"),O834&lt;&gt;""),"ERROR","")</f>
        <v/>
      </c>
      <c r="AI834" s="359" t="str">
        <f t="shared" ref="AI834:AI897" si="194">IF(AND(G834="R",I834&gt;J834),"ERROR","")</f>
        <v/>
      </c>
      <c r="AJ834" s="359" t="str">
        <f t="shared" ref="AJ834:AJ897" si="195">IF(AND(G834="NR",J834&gt;0),"ERROR","")</f>
        <v/>
      </c>
      <c r="AK834" s="359" t="str">
        <f t="shared" si="183"/>
        <v/>
      </c>
      <c r="AL834" s="359" t="str">
        <f t="shared" ref="AL834:AL897" si="196">IF(OR(L834="",L834="N/A"),"",IF(OR(L834&lt;DATEVALUE("01/04/24"),L834&gt;DATEVALUE("31/03/25")),"ERROR",""))</f>
        <v/>
      </c>
      <c r="AM834" s="359" t="str">
        <f t="shared" si="184"/>
        <v/>
      </c>
      <c r="AN834" s="262">
        <f t="shared" si="187"/>
        <v>0</v>
      </c>
      <c r="AO834" s="262" t="str">
        <f>IFERROR(HLOOKUP(AN834,'Ref Lists'!Q$1:AL$2,2,FALSE),'Ref Lists'!$AK$2)</f>
        <v>Savings21</v>
      </c>
      <c r="AP834" s="38"/>
      <c r="AQ834" s="38">
        <f t="shared" si="190"/>
        <v>0</v>
      </c>
      <c r="AR834" s="38"/>
      <c r="AS834" s="38"/>
      <c r="AT834" s="38"/>
      <c r="AU834" s="38"/>
      <c r="AV834" s="38"/>
      <c r="AW834" s="38"/>
      <c r="AX834" s="38"/>
      <c r="AY834" s="38"/>
      <c r="AZ834" s="38"/>
      <c r="BA834" s="38"/>
      <c r="BB834" s="38"/>
      <c r="BC834" s="38"/>
      <c r="BD834" s="38"/>
      <c r="BE834" s="38"/>
      <c r="BF834" s="38"/>
      <c r="BG834" s="38"/>
      <c r="BH834" s="38"/>
      <c r="BI834" s="38"/>
      <c r="BJ834" s="38"/>
      <c r="BK834" s="38"/>
      <c r="BL834" s="38"/>
      <c r="BM834" s="38"/>
      <c r="BN834" s="38"/>
      <c r="BO834" s="38"/>
      <c r="BP834" s="38"/>
      <c r="BQ834" s="38"/>
      <c r="BR834" s="38"/>
      <c r="BS834" s="38"/>
      <c r="BT834" s="38"/>
      <c r="BU834" s="38"/>
      <c r="BV834" s="38"/>
      <c r="BW834" s="38"/>
      <c r="BX834" s="38"/>
      <c r="BY834" s="38"/>
      <c r="BZ834" s="38"/>
      <c r="CA834" s="38"/>
      <c r="CB834" s="38"/>
      <c r="CC834" s="38"/>
      <c r="CD834" s="38"/>
      <c r="CE834" s="38"/>
      <c r="CF834" s="38"/>
      <c r="CG834" s="38"/>
      <c r="CH834" s="38"/>
      <c r="CI834" s="38"/>
      <c r="CJ834" s="38"/>
      <c r="CK834" s="38"/>
      <c r="CL834" s="38"/>
      <c r="CM834" s="38"/>
      <c r="CN834" s="38"/>
      <c r="CO834" s="38"/>
      <c r="CP834" s="38"/>
      <c r="CQ834" s="38"/>
      <c r="CR834" s="38"/>
      <c r="CS834" s="38"/>
      <c r="CT834" s="38"/>
      <c r="CU834" s="38"/>
      <c r="CV834" s="38"/>
      <c r="CW834" s="38"/>
      <c r="CX834" s="38"/>
      <c r="CY834" s="38"/>
      <c r="CZ834" s="38"/>
    </row>
    <row r="835" spans="1:104" s="40" customFormat="1" ht="20.149999999999999" customHeight="1">
      <c r="A835" s="358">
        <f t="shared" si="185"/>
        <v>834</v>
      </c>
      <c r="B835" s="359" t="str">
        <f>'Front Sheet and Checklist'!$C$5</f>
        <v>Swansea Bay UHB</v>
      </c>
      <c r="C835" s="17"/>
      <c r="D835" s="17"/>
      <c r="E835" s="17"/>
      <c r="F835" s="17"/>
      <c r="G835" s="17"/>
      <c r="H835" s="17"/>
      <c r="I835" s="361">
        <f t="shared" si="189"/>
        <v>0</v>
      </c>
      <c r="J835" s="17"/>
      <c r="K835" s="18"/>
      <c r="L835" s="18"/>
      <c r="M835" s="17"/>
      <c r="N835" s="17"/>
      <c r="O835" s="17"/>
      <c r="P835" s="17"/>
      <c r="Q835" s="169"/>
      <c r="R835" s="24"/>
      <c r="S835" s="24"/>
      <c r="T835" s="24"/>
      <c r="U835" s="25"/>
      <c r="V835" s="25"/>
      <c r="W835" s="25"/>
      <c r="X835" s="24"/>
      <c r="Y835" s="24"/>
      <c r="Z835" s="24"/>
      <c r="AA835" s="24"/>
      <c r="AB835" s="24"/>
      <c r="AC835" s="24"/>
      <c r="AD835" s="361">
        <f t="shared" si="188"/>
        <v>0</v>
      </c>
      <c r="AE835" s="359" t="str">
        <f t="shared" si="191"/>
        <v/>
      </c>
      <c r="AF835" s="359" t="str">
        <f t="shared" si="186"/>
        <v/>
      </c>
      <c r="AG835" s="359" t="str">
        <f t="shared" si="192"/>
        <v/>
      </c>
      <c r="AH835" s="359" t="str">
        <f t="shared" si="193"/>
        <v/>
      </c>
      <c r="AI835" s="359" t="str">
        <f t="shared" si="194"/>
        <v/>
      </c>
      <c r="AJ835" s="359" t="str">
        <f t="shared" si="195"/>
        <v/>
      </c>
      <c r="AK835" s="359" t="str">
        <f t="shared" ref="AK835:AK898" si="197">IF(OR(K835="",K835="N/a"),"",IF(OR(K835&lt;DATEVALUE("01/04/24"),K835&gt;DATEVALUE("31/03/25")),"ERROR",""))</f>
        <v/>
      </c>
      <c r="AL835" s="359" t="str">
        <f t="shared" si="196"/>
        <v/>
      </c>
      <c r="AM835" s="359" t="str">
        <f t="shared" ref="AM835:AM898" si="198">IF(COUNTA(T835:AC835)&lt;&gt;COUNT(T835:AC835),"ERROR","")</f>
        <v/>
      </c>
      <c r="AN835" s="262">
        <f t="shared" si="187"/>
        <v>0</v>
      </c>
      <c r="AO835" s="262" t="str">
        <f>IFERROR(HLOOKUP(AN835,'Ref Lists'!Q$1:AL$2,2,FALSE),'Ref Lists'!$AK$2)</f>
        <v>Savings21</v>
      </c>
      <c r="AP835" s="38"/>
      <c r="AQ835" s="38">
        <f t="shared" si="190"/>
        <v>0</v>
      </c>
      <c r="AR835" s="38"/>
      <c r="AS835" s="38"/>
      <c r="AT835" s="38"/>
      <c r="AU835" s="38"/>
      <c r="AV835" s="38"/>
      <c r="AW835" s="38"/>
      <c r="AX835" s="38"/>
      <c r="AY835" s="38"/>
      <c r="AZ835" s="38"/>
      <c r="BA835" s="38"/>
      <c r="BB835" s="38"/>
      <c r="BC835" s="38"/>
      <c r="BD835" s="38"/>
      <c r="BE835" s="38"/>
      <c r="BF835" s="38"/>
      <c r="BG835" s="38"/>
      <c r="BH835" s="38"/>
      <c r="BI835" s="38"/>
      <c r="BJ835" s="38"/>
      <c r="BK835" s="38"/>
      <c r="BL835" s="38"/>
      <c r="BM835" s="38"/>
      <c r="BN835" s="38"/>
      <c r="BO835" s="38"/>
      <c r="BP835" s="38"/>
      <c r="BQ835" s="38"/>
      <c r="BR835" s="38"/>
      <c r="BS835" s="38"/>
      <c r="BT835" s="38"/>
      <c r="BU835" s="38"/>
      <c r="BV835" s="38"/>
      <c r="BW835" s="38"/>
      <c r="BX835" s="38"/>
      <c r="BY835" s="38"/>
      <c r="BZ835" s="38"/>
      <c r="CA835" s="38"/>
      <c r="CB835" s="38"/>
      <c r="CC835" s="38"/>
      <c r="CD835" s="38"/>
      <c r="CE835" s="38"/>
      <c r="CF835" s="38"/>
      <c r="CG835" s="38"/>
      <c r="CH835" s="38"/>
      <c r="CI835" s="38"/>
      <c r="CJ835" s="38"/>
      <c r="CK835" s="38"/>
      <c r="CL835" s="38"/>
      <c r="CM835" s="38"/>
      <c r="CN835" s="38"/>
      <c r="CO835" s="38"/>
      <c r="CP835" s="38"/>
      <c r="CQ835" s="38"/>
      <c r="CR835" s="38"/>
      <c r="CS835" s="38"/>
      <c r="CT835" s="38"/>
      <c r="CU835" s="38"/>
      <c r="CV835" s="38"/>
      <c r="CW835" s="38"/>
      <c r="CX835" s="38"/>
      <c r="CY835" s="38"/>
      <c r="CZ835" s="38"/>
    </row>
    <row r="836" spans="1:104" s="40" customFormat="1" ht="20.149999999999999" customHeight="1">
      <c r="A836" s="358">
        <f t="shared" ref="A836:A899" si="199">+A835+1</f>
        <v>835</v>
      </c>
      <c r="B836" s="359" t="str">
        <f>'Front Sheet and Checklist'!$C$5</f>
        <v>Swansea Bay UHB</v>
      </c>
      <c r="C836" s="17"/>
      <c r="D836" s="17"/>
      <c r="E836" s="17"/>
      <c r="F836" s="17"/>
      <c r="G836" s="17"/>
      <c r="H836" s="17"/>
      <c r="I836" s="361">
        <f t="shared" si="189"/>
        <v>0</v>
      </c>
      <c r="J836" s="17"/>
      <c r="K836" s="18"/>
      <c r="L836" s="18"/>
      <c r="M836" s="17"/>
      <c r="N836" s="17"/>
      <c r="O836" s="17"/>
      <c r="P836" s="17"/>
      <c r="Q836" s="169"/>
      <c r="R836" s="24"/>
      <c r="S836" s="24"/>
      <c r="T836" s="24"/>
      <c r="U836" s="25"/>
      <c r="V836" s="25"/>
      <c r="W836" s="25"/>
      <c r="X836" s="24"/>
      <c r="Y836" s="24"/>
      <c r="Z836" s="24"/>
      <c r="AA836" s="24"/>
      <c r="AB836" s="24"/>
      <c r="AC836" s="24"/>
      <c r="AD836" s="361">
        <f t="shared" si="188"/>
        <v>0</v>
      </c>
      <c r="AE836" s="359" t="str">
        <f t="shared" si="191"/>
        <v/>
      </c>
      <c r="AF836" s="359" t="str">
        <f t="shared" ref="AF836:AF899" si="200">IF(COUNTIF($F$2:$F$1001,F836)&gt;1,"ERROR","")</f>
        <v/>
      </c>
      <c r="AG836" s="359" t="str">
        <f t="shared" si="192"/>
        <v/>
      </c>
      <c r="AH836" s="359" t="str">
        <f t="shared" si="193"/>
        <v/>
      </c>
      <c r="AI836" s="359" t="str">
        <f t="shared" si="194"/>
        <v/>
      </c>
      <c r="AJ836" s="359" t="str">
        <f t="shared" si="195"/>
        <v/>
      </c>
      <c r="AK836" s="359" t="str">
        <f t="shared" si="197"/>
        <v/>
      </c>
      <c r="AL836" s="359" t="str">
        <f t="shared" si="196"/>
        <v/>
      </c>
      <c r="AM836" s="359" t="str">
        <f t="shared" si="198"/>
        <v/>
      </c>
      <c r="AN836" s="262">
        <f t="shared" si="187"/>
        <v>0</v>
      </c>
      <c r="AO836" s="262" t="str">
        <f>IFERROR(HLOOKUP(AN836,'Ref Lists'!Q$1:AL$2,2,FALSE),'Ref Lists'!$AK$2)</f>
        <v>Savings21</v>
      </c>
      <c r="AP836" s="38"/>
      <c r="AQ836" s="38">
        <f t="shared" si="190"/>
        <v>0</v>
      </c>
      <c r="AR836" s="38"/>
      <c r="AS836" s="38"/>
      <c r="AT836" s="38"/>
      <c r="AU836" s="38"/>
      <c r="AV836" s="38"/>
      <c r="AW836" s="38"/>
      <c r="AX836" s="38"/>
      <c r="AY836" s="38"/>
      <c r="AZ836" s="38"/>
      <c r="BA836" s="38"/>
      <c r="BB836" s="38"/>
      <c r="BC836" s="38"/>
      <c r="BD836" s="38"/>
      <c r="BE836" s="38"/>
      <c r="BF836" s="38"/>
      <c r="BG836" s="38"/>
      <c r="BH836" s="38"/>
      <c r="BI836" s="38"/>
      <c r="BJ836" s="38"/>
      <c r="BK836" s="38"/>
      <c r="BL836" s="38"/>
      <c r="BM836" s="38"/>
      <c r="BN836" s="38"/>
      <c r="BO836" s="38"/>
      <c r="BP836" s="38"/>
      <c r="BQ836" s="38"/>
      <c r="BR836" s="38"/>
      <c r="BS836" s="38"/>
      <c r="BT836" s="38"/>
      <c r="BU836" s="38"/>
      <c r="BV836" s="38"/>
      <c r="BW836" s="38"/>
      <c r="BX836" s="38"/>
      <c r="BY836" s="38"/>
      <c r="BZ836" s="38"/>
      <c r="CA836" s="38"/>
      <c r="CB836" s="38"/>
      <c r="CC836" s="38"/>
      <c r="CD836" s="38"/>
      <c r="CE836" s="38"/>
      <c r="CF836" s="38"/>
      <c r="CG836" s="38"/>
      <c r="CH836" s="38"/>
      <c r="CI836" s="38"/>
      <c r="CJ836" s="38"/>
      <c r="CK836" s="38"/>
      <c r="CL836" s="38"/>
      <c r="CM836" s="38"/>
      <c r="CN836" s="38"/>
      <c r="CO836" s="38"/>
      <c r="CP836" s="38"/>
      <c r="CQ836" s="38"/>
      <c r="CR836" s="38"/>
      <c r="CS836" s="38"/>
      <c r="CT836" s="38"/>
      <c r="CU836" s="38"/>
      <c r="CV836" s="38"/>
      <c r="CW836" s="38"/>
      <c r="CX836" s="38"/>
      <c r="CY836" s="38"/>
      <c r="CZ836" s="38"/>
    </row>
    <row r="837" spans="1:104" s="40" customFormat="1" ht="20.149999999999999" customHeight="1">
      <c r="A837" s="358">
        <f t="shared" si="199"/>
        <v>836</v>
      </c>
      <c r="B837" s="359" t="str">
        <f>'Front Sheet and Checklist'!$C$5</f>
        <v>Swansea Bay UHB</v>
      </c>
      <c r="C837" s="17"/>
      <c r="D837" s="17"/>
      <c r="E837" s="17"/>
      <c r="F837" s="17"/>
      <c r="G837" s="17"/>
      <c r="H837" s="17"/>
      <c r="I837" s="361">
        <f t="shared" si="189"/>
        <v>0</v>
      </c>
      <c r="J837" s="17"/>
      <c r="K837" s="18"/>
      <c r="L837" s="18"/>
      <c r="M837" s="17"/>
      <c r="N837" s="17"/>
      <c r="O837" s="17"/>
      <c r="P837" s="17"/>
      <c r="Q837" s="169"/>
      <c r="R837" s="24"/>
      <c r="S837" s="24"/>
      <c r="T837" s="24"/>
      <c r="U837" s="25"/>
      <c r="V837" s="25"/>
      <c r="W837" s="25"/>
      <c r="X837" s="24"/>
      <c r="Y837" s="24"/>
      <c r="Z837" s="24"/>
      <c r="AA837" s="24"/>
      <c r="AB837" s="24"/>
      <c r="AC837" s="24"/>
      <c r="AD837" s="361">
        <f t="shared" si="188"/>
        <v>0</v>
      </c>
      <c r="AE837" s="359" t="str">
        <f t="shared" si="191"/>
        <v/>
      </c>
      <c r="AF837" s="359" t="str">
        <f t="shared" si="200"/>
        <v/>
      </c>
      <c r="AG837" s="359" t="str">
        <f t="shared" si="192"/>
        <v/>
      </c>
      <c r="AH837" s="359" t="str">
        <f t="shared" si="193"/>
        <v/>
      </c>
      <c r="AI837" s="359" t="str">
        <f t="shared" si="194"/>
        <v/>
      </c>
      <c r="AJ837" s="359" t="str">
        <f t="shared" si="195"/>
        <v/>
      </c>
      <c r="AK837" s="359" t="str">
        <f t="shared" si="197"/>
        <v/>
      </c>
      <c r="AL837" s="359" t="str">
        <f t="shared" si="196"/>
        <v/>
      </c>
      <c r="AM837" s="359" t="str">
        <f t="shared" si="198"/>
        <v/>
      </c>
      <c r="AN837" s="262">
        <f t="shared" ref="AN837:AN900" si="201">IF(P837="1) Workforce",_xlfn.CONCAT(P837,O837),IF(P837="5) Pathway",_xlfn.CONCAT(P837,N837),P837))</f>
        <v>0</v>
      </c>
      <c r="AO837" s="262" t="str">
        <f>IFERROR(HLOOKUP(AN837,'Ref Lists'!Q$1:AL$2,2,FALSE),'Ref Lists'!$AK$2)</f>
        <v>Savings21</v>
      </c>
      <c r="AP837" s="38"/>
      <c r="AQ837" s="38">
        <f t="shared" si="190"/>
        <v>0</v>
      </c>
      <c r="AR837" s="38"/>
      <c r="AS837" s="38"/>
      <c r="AT837" s="38"/>
      <c r="AU837" s="38"/>
      <c r="AV837" s="38"/>
      <c r="AW837" s="38"/>
      <c r="AX837" s="38"/>
      <c r="AY837" s="38"/>
      <c r="AZ837" s="38"/>
      <c r="BA837" s="38"/>
      <c r="BB837" s="38"/>
      <c r="BC837" s="38"/>
      <c r="BD837" s="38"/>
      <c r="BE837" s="38"/>
      <c r="BF837" s="38"/>
      <c r="BG837" s="38"/>
      <c r="BH837" s="38"/>
      <c r="BI837" s="38"/>
      <c r="BJ837" s="38"/>
      <c r="BK837" s="38"/>
      <c r="BL837" s="38"/>
      <c r="BM837" s="38"/>
      <c r="BN837" s="38"/>
      <c r="BO837" s="38"/>
      <c r="BP837" s="38"/>
      <c r="BQ837" s="38"/>
      <c r="BR837" s="38"/>
      <c r="BS837" s="38"/>
      <c r="BT837" s="38"/>
      <c r="BU837" s="38"/>
      <c r="BV837" s="38"/>
      <c r="BW837" s="38"/>
      <c r="BX837" s="38"/>
      <c r="BY837" s="38"/>
      <c r="BZ837" s="38"/>
      <c r="CA837" s="38"/>
      <c r="CB837" s="38"/>
      <c r="CC837" s="38"/>
      <c r="CD837" s="38"/>
      <c r="CE837" s="38"/>
      <c r="CF837" s="38"/>
      <c r="CG837" s="38"/>
      <c r="CH837" s="38"/>
      <c r="CI837" s="38"/>
      <c r="CJ837" s="38"/>
      <c r="CK837" s="38"/>
      <c r="CL837" s="38"/>
      <c r="CM837" s="38"/>
      <c r="CN837" s="38"/>
      <c r="CO837" s="38"/>
      <c r="CP837" s="38"/>
      <c r="CQ837" s="38"/>
      <c r="CR837" s="38"/>
      <c r="CS837" s="38"/>
      <c r="CT837" s="38"/>
      <c r="CU837" s="38"/>
      <c r="CV837" s="38"/>
      <c r="CW837" s="38"/>
      <c r="CX837" s="38"/>
      <c r="CY837" s="38"/>
      <c r="CZ837" s="38"/>
    </row>
    <row r="838" spans="1:104" s="40" customFormat="1" ht="20.149999999999999" customHeight="1">
      <c r="A838" s="358">
        <f t="shared" si="199"/>
        <v>837</v>
      </c>
      <c r="B838" s="359" t="str">
        <f>'Front Sheet and Checklist'!$C$5</f>
        <v>Swansea Bay UHB</v>
      </c>
      <c r="C838" s="17"/>
      <c r="D838" s="17"/>
      <c r="E838" s="17"/>
      <c r="F838" s="17"/>
      <c r="G838" s="17"/>
      <c r="H838" s="17"/>
      <c r="I838" s="361">
        <f t="shared" si="189"/>
        <v>0</v>
      </c>
      <c r="J838" s="17"/>
      <c r="K838" s="18"/>
      <c r="L838" s="18"/>
      <c r="M838" s="17"/>
      <c r="N838" s="17"/>
      <c r="O838" s="17"/>
      <c r="P838" s="17"/>
      <c r="Q838" s="169"/>
      <c r="R838" s="24"/>
      <c r="S838" s="24"/>
      <c r="T838" s="24"/>
      <c r="U838" s="25"/>
      <c r="V838" s="25"/>
      <c r="W838" s="25"/>
      <c r="X838" s="24"/>
      <c r="Y838" s="24"/>
      <c r="Z838" s="24"/>
      <c r="AA838" s="24"/>
      <c r="AB838" s="24"/>
      <c r="AC838" s="24"/>
      <c r="AD838" s="361">
        <f t="shared" si="188"/>
        <v>0</v>
      </c>
      <c r="AE838" s="359" t="str">
        <f t="shared" si="191"/>
        <v/>
      </c>
      <c r="AF838" s="359" t="str">
        <f t="shared" si="200"/>
        <v/>
      </c>
      <c r="AG838" s="359" t="str">
        <f t="shared" si="192"/>
        <v/>
      </c>
      <c r="AH838" s="359" t="str">
        <f t="shared" si="193"/>
        <v/>
      </c>
      <c r="AI838" s="359" t="str">
        <f t="shared" si="194"/>
        <v/>
      </c>
      <c r="AJ838" s="359" t="str">
        <f t="shared" si="195"/>
        <v/>
      </c>
      <c r="AK838" s="359" t="str">
        <f t="shared" si="197"/>
        <v/>
      </c>
      <c r="AL838" s="359" t="str">
        <f t="shared" si="196"/>
        <v/>
      </c>
      <c r="AM838" s="359" t="str">
        <f t="shared" si="198"/>
        <v/>
      </c>
      <c r="AN838" s="262">
        <f t="shared" si="201"/>
        <v>0</v>
      </c>
      <c r="AO838" s="262" t="str">
        <f>IFERROR(HLOOKUP(AN838,'Ref Lists'!Q$1:AL$2,2,FALSE),'Ref Lists'!$AK$2)</f>
        <v>Savings21</v>
      </c>
      <c r="AP838" s="38"/>
      <c r="AQ838" s="38">
        <f t="shared" si="190"/>
        <v>0</v>
      </c>
      <c r="AR838" s="38"/>
      <c r="AS838" s="38"/>
      <c r="AT838" s="38"/>
      <c r="AU838" s="38"/>
      <c r="AV838" s="38"/>
      <c r="AW838" s="38"/>
      <c r="AX838" s="38"/>
      <c r="AY838" s="38"/>
      <c r="AZ838" s="38"/>
      <c r="BA838" s="38"/>
      <c r="BB838" s="38"/>
      <c r="BC838" s="38"/>
      <c r="BD838" s="38"/>
      <c r="BE838" s="38"/>
      <c r="BF838" s="38"/>
      <c r="BG838" s="38"/>
      <c r="BH838" s="38"/>
      <c r="BI838" s="38"/>
      <c r="BJ838" s="38"/>
      <c r="BK838" s="38"/>
      <c r="BL838" s="38"/>
      <c r="BM838" s="38"/>
      <c r="BN838" s="38"/>
      <c r="BO838" s="38"/>
      <c r="BP838" s="38"/>
      <c r="BQ838" s="38"/>
      <c r="BR838" s="38"/>
      <c r="BS838" s="38"/>
      <c r="BT838" s="38"/>
      <c r="BU838" s="38"/>
      <c r="BV838" s="38"/>
      <c r="BW838" s="38"/>
      <c r="BX838" s="38"/>
      <c r="BY838" s="38"/>
      <c r="BZ838" s="38"/>
      <c r="CA838" s="38"/>
      <c r="CB838" s="38"/>
      <c r="CC838" s="38"/>
      <c r="CD838" s="38"/>
      <c r="CE838" s="38"/>
      <c r="CF838" s="38"/>
      <c r="CG838" s="38"/>
      <c r="CH838" s="38"/>
      <c r="CI838" s="38"/>
      <c r="CJ838" s="38"/>
      <c r="CK838" s="38"/>
      <c r="CL838" s="38"/>
      <c r="CM838" s="38"/>
      <c r="CN838" s="38"/>
      <c r="CO838" s="38"/>
      <c r="CP838" s="38"/>
      <c r="CQ838" s="38"/>
      <c r="CR838" s="38"/>
      <c r="CS838" s="38"/>
      <c r="CT838" s="38"/>
      <c r="CU838" s="38"/>
      <c r="CV838" s="38"/>
      <c r="CW838" s="38"/>
      <c r="CX838" s="38"/>
      <c r="CY838" s="38"/>
      <c r="CZ838" s="38"/>
    </row>
    <row r="839" spans="1:104" s="40" customFormat="1" ht="20.149999999999999" customHeight="1">
      <c r="A839" s="358">
        <f t="shared" si="199"/>
        <v>838</v>
      </c>
      <c r="B839" s="359" t="str">
        <f>'Front Sheet and Checklist'!$C$5</f>
        <v>Swansea Bay UHB</v>
      </c>
      <c r="C839" s="17"/>
      <c r="D839" s="17"/>
      <c r="E839" s="17"/>
      <c r="F839" s="17"/>
      <c r="G839" s="17"/>
      <c r="H839" s="17"/>
      <c r="I839" s="361">
        <f t="shared" si="189"/>
        <v>0</v>
      </c>
      <c r="J839" s="17"/>
      <c r="K839" s="18"/>
      <c r="L839" s="18"/>
      <c r="M839" s="17"/>
      <c r="N839" s="17"/>
      <c r="O839" s="17"/>
      <c r="P839" s="17"/>
      <c r="Q839" s="169"/>
      <c r="R839" s="24"/>
      <c r="S839" s="24"/>
      <c r="T839" s="24"/>
      <c r="U839" s="25"/>
      <c r="V839" s="25"/>
      <c r="W839" s="25"/>
      <c r="X839" s="24"/>
      <c r="Y839" s="24"/>
      <c r="Z839" s="24"/>
      <c r="AA839" s="24"/>
      <c r="AB839" s="24"/>
      <c r="AC839" s="24"/>
      <c r="AD839" s="361">
        <f t="shared" si="188"/>
        <v>0</v>
      </c>
      <c r="AE839" s="359" t="str">
        <f t="shared" si="191"/>
        <v/>
      </c>
      <c r="AF839" s="359" t="str">
        <f t="shared" si="200"/>
        <v/>
      </c>
      <c r="AG839" s="359" t="str">
        <f t="shared" si="192"/>
        <v/>
      </c>
      <c r="AH839" s="359" t="str">
        <f t="shared" si="193"/>
        <v/>
      </c>
      <c r="AI839" s="359" t="str">
        <f t="shared" si="194"/>
        <v/>
      </c>
      <c r="AJ839" s="359" t="str">
        <f t="shared" si="195"/>
        <v/>
      </c>
      <c r="AK839" s="359" t="str">
        <f t="shared" si="197"/>
        <v/>
      </c>
      <c r="AL839" s="359" t="str">
        <f t="shared" si="196"/>
        <v/>
      </c>
      <c r="AM839" s="359" t="str">
        <f t="shared" si="198"/>
        <v/>
      </c>
      <c r="AN839" s="262">
        <f t="shared" si="201"/>
        <v>0</v>
      </c>
      <c r="AO839" s="262" t="str">
        <f>IFERROR(HLOOKUP(AN839,'Ref Lists'!Q$1:AL$2,2,FALSE),'Ref Lists'!$AK$2)</f>
        <v>Savings21</v>
      </c>
      <c r="AP839" s="38"/>
      <c r="AQ839" s="38">
        <f t="shared" si="190"/>
        <v>0</v>
      </c>
      <c r="AR839" s="38"/>
      <c r="AS839" s="38"/>
      <c r="AT839" s="38"/>
      <c r="AU839" s="38"/>
      <c r="AV839" s="38"/>
      <c r="AW839" s="38"/>
      <c r="AX839" s="38"/>
      <c r="AY839" s="38"/>
      <c r="AZ839" s="38"/>
      <c r="BA839" s="38"/>
      <c r="BB839" s="38"/>
      <c r="BC839" s="38"/>
      <c r="BD839" s="38"/>
      <c r="BE839" s="38"/>
      <c r="BF839" s="38"/>
      <c r="BG839" s="38"/>
      <c r="BH839" s="38"/>
      <c r="BI839" s="38"/>
      <c r="BJ839" s="38"/>
      <c r="BK839" s="38"/>
      <c r="BL839" s="38"/>
      <c r="BM839" s="38"/>
      <c r="BN839" s="38"/>
      <c r="BO839" s="38"/>
      <c r="BP839" s="38"/>
      <c r="BQ839" s="38"/>
      <c r="BR839" s="38"/>
      <c r="BS839" s="38"/>
      <c r="BT839" s="38"/>
      <c r="BU839" s="38"/>
      <c r="BV839" s="38"/>
      <c r="BW839" s="38"/>
      <c r="BX839" s="38"/>
      <c r="BY839" s="38"/>
      <c r="BZ839" s="38"/>
      <c r="CA839" s="38"/>
      <c r="CB839" s="38"/>
      <c r="CC839" s="38"/>
      <c r="CD839" s="38"/>
      <c r="CE839" s="38"/>
      <c r="CF839" s="38"/>
      <c r="CG839" s="38"/>
      <c r="CH839" s="38"/>
      <c r="CI839" s="38"/>
      <c r="CJ839" s="38"/>
      <c r="CK839" s="38"/>
      <c r="CL839" s="38"/>
      <c r="CM839" s="38"/>
      <c r="CN839" s="38"/>
      <c r="CO839" s="38"/>
      <c r="CP839" s="38"/>
      <c r="CQ839" s="38"/>
      <c r="CR839" s="38"/>
      <c r="CS839" s="38"/>
      <c r="CT839" s="38"/>
      <c r="CU839" s="38"/>
      <c r="CV839" s="38"/>
      <c r="CW839" s="38"/>
      <c r="CX839" s="38"/>
      <c r="CY839" s="38"/>
      <c r="CZ839" s="38"/>
    </row>
    <row r="840" spans="1:104" s="40" customFormat="1" ht="20.149999999999999" customHeight="1">
      <c r="A840" s="358">
        <f t="shared" si="199"/>
        <v>839</v>
      </c>
      <c r="B840" s="359" t="str">
        <f>'Front Sheet and Checklist'!$C$5</f>
        <v>Swansea Bay UHB</v>
      </c>
      <c r="C840" s="17"/>
      <c r="D840" s="17"/>
      <c r="E840" s="17"/>
      <c r="F840" s="17"/>
      <c r="G840" s="17"/>
      <c r="H840" s="17"/>
      <c r="I840" s="361">
        <f t="shared" si="189"/>
        <v>0</v>
      </c>
      <c r="J840" s="17"/>
      <c r="K840" s="18"/>
      <c r="L840" s="18"/>
      <c r="M840" s="17"/>
      <c r="N840" s="17"/>
      <c r="O840" s="17"/>
      <c r="P840" s="17"/>
      <c r="Q840" s="169"/>
      <c r="R840" s="24"/>
      <c r="S840" s="24"/>
      <c r="T840" s="24"/>
      <c r="U840" s="25"/>
      <c r="V840" s="25"/>
      <c r="W840" s="25"/>
      <c r="X840" s="24"/>
      <c r="Y840" s="24"/>
      <c r="Z840" s="24"/>
      <c r="AA840" s="24"/>
      <c r="AB840" s="24"/>
      <c r="AC840" s="24"/>
      <c r="AD840" s="361">
        <f t="shared" si="188"/>
        <v>0</v>
      </c>
      <c r="AE840" s="359" t="str">
        <f t="shared" si="191"/>
        <v/>
      </c>
      <c r="AF840" s="359" t="str">
        <f t="shared" si="200"/>
        <v/>
      </c>
      <c r="AG840" s="359" t="str">
        <f t="shared" si="192"/>
        <v/>
      </c>
      <c r="AH840" s="359" t="str">
        <f t="shared" si="193"/>
        <v/>
      </c>
      <c r="AI840" s="359" t="str">
        <f t="shared" si="194"/>
        <v/>
      </c>
      <c r="AJ840" s="359" t="str">
        <f t="shared" si="195"/>
        <v/>
      </c>
      <c r="AK840" s="359" t="str">
        <f t="shared" si="197"/>
        <v/>
      </c>
      <c r="AL840" s="359" t="str">
        <f t="shared" si="196"/>
        <v/>
      </c>
      <c r="AM840" s="359" t="str">
        <f t="shared" si="198"/>
        <v/>
      </c>
      <c r="AN840" s="262">
        <f t="shared" si="201"/>
        <v>0</v>
      </c>
      <c r="AO840" s="262" t="str">
        <f>IFERROR(HLOOKUP(AN840,'Ref Lists'!Q$1:AL$2,2,FALSE),'Ref Lists'!$AK$2)</f>
        <v>Savings21</v>
      </c>
      <c r="AP840" s="38"/>
      <c r="AQ840" s="38">
        <f t="shared" si="190"/>
        <v>0</v>
      </c>
      <c r="AR840" s="38"/>
      <c r="AS840" s="38"/>
      <c r="AT840" s="38"/>
      <c r="AU840" s="38"/>
      <c r="AV840" s="38"/>
      <c r="AW840" s="38"/>
      <c r="AX840" s="38"/>
      <c r="AY840" s="38"/>
      <c r="AZ840" s="38"/>
      <c r="BA840" s="38"/>
      <c r="BB840" s="38"/>
      <c r="BC840" s="38"/>
      <c r="BD840" s="38"/>
      <c r="BE840" s="38"/>
      <c r="BF840" s="38"/>
      <c r="BG840" s="38"/>
      <c r="BH840" s="38"/>
      <c r="BI840" s="38"/>
      <c r="BJ840" s="38"/>
      <c r="BK840" s="38"/>
      <c r="BL840" s="38"/>
      <c r="BM840" s="38"/>
      <c r="BN840" s="38"/>
      <c r="BO840" s="38"/>
      <c r="BP840" s="38"/>
      <c r="BQ840" s="38"/>
      <c r="BR840" s="38"/>
      <c r="BS840" s="38"/>
      <c r="BT840" s="38"/>
      <c r="BU840" s="38"/>
      <c r="BV840" s="38"/>
      <c r="BW840" s="38"/>
      <c r="BX840" s="38"/>
      <c r="BY840" s="38"/>
      <c r="BZ840" s="38"/>
      <c r="CA840" s="38"/>
      <c r="CB840" s="38"/>
      <c r="CC840" s="38"/>
      <c r="CD840" s="38"/>
      <c r="CE840" s="38"/>
      <c r="CF840" s="38"/>
      <c r="CG840" s="38"/>
      <c r="CH840" s="38"/>
      <c r="CI840" s="38"/>
      <c r="CJ840" s="38"/>
      <c r="CK840" s="38"/>
      <c r="CL840" s="38"/>
      <c r="CM840" s="38"/>
      <c r="CN840" s="38"/>
      <c r="CO840" s="38"/>
      <c r="CP840" s="38"/>
      <c r="CQ840" s="38"/>
      <c r="CR840" s="38"/>
      <c r="CS840" s="38"/>
      <c r="CT840" s="38"/>
      <c r="CU840" s="38"/>
      <c r="CV840" s="38"/>
      <c r="CW840" s="38"/>
      <c r="CX840" s="38"/>
      <c r="CY840" s="38"/>
      <c r="CZ840" s="38"/>
    </row>
    <row r="841" spans="1:104" s="40" customFormat="1" ht="20.149999999999999" customHeight="1">
      <c r="A841" s="358">
        <f t="shared" si="199"/>
        <v>840</v>
      </c>
      <c r="B841" s="359" t="str">
        <f>'Front Sheet and Checklist'!$C$5</f>
        <v>Swansea Bay UHB</v>
      </c>
      <c r="C841" s="17"/>
      <c r="D841" s="17"/>
      <c r="E841" s="17"/>
      <c r="F841" s="17"/>
      <c r="G841" s="17"/>
      <c r="H841" s="17"/>
      <c r="I841" s="361">
        <f t="shared" si="189"/>
        <v>0</v>
      </c>
      <c r="J841" s="17"/>
      <c r="K841" s="18"/>
      <c r="L841" s="18"/>
      <c r="M841" s="17"/>
      <c r="N841" s="17"/>
      <c r="O841" s="17"/>
      <c r="P841" s="17"/>
      <c r="Q841" s="169"/>
      <c r="R841" s="24"/>
      <c r="S841" s="24"/>
      <c r="T841" s="24"/>
      <c r="U841" s="25"/>
      <c r="V841" s="25"/>
      <c r="W841" s="25"/>
      <c r="X841" s="24"/>
      <c r="Y841" s="24"/>
      <c r="Z841" s="24"/>
      <c r="AA841" s="24"/>
      <c r="AB841" s="24"/>
      <c r="AC841" s="24"/>
      <c r="AD841" s="361">
        <f t="shared" si="188"/>
        <v>0</v>
      </c>
      <c r="AE841" s="359" t="str">
        <f t="shared" si="191"/>
        <v/>
      </c>
      <c r="AF841" s="359" t="str">
        <f t="shared" si="200"/>
        <v/>
      </c>
      <c r="AG841" s="359" t="str">
        <f t="shared" si="192"/>
        <v/>
      </c>
      <c r="AH841" s="359" t="str">
        <f t="shared" si="193"/>
        <v/>
      </c>
      <c r="AI841" s="359" t="str">
        <f t="shared" si="194"/>
        <v/>
      </c>
      <c r="AJ841" s="359" t="str">
        <f t="shared" si="195"/>
        <v/>
      </c>
      <c r="AK841" s="359" t="str">
        <f t="shared" si="197"/>
        <v/>
      </c>
      <c r="AL841" s="359" t="str">
        <f t="shared" si="196"/>
        <v/>
      </c>
      <c r="AM841" s="359" t="str">
        <f t="shared" si="198"/>
        <v/>
      </c>
      <c r="AN841" s="262">
        <f t="shared" si="201"/>
        <v>0</v>
      </c>
      <c r="AO841" s="262" t="str">
        <f>IFERROR(HLOOKUP(AN841,'Ref Lists'!Q$1:AL$2,2,FALSE),'Ref Lists'!$AK$2)</f>
        <v>Savings21</v>
      </c>
      <c r="AP841" s="38"/>
      <c r="AQ841" s="38">
        <f t="shared" si="190"/>
        <v>0</v>
      </c>
      <c r="AR841" s="38"/>
      <c r="AS841" s="38"/>
      <c r="AT841" s="38"/>
      <c r="AU841" s="38"/>
      <c r="AV841" s="38"/>
      <c r="AW841" s="38"/>
      <c r="AX841" s="38"/>
      <c r="AY841" s="38"/>
      <c r="AZ841" s="38"/>
      <c r="BA841" s="38"/>
      <c r="BB841" s="38"/>
      <c r="BC841" s="38"/>
      <c r="BD841" s="38"/>
      <c r="BE841" s="38"/>
      <c r="BF841" s="38"/>
      <c r="BG841" s="38"/>
      <c r="BH841" s="38"/>
      <c r="BI841" s="38"/>
      <c r="BJ841" s="38"/>
      <c r="BK841" s="38"/>
      <c r="BL841" s="38"/>
      <c r="BM841" s="38"/>
      <c r="BN841" s="38"/>
      <c r="BO841" s="38"/>
      <c r="BP841" s="38"/>
      <c r="BQ841" s="38"/>
      <c r="BR841" s="38"/>
      <c r="BS841" s="38"/>
      <c r="BT841" s="38"/>
      <c r="BU841" s="38"/>
      <c r="BV841" s="38"/>
      <c r="BW841" s="38"/>
      <c r="BX841" s="38"/>
      <c r="BY841" s="38"/>
      <c r="BZ841" s="38"/>
      <c r="CA841" s="38"/>
      <c r="CB841" s="38"/>
      <c r="CC841" s="38"/>
      <c r="CD841" s="38"/>
      <c r="CE841" s="38"/>
      <c r="CF841" s="38"/>
      <c r="CG841" s="38"/>
      <c r="CH841" s="38"/>
      <c r="CI841" s="38"/>
      <c r="CJ841" s="38"/>
      <c r="CK841" s="38"/>
      <c r="CL841" s="38"/>
      <c r="CM841" s="38"/>
      <c r="CN841" s="38"/>
      <c r="CO841" s="38"/>
      <c r="CP841" s="38"/>
      <c r="CQ841" s="38"/>
      <c r="CR841" s="38"/>
      <c r="CS841" s="38"/>
      <c r="CT841" s="38"/>
      <c r="CU841" s="38"/>
      <c r="CV841" s="38"/>
      <c r="CW841" s="38"/>
      <c r="CX841" s="38"/>
      <c r="CY841" s="38"/>
      <c r="CZ841" s="38"/>
    </row>
    <row r="842" spans="1:104" s="40" customFormat="1" ht="20.149999999999999" customHeight="1">
      <c r="A842" s="358">
        <f t="shared" si="199"/>
        <v>841</v>
      </c>
      <c r="B842" s="359" t="str">
        <f>'Front Sheet and Checklist'!$C$5</f>
        <v>Swansea Bay UHB</v>
      </c>
      <c r="C842" s="17"/>
      <c r="D842" s="17"/>
      <c r="E842" s="17"/>
      <c r="F842" s="17"/>
      <c r="G842" s="17"/>
      <c r="H842" s="17"/>
      <c r="I842" s="361">
        <f t="shared" si="189"/>
        <v>0</v>
      </c>
      <c r="J842" s="17"/>
      <c r="K842" s="18"/>
      <c r="L842" s="18"/>
      <c r="M842" s="17"/>
      <c r="N842" s="17"/>
      <c r="O842" s="17"/>
      <c r="P842" s="17"/>
      <c r="Q842" s="169"/>
      <c r="R842" s="24"/>
      <c r="S842" s="24"/>
      <c r="T842" s="24"/>
      <c r="U842" s="25"/>
      <c r="V842" s="25"/>
      <c r="W842" s="25"/>
      <c r="X842" s="24"/>
      <c r="Y842" s="24"/>
      <c r="Z842" s="24"/>
      <c r="AA842" s="24"/>
      <c r="AB842" s="24"/>
      <c r="AC842" s="24"/>
      <c r="AD842" s="361">
        <f t="shared" si="188"/>
        <v>0</v>
      </c>
      <c r="AE842" s="359" t="str">
        <f t="shared" si="191"/>
        <v/>
      </c>
      <c r="AF842" s="359" t="str">
        <f t="shared" si="200"/>
        <v/>
      </c>
      <c r="AG842" s="359" t="str">
        <f t="shared" si="192"/>
        <v/>
      </c>
      <c r="AH842" s="359" t="str">
        <f t="shared" si="193"/>
        <v/>
      </c>
      <c r="AI842" s="359" t="str">
        <f t="shared" si="194"/>
        <v/>
      </c>
      <c r="AJ842" s="359" t="str">
        <f t="shared" si="195"/>
        <v/>
      </c>
      <c r="AK842" s="359" t="str">
        <f t="shared" si="197"/>
        <v/>
      </c>
      <c r="AL842" s="359" t="str">
        <f t="shared" si="196"/>
        <v/>
      </c>
      <c r="AM842" s="359" t="str">
        <f t="shared" si="198"/>
        <v/>
      </c>
      <c r="AN842" s="262">
        <f t="shared" si="201"/>
        <v>0</v>
      </c>
      <c r="AO842" s="262" t="str">
        <f>IFERROR(HLOOKUP(AN842,'Ref Lists'!Q$1:AL$2,2,FALSE),'Ref Lists'!$AK$2)</f>
        <v>Savings21</v>
      </c>
      <c r="AP842" s="38"/>
      <c r="AQ842" s="38">
        <f t="shared" si="190"/>
        <v>0</v>
      </c>
      <c r="AR842" s="38"/>
      <c r="AS842" s="38"/>
      <c r="AT842" s="38"/>
      <c r="AU842" s="38"/>
      <c r="AV842" s="38"/>
      <c r="AW842" s="38"/>
      <c r="AX842" s="38"/>
      <c r="AY842" s="38"/>
      <c r="AZ842" s="38"/>
      <c r="BA842" s="38"/>
      <c r="BB842" s="38"/>
      <c r="BC842" s="38"/>
      <c r="BD842" s="38"/>
      <c r="BE842" s="38"/>
      <c r="BF842" s="38"/>
      <c r="BG842" s="38"/>
      <c r="BH842" s="38"/>
      <c r="BI842" s="38"/>
      <c r="BJ842" s="38"/>
      <c r="BK842" s="38"/>
      <c r="BL842" s="38"/>
      <c r="BM842" s="38"/>
      <c r="BN842" s="38"/>
      <c r="BO842" s="38"/>
      <c r="BP842" s="38"/>
      <c r="BQ842" s="38"/>
      <c r="BR842" s="38"/>
      <c r="BS842" s="38"/>
      <c r="BT842" s="38"/>
      <c r="BU842" s="38"/>
      <c r="BV842" s="38"/>
      <c r="BW842" s="38"/>
      <c r="BX842" s="38"/>
      <c r="BY842" s="38"/>
      <c r="BZ842" s="38"/>
      <c r="CA842" s="38"/>
      <c r="CB842" s="38"/>
      <c r="CC842" s="38"/>
      <c r="CD842" s="38"/>
      <c r="CE842" s="38"/>
      <c r="CF842" s="38"/>
      <c r="CG842" s="38"/>
      <c r="CH842" s="38"/>
      <c r="CI842" s="38"/>
      <c r="CJ842" s="38"/>
      <c r="CK842" s="38"/>
      <c r="CL842" s="38"/>
      <c r="CM842" s="38"/>
      <c r="CN842" s="38"/>
      <c r="CO842" s="38"/>
      <c r="CP842" s="38"/>
      <c r="CQ842" s="38"/>
      <c r="CR842" s="38"/>
      <c r="CS842" s="38"/>
      <c r="CT842" s="38"/>
      <c r="CU842" s="38"/>
      <c r="CV842" s="38"/>
      <c r="CW842" s="38"/>
      <c r="CX842" s="38"/>
      <c r="CY842" s="38"/>
      <c r="CZ842" s="38"/>
    </row>
    <row r="843" spans="1:104" s="40" customFormat="1" ht="20.149999999999999" customHeight="1">
      <c r="A843" s="358">
        <f t="shared" si="199"/>
        <v>842</v>
      </c>
      <c r="B843" s="359" t="str">
        <f>'Front Sheet and Checklist'!$C$5</f>
        <v>Swansea Bay UHB</v>
      </c>
      <c r="C843" s="17"/>
      <c r="D843" s="17"/>
      <c r="E843" s="17"/>
      <c r="F843" s="17"/>
      <c r="G843" s="17"/>
      <c r="H843" s="17"/>
      <c r="I843" s="361">
        <f t="shared" si="189"/>
        <v>0</v>
      </c>
      <c r="J843" s="17"/>
      <c r="K843" s="18"/>
      <c r="L843" s="18"/>
      <c r="M843" s="17"/>
      <c r="N843" s="17"/>
      <c r="O843" s="17"/>
      <c r="P843" s="17"/>
      <c r="Q843" s="169"/>
      <c r="R843" s="24"/>
      <c r="S843" s="24"/>
      <c r="T843" s="24"/>
      <c r="U843" s="25"/>
      <c r="V843" s="25"/>
      <c r="W843" s="25"/>
      <c r="X843" s="24"/>
      <c r="Y843" s="24"/>
      <c r="Z843" s="24"/>
      <c r="AA843" s="24"/>
      <c r="AB843" s="24"/>
      <c r="AC843" s="24"/>
      <c r="AD843" s="361">
        <f t="shared" si="188"/>
        <v>0</v>
      </c>
      <c r="AE843" s="359" t="str">
        <f t="shared" si="191"/>
        <v/>
      </c>
      <c r="AF843" s="359" t="str">
        <f t="shared" si="200"/>
        <v/>
      </c>
      <c r="AG843" s="359" t="str">
        <f t="shared" si="192"/>
        <v/>
      </c>
      <c r="AH843" s="359" t="str">
        <f t="shared" si="193"/>
        <v/>
      </c>
      <c r="AI843" s="359" t="str">
        <f t="shared" si="194"/>
        <v/>
      </c>
      <c r="AJ843" s="359" t="str">
        <f t="shared" si="195"/>
        <v/>
      </c>
      <c r="AK843" s="359" t="str">
        <f t="shared" si="197"/>
        <v/>
      </c>
      <c r="AL843" s="359" t="str">
        <f t="shared" si="196"/>
        <v/>
      </c>
      <c r="AM843" s="359" t="str">
        <f t="shared" si="198"/>
        <v/>
      </c>
      <c r="AN843" s="262">
        <f t="shared" si="201"/>
        <v>0</v>
      </c>
      <c r="AO843" s="262" t="str">
        <f>IFERROR(HLOOKUP(AN843,'Ref Lists'!Q$1:AL$2,2,FALSE),'Ref Lists'!$AK$2)</f>
        <v>Savings21</v>
      </c>
      <c r="AP843" s="38"/>
      <c r="AQ843" s="38">
        <f t="shared" si="190"/>
        <v>0</v>
      </c>
      <c r="AR843" s="38"/>
      <c r="AS843" s="38"/>
      <c r="AT843" s="38"/>
      <c r="AU843" s="38"/>
      <c r="AV843" s="38"/>
      <c r="AW843" s="38"/>
      <c r="AX843" s="38"/>
      <c r="AY843" s="38"/>
      <c r="AZ843" s="38"/>
      <c r="BA843" s="38"/>
      <c r="BB843" s="38"/>
      <c r="BC843" s="38"/>
      <c r="BD843" s="38"/>
      <c r="BE843" s="38"/>
      <c r="BF843" s="38"/>
      <c r="BG843" s="38"/>
      <c r="BH843" s="38"/>
      <c r="BI843" s="38"/>
      <c r="BJ843" s="38"/>
      <c r="BK843" s="38"/>
      <c r="BL843" s="38"/>
      <c r="BM843" s="38"/>
      <c r="BN843" s="38"/>
      <c r="BO843" s="38"/>
      <c r="BP843" s="38"/>
      <c r="BQ843" s="38"/>
      <c r="BR843" s="38"/>
      <c r="BS843" s="38"/>
      <c r="BT843" s="38"/>
      <c r="BU843" s="38"/>
      <c r="BV843" s="38"/>
      <c r="BW843" s="38"/>
      <c r="BX843" s="38"/>
      <c r="BY843" s="38"/>
      <c r="BZ843" s="38"/>
      <c r="CA843" s="38"/>
      <c r="CB843" s="38"/>
      <c r="CC843" s="38"/>
      <c r="CD843" s="38"/>
      <c r="CE843" s="38"/>
      <c r="CF843" s="38"/>
      <c r="CG843" s="38"/>
      <c r="CH843" s="38"/>
      <c r="CI843" s="38"/>
      <c r="CJ843" s="38"/>
      <c r="CK843" s="38"/>
      <c r="CL843" s="38"/>
      <c r="CM843" s="38"/>
      <c r="CN843" s="38"/>
      <c r="CO843" s="38"/>
      <c r="CP843" s="38"/>
      <c r="CQ843" s="38"/>
      <c r="CR843" s="38"/>
      <c r="CS843" s="38"/>
      <c r="CT843" s="38"/>
      <c r="CU843" s="38"/>
      <c r="CV843" s="38"/>
      <c r="CW843" s="38"/>
      <c r="CX843" s="38"/>
      <c r="CY843" s="38"/>
      <c r="CZ843" s="38"/>
    </row>
    <row r="844" spans="1:104" s="40" customFormat="1" ht="20.149999999999999" customHeight="1">
      <c r="A844" s="358">
        <f t="shared" si="199"/>
        <v>843</v>
      </c>
      <c r="B844" s="359" t="str">
        <f>'Front Sheet and Checklist'!$C$5</f>
        <v>Swansea Bay UHB</v>
      </c>
      <c r="C844" s="17"/>
      <c r="D844" s="17"/>
      <c r="E844" s="17"/>
      <c r="F844" s="17"/>
      <c r="G844" s="17"/>
      <c r="H844" s="17"/>
      <c r="I844" s="361">
        <f t="shared" si="189"/>
        <v>0</v>
      </c>
      <c r="J844" s="17"/>
      <c r="K844" s="18"/>
      <c r="L844" s="18"/>
      <c r="M844" s="17"/>
      <c r="N844" s="17"/>
      <c r="O844" s="17"/>
      <c r="P844" s="17"/>
      <c r="Q844" s="169"/>
      <c r="R844" s="24"/>
      <c r="S844" s="24"/>
      <c r="T844" s="24"/>
      <c r="U844" s="25"/>
      <c r="V844" s="25"/>
      <c r="W844" s="25"/>
      <c r="X844" s="24"/>
      <c r="Y844" s="24"/>
      <c r="Z844" s="24"/>
      <c r="AA844" s="24"/>
      <c r="AB844" s="24"/>
      <c r="AC844" s="24"/>
      <c r="AD844" s="361">
        <f t="shared" si="188"/>
        <v>0</v>
      </c>
      <c r="AE844" s="359" t="str">
        <f t="shared" si="191"/>
        <v/>
      </c>
      <c r="AF844" s="359" t="str">
        <f t="shared" si="200"/>
        <v/>
      </c>
      <c r="AG844" s="359" t="str">
        <f t="shared" si="192"/>
        <v/>
      </c>
      <c r="AH844" s="359" t="str">
        <f t="shared" si="193"/>
        <v/>
      </c>
      <c r="AI844" s="359" t="str">
        <f t="shared" si="194"/>
        <v/>
      </c>
      <c r="AJ844" s="359" t="str">
        <f t="shared" si="195"/>
        <v/>
      </c>
      <c r="AK844" s="359" t="str">
        <f t="shared" si="197"/>
        <v/>
      </c>
      <c r="AL844" s="359" t="str">
        <f t="shared" si="196"/>
        <v/>
      </c>
      <c r="AM844" s="359" t="str">
        <f t="shared" si="198"/>
        <v/>
      </c>
      <c r="AN844" s="262">
        <f t="shared" si="201"/>
        <v>0</v>
      </c>
      <c r="AO844" s="262" t="str">
        <f>IFERROR(HLOOKUP(AN844,'Ref Lists'!Q$1:AL$2,2,FALSE),'Ref Lists'!$AK$2)</f>
        <v>Savings21</v>
      </c>
      <c r="AP844" s="38"/>
      <c r="AQ844" s="38">
        <f t="shared" si="190"/>
        <v>0</v>
      </c>
      <c r="AR844" s="38"/>
      <c r="AS844" s="38"/>
      <c r="AT844" s="38"/>
      <c r="AU844" s="38"/>
      <c r="AV844" s="38"/>
      <c r="AW844" s="38"/>
      <c r="AX844" s="38"/>
      <c r="AY844" s="38"/>
      <c r="AZ844" s="38"/>
      <c r="BA844" s="38"/>
      <c r="BB844" s="38"/>
      <c r="BC844" s="38"/>
      <c r="BD844" s="38"/>
      <c r="BE844" s="38"/>
      <c r="BF844" s="38"/>
      <c r="BG844" s="38"/>
      <c r="BH844" s="38"/>
      <c r="BI844" s="38"/>
      <c r="BJ844" s="38"/>
      <c r="BK844" s="38"/>
      <c r="BL844" s="38"/>
      <c r="BM844" s="38"/>
      <c r="BN844" s="38"/>
      <c r="BO844" s="38"/>
      <c r="BP844" s="38"/>
      <c r="BQ844" s="38"/>
      <c r="BR844" s="38"/>
      <c r="BS844" s="38"/>
      <c r="BT844" s="38"/>
      <c r="BU844" s="38"/>
      <c r="BV844" s="38"/>
      <c r="BW844" s="38"/>
      <c r="BX844" s="38"/>
      <c r="BY844" s="38"/>
      <c r="BZ844" s="38"/>
      <c r="CA844" s="38"/>
      <c r="CB844" s="38"/>
      <c r="CC844" s="38"/>
      <c r="CD844" s="38"/>
      <c r="CE844" s="38"/>
      <c r="CF844" s="38"/>
      <c r="CG844" s="38"/>
      <c r="CH844" s="38"/>
      <c r="CI844" s="38"/>
      <c r="CJ844" s="38"/>
      <c r="CK844" s="38"/>
      <c r="CL844" s="38"/>
      <c r="CM844" s="38"/>
      <c r="CN844" s="38"/>
      <c r="CO844" s="38"/>
      <c r="CP844" s="38"/>
      <c r="CQ844" s="38"/>
      <c r="CR844" s="38"/>
      <c r="CS844" s="38"/>
      <c r="CT844" s="38"/>
      <c r="CU844" s="38"/>
      <c r="CV844" s="38"/>
      <c r="CW844" s="38"/>
      <c r="CX844" s="38"/>
      <c r="CY844" s="38"/>
      <c r="CZ844" s="38"/>
    </row>
    <row r="845" spans="1:104" s="40" customFormat="1" ht="20.149999999999999" customHeight="1">
      <c r="A845" s="358">
        <f t="shared" si="199"/>
        <v>844</v>
      </c>
      <c r="B845" s="359" t="str">
        <f>'Front Sheet and Checklist'!$C$5</f>
        <v>Swansea Bay UHB</v>
      </c>
      <c r="C845" s="17"/>
      <c r="D845" s="17"/>
      <c r="E845" s="17"/>
      <c r="F845" s="17"/>
      <c r="G845" s="17"/>
      <c r="H845" s="17"/>
      <c r="I845" s="361">
        <f t="shared" si="189"/>
        <v>0</v>
      </c>
      <c r="J845" s="17"/>
      <c r="K845" s="18"/>
      <c r="L845" s="18"/>
      <c r="M845" s="17"/>
      <c r="N845" s="17"/>
      <c r="O845" s="17"/>
      <c r="P845" s="17"/>
      <c r="Q845" s="169"/>
      <c r="R845" s="24"/>
      <c r="S845" s="24"/>
      <c r="T845" s="24"/>
      <c r="U845" s="25"/>
      <c r="V845" s="25"/>
      <c r="W845" s="25"/>
      <c r="X845" s="24"/>
      <c r="Y845" s="24"/>
      <c r="Z845" s="24"/>
      <c r="AA845" s="24"/>
      <c r="AB845" s="24"/>
      <c r="AC845" s="24"/>
      <c r="AD845" s="361">
        <f t="shared" si="188"/>
        <v>0</v>
      </c>
      <c r="AE845" s="359" t="str">
        <f t="shared" si="191"/>
        <v/>
      </c>
      <c r="AF845" s="359" t="str">
        <f t="shared" si="200"/>
        <v/>
      </c>
      <c r="AG845" s="359" t="str">
        <f t="shared" si="192"/>
        <v/>
      </c>
      <c r="AH845" s="359" t="str">
        <f t="shared" si="193"/>
        <v/>
      </c>
      <c r="AI845" s="359" t="str">
        <f t="shared" si="194"/>
        <v/>
      </c>
      <c r="AJ845" s="359" t="str">
        <f t="shared" si="195"/>
        <v/>
      </c>
      <c r="AK845" s="359" t="str">
        <f t="shared" si="197"/>
        <v/>
      </c>
      <c r="AL845" s="359" t="str">
        <f t="shared" si="196"/>
        <v/>
      </c>
      <c r="AM845" s="359" t="str">
        <f t="shared" si="198"/>
        <v/>
      </c>
      <c r="AN845" s="262">
        <f t="shared" si="201"/>
        <v>0</v>
      </c>
      <c r="AO845" s="262" t="str">
        <f>IFERROR(HLOOKUP(AN845,'Ref Lists'!Q$1:AL$2,2,FALSE),'Ref Lists'!$AK$2)</f>
        <v>Savings21</v>
      </c>
      <c r="AP845" s="38"/>
      <c r="AQ845" s="38">
        <f t="shared" si="190"/>
        <v>0</v>
      </c>
      <c r="AR845" s="38"/>
      <c r="AS845" s="38"/>
      <c r="AT845" s="38"/>
      <c r="AU845" s="38"/>
      <c r="AV845" s="38"/>
      <c r="AW845" s="38"/>
      <c r="AX845" s="38"/>
      <c r="AY845" s="38"/>
      <c r="AZ845" s="38"/>
      <c r="BA845" s="38"/>
      <c r="BB845" s="38"/>
      <c r="BC845" s="38"/>
      <c r="BD845" s="38"/>
      <c r="BE845" s="38"/>
      <c r="BF845" s="38"/>
      <c r="BG845" s="38"/>
      <c r="BH845" s="38"/>
      <c r="BI845" s="38"/>
      <c r="BJ845" s="38"/>
      <c r="BK845" s="38"/>
      <c r="BL845" s="38"/>
      <c r="BM845" s="38"/>
      <c r="BN845" s="38"/>
      <c r="BO845" s="38"/>
      <c r="BP845" s="38"/>
      <c r="BQ845" s="38"/>
      <c r="BR845" s="38"/>
      <c r="BS845" s="38"/>
      <c r="BT845" s="38"/>
      <c r="BU845" s="38"/>
      <c r="BV845" s="38"/>
      <c r="BW845" s="38"/>
      <c r="BX845" s="38"/>
      <c r="BY845" s="38"/>
      <c r="BZ845" s="38"/>
      <c r="CA845" s="38"/>
      <c r="CB845" s="38"/>
      <c r="CC845" s="38"/>
      <c r="CD845" s="38"/>
      <c r="CE845" s="38"/>
      <c r="CF845" s="38"/>
      <c r="CG845" s="38"/>
      <c r="CH845" s="38"/>
      <c r="CI845" s="38"/>
      <c r="CJ845" s="38"/>
      <c r="CK845" s="38"/>
      <c r="CL845" s="38"/>
      <c r="CM845" s="38"/>
      <c r="CN845" s="38"/>
      <c r="CO845" s="38"/>
      <c r="CP845" s="38"/>
      <c r="CQ845" s="38"/>
      <c r="CR845" s="38"/>
      <c r="CS845" s="38"/>
      <c r="CT845" s="38"/>
      <c r="CU845" s="38"/>
      <c r="CV845" s="38"/>
      <c r="CW845" s="38"/>
      <c r="CX845" s="38"/>
      <c r="CY845" s="38"/>
      <c r="CZ845" s="38"/>
    </row>
    <row r="846" spans="1:104" s="40" customFormat="1" ht="20.149999999999999" customHeight="1">
      <c r="A846" s="358">
        <f t="shared" si="199"/>
        <v>845</v>
      </c>
      <c r="B846" s="359" t="str">
        <f>'Front Sheet and Checklist'!$C$5</f>
        <v>Swansea Bay UHB</v>
      </c>
      <c r="C846" s="17"/>
      <c r="D846" s="17"/>
      <c r="E846" s="17"/>
      <c r="F846" s="17"/>
      <c r="G846" s="17"/>
      <c r="H846" s="17"/>
      <c r="I846" s="361">
        <f t="shared" si="189"/>
        <v>0</v>
      </c>
      <c r="J846" s="17"/>
      <c r="K846" s="18"/>
      <c r="L846" s="18"/>
      <c r="M846" s="17"/>
      <c r="N846" s="17"/>
      <c r="O846" s="17"/>
      <c r="P846" s="17"/>
      <c r="Q846" s="169"/>
      <c r="R846" s="24"/>
      <c r="S846" s="24"/>
      <c r="T846" s="24"/>
      <c r="U846" s="25"/>
      <c r="V846" s="25"/>
      <c r="W846" s="25"/>
      <c r="X846" s="24"/>
      <c r="Y846" s="24"/>
      <c r="Z846" s="24"/>
      <c r="AA846" s="24"/>
      <c r="AB846" s="24"/>
      <c r="AC846" s="24"/>
      <c r="AD846" s="361">
        <f t="shared" si="188"/>
        <v>0</v>
      </c>
      <c r="AE846" s="359" t="str">
        <f t="shared" si="191"/>
        <v/>
      </c>
      <c r="AF846" s="359" t="str">
        <f t="shared" si="200"/>
        <v/>
      </c>
      <c r="AG846" s="359" t="str">
        <f t="shared" si="192"/>
        <v/>
      </c>
      <c r="AH846" s="359" t="str">
        <f t="shared" si="193"/>
        <v/>
      </c>
      <c r="AI846" s="359" t="str">
        <f t="shared" si="194"/>
        <v/>
      </c>
      <c r="AJ846" s="359" t="str">
        <f t="shared" si="195"/>
        <v/>
      </c>
      <c r="AK846" s="359" t="str">
        <f t="shared" si="197"/>
        <v/>
      </c>
      <c r="AL846" s="359" t="str">
        <f t="shared" si="196"/>
        <v/>
      </c>
      <c r="AM846" s="359" t="str">
        <f t="shared" si="198"/>
        <v/>
      </c>
      <c r="AN846" s="262">
        <f t="shared" si="201"/>
        <v>0</v>
      </c>
      <c r="AO846" s="262" t="str">
        <f>IFERROR(HLOOKUP(AN846,'Ref Lists'!Q$1:AL$2,2,FALSE),'Ref Lists'!$AK$2)</f>
        <v>Savings21</v>
      </c>
      <c r="AP846" s="38"/>
      <c r="AQ846" s="38">
        <f t="shared" si="190"/>
        <v>0</v>
      </c>
      <c r="AR846" s="38"/>
      <c r="AS846" s="38"/>
      <c r="AT846" s="38"/>
      <c r="AU846" s="38"/>
      <c r="AV846" s="38"/>
      <c r="AW846" s="38"/>
      <c r="AX846" s="38"/>
      <c r="AY846" s="38"/>
      <c r="AZ846" s="38"/>
      <c r="BA846" s="38"/>
      <c r="BB846" s="38"/>
      <c r="BC846" s="38"/>
      <c r="BD846" s="38"/>
      <c r="BE846" s="38"/>
      <c r="BF846" s="38"/>
      <c r="BG846" s="38"/>
      <c r="BH846" s="38"/>
      <c r="BI846" s="38"/>
      <c r="BJ846" s="38"/>
      <c r="BK846" s="38"/>
      <c r="BL846" s="38"/>
      <c r="BM846" s="38"/>
      <c r="BN846" s="38"/>
      <c r="BO846" s="38"/>
      <c r="BP846" s="38"/>
      <c r="BQ846" s="38"/>
      <c r="BR846" s="38"/>
      <c r="BS846" s="38"/>
      <c r="BT846" s="38"/>
      <c r="BU846" s="38"/>
      <c r="BV846" s="38"/>
      <c r="BW846" s="38"/>
      <c r="BX846" s="38"/>
      <c r="BY846" s="38"/>
      <c r="BZ846" s="38"/>
      <c r="CA846" s="38"/>
      <c r="CB846" s="38"/>
      <c r="CC846" s="38"/>
      <c r="CD846" s="38"/>
      <c r="CE846" s="38"/>
      <c r="CF846" s="38"/>
      <c r="CG846" s="38"/>
      <c r="CH846" s="38"/>
      <c r="CI846" s="38"/>
      <c r="CJ846" s="38"/>
      <c r="CK846" s="38"/>
      <c r="CL846" s="38"/>
      <c r="CM846" s="38"/>
      <c r="CN846" s="38"/>
      <c r="CO846" s="38"/>
      <c r="CP846" s="38"/>
      <c r="CQ846" s="38"/>
      <c r="CR846" s="38"/>
      <c r="CS846" s="38"/>
      <c r="CT846" s="38"/>
      <c r="CU846" s="38"/>
      <c r="CV846" s="38"/>
      <c r="CW846" s="38"/>
      <c r="CX846" s="38"/>
      <c r="CY846" s="38"/>
      <c r="CZ846" s="38"/>
    </row>
    <row r="847" spans="1:104" s="40" customFormat="1" ht="20.149999999999999" customHeight="1">
      <c r="A847" s="358">
        <f t="shared" si="199"/>
        <v>846</v>
      </c>
      <c r="B847" s="359" t="str">
        <f>'Front Sheet and Checklist'!$C$5</f>
        <v>Swansea Bay UHB</v>
      </c>
      <c r="C847" s="17"/>
      <c r="D847" s="17"/>
      <c r="E847" s="17"/>
      <c r="F847" s="17"/>
      <c r="G847" s="17"/>
      <c r="H847" s="17"/>
      <c r="I847" s="361">
        <f t="shared" si="189"/>
        <v>0</v>
      </c>
      <c r="J847" s="17"/>
      <c r="K847" s="18"/>
      <c r="L847" s="18"/>
      <c r="M847" s="17"/>
      <c r="N847" s="17"/>
      <c r="O847" s="17"/>
      <c r="P847" s="17"/>
      <c r="Q847" s="169"/>
      <c r="R847" s="24"/>
      <c r="S847" s="24"/>
      <c r="T847" s="24"/>
      <c r="U847" s="25"/>
      <c r="V847" s="25"/>
      <c r="W847" s="25"/>
      <c r="X847" s="24"/>
      <c r="Y847" s="24"/>
      <c r="Z847" s="24"/>
      <c r="AA847" s="24"/>
      <c r="AB847" s="24"/>
      <c r="AC847" s="24"/>
      <c r="AD847" s="361">
        <f t="shared" si="188"/>
        <v>0</v>
      </c>
      <c r="AE847" s="359" t="str">
        <f t="shared" si="191"/>
        <v/>
      </c>
      <c r="AF847" s="359" t="str">
        <f t="shared" si="200"/>
        <v/>
      </c>
      <c r="AG847" s="359" t="str">
        <f t="shared" si="192"/>
        <v/>
      </c>
      <c r="AH847" s="359" t="str">
        <f t="shared" si="193"/>
        <v/>
      </c>
      <c r="AI847" s="359" t="str">
        <f t="shared" si="194"/>
        <v/>
      </c>
      <c r="AJ847" s="359" t="str">
        <f t="shared" si="195"/>
        <v/>
      </c>
      <c r="AK847" s="359" t="str">
        <f t="shared" si="197"/>
        <v/>
      </c>
      <c r="AL847" s="359" t="str">
        <f t="shared" si="196"/>
        <v/>
      </c>
      <c r="AM847" s="359" t="str">
        <f t="shared" si="198"/>
        <v/>
      </c>
      <c r="AN847" s="262">
        <f t="shared" si="201"/>
        <v>0</v>
      </c>
      <c r="AO847" s="262" t="str">
        <f>IFERROR(HLOOKUP(AN847,'Ref Lists'!Q$1:AL$2,2,FALSE),'Ref Lists'!$AK$2)</f>
        <v>Savings21</v>
      </c>
      <c r="AP847" s="38"/>
      <c r="AQ847" s="38">
        <f t="shared" si="190"/>
        <v>0</v>
      </c>
      <c r="AR847" s="38"/>
      <c r="AS847" s="38"/>
      <c r="AT847" s="38"/>
      <c r="AU847" s="38"/>
      <c r="AV847" s="38"/>
      <c r="AW847" s="38"/>
      <c r="AX847" s="38"/>
      <c r="AY847" s="38"/>
      <c r="AZ847" s="38"/>
      <c r="BA847" s="38"/>
      <c r="BB847" s="38"/>
      <c r="BC847" s="38"/>
      <c r="BD847" s="38"/>
      <c r="BE847" s="38"/>
      <c r="BF847" s="38"/>
      <c r="BG847" s="38"/>
      <c r="BH847" s="38"/>
      <c r="BI847" s="38"/>
      <c r="BJ847" s="38"/>
      <c r="BK847" s="38"/>
      <c r="BL847" s="38"/>
      <c r="BM847" s="38"/>
      <c r="BN847" s="38"/>
      <c r="BO847" s="38"/>
      <c r="BP847" s="38"/>
      <c r="BQ847" s="38"/>
      <c r="BR847" s="38"/>
      <c r="BS847" s="38"/>
      <c r="BT847" s="38"/>
      <c r="BU847" s="38"/>
      <c r="BV847" s="38"/>
      <c r="BW847" s="38"/>
      <c r="BX847" s="38"/>
      <c r="BY847" s="38"/>
      <c r="BZ847" s="38"/>
      <c r="CA847" s="38"/>
      <c r="CB847" s="38"/>
      <c r="CC847" s="38"/>
      <c r="CD847" s="38"/>
      <c r="CE847" s="38"/>
      <c r="CF847" s="38"/>
      <c r="CG847" s="38"/>
      <c r="CH847" s="38"/>
      <c r="CI847" s="38"/>
      <c r="CJ847" s="38"/>
      <c r="CK847" s="38"/>
      <c r="CL847" s="38"/>
      <c r="CM847" s="38"/>
      <c r="CN847" s="38"/>
      <c r="CO847" s="38"/>
      <c r="CP847" s="38"/>
      <c r="CQ847" s="38"/>
      <c r="CR847" s="38"/>
      <c r="CS847" s="38"/>
      <c r="CT847" s="38"/>
      <c r="CU847" s="38"/>
      <c r="CV847" s="38"/>
      <c r="CW847" s="38"/>
      <c r="CX847" s="38"/>
      <c r="CY847" s="38"/>
      <c r="CZ847" s="38"/>
    </row>
    <row r="848" spans="1:104" s="40" customFormat="1" ht="20.149999999999999" customHeight="1">
      <c r="A848" s="358">
        <f t="shared" si="199"/>
        <v>847</v>
      </c>
      <c r="B848" s="359" t="str">
        <f>'Front Sheet and Checklist'!$C$5</f>
        <v>Swansea Bay UHB</v>
      </c>
      <c r="C848" s="17"/>
      <c r="D848" s="17"/>
      <c r="E848" s="17"/>
      <c r="F848" s="17"/>
      <c r="G848" s="17"/>
      <c r="H848" s="17"/>
      <c r="I848" s="361">
        <f t="shared" si="189"/>
        <v>0</v>
      </c>
      <c r="J848" s="17"/>
      <c r="K848" s="18"/>
      <c r="L848" s="18"/>
      <c r="M848" s="17"/>
      <c r="N848" s="17"/>
      <c r="O848" s="17"/>
      <c r="P848" s="17"/>
      <c r="Q848" s="169"/>
      <c r="R848" s="24"/>
      <c r="S848" s="24"/>
      <c r="T848" s="24"/>
      <c r="U848" s="25"/>
      <c r="V848" s="25"/>
      <c r="W848" s="25"/>
      <c r="X848" s="24"/>
      <c r="Y848" s="24"/>
      <c r="Z848" s="24"/>
      <c r="AA848" s="24"/>
      <c r="AB848" s="24"/>
      <c r="AC848" s="24"/>
      <c r="AD848" s="361">
        <f t="shared" si="188"/>
        <v>0</v>
      </c>
      <c r="AE848" s="359" t="str">
        <f t="shared" si="191"/>
        <v/>
      </c>
      <c r="AF848" s="359" t="str">
        <f t="shared" si="200"/>
        <v/>
      </c>
      <c r="AG848" s="359" t="str">
        <f t="shared" si="192"/>
        <v/>
      </c>
      <c r="AH848" s="359" t="str">
        <f t="shared" si="193"/>
        <v/>
      </c>
      <c r="AI848" s="359" t="str">
        <f t="shared" si="194"/>
        <v/>
      </c>
      <c r="AJ848" s="359" t="str">
        <f t="shared" si="195"/>
        <v/>
      </c>
      <c r="AK848" s="359" t="str">
        <f t="shared" si="197"/>
        <v/>
      </c>
      <c r="AL848" s="359" t="str">
        <f t="shared" si="196"/>
        <v/>
      </c>
      <c r="AM848" s="359" t="str">
        <f t="shared" si="198"/>
        <v/>
      </c>
      <c r="AN848" s="262">
        <f t="shared" si="201"/>
        <v>0</v>
      </c>
      <c r="AO848" s="262" t="str">
        <f>IFERROR(HLOOKUP(AN848,'Ref Lists'!Q$1:AL$2,2,FALSE),'Ref Lists'!$AK$2)</f>
        <v>Savings21</v>
      </c>
      <c r="AP848" s="38"/>
      <c r="AQ848" s="38">
        <f t="shared" si="190"/>
        <v>0</v>
      </c>
      <c r="AR848" s="38"/>
      <c r="AS848" s="38"/>
      <c r="AT848" s="38"/>
      <c r="AU848" s="38"/>
      <c r="AV848" s="38"/>
      <c r="AW848" s="38"/>
      <c r="AX848" s="38"/>
      <c r="AY848" s="38"/>
      <c r="AZ848" s="38"/>
      <c r="BA848" s="38"/>
      <c r="BB848" s="38"/>
      <c r="BC848" s="38"/>
      <c r="BD848" s="38"/>
      <c r="BE848" s="38"/>
      <c r="BF848" s="38"/>
      <c r="BG848" s="38"/>
      <c r="BH848" s="38"/>
      <c r="BI848" s="38"/>
      <c r="BJ848" s="38"/>
      <c r="BK848" s="38"/>
      <c r="BL848" s="38"/>
      <c r="BM848" s="38"/>
      <c r="BN848" s="38"/>
      <c r="BO848" s="38"/>
      <c r="BP848" s="38"/>
      <c r="BQ848" s="38"/>
      <c r="BR848" s="38"/>
      <c r="BS848" s="38"/>
      <c r="BT848" s="38"/>
      <c r="BU848" s="38"/>
      <c r="BV848" s="38"/>
      <c r="BW848" s="38"/>
      <c r="BX848" s="38"/>
      <c r="BY848" s="38"/>
      <c r="BZ848" s="38"/>
      <c r="CA848" s="38"/>
      <c r="CB848" s="38"/>
      <c r="CC848" s="38"/>
      <c r="CD848" s="38"/>
      <c r="CE848" s="38"/>
      <c r="CF848" s="38"/>
      <c r="CG848" s="38"/>
      <c r="CH848" s="38"/>
      <c r="CI848" s="38"/>
      <c r="CJ848" s="38"/>
      <c r="CK848" s="38"/>
      <c r="CL848" s="38"/>
      <c r="CM848" s="38"/>
      <c r="CN848" s="38"/>
      <c r="CO848" s="38"/>
      <c r="CP848" s="38"/>
      <c r="CQ848" s="38"/>
      <c r="CR848" s="38"/>
      <c r="CS848" s="38"/>
      <c r="CT848" s="38"/>
      <c r="CU848" s="38"/>
      <c r="CV848" s="38"/>
      <c r="CW848" s="38"/>
      <c r="CX848" s="38"/>
      <c r="CY848" s="38"/>
      <c r="CZ848" s="38"/>
    </row>
    <row r="849" spans="1:104" s="40" customFormat="1" ht="20.149999999999999" customHeight="1">
      <c r="A849" s="358">
        <f t="shared" si="199"/>
        <v>848</v>
      </c>
      <c r="B849" s="359" t="str">
        <f>'Front Sheet and Checklist'!$C$5</f>
        <v>Swansea Bay UHB</v>
      </c>
      <c r="C849" s="17"/>
      <c r="D849" s="17"/>
      <c r="E849" s="17"/>
      <c r="F849" s="17"/>
      <c r="G849" s="17"/>
      <c r="H849" s="17"/>
      <c r="I849" s="361">
        <f t="shared" si="189"/>
        <v>0</v>
      </c>
      <c r="J849" s="17"/>
      <c r="K849" s="18"/>
      <c r="L849" s="18"/>
      <c r="M849" s="17"/>
      <c r="N849" s="17"/>
      <c r="O849" s="17"/>
      <c r="P849" s="17"/>
      <c r="Q849" s="169"/>
      <c r="R849" s="24"/>
      <c r="S849" s="24"/>
      <c r="T849" s="24"/>
      <c r="U849" s="25"/>
      <c r="V849" s="25"/>
      <c r="W849" s="25"/>
      <c r="X849" s="24"/>
      <c r="Y849" s="24"/>
      <c r="Z849" s="24"/>
      <c r="AA849" s="24"/>
      <c r="AB849" s="24"/>
      <c r="AC849" s="24"/>
      <c r="AD849" s="361">
        <f t="shared" si="188"/>
        <v>0</v>
      </c>
      <c r="AE849" s="359" t="str">
        <f t="shared" si="191"/>
        <v/>
      </c>
      <c r="AF849" s="359" t="str">
        <f t="shared" si="200"/>
        <v/>
      </c>
      <c r="AG849" s="359" t="str">
        <f t="shared" si="192"/>
        <v/>
      </c>
      <c r="AH849" s="359" t="str">
        <f t="shared" si="193"/>
        <v/>
      </c>
      <c r="AI849" s="359" t="str">
        <f t="shared" si="194"/>
        <v/>
      </c>
      <c r="AJ849" s="359" t="str">
        <f t="shared" si="195"/>
        <v/>
      </c>
      <c r="AK849" s="359" t="str">
        <f t="shared" si="197"/>
        <v/>
      </c>
      <c r="AL849" s="359" t="str">
        <f t="shared" si="196"/>
        <v/>
      </c>
      <c r="AM849" s="359" t="str">
        <f t="shared" si="198"/>
        <v/>
      </c>
      <c r="AN849" s="262">
        <f t="shared" si="201"/>
        <v>0</v>
      </c>
      <c r="AO849" s="262" t="str">
        <f>IFERROR(HLOOKUP(AN849,'Ref Lists'!Q$1:AL$2,2,FALSE),'Ref Lists'!$AK$2)</f>
        <v>Savings21</v>
      </c>
      <c r="AP849" s="38"/>
      <c r="AQ849" s="38">
        <f t="shared" si="190"/>
        <v>0</v>
      </c>
      <c r="AR849" s="38"/>
      <c r="AS849" s="38"/>
      <c r="AT849" s="38"/>
      <c r="AU849" s="38"/>
      <c r="AV849" s="38"/>
      <c r="AW849" s="38"/>
      <c r="AX849" s="38"/>
      <c r="AY849" s="38"/>
      <c r="AZ849" s="38"/>
      <c r="BA849" s="38"/>
      <c r="BB849" s="38"/>
      <c r="BC849" s="38"/>
      <c r="BD849" s="38"/>
      <c r="BE849" s="38"/>
      <c r="BF849" s="38"/>
      <c r="BG849" s="38"/>
      <c r="BH849" s="38"/>
      <c r="BI849" s="38"/>
      <c r="BJ849" s="38"/>
      <c r="BK849" s="38"/>
      <c r="BL849" s="38"/>
      <c r="BM849" s="38"/>
      <c r="BN849" s="38"/>
      <c r="BO849" s="38"/>
      <c r="BP849" s="38"/>
      <c r="BQ849" s="38"/>
      <c r="BR849" s="38"/>
      <c r="BS849" s="38"/>
      <c r="BT849" s="38"/>
      <c r="BU849" s="38"/>
      <c r="BV849" s="38"/>
      <c r="BW849" s="38"/>
      <c r="BX849" s="38"/>
      <c r="BY849" s="38"/>
      <c r="BZ849" s="38"/>
      <c r="CA849" s="38"/>
      <c r="CB849" s="38"/>
      <c r="CC849" s="38"/>
      <c r="CD849" s="38"/>
      <c r="CE849" s="38"/>
      <c r="CF849" s="38"/>
      <c r="CG849" s="38"/>
      <c r="CH849" s="38"/>
      <c r="CI849" s="38"/>
      <c r="CJ849" s="38"/>
      <c r="CK849" s="38"/>
      <c r="CL849" s="38"/>
      <c r="CM849" s="38"/>
      <c r="CN849" s="38"/>
      <c r="CO849" s="38"/>
      <c r="CP849" s="38"/>
      <c r="CQ849" s="38"/>
      <c r="CR849" s="38"/>
      <c r="CS849" s="38"/>
      <c r="CT849" s="38"/>
      <c r="CU849" s="38"/>
      <c r="CV849" s="38"/>
      <c r="CW849" s="38"/>
      <c r="CX849" s="38"/>
      <c r="CY849" s="38"/>
      <c r="CZ849" s="38"/>
    </row>
    <row r="850" spans="1:104" s="40" customFormat="1" ht="20.149999999999999" customHeight="1">
      <c r="A850" s="358">
        <f t="shared" si="199"/>
        <v>849</v>
      </c>
      <c r="B850" s="359" t="str">
        <f>'Front Sheet and Checklist'!$C$5</f>
        <v>Swansea Bay UHB</v>
      </c>
      <c r="C850" s="17"/>
      <c r="D850" s="17"/>
      <c r="E850" s="17"/>
      <c r="F850" s="17"/>
      <c r="G850" s="17"/>
      <c r="H850" s="17"/>
      <c r="I850" s="361">
        <f t="shared" si="189"/>
        <v>0</v>
      </c>
      <c r="J850" s="17"/>
      <c r="K850" s="18"/>
      <c r="L850" s="18"/>
      <c r="M850" s="17"/>
      <c r="N850" s="17"/>
      <c r="O850" s="17"/>
      <c r="P850" s="17"/>
      <c r="Q850" s="169"/>
      <c r="R850" s="24"/>
      <c r="S850" s="24"/>
      <c r="T850" s="24"/>
      <c r="U850" s="25"/>
      <c r="V850" s="25"/>
      <c r="W850" s="25"/>
      <c r="X850" s="24"/>
      <c r="Y850" s="24"/>
      <c r="Z850" s="24"/>
      <c r="AA850" s="24"/>
      <c r="AB850" s="24"/>
      <c r="AC850" s="24"/>
      <c r="AD850" s="361">
        <f t="shared" si="188"/>
        <v>0</v>
      </c>
      <c r="AE850" s="359" t="str">
        <f t="shared" si="191"/>
        <v/>
      </c>
      <c r="AF850" s="359" t="str">
        <f t="shared" si="200"/>
        <v/>
      </c>
      <c r="AG850" s="359" t="str">
        <f t="shared" si="192"/>
        <v/>
      </c>
      <c r="AH850" s="359" t="str">
        <f t="shared" si="193"/>
        <v/>
      </c>
      <c r="AI850" s="359" t="str">
        <f t="shared" si="194"/>
        <v/>
      </c>
      <c r="AJ850" s="359" t="str">
        <f t="shared" si="195"/>
        <v/>
      </c>
      <c r="AK850" s="359" t="str">
        <f t="shared" si="197"/>
        <v/>
      </c>
      <c r="AL850" s="359" t="str">
        <f t="shared" si="196"/>
        <v/>
      </c>
      <c r="AM850" s="359" t="str">
        <f t="shared" si="198"/>
        <v/>
      </c>
      <c r="AN850" s="262">
        <f t="shared" si="201"/>
        <v>0</v>
      </c>
      <c r="AO850" s="262" t="str">
        <f>IFERROR(HLOOKUP(AN850,'Ref Lists'!Q$1:AL$2,2,FALSE),'Ref Lists'!$AK$2)</f>
        <v>Savings21</v>
      </c>
      <c r="AP850" s="38"/>
      <c r="AQ850" s="38">
        <f t="shared" si="190"/>
        <v>0</v>
      </c>
      <c r="AR850" s="38"/>
      <c r="AS850" s="38"/>
      <c r="AT850" s="38"/>
      <c r="AU850" s="38"/>
      <c r="AV850" s="38"/>
      <c r="AW850" s="38"/>
      <c r="AX850" s="38"/>
      <c r="AY850" s="38"/>
      <c r="AZ850" s="38"/>
      <c r="BA850" s="38"/>
      <c r="BB850" s="38"/>
      <c r="BC850" s="38"/>
      <c r="BD850" s="38"/>
      <c r="BE850" s="38"/>
      <c r="BF850" s="38"/>
      <c r="BG850" s="38"/>
      <c r="BH850" s="38"/>
      <c r="BI850" s="38"/>
      <c r="BJ850" s="38"/>
      <c r="BK850" s="38"/>
      <c r="BL850" s="38"/>
      <c r="BM850" s="38"/>
      <c r="BN850" s="38"/>
      <c r="BO850" s="38"/>
      <c r="BP850" s="38"/>
      <c r="BQ850" s="38"/>
      <c r="BR850" s="38"/>
      <c r="BS850" s="38"/>
      <c r="BT850" s="38"/>
      <c r="BU850" s="38"/>
      <c r="BV850" s="38"/>
      <c r="BW850" s="38"/>
      <c r="BX850" s="38"/>
      <c r="BY850" s="38"/>
      <c r="BZ850" s="38"/>
      <c r="CA850" s="38"/>
      <c r="CB850" s="38"/>
      <c r="CC850" s="38"/>
      <c r="CD850" s="38"/>
      <c r="CE850" s="38"/>
      <c r="CF850" s="38"/>
      <c r="CG850" s="38"/>
      <c r="CH850" s="38"/>
      <c r="CI850" s="38"/>
      <c r="CJ850" s="38"/>
      <c r="CK850" s="38"/>
      <c r="CL850" s="38"/>
      <c r="CM850" s="38"/>
      <c r="CN850" s="38"/>
      <c r="CO850" s="38"/>
      <c r="CP850" s="38"/>
      <c r="CQ850" s="38"/>
      <c r="CR850" s="38"/>
      <c r="CS850" s="38"/>
      <c r="CT850" s="38"/>
      <c r="CU850" s="38"/>
      <c r="CV850" s="38"/>
      <c r="CW850" s="38"/>
      <c r="CX850" s="38"/>
      <c r="CY850" s="38"/>
      <c r="CZ850" s="38"/>
    </row>
    <row r="851" spans="1:104" s="40" customFormat="1" ht="20.149999999999999" customHeight="1">
      <c r="A851" s="358">
        <f t="shared" si="199"/>
        <v>850</v>
      </c>
      <c r="B851" s="359" t="str">
        <f>'Front Sheet and Checklist'!$C$5</f>
        <v>Swansea Bay UHB</v>
      </c>
      <c r="C851" s="17"/>
      <c r="D851" s="17"/>
      <c r="E851" s="17"/>
      <c r="F851" s="17"/>
      <c r="G851" s="17"/>
      <c r="H851" s="17"/>
      <c r="I851" s="361">
        <f t="shared" si="189"/>
        <v>0</v>
      </c>
      <c r="J851" s="17"/>
      <c r="K851" s="18"/>
      <c r="L851" s="18"/>
      <c r="M851" s="17"/>
      <c r="N851" s="17"/>
      <c r="O851" s="17"/>
      <c r="P851" s="17"/>
      <c r="Q851" s="169"/>
      <c r="R851" s="24"/>
      <c r="S851" s="24"/>
      <c r="T851" s="24"/>
      <c r="U851" s="25"/>
      <c r="V851" s="25"/>
      <c r="W851" s="25"/>
      <c r="X851" s="24"/>
      <c r="Y851" s="24"/>
      <c r="Z851" s="24"/>
      <c r="AA851" s="24"/>
      <c r="AB851" s="24"/>
      <c r="AC851" s="24"/>
      <c r="AD851" s="361">
        <f t="shared" si="188"/>
        <v>0</v>
      </c>
      <c r="AE851" s="359" t="str">
        <f t="shared" si="191"/>
        <v/>
      </c>
      <c r="AF851" s="359" t="str">
        <f t="shared" si="200"/>
        <v/>
      </c>
      <c r="AG851" s="359" t="str">
        <f t="shared" si="192"/>
        <v/>
      </c>
      <c r="AH851" s="359" t="str">
        <f t="shared" si="193"/>
        <v/>
      </c>
      <c r="AI851" s="359" t="str">
        <f t="shared" si="194"/>
        <v/>
      </c>
      <c r="AJ851" s="359" t="str">
        <f t="shared" si="195"/>
        <v/>
      </c>
      <c r="AK851" s="359" t="str">
        <f t="shared" si="197"/>
        <v/>
      </c>
      <c r="AL851" s="359" t="str">
        <f t="shared" si="196"/>
        <v/>
      </c>
      <c r="AM851" s="359" t="str">
        <f t="shared" si="198"/>
        <v/>
      </c>
      <c r="AN851" s="262">
        <f t="shared" si="201"/>
        <v>0</v>
      </c>
      <c r="AO851" s="262" t="str">
        <f>IFERROR(HLOOKUP(AN851,'Ref Lists'!Q$1:AL$2,2,FALSE),'Ref Lists'!$AK$2)</f>
        <v>Savings21</v>
      </c>
      <c r="AP851" s="38"/>
      <c r="AQ851" s="38">
        <f t="shared" si="190"/>
        <v>0</v>
      </c>
      <c r="AR851" s="38"/>
      <c r="AS851" s="38"/>
      <c r="AT851" s="38"/>
      <c r="AU851" s="38"/>
      <c r="AV851" s="38"/>
      <c r="AW851" s="38"/>
      <c r="AX851" s="38"/>
      <c r="AY851" s="38"/>
      <c r="AZ851" s="38"/>
      <c r="BA851" s="38"/>
      <c r="BB851" s="38"/>
      <c r="BC851" s="38"/>
      <c r="BD851" s="38"/>
      <c r="BE851" s="38"/>
      <c r="BF851" s="38"/>
      <c r="BG851" s="38"/>
      <c r="BH851" s="38"/>
      <c r="BI851" s="38"/>
      <c r="BJ851" s="38"/>
      <c r="BK851" s="38"/>
      <c r="BL851" s="38"/>
      <c r="BM851" s="38"/>
      <c r="BN851" s="38"/>
      <c r="BO851" s="38"/>
      <c r="BP851" s="38"/>
      <c r="BQ851" s="38"/>
      <c r="BR851" s="38"/>
      <c r="BS851" s="38"/>
      <c r="BT851" s="38"/>
      <c r="BU851" s="38"/>
      <c r="BV851" s="38"/>
      <c r="BW851" s="38"/>
      <c r="BX851" s="38"/>
      <c r="BY851" s="38"/>
      <c r="BZ851" s="38"/>
      <c r="CA851" s="38"/>
      <c r="CB851" s="38"/>
      <c r="CC851" s="38"/>
      <c r="CD851" s="38"/>
      <c r="CE851" s="38"/>
      <c r="CF851" s="38"/>
      <c r="CG851" s="38"/>
      <c r="CH851" s="38"/>
      <c r="CI851" s="38"/>
      <c r="CJ851" s="38"/>
      <c r="CK851" s="38"/>
      <c r="CL851" s="38"/>
      <c r="CM851" s="38"/>
      <c r="CN851" s="38"/>
      <c r="CO851" s="38"/>
      <c r="CP851" s="38"/>
      <c r="CQ851" s="38"/>
      <c r="CR851" s="38"/>
      <c r="CS851" s="38"/>
      <c r="CT851" s="38"/>
      <c r="CU851" s="38"/>
      <c r="CV851" s="38"/>
      <c r="CW851" s="38"/>
      <c r="CX851" s="38"/>
      <c r="CY851" s="38"/>
      <c r="CZ851" s="38"/>
    </row>
    <row r="852" spans="1:104" s="40" customFormat="1" ht="20.149999999999999" customHeight="1">
      <c r="A852" s="358">
        <f t="shared" si="199"/>
        <v>851</v>
      </c>
      <c r="B852" s="359" t="str">
        <f>'Front Sheet and Checklist'!$C$5</f>
        <v>Swansea Bay UHB</v>
      </c>
      <c r="C852" s="17"/>
      <c r="D852" s="17"/>
      <c r="E852" s="17"/>
      <c r="F852" s="17"/>
      <c r="G852" s="17"/>
      <c r="H852" s="17"/>
      <c r="I852" s="361">
        <f t="shared" si="189"/>
        <v>0</v>
      </c>
      <c r="J852" s="17"/>
      <c r="K852" s="18"/>
      <c r="L852" s="18"/>
      <c r="M852" s="17"/>
      <c r="N852" s="17"/>
      <c r="O852" s="17"/>
      <c r="P852" s="17"/>
      <c r="Q852" s="169"/>
      <c r="R852" s="24"/>
      <c r="S852" s="24"/>
      <c r="T852" s="24"/>
      <c r="U852" s="25"/>
      <c r="V852" s="25"/>
      <c r="W852" s="25"/>
      <c r="X852" s="24"/>
      <c r="Y852" s="24"/>
      <c r="Z852" s="24"/>
      <c r="AA852" s="24"/>
      <c r="AB852" s="24"/>
      <c r="AC852" s="24"/>
      <c r="AD852" s="361">
        <f t="shared" si="188"/>
        <v>0</v>
      </c>
      <c r="AE852" s="359" t="str">
        <f t="shared" si="191"/>
        <v/>
      </c>
      <c r="AF852" s="359" t="str">
        <f t="shared" si="200"/>
        <v/>
      </c>
      <c r="AG852" s="359" t="str">
        <f t="shared" si="192"/>
        <v/>
      </c>
      <c r="AH852" s="359" t="str">
        <f t="shared" si="193"/>
        <v/>
      </c>
      <c r="AI852" s="359" t="str">
        <f t="shared" si="194"/>
        <v/>
      </c>
      <c r="AJ852" s="359" t="str">
        <f t="shared" si="195"/>
        <v/>
      </c>
      <c r="AK852" s="359" t="str">
        <f t="shared" si="197"/>
        <v/>
      </c>
      <c r="AL852" s="359" t="str">
        <f t="shared" si="196"/>
        <v/>
      </c>
      <c r="AM852" s="359" t="str">
        <f t="shared" si="198"/>
        <v/>
      </c>
      <c r="AN852" s="262">
        <f t="shared" si="201"/>
        <v>0</v>
      </c>
      <c r="AO852" s="262" t="str">
        <f>IFERROR(HLOOKUP(AN852,'Ref Lists'!Q$1:AL$2,2,FALSE),'Ref Lists'!$AK$2)</f>
        <v>Savings21</v>
      </c>
      <c r="AP852" s="38"/>
      <c r="AQ852" s="38">
        <f t="shared" si="190"/>
        <v>0</v>
      </c>
      <c r="AR852" s="38"/>
      <c r="AS852" s="38"/>
      <c r="AT852" s="38"/>
      <c r="AU852" s="38"/>
      <c r="AV852" s="38"/>
      <c r="AW852" s="38"/>
      <c r="AX852" s="38"/>
      <c r="AY852" s="38"/>
      <c r="AZ852" s="38"/>
      <c r="BA852" s="38"/>
      <c r="BB852" s="38"/>
      <c r="BC852" s="38"/>
      <c r="BD852" s="38"/>
      <c r="BE852" s="38"/>
      <c r="BF852" s="38"/>
      <c r="BG852" s="38"/>
      <c r="BH852" s="38"/>
      <c r="BI852" s="38"/>
      <c r="BJ852" s="38"/>
      <c r="BK852" s="38"/>
      <c r="BL852" s="38"/>
      <c r="BM852" s="38"/>
      <c r="BN852" s="38"/>
      <c r="BO852" s="38"/>
      <c r="BP852" s="38"/>
      <c r="BQ852" s="38"/>
      <c r="BR852" s="38"/>
      <c r="BS852" s="38"/>
      <c r="BT852" s="38"/>
      <c r="BU852" s="38"/>
      <c r="BV852" s="38"/>
      <c r="BW852" s="38"/>
      <c r="BX852" s="38"/>
      <c r="BY852" s="38"/>
      <c r="BZ852" s="38"/>
      <c r="CA852" s="38"/>
      <c r="CB852" s="38"/>
      <c r="CC852" s="38"/>
      <c r="CD852" s="38"/>
      <c r="CE852" s="38"/>
      <c r="CF852" s="38"/>
      <c r="CG852" s="38"/>
      <c r="CH852" s="38"/>
      <c r="CI852" s="38"/>
      <c r="CJ852" s="38"/>
      <c r="CK852" s="38"/>
      <c r="CL852" s="38"/>
      <c r="CM852" s="38"/>
      <c r="CN852" s="38"/>
      <c r="CO852" s="38"/>
      <c r="CP852" s="38"/>
      <c r="CQ852" s="38"/>
      <c r="CR852" s="38"/>
      <c r="CS852" s="38"/>
      <c r="CT852" s="38"/>
      <c r="CU852" s="38"/>
      <c r="CV852" s="38"/>
      <c r="CW852" s="38"/>
      <c r="CX852" s="38"/>
      <c r="CY852" s="38"/>
      <c r="CZ852" s="38"/>
    </row>
    <row r="853" spans="1:104" s="40" customFormat="1" ht="20.149999999999999" customHeight="1">
      <c r="A853" s="358">
        <f t="shared" si="199"/>
        <v>852</v>
      </c>
      <c r="B853" s="359" t="str">
        <f>'Front Sheet and Checklist'!$C$5</f>
        <v>Swansea Bay UHB</v>
      </c>
      <c r="C853" s="17"/>
      <c r="D853" s="17"/>
      <c r="E853" s="17"/>
      <c r="F853" s="17"/>
      <c r="G853" s="17"/>
      <c r="H853" s="17"/>
      <c r="I853" s="361">
        <f t="shared" si="189"/>
        <v>0</v>
      </c>
      <c r="J853" s="17"/>
      <c r="K853" s="18"/>
      <c r="L853" s="18"/>
      <c r="M853" s="17"/>
      <c r="N853" s="17"/>
      <c r="O853" s="17"/>
      <c r="P853" s="17"/>
      <c r="Q853" s="169"/>
      <c r="R853" s="24"/>
      <c r="S853" s="24"/>
      <c r="T853" s="24"/>
      <c r="U853" s="25"/>
      <c r="V853" s="25"/>
      <c r="W853" s="25"/>
      <c r="X853" s="24"/>
      <c r="Y853" s="24"/>
      <c r="Z853" s="24"/>
      <c r="AA853" s="24"/>
      <c r="AB853" s="24"/>
      <c r="AC853" s="24"/>
      <c r="AD853" s="361">
        <f t="shared" si="188"/>
        <v>0</v>
      </c>
      <c r="AE853" s="359" t="str">
        <f t="shared" si="191"/>
        <v/>
      </c>
      <c r="AF853" s="359" t="str">
        <f t="shared" si="200"/>
        <v/>
      </c>
      <c r="AG853" s="359" t="str">
        <f t="shared" si="192"/>
        <v/>
      </c>
      <c r="AH853" s="359" t="str">
        <f t="shared" si="193"/>
        <v/>
      </c>
      <c r="AI853" s="359" t="str">
        <f t="shared" si="194"/>
        <v/>
      </c>
      <c r="AJ853" s="359" t="str">
        <f t="shared" si="195"/>
        <v/>
      </c>
      <c r="AK853" s="359" t="str">
        <f t="shared" si="197"/>
        <v/>
      </c>
      <c r="AL853" s="359" t="str">
        <f t="shared" si="196"/>
        <v/>
      </c>
      <c r="AM853" s="359" t="str">
        <f t="shared" si="198"/>
        <v/>
      </c>
      <c r="AN853" s="262">
        <f t="shared" si="201"/>
        <v>0</v>
      </c>
      <c r="AO853" s="262" t="str">
        <f>IFERROR(HLOOKUP(AN853,'Ref Lists'!Q$1:AL$2,2,FALSE),'Ref Lists'!$AK$2)</f>
        <v>Savings21</v>
      </c>
      <c r="AP853" s="38"/>
      <c r="AQ853" s="38">
        <f t="shared" si="190"/>
        <v>0</v>
      </c>
      <c r="AR853" s="38"/>
      <c r="AS853" s="38"/>
      <c r="AT853" s="38"/>
      <c r="AU853" s="38"/>
      <c r="AV853" s="38"/>
      <c r="AW853" s="38"/>
      <c r="AX853" s="38"/>
      <c r="AY853" s="38"/>
      <c r="AZ853" s="38"/>
      <c r="BA853" s="38"/>
      <c r="BB853" s="38"/>
      <c r="BC853" s="38"/>
      <c r="BD853" s="38"/>
      <c r="BE853" s="38"/>
      <c r="BF853" s="38"/>
      <c r="BG853" s="38"/>
      <c r="BH853" s="38"/>
      <c r="BI853" s="38"/>
      <c r="BJ853" s="38"/>
      <c r="BK853" s="38"/>
      <c r="BL853" s="38"/>
      <c r="BM853" s="38"/>
      <c r="BN853" s="38"/>
      <c r="BO853" s="38"/>
      <c r="BP853" s="38"/>
      <c r="BQ853" s="38"/>
      <c r="BR853" s="38"/>
      <c r="BS853" s="38"/>
      <c r="BT853" s="38"/>
      <c r="BU853" s="38"/>
      <c r="BV853" s="38"/>
      <c r="BW853" s="38"/>
      <c r="BX853" s="38"/>
      <c r="BY853" s="38"/>
      <c r="BZ853" s="38"/>
      <c r="CA853" s="38"/>
      <c r="CB853" s="38"/>
      <c r="CC853" s="38"/>
      <c r="CD853" s="38"/>
      <c r="CE853" s="38"/>
      <c r="CF853" s="38"/>
      <c r="CG853" s="38"/>
      <c r="CH853" s="38"/>
      <c r="CI853" s="38"/>
      <c r="CJ853" s="38"/>
      <c r="CK853" s="38"/>
      <c r="CL853" s="38"/>
      <c r="CM853" s="38"/>
      <c r="CN853" s="38"/>
      <c r="CO853" s="38"/>
      <c r="CP853" s="38"/>
      <c r="CQ853" s="38"/>
      <c r="CR853" s="38"/>
      <c r="CS853" s="38"/>
      <c r="CT853" s="38"/>
      <c r="CU853" s="38"/>
      <c r="CV853" s="38"/>
      <c r="CW853" s="38"/>
      <c r="CX853" s="38"/>
      <c r="CY853" s="38"/>
      <c r="CZ853" s="38"/>
    </row>
    <row r="854" spans="1:104" s="40" customFormat="1" ht="20.149999999999999" customHeight="1">
      <c r="A854" s="358">
        <f t="shared" si="199"/>
        <v>853</v>
      </c>
      <c r="B854" s="359" t="str">
        <f>'Front Sheet and Checklist'!$C$5</f>
        <v>Swansea Bay UHB</v>
      </c>
      <c r="C854" s="17"/>
      <c r="D854" s="17"/>
      <c r="E854" s="17"/>
      <c r="F854" s="17"/>
      <c r="G854" s="17"/>
      <c r="H854" s="17"/>
      <c r="I854" s="361">
        <f t="shared" si="189"/>
        <v>0</v>
      </c>
      <c r="J854" s="17"/>
      <c r="K854" s="18"/>
      <c r="L854" s="18"/>
      <c r="M854" s="17"/>
      <c r="N854" s="17"/>
      <c r="O854" s="17"/>
      <c r="P854" s="17"/>
      <c r="Q854" s="169"/>
      <c r="R854" s="24"/>
      <c r="S854" s="24"/>
      <c r="T854" s="24"/>
      <c r="U854" s="25"/>
      <c r="V854" s="25"/>
      <c r="W854" s="25"/>
      <c r="X854" s="24"/>
      <c r="Y854" s="24"/>
      <c r="Z854" s="24"/>
      <c r="AA854" s="24"/>
      <c r="AB854" s="24"/>
      <c r="AC854" s="24"/>
      <c r="AD854" s="361">
        <f t="shared" si="188"/>
        <v>0</v>
      </c>
      <c r="AE854" s="359" t="str">
        <f t="shared" si="191"/>
        <v/>
      </c>
      <c r="AF854" s="359" t="str">
        <f t="shared" si="200"/>
        <v/>
      </c>
      <c r="AG854" s="359" t="str">
        <f t="shared" si="192"/>
        <v/>
      </c>
      <c r="AH854" s="359" t="str">
        <f t="shared" si="193"/>
        <v/>
      </c>
      <c r="AI854" s="359" t="str">
        <f t="shared" si="194"/>
        <v/>
      </c>
      <c r="AJ854" s="359" t="str">
        <f t="shared" si="195"/>
        <v/>
      </c>
      <c r="AK854" s="359" t="str">
        <f t="shared" si="197"/>
        <v/>
      </c>
      <c r="AL854" s="359" t="str">
        <f t="shared" si="196"/>
        <v/>
      </c>
      <c r="AM854" s="359" t="str">
        <f t="shared" si="198"/>
        <v/>
      </c>
      <c r="AN854" s="262">
        <f t="shared" si="201"/>
        <v>0</v>
      </c>
      <c r="AO854" s="262" t="str">
        <f>IFERROR(HLOOKUP(AN854,'Ref Lists'!Q$1:AL$2,2,FALSE),'Ref Lists'!$AK$2)</f>
        <v>Savings21</v>
      </c>
      <c r="AP854" s="38"/>
      <c r="AQ854" s="38">
        <f t="shared" si="190"/>
        <v>0</v>
      </c>
      <c r="AR854" s="38"/>
      <c r="AS854" s="38"/>
      <c r="AT854" s="38"/>
      <c r="AU854" s="38"/>
      <c r="AV854" s="38"/>
      <c r="AW854" s="38"/>
      <c r="AX854" s="38"/>
      <c r="AY854" s="38"/>
      <c r="AZ854" s="38"/>
      <c r="BA854" s="38"/>
      <c r="BB854" s="38"/>
      <c r="BC854" s="38"/>
      <c r="BD854" s="38"/>
      <c r="BE854" s="38"/>
      <c r="BF854" s="38"/>
      <c r="BG854" s="38"/>
      <c r="BH854" s="38"/>
      <c r="BI854" s="38"/>
      <c r="BJ854" s="38"/>
      <c r="BK854" s="38"/>
      <c r="BL854" s="38"/>
      <c r="BM854" s="38"/>
      <c r="BN854" s="38"/>
      <c r="BO854" s="38"/>
      <c r="BP854" s="38"/>
      <c r="BQ854" s="38"/>
      <c r="BR854" s="38"/>
      <c r="BS854" s="38"/>
      <c r="BT854" s="38"/>
      <c r="BU854" s="38"/>
      <c r="BV854" s="38"/>
      <c r="BW854" s="38"/>
      <c r="BX854" s="38"/>
      <c r="BY854" s="38"/>
      <c r="BZ854" s="38"/>
      <c r="CA854" s="38"/>
      <c r="CB854" s="38"/>
      <c r="CC854" s="38"/>
      <c r="CD854" s="38"/>
      <c r="CE854" s="38"/>
      <c r="CF854" s="38"/>
      <c r="CG854" s="38"/>
      <c r="CH854" s="38"/>
      <c r="CI854" s="38"/>
      <c r="CJ854" s="38"/>
      <c r="CK854" s="38"/>
      <c r="CL854" s="38"/>
      <c r="CM854" s="38"/>
      <c r="CN854" s="38"/>
      <c r="CO854" s="38"/>
      <c r="CP854" s="38"/>
      <c r="CQ854" s="38"/>
      <c r="CR854" s="38"/>
      <c r="CS854" s="38"/>
      <c r="CT854" s="38"/>
      <c r="CU854" s="38"/>
      <c r="CV854" s="38"/>
      <c r="CW854" s="38"/>
      <c r="CX854" s="38"/>
      <c r="CY854" s="38"/>
      <c r="CZ854" s="38"/>
    </row>
    <row r="855" spans="1:104" s="40" customFormat="1" ht="20.149999999999999" customHeight="1">
      <c r="A855" s="358">
        <f t="shared" si="199"/>
        <v>854</v>
      </c>
      <c r="B855" s="359" t="str">
        <f>'Front Sheet and Checklist'!$C$5</f>
        <v>Swansea Bay UHB</v>
      </c>
      <c r="C855" s="17"/>
      <c r="D855" s="17"/>
      <c r="E855" s="17"/>
      <c r="F855" s="17"/>
      <c r="G855" s="17"/>
      <c r="H855" s="17"/>
      <c r="I855" s="361">
        <f t="shared" si="189"/>
        <v>0</v>
      </c>
      <c r="J855" s="17"/>
      <c r="K855" s="18"/>
      <c r="L855" s="18"/>
      <c r="M855" s="17"/>
      <c r="N855" s="17"/>
      <c r="O855" s="17"/>
      <c r="P855" s="17"/>
      <c r="Q855" s="169"/>
      <c r="R855" s="24"/>
      <c r="S855" s="24"/>
      <c r="T855" s="24"/>
      <c r="U855" s="25"/>
      <c r="V855" s="25"/>
      <c r="W855" s="25"/>
      <c r="X855" s="24"/>
      <c r="Y855" s="24"/>
      <c r="Z855" s="24"/>
      <c r="AA855" s="24"/>
      <c r="AB855" s="24"/>
      <c r="AC855" s="24"/>
      <c r="AD855" s="361">
        <f t="shared" si="188"/>
        <v>0</v>
      </c>
      <c r="AE855" s="359" t="str">
        <f t="shared" si="191"/>
        <v/>
      </c>
      <c r="AF855" s="359" t="str">
        <f t="shared" si="200"/>
        <v/>
      </c>
      <c r="AG855" s="359" t="str">
        <f t="shared" si="192"/>
        <v/>
      </c>
      <c r="AH855" s="359" t="str">
        <f t="shared" si="193"/>
        <v/>
      </c>
      <c r="AI855" s="359" t="str">
        <f t="shared" si="194"/>
        <v/>
      </c>
      <c r="AJ855" s="359" t="str">
        <f t="shared" si="195"/>
        <v/>
      </c>
      <c r="AK855" s="359" t="str">
        <f t="shared" si="197"/>
        <v/>
      </c>
      <c r="AL855" s="359" t="str">
        <f t="shared" si="196"/>
        <v/>
      </c>
      <c r="AM855" s="359" t="str">
        <f t="shared" si="198"/>
        <v/>
      </c>
      <c r="AN855" s="262">
        <f t="shared" si="201"/>
        <v>0</v>
      </c>
      <c r="AO855" s="262" t="str">
        <f>IFERROR(HLOOKUP(AN855,'Ref Lists'!Q$1:AL$2,2,FALSE),'Ref Lists'!$AK$2)</f>
        <v>Savings21</v>
      </c>
      <c r="AP855" s="38"/>
      <c r="AQ855" s="38">
        <f t="shared" si="190"/>
        <v>0</v>
      </c>
      <c r="AR855" s="38"/>
      <c r="AS855" s="38"/>
      <c r="AT855" s="38"/>
      <c r="AU855" s="38"/>
      <c r="AV855" s="38"/>
      <c r="AW855" s="38"/>
      <c r="AX855" s="38"/>
      <c r="AY855" s="38"/>
      <c r="AZ855" s="38"/>
      <c r="BA855" s="38"/>
      <c r="BB855" s="38"/>
      <c r="BC855" s="38"/>
      <c r="BD855" s="38"/>
      <c r="BE855" s="38"/>
      <c r="BF855" s="38"/>
      <c r="BG855" s="38"/>
      <c r="BH855" s="38"/>
      <c r="BI855" s="38"/>
      <c r="BJ855" s="38"/>
      <c r="BK855" s="38"/>
      <c r="BL855" s="38"/>
      <c r="BM855" s="38"/>
      <c r="BN855" s="38"/>
      <c r="BO855" s="38"/>
      <c r="BP855" s="38"/>
      <c r="BQ855" s="38"/>
      <c r="BR855" s="38"/>
      <c r="BS855" s="38"/>
      <c r="BT855" s="38"/>
      <c r="BU855" s="38"/>
      <c r="BV855" s="38"/>
      <c r="BW855" s="38"/>
      <c r="BX855" s="38"/>
      <c r="BY855" s="38"/>
      <c r="BZ855" s="38"/>
      <c r="CA855" s="38"/>
      <c r="CB855" s="38"/>
      <c r="CC855" s="38"/>
      <c r="CD855" s="38"/>
      <c r="CE855" s="38"/>
      <c r="CF855" s="38"/>
      <c r="CG855" s="38"/>
      <c r="CH855" s="38"/>
      <c r="CI855" s="38"/>
      <c r="CJ855" s="38"/>
      <c r="CK855" s="38"/>
      <c r="CL855" s="38"/>
      <c r="CM855" s="38"/>
      <c r="CN855" s="38"/>
      <c r="CO855" s="38"/>
      <c r="CP855" s="38"/>
      <c r="CQ855" s="38"/>
      <c r="CR855" s="38"/>
      <c r="CS855" s="38"/>
      <c r="CT855" s="38"/>
      <c r="CU855" s="38"/>
      <c r="CV855" s="38"/>
      <c r="CW855" s="38"/>
      <c r="CX855" s="38"/>
      <c r="CY855" s="38"/>
      <c r="CZ855" s="38"/>
    </row>
    <row r="856" spans="1:104" s="40" customFormat="1" ht="20.149999999999999" customHeight="1">
      <c r="A856" s="358">
        <f t="shared" si="199"/>
        <v>855</v>
      </c>
      <c r="B856" s="359" t="str">
        <f>'Front Sheet and Checklist'!$C$5</f>
        <v>Swansea Bay UHB</v>
      </c>
      <c r="C856" s="17"/>
      <c r="D856" s="17"/>
      <c r="E856" s="17"/>
      <c r="F856" s="17"/>
      <c r="G856" s="17"/>
      <c r="H856" s="17"/>
      <c r="I856" s="361">
        <f t="shared" si="189"/>
        <v>0</v>
      </c>
      <c r="J856" s="17"/>
      <c r="K856" s="18"/>
      <c r="L856" s="18"/>
      <c r="M856" s="17"/>
      <c r="N856" s="17"/>
      <c r="O856" s="17"/>
      <c r="P856" s="17"/>
      <c r="Q856" s="169"/>
      <c r="R856" s="24"/>
      <c r="S856" s="24"/>
      <c r="T856" s="24"/>
      <c r="U856" s="25"/>
      <c r="V856" s="25"/>
      <c r="W856" s="25"/>
      <c r="X856" s="24"/>
      <c r="Y856" s="24"/>
      <c r="Z856" s="24"/>
      <c r="AA856" s="24"/>
      <c r="AB856" s="24"/>
      <c r="AC856" s="24"/>
      <c r="AD856" s="361">
        <f t="shared" si="188"/>
        <v>0</v>
      </c>
      <c r="AE856" s="359" t="str">
        <f t="shared" si="191"/>
        <v/>
      </c>
      <c r="AF856" s="359" t="str">
        <f t="shared" si="200"/>
        <v/>
      </c>
      <c r="AG856" s="359" t="str">
        <f t="shared" si="192"/>
        <v/>
      </c>
      <c r="AH856" s="359" t="str">
        <f t="shared" si="193"/>
        <v/>
      </c>
      <c r="AI856" s="359" t="str">
        <f t="shared" si="194"/>
        <v/>
      </c>
      <c r="AJ856" s="359" t="str">
        <f t="shared" si="195"/>
        <v/>
      </c>
      <c r="AK856" s="359" t="str">
        <f t="shared" si="197"/>
        <v/>
      </c>
      <c r="AL856" s="359" t="str">
        <f t="shared" si="196"/>
        <v/>
      </c>
      <c r="AM856" s="359" t="str">
        <f t="shared" si="198"/>
        <v/>
      </c>
      <c r="AN856" s="262">
        <f t="shared" si="201"/>
        <v>0</v>
      </c>
      <c r="AO856" s="262" t="str">
        <f>IFERROR(HLOOKUP(AN856,'Ref Lists'!Q$1:AL$2,2,FALSE),'Ref Lists'!$AK$2)</f>
        <v>Savings21</v>
      </c>
      <c r="AP856" s="38"/>
      <c r="AQ856" s="38">
        <f t="shared" si="190"/>
        <v>0</v>
      </c>
      <c r="AR856" s="38"/>
      <c r="AS856" s="38"/>
      <c r="AT856" s="38"/>
      <c r="AU856" s="38"/>
      <c r="AV856" s="38"/>
      <c r="AW856" s="38"/>
      <c r="AX856" s="38"/>
      <c r="AY856" s="38"/>
      <c r="AZ856" s="38"/>
      <c r="BA856" s="38"/>
      <c r="BB856" s="38"/>
      <c r="BC856" s="38"/>
      <c r="BD856" s="38"/>
      <c r="BE856" s="38"/>
      <c r="BF856" s="38"/>
      <c r="BG856" s="38"/>
      <c r="BH856" s="38"/>
      <c r="BI856" s="38"/>
      <c r="BJ856" s="38"/>
      <c r="BK856" s="38"/>
      <c r="BL856" s="38"/>
      <c r="BM856" s="38"/>
      <c r="BN856" s="38"/>
      <c r="BO856" s="38"/>
      <c r="BP856" s="38"/>
      <c r="BQ856" s="38"/>
      <c r="BR856" s="38"/>
      <c r="BS856" s="38"/>
      <c r="BT856" s="38"/>
      <c r="BU856" s="38"/>
      <c r="BV856" s="38"/>
      <c r="BW856" s="38"/>
      <c r="BX856" s="38"/>
      <c r="BY856" s="38"/>
      <c r="BZ856" s="38"/>
      <c r="CA856" s="38"/>
      <c r="CB856" s="38"/>
      <c r="CC856" s="38"/>
      <c r="CD856" s="38"/>
      <c r="CE856" s="38"/>
      <c r="CF856" s="38"/>
      <c r="CG856" s="38"/>
      <c r="CH856" s="38"/>
      <c r="CI856" s="38"/>
      <c r="CJ856" s="38"/>
      <c r="CK856" s="38"/>
      <c r="CL856" s="38"/>
      <c r="CM856" s="38"/>
      <c r="CN856" s="38"/>
      <c r="CO856" s="38"/>
      <c r="CP856" s="38"/>
      <c r="CQ856" s="38"/>
      <c r="CR856" s="38"/>
      <c r="CS856" s="38"/>
      <c r="CT856" s="38"/>
      <c r="CU856" s="38"/>
      <c r="CV856" s="38"/>
      <c r="CW856" s="38"/>
      <c r="CX856" s="38"/>
      <c r="CY856" s="38"/>
      <c r="CZ856" s="38"/>
    </row>
    <row r="857" spans="1:104" s="40" customFormat="1" ht="20.149999999999999" customHeight="1">
      <c r="A857" s="358">
        <f t="shared" si="199"/>
        <v>856</v>
      </c>
      <c r="B857" s="359" t="str">
        <f>'Front Sheet and Checklist'!$C$5</f>
        <v>Swansea Bay UHB</v>
      </c>
      <c r="C857" s="17"/>
      <c r="D857" s="17"/>
      <c r="E857" s="17"/>
      <c r="F857" s="17"/>
      <c r="G857" s="17"/>
      <c r="H857" s="17"/>
      <c r="I857" s="361">
        <f t="shared" si="189"/>
        <v>0</v>
      </c>
      <c r="J857" s="17"/>
      <c r="K857" s="18"/>
      <c r="L857" s="18"/>
      <c r="M857" s="17"/>
      <c r="N857" s="17"/>
      <c r="O857" s="17"/>
      <c r="P857" s="17"/>
      <c r="Q857" s="169"/>
      <c r="R857" s="24"/>
      <c r="S857" s="24"/>
      <c r="T857" s="24"/>
      <c r="U857" s="25"/>
      <c r="V857" s="25"/>
      <c r="W857" s="25"/>
      <c r="X857" s="24"/>
      <c r="Y857" s="24"/>
      <c r="Z857" s="24"/>
      <c r="AA857" s="24"/>
      <c r="AB857" s="24"/>
      <c r="AC857" s="24"/>
      <c r="AD857" s="361">
        <f t="shared" si="188"/>
        <v>0</v>
      </c>
      <c r="AE857" s="359" t="str">
        <f t="shared" si="191"/>
        <v/>
      </c>
      <c r="AF857" s="359" t="str">
        <f t="shared" si="200"/>
        <v/>
      </c>
      <c r="AG857" s="359" t="str">
        <f t="shared" si="192"/>
        <v/>
      </c>
      <c r="AH857" s="359" t="str">
        <f t="shared" si="193"/>
        <v/>
      </c>
      <c r="AI857" s="359" t="str">
        <f t="shared" si="194"/>
        <v/>
      </c>
      <c r="AJ857" s="359" t="str">
        <f t="shared" si="195"/>
        <v/>
      </c>
      <c r="AK857" s="359" t="str">
        <f t="shared" si="197"/>
        <v/>
      </c>
      <c r="AL857" s="359" t="str">
        <f t="shared" si="196"/>
        <v/>
      </c>
      <c r="AM857" s="359" t="str">
        <f t="shared" si="198"/>
        <v/>
      </c>
      <c r="AN857" s="262">
        <f t="shared" si="201"/>
        <v>0</v>
      </c>
      <c r="AO857" s="262" t="str">
        <f>IFERROR(HLOOKUP(AN857,'Ref Lists'!Q$1:AL$2,2,FALSE),'Ref Lists'!$AK$2)</f>
        <v>Savings21</v>
      </c>
      <c r="AP857" s="38"/>
      <c r="AQ857" s="38">
        <f t="shared" si="190"/>
        <v>0</v>
      </c>
      <c r="AR857" s="38"/>
      <c r="AS857" s="38"/>
      <c r="AT857" s="38"/>
      <c r="AU857" s="38"/>
      <c r="AV857" s="38"/>
      <c r="AW857" s="38"/>
      <c r="AX857" s="38"/>
      <c r="AY857" s="38"/>
      <c r="AZ857" s="38"/>
      <c r="BA857" s="38"/>
      <c r="BB857" s="38"/>
      <c r="BC857" s="38"/>
      <c r="BD857" s="38"/>
      <c r="BE857" s="38"/>
      <c r="BF857" s="38"/>
      <c r="BG857" s="38"/>
      <c r="BH857" s="38"/>
      <c r="BI857" s="38"/>
      <c r="BJ857" s="38"/>
      <c r="BK857" s="38"/>
      <c r="BL857" s="38"/>
      <c r="BM857" s="38"/>
      <c r="BN857" s="38"/>
      <c r="BO857" s="38"/>
      <c r="BP857" s="38"/>
      <c r="BQ857" s="38"/>
      <c r="BR857" s="38"/>
      <c r="BS857" s="38"/>
      <c r="BT857" s="38"/>
      <c r="BU857" s="38"/>
      <c r="BV857" s="38"/>
      <c r="BW857" s="38"/>
      <c r="BX857" s="38"/>
      <c r="BY857" s="38"/>
      <c r="BZ857" s="38"/>
      <c r="CA857" s="38"/>
      <c r="CB857" s="38"/>
      <c r="CC857" s="38"/>
      <c r="CD857" s="38"/>
      <c r="CE857" s="38"/>
      <c r="CF857" s="38"/>
      <c r="CG857" s="38"/>
      <c r="CH857" s="38"/>
      <c r="CI857" s="38"/>
      <c r="CJ857" s="38"/>
      <c r="CK857" s="38"/>
      <c r="CL857" s="38"/>
      <c r="CM857" s="38"/>
      <c r="CN857" s="38"/>
      <c r="CO857" s="38"/>
      <c r="CP857" s="38"/>
      <c r="CQ857" s="38"/>
      <c r="CR857" s="38"/>
      <c r="CS857" s="38"/>
      <c r="CT857" s="38"/>
      <c r="CU857" s="38"/>
      <c r="CV857" s="38"/>
      <c r="CW857" s="38"/>
      <c r="CX857" s="38"/>
      <c r="CY857" s="38"/>
      <c r="CZ857" s="38"/>
    </row>
    <row r="858" spans="1:104" s="40" customFormat="1" ht="20.149999999999999" customHeight="1">
      <c r="A858" s="358">
        <f t="shared" si="199"/>
        <v>857</v>
      </c>
      <c r="B858" s="359" t="str">
        <f>'Front Sheet and Checklist'!$C$5</f>
        <v>Swansea Bay UHB</v>
      </c>
      <c r="C858" s="17"/>
      <c r="D858" s="17"/>
      <c r="E858" s="17"/>
      <c r="F858" s="17"/>
      <c r="G858" s="17"/>
      <c r="H858" s="17"/>
      <c r="I858" s="361">
        <f t="shared" si="189"/>
        <v>0</v>
      </c>
      <c r="J858" s="17"/>
      <c r="K858" s="18"/>
      <c r="L858" s="18"/>
      <c r="M858" s="17"/>
      <c r="N858" s="17"/>
      <c r="O858" s="17"/>
      <c r="P858" s="17"/>
      <c r="Q858" s="169"/>
      <c r="R858" s="24"/>
      <c r="S858" s="24"/>
      <c r="T858" s="24"/>
      <c r="U858" s="25"/>
      <c r="V858" s="25"/>
      <c r="W858" s="25"/>
      <c r="X858" s="24"/>
      <c r="Y858" s="24"/>
      <c r="Z858" s="24"/>
      <c r="AA858" s="24"/>
      <c r="AB858" s="24"/>
      <c r="AC858" s="24"/>
      <c r="AD858" s="361">
        <f t="shared" si="188"/>
        <v>0</v>
      </c>
      <c r="AE858" s="359" t="str">
        <f t="shared" si="191"/>
        <v/>
      </c>
      <c r="AF858" s="359" t="str">
        <f t="shared" si="200"/>
        <v/>
      </c>
      <c r="AG858" s="359" t="str">
        <f t="shared" si="192"/>
        <v/>
      </c>
      <c r="AH858" s="359" t="str">
        <f t="shared" si="193"/>
        <v/>
      </c>
      <c r="AI858" s="359" t="str">
        <f t="shared" si="194"/>
        <v/>
      </c>
      <c r="AJ858" s="359" t="str">
        <f t="shared" si="195"/>
        <v/>
      </c>
      <c r="AK858" s="359" t="str">
        <f t="shared" si="197"/>
        <v/>
      </c>
      <c r="AL858" s="359" t="str">
        <f t="shared" si="196"/>
        <v/>
      </c>
      <c r="AM858" s="359" t="str">
        <f t="shared" si="198"/>
        <v/>
      </c>
      <c r="AN858" s="262">
        <f t="shared" si="201"/>
        <v>0</v>
      </c>
      <c r="AO858" s="262" t="str">
        <f>IFERROR(HLOOKUP(AN858,'Ref Lists'!Q$1:AL$2,2,FALSE),'Ref Lists'!$AK$2)</f>
        <v>Savings21</v>
      </c>
      <c r="AP858" s="38"/>
      <c r="AQ858" s="38">
        <f t="shared" si="190"/>
        <v>0</v>
      </c>
      <c r="AR858" s="38"/>
      <c r="AS858" s="38"/>
      <c r="AT858" s="38"/>
      <c r="AU858" s="38"/>
      <c r="AV858" s="38"/>
      <c r="AW858" s="38"/>
      <c r="AX858" s="38"/>
      <c r="AY858" s="38"/>
      <c r="AZ858" s="38"/>
      <c r="BA858" s="38"/>
      <c r="BB858" s="38"/>
      <c r="BC858" s="38"/>
      <c r="BD858" s="38"/>
      <c r="BE858" s="38"/>
      <c r="BF858" s="38"/>
      <c r="BG858" s="38"/>
      <c r="BH858" s="38"/>
      <c r="BI858" s="38"/>
      <c r="BJ858" s="38"/>
      <c r="BK858" s="38"/>
      <c r="BL858" s="38"/>
      <c r="BM858" s="38"/>
      <c r="BN858" s="38"/>
      <c r="BO858" s="38"/>
      <c r="BP858" s="38"/>
      <c r="BQ858" s="38"/>
      <c r="BR858" s="38"/>
      <c r="BS858" s="38"/>
      <c r="BT858" s="38"/>
      <c r="BU858" s="38"/>
      <c r="BV858" s="38"/>
      <c r="BW858" s="38"/>
      <c r="BX858" s="38"/>
      <c r="BY858" s="38"/>
      <c r="BZ858" s="38"/>
      <c r="CA858" s="38"/>
      <c r="CB858" s="38"/>
      <c r="CC858" s="38"/>
      <c r="CD858" s="38"/>
      <c r="CE858" s="38"/>
      <c r="CF858" s="38"/>
      <c r="CG858" s="38"/>
      <c r="CH858" s="38"/>
      <c r="CI858" s="38"/>
      <c r="CJ858" s="38"/>
      <c r="CK858" s="38"/>
      <c r="CL858" s="38"/>
      <c r="CM858" s="38"/>
      <c r="CN858" s="38"/>
      <c r="CO858" s="38"/>
      <c r="CP858" s="38"/>
      <c r="CQ858" s="38"/>
      <c r="CR858" s="38"/>
      <c r="CS858" s="38"/>
      <c r="CT858" s="38"/>
      <c r="CU858" s="38"/>
      <c r="CV858" s="38"/>
      <c r="CW858" s="38"/>
      <c r="CX858" s="38"/>
      <c r="CY858" s="38"/>
      <c r="CZ858" s="38"/>
    </row>
    <row r="859" spans="1:104" s="40" customFormat="1" ht="20.149999999999999" customHeight="1">
      <c r="A859" s="358">
        <f t="shared" si="199"/>
        <v>858</v>
      </c>
      <c r="B859" s="359" t="str">
        <f>'Front Sheet and Checklist'!$C$5</f>
        <v>Swansea Bay UHB</v>
      </c>
      <c r="C859" s="17"/>
      <c r="D859" s="17"/>
      <c r="E859" s="17"/>
      <c r="F859" s="17"/>
      <c r="G859" s="17"/>
      <c r="H859" s="17"/>
      <c r="I859" s="361">
        <f t="shared" si="189"/>
        <v>0</v>
      </c>
      <c r="J859" s="17"/>
      <c r="K859" s="18"/>
      <c r="L859" s="18"/>
      <c r="M859" s="17"/>
      <c r="N859" s="17"/>
      <c r="O859" s="17"/>
      <c r="P859" s="17"/>
      <c r="Q859" s="169"/>
      <c r="R859" s="24"/>
      <c r="S859" s="24"/>
      <c r="T859" s="24"/>
      <c r="U859" s="25"/>
      <c r="V859" s="25"/>
      <c r="W859" s="25"/>
      <c r="X859" s="24"/>
      <c r="Y859" s="24"/>
      <c r="Z859" s="24"/>
      <c r="AA859" s="24"/>
      <c r="AB859" s="24"/>
      <c r="AC859" s="24"/>
      <c r="AD859" s="361">
        <f t="shared" si="188"/>
        <v>0</v>
      </c>
      <c r="AE859" s="359" t="str">
        <f t="shared" si="191"/>
        <v/>
      </c>
      <c r="AF859" s="359" t="str">
        <f t="shared" si="200"/>
        <v/>
      </c>
      <c r="AG859" s="359" t="str">
        <f t="shared" si="192"/>
        <v/>
      </c>
      <c r="AH859" s="359" t="str">
        <f t="shared" si="193"/>
        <v/>
      </c>
      <c r="AI859" s="359" t="str">
        <f t="shared" si="194"/>
        <v/>
      </c>
      <c r="AJ859" s="359" t="str">
        <f t="shared" si="195"/>
        <v/>
      </c>
      <c r="AK859" s="359" t="str">
        <f t="shared" si="197"/>
        <v/>
      </c>
      <c r="AL859" s="359" t="str">
        <f t="shared" si="196"/>
        <v/>
      </c>
      <c r="AM859" s="359" t="str">
        <f t="shared" si="198"/>
        <v/>
      </c>
      <c r="AN859" s="262">
        <f t="shared" si="201"/>
        <v>0</v>
      </c>
      <c r="AO859" s="262" t="str">
        <f>IFERROR(HLOOKUP(AN859,'Ref Lists'!Q$1:AL$2,2,FALSE),'Ref Lists'!$AK$2)</f>
        <v>Savings21</v>
      </c>
      <c r="AP859" s="38"/>
      <c r="AQ859" s="38">
        <f t="shared" si="190"/>
        <v>0</v>
      </c>
      <c r="AR859" s="38"/>
      <c r="AS859" s="38"/>
      <c r="AT859" s="38"/>
      <c r="AU859" s="38"/>
      <c r="AV859" s="38"/>
      <c r="AW859" s="38"/>
      <c r="AX859" s="38"/>
      <c r="AY859" s="38"/>
      <c r="AZ859" s="38"/>
      <c r="BA859" s="38"/>
      <c r="BB859" s="38"/>
      <c r="BC859" s="38"/>
      <c r="BD859" s="38"/>
      <c r="BE859" s="38"/>
      <c r="BF859" s="38"/>
      <c r="BG859" s="38"/>
      <c r="BH859" s="38"/>
      <c r="BI859" s="38"/>
      <c r="BJ859" s="38"/>
      <c r="BK859" s="38"/>
      <c r="BL859" s="38"/>
      <c r="BM859" s="38"/>
      <c r="BN859" s="38"/>
      <c r="BO859" s="38"/>
      <c r="BP859" s="38"/>
      <c r="BQ859" s="38"/>
      <c r="BR859" s="38"/>
      <c r="BS859" s="38"/>
      <c r="BT859" s="38"/>
      <c r="BU859" s="38"/>
      <c r="BV859" s="38"/>
      <c r="BW859" s="38"/>
      <c r="BX859" s="38"/>
      <c r="BY859" s="38"/>
      <c r="BZ859" s="38"/>
      <c r="CA859" s="38"/>
      <c r="CB859" s="38"/>
      <c r="CC859" s="38"/>
      <c r="CD859" s="38"/>
      <c r="CE859" s="38"/>
      <c r="CF859" s="38"/>
      <c r="CG859" s="38"/>
      <c r="CH859" s="38"/>
      <c r="CI859" s="38"/>
      <c r="CJ859" s="38"/>
      <c r="CK859" s="38"/>
      <c r="CL859" s="38"/>
      <c r="CM859" s="38"/>
      <c r="CN859" s="38"/>
      <c r="CO859" s="38"/>
      <c r="CP859" s="38"/>
      <c r="CQ859" s="38"/>
      <c r="CR859" s="38"/>
      <c r="CS859" s="38"/>
      <c r="CT859" s="38"/>
      <c r="CU859" s="38"/>
      <c r="CV859" s="38"/>
      <c r="CW859" s="38"/>
      <c r="CX859" s="38"/>
      <c r="CY859" s="38"/>
      <c r="CZ859" s="38"/>
    </row>
    <row r="860" spans="1:104" s="40" customFormat="1" ht="20.149999999999999" customHeight="1">
      <c r="A860" s="358">
        <f t="shared" si="199"/>
        <v>859</v>
      </c>
      <c r="B860" s="359" t="str">
        <f>'Front Sheet and Checklist'!$C$5</f>
        <v>Swansea Bay UHB</v>
      </c>
      <c r="C860" s="17"/>
      <c r="D860" s="17"/>
      <c r="E860" s="17"/>
      <c r="F860" s="17"/>
      <c r="G860" s="17"/>
      <c r="H860" s="17"/>
      <c r="I860" s="361">
        <f t="shared" si="189"/>
        <v>0</v>
      </c>
      <c r="J860" s="17"/>
      <c r="K860" s="18"/>
      <c r="L860" s="18"/>
      <c r="M860" s="17"/>
      <c r="N860" s="17"/>
      <c r="O860" s="17"/>
      <c r="P860" s="17"/>
      <c r="Q860" s="169"/>
      <c r="R860" s="24"/>
      <c r="S860" s="24"/>
      <c r="T860" s="24"/>
      <c r="U860" s="25"/>
      <c r="V860" s="25"/>
      <c r="W860" s="25"/>
      <c r="X860" s="24"/>
      <c r="Y860" s="24"/>
      <c r="Z860" s="24"/>
      <c r="AA860" s="24"/>
      <c r="AB860" s="24"/>
      <c r="AC860" s="24"/>
      <c r="AD860" s="361">
        <f t="shared" si="188"/>
        <v>0</v>
      </c>
      <c r="AE860" s="359" t="str">
        <f t="shared" si="191"/>
        <v/>
      </c>
      <c r="AF860" s="359" t="str">
        <f t="shared" si="200"/>
        <v/>
      </c>
      <c r="AG860" s="359" t="str">
        <f t="shared" si="192"/>
        <v/>
      </c>
      <c r="AH860" s="359" t="str">
        <f t="shared" si="193"/>
        <v/>
      </c>
      <c r="AI860" s="359" t="str">
        <f t="shared" si="194"/>
        <v/>
      </c>
      <c r="AJ860" s="359" t="str">
        <f t="shared" si="195"/>
        <v/>
      </c>
      <c r="AK860" s="359" t="str">
        <f t="shared" si="197"/>
        <v/>
      </c>
      <c r="AL860" s="359" t="str">
        <f t="shared" si="196"/>
        <v/>
      </c>
      <c r="AM860" s="359" t="str">
        <f t="shared" si="198"/>
        <v/>
      </c>
      <c r="AN860" s="262">
        <f t="shared" si="201"/>
        <v>0</v>
      </c>
      <c r="AO860" s="262" t="str">
        <f>IFERROR(HLOOKUP(AN860,'Ref Lists'!Q$1:AL$2,2,FALSE),'Ref Lists'!$AK$2)</f>
        <v>Savings21</v>
      </c>
      <c r="AP860" s="38"/>
      <c r="AQ860" s="38">
        <f t="shared" si="190"/>
        <v>0</v>
      </c>
      <c r="AR860" s="38"/>
      <c r="AS860" s="38"/>
      <c r="AT860" s="38"/>
      <c r="AU860" s="38"/>
      <c r="AV860" s="38"/>
      <c r="AW860" s="38"/>
      <c r="AX860" s="38"/>
      <c r="AY860" s="38"/>
      <c r="AZ860" s="38"/>
      <c r="BA860" s="38"/>
      <c r="BB860" s="38"/>
      <c r="BC860" s="38"/>
      <c r="BD860" s="38"/>
      <c r="BE860" s="38"/>
      <c r="BF860" s="38"/>
      <c r="BG860" s="38"/>
      <c r="BH860" s="38"/>
      <c r="BI860" s="38"/>
      <c r="BJ860" s="38"/>
      <c r="BK860" s="38"/>
      <c r="BL860" s="38"/>
      <c r="BM860" s="38"/>
      <c r="BN860" s="38"/>
      <c r="BO860" s="38"/>
      <c r="BP860" s="38"/>
      <c r="BQ860" s="38"/>
      <c r="BR860" s="38"/>
      <c r="BS860" s="38"/>
      <c r="BT860" s="38"/>
      <c r="BU860" s="38"/>
      <c r="BV860" s="38"/>
      <c r="BW860" s="38"/>
      <c r="BX860" s="38"/>
      <c r="BY860" s="38"/>
      <c r="BZ860" s="38"/>
      <c r="CA860" s="38"/>
      <c r="CB860" s="38"/>
      <c r="CC860" s="38"/>
      <c r="CD860" s="38"/>
      <c r="CE860" s="38"/>
      <c r="CF860" s="38"/>
      <c r="CG860" s="38"/>
      <c r="CH860" s="38"/>
      <c r="CI860" s="38"/>
      <c r="CJ860" s="38"/>
      <c r="CK860" s="38"/>
      <c r="CL860" s="38"/>
      <c r="CM860" s="38"/>
      <c r="CN860" s="38"/>
      <c r="CO860" s="38"/>
      <c r="CP860" s="38"/>
      <c r="CQ860" s="38"/>
      <c r="CR860" s="38"/>
      <c r="CS860" s="38"/>
      <c r="CT860" s="38"/>
      <c r="CU860" s="38"/>
      <c r="CV860" s="38"/>
      <c r="CW860" s="38"/>
      <c r="CX860" s="38"/>
      <c r="CY860" s="38"/>
      <c r="CZ860" s="38"/>
    </row>
    <row r="861" spans="1:104" s="40" customFormat="1" ht="20.149999999999999" customHeight="1">
      <c r="A861" s="358">
        <f t="shared" si="199"/>
        <v>860</v>
      </c>
      <c r="B861" s="359" t="str">
        <f>'Front Sheet and Checklist'!$C$5</f>
        <v>Swansea Bay UHB</v>
      </c>
      <c r="C861" s="17"/>
      <c r="D861" s="17"/>
      <c r="E861" s="17"/>
      <c r="F861" s="17"/>
      <c r="G861" s="17"/>
      <c r="H861" s="17"/>
      <c r="I861" s="361">
        <f t="shared" si="189"/>
        <v>0</v>
      </c>
      <c r="J861" s="17"/>
      <c r="K861" s="18"/>
      <c r="L861" s="18"/>
      <c r="M861" s="17"/>
      <c r="N861" s="17"/>
      <c r="O861" s="17"/>
      <c r="P861" s="17"/>
      <c r="Q861" s="169"/>
      <c r="R861" s="24"/>
      <c r="S861" s="24"/>
      <c r="T861" s="24"/>
      <c r="U861" s="25"/>
      <c r="V861" s="25"/>
      <c r="W861" s="25"/>
      <c r="X861" s="24"/>
      <c r="Y861" s="24"/>
      <c r="Z861" s="24"/>
      <c r="AA861" s="24"/>
      <c r="AB861" s="24"/>
      <c r="AC861" s="24"/>
      <c r="AD861" s="361">
        <f t="shared" si="188"/>
        <v>0</v>
      </c>
      <c r="AE861" s="359" t="str">
        <f t="shared" si="191"/>
        <v/>
      </c>
      <c r="AF861" s="359" t="str">
        <f t="shared" si="200"/>
        <v/>
      </c>
      <c r="AG861" s="359" t="str">
        <f t="shared" si="192"/>
        <v/>
      </c>
      <c r="AH861" s="359" t="str">
        <f t="shared" si="193"/>
        <v/>
      </c>
      <c r="AI861" s="359" t="str">
        <f t="shared" si="194"/>
        <v/>
      </c>
      <c r="AJ861" s="359" t="str">
        <f t="shared" si="195"/>
        <v/>
      </c>
      <c r="AK861" s="359" t="str">
        <f t="shared" si="197"/>
        <v/>
      </c>
      <c r="AL861" s="359" t="str">
        <f t="shared" si="196"/>
        <v/>
      </c>
      <c r="AM861" s="359" t="str">
        <f t="shared" si="198"/>
        <v/>
      </c>
      <c r="AN861" s="262">
        <f t="shared" si="201"/>
        <v>0</v>
      </c>
      <c r="AO861" s="262" t="str">
        <f>IFERROR(HLOOKUP(AN861,'Ref Lists'!Q$1:AL$2,2,FALSE),'Ref Lists'!$AK$2)</f>
        <v>Savings21</v>
      </c>
      <c r="AP861" s="38"/>
      <c r="AQ861" s="38">
        <f t="shared" si="190"/>
        <v>0</v>
      </c>
      <c r="AR861" s="38"/>
      <c r="AS861" s="38"/>
      <c r="AT861" s="38"/>
      <c r="AU861" s="38"/>
      <c r="AV861" s="38"/>
      <c r="AW861" s="38"/>
      <c r="AX861" s="38"/>
      <c r="AY861" s="38"/>
      <c r="AZ861" s="38"/>
      <c r="BA861" s="38"/>
      <c r="BB861" s="38"/>
      <c r="BC861" s="38"/>
      <c r="BD861" s="38"/>
      <c r="BE861" s="38"/>
      <c r="BF861" s="38"/>
      <c r="BG861" s="38"/>
      <c r="BH861" s="38"/>
      <c r="BI861" s="38"/>
      <c r="BJ861" s="38"/>
      <c r="BK861" s="38"/>
      <c r="BL861" s="38"/>
      <c r="BM861" s="38"/>
      <c r="BN861" s="38"/>
      <c r="BO861" s="38"/>
      <c r="BP861" s="38"/>
      <c r="BQ861" s="38"/>
      <c r="BR861" s="38"/>
      <c r="BS861" s="38"/>
      <c r="BT861" s="38"/>
      <c r="BU861" s="38"/>
      <c r="BV861" s="38"/>
      <c r="BW861" s="38"/>
      <c r="BX861" s="38"/>
      <c r="BY861" s="38"/>
      <c r="BZ861" s="38"/>
      <c r="CA861" s="38"/>
      <c r="CB861" s="38"/>
      <c r="CC861" s="38"/>
      <c r="CD861" s="38"/>
      <c r="CE861" s="38"/>
      <c r="CF861" s="38"/>
      <c r="CG861" s="38"/>
      <c r="CH861" s="38"/>
      <c r="CI861" s="38"/>
      <c r="CJ861" s="38"/>
      <c r="CK861" s="38"/>
      <c r="CL861" s="38"/>
      <c r="CM861" s="38"/>
      <c r="CN861" s="38"/>
      <c r="CO861" s="38"/>
      <c r="CP861" s="38"/>
      <c r="CQ861" s="38"/>
      <c r="CR861" s="38"/>
      <c r="CS861" s="38"/>
      <c r="CT861" s="38"/>
      <c r="CU861" s="38"/>
      <c r="CV861" s="38"/>
      <c r="CW861" s="38"/>
      <c r="CX861" s="38"/>
      <c r="CY861" s="38"/>
      <c r="CZ861" s="38"/>
    </row>
    <row r="862" spans="1:104" s="40" customFormat="1" ht="20.149999999999999" customHeight="1">
      <c r="A862" s="358">
        <f t="shared" si="199"/>
        <v>861</v>
      </c>
      <c r="B862" s="359" t="str">
        <f>'Front Sheet and Checklist'!$C$5</f>
        <v>Swansea Bay UHB</v>
      </c>
      <c r="C862" s="17"/>
      <c r="D862" s="17"/>
      <c r="E862" s="17"/>
      <c r="F862" s="17"/>
      <c r="G862" s="17"/>
      <c r="H862" s="17"/>
      <c r="I862" s="361">
        <f t="shared" si="189"/>
        <v>0</v>
      </c>
      <c r="J862" s="17"/>
      <c r="K862" s="18"/>
      <c r="L862" s="18"/>
      <c r="M862" s="17"/>
      <c r="N862" s="17"/>
      <c r="O862" s="17"/>
      <c r="P862" s="17"/>
      <c r="Q862" s="169"/>
      <c r="R862" s="24"/>
      <c r="S862" s="24"/>
      <c r="T862" s="24"/>
      <c r="U862" s="25"/>
      <c r="V862" s="25"/>
      <c r="W862" s="25"/>
      <c r="X862" s="24"/>
      <c r="Y862" s="24"/>
      <c r="Z862" s="24"/>
      <c r="AA862" s="24"/>
      <c r="AB862" s="24"/>
      <c r="AC862" s="24"/>
      <c r="AD862" s="361">
        <f t="shared" si="188"/>
        <v>0</v>
      </c>
      <c r="AE862" s="359" t="str">
        <f t="shared" si="191"/>
        <v/>
      </c>
      <c r="AF862" s="359" t="str">
        <f t="shared" si="200"/>
        <v/>
      </c>
      <c r="AG862" s="359" t="str">
        <f t="shared" si="192"/>
        <v/>
      </c>
      <c r="AH862" s="359" t="str">
        <f t="shared" si="193"/>
        <v/>
      </c>
      <c r="AI862" s="359" t="str">
        <f t="shared" si="194"/>
        <v/>
      </c>
      <c r="AJ862" s="359" t="str">
        <f t="shared" si="195"/>
        <v/>
      </c>
      <c r="AK862" s="359" t="str">
        <f t="shared" si="197"/>
        <v/>
      </c>
      <c r="AL862" s="359" t="str">
        <f t="shared" si="196"/>
        <v/>
      </c>
      <c r="AM862" s="359" t="str">
        <f t="shared" si="198"/>
        <v/>
      </c>
      <c r="AN862" s="262">
        <f t="shared" si="201"/>
        <v>0</v>
      </c>
      <c r="AO862" s="262" t="str">
        <f>IFERROR(HLOOKUP(AN862,'Ref Lists'!Q$1:AL$2,2,FALSE),'Ref Lists'!$AK$2)</f>
        <v>Savings21</v>
      </c>
      <c r="AP862" s="38"/>
      <c r="AQ862" s="38">
        <f t="shared" si="190"/>
        <v>0</v>
      </c>
      <c r="AR862" s="38"/>
      <c r="AS862" s="38"/>
      <c r="AT862" s="38"/>
      <c r="AU862" s="38"/>
      <c r="AV862" s="38"/>
      <c r="AW862" s="38"/>
      <c r="AX862" s="38"/>
      <c r="AY862" s="38"/>
      <c r="AZ862" s="38"/>
      <c r="BA862" s="38"/>
      <c r="BB862" s="38"/>
      <c r="BC862" s="38"/>
      <c r="BD862" s="38"/>
      <c r="BE862" s="38"/>
      <c r="BF862" s="38"/>
      <c r="BG862" s="38"/>
      <c r="BH862" s="38"/>
      <c r="BI862" s="38"/>
      <c r="BJ862" s="38"/>
      <c r="BK862" s="38"/>
      <c r="BL862" s="38"/>
      <c r="BM862" s="38"/>
      <c r="BN862" s="38"/>
      <c r="BO862" s="38"/>
      <c r="BP862" s="38"/>
      <c r="BQ862" s="38"/>
      <c r="BR862" s="38"/>
      <c r="BS862" s="38"/>
      <c r="BT862" s="38"/>
      <c r="BU862" s="38"/>
      <c r="BV862" s="38"/>
      <c r="BW862" s="38"/>
      <c r="BX862" s="38"/>
      <c r="BY862" s="38"/>
      <c r="BZ862" s="38"/>
      <c r="CA862" s="38"/>
      <c r="CB862" s="38"/>
      <c r="CC862" s="38"/>
      <c r="CD862" s="38"/>
      <c r="CE862" s="38"/>
      <c r="CF862" s="38"/>
      <c r="CG862" s="38"/>
      <c r="CH862" s="38"/>
      <c r="CI862" s="38"/>
      <c r="CJ862" s="38"/>
      <c r="CK862" s="38"/>
      <c r="CL862" s="38"/>
      <c r="CM862" s="38"/>
      <c r="CN862" s="38"/>
      <c r="CO862" s="38"/>
      <c r="CP862" s="38"/>
      <c r="CQ862" s="38"/>
      <c r="CR862" s="38"/>
      <c r="CS862" s="38"/>
      <c r="CT862" s="38"/>
      <c r="CU862" s="38"/>
      <c r="CV862" s="38"/>
      <c r="CW862" s="38"/>
      <c r="CX862" s="38"/>
      <c r="CY862" s="38"/>
      <c r="CZ862" s="38"/>
    </row>
    <row r="863" spans="1:104" s="40" customFormat="1" ht="20.149999999999999" customHeight="1">
      <c r="A863" s="358">
        <f t="shared" si="199"/>
        <v>862</v>
      </c>
      <c r="B863" s="359" t="str">
        <f>'Front Sheet and Checklist'!$C$5</f>
        <v>Swansea Bay UHB</v>
      </c>
      <c r="C863" s="17"/>
      <c r="D863" s="17"/>
      <c r="E863" s="17"/>
      <c r="F863" s="17"/>
      <c r="G863" s="17"/>
      <c r="H863" s="17"/>
      <c r="I863" s="361">
        <f t="shared" si="189"/>
        <v>0</v>
      </c>
      <c r="J863" s="17"/>
      <c r="K863" s="18"/>
      <c r="L863" s="18"/>
      <c r="M863" s="17"/>
      <c r="N863" s="17"/>
      <c r="O863" s="17"/>
      <c r="P863" s="17"/>
      <c r="Q863" s="169"/>
      <c r="R863" s="24"/>
      <c r="S863" s="24"/>
      <c r="T863" s="24"/>
      <c r="U863" s="25"/>
      <c r="V863" s="25"/>
      <c r="W863" s="25"/>
      <c r="X863" s="24"/>
      <c r="Y863" s="24"/>
      <c r="Z863" s="24"/>
      <c r="AA863" s="24"/>
      <c r="AB863" s="24"/>
      <c r="AC863" s="24"/>
      <c r="AD863" s="361">
        <f t="shared" si="188"/>
        <v>0</v>
      </c>
      <c r="AE863" s="359" t="str">
        <f t="shared" si="191"/>
        <v/>
      </c>
      <c r="AF863" s="359" t="str">
        <f t="shared" si="200"/>
        <v/>
      </c>
      <c r="AG863" s="359" t="str">
        <f t="shared" si="192"/>
        <v/>
      </c>
      <c r="AH863" s="359" t="str">
        <f t="shared" si="193"/>
        <v/>
      </c>
      <c r="AI863" s="359" t="str">
        <f t="shared" si="194"/>
        <v/>
      </c>
      <c r="AJ863" s="359" t="str">
        <f t="shared" si="195"/>
        <v/>
      </c>
      <c r="AK863" s="359" t="str">
        <f t="shared" si="197"/>
        <v/>
      </c>
      <c r="AL863" s="359" t="str">
        <f t="shared" si="196"/>
        <v/>
      </c>
      <c r="AM863" s="359" t="str">
        <f t="shared" si="198"/>
        <v/>
      </c>
      <c r="AN863" s="262">
        <f t="shared" si="201"/>
        <v>0</v>
      </c>
      <c r="AO863" s="262" t="str">
        <f>IFERROR(HLOOKUP(AN863,'Ref Lists'!Q$1:AL$2,2,FALSE),'Ref Lists'!$AK$2)</f>
        <v>Savings21</v>
      </c>
      <c r="AP863" s="38"/>
      <c r="AQ863" s="38">
        <f t="shared" si="190"/>
        <v>0</v>
      </c>
      <c r="AR863" s="38"/>
      <c r="AS863" s="38"/>
      <c r="AT863" s="38"/>
      <c r="AU863" s="38"/>
      <c r="AV863" s="38"/>
      <c r="AW863" s="38"/>
      <c r="AX863" s="38"/>
      <c r="AY863" s="38"/>
      <c r="AZ863" s="38"/>
      <c r="BA863" s="38"/>
      <c r="BB863" s="38"/>
      <c r="BC863" s="38"/>
      <c r="BD863" s="38"/>
      <c r="BE863" s="38"/>
      <c r="BF863" s="38"/>
      <c r="BG863" s="38"/>
      <c r="BH863" s="38"/>
      <c r="BI863" s="38"/>
      <c r="BJ863" s="38"/>
      <c r="BK863" s="38"/>
      <c r="BL863" s="38"/>
      <c r="BM863" s="38"/>
      <c r="BN863" s="38"/>
      <c r="BO863" s="38"/>
      <c r="BP863" s="38"/>
      <c r="BQ863" s="38"/>
      <c r="BR863" s="38"/>
      <c r="BS863" s="38"/>
      <c r="BT863" s="38"/>
      <c r="BU863" s="38"/>
      <c r="BV863" s="38"/>
      <c r="BW863" s="38"/>
      <c r="BX863" s="38"/>
      <c r="BY863" s="38"/>
      <c r="BZ863" s="38"/>
      <c r="CA863" s="38"/>
      <c r="CB863" s="38"/>
      <c r="CC863" s="38"/>
      <c r="CD863" s="38"/>
      <c r="CE863" s="38"/>
      <c r="CF863" s="38"/>
      <c r="CG863" s="38"/>
      <c r="CH863" s="38"/>
      <c r="CI863" s="38"/>
      <c r="CJ863" s="38"/>
      <c r="CK863" s="38"/>
      <c r="CL863" s="38"/>
      <c r="CM863" s="38"/>
      <c r="CN863" s="38"/>
      <c r="CO863" s="38"/>
      <c r="CP863" s="38"/>
      <c r="CQ863" s="38"/>
      <c r="CR863" s="38"/>
      <c r="CS863" s="38"/>
      <c r="CT863" s="38"/>
      <c r="CU863" s="38"/>
      <c r="CV863" s="38"/>
      <c r="CW863" s="38"/>
      <c r="CX863" s="38"/>
      <c r="CY863" s="38"/>
      <c r="CZ863" s="38"/>
    </row>
    <row r="864" spans="1:104" s="40" customFormat="1" ht="20.149999999999999" customHeight="1">
      <c r="A864" s="358">
        <f t="shared" si="199"/>
        <v>863</v>
      </c>
      <c r="B864" s="359" t="str">
        <f>'Front Sheet and Checklist'!$C$5</f>
        <v>Swansea Bay UHB</v>
      </c>
      <c r="C864" s="17"/>
      <c r="D864" s="17"/>
      <c r="E864" s="17"/>
      <c r="F864" s="17"/>
      <c r="G864" s="17"/>
      <c r="H864" s="17"/>
      <c r="I864" s="361">
        <f t="shared" si="189"/>
        <v>0</v>
      </c>
      <c r="J864" s="17"/>
      <c r="K864" s="18"/>
      <c r="L864" s="18"/>
      <c r="M864" s="17"/>
      <c r="N864" s="17"/>
      <c r="O864" s="17"/>
      <c r="P864" s="17"/>
      <c r="Q864" s="169"/>
      <c r="R864" s="24"/>
      <c r="S864" s="24"/>
      <c r="T864" s="24"/>
      <c r="U864" s="25"/>
      <c r="V864" s="25"/>
      <c r="W864" s="25"/>
      <c r="X864" s="24"/>
      <c r="Y864" s="24"/>
      <c r="Z864" s="24"/>
      <c r="AA864" s="24"/>
      <c r="AB864" s="24"/>
      <c r="AC864" s="24"/>
      <c r="AD864" s="361">
        <f t="shared" si="188"/>
        <v>0</v>
      </c>
      <c r="AE864" s="359" t="str">
        <f t="shared" si="191"/>
        <v/>
      </c>
      <c r="AF864" s="359" t="str">
        <f t="shared" si="200"/>
        <v/>
      </c>
      <c r="AG864" s="359" t="str">
        <f t="shared" si="192"/>
        <v/>
      </c>
      <c r="AH864" s="359" t="str">
        <f t="shared" si="193"/>
        <v/>
      </c>
      <c r="AI864" s="359" t="str">
        <f t="shared" si="194"/>
        <v/>
      </c>
      <c r="AJ864" s="359" t="str">
        <f t="shared" si="195"/>
        <v/>
      </c>
      <c r="AK864" s="359" t="str">
        <f t="shared" si="197"/>
        <v/>
      </c>
      <c r="AL864" s="359" t="str">
        <f t="shared" si="196"/>
        <v/>
      </c>
      <c r="AM864" s="359" t="str">
        <f t="shared" si="198"/>
        <v/>
      </c>
      <c r="AN864" s="262">
        <f t="shared" si="201"/>
        <v>0</v>
      </c>
      <c r="AO864" s="262" t="str">
        <f>IFERROR(HLOOKUP(AN864,'Ref Lists'!Q$1:AL$2,2,FALSE),'Ref Lists'!$AK$2)</f>
        <v>Savings21</v>
      </c>
      <c r="AP864" s="38"/>
      <c r="AQ864" s="38">
        <f t="shared" si="190"/>
        <v>0</v>
      </c>
      <c r="AR864" s="38"/>
      <c r="AS864" s="38"/>
      <c r="AT864" s="38"/>
      <c r="AU864" s="38"/>
      <c r="AV864" s="38"/>
      <c r="AW864" s="38"/>
      <c r="AX864" s="38"/>
      <c r="AY864" s="38"/>
      <c r="AZ864" s="38"/>
      <c r="BA864" s="38"/>
      <c r="BB864" s="38"/>
      <c r="BC864" s="38"/>
      <c r="BD864" s="38"/>
      <c r="BE864" s="38"/>
      <c r="BF864" s="38"/>
      <c r="BG864" s="38"/>
      <c r="BH864" s="38"/>
      <c r="BI864" s="38"/>
      <c r="BJ864" s="38"/>
      <c r="BK864" s="38"/>
      <c r="BL864" s="38"/>
      <c r="BM864" s="38"/>
      <c r="BN864" s="38"/>
      <c r="BO864" s="38"/>
      <c r="BP864" s="38"/>
      <c r="BQ864" s="38"/>
      <c r="BR864" s="38"/>
      <c r="BS864" s="38"/>
      <c r="BT864" s="38"/>
      <c r="BU864" s="38"/>
      <c r="BV864" s="38"/>
      <c r="BW864" s="38"/>
      <c r="BX864" s="38"/>
      <c r="BY864" s="38"/>
      <c r="BZ864" s="38"/>
      <c r="CA864" s="38"/>
      <c r="CB864" s="38"/>
      <c r="CC864" s="38"/>
      <c r="CD864" s="38"/>
      <c r="CE864" s="38"/>
      <c r="CF864" s="38"/>
      <c r="CG864" s="38"/>
      <c r="CH864" s="38"/>
      <c r="CI864" s="38"/>
      <c r="CJ864" s="38"/>
      <c r="CK864" s="38"/>
      <c r="CL864" s="38"/>
      <c r="CM864" s="38"/>
      <c r="CN864" s="38"/>
      <c r="CO864" s="38"/>
      <c r="CP864" s="38"/>
      <c r="CQ864" s="38"/>
      <c r="CR864" s="38"/>
      <c r="CS864" s="38"/>
      <c r="CT864" s="38"/>
      <c r="CU864" s="38"/>
      <c r="CV864" s="38"/>
      <c r="CW864" s="38"/>
      <c r="CX864" s="38"/>
      <c r="CY864" s="38"/>
      <c r="CZ864" s="38"/>
    </row>
    <row r="865" spans="1:104" s="40" customFormat="1" ht="20.149999999999999" customHeight="1">
      <c r="A865" s="358">
        <f t="shared" si="199"/>
        <v>864</v>
      </c>
      <c r="B865" s="359" t="str">
        <f>'Front Sheet and Checklist'!$C$5</f>
        <v>Swansea Bay UHB</v>
      </c>
      <c r="C865" s="17"/>
      <c r="D865" s="17"/>
      <c r="E865" s="17"/>
      <c r="F865" s="17"/>
      <c r="G865" s="17"/>
      <c r="H865" s="17"/>
      <c r="I865" s="361">
        <f t="shared" si="189"/>
        <v>0</v>
      </c>
      <c r="J865" s="17"/>
      <c r="K865" s="18"/>
      <c r="L865" s="18"/>
      <c r="M865" s="17"/>
      <c r="N865" s="17"/>
      <c r="O865" s="17"/>
      <c r="P865" s="17"/>
      <c r="Q865" s="169"/>
      <c r="R865" s="24"/>
      <c r="S865" s="24"/>
      <c r="T865" s="24"/>
      <c r="U865" s="25"/>
      <c r="V865" s="25"/>
      <c r="W865" s="25"/>
      <c r="X865" s="24"/>
      <c r="Y865" s="24"/>
      <c r="Z865" s="24"/>
      <c r="AA865" s="24"/>
      <c r="AB865" s="24"/>
      <c r="AC865" s="24"/>
      <c r="AD865" s="361">
        <f t="shared" si="188"/>
        <v>0</v>
      </c>
      <c r="AE865" s="359" t="str">
        <f t="shared" si="191"/>
        <v/>
      </c>
      <c r="AF865" s="359" t="str">
        <f t="shared" si="200"/>
        <v/>
      </c>
      <c r="AG865" s="359" t="str">
        <f t="shared" si="192"/>
        <v/>
      </c>
      <c r="AH865" s="359" t="str">
        <f t="shared" si="193"/>
        <v/>
      </c>
      <c r="AI865" s="359" t="str">
        <f t="shared" si="194"/>
        <v/>
      </c>
      <c r="AJ865" s="359" t="str">
        <f t="shared" si="195"/>
        <v/>
      </c>
      <c r="AK865" s="359" t="str">
        <f t="shared" si="197"/>
        <v/>
      </c>
      <c r="AL865" s="359" t="str">
        <f t="shared" si="196"/>
        <v/>
      </c>
      <c r="AM865" s="359" t="str">
        <f t="shared" si="198"/>
        <v/>
      </c>
      <c r="AN865" s="262">
        <f t="shared" si="201"/>
        <v>0</v>
      </c>
      <c r="AO865" s="262" t="str">
        <f>IFERROR(HLOOKUP(AN865,'Ref Lists'!Q$1:AL$2,2,FALSE),'Ref Lists'!$AK$2)</f>
        <v>Savings21</v>
      </c>
      <c r="AP865" s="38"/>
      <c r="AQ865" s="38">
        <f t="shared" si="190"/>
        <v>0</v>
      </c>
      <c r="AR865" s="38"/>
      <c r="AS865" s="38"/>
      <c r="AT865" s="38"/>
      <c r="AU865" s="38"/>
      <c r="AV865" s="38"/>
      <c r="AW865" s="38"/>
      <c r="AX865" s="38"/>
      <c r="AY865" s="38"/>
      <c r="AZ865" s="38"/>
      <c r="BA865" s="38"/>
      <c r="BB865" s="38"/>
      <c r="BC865" s="38"/>
      <c r="BD865" s="38"/>
      <c r="BE865" s="38"/>
      <c r="BF865" s="38"/>
      <c r="BG865" s="38"/>
      <c r="BH865" s="38"/>
      <c r="BI865" s="38"/>
      <c r="BJ865" s="38"/>
      <c r="BK865" s="38"/>
      <c r="BL865" s="38"/>
      <c r="BM865" s="38"/>
      <c r="BN865" s="38"/>
      <c r="BO865" s="38"/>
      <c r="BP865" s="38"/>
      <c r="BQ865" s="38"/>
      <c r="BR865" s="38"/>
      <c r="BS865" s="38"/>
      <c r="BT865" s="38"/>
      <c r="BU865" s="38"/>
      <c r="BV865" s="38"/>
      <c r="BW865" s="38"/>
      <c r="BX865" s="38"/>
      <c r="BY865" s="38"/>
      <c r="BZ865" s="38"/>
      <c r="CA865" s="38"/>
      <c r="CB865" s="38"/>
      <c r="CC865" s="38"/>
      <c r="CD865" s="38"/>
      <c r="CE865" s="38"/>
      <c r="CF865" s="38"/>
      <c r="CG865" s="38"/>
      <c r="CH865" s="38"/>
      <c r="CI865" s="38"/>
      <c r="CJ865" s="38"/>
      <c r="CK865" s="38"/>
      <c r="CL865" s="38"/>
      <c r="CM865" s="38"/>
      <c r="CN865" s="38"/>
      <c r="CO865" s="38"/>
      <c r="CP865" s="38"/>
      <c r="CQ865" s="38"/>
      <c r="CR865" s="38"/>
      <c r="CS865" s="38"/>
      <c r="CT865" s="38"/>
      <c r="CU865" s="38"/>
      <c r="CV865" s="38"/>
      <c r="CW865" s="38"/>
      <c r="CX865" s="38"/>
      <c r="CY865" s="38"/>
      <c r="CZ865" s="38"/>
    </row>
    <row r="866" spans="1:104" s="40" customFormat="1" ht="20.149999999999999" customHeight="1">
      <c r="A866" s="358">
        <f t="shared" si="199"/>
        <v>865</v>
      </c>
      <c r="B866" s="359" t="str">
        <f>'Front Sheet and Checklist'!$C$5</f>
        <v>Swansea Bay UHB</v>
      </c>
      <c r="C866" s="17"/>
      <c r="D866" s="17"/>
      <c r="E866" s="17"/>
      <c r="F866" s="17"/>
      <c r="G866" s="17"/>
      <c r="H866" s="17"/>
      <c r="I866" s="361">
        <f t="shared" si="189"/>
        <v>0</v>
      </c>
      <c r="J866" s="17"/>
      <c r="K866" s="18"/>
      <c r="L866" s="18"/>
      <c r="M866" s="17"/>
      <c r="N866" s="17"/>
      <c r="O866" s="17"/>
      <c r="P866" s="17"/>
      <c r="Q866" s="169"/>
      <c r="R866" s="24"/>
      <c r="S866" s="24"/>
      <c r="T866" s="24"/>
      <c r="U866" s="25"/>
      <c r="V866" s="25"/>
      <c r="W866" s="25"/>
      <c r="X866" s="24"/>
      <c r="Y866" s="24"/>
      <c r="Z866" s="24"/>
      <c r="AA866" s="24"/>
      <c r="AB866" s="24"/>
      <c r="AC866" s="24"/>
      <c r="AD866" s="361">
        <f t="shared" si="188"/>
        <v>0</v>
      </c>
      <c r="AE866" s="359" t="str">
        <f t="shared" si="191"/>
        <v/>
      </c>
      <c r="AF866" s="359" t="str">
        <f t="shared" si="200"/>
        <v/>
      </c>
      <c r="AG866" s="359" t="str">
        <f t="shared" si="192"/>
        <v/>
      </c>
      <c r="AH866" s="359" t="str">
        <f t="shared" si="193"/>
        <v/>
      </c>
      <c r="AI866" s="359" t="str">
        <f t="shared" si="194"/>
        <v/>
      </c>
      <c r="AJ866" s="359" t="str">
        <f t="shared" si="195"/>
        <v/>
      </c>
      <c r="AK866" s="359" t="str">
        <f t="shared" si="197"/>
        <v/>
      </c>
      <c r="AL866" s="359" t="str">
        <f t="shared" si="196"/>
        <v/>
      </c>
      <c r="AM866" s="359" t="str">
        <f t="shared" si="198"/>
        <v/>
      </c>
      <c r="AN866" s="262">
        <f t="shared" si="201"/>
        <v>0</v>
      </c>
      <c r="AO866" s="262" t="str">
        <f>IFERROR(HLOOKUP(AN866,'Ref Lists'!Q$1:AL$2,2,FALSE),'Ref Lists'!$AK$2)</f>
        <v>Savings21</v>
      </c>
      <c r="AP866" s="38"/>
      <c r="AQ866" s="38">
        <f t="shared" si="190"/>
        <v>0</v>
      </c>
      <c r="AR866" s="38"/>
      <c r="AS866" s="38"/>
      <c r="AT866" s="38"/>
      <c r="AU866" s="38"/>
      <c r="AV866" s="38"/>
      <c r="AW866" s="38"/>
      <c r="AX866" s="38"/>
      <c r="AY866" s="38"/>
      <c r="AZ866" s="38"/>
      <c r="BA866" s="38"/>
      <c r="BB866" s="38"/>
      <c r="BC866" s="38"/>
      <c r="BD866" s="38"/>
      <c r="BE866" s="38"/>
      <c r="BF866" s="38"/>
      <c r="BG866" s="38"/>
      <c r="BH866" s="38"/>
      <c r="BI866" s="38"/>
      <c r="BJ866" s="38"/>
      <c r="BK866" s="38"/>
      <c r="BL866" s="38"/>
      <c r="BM866" s="38"/>
      <c r="BN866" s="38"/>
      <c r="BO866" s="38"/>
      <c r="BP866" s="38"/>
      <c r="BQ866" s="38"/>
      <c r="BR866" s="38"/>
      <c r="BS866" s="38"/>
      <c r="BT866" s="38"/>
      <c r="BU866" s="38"/>
      <c r="BV866" s="38"/>
      <c r="BW866" s="38"/>
      <c r="BX866" s="38"/>
      <c r="BY866" s="38"/>
      <c r="BZ866" s="38"/>
      <c r="CA866" s="38"/>
      <c r="CB866" s="38"/>
      <c r="CC866" s="38"/>
      <c r="CD866" s="38"/>
      <c r="CE866" s="38"/>
      <c r="CF866" s="38"/>
      <c r="CG866" s="38"/>
      <c r="CH866" s="38"/>
      <c r="CI866" s="38"/>
      <c r="CJ866" s="38"/>
      <c r="CK866" s="38"/>
      <c r="CL866" s="38"/>
      <c r="CM866" s="38"/>
      <c r="CN866" s="38"/>
      <c r="CO866" s="38"/>
      <c r="CP866" s="38"/>
      <c r="CQ866" s="38"/>
      <c r="CR866" s="38"/>
      <c r="CS866" s="38"/>
      <c r="CT866" s="38"/>
      <c r="CU866" s="38"/>
      <c r="CV866" s="38"/>
      <c r="CW866" s="38"/>
      <c r="CX866" s="38"/>
      <c r="CY866" s="38"/>
      <c r="CZ866" s="38"/>
    </row>
    <row r="867" spans="1:104" s="40" customFormat="1" ht="20.149999999999999" customHeight="1">
      <c r="A867" s="358">
        <f t="shared" si="199"/>
        <v>866</v>
      </c>
      <c r="B867" s="359" t="str">
        <f>'Front Sheet and Checklist'!$C$5</f>
        <v>Swansea Bay UHB</v>
      </c>
      <c r="C867" s="17"/>
      <c r="D867" s="17"/>
      <c r="E867" s="17"/>
      <c r="F867" s="17"/>
      <c r="G867" s="17"/>
      <c r="H867" s="17"/>
      <c r="I867" s="361">
        <f t="shared" si="189"/>
        <v>0</v>
      </c>
      <c r="J867" s="17"/>
      <c r="K867" s="18"/>
      <c r="L867" s="18"/>
      <c r="M867" s="17"/>
      <c r="N867" s="17"/>
      <c r="O867" s="17"/>
      <c r="P867" s="17"/>
      <c r="Q867" s="169"/>
      <c r="R867" s="24"/>
      <c r="S867" s="24"/>
      <c r="T867" s="24"/>
      <c r="U867" s="25"/>
      <c r="V867" s="25"/>
      <c r="W867" s="25"/>
      <c r="X867" s="24"/>
      <c r="Y867" s="24"/>
      <c r="Z867" s="24"/>
      <c r="AA867" s="24"/>
      <c r="AB867" s="24"/>
      <c r="AC867" s="24"/>
      <c r="AD867" s="361">
        <f t="shared" si="188"/>
        <v>0</v>
      </c>
      <c r="AE867" s="359" t="str">
        <f t="shared" si="191"/>
        <v/>
      </c>
      <c r="AF867" s="359" t="str">
        <f t="shared" si="200"/>
        <v/>
      </c>
      <c r="AG867" s="359" t="str">
        <f t="shared" si="192"/>
        <v/>
      </c>
      <c r="AH867" s="359" t="str">
        <f t="shared" si="193"/>
        <v/>
      </c>
      <c r="AI867" s="359" t="str">
        <f t="shared" si="194"/>
        <v/>
      </c>
      <c r="AJ867" s="359" t="str">
        <f t="shared" si="195"/>
        <v/>
      </c>
      <c r="AK867" s="359" t="str">
        <f t="shared" si="197"/>
        <v/>
      </c>
      <c r="AL867" s="359" t="str">
        <f t="shared" si="196"/>
        <v/>
      </c>
      <c r="AM867" s="359" t="str">
        <f t="shared" si="198"/>
        <v/>
      </c>
      <c r="AN867" s="262">
        <f t="shared" si="201"/>
        <v>0</v>
      </c>
      <c r="AO867" s="262" t="str">
        <f>IFERROR(HLOOKUP(AN867,'Ref Lists'!Q$1:AL$2,2,FALSE),'Ref Lists'!$AK$2)</f>
        <v>Savings21</v>
      </c>
      <c r="AP867" s="38"/>
      <c r="AQ867" s="38">
        <f t="shared" si="190"/>
        <v>0</v>
      </c>
      <c r="AR867" s="38"/>
      <c r="AS867" s="38"/>
      <c r="AT867" s="38"/>
      <c r="AU867" s="38"/>
      <c r="AV867" s="38"/>
      <c r="AW867" s="38"/>
      <c r="AX867" s="38"/>
      <c r="AY867" s="38"/>
      <c r="AZ867" s="38"/>
      <c r="BA867" s="38"/>
      <c r="BB867" s="38"/>
      <c r="BC867" s="38"/>
      <c r="BD867" s="38"/>
      <c r="BE867" s="38"/>
      <c r="BF867" s="38"/>
      <c r="BG867" s="38"/>
      <c r="BH867" s="38"/>
      <c r="BI867" s="38"/>
      <c r="BJ867" s="38"/>
      <c r="BK867" s="38"/>
      <c r="BL867" s="38"/>
      <c r="BM867" s="38"/>
      <c r="BN867" s="38"/>
      <c r="BO867" s="38"/>
      <c r="BP867" s="38"/>
      <c r="BQ867" s="38"/>
      <c r="BR867" s="38"/>
      <c r="BS867" s="38"/>
      <c r="BT867" s="38"/>
      <c r="BU867" s="38"/>
      <c r="BV867" s="38"/>
      <c r="BW867" s="38"/>
      <c r="BX867" s="38"/>
      <c r="BY867" s="38"/>
      <c r="BZ867" s="38"/>
      <c r="CA867" s="38"/>
      <c r="CB867" s="38"/>
      <c r="CC867" s="38"/>
      <c r="CD867" s="38"/>
      <c r="CE867" s="38"/>
      <c r="CF867" s="38"/>
      <c r="CG867" s="38"/>
      <c r="CH867" s="38"/>
      <c r="CI867" s="38"/>
      <c r="CJ867" s="38"/>
      <c r="CK867" s="38"/>
      <c r="CL867" s="38"/>
      <c r="CM867" s="38"/>
      <c r="CN867" s="38"/>
      <c r="CO867" s="38"/>
      <c r="CP867" s="38"/>
      <c r="CQ867" s="38"/>
      <c r="CR867" s="38"/>
      <c r="CS867" s="38"/>
      <c r="CT867" s="38"/>
      <c r="CU867" s="38"/>
      <c r="CV867" s="38"/>
      <c r="CW867" s="38"/>
      <c r="CX867" s="38"/>
      <c r="CY867" s="38"/>
      <c r="CZ867" s="38"/>
    </row>
    <row r="868" spans="1:104" s="40" customFormat="1" ht="20.149999999999999" customHeight="1">
      <c r="A868" s="358">
        <f t="shared" si="199"/>
        <v>867</v>
      </c>
      <c r="B868" s="359" t="str">
        <f>'Front Sheet and Checklist'!$C$5</f>
        <v>Swansea Bay UHB</v>
      </c>
      <c r="C868" s="17"/>
      <c r="D868" s="17"/>
      <c r="E868" s="17"/>
      <c r="F868" s="17"/>
      <c r="G868" s="17"/>
      <c r="H868" s="17"/>
      <c r="I868" s="361">
        <f t="shared" si="189"/>
        <v>0</v>
      </c>
      <c r="J868" s="17"/>
      <c r="K868" s="18"/>
      <c r="L868" s="18"/>
      <c r="M868" s="17"/>
      <c r="N868" s="17"/>
      <c r="O868" s="17"/>
      <c r="P868" s="17"/>
      <c r="Q868" s="169"/>
      <c r="R868" s="24"/>
      <c r="S868" s="24"/>
      <c r="T868" s="24"/>
      <c r="U868" s="25"/>
      <c r="V868" s="25"/>
      <c r="W868" s="25"/>
      <c r="X868" s="24"/>
      <c r="Y868" s="24"/>
      <c r="Z868" s="24"/>
      <c r="AA868" s="24"/>
      <c r="AB868" s="24"/>
      <c r="AC868" s="24"/>
      <c r="AD868" s="361">
        <f t="shared" si="188"/>
        <v>0</v>
      </c>
      <c r="AE868" s="359" t="str">
        <f t="shared" si="191"/>
        <v/>
      </c>
      <c r="AF868" s="359" t="str">
        <f t="shared" si="200"/>
        <v/>
      </c>
      <c r="AG868" s="359" t="str">
        <f t="shared" si="192"/>
        <v/>
      </c>
      <c r="AH868" s="359" t="str">
        <f t="shared" si="193"/>
        <v/>
      </c>
      <c r="AI868" s="359" t="str">
        <f t="shared" si="194"/>
        <v/>
      </c>
      <c r="AJ868" s="359" t="str">
        <f t="shared" si="195"/>
        <v/>
      </c>
      <c r="AK868" s="359" t="str">
        <f t="shared" si="197"/>
        <v/>
      </c>
      <c r="AL868" s="359" t="str">
        <f t="shared" si="196"/>
        <v/>
      </c>
      <c r="AM868" s="359" t="str">
        <f t="shared" si="198"/>
        <v/>
      </c>
      <c r="AN868" s="262">
        <f t="shared" si="201"/>
        <v>0</v>
      </c>
      <c r="AO868" s="262" t="str">
        <f>IFERROR(HLOOKUP(AN868,'Ref Lists'!Q$1:AL$2,2,FALSE),'Ref Lists'!$AK$2)</f>
        <v>Savings21</v>
      </c>
      <c r="AP868" s="38"/>
      <c r="AQ868" s="38">
        <f t="shared" si="190"/>
        <v>0</v>
      </c>
      <c r="AR868" s="38"/>
      <c r="AS868" s="38"/>
      <c r="AT868" s="38"/>
      <c r="AU868" s="38"/>
      <c r="AV868" s="38"/>
      <c r="AW868" s="38"/>
      <c r="AX868" s="38"/>
      <c r="AY868" s="38"/>
      <c r="AZ868" s="38"/>
      <c r="BA868" s="38"/>
      <c r="BB868" s="38"/>
      <c r="BC868" s="38"/>
      <c r="BD868" s="38"/>
      <c r="BE868" s="38"/>
      <c r="BF868" s="38"/>
      <c r="BG868" s="38"/>
      <c r="BH868" s="38"/>
      <c r="BI868" s="38"/>
      <c r="BJ868" s="38"/>
      <c r="BK868" s="38"/>
      <c r="BL868" s="38"/>
      <c r="BM868" s="38"/>
      <c r="BN868" s="38"/>
      <c r="BO868" s="38"/>
      <c r="BP868" s="38"/>
      <c r="BQ868" s="38"/>
      <c r="BR868" s="38"/>
      <c r="BS868" s="38"/>
      <c r="BT868" s="38"/>
      <c r="BU868" s="38"/>
      <c r="BV868" s="38"/>
      <c r="BW868" s="38"/>
      <c r="BX868" s="38"/>
      <c r="BY868" s="38"/>
      <c r="BZ868" s="38"/>
      <c r="CA868" s="38"/>
      <c r="CB868" s="38"/>
      <c r="CC868" s="38"/>
      <c r="CD868" s="38"/>
      <c r="CE868" s="38"/>
      <c r="CF868" s="38"/>
      <c r="CG868" s="38"/>
      <c r="CH868" s="38"/>
      <c r="CI868" s="38"/>
      <c r="CJ868" s="38"/>
      <c r="CK868" s="38"/>
      <c r="CL868" s="38"/>
      <c r="CM868" s="38"/>
      <c r="CN868" s="38"/>
      <c r="CO868" s="38"/>
      <c r="CP868" s="38"/>
      <c r="CQ868" s="38"/>
      <c r="CR868" s="38"/>
      <c r="CS868" s="38"/>
      <c r="CT868" s="38"/>
      <c r="CU868" s="38"/>
      <c r="CV868" s="38"/>
      <c r="CW868" s="38"/>
      <c r="CX868" s="38"/>
      <c r="CY868" s="38"/>
      <c r="CZ868" s="38"/>
    </row>
    <row r="869" spans="1:104" s="40" customFormat="1" ht="20.149999999999999" customHeight="1">
      <c r="A869" s="358">
        <f t="shared" si="199"/>
        <v>868</v>
      </c>
      <c r="B869" s="359" t="str">
        <f>'Front Sheet and Checklist'!$C$5</f>
        <v>Swansea Bay UHB</v>
      </c>
      <c r="C869" s="17"/>
      <c r="D869" s="17"/>
      <c r="E869" s="17"/>
      <c r="F869" s="17"/>
      <c r="G869" s="17"/>
      <c r="H869" s="17"/>
      <c r="I869" s="361">
        <f t="shared" si="189"/>
        <v>0</v>
      </c>
      <c r="J869" s="17"/>
      <c r="K869" s="18"/>
      <c r="L869" s="18"/>
      <c r="M869" s="17"/>
      <c r="N869" s="17"/>
      <c r="O869" s="17"/>
      <c r="P869" s="17"/>
      <c r="Q869" s="169"/>
      <c r="R869" s="24"/>
      <c r="S869" s="24"/>
      <c r="T869" s="24"/>
      <c r="U869" s="25"/>
      <c r="V869" s="25"/>
      <c r="W869" s="25"/>
      <c r="X869" s="24"/>
      <c r="Y869" s="24"/>
      <c r="Z869" s="24"/>
      <c r="AA869" s="24"/>
      <c r="AB869" s="24"/>
      <c r="AC869" s="24"/>
      <c r="AD869" s="361">
        <f t="shared" si="188"/>
        <v>0</v>
      </c>
      <c r="AE869" s="359" t="str">
        <f t="shared" si="191"/>
        <v/>
      </c>
      <c r="AF869" s="359" t="str">
        <f t="shared" si="200"/>
        <v/>
      </c>
      <c r="AG869" s="359" t="str">
        <f t="shared" si="192"/>
        <v/>
      </c>
      <c r="AH869" s="359" t="str">
        <f t="shared" si="193"/>
        <v/>
      </c>
      <c r="AI869" s="359" t="str">
        <f t="shared" si="194"/>
        <v/>
      </c>
      <c r="AJ869" s="359" t="str">
        <f t="shared" si="195"/>
        <v/>
      </c>
      <c r="AK869" s="359" t="str">
        <f t="shared" si="197"/>
        <v/>
      </c>
      <c r="AL869" s="359" t="str">
        <f t="shared" si="196"/>
        <v/>
      </c>
      <c r="AM869" s="359" t="str">
        <f t="shared" si="198"/>
        <v/>
      </c>
      <c r="AN869" s="262">
        <f t="shared" si="201"/>
        <v>0</v>
      </c>
      <c r="AO869" s="262" t="str">
        <f>IFERROR(HLOOKUP(AN869,'Ref Lists'!Q$1:AL$2,2,FALSE),'Ref Lists'!$AK$2)</f>
        <v>Savings21</v>
      </c>
      <c r="AP869" s="38"/>
      <c r="AQ869" s="38">
        <f t="shared" si="190"/>
        <v>0</v>
      </c>
      <c r="AR869" s="38"/>
      <c r="AS869" s="38"/>
      <c r="AT869" s="38"/>
      <c r="AU869" s="38"/>
      <c r="AV869" s="38"/>
      <c r="AW869" s="38"/>
      <c r="AX869" s="38"/>
      <c r="AY869" s="38"/>
      <c r="AZ869" s="38"/>
      <c r="BA869" s="38"/>
      <c r="BB869" s="38"/>
      <c r="BC869" s="38"/>
      <c r="BD869" s="38"/>
      <c r="BE869" s="38"/>
      <c r="BF869" s="38"/>
      <c r="BG869" s="38"/>
      <c r="BH869" s="38"/>
      <c r="BI869" s="38"/>
      <c r="BJ869" s="38"/>
      <c r="BK869" s="38"/>
      <c r="BL869" s="38"/>
      <c r="BM869" s="38"/>
      <c r="BN869" s="38"/>
      <c r="BO869" s="38"/>
      <c r="BP869" s="38"/>
      <c r="BQ869" s="38"/>
      <c r="BR869" s="38"/>
      <c r="BS869" s="38"/>
      <c r="BT869" s="38"/>
      <c r="BU869" s="38"/>
      <c r="BV869" s="38"/>
      <c r="BW869" s="38"/>
      <c r="BX869" s="38"/>
      <c r="BY869" s="38"/>
      <c r="BZ869" s="38"/>
      <c r="CA869" s="38"/>
      <c r="CB869" s="38"/>
      <c r="CC869" s="38"/>
      <c r="CD869" s="38"/>
      <c r="CE869" s="38"/>
      <c r="CF869" s="38"/>
      <c r="CG869" s="38"/>
      <c r="CH869" s="38"/>
      <c r="CI869" s="38"/>
      <c r="CJ869" s="38"/>
      <c r="CK869" s="38"/>
      <c r="CL869" s="38"/>
      <c r="CM869" s="38"/>
      <c r="CN869" s="38"/>
      <c r="CO869" s="38"/>
      <c r="CP869" s="38"/>
      <c r="CQ869" s="38"/>
      <c r="CR869" s="38"/>
      <c r="CS869" s="38"/>
      <c r="CT869" s="38"/>
      <c r="CU869" s="38"/>
      <c r="CV869" s="38"/>
      <c r="CW869" s="38"/>
      <c r="CX869" s="38"/>
      <c r="CY869" s="38"/>
      <c r="CZ869" s="38"/>
    </row>
    <row r="870" spans="1:104" s="40" customFormat="1" ht="20.149999999999999" customHeight="1">
      <c r="A870" s="358">
        <f t="shared" si="199"/>
        <v>869</v>
      </c>
      <c r="B870" s="359" t="str">
        <f>'Front Sheet and Checklist'!$C$5</f>
        <v>Swansea Bay UHB</v>
      </c>
      <c r="C870" s="17"/>
      <c r="D870" s="17"/>
      <c r="E870" s="17"/>
      <c r="F870" s="17"/>
      <c r="G870" s="17"/>
      <c r="H870" s="17"/>
      <c r="I870" s="361">
        <f t="shared" si="189"/>
        <v>0</v>
      </c>
      <c r="J870" s="17"/>
      <c r="K870" s="18"/>
      <c r="L870" s="18"/>
      <c r="M870" s="17"/>
      <c r="N870" s="17"/>
      <c r="O870" s="17"/>
      <c r="P870" s="17"/>
      <c r="Q870" s="169"/>
      <c r="R870" s="24"/>
      <c r="S870" s="24"/>
      <c r="T870" s="24"/>
      <c r="U870" s="25"/>
      <c r="V870" s="25"/>
      <c r="W870" s="25"/>
      <c r="X870" s="24"/>
      <c r="Y870" s="24"/>
      <c r="Z870" s="24"/>
      <c r="AA870" s="24"/>
      <c r="AB870" s="24"/>
      <c r="AC870" s="24"/>
      <c r="AD870" s="361">
        <f t="shared" si="188"/>
        <v>0</v>
      </c>
      <c r="AE870" s="359" t="str">
        <f t="shared" si="191"/>
        <v/>
      </c>
      <c r="AF870" s="359" t="str">
        <f t="shared" si="200"/>
        <v/>
      </c>
      <c r="AG870" s="359" t="str">
        <f t="shared" si="192"/>
        <v/>
      </c>
      <c r="AH870" s="359" t="str">
        <f t="shared" si="193"/>
        <v/>
      </c>
      <c r="AI870" s="359" t="str">
        <f t="shared" si="194"/>
        <v/>
      </c>
      <c r="AJ870" s="359" t="str">
        <f t="shared" si="195"/>
        <v/>
      </c>
      <c r="AK870" s="359" t="str">
        <f t="shared" si="197"/>
        <v/>
      </c>
      <c r="AL870" s="359" t="str">
        <f t="shared" si="196"/>
        <v/>
      </c>
      <c r="AM870" s="359" t="str">
        <f t="shared" si="198"/>
        <v/>
      </c>
      <c r="AN870" s="262">
        <f t="shared" si="201"/>
        <v>0</v>
      </c>
      <c r="AO870" s="262" t="str">
        <f>IFERROR(HLOOKUP(AN870,'Ref Lists'!Q$1:AL$2,2,FALSE),'Ref Lists'!$AK$2)</f>
        <v>Savings21</v>
      </c>
      <c r="AP870" s="38"/>
      <c r="AQ870" s="38">
        <f t="shared" si="190"/>
        <v>0</v>
      </c>
      <c r="AR870" s="38"/>
      <c r="AS870" s="38"/>
      <c r="AT870" s="38"/>
      <c r="AU870" s="38"/>
      <c r="AV870" s="38"/>
      <c r="AW870" s="38"/>
      <c r="AX870" s="38"/>
      <c r="AY870" s="38"/>
      <c r="AZ870" s="38"/>
      <c r="BA870" s="38"/>
      <c r="BB870" s="38"/>
      <c r="BC870" s="38"/>
      <c r="BD870" s="38"/>
      <c r="BE870" s="38"/>
      <c r="BF870" s="38"/>
      <c r="BG870" s="38"/>
      <c r="BH870" s="38"/>
      <c r="BI870" s="38"/>
      <c r="BJ870" s="38"/>
      <c r="BK870" s="38"/>
      <c r="BL870" s="38"/>
      <c r="BM870" s="38"/>
      <c r="BN870" s="38"/>
      <c r="BO870" s="38"/>
      <c r="BP870" s="38"/>
      <c r="BQ870" s="38"/>
      <c r="BR870" s="38"/>
      <c r="BS870" s="38"/>
      <c r="BT870" s="38"/>
      <c r="BU870" s="38"/>
      <c r="BV870" s="38"/>
      <c r="BW870" s="38"/>
      <c r="BX870" s="38"/>
      <c r="BY870" s="38"/>
      <c r="BZ870" s="38"/>
      <c r="CA870" s="38"/>
      <c r="CB870" s="38"/>
      <c r="CC870" s="38"/>
      <c r="CD870" s="38"/>
      <c r="CE870" s="38"/>
      <c r="CF870" s="38"/>
      <c r="CG870" s="38"/>
      <c r="CH870" s="38"/>
      <c r="CI870" s="38"/>
      <c r="CJ870" s="38"/>
      <c r="CK870" s="38"/>
      <c r="CL870" s="38"/>
      <c r="CM870" s="38"/>
      <c r="CN870" s="38"/>
      <c r="CO870" s="38"/>
      <c r="CP870" s="38"/>
      <c r="CQ870" s="38"/>
      <c r="CR870" s="38"/>
      <c r="CS870" s="38"/>
      <c r="CT870" s="38"/>
      <c r="CU870" s="38"/>
      <c r="CV870" s="38"/>
      <c r="CW870" s="38"/>
      <c r="CX870" s="38"/>
      <c r="CY870" s="38"/>
      <c r="CZ870" s="38"/>
    </row>
    <row r="871" spans="1:104" s="40" customFormat="1" ht="20.149999999999999" customHeight="1">
      <c r="A871" s="358">
        <f t="shared" si="199"/>
        <v>870</v>
      </c>
      <c r="B871" s="359" t="str">
        <f>'Front Sheet and Checklist'!$C$5</f>
        <v>Swansea Bay UHB</v>
      </c>
      <c r="C871" s="17"/>
      <c r="D871" s="17"/>
      <c r="E871" s="17"/>
      <c r="F871" s="17"/>
      <c r="G871" s="17"/>
      <c r="H871" s="17"/>
      <c r="I871" s="361">
        <f t="shared" si="189"/>
        <v>0</v>
      </c>
      <c r="J871" s="17"/>
      <c r="K871" s="18"/>
      <c r="L871" s="18"/>
      <c r="M871" s="17"/>
      <c r="N871" s="17"/>
      <c r="O871" s="17"/>
      <c r="P871" s="17"/>
      <c r="Q871" s="169"/>
      <c r="R871" s="24"/>
      <c r="S871" s="24"/>
      <c r="T871" s="24"/>
      <c r="U871" s="25"/>
      <c r="V871" s="25"/>
      <c r="W871" s="25"/>
      <c r="X871" s="24"/>
      <c r="Y871" s="24"/>
      <c r="Z871" s="24"/>
      <c r="AA871" s="24"/>
      <c r="AB871" s="24"/>
      <c r="AC871" s="24"/>
      <c r="AD871" s="361">
        <f t="shared" si="188"/>
        <v>0</v>
      </c>
      <c r="AE871" s="359" t="str">
        <f t="shared" si="191"/>
        <v/>
      </c>
      <c r="AF871" s="359" t="str">
        <f t="shared" si="200"/>
        <v/>
      </c>
      <c r="AG871" s="359" t="str">
        <f t="shared" si="192"/>
        <v/>
      </c>
      <c r="AH871" s="359" t="str">
        <f t="shared" si="193"/>
        <v/>
      </c>
      <c r="AI871" s="359" t="str">
        <f t="shared" si="194"/>
        <v/>
      </c>
      <c r="AJ871" s="359" t="str">
        <f t="shared" si="195"/>
        <v/>
      </c>
      <c r="AK871" s="359" t="str">
        <f t="shared" si="197"/>
        <v/>
      </c>
      <c r="AL871" s="359" t="str">
        <f t="shared" si="196"/>
        <v/>
      </c>
      <c r="AM871" s="359" t="str">
        <f t="shared" si="198"/>
        <v/>
      </c>
      <c r="AN871" s="262">
        <f t="shared" si="201"/>
        <v>0</v>
      </c>
      <c r="AO871" s="262" t="str">
        <f>IFERROR(HLOOKUP(AN871,'Ref Lists'!Q$1:AL$2,2,FALSE),'Ref Lists'!$AK$2)</f>
        <v>Savings21</v>
      </c>
      <c r="AP871" s="38"/>
      <c r="AQ871" s="38">
        <f t="shared" si="190"/>
        <v>0</v>
      </c>
      <c r="AR871" s="38"/>
      <c r="AS871" s="38"/>
      <c r="AT871" s="38"/>
      <c r="AU871" s="38"/>
      <c r="AV871" s="38"/>
      <c r="AW871" s="38"/>
      <c r="AX871" s="38"/>
      <c r="AY871" s="38"/>
      <c r="AZ871" s="38"/>
      <c r="BA871" s="38"/>
      <c r="BB871" s="38"/>
      <c r="BC871" s="38"/>
      <c r="BD871" s="38"/>
      <c r="BE871" s="38"/>
      <c r="BF871" s="38"/>
      <c r="BG871" s="38"/>
      <c r="BH871" s="38"/>
      <c r="BI871" s="38"/>
      <c r="BJ871" s="38"/>
      <c r="BK871" s="38"/>
      <c r="BL871" s="38"/>
      <c r="BM871" s="38"/>
      <c r="BN871" s="38"/>
      <c r="BO871" s="38"/>
      <c r="BP871" s="38"/>
      <c r="BQ871" s="38"/>
      <c r="BR871" s="38"/>
      <c r="BS871" s="38"/>
      <c r="BT871" s="38"/>
      <c r="BU871" s="38"/>
      <c r="BV871" s="38"/>
      <c r="BW871" s="38"/>
      <c r="BX871" s="38"/>
      <c r="BY871" s="38"/>
      <c r="BZ871" s="38"/>
      <c r="CA871" s="38"/>
      <c r="CB871" s="38"/>
      <c r="CC871" s="38"/>
      <c r="CD871" s="38"/>
      <c r="CE871" s="38"/>
      <c r="CF871" s="38"/>
      <c r="CG871" s="38"/>
      <c r="CH871" s="38"/>
      <c r="CI871" s="38"/>
      <c r="CJ871" s="38"/>
      <c r="CK871" s="38"/>
      <c r="CL871" s="38"/>
      <c r="CM871" s="38"/>
      <c r="CN871" s="38"/>
      <c r="CO871" s="38"/>
      <c r="CP871" s="38"/>
      <c r="CQ871" s="38"/>
      <c r="CR871" s="38"/>
      <c r="CS871" s="38"/>
      <c r="CT871" s="38"/>
      <c r="CU871" s="38"/>
      <c r="CV871" s="38"/>
      <c r="CW871" s="38"/>
      <c r="CX871" s="38"/>
      <c r="CY871" s="38"/>
      <c r="CZ871" s="38"/>
    </row>
    <row r="872" spans="1:104" s="40" customFormat="1" ht="20.149999999999999" customHeight="1">
      <c r="A872" s="358">
        <f t="shared" si="199"/>
        <v>871</v>
      </c>
      <c r="B872" s="359" t="str">
        <f>'Front Sheet and Checklist'!$C$5</f>
        <v>Swansea Bay UHB</v>
      </c>
      <c r="C872" s="17"/>
      <c r="D872" s="17"/>
      <c r="E872" s="17"/>
      <c r="F872" s="17"/>
      <c r="G872" s="17"/>
      <c r="H872" s="17"/>
      <c r="I872" s="361">
        <f t="shared" si="189"/>
        <v>0</v>
      </c>
      <c r="J872" s="17"/>
      <c r="K872" s="18"/>
      <c r="L872" s="18"/>
      <c r="M872" s="17"/>
      <c r="N872" s="17"/>
      <c r="O872" s="17"/>
      <c r="P872" s="17"/>
      <c r="Q872" s="169"/>
      <c r="R872" s="24"/>
      <c r="S872" s="24"/>
      <c r="T872" s="24"/>
      <c r="U872" s="25"/>
      <c r="V872" s="25"/>
      <c r="W872" s="25"/>
      <c r="X872" s="24"/>
      <c r="Y872" s="24"/>
      <c r="Z872" s="24"/>
      <c r="AA872" s="24"/>
      <c r="AB872" s="24"/>
      <c r="AC872" s="24"/>
      <c r="AD872" s="361">
        <f t="shared" si="188"/>
        <v>0</v>
      </c>
      <c r="AE872" s="359" t="str">
        <f t="shared" si="191"/>
        <v/>
      </c>
      <c r="AF872" s="359" t="str">
        <f t="shared" si="200"/>
        <v/>
      </c>
      <c r="AG872" s="359" t="str">
        <f t="shared" si="192"/>
        <v/>
      </c>
      <c r="AH872" s="359" t="str">
        <f t="shared" si="193"/>
        <v/>
      </c>
      <c r="AI872" s="359" t="str">
        <f t="shared" si="194"/>
        <v/>
      </c>
      <c r="AJ872" s="359" t="str">
        <f t="shared" si="195"/>
        <v/>
      </c>
      <c r="AK872" s="359" t="str">
        <f t="shared" si="197"/>
        <v/>
      </c>
      <c r="AL872" s="359" t="str">
        <f t="shared" si="196"/>
        <v/>
      </c>
      <c r="AM872" s="359" t="str">
        <f t="shared" si="198"/>
        <v/>
      </c>
      <c r="AN872" s="262">
        <f t="shared" si="201"/>
        <v>0</v>
      </c>
      <c r="AO872" s="262" t="str">
        <f>IFERROR(HLOOKUP(AN872,'Ref Lists'!Q$1:AL$2,2,FALSE),'Ref Lists'!$AK$2)</f>
        <v>Savings21</v>
      </c>
      <c r="AP872" s="38"/>
      <c r="AQ872" s="38">
        <f t="shared" si="190"/>
        <v>0</v>
      </c>
      <c r="AR872" s="38"/>
      <c r="AS872" s="38"/>
      <c r="AT872" s="38"/>
      <c r="AU872" s="38"/>
      <c r="AV872" s="38"/>
      <c r="AW872" s="38"/>
      <c r="AX872" s="38"/>
      <c r="AY872" s="38"/>
      <c r="AZ872" s="38"/>
      <c r="BA872" s="38"/>
      <c r="BB872" s="38"/>
      <c r="BC872" s="38"/>
      <c r="BD872" s="38"/>
      <c r="BE872" s="38"/>
      <c r="BF872" s="38"/>
      <c r="BG872" s="38"/>
      <c r="BH872" s="38"/>
      <c r="BI872" s="38"/>
      <c r="BJ872" s="38"/>
      <c r="BK872" s="38"/>
      <c r="BL872" s="38"/>
      <c r="BM872" s="38"/>
      <c r="BN872" s="38"/>
      <c r="BO872" s="38"/>
      <c r="BP872" s="38"/>
      <c r="BQ872" s="38"/>
      <c r="BR872" s="38"/>
      <c r="BS872" s="38"/>
      <c r="BT872" s="38"/>
      <c r="BU872" s="38"/>
      <c r="BV872" s="38"/>
      <c r="BW872" s="38"/>
      <c r="BX872" s="38"/>
      <c r="BY872" s="38"/>
      <c r="BZ872" s="38"/>
      <c r="CA872" s="38"/>
      <c r="CB872" s="38"/>
      <c r="CC872" s="38"/>
      <c r="CD872" s="38"/>
      <c r="CE872" s="38"/>
      <c r="CF872" s="38"/>
      <c r="CG872" s="38"/>
      <c r="CH872" s="38"/>
      <c r="CI872" s="38"/>
      <c r="CJ872" s="38"/>
      <c r="CK872" s="38"/>
      <c r="CL872" s="38"/>
      <c r="CM872" s="38"/>
      <c r="CN872" s="38"/>
      <c r="CO872" s="38"/>
      <c r="CP872" s="38"/>
      <c r="CQ872" s="38"/>
      <c r="CR872" s="38"/>
      <c r="CS872" s="38"/>
      <c r="CT872" s="38"/>
      <c r="CU872" s="38"/>
      <c r="CV872" s="38"/>
      <c r="CW872" s="38"/>
      <c r="CX872" s="38"/>
      <c r="CY872" s="38"/>
      <c r="CZ872" s="38"/>
    </row>
    <row r="873" spans="1:104" s="40" customFormat="1" ht="20.149999999999999" customHeight="1">
      <c r="A873" s="358">
        <f t="shared" si="199"/>
        <v>872</v>
      </c>
      <c r="B873" s="359" t="str">
        <f>'Front Sheet and Checklist'!$C$5</f>
        <v>Swansea Bay UHB</v>
      </c>
      <c r="C873" s="17"/>
      <c r="D873" s="17"/>
      <c r="E873" s="17"/>
      <c r="F873" s="17"/>
      <c r="G873" s="17"/>
      <c r="H873" s="17"/>
      <c r="I873" s="361">
        <f t="shared" si="189"/>
        <v>0</v>
      </c>
      <c r="J873" s="17"/>
      <c r="K873" s="18"/>
      <c r="L873" s="18"/>
      <c r="M873" s="17"/>
      <c r="N873" s="17"/>
      <c r="O873" s="17"/>
      <c r="P873" s="17"/>
      <c r="Q873" s="169"/>
      <c r="R873" s="24"/>
      <c r="S873" s="24"/>
      <c r="T873" s="24"/>
      <c r="U873" s="25"/>
      <c r="V873" s="25"/>
      <c r="W873" s="25"/>
      <c r="X873" s="24"/>
      <c r="Y873" s="24"/>
      <c r="Z873" s="24"/>
      <c r="AA873" s="24"/>
      <c r="AB873" s="24"/>
      <c r="AC873" s="24"/>
      <c r="AD873" s="361">
        <f t="shared" si="188"/>
        <v>0</v>
      </c>
      <c r="AE873" s="359" t="str">
        <f t="shared" si="191"/>
        <v/>
      </c>
      <c r="AF873" s="359" t="str">
        <f t="shared" si="200"/>
        <v/>
      </c>
      <c r="AG873" s="359" t="str">
        <f t="shared" si="192"/>
        <v/>
      </c>
      <c r="AH873" s="359" t="str">
        <f t="shared" si="193"/>
        <v/>
      </c>
      <c r="AI873" s="359" t="str">
        <f t="shared" si="194"/>
        <v/>
      </c>
      <c r="AJ873" s="359" t="str">
        <f t="shared" si="195"/>
        <v/>
      </c>
      <c r="AK873" s="359" t="str">
        <f t="shared" si="197"/>
        <v/>
      </c>
      <c r="AL873" s="359" t="str">
        <f t="shared" si="196"/>
        <v/>
      </c>
      <c r="AM873" s="359" t="str">
        <f t="shared" si="198"/>
        <v/>
      </c>
      <c r="AN873" s="262">
        <f t="shared" si="201"/>
        <v>0</v>
      </c>
      <c r="AO873" s="262" t="str">
        <f>IFERROR(HLOOKUP(AN873,'Ref Lists'!Q$1:AL$2,2,FALSE),'Ref Lists'!$AK$2)</f>
        <v>Savings21</v>
      </c>
      <c r="AP873" s="38"/>
      <c r="AQ873" s="38">
        <f t="shared" si="190"/>
        <v>0</v>
      </c>
      <c r="AR873" s="38"/>
      <c r="AS873" s="38"/>
      <c r="AT873" s="38"/>
      <c r="AU873" s="38"/>
      <c r="AV873" s="38"/>
      <c r="AW873" s="38"/>
      <c r="AX873" s="38"/>
      <c r="AY873" s="38"/>
      <c r="AZ873" s="38"/>
      <c r="BA873" s="38"/>
      <c r="BB873" s="38"/>
      <c r="BC873" s="38"/>
      <c r="BD873" s="38"/>
      <c r="BE873" s="38"/>
      <c r="BF873" s="38"/>
      <c r="BG873" s="38"/>
      <c r="BH873" s="38"/>
      <c r="BI873" s="38"/>
      <c r="BJ873" s="38"/>
      <c r="BK873" s="38"/>
      <c r="BL873" s="38"/>
      <c r="BM873" s="38"/>
      <c r="BN873" s="38"/>
      <c r="BO873" s="38"/>
      <c r="BP873" s="38"/>
      <c r="BQ873" s="38"/>
      <c r="BR873" s="38"/>
      <c r="BS873" s="38"/>
      <c r="BT873" s="38"/>
      <c r="BU873" s="38"/>
      <c r="BV873" s="38"/>
      <c r="BW873" s="38"/>
      <c r="BX873" s="38"/>
      <c r="BY873" s="38"/>
      <c r="BZ873" s="38"/>
      <c r="CA873" s="38"/>
      <c r="CB873" s="38"/>
      <c r="CC873" s="38"/>
      <c r="CD873" s="38"/>
      <c r="CE873" s="38"/>
      <c r="CF873" s="38"/>
      <c r="CG873" s="38"/>
      <c r="CH873" s="38"/>
      <c r="CI873" s="38"/>
      <c r="CJ873" s="38"/>
      <c r="CK873" s="38"/>
      <c r="CL873" s="38"/>
      <c r="CM873" s="38"/>
      <c r="CN873" s="38"/>
      <c r="CO873" s="38"/>
      <c r="CP873" s="38"/>
      <c r="CQ873" s="38"/>
      <c r="CR873" s="38"/>
      <c r="CS873" s="38"/>
      <c r="CT873" s="38"/>
      <c r="CU873" s="38"/>
      <c r="CV873" s="38"/>
      <c r="CW873" s="38"/>
      <c r="CX873" s="38"/>
      <c r="CY873" s="38"/>
      <c r="CZ873" s="38"/>
    </row>
    <row r="874" spans="1:104" s="40" customFormat="1" ht="20.149999999999999" customHeight="1">
      <c r="A874" s="358">
        <f t="shared" si="199"/>
        <v>873</v>
      </c>
      <c r="B874" s="359" t="str">
        <f>'Front Sheet and Checklist'!$C$5</f>
        <v>Swansea Bay UHB</v>
      </c>
      <c r="C874" s="17"/>
      <c r="D874" s="17"/>
      <c r="E874" s="17"/>
      <c r="F874" s="17"/>
      <c r="G874" s="17"/>
      <c r="H874" s="17"/>
      <c r="I874" s="361">
        <f t="shared" si="189"/>
        <v>0</v>
      </c>
      <c r="J874" s="17"/>
      <c r="K874" s="18"/>
      <c r="L874" s="18"/>
      <c r="M874" s="17"/>
      <c r="N874" s="17"/>
      <c r="O874" s="17"/>
      <c r="P874" s="17"/>
      <c r="Q874" s="169"/>
      <c r="R874" s="24"/>
      <c r="S874" s="24"/>
      <c r="T874" s="24"/>
      <c r="U874" s="25"/>
      <c r="V874" s="25"/>
      <c r="W874" s="25"/>
      <c r="X874" s="24"/>
      <c r="Y874" s="24"/>
      <c r="Z874" s="24"/>
      <c r="AA874" s="24"/>
      <c r="AB874" s="24"/>
      <c r="AC874" s="24"/>
      <c r="AD874" s="361">
        <f t="shared" si="188"/>
        <v>0</v>
      </c>
      <c r="AE874" s="359" t="str">
        <f t="shared" si="191"/>
        <v/>
      </c>
      <c r="AF874" s="359" t="str">
        <f t="shared" si="200"/>
        <v/>
      </c>
      <c r="AG874" s="359" t="str">
        <f t="shared" si="192"/>
        <v/>
      </c>
      <c r="AH874" s="359" t="str">
        <f t="shared" si="193"/>
        <v/>
      </c>
      <c r="AI874" s="359" t="str">
        <f t="shared" si="194"/>
        <v/>
      </c>
      <c r="AJ874" s="359" t="str">
        <f t="shared" si="195"/>
        <v/>
      </c>
      <c r="AK874" s="359" t="str">
        <f t="shared" si="197"/>
        <v/>
      </c>
      <c r="AL874" s="359" t="str">
        <f t="shared" si="196"/>
        <v/>
      </c>
      <c r="AM874" s="359" t="str">
        <f t="shared" si="198"/>
        <v/>
      </c>
      <c r="AN874" s="262">
        <f t="shared" si="201"/>
        <v>0</v>
      </c>
      <c r="AO874" s="262" t="str">
        <f>IFERROR(HLOOKUP(AN874,'Ref Lists'!Q$1:AL$2,2,FALSE),'Ref Lists'!$AK$2)</f>
        <v>Savings21</v>
      </c>
      <c r="AP874" s="38"/>
      <c r="AQ874" s="38">
        <f t="shared" si="190"/>
        <v>0</v>
      </c>
      <c r="AR874" s="38"/>
      <c r="AS874" s="38"/>
      <c r="AT874" s="38"/>
      <c r="AU874" s="38"/>
      <c r="AV874" s="38"/>
      <c r="AW874" s="38"/>
      <c r="AX874" s="38"/>
      <c r="AY874" s="38"/>
      <c r="AZ874" s="38"/>
      <c r="BA874" s="38"/>
      <c r="BB874" s="38"/>
      <c r="BC874" s="38"/>
      <c r="BD874" s="38"/>
      <c r="BE874" s="38"/>
      <c r="BF874" s="38"/>
      <c r="BG874" s="38"/>
      <c r="BH874" s="38"/>
      <c r="BI874" s="38"/>
      <c r="BJ874" s="38"/>
      <c r="BK874" s="38"/>
      <c r="BL874" s="38"/>
      <c r="BM874" s="38"/>
      <c r="BN874" s="38"/>
      <c r="BO874" s="38"/>
      <c r="BP874" s="38"/>
      <c r="BQ874" s="38"/>
      <c r="BR874" s="38"/>
      <c r="BS874" s="38"/>
      <c r="BT874" s="38"/>
      <c r="BU874" s="38"/>
      <c r="BV874" s="38"/>
      <c r="BW874" s="38"/>
      <c r="BX874" s="38"/>
      <c r="BY874" s="38"/>
      <c r="BZ874" s="38"/>
      <c r="CA874" s="38"/>
      <c r="CB874" s="38"/>
      <c r="CC874" s="38"/>
      <c r="CD874" s="38"/>
      <c r="CE874" s="38"/>
      <c r="CF874" s="38"/>
      <c r="CG874" s="38"/>
      <c r="CH874" s="38"/>
      <c r="CI874" s="38"/>
      <c r="CJ874" s="38"/>
      <c r="CK874" s="38"/>
      <c r="CL874" s="38"/>
      <c r="CM874" s="38"/>
      <c r="CN874" s="38"/>
      <c r="CO874" s="38"/>
      <c r="CP874" s="38"/>
      <c r="CQ874" s="38"/>
      <c r="CR874" s="38"/>
      <c r="CS874" s="38"/>
      <c r="CT874" s="38"/>
      <c r="CU874" s="38"/>
      <c r="CV874" s="38"/>
      <c r="CW874" s="38"/>
      <c r="CX874" s="38"/>
      <c r="CY874" s="38"/>
      <c r="CZ874" s="38"/>
    </row>
    <row r="875" spans="1:104" s="40" customFormat="1" ht="20.149999999999999" customHeight="1">
      <c r="A875" s="358">
        <f t="shared" si="199"/>
        <v>874</v>
      </c>
      <c r="B875" s="359" t="str">
        <f>'Front Sheet and Checklist'!$C$5</f>
        <v>Swansea Bay UHB</v>
      </c>
      <c r="C875" s="17"/>
      <c r="D875" s="17"/>
      <c r="E875" s="17"/>
      <c r="F875" s="17"/>
      <c r="G875" s="17"/>
      <c r="H875" s="17"/>
      <c r="I875" s="361">
        <f t="shared" si="189"/>
        <v>0</v>
      </c>
      <c r="J875" s="17"/>
      <c r="K875" s="18"/>
      <c r="L875" s="18"/>
      <c r="M875" s="17"/>
      <c r="N875" s="17"/>
      <c r="O875" s="17"/>
      <c r="P875" s="17"/>
      <c r="Q875" s="169"/>
      <c r="R875" s="24"/>
      <c r="S875" s="24"/>
      <c r="T875" s="24"/>
      <c r="U875" s="25"/>
      <c r="V875" s="25"/>
      <c r="W875" s="25"/>
      <c r="X875" s="24"/>
      <c r="Y875" s="24"/>
      <c r="Z875" s="24"/>
      <c r="AA875" s="24"/>
      <c r="AB875" s="24"/>
      <c r="AC875" s="24"/>
      <c r="AD875" s="361">
        <f t="shared" si="188"/>
        <v>0</v>
      </c>
      <c r="AE875" s="359" t="str">
        <f t="shared" si="191"/>
        <v/>
      </c>
      <c r="AF875" s="359" t="str">
        <f t="shared" si="200"/>
        <v/>
      </c>
      <c r="AG875" s="359" t="str">
        <f t="shared" si="192"/>
        <v/>
      </c>
      <c r="AH875" s="359" t="str">
        <f t="shared" si="193"/>
        <v/>
      </c>
      <c r="AI875" s="359" t="str">
        <f t="shared" si="194"/>
        <v/>
      </c>
      <c r="AJ875" s="359" t="str">
        <f t="shared" si="195"/>
        <v/>
      </c>
      <c r="AK875" s="359" t="str">
        <f t="shared" si="197"/>
        <v/>
      </c>
      <c r="AL875" s="359" t="str">
        <f t="shared" si="196"/>
        <v/>
      </c>
      <c r="AM875" s="359" t="str">
        <f t="shared" si="198"/>
        <v/>
      </c>
      <c r="AN875" s="262">
        <f t="shared" si="201"/>
        <v>0</v>
      </c>
      <c r="AO875" s="262" t="str">
        <f>IFERROR(HLOOKUP(AN875,'Ref Lists'!Q$1:AL$2,2,FALSE),'Ref Lists'!$AK$2)</f>
        <v>Savings21</v>
      </c>
      <c r="AP875" s="38"/>
      <c r="AQ875" s="38">
        <f t="shared" si="190"/>
        <v>0</v>
      </c>
      <c r="AR875" s="38"/>
      <c r="AS875" s="38"/>
      <c r="AT875" s="38"/>
      <c r="AU875" s="38"/>
      <c r="AV875" s="38"/>
      <c r="AW875" s="38"/>
      <c r="AX875" s="38"/>
      <c r="AY875" s="38"/>
      <c r="AZ875" s="38"/>
      <c r="BA875" s="38"/>
      <c r="BB875" s="38"/>
      <c r="BC875" s="38"/>
      <c r="BD875" s="38"/>
      <c r="BE875" s="38"/>
      <c r="BF875" s="38"/>
      <c r="BG875" s="38"/>
      <c r="BH875" s="38"/>
      <c r="BI875" s="38"/>
      <c r="BJ875" s="38"/>
      <c r="BK875" s="38"/>
      <c r="BL875" s="38"/>
      <c r="BM875" s="38"/>
      <c r="BN875" s="38"/>
      <c r="BO875" s="38"/>
      <c r="BP875" s="38"/>
      <c r="BQ875" s="38"/>
      <c r="BR875" s="38"/>
      <c r="BS875" s="38"/>
      <c r="BT875" s="38"/>
      <c r="BU875" s="38"/>
      <c r="BV875" s="38"/>
      <c r="BW875" s="38"/>
      <c r="BX875" s="38"/>
      <c r="BY875" s="38"/>
      <c r="BZ875" s="38"/>
      <c r="CA875" s="38"/>
      <c r="CB875" s="38"/>
      <c r="CC875" s="38"/>
      <c r="CD875" s="38"/>
      <c r="CE875" s="38"/>
      <c r="CF875" s="38"/>
      <c r="CG875" s="38"/>
      <c r="CH875" s="38"/>
      <c r="CI875" s="38"/>
      <c r="CJ875" s="38"/>
      <c r="CK875" s="38"/>
      <c r="CL875" s="38"/>
      <c r="CM875" s="38"/>
      <c r="CN875" s="38"/>
      <c r="CO875" s="38"/>
      <c r="CP875" s="38"/>
      <c r="CQ875" s="38"/>
      <c r="CR875" s="38"/>
      <c r="CS875" s="38"/>
      <c r="CT875" s="38"/>
      <c r="CU875" s="38"/>
      <c r="CV875" s="38"/>
      <c r="CW875" s="38"/>
      <c r="CX875" s="38"/>
      <c r="CY875" s="38"/>
      <c r="CZ875" s="38"/>
    </row>
    <row r="876" spans="1:104" s="40" customFormat="1" ht="20.149999999999999" customHeight="1">
      <c r="A876" s="358">
        <f t="shared" si="199"/>
        <v>875</v>
      </c>
      <c r="B876" s="359" t="str">
        <f>'Front Sheet and Checklist'!$C$5</f>
        <v>Swansea Bay UHB</v>
      </c>
      <c r="C876" s="17"/>
      <c r="D876" s="17"/>
      <c r="E876" s="17"/>
      <c r="F876" s="17"/>
      <c r="G876" s="17"/>
      <c r="H876" s="17"/>
      <c r="I876" s="361">
        <f t="shared" si="189"/>
        <v>0</v>
      </c>
      <c r="J876" s="17"/>
      <c r="K876" s="18"/>
      <c r="L876" s="18"/>
      <c r="M876" s="17"/>
      <c r="N876" s="17"/>
      <c r="O876" s="17"/>
      <c r="P876" s="17"/>
      <c r="Q876" s="169"/>
      <c r="R876" s="24"/>
      <c r="S876" s="24"/>
      <c r="T876" s="24"/>
      <c r="U876" s="25"/>
      <c r="V876" s="25"/>
      <c r="W876" s="25"/>
      <c r="X876" s="24"/>
      <c r="Y876" s="24"/>
      <c r="Z876" s="24"/>
      <c r="AA876" s="24"/>
      <c r="AB876" s="24"/>
      <c r="AC876" s="24"/>
      <c r="AD876" s="361">
        <f t="shared" si="188"/>
        <v>0</v>
      </c>
      <c r="AE876" s="359" t="str">
        <f t="shared" si="191"/>
        <v/>
      </c>
      <c r="AF876" s="359" t="str">
        <f t="shared" si="200"/>
        <v/>
      </c>
      <c r="AG876" s="359" t="str">
        <f t="shared" si="192"/>
        <v/>
      </c>
      <c r="AH876" s="359" t="str">
        <f t="shared" si="193"/>
        <v/>
      </c>
      <c r="AI876" s="359" t="str">
        <f t="shared" si="194"/>
        <v/>
      </c>
      <c r="AJ876" s="359" t="str">
        <f t="shared" si="195"/>
        <v/>
      </c>
      <c r="AK876" s="359" t="str">
        <f t="shared" si="197"/>
        <v/>
      </c>
      <c r="AL876" s="359" t="str">
        <f t="shared" si="196"/>
        <v/>
      </c>
      <c r="AM876" s="359" t="str">
        <f t="shared" si="198"/>
        <v/>
      </c>
      <c r="AN876" s="262">
        <f t="shared" si="201"/>
        <v>0</v>
      </c>
      <c r="AO876" s="262" t="str">
        <f>IFERROR(HLOOKUP(AN876,'Ref Lists'!Q$1:AL$2,2,FALSE),'Ref Lists'!$AK$2)</f>
        <v>Savings21</v>
      </c>
      <c r="AP876" s="38"/>
      <c r="AQ876" s="38">
        <f t="shared" si="190"/>
        <v>0</v>
      </c>
      <c r="AR876" s="38"/>
      <c r="AS876" s="38"/>
      <c r="AT876" s="38"/>
      <c r="AU876" s="38"/>
      <c r="AV876" s="38"/>
      <c r="AW876" s="38"/>
      <c r="AX876" s="38"/>
      <c r="AY876" s="38"/>
      <c r="AZ876" s="38"/>
      <c r="BA876" s="38"/>
      <c r="BB876" s="38"/>
      <c r="BC876" s="38"/>
      <c r="BD876" s="38"/>
      <c r="BE876" s="38"/>
      <c r="BF876" s="38"/>
      <c r="BG876" s="38"/>
      <c r="BH876" s="38"/>
      <c r="BI876" s="38"/>
      <c r="BJ876" s="38"/>
      <c r="BK876" s="38"/>
      <c r="BL876" s="38"/>
      <c r="BM876" s="38"/>
      <c r="BN876" s="38"/>
      <c r="BO876" s="38"/>
      <c r="BP876" s="38"/>
      <c r="BQ876" s="38"/>
      <c r="BR876" s="38"/>
      <c r="BS876" s="38"/>
      <c r="BT876" s="38"/>
      <c r="BU876" s="38"/>
      <c r="BV876" s="38"/>
      <c r="BW876" s="38"/>
      <c r="BX876" s="38"/>
      <c r="BY876" s="38"/>
      <c r="BZ876" s="38"/>
      <c r="CA876" s="38"/>
      <c r="CB876" s="38"/>
      <c r="CC876" s="38"/>
      <c r="CD876" s="38"/>
      <c r="CE876" s="38"/>
      <c r="CF876" s="38"/>
      <c r="CG876" s="38"/>
      <c r="CH876" s="38"/>
      <c r="CI876" s="38"/>
      <c r="CJ876" s="38"/>
      <c r="CK876" s="38"/>
      <c r="CL876" s="38"/>
      <c r="CM876" s="38"/>
      <c r="CN876" s="38"/>
      <c r="CO876" s="38"/>
      <c r="CP876" s="38"/>
      <c r="CQ876" s="38"/>
      <c r="CR876" s="38"/>
      <c r="CS876" s="38"/>
      <c r="CT876" s="38"/>
      <c r="CU876" s="38"/>
      <c r="CV876" s="38"/>
      <c r="CW876" s="38"/>
      <c r="CX876" s="38"/>
      <c r="CY876" s="38"/>
      <c r="CZ876" s="38"/>
    </row>
    <row r="877" spans="1:104" s="40" customFormat="1" ht="20.149999999999999" customHeight="1">
      <c r="A877" s="358">
        <f t="shared" si="199"/>
        <v>876</v>
      </c>
      <c r="B877" s="359" t="str">
        <f>'Front Sheet and Checklist'!$C$5</f>
        <v>Swansea Bay UHB</v>
      </c>
      <c r="C877" s="17"/>
      <c r="D877" s="17"/>
      <c r="E877" s="17"/>
      <c r="F877" s="17"/>
      <c r="G877" s="17"/>
      <c r="H877" s="17"/>
      <c r="I877" s="361">
        <f t="shared" si="189"/>
        <v>0</v>
      </c>
      <c r="J877" s="17"/>
      <c r="K877" s="18"/>
      <c r="L877" s="18"/>
      <c r="M877" s="17"/>
      <c r="N877" s="17"/>
      <c r="O877" s="17"/>
      <c r="P877" s="17"/>
      <c r="Q877" s="169"/>
      <c r="R877" s="24"/>
      <c r="S877" s="24"/>
      <c r="T877" s="24"/>
      <c r="U877" s="25"/>
      <c r="V877" s="25"/>
      <c r="W877" s="25"/>
      <c r="X877" s="24"/>
      <c r="Y877" s="24"/>
      <c r="Z877" s="24"/>
      <c r="AA877" s="24"/>
      <c r="AB877" s="24"/>
      <c r="AC877" s="24"/>
      <c r="AD877" s="361">
        <f t="shared" si="188"/>
        <v>0</v>
      </c>
      <c r="AE877" s="359" t="str">
        <f t="shared" si="191"/>
        <v/>
      </c>
      <c r="AF877" s="359" t="str">
        <f t="shared" si="200"/>
        <v/>
      </c>
      <c r="AG877" s="359" t="str">
        <f t="shared" si="192"/>
        <v/>
      </c>
      <c r="AH877" s="359" t="str">
        <f t="shared" si="193"/>
        <v/>
      </c>
      <c r="AI877" s="359" t="str">
        <f t="shared" si="194"/>
        <v/>
      </c>
      <c r="AJ877" s="359" t="str">
        <f t="shared" si="195"/>
        <v/>
      </c>
      <c r="AK877" s="359" t="str">
        <f t="shared" si="197"/>
        <v/>
      </c>
      <c r="AL877" s="359" t="str">
        <f t="shared" si="196"/>
        <v/>
      </c>
      <c r="AM877" s="359" t="str">
        <f t="shared" si="198"/>
        <v/>
      </c>
      <c r="AN877" s="262">
        <f t="shared" si="201"/>
        <v>0</v>
      </c>
      <c r="AO877" s="262" t="str">
        <f>IFERROR(HLOOKUP(AN877,'Ref Lists'!Q$1:AL$2,2,FALSE),'Ref Lists'!$AK$2)</f>
        <v>Savings21</v>
      </c>
      <c r="AP877" s="38"/>
      <c r="AQ877" s="38">
        <f t="shared" si="190"/>
        <v>0</v>
      </c>
      <c r="AR877" s="38"/>
      <c r="AS877" s="38"/>
      <c r="AT877" s="38"/>
      <c r="AU877" s="38"/>
      <c r="AV877" s="38"/>
      <c r="AW877" s="38"/>
      <c r="AX877" s="38"/>
      <c r="AY877" s="38"/>
      <c r="AZ877" s="38"/>
      <c r="BA877" s="38"/>
      <c r="BB877" s="38"/>
      <c r="BC877" s="38"/>
      <c r="BD877" s="38"/>
      <c r="BE877" s="38"/>
      <c r="BF877" s="38"/>
      <c r="BG877" s="38"/>
      <c r="BH877" s="38"/>
      <c r="BI877" s="38"/>
      <c r="BJ877" s="38"/>
      <c r="BK877" s="38"/>
      <c r="BL877" s="38"/>
      <c r="BM877" s="38"/>
      <c r="BN877" s="38"/>
      <c r="BO877" s="38"/>
      <c r="BP877" s="38"/>
      <c r="BQ877" s="38"/>
      <c r="BR877" s="38"/>
      <c r="BS877" s="38"/>
      <c r="BT877" s="38"/>
      <c r="BU877" s="38"/>
      <c r="BV877" s="38"/>
      <c r="BW877" s="38"/>
      <c r="BX877" s="38"/>
      <c r="BY877" s="38"/>
      <c r="BZ877" s="38"/>
      <c r="CA877" s="38"/>
      <c r="CB877" s="38"/>
      <c r="CC877" s="38"/>
      <c r="CD877" s="38"/>
      <c r="CE877" s="38"/>
      <c r="CF877" s="38"/>
      <c r="CG877" s="38"/>
      <c r="CH877" s="38"/>
      <c r="CI877" s="38"/>
      <c r="CJ877" s="38"/>
      <c r="CK877" s="38"/>
      <c r="CL877" s="38"/>
      <c r="CM877" s="38"/>
      <c r="CN877" s="38"/>
      <c r="CO877" s="38"/>
      <c r="CP877" s="38"/>
      <c r="CQ877" s="38"/>
      <c r="CR877" s="38"/>
      <c r="CS877" s="38"/>
      <c r="CT877" s="38"/>
      <c r="CU877" s="38"/>
      <c r="CV877" s="38"/>
      <c r="CW877" s="38"/>
      <c r="CX877" s="38"/>
      <c r="CY877" s="38"/>
      <c r="CZ877" s="38"/>
    </row>
    <row r="878" spans="1:104" s="40" customFormat="1" ht="20.149999999999999" customHeight="1">
      <c r="A878" s="358">
        <f t="shared" si="199"/>
        <v>877</v>
      </c>
      <c r="B878" s="359" t="str">
        <f>'Front Sheet and Checklist'!$C$5</f>
        <v>Swansea Bay UHB</v>
      </c>
      <c r="C878" s="17"/>
      <c r="D878" s="17"/>
      <c r="E878" s="17"/>
      <c r="F878" s="17"/>
      <c r="G878" s="17"/>
      <c r="H878" s="17"/>
      <c r="I878" s="361">
        <f t="shared" si="189"/>
        <v>0</v>
      </c>
      <c r="J878" s="17"/>
      <c r="K878" s="18"/>
      <c r="L878" s="18"/>
      <c r="M878" s="17"/>
      <c r="N878" s="17"/>
      <c r="O878" s="17"/>
      <c r="P878" s="17"/>
      <c r="Q878" s="169"/>
      <c r="R878" s="24"/>
      <c r="S878" s="24"/>
      <c r="T878" s="24"/>
      <c r="U878" s="25"/>
      <c r="V878" s="25"/>
      <c r="W878" s="25"/>
      <c r="X878" s="24"/>
      <c r="Y878" s="24"/>
      <c r="Z878" s="24"/>
      <c r="AA878" s="24"/>
      <c r="AB878" s="24"/>
      <c r="AC878" s="24"/>
      <c r="AD878" s="361">
        <f t="shared" si="188"/>
        <v>0</v>
      </c>
      <c r="AE878" s="359" t="str">
        <f t="shared" si="191"/>
        <v/>
      </c>
      <c r="AF878" s="359" t="str">
        <f t="shared" si="200"/>
        <v/>
      </c>
      <c r="AG878" s="359" t="str">
        <f t="shared" si="192"/>
        <v/>
      </c>
      <c r="AH878" s="359" t="str">
        <f t="shared" si="193"/>
        <v/>
      </c>
      <c r="AI878" s="359" t="str">
        <f t="shared" si="194"/>
        <v/>
      </c>
      <c r="AJ878" s="359" t="str">
        <f t="shared" si="195"/>
        <v/>
      </c>
      <c r="AK878" s="359" t="str">
        <f t="shared" si="197"/>
        <v/>
      </c>
      <c r="AL878" s="359" t="str">
        <f t="shared" si="196"/>
        <v/>
      </c>
      <c r="AM878" s="359" t="str">
        <f t="shared" si="198"/>
        <v/>
      </c>
      <c r="AN878" s="262">
        <f t="shared" si="201"/>
        <v>0</v>
      </c>
      <c r="AO878" s="262" t="str">
        <f>IFERROR(HLOOKUP(AN878,'Ref Lists'!Q$1:AL$2,2,FALSE),'Ref Lists'!$AK$2)</f>
        <v>Savings21</v>
      </c>
      <c r="AP878" s="38"/>
      <c r="AQ878" s="38">
        <f t="shared" si="190"/>
        <v>0</v>
      </c>
      <c r="AR878" s="38"/>
      <c r="AS878" s="38"/>
      <c r="AT878" s="38"/>
      <c r="AU878" s="38"/>
      <c r="AV878" s="38"/>
      <c r="AW878" s="38"/>
      <c r="AX878" s="38"/>
      <c r="AY878" s="38"/>
      <c r="AZ878" s="38"/>
      <c r="BA878" s="38"/>
      <c r="BB878" s="38"/>
      <c r="BC878" s="38"/>
      <c r="BD878" s="38"/>
      <c r="BE878" s="38"/>
      <c r="BF878" s="38"/>
      <c r="BG878" s="38"/>
      <c r="BH878" s="38"/>
      <c r="BI878" s="38"/>
      <c r="BJ878" s="38"/>
      <c r="BK878" s="38"/>
      <c r="BL878" s="38"/>
      <c r="BM878" s="38"/>
      <c r="BN878" s="38"/>
      <c r="BO878" s="38"/>
      <c r="BP878" s="38"/>
      <c r="BQ878" s="38"/>
      <c r="BR878" s="38"/>
      <c r="BS878" s="38"/>
      <c r="BT878" s="38"/>
      <c r="BU878" s="38"/>
      <c r="BV878" s="38"/>
      <c r="BW878" s="38"/>
      <c r="BX878" s="38"/>
      <c r="BY878" s="38"/>
      <c r="BZ878" s="38"/>
      <c r="CA878" s="38"/>
      <c r="CB878" s="38"/>
      <c r="CC878" s="38"/>
      <c r="CD878" s="38"/>
      <c r="CE878" s="38"/>
      <c r="CF878" s="38"/>
      <c r="CG878" s="38"/>
      <c r="CH878" s="38"/>
      <c r="CI878" s="38"/>
      <c r="CJ878" s="38"/>
      <c r="CK878" s="38"/>
      <c r="CL878" s="38"/>
      <c r="CM878" s="38"/>
      <c r="CN878" s="38"/>
      <c r="CO878" s="38"/>
      <c r="CP878" s="38"/>
      <c r="CQ878" s="38"/>
      <c r="CR878" s="38"/>
      <c r="CS878" s="38"/>
      <c r="CT878" s="38"/>
      <c r="CU878" s="38"/>
      <c r="CV878" s="38"/>
      <c r="CW878" s="38"/>
      <c r="CX878" s="38"/>
      <c r="CY878" s="38"/>
      <c r="CZ878" s="38"/>
    </row>
    <row r="879" spans="1:104" s="40" customFormat="1" ht="20.149999999999999" customHeight="1">
      <c r="A879" s="358">
        <f t="shared" si="199"/>
        <v>878</v>
      </c>
      <c r="B879" s="359" t="str">
        <f>'Front Sheet and Checklist'!$C$5</f>
        <v>Swansea Bay UHB</v>
      </c>
      <c r="C879" s="17"/>
      <c r="D879" s="17"/>
      <c r="E879" s="17"/>
      <c r="F879" s="17"/>
      <c r="G879" s="17"/>
      <c r="H879" s="17"/>
      <c r="I879" s="361">
        <f t="shared" si="189"/>
        <v>0</v>
      </c>
      <c r="J879" s="17"/>
      <c r="K879" s="18"/>
      <c r="L879" s="18"/>
      <c r="M879" s="17"/>
      <c r="N879" s="17"/>
      <c r="O879" s="17"/>
      <c r="P879" s="17"/>
      <c r="Q879" s="169"/>
      <c r="R879" s="24"/>
      <c r="S879" s="24"/>
      <c r="T879" s="24"/>
      <c r="U879" s="25"/>
      <c r="V879" s="25"/>
      <c r="W879" s="25"/>
      <c r="X879" s="24"/>
      <c r="Y879" s="24"/>
      <c r="Z879" s="24"/>
      <c r="AA879" s="24"/>
      <c r="AB879" s="24"/>
      <c r="AC879" s="24"/>
      <c r="AD879" s="361">
        <f t="shared" si="188"/>
        <v>0</v>
      </c>
      <c r="AE879" s="359" t="str">
        <f t="shared" si="191"/>
        <v/>
      </c>
      <c r="AF879" s="359" t="str">
        <f t="shared" si="200"/>
        <v/>
      </c>
      <c r="AG879" s="359" t="str">
        <f t="shared" si="192"/>
        <v/>
      </c>
      <c r="AH879" s="359" t="str">
        <f t="shared" si="193"/>
        <v/>
      </c>
      <c r="AI879" s="359" t="str">
        <f t="shared" si="194"/>
        <v/>
      </c>
      <c r="AJ879" s="359" t="str">
        <f t="shared" si="195"/>
        <v/>
      </c>
      <c r="AK879" s="359" t="str">
        <f t="shared" si="197"/>
        <v/>
      </c>
      <c r="AL879" s="359" t="str">
        <f t="shared" si="196"/>
        <v/>
      </c>
      <c r="AM879" s="359" t="str">
        <f t="shared" si="198"/>
        <v/>
      </c>
      <c r="AN879" s="262">
        <f t="shared" si="201"/>
        <v>0</v>
      </c>
      <c r="AO879" s="262" t="str">
        <f>IFERROR(HLOOKUP(AN879,'Ref Lists'!Q$1:AL$2,2,FALSE),'Ref Lists'!$AK$2)</f>
        <v>Savings21</v>
      </c>
      <c r="AP879" s="38"/>
      <c r="AQ879" s="38">
        <f t="shared" si="190"/>
        <v>0</v>
      </c>
      <c r="AR879" s="38"/>
      <c r="AS879" s="38"/>
      <c r="AT879" s="38"/>
      <c r="AU879" s="38"/>
      <c r="AV879" s="38"/>
      <c r="AW879" s="38"/>
      <c r="AX879" s="38"/>
      <c r="AY879" s="38"/>
      <c r="AZ879" s="38"/>
      <c r="BA879" s="38"/>
      <c r="BB879" s="38"/>
      <c r="BC879" s="38"/>
      <c r="BD879" s="38"/>
      <c r="BE879" s="38"/>
      <c r="BF879" s="38"/>
      <c r="BG879" s="38"/>
      <c r="BH879" s="38"/>
      <c r="BI879" s="38"/>
      <c r="BJ879" s="38"/>
      <c r="BK879" s="38"/>
      <c r="BL879" s="38"/>
      <c r="BM879" s="38"/>
      <c r="BN879" s="38"/>
      <c r="BO879" s="38"/>
      <c r="BP879" s="38"/>
      <c r="BQ879" s="38"/>
      <c r="BR879" s="38"/>
      <c r="BS879" s="38"/>
      <c r="BT879" s="38"/>
      <c r="BU879" s="38"/>
      <c r="BV879" s="38"/>
      <c r="BW879" s="38"/>
      <c r="BX879" s="38"/>
      <c r="BY879" s="38"/>
      <c r="BZ879" s="38"/>
      <c r="CA879" s="38"/>
      <c r="CB879" s="38"/>
      <c r="CC879" s="38"/>
      <c r="CD879" s="38"/>
      <c r="CE879" s="38"/>
      <c r="CF879" s="38"/>
      <c r="CG879" s="38"/>
      <c r="CH879" s="38"/>
      <c r="CI879" s="38"/>
      <c r="CJ879" s="38"/>
      <c r="CK879" s="38"/>
      <c r="CL879" s="38"/>
      <c r="CM879" s="38"/>
      <c r="CN879" s="38"/>
      <c r="CO879" s="38"/>
      <c r="CP879" s="38"/>
      <c r="CQ879" s="38"/>
      <c r="CR879" s="38"/>
      <c r="CS879" s="38"/>
      <c r="CT879" s="38"/>
      <c r="CU879" s="38"/>
      <c r="CV879" s="38"/>
      <c r="CW879" s="38"/>
      <c r="CX879" s="38"/>
      <c r="CY879" s="38"/>
      <c r="CZ879" s="38"/>
    </row>
    <row r="880" spans="1:104" s="40" customFormat="1" ht="20.149999999999999" customHeight="1">
      <c r="A880" s="358">
        <f t="shared" si="199"/>
        <v>879</v>
      </c>
      <c r="B880" s="359" t="str">
        <f>'Front Sheet and Checklist'!$C$5</f>
        <v>Swansea Bay UHB</v>
      </c>
      <c r="C880" s="17"/>
      <c r="D880" s="17"/>
      <c r="E880" s="17"/>
      <c r="F880" s="17"/>
      <c r="G880" s="17"/>
      <c r="H880" s="17"/>
      <c r="I880" s="361">
        <f t="shared" si="189"/>
        <v>0</v>
      </c>
      <c r="J880" s="17"/>
      <c r="K880" s="18"/>
      <c r="L880" s="18"/>
      <c r="M880" s="17"/>
      <c r="N880" s="17"/>
      <c r="O880" s="17"/>
      <c r="P880" s="17"/>
      <c r="Q880" s="169"/>
      <c r="R880" s="24"/>
      <c r="S880" s="24"/>
      <c r="T880" s="24"/>
      <c r="U880" s="25"/>
      <c r="V880" s="25"/>
      <c r="W880" s="25"/>
      <c r="X880" s="24"/>
      <c r="Y880" s="24"/>
      <c r="Z880" s="24"/>
      <c r="AA880" s="24"/>
      <c r="AB880" s="24"/>
      <c r="AC880" s="24"/>
      <c r="AD880" s="361">
        <f t="shared" si="188"/>
        <v>0</v>
      </c>
      <c r="AE880" s="359" t="str">
        <f t="shared" si="191"/>
        <v/>
      </c>
      <c r="AF880" s="359" t="str">
        <f t="shared" si="200"/>
        <v/>
      </c>
      <c r="AG880" s="359" t="str">
        <f t="shared" si="192"/>
        <v/>
      </c>
      <c r="AH880" s="359" t="str">
        <f t="shared" si="193"/>
        <v/>
      </c>
      <c r="AI880" s="359" t="str">
        <f t="shared" si="194"/>
        <v/>
      </c>
      <c r="AJ880" s="359" t="str">
        <f t="shared" si="195"/>
        <v/>
      </c>
      <c r="AK880" s="359" t="str">
        <f t="shared" si="197"/>
        <v/>
      </c>
      <c r="AL880" s="359" t="str">
        <f t="shared" si="196"/>
        <v/>
      </c>
      <c r="AM880" s="359" t="str">
        <f t="shared" si="198"/>
        <v/>
      </c>
      <c r="AN880" s="262">
        <f t="shared" si="201"/>
        <v>0</v>
      </c>
      <c r="AO880" s="262" t="str">
        <f>IFERROR(HLOOKUP(AN880,'Ref Lists'!Q$1:AL$2,2,FALSE),'Ref Lists'!$AK$2)</f>
        <v>Savings21</v>
      </c>
      <c r="AP880" s="38"/>
      <c r="AQ880" s="38">
        <f t="shared" si="190"/>
        <v>0</v>
      </c>
      <c r="AR880" s="38"/>
      <c r="AS880" s="38"/>
      <c r="AT880" s="38"/>
      <c r="AU880" s="38"/>
      <c r="AV880" s="38"/>
      <c r="AW880" s="38"/>
      <c r="AX880" s="38"/>
      <c r="AY880" s="38"/>
      <c r="AZ880" s="38"/>
      <c r="BA880" s="38"/>
      <c r="BB880" s="38"/>
      <c r="BC880" s="38"/>
      <c r="BD880" s="38"/>
      <c r="BE880" s="38"/>
      <c r="BF880" s="38"/>
      <c r="BG880" s="38"/>
      <c r="BH880" s="38"/>
      <c r="BI880" s="38"/>
      <c r="BJ880" s="38"/>
      <c r="BK880" s="38"/>
      <c r="BL880" s="38"/>
      <c r="BM880" s="38"/>
      <c r="BN880" s="38"/>
      <c r="BO880" s="38"/>
      <c r="BP880" s="38"/>
      <c r="BQ880" s="38"/>
      <c r="BR880" s="38"/>
      <c r="BS880" s="38"/>
      <c r="BT880" s="38"/>
      <c r="BU880" s="38"/>
      <c r="BV880" s="38"/>
      <c r="BW880" s="38"/>
      <c r="BX880" s="38"/>
      <c r="BY880" s="38"/>
      <c r="BZ880" s="38"/>
      <c r="CA880" s="38"/>
      <c r="CB880" s="38"/>
      <c r="CC880" s="38"/>
      <c r="CD880" s="38"/>
      <c r="CE880" s="38"/>
      <c r="CF880" s="38"/>
      <c r="CG880" s="38"/>
      <c r="CH880" s="38"/>
      <c r="CI880" s="38"/>
      <c r="CJ880" s="38"/>
      <c r="CK880" s="38"/>
      <c r="CL880" s="38"/>
      <c r="CM880" s="38"/>
      <c r="CN880" s="38"/>
      <c r="CO880" s="38"/>
      <c r="CP880" s="38"/>
      <c r="CQ880" s="38"/>
      <c r="CR880" s="38"/>
      <c r="CS880" s="38"/>
      <c r="CT880" s="38"/>
      <c r="CU880" s="38"/>
      <c r="CV880" s="38"/>
      <c r="CW880" s="38"/>
      <c r="CX880" s="38"/>
      <c r="CY880" s="38"/>
      <c r="CZ880" s="38"/>
    </row>
    <row r="881" spans="1:104" s="40" customFormat="1" ht="20.149999999999999" customHeight="1">
      <c r="A881" s="358">
        <f t="shared" si="199"/>
        <v>880</v>
      </c>
      <c r="B881" s="359" t="str">
        <f>'Front Sheet and Checklist'!$C$5</f>
        <v>Swansea Bay UHB</v>
      </c>
      <c r="C881" s="17"/>
      <c r="D881" s="17"/>
      <c r="E881" s="17"/>
      <c r="F881" s="17"/>
      <c r="G881" s="17"/>
      <c r="H881" s="17"/>
      <c r="I881" s="361">
        <f t="shared" si="189"/>
        <v>0</v>
      </c>
      <c r="J881" s="17"/>
      <c r="K881" s="18"/>
      <c r="L881" s="18"/>
      <c r="M881" s="17"/>
      <c r="N881" s="17"/>
      <c r="O881" s="17"/>
      <c r="P881" s="17"/>
      <c r="Q881" s="169"/>
      <c r="R881" s="24"/>
      <c r="S881" s="24"/>
      <c r="T881" s="24"/>
      <c r="U881" s="25"/>
      <c r="V881" s="25"/>
      <c r="W881" s="25"/>
      <c r="X881" s="24"/>
      <c r="Y881" s="24"/>
      <c r="Z881" s="24"/>
      <c r="AA881" s="24"/>
      <c r="AB881" s="24"/>
      <c r="AC881" s="24"/>
      <c r="AD881" s="361">
        <f t="shared" si="188"/>
        <v>0</v>
      </c>
      <c r="AE881" s="359" t="str">
        <f t="shared" si="191"/>
        <v/>
      </c>
      <c r="AF881" s="359" t="str">
        <f t="shared" si="200"/>
        <v/>
      </c>
      <c r="AG881" s="359" t="str">
        <f t="shared" si="192"/>
        <v/>
      </c>
      <c r="AH881" s="359" t="str">
        <f t="shared" si="193"/>
        <v/>
      </c>
      <c r="AI881" s="359" t="str">
        <f t="shared" si="194"/>
        <v/>
      </c>
      <c r="AJ881" s="359" t="str">
        <f t="shared" si="195"/>
        <v/>
      </c>
      <c r="AK881" s="359" t="str">
        <f t="shared" si="197"/>
        <v/>
      </c>
      <c r="AL881" s="359" t="str">
        <f t="shared" si="196"/>
        <v/>
      </c>
      <c r="AM881" s="359" t="str">
        <f t="shared" si="198"/>
        <v/>
      </c>
      <c r="AN881" s="262">
        <f t="shared" si="201"/>
        <v>0</v>
      </c>
      <c r="AO881" s="262" t="str">
        <f>IFERROR(HLOOKUP(AN881,'Ref Lists'!Q$1:AL$2,2,FALSE),'Ref Lists'!$AK$2)</f>
        <v>Savings21</v>
      </c>
      <c r="AP881" s="38"/>
      <c r="AQ881" s="38">
        <f t="shared" si="190"/>
        <v>0</v>
      </c>
      <c r="AR881" s="38"/>
      <c r="AS881" s="38"/>
      <c r="AT881" s="38"/>
      <c r="AU881" s="38"/>
      <c r="AV881" s="38"/>
      <c r="AW881" s="38"/>
      <c r="AX881" s="38"/>
      <c r="AY881" s="38"/>
      <c r="AZ881" s="38"/>
      <c r="BA881" s="38"/>
      <c r="BB881" s="38"/>
      <c r="BC881" s="38"/>
      <c r="BD881" s="38"/>
      <c r="BE881" s="38"/>
      <c r="BF881" s="38"/>
      <c r="BG881" s="38"/>
      <c r="BH881" s="38"/>
      <c r="BI881" s="38"/>
      <c r="BJ881" s="38"/>
      <c r="BK881" s="38"/>
      <c r="BL881" s="38"/>
      <c r="BM881" s="38"/>
      <c r="BN881" s="38"/>
      <c r="BO881" s="38"/>
      <c r="BP881" s="38"/>
      <c r="BQ881" s="38"/>
      <c r="BR881" s="38"/>
      <c r="BS881" s="38"/>
      <c r="BT881" s="38"/>
      <c r="BU881" s="38"/>
      <c r="BV881" s="38"/>
      <c r="BW881" s="38"/>
      <c r="BX881" s="38"/>
      <c r="BY881" s="38"/>
      <c r="BZ881" s="38"/>
      <c r="CA881" s="38"/>
      <c r="CB881" s="38"/>
      <c r="CC881" s="38"/>
      <c r="CD881" s="38"/>
      <c r="CE881" s="38"/>
      <c r="CF881" s="38"/>
      <c r="CG881" s="38"/>
      <c r="CH881" s="38"/>
      <c r="CI881" s="38"/>
      <c r="CJ881" s="38"/>
      <c r="CK881" s="38"/>
      <c r="CL881" s="38"/>
      <c r="CM881" s="38"/>
      <c r="CN881" s="38"/>
      <c r="CO881" s="38"/>
      <c r="CP881" s="38"/>
      <c r="CQ881" s="38"/>
      <c r="CR881" s="38"/>
      <c r="CS881" s="38"/>
      <c r="CT881" s="38"/>
      <c r="CU881" s="38"/>
      <c r="CV881" s="38"/>
      <c r="CW881" s="38"/>
      <c r="CX881" s="38"/>
      <c r="CY881" s="38"/>
      <c r="CZ881" s="38"/>
    </row>
    <row r="882" spans="1:104" s="40" customFormat="1" ht="20.149999999999999" customHeight="1">
      <c r="A882" s="358">
        <f t="shared" si="199"/>
        <v>881</v>
      </c>
      <c r="B882" s="359" t="str">
        <f>'Front Sheet and Checklist'!$C$5</f>
        <v>Swansea Bay UHB</v>
      </c>
      <c r="C882" s="17"/>
      <c r="D882" s="17"/>
      <c r="E882" s="17"/>
      <c r="F882" s="17"/>
      <c r="G882" s="17"/>
      <c r="H882" s="17"/>
      <c r="I882" s="361">
        <f t="shared" si="189"/>
        <v>0</v>
      </c>
      <c r="J882" s="17"/>
      <c r="K882" s="18"/>
      <c r="L882" s="18"/>
      <c r="M882" s="17"/>
      <c r="N882" s="17"/>
      <c r="O882" s="17"/>
      <c r="P882" s="17"/>
      <c r="Q882" s="169"/>
      <c r="R882" s="24"/>
      <c r="S882" s="24"/>
      <c r="T882" s="24"/>
      <c r="U882" s="25"/>
      <c r="V882" s="25"/>
      <c r="W882" s="25"/>
      <c r="X882" s="24"/>
      <c r="Y882" s="24"/>
      <c r="Z882" s="24"/>
      <c r="AA882" s="24"/>
      <c r="AB882" s="24"/>
      <c r="AC882" s="24"/>
      <c r="AD882" s="361">
        <f t="shared" si="188"/>
        <v>0</v>
      </c>
      <c r="AE882" s="359" t="str">
        <f t="shared" si="191"/>
        <v/>
      </c>
      <c r="AF882" s="359" t="str">
        <f t="shared" si="200"/>
        <v/>
      </c>
      <c r="AG882" s="359" t="str">
        <f t="shared" si="192"/>
        <v/>
      </c>
      <c r="AH882" s="359" t="str">
        <f t="shared" si="193"/>
        <v/>
      </c>
      <c r="AI882" s="359" t="str">
        <f t="shared" si="194"/>
        <v/>
      </c>
      <c r="AJ882" s="359" t="str">
        <f t="shared" si="195"/>
        <v/>
      </c>
      <c r="AK882" s="359" t="str">
        <f t="shared" si="197"/>
        <v/>
      </c>
      <c r="AL882" s="359" t="str">
        <f t="shared" si="196"/>
        <v/>
      </c>
      <c r="AM882" s="359" t="str">
        <f t="shared" si="198"/>
        <v/>
      </c>
      <c r="AN882" s="262">
        <f t="shared" si="201"/>
        <v>0</v>
      </c>
      <c r="AO882" s="262" t="str">
        <f>IFERROR(HLOOKUP(AN882,'Ref Lists'!Q$1:AL$2,2,FALSE),'Ref Lists'!$AK$2)</f>
        <v>Savings21</v>
      </c>
      <c r="AP882" s="38"/>
      <c r="AQ882" s="38">
        <f t="shared" si="190"/>
        <v>0</v>
      </c>
      <c r="AR882" s="38"/>
      <c r="AS882" s="38"/>
      <c r="AT882" s="38"/>
      <c r="AU882" s="38"/>
      <c r="AV882" s="38"/>
      <c r="AW882" s="38"/>
      <c r="AX882" s="38"/>
      <c r="AY882" s="38"/>
      <c r="AZ882" s="38"/>
      <c r="BA882" s="38"/>
      <c r="BB882" s="38"/>
      <c r="BC882" s="38"/>
      <c r="BD882" s="38"/>
      <c r="BE882" s="38"/>
      <c r="BF882" s="38"/>
      <c r="BG882" s="38"/>
      <c r="BH882" s="38"/>
      <c r="BI882" s="38"/>
      <c r="BJ882" s="38"/>
      <c r="BK882" s="38"/>
      <c r="BL882" s="38"/>
      <c r="BM882" s="38"/>
      <c r="BN882" s="38"/>
      <c r="BO882" s="38"/>
      <c r="BP882" s="38"/>
      <c r="BQ882" s="38"/>
      <c r="BR882" s="38"/>
      <c r="BS882" s="38"/>
      <c r="BT882" s="38"/>
      <c r="BU882" s="38"/>
      <c r="BV882" s="38"/>
      <c r="BW882" s="38"/>
      <c r="BX882" s="38"/>
      <c r="BY882" s="38"/>
      <c r="BZ882" s="38"/>
      <c r="CA882" s="38"/>
      <c r="CB882" s="38"/>
      <c r="CC882" s="38"/>
      <c r="CD882" s="38"/>
      <c r="CE882" s="38"/>
      <c r="CF882" s="38"/>
      <c r="CG882" s="38"/>
      <c r="CH882" s="38"/>
      <c r="CI882" s="38"/>
      <c r="CJ882" s="38"/>
      <c r="CK882" s="38"/>
      <c r="CL882" s="38"/>
      <c r="CM882" s="38"/>
      <c r="CN882" s="38"/>
      <c r="CO882" s="38"/>
      <c r="CP882" s="38"/>
      <c r="CQ882" s="38"/>
      <c r="CR882" s="38"/>
      <c r="CS882" s="38"/>
      <c r="CT882" s="38"/>
      <c r="CU882" s="38"/>
      <c r="CV882" s="38"/>
      <c r="CW882" s="38"/>
      <c r="CX882" s="38"/>
      <c r="CY882" s="38"/>
      <c r="CZ882" s="38"/>
    </row>
    <row r="883" spans="1:104" s="40" customFormat="1" ht="20.149999999999999" customHeight="1">
      <c r="A883" s="358">
        <f t="shared" si="199"/>
        <v>882</v>
      </c>
      <c r="B883" s="359" t="str">
        <f>'Front Sheet and Checklist'!$C$5</f>
        <v>Swansea Bay UHB</v>
      </c>
      <c r="C883" s="17"/>
      <c r="D883" s="17"/>
      <c r="E883" s="17"/>
      <c r="F883" s="17"/>
      <c r="G883" s="17"/>
      <c r="H883" s="17"/>
      <c r="I883" s="361">
        <f t="shared" si="189"/>
        <v>0</v>
      </c>
      <c r="J883" s="17"/>
      <c r="K883" s="18"/>
      <c r="L883" s="18"/>
      <c r="M883" s="17"/>
      <c r="N883" s="17"/>
      <c r="O883" s="17"/>
      <c r="P883" s="17"/>
      <c r="Q883" s="169"/>
      <c r="R883" s="24"/>
      <c r="S883" s="24"/>
      <c r="T883" s="24"/>
      <c r="U883" s="25"/>
      <c r="V883" s="25"/>
      <c r="W883" s="25"/>
      <c r="X883" s="24"/>
      <c r="Y883" s="24"/>
      <c r="Z883" s="24"/>
      <c r="AA883" s="24"/>
      <c r="AB883" s="24"/>
      <c r="AC883" s="24"/>
      <c r="AD883" s="361">
        <f t="shared" si="188"/>
        <v>0</v>
      </c>
      <c r="AE883" s="359" t="str">
        <f t="shared" si="191"/>
        <v/>
      </c>
      <c r="AF883" s="359" t="str">
        <f t="shared" si="200"/>
        <v/>
      </c>
      <c r="AG883" s="359" t="str">
        <f t="shared" si="192"/>
        <v/>
      </c>
      <c r="AH883" s="359" t="str">
        <f t="shared" si="193"/>
        <v/>
      </c>
      <c r="AI883" s="359" t="str">
        <f t="shared" si="194"/>
        <v/>
      </c>
      <c r="AJ883" s="359" t="str">
        <f t="shared" si="195"/>
        <v/>
      </c>
      <c r="AK883" s="359" t="str">
        <f t="shared" si="197"/>
        <v/>
      </c>
      <c r="AL883" s="359" t="str">
        <f t="shared" si="196"/>
        <v/>
      </c>
      <c r="AM883" s="359" t="str">
        <f t="shared" si="198"/>
        <v/>
      </c>
      <c r="AN883" s="262">
        <f t="shared" si="201"/>
        <v>0</v>
      </c>
      <c r="AO883" s="262" t="str">
        <f>IFERROR(HLOOKUP(AN883,'Ref Lists'!Q$1:AL$2,2,FALSE),'Ref Lists'!$AK$2)</f>
        <v>Savings21</v>
      </c>
      <c r="AP883" s="38"/>
      <c r="AQ883" s="38">
        <f t="shared" si="190"/>
        <v>0</v>
      </c>
      <c r="AR883" s="38"/>
      <c r="AS883" s="38"/>
      <c r="AT883" s="38"/>
      <c r="AU883" s="38"/>
      <c r="AV883" s="38"/>
      <c r="AW883" s="38"/>
      <c r="AX883" s="38"/>
      <c r="AY883" s="38"/>
      <c r="AZ883" s="38"/>
      <c r="BA883" s="38"/>
      <c r="BB883" s="38"/>
      <c r="BC883" s="38"/>
      <c r="BD883" s="38"/>
      <c r="BE883" s="38"/>
      <c r="BF883" s="38"/>
      <c r="BG883" s="38"/>
      <c r="BH883" s="38"/>
      <c r="BI883" s="38"/>
      <c r="BJ883" s="38"/>
      <c r="BK883" s="38"/>
      <c r="BL883" s="38"/>
      <c r="BM883" s="38"/>
      <c r="BN883" s="38"/>
      <c r="BO883" s="38"/>
      <c r="BP883" s="38"/>
      <c r="BQ883" s="38"/>
      <c r="BR883" s="38"/>
      <c r="BS883" s="38"/>
      <c r="BT883" s="38"/>
      <c r="BU883" s="38"/>
      <c r="BV883" s="38"/>
      <c r="BW883" s="38"/>
      <c r="BX883" s="38"/>
      <c r="BY883" s="38"/>
      <c r="BZ883" s="38"/>
      <c r="CA883" s="38"/>
      <c r="CB883" s="38"/>
      <c r="CC883" s="38"/>
      <c r="CD883" s="38"/>
      <c r="CE883" s="38"/>
      <c r="CF883" s="38"/>
      <c r="CG883" s="38"/>
      <c r="CH883" s="38"/>
      <c r="CI883" s="38"/>
      <c r="CJ883" s="38"/>
      <c r="CK883" s="38"/>
      <c r="CL883" s="38"/>
      <c r="CM883" s="38"/>
      <c r="CN883" s="38"/>
      <c r="CO883" s="38"/>
      <c r="CP883" s="38"/>
      <c r="CQ883" s="38"/>
      <c r="CR883" s="38"/>
      <c r="CS883" s="38"/>
      <c r="CT883" s="38"/>
      <c r="CU883" s="38"/>
      <c r="CV883" s="38"/>
      <c r="CW883" s="38"/>
      <c r="CX883" s="38"/>
      <c r="CY883" s="38"/>
      <c r="CZ883" s="38"/>
    </row>
    <row r="884" spans="1:104" s="40" customFormat="1" ht="20.149999999999999" customHeight="1">
      <c r="A884" s="358">
        <f t="shared" si="199"/>
        <v>883</v>
      </c>
      <c r="B884" s="359" t="str">
        <f>'Front Sheet and Checklist'!$C$5</f>
        <v>Swansea Bay UHB</v>
      </c>
      <c r="C884" s="17"/>
      <c r="D884" s="17"/>
      <c r="E884" s="17"/>
      <c r="F884" s="17"/>
      <c r="G884" s="17"/>
      <c r="H884" s="17"/>
      <c r="I884" s="361">
        <f t="shared" si="189"/>
        <v>0</v>
      </c>
      <c r="J884" s="17"/>
      <c r="K884" s="18"/>
      <c r="L884" s="18"/>
      <c r="M884" s="17"/>
      <c r="N884" s="17"/>
      <c r="O884" s="17"/>
      <c r="P884" s="17"/>
      <c r="Q884" s="169"/>
      <c r="R884" s="24"/>
      <c r="S884" s="24"/>
      <c r="T884" s="24"/>
      <c r="U884" s="25"/>
      <c r="V884" s="25"/>
      <c r="W884" s="25"/>
      <c r="X884" s="24"/>
      <c r="Y884" s="24"/>
      <c r="Z884" s="24"/>
      <c r="AA884" s="24"/>
      <c r="AB884" s="24"/>
      <c r="AC884" s="24"/>
      <c r="AD884" s="361">
        <f t="shared" si="188"/>
        <v>0</v>
      </c>
      <c r="AE884" s="359" t="str">
        <f t="shared" si="191"/>
        <v/>
      </c>
      <c r="AF884" s="359" t="str">
        <f t="shared" si="200"/>
        <v/>
      </c>
      <c r="AG884" s="359" t="str">
        <f t="shared" si="192"/>
        <v/>
      </c>
      <c r="AH884" s="359" t="str">
        <f t="shared" si="193"/>
        <v/>
      </c>
      <c r="AI884" s="359" t="str">
        <f t="shared" si="194"/>
        <v/>
      </c>
      <c r="AJ884" s="359" t="str">
        <f t="shared" si="195"/>
        <v/>
      </c>
      <c r="AK884" s="359" t="str">
        <f t="shared" si="197"/>
        <v/>
      </c>
      <c r="AL884" s="359" t="str">
        <f t="shared" si="196"/>
        <v/>
      </c>
      <c r="AM884" s="359" t="str">
        <f t="shared" si="198"/>
        <v/>
      </c>
      <c r="AN884" s="262">
        <f t="shared" si="201"/>
        <v>0</v>
      </c>
      <c r="AO884" s="262" t="str">
        <f>IFERROR(HLOOKUP(AN884,'Ref Lists'!Q$1:AL$2,2,FALSE),'Ref Lists'!$AK$2)</f>
        <v>Savings21</v>
      </c>
      <c r="AP884" s="38"/>
      <c r="AQ884" s="38">
        <f t="shared" si="190"/>
        <v>0</v>
      </c>
      <c r="AR884" s="38"/>
      <c r="AS884" s="38"/>
      <c r="AT884" s="38"/>
      <c r="AU884" s="38"/>
      <c r="AV884" s="38"/>
      <c r="AW884" s="38"/>
      <c r="AX884" s="38"/>
      <c r="AY884" s="38"/>
      <c r="AZ884" s="38"/>
      <c r="BA884" s="38"/>
      <c r="BB884" s="38"/>
      <c r="BC884" s="38"/>
      <c r="BD884" s="38"/>
      <c r="BE884" s="38"/>
      <c r="BF884" s="38"/>
      <c r="BG884" s="38"/>
      <c r="BH884" s="38"/>
      <c r="BI884" s="38"/>
      <c r="BJ884" s="38"/>
      <c r="BK884" s="38"/>
      <c r="BL884" s="38"/>
      <c r="BM884" s="38"/>
      <c r="BN884" s="38"/>
      <c r="BO884" s="38"/>
      <c r="BP884" s="38"/>
      <c r="BQ884" s="38"/>
      <c r="BR884" s="38"/>
      <c r="BS884" s="38"/>
      <c r="BT884" s="38"/>
      <c r="BU884" s="38"/>
      <c r="BV884" s="38"/>
      <c r="BW884" s="38"/>
      <c r="BX884" s="38"/>
      <c r="BY884" s="38"/>
      <c r="BZ884" s="38"/>
      <c r="CA884" s="38"/>
      <c r="CB884" s="38"/>
      <c r="CC884" s="38"/>
      <c r="CD884" s="38"/>
      <c r="CE884" s="38"/>
      <c r="CF884" s="38"/>
      <c r="CG884" s="38"/>
      <c r="CH884" s="38"/>
      <c r="CI884" s="38"/>
      <c r="CJ884" s="38"/>
      <c r="CK884" s="38"/>
      <c r="CL884" s="38"/>
      <c r="CM884" s="38"/>
      <c r="CN884" s="38"/>
      <c r="CO884" s="38"/>
      <c r="CP884" s="38"/>
      <c r="CQ884" s="38"/>
      <c r="CR884" s="38"/>
      <c r="CS884" s="38"/>
      <c r="CT884" s="38"/>
      <c r="CU884" s="38"/>
      <c r="CV884" s="38"/>
      <c r="CW884" s="38"/>
      <c r="CX884" s="38"/>
      <c r="CY884" s="38"/>
      <c r="CZ884" s="38"/>
    </row>
    <row r="885" spans="1:104" s="40" customFormat="1" ht="20.149999999999999" customHeight="1">
      <c r="A885" s="358">
        <f t="shared" si="199"/>
        <v>884</v>
      </c>
      <c r="B885" s="359" t="str">
        <f>'Front Sheet and Checklist'!$C$5</f>
        <v>Swansea Bay UHB</v>
      </c>
      <c r="C885" s="17"/>
      <c r="D885" s="17"/>
      <c r="E885" s="17"/>
      <c r="F885" s="17"/>
      <c r="G885" s="17"/>
      <c r="H885" s="17"/>
      <c r="I885" s="361">
        <f t="shared" si="189"/>
        <v>0</v>
      </c>
      <c r="J885" s="17"/>
      <c r="K885" s="18"/>
      <c r="L885" s="18"/>
      <c r="M885" s="17"/>
      <c r="N885" s="17"/>
      <c r="O885" s="17"/>
      <c r="P885" s="17"/>
      <c r="Q885" s="169"/>
      <c r="R885" s="24"/>
      <c r="S885" s="24"/>
      <c r="T885" s="24"/>
      <c r="U885" s="25"/>
      <c r="V885" s="25"/>
      <c r="W885" s="25"/>
      <c r="X885" s="24"/>
      <c r="Y885" s="24"/>
      <c r="Z885" s="24"/>
      <c r="AA885" s="24"/>
      <c r="AB885" s="24"/>
      <c r="AC885" s="24"/>
      <c r="AD885" s="361">
        <f t="shared" si="188"/>
        <v>0</v>
      </c>
      <c r="AE885" s="359" t="str">
        <f t="shared" si="191"/>
        <v/>
      </c>
      <c r="AF885" s="359" t="str">
        <f t="shared" si="200"/>
        <v/>
      </c>
      <c r="AG885" s="359" t="str">
        <f t="shared" si="192"/>
        <v/>
      </c>
      <c r="AH885" s="359" t="str">
        <f t="shared" si="193"/>
        <v/>
      </c>
      <c r="AI885" s="359" t="str">
        <f t="shared" si="194"/>
        <v/>
      </c>
      <c r="AJ885" s="359" t="str">
        <f t="shared" si="195"/>
        <v/>
      </c>
      <c r="AK885" s="359" t="str">
        <f t="shared" si="197"/>
        <v/>
      </c>
      <c r="AL885" s="359" t="str">
        <f t="shared" si="196"/>
        <v/>
      </c>
      <c r="AM885" s="359" t="str">
        <f t="shared" si="198"/>
        <v/>
      </c>
      <c r="AN885" s="262">
        <f t="shared" si="201"/>
        <v>0</v>
      </c>
      <c r="AO885" s="262" t="str">
        <f>IFERROR(HLOOKUP(AN885,'Ref Lists'!Q$1:AL$2,2,FALSE),'Ref Lists'!$AK$2)</f>
        <v>Savings21</v>
      </c>
      <c r="AP885" s="38"/>
      <c r="AQ885" s="38">
        <f t="shared" si="190"/>
        <v>0</v>
      </c>
      <c r="AR885" s="38"/>
      <c r="AS885" s="38"/>
      <c r="AT885" s="38"/>
      <c r="AU885" s="38"/>
      <c r="AV885" s="38"/>
      <c r="AW885" s="38"/>
      <c r="AX885" s="38"/>
      <c r="AY885" s="38"/>
      <c r="AZ885" s="38"/>
      <c r="BA885" s="38"/>
      <c r="BB885" s="38"/>
      <c r="BC885" s="38"/>
      <c r="BD885" s="38"/>
      <c r="BE885" s="38"/>
      <c r="BF885" s="38"/>
      <c r="BG885" s="38"/>
      <c r="BH885" s="38"/>
      <c r="BI885" s="38"/>
      <c r="BJ885" s="38"/>
      <c r="BK885" s="38"/>
      <c r="BL885" s="38"/>
      <c r="BM885" s="38"/>
      <c r="BN885" s="38"/>
      <c r="BO885" s="38"/>
      <c r="BP885" s="38"/>
      <c r="BQ885" s="38"/>
      <c r="BR885" s="38"/>
      <c r="BS885" s="38"/>
      <c r="BT885" s="38"/>
      <c r="BU885" s="38"/>
      <c r="BV885" s="38"/>
      <c r="BW885" s="38"/>
      <c r="BX885" s="38"/>
      <c r="BY885" s="38"/>
      <c r="BZ885" s="38"/>
      <c r="CA885" s="38"/>
      <c r="CB885" s="38"/>
      <c r="CC885" s="38"/>
      <c r="CD885" s="38"/>
      <c r="CE885" s="38"/>
      <c r="CF885" s="38"/>
      <c r="CG885" s="38"/>
      <c r="CH885" s="38"/>
      <c r="CI885" s="38"/>
      <c r="CJ885" s="38"/>
      <c r="CK885" s="38"/>
      <c r="CL885" s="38"/>
      <c r="CM885" s="38"/>
      <c r="CN885" s="38"/>
      <c r="CO885" s="38"/>
      <c r="CP885" s="38"/>
      <c r="CQ885" s="38"/>
      <c r="CR885" s="38"/>
      <c r="CS885" s="38"/>
      <c r="CT885" s="38"/>
      <c r="CU885" s="38"/>
      <c r="CV885" s="38"/>
      <c r="CW885" s="38"/>
      <c r="CX885" s="38"/>
      <c r="CY885" s="38"/>
      <c r="CZ885" s="38"/>
    </row>
    <row r="886" spans="1:104" s="40" customFormat="1" ht="20.149999999999999" customHeight="1">
      <c r="A886" s="358">
        <f t="shared" si="199"/>
        <v>885</v>
      </c>
      <c r="B886" s="359" t="str">
        <f>'Front Sheet and Checklist'!$C$5</f>
        <v>Swansea Bay UHB</v>
      </c>
      <c r="C886" s="17"/>
      <c r="D886" s="17"/>
      <c r="E886" s="17"/>
      <c r="F886" s="17"/>
      <c r="G886" s="17"/>
      <c r="H886" s="17"/>
      <c r="I886" s="361">
        <f t="shared" si="189"/>
        <v>0</v>
      </c>
      <c r="J886" s="17"/>
      <c r="K886" s="18"/>
      <c r="L886" s="18"/>
      <c r="M886" s="17"/>
      <c r="N886" s="17"/>
      <c r="O886" s="17"/>
      <c r="P886" s="17"/>
      <c r="Q886" s="169"/>
      <c r="R886" s="24"/>
      <c r="S886" s="24"/>
      <c r="T886" s="24"/>
      <c r="U886" s="25"/>
      <c r="V886" s="25"/>
      <c r="W886" s="25"/>
      <c r="X886" s="24"/>
      <c r="Y886" s="24"/>
      <c r="Z886" s="24"/>
      <c r="AA886" s="24"/>
      <c r="AB886" s="24"/>
      <c r="AC886" s="24"/>
      <c r="AD886" s="361">
        <f t="shared" si="188"/>
        <v>0</v>
      </c>
      <c r="AE886" s="359" t="str">
        <f t="shared" si="191"/>
        <v/>
      </c>
      <c r="AF886" s="359" t="str">
        <f t="shared" si="200"/>
        <v/>
      </c>
      <c r="AG886" s="359" t="str">
        <f t="shared" si="192"/>
        <v/>
      </c>
      <c r="AH886" s="359" t="str">
        <f t="shared" si="193"/>
        <v/>
      </c>
      <c r="AI886" s="359" t="str">
        <f t="shared" si="194"/>
        <v/>
      </c>
      <c r="AJ886" s="359" t="str">
        <f t="shared" si="195"/>
        <v/>
      </c>
      <c r="AK886" s="359" t="str">
        <f t="shared" si="197"/>
        <v/>
      </c>
      <c r="AL886" s="359" t="str">
        <f t="shared" si="196"/>
        <v/>
      </c>
      <c r="AM886" s="359" t="str">
        <f t="shared" si="198"/>
        <v/>
      </c>
      <c r="AN886" s="262">
        <f t="shared" si="201"/>
        <v>0</v>
      </c>
      <c r="AO886" s="262" t="str">
        <f>IFERROR(HLOOKUP(AN886,'Ref Lists'!Q$1:AL$2,2,FALSE),'Ref Lists'!$AK$2)</f>
        <v>Savings21</v>
      </c>
      <c r="AP886" s="38"/>
      <c r="AQ886" s="38">
        <f t="shared" si="190"/>
        <v>0</v>
      </c>
      <c r="AR886" s="38"/>
      <c r="AS886" s="38"/>
      <c r="AT886" s="38"/>
      <c r="AU886" s="38"/>
      <c r="AV886" s="38"/>
      <c r="AW886" s="38"/>
      <c r="AX886" s="38"/>
      <c r="AY886" s="38"/>
      <c r="AZ886" s="38"/>
      <c r="BA886" s="38"/>
      <c r="BB886" s="38"/>
      <c r="BC886" s="38"/>
      <c r="BD886" s="38"/>
      <c r="BE886" s="38"/>
      <c r="BF886" s="38"/>
      <c r="BG886" s="38"/>
      <c r="BH886" s="38"/>
      <c r="BI886" s="38"/>
      <c r="BJ886" s="38"/>
      <c r="BK886" s="38"/>
      <c r="BL886" s="38"/>
      <c r="BM886" s="38"/>
      <c r="BN886" s="38"/>
      <c r="BO886" s="38"/>
      <c r="BP886" s="38"/>
      <c r="BQ886" s="38"/>
      <c r="BR886" s="38"/>
      <c r="BS886" s="38"/>
      <c r="BT886" s="38"/>
      <c r="BU886" s="38"/>
      <c r="BV886" s="38"/>
      <c r="BW886" s="38"/>
      <c r="BX886" s="38"/>
      <c r="BY886" s="38"/>
      <c r="BZ886" s="38"/>
      <c r="CA886" s="38"/>
      <c r="CB886" s="38"/>
      <c r="CC886" s="38"/>
      <c r="CD886" s="38"/>
      <c r="CE886" s="38"/>
      <c r="CF886" s="38"/>
      <c r="CG886" s="38"/>
      <c r="CH886" s="38"/>
      <c r="CI886" s="38"/>
      <c r="CJ886" s="38"/>
      <c r="CK886" s="38"/>
      <c r="CL886" s="38"/>
      <c r="CM886" s="38"/>
      <c r="CN886" s="38"/>
      <c r="CO886" s="38"/>
      <c r="CP886" s="38"/>
      <c r="CQ886" s="38"/>
      <c r="CR886" s="38"/>
      <c r="CS886" s="38"/>
      <c r="CT886" s="38"/>
      <c r="CU886" s="38"/>
      <c r="CV886" s="38"/>
      <c r="CW886" s="38"/>
      <c r="CX886" s="38"/>
      <c r="CY886" s="38"/>
      <c r="CZ886" s="38"/>
    </row>
    <row r="887" spans="1:104" s="40" customFormat="1" ht="20.149999999999999" customHeight="1">
      <c r="A887" s="358">
        <f t="shared" si="199"/>
        <v>886</v>
      </c>
      <c r="B887" s="359" t="str">
        <f>'Front Sheet and Checklist'!$C$5</f>
        <v>Swansea Bay UHB</v>
      </c>
      <c r="C887" s="17"/>
      <c r="D887" s="17"/>
      <c r="E887" s="17"/>
      <c r="F887" s="17"/>
      <c r="G887" s="17"/>
      <c r="H887" s="17"/>
      <c r="I887" s="361">
        <f t="shared" si="189"/>
        <v>0</v>
      </c>
      <c r="J887" s="17"/>
      <c r="K887" s="18"/>
      <c r="L887" s="18"/>
      <c r="M887" s="17"/>
      <c r="N887" s="17"/>
      <c r="O887" s="17"/>
      <c r="P887" s="17"/>
      <c r="Q887" s="169"/>
      <c r="R887" s="24"/>
      <c r="S887" s="24"/>
      <c r="T887" s="24"/>
      <c r="U887" s="25"/>
      <c r="V887" s="25"/>
      <c r="W887" s="25"/>
      <c r="X887" s="24"/>
      <c r="Y887" s="24"/>
      <c r="Z887" s="24"/>
      <c r="AA887" s="24"/>
      <c r="AB887" s="24"/>
      <c r="AC887" s="24"/>
      <c r="AD887" s="361">
        <f t="shared" si="188"/>
        <v>0</v>
      </c>
      <c r="AE887" s="359" t="str">
        <f t="shared" si="191"/>
        <v/>
      </c>
      <c r="AF887" s="359" t="str">
        <f t="shared" si="200"/>
        <v/>
      </c>
      <c r="AG887" s="359" t="str">
        <f t="shared" si="192"/>
        <v/>
      </c>
      <c r="AH887" s="359" t="str">
        <f t="shared" si="193"/>
        <v/>
      </c>
      <c r="AI887" s="359" t="str">
        <f t="shared" si="194"/>
        <v/>
      </c>
      <c r="AJ887" s="359" t="str">
        <f t="shared" si="195"/>
        <v/>
      </c>
      <c r="AK887" s="359" t="str">
        <f t="shared" si="197"/>
        <v/>
      </c>
      <c r="AL887" s="359" t="str">
        <f t="shared" si="196"/>
        <v/>
      </c>
      <c r="AM887" s="359" t="str">
        <f t="shared" si="198"/>
        <v/>
      </c>
      <c r="AN887" s="262">
        <f t="shared" si="201"/>
        <v>0</v>
      </c>
      <c r="AO887" s="262" t="str">
        <f>IFERROR(HLOOKUP(AN887,'Ref Lists'!Q$1:AL$2,2,FALSE),'Ref Lists'!$AK$2)</f>
        <v>Savings21</v>
      </c>
      <c r="AP887" s="38"/>
      <c r="AQ887" s="38">
        <f t="shared" si="190"/>
        <v>0</v>
      </c>
      <c r="AR887" s="38"/>
      <c r="AS887" s="38"/>
      <c r="AT887" s="38"/>
      <c r="AU887" s="38"/>
      <c r="AV887" s="38"/>
      <c r="AW887" s="38"/>
      <c r="AX887" s="38"/>
      <c r="AY887" s="38"/>
      <c r="AZ887" s="38"/>
      <c r="BA887" s="38"/>
      <c r="BB887" s="38"/>
      <c r="BC887" s="38"/>
      <c r="BD887" s="38"/>
      <c r="BE887" s="38"/>
      <c r="BF887" s="38"/>
      <c r="BG887" s="38"/>
      <c r="BH887" s="38"/>
      <c r="BI887" s="38"/>
      <c r="BJ887" s="38"/>
      <c r="BK887" s="38"/>
      <c r="BL887" s="38"/>
      <c r="BM887" s="38"/>
      <c r="BN887" s="38"/>
      <c r="BO887" s="38"/>
      <c r="BP887" s="38"/>
      <c r="BQ887" s="38"/>
      <c r="BR887" s="38"/>
      <c r="BS887" s="38"/>
      <c r="BT887" s="38"/>
      <c r="BU887" s="38"/>
      <c r="BV887" s="38"/>
      <c r="BW887" s="38"/>
      <c r="BX887" s="38"/>
      <c r="BY887" s="38"/>
      <c r="BZ887" s="38"/>
      <c r="CA887" s="38"/>
      <c r="CB887" s="38"/>
      <c r="CC887" s="38"/>
      <c r="CD887" s="38"/>
      <c r="CE887" s="38"/>
      <c r="CF887" s="38"/>
      <c r="CG887" s="38"/>
      <c r="CH887" s="38"/>
      <c r="CI887" s="38"/>
      <c r="CJ887" s="38"/>
      <c r="CK887" s="38"/>
      <c r="CL887" s="38"/>
      <c r="CM887" s="38"/>
      <c r="CN887" s="38"/>
      <c r="CO887" s="38"/>
      <c r="CP887" s="38"/>
      <c r="CQ887" s="38"/>
      <c r="CR887" s="38"/>
      <c r="CS887" s="38"/>
      <c r="CT887" s="38"/>
      <c r="CU887" s="38"/>
      <c r="CV887" s="38"/>
      <c r="CW887" s="38"/>
      <c r="CX887" s="38"/>
      <c r="CY887" s="38"/>
      <c r="CZ887" s="38"/>
    </row>
    <row r="888" spans="1:104" s="40" customFormat="1" ht="20.149999999999999" customHeight="1">
      <c r="A888" s="358">
        <f t="shared" si="199"/>
        <v>887</v>
      </c>
      <c r="B888" s="359" t="str">
        <f>'Front Sheet and Checklist'!$C$5</f>
        <v>Swansea Bay UHB</v>
      </c>
      <c r="C888" s="17"/>
      <c r="D888" s="17"/>
      <c r="E888" s="17"/>
      <c r="F888" s="17"/>
      <c r="G888" s="17"/>
      <c r="H888" s="17"/>
      <c r="I888" s="361">
        <f t="shared" si="189"/>
        <v>0</v>
      </c>
      <c r="J888" s="17"/>
      <c r="K888" s="18"/>
      <c r="L888" s="18"/>
      <c r="M888" s="17"/>
      <c r="N888" s="17"/>
      <c r="O888" s="17"/>
      <c r="P888" s="17"/>
      <c r="Q888" s="169"/>
      <c r="R888" s="24"/>
      <c r="S888" s="24"/>
      <c r="T888" s="24"/>
      <c r="U888" s="25"/>
      <c r="V888" s="25"/>
      <c r="W888" s="25"/>
      <c r="X888" s="24"/>
      <c r="Y888" s="24"/>
      <c r="Z888" s="24"/>
      <c r="AA888" s="24"/>
      <c r="AB888" s="24"/>
      <c r="AC888" s="24"/>
      <c r="AD888" s="361">
        <f t="shared" si="188"/>
        <v>0</v>
      </c>
      <c r="AE888" s="359" t="str">
        <f t="shared" si="191"/>
        <v/>
      </c>
      <c r="AF888" s="359" t="str">
        <f t="shared" si="200"/>
        <v/>
      </c>
      <c r="AG888" s="359" t="str">
        <f t="shared" si="192"/>
        <v/>
      </c>
      <c r="AH888" s="359" t="str">
        <f t="shared" si="193"/>
        <v/>
      </c>
      <c r="AI888" s="359" t="str">
        <f t="shared" si="194"/>
        <v/>
      </c>
      <c r="AJ888" s="359" t="str">
        <f t="shared" si="195"/>
        <v/>
      </c>
      <c r="AK888" s="359" t="str">
        <f t="shared" si="197"/>
        <v/>
      </c>
      <c r="AL888" s="359" t="str">
        <f t="shared" si="196"/>
        <v/>
      </c>
      <c r="AM888" s="359" t="str">
        <f t="shared" si="198"/>
        <v/>
      </c>
      <c r="AN888" s="262">
        <f t="shared" si="201"/>
        <v>0</v>
      </c>
      <c r="AO888" s="262" t="str">
        <f>IFERROR(HLOOKUP(AN888,'Ref Lists'!Q$1:AL$2,2,FALSE),'Ref Lists'!$AK$2)</f>
        <v>Savings21</v>
      </c>
      <c r="AP888" s="38"/>
      <c r="AQ888" s="38">
        <f t="shared" si="190"/>
        <v>0</v>
      </c>
      <c r="AR888" s="38"/>
      <c r="AS888" s="38"/>
      <c r="AT888" s="38"/>
      <c r="AU888" s="38"/>
      <c r="AV888" s="38"/>
      <c r="AW888" s="38"/>
      <c r="AX888" s="38"/>
      <c r="AY888" s="38"/>
      <c r="AZ888" s="38"/>
      <c r="BA888" s="38"/>
      <c r="BB888" s="38"/>
      <c r="BC888" s="38"/>
      <c r="BD888" s="38"/>
      <c r="BE888" s="38"/>
      <c r="BF888" s="38"/>
      <c r="BG888" s="38"/>
      <c r="BH888" s="38"/>
      <c r="BI888" s="38"/>
      <c r="BJ888" s="38"/>
      <c r="BK888" s="38"/>
      <c r="BL888" s="38"/>
      <c r="BM888" s="38"/>
      <c r="BN888" s="38"/>
      <c r="BO888" s="38"/>
      <c r="BP888" s="38"/>
      <c r="BQ888" s="38"/>
      <c r="BR888" s="38"/>
      <c r="BS888" s="38"/>
      <c r="BT888" s="38"/>
      <c r="BU888" s="38"/>
      <c r="BV888" s="38"/>
      <c r="BW888" s="38"/>
      <c r="BX888" s="38"/>
      <c r="BY888" s="38"/>
      <c r="BZ888" s="38"/>
      <c r="CA888" s="38"/>
      <c r="CB888" s="38"/>
      <c r="CC888" s="38"/>
      <c r="CD888" s="38"/>
      <c r="CE888" s="38"/>
      <c r="CF888" s="38"/>
      <c r="CG888" s="38"/>
      <c r="CH888" s="38"/>
      <c r="CI888" s="38"/>
      <c r="CJ888" s="38"/>
      <c r="CK888" s="38"/>
      <c r="CL888" s="38"/>
      <c r="CM888" s="38"/>
      <c r="CN888" s="38"/>
      <c r="CO888" s="38"/>
      <c r="CP888" s="38"/>
      <c r="CQ888" s="38"/>
      <c r="CR888" s="38"/>
      <c r="CS888" s="38"/>
      <c r="CT888" s="38"/>
      <c r="CU888" s="38"/>
      <c r="CV888" s="38"/>
      <c r="CW888" s="38"/>
      <c r="CX888" s="38"/>
      <c r="CY888" s="38"/>
      <c r="CZ888" s="38"/>
    </row>
    <row r="889" spans="1:104" s="40" customFormat="1" ht="20.149999999999999" customHeight="1">
      <c r="A889" s="358">
        <f t="shared" si="199"/>
        <v>888</v>
      </c>
      <c r="B889" s="359" t="str">
        <f>'Front Sheet and Checklist'!$C$5</f>
        <v>Swansea Bay UHB</v>
      </c>
      <c r="C889" s="17"/>
      <c r="D889" s="17"/>
      <c r="E889" s="17"/>
      <c r="F889" s="17"/>
      <c r="G889" s="17"/>
      <c r="H889" s="17"/>
      <c r="I889" s="361">
        <f t="shared" si="189"/>
        <v>0</v>
      </c>
      <c r="J889" s="17"/>
      <c r="K889" s="18"/>
      <c r="L889" s="18"/>
      <c r="M889" s="17"/>
      <c r="N889" s="17"/>
      <c r="O889" s="17"/>
      <c r="P889" s="17"/>
      <c r="Q889" s="169"/>
      <c r="R889" s="24"/>
      <c r="S889" s="24"/>
      <c r="T889" s="24"/>
      <c r="U889" s="25"/>
      <c r="V889" s="25"/>
      <c r="W889" s="25"/>
      <c r="X889" s="24"/>
      <c r="Y889" s="24"/>
      <c r="Z889" s="24"/>
      <c r="AA889" s="24"/>
      <c r="AB889" s="24"/>
      <c r="AC889" s="24"/>
      <c r="AD889" s="361">
        <f t="shared" si="188"/>
        <v>0</v>
      </c>
      <c r="AE889" s="359" t="str">
        <f t="shared" si="191"/>
        <v/>
      </c>
      <c r="AF889" s="359" t="str">
        <f t="shared" si="200"/>
        <v/>
      </c>
      <c r="AG889" s="359" t="str">
        <f t="shared" si="192"/>
        <v/>
      </c>
      <c r="AH889" s="359" t="str">
        <f t="shared" si="193"/>
        <v/>
      </c>
      <c r="AI889" s="359" t="str">
        <f t="shared" si="194"/>
        <v/>
      </c>
      <c r="AJ889" s="359" t="str">
        <f t="shared" si="195"/>
        <v/>
      </c>
      <c r="AK889" s="359" t="str">
        <f t="shared" si="197"/>
        <v/>
      </c>
      <c r="AL889" s="359" t="str">
        <f t="shared" si="196"/>
        <v/>
      </c>
      <c r="AM889" s="359" t="str">
        <f t="shared" si="198"/>
        <v/>
      </c>
      <c r="AN889" s="262">
        <f t="shared" si="201"/>
        <v>0</v>
      </c>
      <c r="AO889" s="262" t="str">
        <f>IFERROR(HLOOKUP(AN889,'Ref Lists'!Q$1:AL$2,2,FALSE),'Ref Lists'!$AK$2)</f>
        <v>Savings21</v>
      </c>
      <c r="AP889" s="38"/>
      <c r="AQ889" s="38">
        <f t="shared" si="190"/>
        <v>0</v>
      </c>
      <c r="AR889" s="38"/>
      <c r="AS889" s="38"/>
      <c r="AT889" s="38"/>
      <c r="AU889" s="38"/>
      <c r="AV889" s="38"/>
      <c r="AW889" s="38"/>
      <c r="AX889" s="38"/>
      <c r="AY889" s="38"/>
      <c r="AZ889" s="38"/>
      <c r="BA889" s="38"/>
      <c r="BB889" s="38"/>
      <c r="BC889" s="38"/>
      <c r="BD889" s="38"/>
      <c r="BE889" s="38"/>
      <c r="BF889" s="38"/>
      <c r="BG889" s="38"/>
      <c r="BH889" s="38"/>
      <c r="BI889" s="38"/>
      <c r="BJ889" s="38"/>
      <c r="BK889" s="38"/>
      <c r="BL889" s="38"/>
      <c r="BM889" s="38"/>
      <c r="BN889" s="38"/>
      <c r="BO889" s="38"/>
      <c r="BP889" s="38"/>
      <c r="BQ889" s="38"/>
      <c r="BR889" s="38"/>
      <c r="BS889" s="38"/>
      <c r="BT889" s="38"/>
      <c r="BU889" s="38"/>
      <c r="BV889" s="38"/>
      <c r="BW889" s="38"/>
      <c r="BX889" s="38"/>
      <c r="BY889" s="38"/>
      <c r="BZ889" s="38"/>
      <c r="CA889" s="38"/>
      <c r="CB889" s="38"/>
      <c r="CC889" s="38"/>
      <c r="CD889" s="38"/>
      <c r="CE889" s="38"/>
      <c r="CF889" s="38"/>
      <c r="CG889" s="38"/>
      <c r="CH889" s="38"/>
      <c r="CI889" s="38"/>
      <c r="CJ889" s="38"/>
      <c r="CK889" s="38"/>
      <c r="CL889" s="38"/>
      <c r="CM889" s="38"/>
      <c r="CN889" s="38"/>
      <c r="CO889" s="38"/>
      <c r="CP889" s="38"/>
      <c r="CQ889" s="38"/>
      <c r="CR889" s="38"/>
      <c r="CS889" s="38"/>
      <c r="CT889" s="38"/>
      <c r="CU889" s="38"/>
      <c r="CV889" s="38"/>
      <c r="CW889" s="38"/>
      <c r="CX889" s="38"/>
      <c r="CY889" s="38"/>
      <c r="CZ889" s="38"/>
    </row>
    <row r="890" spans="1:104" s="40" customFormat="1" ht="20.149999999999999" customHeight="1">
      <c r="A890" s="358">
        <f t="shared" si="199"/>
        <v>889</v>
      </c>
      <c r="B890" s="359" t="str">
        <f>'Front Sheet and Checklist'!$C$5</f>
        <v>Swansea Bay UHB</v>
      </c>
      <c r="C890" s="17"/>
      <c r="D890" s="17"/>
      <c r="E890" s="17"/>
      <c r="F890" s="17"/>
      <c r="G890" s="17"/>
      <c r="H890" s="17"/>
      <c r="I890" s="361">
        <f t="shared" si="189"/>
        <v>0</v>
      </c>
      <c r="J890" s="17"/>
      <c r="K890" s="18"/>
      <c r="L890" s="18"/>
      <c r="M890" s="17"/>
      <c r="N890" s="17"/>
      <c r="O890" s="17"/>
      <c r="P890" s="17"/>
      <c r="Q890" s="169"/>
      <c r="R890" s="24"/>
      <c r="S890" s="24"/>
      <c r="T890" s="24"/>
      <c r="U890" s="25"/>
      <c r="V890" s="25"/>
      <c r="W890" s="25"/>
      <c r="X890" s="24"/>
      <c r="Y890" s="24"/>
      <c r="Z890" s="24"/>
      <c r="AA890" s="24"/>
      <c r="AB890" s="24"/>
      <c r="AC890" s="24"/>
      <c r="AD890" s="361">
        <f t="shared" ref="AD890:AD953" si="202">SUM(R890:AC890)</f>
        <v>0</v>
      </c>
      <c r="AE890" s="359" t="str">
        <f t="shared" si="191"/>
        <v/>
      </c>
      <c r="AF890" s="359" t="str">
        <f t="shared" si="200"/>
        <v/>
      </c>
      <c r="AG890" s="359" t="str">
        <f t="shared" si="192"/>
        <v/>
      </c>
      <c r="AH890" s="359" t="str">
        <f t="shared" si="193"/>
        <v/>
      </c>
      <c r="AI890" s="359" t="str">
        <f t="shared" si="194"/>
        <v/>
      </c>
      <c r="AJ890" s="359" t="str">
        <f t="shared" si="195"/>
        <v/>
      </c>
      <c r="AK890" s="359" t="str">
        <f t="shared" si="197"/>
        <v/>
      </c>
      <c r="AL890" s="359" t="str">
        <f t="shared" si="196"/>
        <v/>
      </c>
      <c r="AM890" s="359" t="str">
        <f t="shared" si="198"/>
        <v/>
      </c>
      <c r="AN890" s="262">
        <f t="shared" si="201"/>
        <v>0</v>
      </c>
      <c r="AO890" s="262" t="str">
        <f>IFERROR(HLOOKUP(AN890,'Ref Lists'!Q$1:AL$2,2,FALSE),'Ref Lists'!$AK$2)</f>
        <v>Savings21</v>
      </c>
      <c r="AP890" s="38"/>
      <c r="AQ890" s="38">
        <f t="shared" si="190"/>
        <v>0</v>
      </c>
      <c r="AR890" s="38"/>
      <c r="AS890" s="38"/>
      <c r="AT890" s="38"/>
      <c r="AU890" s="38"/>
      <c r="AV890" s="38"/>
      <c r="AW890" s="38"/>
      <c r="AX890" s="38"/>
      <c r="AY890" s="38"/>
      <c r="AZ890" s="38"/>
      <c r="BA890" s="38"/>
      <c r="BB890" s="38"/>
      <c r="BC890" s="38"/>
      <c r="BD890" s="38"/>
      <c r="BE890" s="38"/>
      <c r="BF890" s="38"/>
      <c r="BG890" s="38"/>
      <c r="BH890" s="38"/>
      <c r="BI890" s="38"/>
      <c r="BJ890" s="38"/>
      <c r="BK890" s="38"/>
      <c r="BL890" s="38"/>
      <c r="BM890" s="38"/>
      <c r="BN890" s="38"/>
      <c r="BO890" s="38"/>
      <c r="BP890" s="38"/>
      <c r="BQ890" s="38"/>
      <c r="BR890" s="38"/>
      <c r="BS890" s="38"/>
      <c r="BT890" s="38"/>
      <c r="BU890" s="38"/>
      <c r="BV890" s="38"/>
      <c r="BW890" s="38"/>
      <c r="BX890" s="38"/>
      <c r="BY890" s="38"/>
      <c r="BZ890" s="38"/>
      <c r="CA890" s="38"/>
      <c r="CB890" s="38"/>
      <c r="CC890" s="38"/>
      <c r="CD890" s="38"/>
      <c r="CE890" s="38"/>
      <c r="CF890" s="38"/>
      <c r="CG890" s="38"/>
      <c r="CH890" s="38"/>
      <c r="CI890" s="38"/>
      <c r="CJ890" s="38"/>
      <c r="CK890" s="38"/>
      <c r="CL890" s="38"/>
      <c r="CM890" s="38"/>
      <c r="CN890" s="38"/>
      <c r="CO890" s="38"/>
      <c r="CP890" s="38"/>
      <c r="CQ890" s="38"/>
      <c r="CR890" s="38"/>
      <c r="CS890" s="38"/>
      <c r="CT890" s="38"/>
      <c r="CU890" s="38"/>
      <c r="CV890" s="38"/>
      <c r="CW890" s="38"/>
      <c r="CX890" s="38"/>
      <c r="CY890" s="38"/>
      <c r="CZ890" s="38"/>
    </row>
    <row r="891" spans="1:104" s="40" customFormat="1" ht="20.149999999999999" customHeight="1">
      <c r="A891" s="358">
        <f t="shared" si="199"/>
        <v>890</v>
      </c>
      <c r="B891" s="359" t="str">
        <f>'Front Sheet and Checklist'!$C$5</f>
        <v>Swansea Bay UHB</v>
      </c>
      <c r="C891" s="17"/>
      <c r="D891" s="17"/>
      <c r="E891" s="17"/>
      <c r="F891" s="17"/>
      <c r="G891" s="17"/>
      <c r="H891" s="17"/>
      <c r="I891" s="361">
        <f t="shared" ref="I891:I954" si="203">AD891</f>
        <v>0</v>
      </c>
      <c r="J891" s="17"/>
      <c r="K891" s="18"/>
      <c r="L891" s="18"/>
      <c r="M891" s="17"/>
      <c r="N891" s="17"/>
      <c r="O891" s="17"/>
      <c r="P891" s="17"/>
      <c r="Q891" s="169"/>
      <c r="R891" s="24"/>
      <c r="S891" s="24"/>
      <c r="T891" s="24"/>
      <c r="U891" s="25"/>
      <c r="V891" s="25"/>
      <c r="W891" s="25"/>
      <c r="X891" s="24"/>
      <c r="Y891" s="24"/>
      <c r="Z891" s="24"/>
      <c r="AA891" s="24"/>
      <c r="AB891" s="24"/>
      <c r="AC891" s="24"/>
      <c r="AD891" s="361">
        <f t="shared" si="202"/>
        <v>0</v>
      </c>
      <c r="AE891" s="359" t="str">
        <f t="shared" si="191"/>
        <v/>
      </c>
      <c r="AF891" s="359" t="str">
        <f t="shared" si="200"/>
        <v/>
      </c>
      <c r="AG891" s="359" t="str">
        <f t="shared" si="192"/>
        <v/>
      </c>
      <c r="AH891" s="359" t="str">
        <f t="shared" si="193"/>
        <v/>
      </c>
      <c r="AI891" s="359" t="str">
        <f t="shared" si="194"/>
        <v/>
      </c>
      <c r="AJ891" s="359" t="str">
        <f t="shared" si="195"/>
        <v/>
      </c>
      <c r="AK891" s="359" t="str">
        <f t="shared" si="197"/>
        <v/>
      </c>
      <c r="AL891" s="359" t="str">
        <f t="shared" si="196"/>
        <v/>
      </c>
      <c r="AM891" s="359" t="str">
        <f t="shared" si="198"/>
        <v/>
      </c>
      <c r="AN891" s="262">
        <f t="shared" si="201"/>
        <v>0</v>
      </c>
      <c r="AO891" s="262" t="str">
        <f>IFERROR(HLOOKUP(AN891,'Ref Lists'!Q$1:AL$2,2,FALSE),'Ref Lists'!$AK$2)</f>
        <v>Savings21</v>
      </c>
      <c r="AP891" s="38"/>
      <c r="AQ891" s="38">
        <f t="shared" ref="AQ891:AQ954" si="204">COUNTIFS(AE891:AL891,"Error")</f>
        <v>0</v>
      </c>
      <c r="AR891" s="38"/>
      <c r="AS891" s="38"/>
      <c r="AT891" s="38"/>
      <c r="AU891" s="38"/>
      <c r="AV891" s="38"/>
      <c r="AW891" s="38"/>
      <c r="AX891" s="38"/>
      <c r="AY891" s="38"/>
      <c r="AZ891" s="38"/>
      <c r="BA891" s="38"/>
      <c r="BB891" s="38"/>
      <c r="BC891" s="38"/>
      <c r="BD891" s="38"/>
      <c r="BE891" s="38"/>
      <c r="BF891" s="38"/>
      <c r="BG891" s="38"/>
      <c r="BH891" s="38"/>
      <c r="BI891" s="38"/>
      <c r="BJ891" s="38"/>
      <c r="BK891" s="38"/>
      <c r="BL891" s="38"/>
      <c r="BM891" s="38"/>
      <c r="BN891" s="38"/>
      <c r="BO891" s="38"/>
      <c r="BP891" s="38"/>
      <c r="BQ891" s="38"/>
      <c r="BR891" s="38"/>
      <c r="BS891" s="38"/>
      <c r="BT891" s="38"/>
      <c r="BU891" s="38"/>
      <c r="BV891" s="38"/>
      <c r="BW891" s="38"/>
      <c r="BX891" s="38"/>
      <c r="BY891" s="38"/>
      <c r="BZ891" s="38"/>
      <c r="CA891" s="38"/>
      <c r="CB891" s="38"/>
      <c r="CC891" s="38"/>
      <c r="CD891" s="38"/>
      <c r="CE891" s="38"/>
      <c r="CF891" s="38"/>
      <c r="CG891" s="38"/>
      <c r="CH891" s="38"/>
      <c r="CI891" s="38"/>
      <c r="CJ891" s="38"/>
      <c r="CK891" s="38"/>
      <c r="CL891" s="38"/>
      <c r="CM891" s="38"/>
      <c r="CN891" s="38"/>
      <c r="CO891" s="38"/>
      <c r="CP891" s="38"/>
      <c r="CQ891" s="38"/>
      <c r="CR891" s="38"/>
      <c r="CS891" s="38"/>
      <c r="CT891" s="38"/>
      <c r="CU891" s="38"/>
      <c r="CV891" s="38"/>
      <c r="CW891" s="38"/>
      <c r="CX891" s="38"/>
      <c r="CY891" s="38"/>
      <c r="CZ891" s="38"/>
    </row>
    <row r="892" spans="1:104" s="40" customFormat="1" ht="20.149999999999999" customHeight="1">
      <c r="A892" s="358">
        <f t="shared" si="199"/>
        <v>891</v>
      </c>
      <c r="B892" s="359" t="str">
        <f>'Front Sheet and Checklist'!$C$5</f>
        <v>Swansea Bay UHB</v>
      </c>
      <c r="C892" s="17"/>
      <c r="D892" s="17"/>
      <c r="E892" s="17"/>
      <c r="F892" s="17"/>
      <c r="G892" s="17"/>
      <c r="H892" s="17"/>
      <c r="I892" s="361">
        <f t="shared" si="203"/>
        <v>0</v>
      </c>
      <c r="J892" s="17"/>
      <c r="K892" s="18"/>
      <c r="L892" s="18"/>
      <c r="M892" s="17"/>
      <c r="N892" s="17"/>
      <c r="O892" s="17"/>
      <c r="P892" s="17"/>
      <c r="Q892" s="169"/>
      <c r="R892" s="24"/>
      <c r="S892" s="24"/>
      <c r="T892" s="24"/>
      <c r="U892" s="25"/>
      <c r="V892" s="25"/>
      <c r="W892" s="25"/>
      <c r="X892" s="24"/>
      <c r="Y892" s="24"/>
      <c r="Z892" s="24"/>
      <c r="AA892" s="24"/>
      <c r="AB892" s="24"/>
      <c r="AC892" s="24"/>
      <c r="AD892" s="361">
        <f t="shared" si="202"/>
        <v>0</v>
      </c>
      <c r="AE892" s="359" t="str">
        <f t="shared" si="191"/>
        <v/>
      </c>
      <c r="AF892" s="359" t="str">
        <f t="shared" si="200"/>
        <v/>
      </c>
      <c r="AG892" s="359" t="str">
        <f t="shared" si="192"/>
        <v/>
      </c>
      <c r="AH892" s="359" t="str">
        <f t="shared" si="193"/>
        <v/>
      </c>
      <c r="AI892" s="359" t="str">
        <f t="shared" si="194"/>
        <v/>
      </c>
      <c r="AJ892" s="359" t="str">
        <f t="shared" si="195"/>
        <v/>
      </c>
      <c r="AK892" s="359" t="str">
        <f t="shared" si="197"/>
        <v/>
      </c>
      <c r="AL892" s="359" t="str">
        <f t="shared" si="196"/>
        <v/>
      </c>
      <c r="AM892" s="359" t="str">
        <f t="shared" si="198"/>
        <v/>
      </c>
      <c r="AN892" s="262">
        <f t="shared" si="201"/>
        <v>0</v>
      </c>
      <c r="AO892" s="262" t="str">
        <f>IFERROR(HLOOKUP(AN892,'Ref Lists'!Q$1:AL$2,2,FALSE),'Ref Lists'!$AK$2)</f>
        <v>Savings21</v>
      </c>
      <c r="AP892" s="38"/>
      <c r="AQ892" s="38">
        <f t="shared" si="204"/>
        <v>0</v>
      </c>
      <c r="AR892" s="38"/>
      <c r="AS892" s="38"/>
      <c r="AT892" s="38"/>
      <c r="AU892" s="38"/>
      <c r="AV892" s="38"/>
      <c r="AW892" s="38"/>
      <c r="AX892" s="38"/>
      <c r="AY892" s="38"/>
      <c r="AZ892" s="38"/>
      <c r="BA892" s="38"/>
      <c r="BB892" s="38"/>
      <c r="BC892" s="38"/>
      <c r="BD892" s="38"/>
      <c r="BE892" s="38"/>
      <c r="BF892" s="38"/>
      <c r="BG892" s="38"/>
      <c r="BH892" s="38"/>
      <c r="BI892" s="38"/>
      <c r="BJ892" s="38"/>
      <c r="BK892" s="38"/>
      <c r="BL892" s="38"/>
      <c r="BM892" s="38"/>
      <c r="BN892" s="38"/>
      <c r="BO892" s="38"/>
      <c r="BP892" s="38"/>
      <c r="BQ892" s="38"/>
      <c r="BR892" s="38"/>
      <c r="BS892" s="38"/>
      <c r="BT892" s="38"/>
      <c r="BU892" s="38"/>
      <c r="BV892" s="38"/>
      <c r="BW892" s="38"/>
      <c r="BX892" s="38"/>
      <c r="BY892" s="38"/>
      <c r="BZ892" s="38"/>
      <c r="CA892" s="38"/>
      <c r="CB892" s="38"/>
      <c r="CC892" s="38"/>
      <c r="CD892" s="38"/>
      <c r="CE892" s="38"/>
      <c r="CF892" s="38"/>
      <c r="CG892" s="38"/>
      <c r="CH892" s="38"/>
      <c r="CI892" s="38"/>
      <c r="CJ892" s="38"/>
      <c r="CK892" s="38"/>
      <c r="CL892" s="38"/>
      <c r="CM892" s="38"/>
      <c r="CN892" s="38"/>
      <c r="CO892" s="38"/>
      <c r="CP892" s="38"/>
      <c r="CQ892" s="38"/>
      <c r="CR892" s="38"/>
      <c r="CS892" s="38"/>
      <c r="CT892" s="38"/>
      <c r="CU892" s="38"/>
      <c r="CV892" s="38"/>
      <c r="CW892" s="38"/>
      <c r="CX892" s="38"/>
      <c r="CY892" s="38"/>
      <c r="CZ892" s="38"/>
    </row>
    <row r="893" spans="1:104" s="40" customFormat="1" ht="20.149999999999999" customHeight="1">
      <c r="A893" s="358">
        <f t="shared" si="199"/>
        <v>892</v>
      </c>
      <c r="B893" s="359" t="str">
        <f>'Front Sheet and Checklist'!$C$5</f>
        <v>Swansea Bay UHB</v>
      </c>
      <c r="C893" s="17"/>
      <c r="D893" s="17"/>
      <c r="E893" s="17"/>
      <c r="F893" s="17"/>
      <c r="G893" s="17"/>
      <c r="H893" s="17"/>
      <c r="I893" s="361">
        <f t="shared" si="203"/>
        <v>0</v>
      </c>
      <c r="J893" s="17"/>
      <c r="K893" s="18"/>
      <c r="L893" s="18"/>
      <c r="M893" s="17"/>
      <c r="N893" s="17"/>
      <c r="O893" s="17"/>
      <c r="P893" s="17"/>
      <c r="Q893" s="169"/>
      <c r="R893" s="24"/>
      <c r="S893" s="24"/>
      <c r="T893" s="24"/>
      <c r="U893" s="25"/>
      <c r="V893" s="25"/>
      <c r="W893" s="25"/>
      <c r="X893" s="24"/>
      <c r="Y893" s="24"/>
      <c r="Z893" s="24"/>
      <c r="AA893" s="24"/>
      <c r="AB893" s="24"/>
      <c r="AC893" s="24"/>
      <c r="AD893" s="361">
        <f t="shared" si="202"/>
        <v>0</v>
      </c>
      <c r="AE893" s="359" t="str">
        <f t="shared" si="191"/>
        <v/>
      </c>
      <c r="AF893" s="359" t="str">
        <f t="shared" si="200"/>
        <v/>
      </c>
      <c r="AG893" s="359" t="str">
        <f t="shared" si="192"/>
        <v/>
      </c>
      <c r="AH893" s="359" t="str">
        <f t="shared" si="193"/>
        <v/>
      </c>
      <c r="AI893" s="359" t="str">
        <f t="shared" si="194"/>
        <v/>
      </c>
      <c r="AJ893" s="359" t="str">
        <f t="shared" si="195"/>
        <v/>
      </c>
      <c r="AK893" s="359" t="str">
        <f t="shared" si="197"/>
        <v/>
      </c>
      <c r="AL893" s="359" t="str">
        <f t="shared" si="196"/>
        <v/>
      </c>
      <c r="AM893" s="359" t="str">
        <f t="shared" si="198"/>
        <v/>
      </c>
      <c r="AN893" s="262">
        <f t="shared" si="201"/>
        <v>0</v>
      </c>
      <c r="AO893" s="262" t="str">
        <f>IFERROR(HLOOKUP(AN893,'Ref Lists'!Q$1:AL$2,2,FALSE),'Ref Lists'!$AK$2)</f>
        <v>Savings21</v>
      </c>
      <c r="AP893" s="38"/>
      <c r="AQ893" s="38">
        <f t="shared" si="204"/>
        <v>0</v>
      </c>
      <c r="AR893" s="38"/>
      <c r="AS893" s="38"/>
      <c r="AT893" s="38"/>
      <c r="AU893" s="38"/>
      <c r="AV893" s="38"/>
      <c r="AW893" s="38"/>
      <c r="AX893" s="38"/>
      <c r="AY893" s="38"/>
      <c r="AZ893" s="38"/>
      <c r="BA893" s="38"/>
      <c r="BB893" s="38"/>
      <c r="BC893" s="38"/>
      <c r="BD893" s="38"/>
      <c r="BE893" s="38"/>
      <c r="BF893" s="38"/>
      <c r="BG893" s="38"/>
      <c r="BH893" s="38"/>
      <c r="BI893" s="38"/>
      <c r="BJ893" s="38"/>
      <c r="BK893" s="38"/>
      <c r="BL893" s="38"/>
      <c r="BM893" s="38"/>
      <c r="BN893" s="38"/>
      <c r="BO893" s="38"/>
      <c r="BP893" s="38"/>
      <c r="BQ893" s="38"/>
      <c r="BR893" s="38"/>
      <c r="BS893" s="38"/>
      <c r="BT893" s="38"/>
      <c r="BU893" s="38"/>
      <c r="BV893" s="38"/>
      <c r="BW893" s="38"/>
      <c r="BX893" s="38"/>
      <c r="BY893" s="38"/>
      <c r="BZ893" s="38"/>
      <c r="CA893" s="38"/>
      <c r="CB893" s="38"/>
      <c r="CC893" s="38"/>
      <c r="CD893" s="38"/>
      <c r="CE893" s="38"/>
      <c r="CF893" s="38"/>
      <c r="CG893" s="38"/>
      <c r="CH893" s="38"/>
      <c r="CI893" s="38"/>
      <c r="CJ893" s="38"/>
      <c r="CK893" s="38"/>
      <c r="CL893" s="38"/>
      <c r="CM893" s="38"/>
      <c r="CN893" s="38"/>
      <c r="CO893" s="38"/>
      <c r="CP893" s="38"/>
      <c r="CQ893" s="38"/>
      <c r="CR893" s="38"/>
      <c r="CS893" s="38"/>
      <c r="CT893" s="38"/>
      <c r="CU893" s="38"/>
      <c r="CV893" s="38"/>
      <c r="CW893" s="38"/>
      <c r="CX893" s="38"/>
      <c r="CY893" s="38"/>
      <c r="CZ893" s="38"/>
    </row>
    <row r="894" spans="1:104" s="40" customFormat="1" ht="20.149999999999999" customHeight="1">
      <c r="A894" s="358">
        <f t="shared" si="199"/>
        <v>893</v>
      </c>
      <c r="B894" s="359" t="str">
        <f>'Front Sheet and Checklist'!$C$5</f>
        <v>Swansea Bay UHB</v>
      </c>
      <c r="C894" s="17"/>
      <c r="D894" s="17"/>
      <c r="E894" s="17"/>
      <c r="F894" s="17"/>
      <c r="G894" s="17"/>
      <c r="H894" s="17"/>
      <c r="I894" s="361">
        <f t="shared" si="203"/>
        <v>0</v>
      </c>
      <c r="J894" s="17"/>
      <c r="K894" s="18"/>
      <c r="L894" s="18"/>
      <c r="M894" s="17"/>
      <c r="N894" s="17"/>
      <c r="O894" s="17"/>
      <c r="P894" s="17"/>
      <c r="Q894" s="169"/>
      <c r="R894" s="24"/>
      <c r="S894" s="24"/>
      <c r="T894" s="24"/>
      <c r="U894" s="25"/>
      <c r="V894" s="25"/>
      <c r="W894" s="25"/>
      <c r="X894" s="24"/>
      <c r="Y894" s="24"/>
      <c r="Z894" s="24"/>
      <c r="AA894" s="24"/>
      <c r="AB894" s="24"/>
      <c r="AC894" s="24"/>
      <c r="AD894" s="361">
        <f t="shared" si="202"/>
        <v>0</v>
      </c>
      <c r="AE894" s="359" t="str">
        <f t="shared" si="191"/>
        <v/>
      </c>
      <c r="AF894" s="359" t="str">
        <f t="shared" si="200"/>
        <v/>
      </c>
      <c r="AG894" s="359" t="str">
        <f t="shared" si="192"/>
        <v/>
      </c>
      <c r="AH894" s="359" t="str">
        <f t="shared" si="193"/>
        <v/>
      </c>
      <c r="AI894" s="359" t="str">
        <f t="shared" si="194"/>
        <v/>
      </c>
      <c r="AJ894" s="359" t="str">
        <f t="shared" si="195"/>
        <v/>
      </c>
      <c r="AK894" s="359" t="str">
        <f t="shared" si="197"/>
        <v/>
      </c>
      <c r="AL894" s="359" t="str">
        <f t="shared" si="196"/>
        <v/>
      </c>
      <c r="AM894" s="359" t="str">
        <f t="shared" si="198"/>
        <v/>
      </c>
      <c r="AN894" s="262">
        <f t="shared" si="201"/>
        <v>0</v>
      </c>
      <c r="AO894" s="262" t="str">
        <f>IFERROR(HLOOKUP(AN894,'Ref Lists'!Q$1:AL$2,2,FALSE),'Ref Lists'!$AK$2)</f>
        <v>Savings21</v>
      </c>
      <c r="AP894" s="38"/>
      <c r="AQ894" s="38">
        <f t="shared" si="204"/>
        <v>0</v>
      </c>
      <c r="AR894" s="38"/>
      <c r="AS894" s="38"/>
      <c r="AT894" s="38"/>
      <c r="AU894" s="38"/>
      <c r="AV894" s="38"/>
      <c r="AW894" s="38"/>
      <c r="AX894" s="38"/>
      <c r="AY894" s="38"/>
      <c r="AZ894" s="38"/>
      <c r="BA894" s="38"/>
      <c r="BB894" s="38"/>
      <c r="BC894" s="38"/>
      <c r="BD894" s="38"/>
      <c r="BE894" s="38"/>
      <c r="BF894" s="38"/>
      <c r="BG894" s="38"/>
      <c r="BH894" s="38"/>
      <c r="BI894" s="38"/>
      <c r="BJ894" s="38"/>
      <c r="BK894" s="38"/>
      <c r="BL894" s="38"/>
      <c r="BM894" s="38"/>
      <c r="BN894" s="38"/>
      <c r="BO894" s="38"/>
      <c r="BP894" s="38"/>
      <c r="BQ894" s="38"/>
      <c r="BR894" s="38"/>
      <c r="BS894" s="38"/>
      <c r="BT894" s="38"/>
      <c r="BU894" s="38"/>
      <c r="BV894" s="38"/>
      <c r="BW894" s="38"/>
      <c r="BX894" s="38"/>
      <c r="BY894" s="38"/>
      <c r="BZ894" s="38"/>
      <c r="CA894" s="38"/>
      <c r="CB894" s="38"/>
      <c r="CC894" s="38"/>
      <c r="CD894" s="38"/>
      <c r="CE894" s="38"/>
      <c r="CF894" s="38"/>
      <c r="CG894" s="38"/>
      <c r="CH894" s="38"/>
      <c r="CI894" s="38"/>
      <c r="CJ894" s="38"/>
      <c r="CK894" s="38"/>
      <c r="CL894" s="38"/>
      <c r="CM894" s="38"/>
      <c r="CN894" s="38"/>
      <c r="CO894" s="38"/>
      <c r="CP894" s="38"/>
      <c r="CQ894" s="38"/>
      <c r="CR894" s="38"/>
      <c r="CS894" s="38"/>
      <c r="CT894" s="38"/>
      <c r="CU894" s="38"/>
      <c r="CV894" s="38"/>
      <c r="CW894" s="38"/>
      <c r="CX894" s="38"/>
      <c r="CY894" s="38"/>
      <c r="CZ894" s="38"/>
    </row>
    <row r="895" spans="1:104" s="40" customFormat="1" ht="20.149999999999999" customHeight="1">
      <c r="A895" s="358">
        <f t="shared" si="199"/>
        <v>894</v>
      </c>
      <c r="B895" s="359" t="str">
        <f>'Front Sheet and Checklist'!$C$5</f>
        <v>Swansea Bay UHB</v>
      </c>
      <c r="C895" s="17"/>
      <c r="D895" s="17"/>
      <c r="E895" s="17"/>
      <c r="F895" s="17"/>
      <c r="G895" s="17"/>
      <c r="H895" s="17"/>
      <c r="I895" s="361">
        <f t="shared" si="203"/>
        <v>0</v>
      </c>
      <c r="J895" s="17"/>
      <c r="K895" s="18"/>
      <c r="L895" s="18"/>
      <c r="M895" s="17"/>
      <c r="N895" s="17"/>
      <c r="O895" s="17"/>
      <c r="P895" s="17"/>
      <c r="Q895" s="169"/>
      <c r="R895" s="24"/>
      <c r="S895" s="24"/>
      <c r="T895" s="24"/>
      <c r="U895" s="25"/>
      <c r="V895" s="25"/>
      <c r="W895" s="25"/>
      <c r="X895" s="24"/>
      <c r="Y895" s="24"/>
      <c r="Z895" s="24"/>
      <c r="AA895" s="24"/>
      <c r="AB895" s="24"/>
      <c r="AC895" s="24"/>
      <c r="AD895" s="361">
        <f t="shared" si="202"/>
        <v>0</v>
      </c>
      <c r="AE895" s="359" t="str">
        <f t="shared" si="191"/>
        <v/>
      </c>
      <c r="AF895" s="359" t="str">
        <f t="shared" si="200"/>
        <v/>
      </c>
      <c r="AG895" s="359" t="str">
        <f t="shared" si="192"/>
        <v/>
      </c>
      <c r="AH895" s="359" t="str">
        <f t="shared" si="193"/>
        <v/>
      </c>
      <c r="AI895" s="359" t="str">
        <f t="shared" si="194"/>
        <v/>
      </c>
      <c r="AJ895" s="359" t="str">
        <f t="shared" si="195"/>
        <v/>
      </c>
      <c r="AK895" s="359" t="str">
        <f t="shared" si="197"/>
        <v/>
      </c>
      <c r="AL895" s="359" t="str">
        <f t="shared" si="196"/>
        <v/>
      </c>
      <c r="AM895" s="359" t="str">
        <f t="shared" si="198"/>
        <v/>
      </c>
      <c r="AN895" s="262">
        <f t="shared" si="201"/>
        <v>0</v>
      </c>
      <c r="AO895" s="262" t="str">
        <f>IFERROR(HLOOKUP(AN895,'Ref Lists'!Q$1:AL$2,2,FALSE),'Ref Lists'!$AK$2)</f>
        <v>Savings21</v>
      </c>
      <c r="AP895" s="38"/>
      <c r="AQ895" s="38">
        <f t="shared" si="204"/>
        <v>0</v>
      </c>
      <c r="AR895" s="38"/>
      <c r="AS895" s="38"/>
      <c r="AT895" s="38"/>
      <c r="AU895" s="38"/>
      <c r="AV895" s="38"/>
      <c r="AW895" s="38"/>
      <c r="AX895" s="38"/>
      <c r="AY895" s="38"/>
      <c r="AZ895" s="38"/>
      <c r="BA895" s="38"/>
      <c r="BB895" s="38"/>
      <c r="BC895" s="38"/>
      <c r="BD895" s="38"/>
      <c r="BE895" s="38"/>
      <c r="BF895" s="38"/>
      <c r="BG895" s="38"/>
      <c r="BH895" s="38"/>
      <c r="BI895" s="38"/>
      <c r="BJ895" s="38"/>
      <c r="BK895" s="38"/>
      <c r="BL895" s="38"/>
      <c r="BM895" s="38"/>
      <c r="BN895" s="38"/>
      <c r="BO895" s="38"/>
      <c r="BP895" s="38"/>
      <c r="BQ895" s="38"/>
      <c r="BR895" s="38"/>
      <c r="BS895" s="38"/>
      <c r="BT895" s="38"/>
      <c r="BU895" s="38"/>
      <c r="BV895" s="38"/>
      <c r="BW895" s="38"/>
      <c r="BX895" s="38"/>
      <c r="BY895" s="38"/>
      <c r="BZ895" s="38"/>
      <c r="CA895" s="38"/>
      <c r="CB895" s="38"/>
      <c r="CC895" s="38"/>
      <c r="CD895" s="38"/>
      <c r="CE895" s="38"/>
      <c r="CF895" s="38"/>
      <c r="CG895" s="38"/>
      <c r="CH895" s="38"/>
      <c r="CI895" s="38"/>
      <c r="CJ895" s="38"/>
      <c r="CK895" s="38"/>
      <c r="CL895" s="38"/>
      <c r="CM895" s="38"/>
      <c r="CN895" s="38"/>
      <c r="CO895" s="38"/>
      <c r="CP895" s="38"/>
      <c r="CQ895" s="38"/>
      <c r="CR895" s="38"/>
      <c r="CS895" s="38"/>
      <c r="CT895" s="38"/>
      <c r="CU895" s="38"/>
      <c r="CV895" s="38"/>
      <c r="CW895" s="38"/>
      <c r="CX895" s="38"/>
      <c r="CY895" s="38"/>
      <c r="CZ895" s="38"/>
    </row>
    <row r="896" spans="1:104" s="40" customFormat="1" ht="20.149999999999999" customHeight="1">
      <c r="A896" s="358">
        <f t="shared" si="199"/>
        <v>895</v>
      </c>
      <c r="B896" s="359" t="str">
        <f>'Front Sheet and Checklist'!$C$5</f>
        <v>Swansea Bay UHB</v>
      </c>
      <c r="C896" s="17"/>
      <c r="D896" s="17"/>
      <c r="E896" s="17"/>
      <c r="F896" s="17"/>
      <c r="G896" s="17"/>
      <c r="H896" s="17"/>
      <c r="I896" s="361">
        <f t="shared" si="203"/>
        <v>0</v>
      </c>
      <c r="J896" s="17"/>
      <c r="K896" s="18"/>
      <c r="L896" s="18"/>
      <c r="M896" s="17"/>
      <c r="N896" s="17"/>
      <c r="O896" s="17"/>
      <c r="P896" s="17"/>
      <c r="Q896" s="169"/>
      <c r="R896" s="24"/>
      <c r="S896" s="24"/>
      <c r="T896" s="24"/>
      <c r="U896" s="25"/>
      <c r="V896" s="25"/>
      <c r="W896" s="25"/>
      <c r="X896" s="24"/>
      <c r="Y896" s="24"/>
      <c r="Z896" s="24"/>
      <c r="AA896" s="24"/>
      <c r="AB896" s="24"/>
      <c r="AC896" s="24"/>
      <c r="AD896" s="361">
        <f t="shared" si="202"/>
        <v>0</v>
      </c>
      <c r="AE896" s="359" t="str">
        <f t="shared" si="191"/>
        <v/>
      </c>
      <c r="AF896" s="359" t="str">
        <f t="shared" si="200"/>
        <v/>
      </c>
      <c r="AG896" s="359" t="str">
        <f t="shared" si="192"/>
        <v/>
      </c>
      <c r="AH896" s="359" t="str">
        <f t="shared" si="193"/>
        <v/>
      </c>
      <c r="AI896" s="359" t="str">
        <f t="shared" si="194"/>
        <v/>
      </c>
      <c r="AJ896" s="359" t="str">
        <f t="shared" si="195"/>
        <v/>
      </c>
      <c r="AK896" s="359" t="str">
        <f t="shared" si="197"/>
        <v/>
      </c>
      <c r="AL896" s="359" t="str">
        <f t="shared" si="196"/>
        <v/>
      </c>
      <c r="AM896" s="359" t="str">
        <f t="shared" si="198"/>
        <v/>
      </c>
      <c r="AN896" s="262">
        <f t="shared" si="201"/>
        <v>0</v>
      </c>
      <c r="AO896" s="262" t="str">
        <f>IFERROR(HLOOKUP(AN896,'Ref Lists'!Q$1:AL$2,2,FALSE),'Ref Lists'!$AK$2)</f>
        <v>Savings21</v>
      </c>
      <c r="AP896" s="38"/>
      <c r="AQ896" s="38">
        <f t="shared" si="204"/>
        <v>0</v>
      </c>
      <c r="AR896" s="38"/>
      <c r="AS896" s="38"/>
      <c r="AT896" s="38"/>
      <c r="AU896" s="38"/>
      <c r="AV896" s="38"/>
      <c r="AW896" s="38"/>
      <c r="AX896" s="38"/>
      <c r="AY896" s="38"/>
      <c r="AZ896" s="38"/>
      <c r="BA896" s="38"/>
      <c r="BB896" s="38"/>
      <c r="BC896" s="38"/>
      <c r="BD896" s="38"/>
      <c r="BE896" s="38"/>
      <c r="BF896" s="38"/>
      <c r="BG896" s="38"/>
      <c r="BH896" s="38"/>
      <c r="BI896" s="38"/>
      <c r="BJ896" s="38"/>
      <c r="BK896" s="38"/>
      <c r="BL896" s="38"/>
      <c r="BM896" s="38"/>
      <c r="BN896" s="38"/>
      <c r="BO896" s="38"/>
      <c r="BP896" s="38"/>
      <c r="BQ896" s="38"/>
      <c r="BR896" s="38"/>
      <c r="BS896" s="38"/>
      <c r="BT896" s="38"/>
      <c r="BU896" s="38"/>
      <c r="BV896" s="38"/>
      <c r="BW896" s="38"/>
      <c r="BX896" s="38"/>
      <c r="BY896" s="38"/>
      <c r="BZ896" s="38"/>
      <c r="CA896" s="38"/>
      <c r="CB896" s="38"/>
      <c r="CC896" s="38"/>
      <c r="CD896" s="38"/>
      <c r="CE896" s="38"/>
      <c r="CF896" s="38"/>
      <c r="CG896" s="38"/>
      <c r="CH896" s="38"/>
      <c r="CI896" s="38"/>
      <c r="CJ896" s="38"/>
      <c r="CK896" s="38"/>
      <c r="CL896" s="38"/>
      <c r="CM896" s="38"/>
      <c r="CN896" s="38"/>
      <c r="CO896" s="38"/>
      <c r="CP896" s="38"/>
      <c r="CQ896" s="38"/>
      <c r="CR896" s="38"/>
      <c r="CS896" s="38"/>
      <c r="CT896" s="38"/>
      <c r="CU896" s="38"/>
      <c r="CV896" s="38"/>
      <c r="CW896" s="38"/>
      <c r="CX896" s="38"/>
      <c r="CY896" s="38"/>
      <c r="CZ896" s="38"/>
    </row>
    <row r="897" spans="1:104" s="40" customFormat="1" ht="20.149999999999999" customHeight="1">
      <c r="A897" s="358">
        <f t="shared" si="199"/>
        <v>896</v>
      </c>
      <c r="B897" s="359" t="str">
        <f>'Front Sheet and Checklist'!$C$5</f>
        <v>Swansea Bay UHB</v>
      </c>
      <c r="C897" s="17"/>
      <c r="D897" s="17"/>
      <c r="E897" s="17"/>
      <c r="F897" s="17"/>
      <c r="G897" s="17"/>
      <c r="H897" s="17"/>
      <c r="I897" s="361">
        <f t="shared" si="203"/>
        <v>0</v>
      </c>
      <c r="J897" s="17"/>
      <c r="K897" s="18"/>
      <c r="L897" s="18"/>
      <c r="M897" s="17"/>
      <c r="N897" s="17"/>
      <c r="O897" s="17"/>
      <c r="P897" s="17"/>
      <c r="Q897" s="169"/>
      <c r="R897" s="24"/>
      <c r="S897" s="24"/>
      <c r="T897" s="24"/>
      <c r="U897" s="25"/>
      <c r="V897" s="25"/>
      <c r="W897" s="25"/>
      <c r="X897" s="24"/>
      <c r="Y897" s="24"/>
      <c r="Z897" s="24"/>
      <c r="AA897" s="24"/>
      <c r="AB897" s="24"/>
      <c r="AC897" s="24"/>
      <c r="AD897" s="361">
        <f t="shared" si="202"/>
        <v>0</v>
      </c>
      <c r="AE897" s="359" t="str">
        <f t="shared" si="191"/>
        <v/>
      </c>
      <c r="AF897" s="359" t="str">
        <f t="shared" si="200"/>
        <v/>
      </c>
      <c r="AG897" s="359" t="str">
        <f t="shared" si="192"/>
        <v/>
      </c>
      <c r="AH897" s="359" t="str">
        <f t="shared" si="193"/>
        <v/>
      </c>
      <c r="AI897" s="359" t="str">
        <f t="shared" si="194"/>
        <v/>
      </c>
      <c r="AJ897" s="359" t="str">
        <f t="shared" si="195"/>
        <v/>
      </c>
      <c r="AK897" s="359" t="str">
        <f t="shared" si="197"/>
        <v/>
      </c>
      <c r="AL897" s="359" t="str">
        <f t="shared" si="196"/>
        <v/>
      </c>
      <c r="AM897" s="359" t="str">
        <f t="shared" si="198"/>
        <v/>
      </c>
      <c r="AN897" s="262">
        <f t="shared" si="201"/>
        <v>0</v>
      </c>
      <c r="AO897" s="262" t="str">
        <f>IFERROR(HLOOKUP(AN897,'Ref Lists'!Q$1:AL$2,2,FALSE),'Ref Lists'!$AK$2)</f>
        <v>Savings21</v>
      </c>
      <c r="AP897" s="38"/>
      <c r="AQ897" s="38">
        <f t="shared" si="204"/>
        <v>0</v>
      </c>
      <c r="AR897" s="38"/>
      <c r="AS897" s="38"/>
      <c r="AT897" s="38"/>
      <c r="AU897" s="38"/>
      <c r="AV897" s="38"/>
      <c r="AW897" s="38"/>
      <c r="AX897" s="38"/>
      <c r="AY897" s="38"/>
      <c r="AZ897" s="38"/>
      <c r="BA897" s="38"/>
      <c r="BB897" s="38"/>
      <c r="BC897" s="38"/>
      <c r="BD897" s="38"/>
      <c r="BE897" s="38"/>
      <c r="BF897" s="38"/>
      <c r="BG897" s="38"/>
      <c r="BH897" s="38"/>
      <c r="BI897" s="38"/>
      <c r="BJ897" s="38"/>
      <c r="BK897" s="38"/>
      <c r="BL897" s="38"/>
      <c r="BM897" s="38"/>
      <c r="BN897" s="38"/>
      <c r="BO897" s="38"/>
      <c r="BP897" s="38"/>
      <c r="BQ897" s="38"/>
      <c r="BR897" s="38"/>
      <c r="BS897" s="38"/>
      <c r="BT897" s="38"/>
      <c r="BU897" s="38"/>
      <c r="BV897" s="38"/>
      <c r="BW897" s="38"/>
      <c r="BX897" s="38"/>
      <c r="BY897" s="38"/>
      <c r="BZ897" s="38"/>
      <c r="CA897" s="38"/>
      <c r="CB897" s="38"/>
      <c r="CC897" s="38"/>
      <c r="CD897" s="38"/>
      <c r="CE897" s="38"/>
      <c r="CF897" s="38"/>
      <c r="CG897" s="38"/>
      <c r="CH897" s="38"/>
      <c r="CI897" s="38"/>
      <c r="CJ897" s="38"/>
      <c r="CK897" s="38"/>
      <c r="CL897" s="38"/>
      <c r="CM897" s="38"/>
      <c r="CN897" s="38"/>
      <c r="CO897" s="38"/>
      <c r="CP897" s="38"/>
      <c r="CQ897" s="38"/>
      <c r="CR897" s="38"/>
      <c r="CS897" s="38"/>
      <c r="CT897" s="38"/>
      <c r="CU897" s="38"/>
      <c r="CV897" s="38"/>
      <c r="CW897" s="38"/>
      <c r="CX897" s="38"/>
      <c r="CY897" s="38"/>
      <c r="CZ897" s="38"/>
    </row>
    <row r="898" spans="1:104" s="40" customFormat="1" ht="20.149999999999999" customHeight="1">
      <c r="A898" s="358">
        <f t="shared" si="199"/>
        <v>897</v>
      </c>
      <c r="B898" s="359" t="str">
        <f>'Front Sheet and Checklist'!$C$5</f>
        <v>Swansea Bay UHB</v>
      </c>
      <c r="C898" s="17"/>
      <c r="D898" s="17"/>
      <c r="E898" s="17"/>
      <c r="F898" s="17"/>
      <c r="G898" s="17"/>
      <c r="H898" s="17"/>
      <c r="I898" s="361">
        <f t="shared" si="203"/>
        <v>0</v>
      </c>
      <c r="J898" s="17"/>
      <c r="K898" s="18"/>
      <c r="L898" s="18"/>
      <c r="M898" s="17"/>
      <c r="N898" s="17"/>
      <c r="O898" s="17"/>
      <c r="P898" s="17"/>
      <c r="Q898" s="169"/>
      <c r="R898" s="24"/>
      <c r="S898" s="24"/>
      <c r="T898" s="24"/>
      <c r="U898" s="25"/>
      <c r="V898" s="25"/>
      <c r="W898" s="25"/>
      <c r="X898" s="24"/>
      <c r="Y898" s="24"/>
      <c r="Z898" s="24"/>
      <c r="AA898" s="24"/>
      <c r="AB898" s="24"/>
      <c r="AC898" s="24"/>
      <c r="AD898" s="361">
        <f t="shared" si="202"/>
        <v>0</v>
      </c>
      <c r="AE898" s="359" t="str">
        <f t="shared" ref="AE898:AE961" si="205">IF(AND(I898&gt;0,H898&lt;&gt;"Income Generation"),IF(AND(H898&lt;&gt;"",D898&lt;&gt;"",E898&lt;&gt;"",F898&lt;&gt;"",C898&lt;&gt;"",G898&lt;&gt;"",K898&lt;&gt;"",L898&lt;&gt;"",M898&lt;&gt;"",N898&lt;&gt;"",P898&lt;&gt;"",Q898&lt;&gt;"",O898&lt;&gt;""),"","ERROR"),"")</f>
        <v/>
      </c>
      <c r="AF898" s="359" t="str">
        <f t="shared" si="200"/>
        <v/>
      </c>
      <c r="AG898" s="359" t="str">
        <f t="shared" ref="AG898:AG961" si="206">IF(AND(I898&gt;0,O898=""),"ERROR","")</f>
        <v/>
      </c>
      <c r="AH898" s="359" t="str">
        <f t="shared" ref="AH898:AH961" si="207">IF(AND(OR(H898="Income Generation"),O898&lt;&gt;""),"ERROR","")</f>
        <v/>
      </c>
      <c r="AI898" s="359" t="str">
        <f t="shared" ref="AI898:AI962" si="208">IF(AND(G898="R",I898&gt;J898),"ERROR","")</f>
        <v/>
      </c>
      <c r="AJ898" s="359" t="str">
        <f t="shared" ref="AJ898:AJ962" si="209">IF(AND(G898="NR",J898&gt;0),"ERROR","")</f>
        <v/>
      </c>
      <c r="AK898" s="359" t="str">
        <f t="shared" si="197"/>
        <v/>
      </c>
      <c r="AL898" s="359" t="str">
        <f t="shared" ref="AL898:AL962" si="210">IF(OR(L898="",L898="N/A"),"",IF(OR(L898&lt;DATEVALUE("01/04/24"),L898&gt;DATEVALUE("31/03/25")),"ERROR",""))</f>
        <v/>
      </c>
      <c r="AM898" s="359" t="str">
        <f t="shared" si="198"/>
        <v/>
      </c>
      <c r="AN898" s="262">
        <f t="shared" si="201"/>
        <v>0</v>
      </c>
      <c r="AO898" s="262" t="str">
        <f>IFERROR(HLOOKUP(AN898,'Ref Lists'!Q$1:AL$2,2,FALSE),'Ref Lists'!$AK$2)</f>
        <v>Savings21</v>
      </c>
      <c r="AP898" s="38"/>
      <c r="AQ898" s="38">
        <f t="shared" si="204"/>
        <v>0</v>
      </c>
      <c r="AR898" s="38"/>
      <c r="AS898" s="38"/>
      <c r="AT898" s="38"/>
      <c r="AU898" s="38"/>
      <c r="AV898" s="38"/>
      <c r="AW898" s="38"/>
      <c r="AX898" s="38"/>
      <c r="AY898" s="38"/>
      <c r="AZ898" s="38"/>
      <c r="BA898" s="38"/>
      <c r="BB898" s="38"/>
      <c r="BC898" s="38"/>
      <c r="BD898" s="38"/>
      <c r="BE898" s="38"/>
      <c r="BF898" s="38"/>
      <c r="BG898" s="38"/>
      <c r="BH898" s="38"/>
      <c r="BI898" s="38"/>
      <c r="BJ898" s="38"/>
      <c r="BK898" s="38"/>
      <c r="BL898" s="38"/>
      <c r="BM898" s="38"/>
      <c r="BN898" s="38"/>
      <c r="BO898" s="38"/>
      <c r="BP898" s="38"/>
      <c r="BQ898" s="38"/>
      <c r="BR898" s="38"/>
      <c r="BS898" s="38"/>
      <c r="BT898" s="38"/>
      <c r="BU898" s="38"/>
      <c r="BV898" s="38"/>
      <c r="BW898" s="38"/>
      <c r="BX898" s="38"/>
      <c r="BY898" s="38"/>
      <c r="BZ898" s="38"/>
      <c r="CA898" s="38"/>
      <c r="CB898" s="38"/>
      <c r="CC898" s="38"/>
      <c r="CD898" s="38"/>
      <c r="CE898" s="38"/>
      <c r="CF898" s="38"/>
      <c r="CG898" s="38"/>
      <c r="CH898" s="38"/>
      <c r="CI898" s="38"/>
      <c r="CJ898" s="38"/>
      <c r="CK898" s="38"/>
      <c r="CL898" s="38"/>
      <c r="CM898" s="38"/>
      <c r="CN898" s="38"/>
      <c r="CO898" s="38"/>
      <c r="CP898" s="38"/>
      <c r="CQ898" s="38"/>
      <c r="CR898" s="38"/>
      <c r="CS898" s="38"/>
      <c r="CT898" s="38"/>
      <c r="CU898" s="38"/>
      <c r="CV898" s="38"/>
      <c r="CW898" s="38"/>
      <c r="CX898" s="38"/>
      <c r="CY898" s="38"/>
      <c r="CZ898" s="38"/>
    </row>
    <row r="899" spans="1:104" s="40" customFormat="1" ht="20.149999999999999" customHeight="1">
      <c r="A899" s="358">
        <f t="shared" si="199"/>
        <v>898</v>
      </c>
      <c r="B899" s="359" t="str">
        <f>'Front Sheet and Checklist'!$C$5</f>
        <v>Swansea Bay UHB</v>
      </c>
      <c r="C899" s="17"/>
      <c r="D899" s="17"/>
      <c r="E899" s="17"/>
      <c r="F899" s="17"/>
      <c r="G899" s="17"/>
      <c r="H899" s="17"/>
      <c r="I899" s="361">
        <f t="shared" si="203"/>
        <v>0</v>
      </c>
      <c r="J899" s="17"/>
      <c r="K899" s="18"/>
      <c r="L899" s="18"/>
      <c r="M899" s="17"/>
      <c r="N899" s="17"/>
      <c r="O899" s="17"/>
      <c r="P899" s="17"/>
      <c r="Q899" s="169"/>
      <c r="R899" s="24"/>
      <c r="S899" s="24"/>
      <c r="T899" s="24"/>
      <c r="U899" s="25"/>
      <c r="V899" s="25"/>
      <c r="W899" s="25"/>
      <c r="X899" s="24"/>
      <c r="Y899" s="24"/>
      <c r="Z899" s="24"/>
      <c r="AA899" s="24"/>
      <c r="AB899" s="24"/>
      <c r="AC899" s="24"/>
      <c r="AD899" s="361">
        <f t="shared" si="202"/>
        <v>0</v>
      </c>
      <c r="AE899" s="359" t="str">
        <f t="shared" si="205"/>
        <v/>
      </c>
      <c r="AF899" s="359" t="str">
        <f t="shared" si="200"/>
        <v/>
      </c>
      <c r="AG899" s="359" t="str">
        <f t="shared" si="206"/>
        <v/>
      </c>
      <c r="AH899" s="359" t="str">
        <f t="shared" si="207"/>
        <v/>
      </c>
      <c r="AI899" s="359" t="str">
        <f t="shared" si="208"/>
        <v/>
      </c>
      <c r="AJ899" s="359" t="str">
        <f t="shared" si="209"/>
        <v/>
      </c>
      <c r="AK899" s="359" t="str">
        <f t="shared" ref="AK899:AK962" si="211">IF(OR(K899="",K899="N/a"),"",IF(OR(K899&lt;DATEVALUE("01/04/24"),K899&gt;DATEVALUE("31/03/25")),"ERROR",""))</f>
        <v/>
      </c>
      <c r="AL899" s="359" t="str">
        <f t="shared" si="210"/>
        <v/>
      </c>
      <c r="AM899" s="359" t="str">
        <f t="shared" ref="AM899:AM962" si="212">IF(COUNTA(T899:AC899)&lt;&gt;COUNT(T899:AC899),"ERROR","")</f>
        <v/>
      </c>
      <c r="AN899" s="262">
        <f t="shared" si="201"/>
        <v>0</v>
      </c>
      <c r="AO899" s="262" t="str">
        <f>IFERROR(HLOOKUP(AN899,'Ref Lists'!Q$1:AL$2,2,FALSE),'Ref Lists'!$AK$2)</f>
        <v>Savings21</v>
      </c>
      <c r="AP899" s="38"/>
      <c r="AQ899" s="38">
        <f t="shared" si="204"/>
        <v>0</v>
      </c>
      <c r="AR899" s="38"/>
      <c r="AS899" s="38"/>
      <c r="AT899" s="38"/>
      <c r="AU899" s="38"/>
      <c r="AV899" s="38"/>
      <c r="AW899" s="38"/>
      <c r="AX899" s="38"/>
      <c r="AY899" s="38"/>
      <c r="AZ899" s="38"/>
      <c r="BA899" s="38"/>
      <c r="BB899" s="38"/>
      <c r="BC899" s="38"/>
      <c r="BD899" s="38"/>
      <c r="BE899" s="38"/>
      <c r="BF899" s="38"/>
      <c r="BG899" s="38"/>
      <c r="BH899" s="38"/>
      <c r="BI899" s="38"/>
      <c r="BJ899" s="38"/>
      <c r="BK899" s="38"/>
      <c r="BL899" s="38"/>
      <c r="BM899" s="38"/>
      <c r="BN899" s="38"/>
      <c r="BO899" s="38"/>
      <c r="BP899" s="38"/>
      <c r="BQ899" s="38"/>
      <c r="BR899" s="38"/>
      <c r="BS899" s="38"/>
      <c r="BT899" s="38"/>
      <c r="BU899" s="38"/>
      <c r="BV899" s="38"/>
      <c r="BW899" s="38"/>
      <c r="BX899" s="38"/>
      <c r="BY899" s="38"/>
      <c r="BZ899" s="38"/>
      <c r="CA899" s="38"/>
      <c r="CB899" s="38"/>
      <c r="CC899" s="38"/>
      <c r="CD899" s="38"/>
      <c r="CE899" s="38"/>
      <c r="CF899" s="38"/>
      <c r="CG899" s="38"/>
      <c r="CH899" s="38"/>
      <c r="CI899" s="38"/>
      <c r="CJ899" s="38"/>
      <c r="CK899" s="38"/>
      <c r="CL899" s="38"/>
      <c r="CM899" s="38"/>
      <c r="CN899" s="38"/>
      <c r="CO899" s="38"/>
      <c r="CP899" s="38"/>
      <c r="CQ899" s="38"/>
      <c r="CR899" s="38"/>
      <c r="CS899" s="38"/>
      <c r="CT899" s="38"/>
      <c r="CU899" s="38"/>
      <c r="CV899" s="38"/>
      <c r="CW899" s="38"/>
      <c r="CX899" s="38"/>
      <c r="CY899" s="38"/>
      <c r="CZ899" s="38"/>
    </row>
    <row r="900" spans="1:104" s="40" customFormat="1" ht="20.149999999999999" customHeight="1">
      <c r="A900" s="358">
        <f t="shared" ref="A900:A963" si="213">+A899+1</f>
        <v>899</v>
      </c>
      <c r="B900" s="359" t="str">
        <f>'Front Sheet and Checklist'!$C$5</f>
        <v>Swansea Bay UHB</v>
      </c>
      <c r="C900" s="17"/>
      <c r="D900" s="17"/>
      <c r="E900" s="17"/>
      <c r="F900" s="17"/>
      <c r="G900" s="17"/>
      <c r="H900" s="17"/>
      <c r="I900" s="361">
        <f t="shared" si="203"/>
        <v>0</v>
      </c>
      <c r="J900" s="17"/>
      <c r="K900" s="18"/>
      <c r="L900" s="18"/>
      <c r="M900" s="17"/>
      <c r="N900" s="17"/>
      <c r="O900" s="17"/>
      <c r="P900" s="17"/>
      <c r="Q900" s="169"/>
      <c r="R900" s="24"/>
      <c r="S900" s="24"/>
      <c r="T900" s="24"/>
      <c r="U900" s="25"/>
      <c r="V900" s="25"/>
      <c r="W900" s="25"/>
      <c r="X900" s="24"/>
      <c r="Y900" s="24"/>
      <c r="Z900" s="24"/>
      <c r="AA900" s="24"/>
      <c r="AB900" s="24"/>
      <c r="AC900" s="24"/>
      <c r="AD900" s="361">
        <f t="shared" si="202"/>
        <v>0</v>
      </c>
      <c r="AE900" s="359" t="str">
        <f t="shared" si="205"/>
        <v/>
      </c>
      <c r="AF900" s="359" t="str">
        <f t="shared" ref="AF900:AF963" si="214">IF(COUNTIF($F$2:$F$1001,F900)&gt;1,"ERROR","")</f>
        <v/>
      </c>
      <c r="AG900" s="359" t="str">
        <f t="shared" si="206"/>
        <v/>
      </c>
      <c r="AH900" s="359" t="str">
        <f t="shared" si="207"/>
        <v/>
      </c>
      <c r="AI900" s="359" t="str">
        <f t="shared" si="208"/>
        <v/>
      </c>
      <c r="AJ900" s="359" t="str">
        <f t="shared" si="209"/>
        <v/>
      </c>
      <c r="AK900" s="359" t="str">
        <f t="shared" si="211"/>
        <v/>
      </c>
      <c r="AL900" s="359" t="str">
        <f t="shared" si="210"/>
        <v/>
      </c>
      <c r="AM900" s="359" t="str">
        <f t="shared" si="212"/>
        <v/>
      </c>
      <c r="AN900" s="262">
        <f t="shared" si="201"/>
        <v>0</v>
      </c>
      <c r="AO900" s="262" t="str">
        <f>IFERROR(HLOOKUP(AN900,'Ref Lists'!Q$1:AL$2,2,FALSE),'Ref Lists'!$AK$2)</f>
        <v>Savings21</v>
      </c>
      <c r="AP900" s="38"/>
      <c r="AQ900" s="38">
        <f t="shared" si="204"/>
        <v>0</v>
      </c>
      <c r="AR900" s="38"/>
      <c r="AS900" s="38"/>
      <c r="AT900" s="38"/>
      <c r="AU900" s="38"/>
      <c r="AV900" s="38"/>
      <c r="AW900" s="38"/>
      <c r="AX900" s="38"/>
      <c r="AY900" s="38"/>
      <c r="AZ900" s="38"/>
      <c r="BA900" s="38"/>
      <c r="BB900" s="38"/>
      <c r="BC900" s="38"/>
      <c r="BD900" s="38"/>
      <c r="BE900" s="38"/>
      <c r="BF900" s="38"/>
      <c r="BG900" s="38"/>
      <c r="BH900" s="38"/>
      <c r="BI900" s="38"/>
      <c r="BJ900" s="38"/>
      <c r="BK900" s="38"/>
      <c r="BL900" s="38"/>
      <c r="BM900" s="38"/>
      <c r="BN900" s="38"/>
      <c r="BO900" s="38"/>
      <c r="BP900" s="38"/>
      <c r="BQ900" s="38"/>
      <c r="BR900" s="38"/>
      <c r="BS900" s="38"/>
      <c r="BT900" s="38"/>
      <c r="BU900" s="38"/>
      <c r="BV900" s="38"/>
      <c r="BW900" s="38"/>
      <c r="BX900" s="38"/>
      <c r="BY900" s="38"/>
      <c r="BZ900" s="38"/>
      <c r="CA900" s="38"/>
      <c r="CB900" s="38"/>
      <c r="CC900" s="38"/>
      <c r="CD900" s="38"/>
      <c r="CE900" s="38"/>
      <c r="CF900" s="38"/>
      <c r="CG900" s="38"/>
      <c r="CH900" s="38"/>
      <c r="CI900" s="38"/>
      <c r="CJ900" s="38"/>
      <c r="CK900" s="38"/>
      <c r="CL900" s="38"/>
      <c r="CM900" s="38"/>
      <c r="CN900" s="38"/>
      <c r="CO900" s="38"/>
      <c r="CP900" s="38"/>
      <c r="CQ900" s="38"/>
      <c r="CR900" s="38"/>
      <c r="CS900" s="38"/>
      <c r="CT900" s="38"/>
      <c r="CU900" s="38"/>
      <c r="CV900" s="38"/>
      <c r="CW900" s="38"/>
      <c r="CX900" s="38"/>
      <c r="CY900" s="38"/>
      <c r="CZ900" s="38"/>
    </row>
    <row r="901" spans="1:104" s="40" customFormat="1" ht="20.149999999999999" customHeight="1">
      <c r="A901" s="358">
        <f t="shared" si="213"/>
        <v>900</v>
      </c>
      <c r="B901" s="359" t="str">
        <f>'Front Sheet and Checklist'!$C$5</f>
        <v>Swansea Bay UHB</v>
      </c>
      <c r="C901" s="17"/>
      <c r="D901" s="17"/>
      <c r="E901" s="17"/>
      <c r="F901" s="17"/>
      <c r="G901" s="17"/>
      <c r="H901" s="17"/>
      <c r="I901" s="361">
        <f t="shared" si="203"/>
        <v>0</v>
      </c>
      <c r="J901" s="17"/>
      <c r="K901" s="18"/>
      <c r="L901" s="18"/>
      <c r="M901" s="17"/>
      <c r="N901" s="17"/>
      <c r="O901" s="17"/>
      <c r="P901" s="17"/>
      <c r="Q901" s="169"/>
      <c r="R901" s="24"/>
      <c r="S901" s="24"/>
      <c r="T901" s="24"/>
      <c r="U901" s="25"/>
      <c r="V901" s="25"/>
      <c r="W901" s="25"/>
      <c r="X901" s="24"/>
      <c r="Y901" s="24"/>
      <c r="Z901" s="24"/>
      <c r="AA901" s="24"/>
      <c r="AB901" s="24"/>
      <c r="AC901" s="24"/>
      <c r="AD901" s="361">
        <f t="shared" si="202"/>
        <v>0</v>
      </c>
      <c r="AE901" s="359" t="str">
        <f t="shared" si="205"/>
        <v/>
      </c>
      <c r="AF901" s="359" t="str">
        <f t="shared" si="214"/>
        <v/>
      </c>
      <c r="AG901" s="359" t="str">
        <f t="shared" si="206"/>
        <v/>
      </c>
      <c r="AH901" s="359" t="str">
        <f t="shared" si="207"/>
        <v/>
      </c>
      <c r="AI901" s="359" t="str">
        <f t="shared" si="208"/>
        <v/>
      </c>
      <c r="AJ901" s="359" t="str">
        <f t="shared" si="209"/>
        <v/>
      </c>
      <c r="AK901" s="359" t="str">
        <f t="shared" si="211"/>
        <v/>
      </c>
      <c r="AL901" s="359" t="str">
        <f t="shared" si="210"/>
        <v/>
      </c>
      <c r="AM901" s="359" t="str">
        <f t="shared" si="212"/>
        <v/>
      </c>
      <c r="AN901" s="262">
        <f t="shared" ref="AN901:AN964" si="215">IF(P901="1) Workforce",_xlfn.CONCAT(P901,O901),IF(P901="5) Pathway",_xlfn.CONCAT(P901,N901),P901))</f>
        <v>0</v>
      </c>
      <c r="AO901" s="262" t="str">
        <f>IFERROR(HLOOKUP(AN901,'Ref Lists'!Q$1:AL$2,2,FALSE),'Ref Lists'!$AK$2)</f>
        <v>Savings21</v>
      </c>
      <c r="AP901" s="38"/>
      <c r="AQ901" s="38">
        <f t="shared" si="204"/>
        <v>0</v>
      </c>
      <c r="AR901" s="38"/>
      <c r="AS901" s="38"/>
      <c r="AT901" s="38"/>
      <c r="AU901" s="38"/>
      <c r="AV901" s="38"/>
      <c r="AW901" s="38"/>
      <c r="AX901" s="38"/>
      <c r="AY901" s="38"/>
      <c r="AZ901" s="38"/>
      <c r="BA901" s="38"/>
      <c r="BB901" s="38"/>
      <c r="BC901" s="38"/>
      <c r="BD901" s="38"/>
      <c r="BE901" s="38"/>
      <c r="BF901" s="38"/>
      <c r="BG901" s="38"/>
      <c r="BH901" s="38"/>
      <c r="BI901" s="38"/>
      <c r="BJ901" s="38"/>
      <c r="BK901" s="38"/>
      <c r="BL901" s="38"/>
      <c r="BM901" s="38"/>
      <c r="BN901" s="38"/>
      <c r="BO901" s="38"/>
      <c r="BP901" s="38"/>
      <c r="BQ901" s="38"/>
      <c r="BR901" s="38"/>
      <c r="BS901" s="38"/>
      <c r="BT901" s="38"/>
      <c r="BU901" s="38"/>
      <c r="BV901" s="38"/>
      <c r="BW901" s="38"/>
      <c r="BX901" s="38"/>
      <c r="BY901" s="38"/>
      <c r="BZ901" s="38"/>
      <c r="CA901" s="38"/>
      <c r="CB901" s="38"/>
      <c r="CC901" s="38"/>
      <c r="CD901" s="38"/>
      <c r="CE901" s="38"/>
      <c r="CF901" s="38"/>
      <c r="CG901" s="38"/>
      <c r="CH901" s="38"/>
      <c r="CI901" s="38"/>
      <c r="CJ901" s="38"/>
      <c r="CK901" s="38"/>
      <c r="CL901" s="38"/>
      <c r="CM901" s="38"/>
      <c r="CN901" s="38"/>
      <c r="CO901" s="38"/>
      <c r="CP901" s="38"/>
      <c r="CQ901" s="38"/>
      <c r="CR901" s="38"/>
      <c r="CS901" s="38"/>
      <c r="CT901" s="38"/>
      <c r="CU901" s="38"/>
      <c r="CV901" s="38"/>
      <c r="CW901" s="38"/>
      <c r="CX901" s="38"/>
      <c r="CY901" s="38"/>
      <c r="CZ901" s="38"/>
    </row>
    <row r="902" spans="1:104" s="40" customFormat="1" ht="20.149999999999999" customHeight="1">
      <c r="A902" s="358">
        <f t="shared" si="213"/>
        <v>901</v>
      </c>
      <c r="B902" s="359" t="str">
        <f>'Front Sheet and Checklist'!$C$5</f>
        <v>Swansea Bay UHB</v>
      </c>
      <c r="C902" s="17"/>
      <c r="D902" s="17"/>
      <c r="E902" s="17"/>
      <c r="F902" s="17"/>
      <c r="G902" s="17"/>
      <c r="H902" s="17"/>
      <c r="I902" s="361">
        <f t="shared" si="203"/>
        <v>0</v>
      </c>
      <c r="J902" s="17"/>
      <c r="K902" s="18"/>
      <c r="L902" s="18"/>
      <c r="M902" s="17"/>
      <c r="N902" s="17"/>
      <c r="O902" s="17"/>
      <c r="P902" s="17"/>
      <c r="Q902" s="169"/>
      <c r="R902" s="24"/>
      <c r="S902" s="24"/>
      <c r="T902" s="24"/>
      <c r="U902" s="25"/>
      <c r="V902" s="25"/>
      <c r="W902" s="25"/>
      <c r="X902" s="24"/>
      <c r="Y902" s="24"/>
      <c r="Z902" s="24"/>
      <c r="AA902" s="24"/>
      <c r="AB902" s="24"/>
      <c r="AC902" s="24"/>
      <c r="AD902" s="361">
        <f t="shared" si="202"/>
        <v>0</v>
      </c>
      <c r="AE902" s="359" t="str">
        <f t="shared" si="205"/>
        <v/>
      </c>
      <c r="AF902" s="359" t="str">
        <f t="shared" si="214"/>
        <v/>
      </c>
      <c r="AG902" s="359" t="str">
        <f t="shared" si="206"/>
        <v/>
      </c>
      <c r="AH902" s="359" t="str">
        <f t="shared" si="207"/>
        <v/>
      </c>
      <c r="AI902" s="359" t="str">
        <f t="shared" si="208"/>
        <v/>
      </c>
      <c r="AJ902" s="359" t="str">
        <f t="shared" si="209"/>
        <v/>
      </c>
      <c r="AK902" s="359" t="str">
        <f t="shared" si="211"/>
        <v/>
      </c>
      <c r="AL902" s="359" t="str">
        <f t="shared" si="210"/>
        <v/>
      </c>
      <c r="AM902" s="359" t="str">
        <f t="shared" si="212"/>
        <v/>
      </c>
      <c r="AN902" s="262">
        <f t="shared" si="215"/>
        <v>0</v>
      </c>
      <c r="AO902" s="262" t="str">
        <f>IFERROR(HLOOKUP(AN902,'Ref Lists'!Q$1:AL$2,2,FALSE),'Ref Lists'!$AK$2)</f>
        <v>Savings21</v>
      </c>
      <c r="AP902" s="38"/>
      <c r="AQ902" s="38">
        <f t="shared" si="204"/>
        <v>0</v>
      </c>
      <c r="AR902" s="38"/>
      <c r="AS902" s="38"/>
      <c r="AT902" s="38"/>
      <c r="AU902" s="38"/>
      <c r="AV902" s="38"/>
      <c r="AW902" s="38"/>
      <c r="AX902" s="38"/>
      <c r="AY902" s="38"/>
      <c r="AZ902" s="38"/>
      <c r="BA902" s="38"/>
      <c r="BB902" s="38"/>
      <c r="BC902" s="38"/>
      <c r="BD902" s="38"/>
      <c r="BE902" s="38"/>
      <c r="BF902" s="38"/>
      <c r="BG902" s="38"/>
      <c r="BH902" s="38"/>
      <c r="BI902" s="38"/>
      <c r="BJ902" s="38"/>
      <c r="BK902" s="38"/>
      <c r="BL902" s="38"/>
      <c r="BM902" s="38"/>
      <c r="BN902" s="38"/>
      <c r="BO902" s="38"/>
      <c r="BP902" s="38"/>
      <c r="BQ902" s="38"/>
      <c r="BR902" s="38"/>
      <c r="BS902" s="38"/>
      <c r="BT902" s="38"/>
      <c r="BU902" s="38"/>
      <c r="BV902" s="38"/>
      <c r="BW902" s="38"/>
      <c r="BX902" s="38"/>
      <c r="BY902" s="38"/>
      <c r="BZ902" s="38"/>
      <c r="CA902" s="38"/>
      <c r="CB902" s="38"/>
      <c r="CC902" s="38"/>
      <c r="CD902" s="38"/>
      <c r="CE902" s="38"/>
      <c r="CF902" s="38"/>
      <c r="CG902" s="38"/>
      <c r="CH902" s="38"/>
      <c r="CI902" s="38"/>
      <c r="CJ902" s="38"/>
      <c r="CK902" s="38"/>
      <c r="CL902" s="38"/>
      <c r="CM902" s="38"/>
      <c r="CN902" s="38"/>
      <c r="CO902" s="38"/>
      <c r="CP902" s="38"/>
      <c r="CQ902" s="38"/>
      <c r="CR902" s="38"/>
      <c r="CS902" s="38"/>
      <c r="CT902" s="38"/>
      <c r="CU902" s="38"/>
      <c r="CV902" s="38"/>
      <c r="CW902" s="38"/>
      <c r="CX902" s="38"/>
      <c r="CY902" s="38"/>
      <c r="CZ902" s="38"/>
    </row>
    <row r="903" spans="1:104" s="40" customFormat="1" ht="20.149999999999999" customHeight="1">
      <c r="A903" s="358">
        <f t="shared" si="213"/>
        <v>902</v>
      </c>
      <c r="B903" s="359" t="str">
        <f>'Front Sheet and Checklist'!$C$5</f>
        <v>Swansea Bay UHB</v>
      </c>
      <c r="C903" s="17"/>
      <c r="D903" s="17"/>
      <c r="E903" s="17"/>
      <c r="F903" s="17"/>
      <c r="G903" s="17"/>
      <c r="H903" s="17"/>
      <c r="I903" s="361">
        <f t="shared" si="203"/>
        <v>0</v>
      </c>
      <c r="J903" s="17"/>
      <c r="K903" s="18"/>
      <c r="L903" s="18"/>
      <c r="M903" s="17"/>
      <c r="N903" s="17"/>
      <c r="O903" s="17"/>
      <c r="P903" s="17"/>
      <c r="Q903" s="169"/>
      <c r="R903" s="24"/>
      <c r="S903" s="24"/>
      <c r="T903" s="24"/>
      <c r="U903" s="25"/>
      <c r="V903" s="25"/>
      <c r="W903" s="25"/>
      <c r="X903" s="24"/>
      <c r="Y903" s="24"/>
      <c r="Z903" s="24"/>
      <c r="AA903" s="24"/>
      <c r="AB903" s="24"/>
      <c r="AC903" s="24"/>
      <c r="AD903" s="361">
        <f t="shared" si="202"/>
        <v>0</v>
      </c>
      <c r="AE903" s="359" t="str">
        <f t="shared" si="205"/>
        <v/>
      </c>
      <c r="AF903" s="359" t="str">
        <f t="shared" si="214"/>
        <v/>
      </c>
      <c r="AG903" s="359" t="str">
        <f t="shared" si="206"/>
        <v/>
      </c>
      <c r="AH903" s="359" t="str">
        <f t="shared" si="207"/>
        <v/>
      </c>
      <c r="AI903" s="359" t="str">
        <f t="shared" si="208"/>
        <v/>
      </c>
      <c r="AJ903" s="359" t="str">
        <f t="shared" si="209"/>
        <v/>
      </c>
      <c r="AK903" s="359" t="str">
        <f t="shared" si="211"/>
        <v/>
      </c>
      <c r="AL903" s="359" t="str">
        <f t="shared" si="210"/>
        <v/>
      </c>
      <c r="AM903" s="359" t="str">
        <f t="shared" si="212"/>
        <v/>
      </c>
      <c r="AN903" s="262">
        <f t="shared" si="215"/>
        <v>0</v>
      </c>
      <c r="AO903" s="262" t="str">
        <f>IFERROR(HLOOKUP(AN903,'Ref Lists'!Q$1:AL$2,2,FALSE),'Ref Lists'!$AK$2)</f>
        <v>Savings21</v>
      </c>
      <c r="AP903" s="38"/>
      <c r="AQ903" s="38">
        <f t="shared" si="204"/>
        <v>0</v>
      </c>
      <c r="AR903" s="38"/>
      <c r="AS903" s="38"/>
      <c r="AT903" s="38"/>
      <c r="AU903" s="38"/>
      <c r="AV903" s="38"/>
      <c r="AW903" s="38"/>
      <c r="AX903" s="38"/>
      <c r="AY903" s="38"/>
      <c r="AZ903" s="38"/>
      <c r="BA903" s="38"/>
      <c r="BB903" s="38"/>
      <c r="BC903" s="38"/>
      <c r="BD903" s="38"/>
      <c r="BE903" s="38"/>
      <c r="BF903" s="38"/>
      <c r="BG903" s="38"/>
      <c r="BH903" s="38"/>
      <c r="BI903" s="38"/>
      <c r="BJ903" s="38"/>
      <c r="BK903" s="38"/>
      <c r="BL903" s="38"/>
      <c r="BM903" s="38"/>
      <c r="BN903" s="38"/>
      <c r="BO903" s="38"/>
      <c r="BP903" s="38"/>
      <c r="BQ903" s="38"/>
      <c r="BR903" s="38"/>
      <c r="BS903" s="38"/>
      <c r="BT903" s="38"/>
      <c r="BU903" s="38"/>
      <c r="BV903" s="38"/>
      <c r="BW903" s="38"/>
      <c r="BX903" s="38"/>
      <c r="BY903" s="38"/>
      <c r="BZ903" s="38"/>
      <c r="CA903" s="38"/>
      <c r="CB903" s="38"/>
      <c r="CC903" s="38"/>
      <c r="CD903" s="38"/>
      <c r="CE903" s="38"/>
      <c r="CF903" s="38"/>
      <c r="CG903" s="38"/>
      <c r="CH903" s="38"/>
      <c r="CI903" s="38"/>
      <c r="CJ903" s="38"/>
      <c r="CK903" s="38"/>
      <c r="CL903" s="38"/>
      <c r="CM903" s="38"/>
      <c r="CN903" s="38"/>
      <c r="CO903" s="38"/>
      <c r="CP903" s="38"/>
      <c r="CQ903" s="38"/>
      <c r="CR903" s="38"/>
      <c r="CS903" s="38"/>
      <c r="CT903" s="38"/>
      <c r="CU903" s="38"/>
      <c r="CV903" s="38"/>
      <c r="CW903" s="38"/>
      <c r="CX903" s="38"/>
      <c r="CY903" s="38"/>
      <c r="CZ903" s="38"/>
    </row>
    <row r="904" spans="1:104" s="40" customFormat="1" ht="20.149999999999999" customHeight="1">
      <c r="A904" s="358">
        <f t="shared" si="213"/>
        <v>903</v>
      </c>
      <c r="B904" s="359" t="str">
        <f>'Front Sheet and Checklist'!$C$5</f>
        <v>Swansea Bay UHB</v>
      </c>
      <c r="C904" s="17"/>
      <c r="D904" s="17"/>
      <c r="E904" s="17"/>
      <c r="F904" s="17"/>
      <c r="G904" s="17"/>
      <c r="H904" s="17"/>
      <c r="I904" s="361">
        <f t="shared" si="203"/>
        <v>0</v>
      </c>
      <c r="J904" s="17"/>
      <c r="K904" s="18"/>
      <c r="L904" s="18"/>
      <c r="M904" s="17"/>
      <c r="N904" s="17"/>
      <c r="O904" s="17"/>
      <c r="P904" s="17"/>
      <c r="Q904" s="169"/>
      <c r="R904" s="24"/>
      <c r="S904" s="24"/>
      <c r="T904" s="24"/>
      <c r="U904" s="25"/>
      <c r="V904" s="25"/>
      <c r="W904" s="25"/>
      <c r="X904" s="24"/>
      <c r="Y904" s="24"/>
      <c r="Z904" s="24"/>
      <c r="AA904" s="24"/>
      <c r="AB904" s="24"/>
      <c r="AC904" s="24"/>
      <c r="AD904" s="361">
        <f t="shared" si="202"/>
        <v>0</v>
      </c>
      <c r="AE904" s="359" t="str">
        <f t="shared" si="205"/>
        <v/>
      </c>
      <c r="AF904" s="359" t="str">
        <f t="shared" si="214"/>
        <v/>
      </c>
      <c r="AG904" s="359" t="str">
        <f t="shared" si="206"/>
        <v/>
      </c>
      <c r="AH904" s="359" t="str">
        <f t="shared" si="207"/>
        <v/>
      </c>
      <c r="AI904" s="359" t="str">
        <f t="shared" si="208"/>
        <v/>
      </c>
      <c r="AJ904" s="359" t="str">
        <f t="shared" si="209"/>
        <v/>
      </c>
      <c r="AK904" s="359" t="str">
        <f t="shared" si="211"/>
        <v/>
      </c>
      <c r="AL904" s="359" t="str">
        <f t="shared" si="210"/>
        <v/>
      </c>
      <c r="AM904" s="359" t="str">
        <f t="shared" si="212"/>
        <v/>
      </c>
      <c r="AN904" s="262">
        <f t="shared" si="215"/>
        <v>0</v>
      </c>
      <c r="AO904" s="262" t="str">
        <f>IFERROR(HLOOKUP(AN904,'Ref Lists'!Q$1:AL$2,2,FALSE),'Ref Lists'!$AK$2)</f>
        <v>Savings21</v>
      </c>
      <c r="AP904" s="38"/>
      <c r="AQ904" s="38">
        <f t="shared" si="204"/>
        <v>0</v>
      </c>
      <c r="AR904" s="38"/>
      <c r="AS904" s="38"/>
      <c r="AT904" s="38"/>
      <c r="AU904" s="38"/>
      <c r="AV904" s="38"/>
      <c r="AW904" s="38"/>
      <c r="AX904" s="38"/>
      <c r="AY904" s="38"/>
      <c r="AZ904" s="38"/>
      <c r="BA904" s="38"/>
      <c r="BB904" s="38"/>
      <c r="BC904" s="38"/>
      <c r="BD904" s="38"/>
      <c r="BE904" s="38"/>
      <c r="BF904" s="38"/>
      <c r="BG904" s="38"/>
      <c r="BH904" s="38"/>
      <c r="BI904" s="38"/>
      <c r="BJ904" s="38"/>
      <c r="BK904" s="38"/>
      <c r="BL904" s="38"/>
      <c r="BM904" s="38"/>
      <c r="BN904" s="38"/>
      <c r="BO904" s="38"/>
      <c r="BP904" s="38"/>
      <c r="BQ904" s="38"/>
      <c r="BR904" s="38"/>
      <c r="BS904" s="38"/>
      <c r="BT904" s="38"/>
      <c r="BU904" s="38"/>
      <c r="BV904" s="38"/>
      <c r="BW904" s="38"/>
      <c r="BX904" s="38"/>
      <c r="BY904" s="38"/>
      <c r="BZ904" s="38"/>
      <c r="CA904" s="38"/>
      <c r="CB904" s="38"/>
      <c r="CC904" s="38"/>
      <c r="CD904" s="38"/>
      <c r="CE904" s="38"/>
      <c r="CF904" s="38"/>
      <c r="CG904" s="38"/>
      <c r="CH904" s="38"/>
      <c r="CI904" s="38"/>
      <c r="CJ904" s="38"/>
      <c r="CK904" s="38"/>
      <c r="CL904" s="38"/>
      <c r="CM904" s="38"/>
      <c r="CN904" s="38"/>
      <c r="CO904" s="38"/>
      <c r="CP904" s="38"/>
      <c r="CQ904" s="38"/>
      <c r="CR904" s="38"/>
      <c r="CS904" s="38"/>
      <c r="CT904" s="38"/>
      <c r="CU904" s="38"/>
      <c r="CV904" s="38"/>
      <c r="CW904" s="38"/>
      <c r="CX904" s="38"/>
      <c r="CY904" s="38"/>
      <c r="CZ904" s="38"/>
    </row>
    <row r="905" spans="1:104" s="40" customFormat="1" ht="20.149999999999999" customHeight="1">
      <c r="A905" s="358">
        <f t="shared" si="213"/>
        <v>904</v>
      </c>
      <c r="B905" s="359" t="str">
        <f>'Front Sheet and Checklist'!$C$5</f>
        <v>Swansea Bay UHB</v>
      </c>
      <c r="C905" s="17"/>
      <c r="D905" s="17"/>
      <c r="E905" s="17"/>
      <c r="F905" s="17"/>
      <c r="G905" s="17"/>
      <c r="H905" s="17"/>
      <c r="I905" s="361">
        <f t="shared" si="203"/>
        <v>0</v>
      </c>
      <c r="J905" s="17"/>
      <c r="K905" s="18"/>
      <c r="L905" s="18"/>
      <c r="M905" s="17"/>
      <c r="N905" s="17"/>
      <c r="O905" s="17"/>
      <c r="P905" s="17"/>
      <c r="Q905" s="169"/>
      <c r="R905" s="24"/>
      <c r="S905" s="24"/>
      <c r="T905" s="24"/>
      <c r="U905" s="25"/>
      <c r="V905" s="25"/>
      <c r="W905" s="25"/>
      <c r="X905" s="24"/>
      <c r="Y905" s="24"/>
      <c r="Z905" s="24"/>
      <c r="AA905" s="24"/>
      <c r="AB905" s="24"/>
      <c r="AC905" s="24"/>
      <c r="AD905" s="361">
        <f t="shared" si="202"/>
        <v>0</v>
      </c>
      <c r="AE905" s="359" t="str">
        <f t="shared" si="205"/>
        <v/>
      </c>
      <c r="AF905" s="359" t="str">
        <f t="shared" si="214"/>
        <v/>
      </c>
      <c r="AG905" s="359" t="str">
        <f t="shared" si="206"/>
        <v/>
      </c>
      <c r="AH905" s="359" t="str">
        <f t="shared" si="207"/>
        <v/>
      </c>
      <c r="AI905" s="359" t="str">
        <f t="shared" si="208"/>
        <v/>
      </c>
      <c r="AJ905" s="359" t="str">
        <f t="shared" si="209"/>
        <v/>
      </c>
      <c r="AK905" s="359" t="str">
        <f t="shared" si="211"/>
        <v/>
      </c>
      <c r="AL905" s="359" t="str">
        <f t="shared" si="210"/>
        <v/>
      </c>
      <c r="AM905" s="359" t="str">
        <f t="shared" si="212"/>
        <v/>
      </c>
      <c r="AN905" s="262">
        <f t="shared" si="215"/>
        <v>0</v>
      </c>
      <c r="AO905" s="262" t="str">
        <f>IFERROR(HLOOKUP(AN905,'Ref Lists'!Q$1:AL$2,2,FALSE),'Ref Lists'!$AK$2)</f>
        <v>Savings21</v>
      </c>
      <c r="AP905" s="38"/>
      <c r="AQ905" s="38">
        <f t="shared" si="204"/>
        <v>0</v>
      </c>
      <c r="AR905" s="38"/>
      <c r="AS905" s="38"/>
      <c r="AT905" s="38"/>
      <c r="AU905" s="38"/>
      <c r="AV905" s="38"/>
      <c r="AW905" s="38"/>
      <c r="AX905" s="38"/>
      <c r="AY905" s="38"/>
      <c r="AZ905" s="38"/>
      <c r="BA905" s="38"/>
      <c r="BB905" s="38"/>
      <c r="BC905" s="38"/>
      <c r="BD905" s="38"/>
      <c r="BE905" s="38"/>
      <c r="BF905" s="38"/>
      <c r="BG905" s="38"/>
      <c r="BH905" s="38"/>
      <c r="BI905" s="38"/>
      <c r="BJ905" s="38"/>
      <c r="BK905" s="38"/>
      <c r="BL905" s="38"/>
      <c r="BM905" s="38"/>
      <c r="BN905" s="38"/>
      <c r="BO905" s="38"/>
      <c r="BP905" s="38"/>
      <c r="BQ905" s="38"/>
      <c r="BR905" s="38"/>
      <c r="BS905" s="38"/>
      <c r="BT905" s="38"/>
      <c r="BU905" s="38"/>
      <c r="BV905" s="38"/>
      <c r="BW905" s="38"/>
      <c r="BX905" s="38"/>
      <c r="BY905" s="38"/>
      <c r="BZ905" s="38"/>
      <c r="CA905" s="38"/>
      <c r="CB905" s="38"/>
      <c r="CC905" s="38"/>
      <c r="CD905" s="38"/>
      <c r="CE905" s="38"/>
      <c r="CF905" s="38"/>
      <c r="CG905" s="38"/>
      <c r="CH905" s="38"/>
      <c r="CI905" s="38"/>
      <c r="CJ905" s="38"/>
      <c r="CK905" s="38"/>
      <c r="CL905" s="38"/>
      <c r="CM905" s="38"/>
      <c r="CN905" s="38"/>
      <c r="CO905" s="38"/>
      <c r="CP905" s="38"/>
      <c r="CQ905" s="38"/>
      <c r="CR905" s="38"/>
      <c r="CS905" s="38"/>
      <c r="CT905" s="38"/>
      <c r="CU905" s="38"/>
      <c r="CV905" s="38"/>
      <c r="CW905" s="38"/>
      <c r="CX905" s="38"/>
      <c r="CY905" s="38"/>
      <c r="CZ905" s="38"/>
    </row>
    <row r="906" spans="1:104" s="40" customFormat="1" ht="20.149999999999999" customHeight="1">
      <c r="A906" s="358">
        <f t="shared" si="213"/>
        <v>905</v>
      </c>
      <c r="B906" s="359" t="str">
        <f>'Front Sheet and Checklist'!$C$5</f>
        <v>Swansea Bay UHB</v>
      </c>
      <c r="C906" s="17"/>
      <c r="D906" s="17"/>
      <c r="E906" s="17"/>
      <c r="F906" s="17"/>
      <c r="G906" s="17"/>
      <c r="H906" s="17"/>
      <c r="I906" s="361">
        <f t="shared" si="203"/>
        <v>0</v>
      </c>
      <c r="J906" s="17"/>
      <c r="K906" s="18"/>
      <c r="L906" s="18"/>
      <c r="M906" s="17"/>
      <c r="N906" s="17"/>
      <c r="O906" s="17"/>
      <c r="P906" s="17"/>
      <c r="Q906" s="169"/>
      <c r="R906" s="24"/>
      <c r="S906" s="24"/>
      <c r="T906" s="24"/>
      <c r="U906" s="25"/>
      <c r="V906" s="25"/>
      <c r="W906" s="25"/>
      <c r="X906" s="24"/>
      <c r="Y906" s="24"/>
      <c r="Z906" s="24"/>
      <c r="AA906" s="24"/>
      <c r="AB906" s="24"/>
      <c r="AC906" s="24"/>
      <c r="AD906" s="361">
        <f t="shared" si="202"/>
        <v>0</v>
      </c>
      <c r="AE906" s="359" t="str">
        <f t="shared" si="205"/>
        <v/>
      </c>
      <c r="AF906" s="359" t="str">
        <f t="shared" si="214"/>
        <v/>
      </c>
      <c r="AG906" s="359" t="str">
        <f t="shared" si="206"/>
        <v/>
      </c>
      <c r="AH906" s="359" t="str">
        <f t="shared" si="207"/>
        <v/>
      </c>
      <c r="AI906" s="359" t="str">
        <f t="shared" si="208"/>
        <v/>
      </c>
      <c r="AJ906" s="359" t="str">
        <f t="shared" si="209"/>
        <v/>
      </c>
      <c r="AK906" s="359" t="str">
        <f t="shared" si="211"/>
        <v/>
      </c>
      <c r="AL906" s="359" t="str">
        <f t="shared" si="210"/>
        <v/>
      </c>
      <c r="AM906" s="359" t="str">
        <f t="shared" si="212"/>
        <v/>
      </c>
      <c r="AN906" s="262">
        <f t="shared" si="215"/>
        <v>0</v>
      </c>
      <c r="AO906" s="262" t="str">
        <f>IFERROR(HLOOKUP(AN906,'Ref Lists'!Q$1:AL$2,2,FALSE),'Ref Lists'!$AK$2)</f>
        <v>Savings21</v>
      </c>
      <c r="AP906" s="38"/>
      <c r="AQ906" s="38">
        <f t="shared" si="204"/>
        <v>0</v>
      </c>
      <c r="AR906" s="38"/>
      <c r="AS906" s="38"/>
      <c r="AT906" s="38"/>
      <c r="AU906" s="38"/>
      <c r="AV906" s="38"/>
      <c r="AW906" s="38"/>
      <c r="AX906" s="38"/>
      <c r="AY906" s="38"/>
      <c r="AZ906" s="38"/>
      <c r="BA906" s="38"/>
      <c r="BB906" s="38"/>
      <c r="BC906" s="38"/>
      <c r="BD906" s="38"/>
      <c r="BE906" s="38"/>
      <c r="BF906" s="38"/>
      <c r="BG906" s="38"/>
      <c r="BH906" s="38"/>
      <c r="BI906" s="38"/>
      <c r="BJ906" s="38"/>
      <c r="BK906" s="38"/>
      <c r="BL906" s="38"/>
      <c r="BM906" s="38"/>
      <c r="BN906" s="38"/>
      <c r="BO906" s="38"/>
      <c r="BP906" s="38"/>
      <c r="BQ906" s="38"/>
      <c r="BR906" s="38"/>
      <c r="BS906" s="38"/>
      <c r="BT906" s="38"/>
      <c r="BU906" s="38"/>
      <c r="BV906" s="38"/>
      <c r="BW906" s="38"/>
      <c r="BX906" s="38"/>
      <c r="BY906" s="38"/>
      <c r="BZ906" s="38"/>
      <c r="CA906" s="38"/>
      <c r="CB906" s="38"/>
      <c r="CC906" s="38"/>
      <c r="CD906" s="38"/>
      <c r="CE906" s="38"/>
      <c r="CF906" s="38"/>
      <c r="CG906" s="38"/>
      <c r="CH906" s="38"/>
      <c r="CI906" s="38"/>
      <c r="CJ906" s="38"/>
      <c r="CK906" s="38"/>
      <c r="CL906" s="38"/>
      <c r="CM906" s="38"/>
      <c r="CN906" s="38"/>
      <c r="CO906" s="38"/>
      <c r="CP906" s="38"/>
      <c r="CQ906" s="38"/>
      <c r="CR906" s="38"/>
      <c r="CS906" s="38"/>
      <c r="CT906" s="38"/>
      <c r="CU906" s="38"/>
      <c r="CV906" s="38"/>
      <c r="CW906" s="38"/>
      <c r="CX906" s="38"/>
      <c r="CY906" s="38"/>
      <c r="CZ906" s="38"/>
    </row>
    <row r="907" spans="1:104" s="40" customFormat="1" ht="20.149999999999999" customHeight="1">
      <c r="A907" s="358">
        <f t="shared" si="213"/>
        <v>906</v>
      </c>
      <c r="B907" s="359" t="str">
        <f>'Front Sheet and Checklist'!$C$5</f>
        <v>Swansea Bay UHB</v>
      </c>
      <c r="C907" s="17"/>
      <c r="D907" s="17"/>
      <c r="E907" s="17"/>
      <c r="F907" s="17"/>
      <c r="G907" s="17"/>
      <c r="H907" s="17"/>
      <c r="I907" s="361">
        <f t="shared" si="203"/>
        <v>0</v>
      </c>
      <c r="J907" s="17"/>
      <c r="K907" s="18"/>
      <c r="L907" s="18"/>
      <c r="M907" s="17"/>
      <c r="N907" s="17"/>
      <c r="O907" s="17"/>
      <c r="P907" s="17"/>
      <c r="Q907" s="169"/>
      <c r="R907" s="24"/>
      <c r="S907" s="24"/>
      <c r="T907" s="24"/>
      <c r="U907" s="25"/>
      <c r="V907" s="25"/>
      <c r="W907" s="25"/>
      <c r="X907" s="24"/>
      <c r="Y907" s="24"/>
      <c r="Z907" s="24"/>
      <c r="AA907" s="24"/>
      <c r="AB907" s="24"/>
      <c r="AC907" s="24"/>
      <c r="AD907" s="361">
        <f t="shared" si="202"/>
        <v>0</v>
      </c>
      <c r="AE907" s="359" t="str">
        <f t="shared" si="205"/>
        <v/>
      </c>
      <c r="AF907" s="359" t="str">
        <f t="shared" si="214"/>
        <v/>
      </c>
      <c r="AG907" s="359" t="str">
        <f t="shared" si="206"/>
        <v/>
      </c>
      <c r="AH907" s="359" t="str">
        <f t="shared" si="207"/>
        <v/>
      </c>
      <c r="AI907" s="359" t="str">
        <f t="shared" si="208"/>
        <v/>
      </c>
      <c r="AJ907" s="359" t="str">
        <f t="shared" si="209"/>
        <v/>
      </c>
      <c r="AK907" s="359" t="str">
        <f t="shared" si="211"/>
        <v/>
      </c>
      <c r="AL907" s="359" t="str">
        <f t="shared" si="210"/>
        <v/>
      </c>
      <c r="AM907" s="359" t="str">
        <f t="shared" si="212"/>
        <v/>
      </c>
      <c r="AN907" s="262">
        <f t="shared" si="215"/>
        <v>0</v>
      </c>
      <c r="AO907" s="262" t="str">
        <f>IFERROR(HLOOKUP(AN907,'Ref Lists'!Q$1:AL$2,2,FALSE),'Ref Lists'!$AK$2)</f>
        <v>Savings21</v>
      </c>
      <c r="AP907" s="38"/>
      <c r="AQ907" s="38">
        <f t="shared" si="204"/>
        <v>0</v>
      </c>
      <c r="AR907" s="38"/>
      <c r="AS907" s="38"/>
      <c r="AT907" s="38"/>
      <c r="AU907" s="38"/>
      <c r="AV907" s="38"/>
      <c r="AW907" s="38"/>
      <c r="AX907" s="38"/>
      <c r="AY907" s="38"/>
      <c r="AZ907" s="38"/>
      <c r="BA907" s="38"/>
      <c r="BB907" s="38"/>
      <c r="BC907" s="38"/>
      <c r="BD907" s="38"/>
      <c r="BE907" s="38"/>
      <c r="BF907" s="38"/>
      <c r="BG907" s="38"/>
      <c r="BH907" s="38"/>
      <c r="BI907" s="38"/>
      <c r="BJ907" s="38"/>
      <c r="BK907" s="38"/>
      <c r="BL907" s="38"/>
      <c r="BM907" s="38"/>
      <c r="BN907" s="38"/>
      <c r="BO907" s="38"/>
      <c r="BP907" s="38"/>
      <c r="BQ907" s="38"/>
      <c r="BR907" s="38"/>
      <c r="BS907" s="38"/>
      <c r="BT907" s="38"/>
      <c r="BU907" s="38"/>
      <c r="BV907" s="38"/>
      <c r="BW907" s="38"/>
      <c r="BX907" s="38"/>
      <c r="BY907" s="38"/>
      <c r="BZ907" s="38"/>
      <c r="CA907" s="38"/>
      <c r="CB907" s="38"/>
      <c r="CC907" s="38"/>
      <c r="CD907" s="38"/>
      <c r="CE907" s="38"/>
      <c r="CF907" s="38"/>
      <c r="CG907" s="38"/>
      <c r="CH907" s="38"/>
      <c r="CI907" s="38"/>
      <c r="CJ907" s="38"/>
      <c r="CK907" s="38"/>
      <c r="CL907" s="38"/>
      <c r="CM907" s="38"/>
      <c r="CN907" s="38"/>
      <c r="CO907" s="38"/>
      <c r="CP907" s="38"/>
      <c r="CQ907" s="38"/>
      <c r="CR907" s="38"/>
      <c r="CS907" s="38"/>
      <c r="CT907" s="38"/>
      <c r="CU907" s="38"/>
      <c r="CV907" s="38"/>
      <c r="CW907" s="38"/>
      <c r="CX907" s="38"/>
      <c r="CY907" s="38"/>
      <c r="CZ907" s="38"/>
    </row>
    <row r="908" spans="1:104" s="40" customFormat="1" ht="20.149999999999999" customHeight="1">
      <c r="A908" s="358">
        <f t="shared" si="213"/>
        <v>907</v>
      </c>
      <c r="B908" s="359" t="str">
        <f>'Front Sheet and Checklist'!$C$5</f>
        <v>Swansea Bay UHB</v>
      </c>
      <c r="C908" s="17"/>
      <c r="D908" s="17"/>
      <c r="E908" s="17"/>
      <c r="F908" s="17"/>
      <c r="G908" s="17"/>
      <c r="H908" s="17"/>
      <c r="I908" s="361">
        <f t="shared" si="203"/>
        <v>0</v>
      </c>
      <c r="J908" s="17"/>
      <c r="K908" s="18"/>
      <c r="L908" s="18"/>
      <c r="M908" s="17"/>
      <c r="N908" s="17"/>
      <c r="O908" s="17"/>
      <c r="P908" s="17"/>
      <c r="Q908" s="169"/>
      <c r="R908" s="24"/>
      <c r="S908" s="24"/>
      <c r="T908" s="24"/>
      <c r="U908" s="25"/>
      <c r="V908" s="25"/>
      <c r="W908" s="25"/>
      <c r="X908" s="24"/>
      <c r="Y908" s="24"/>
      <c r="Z908" s="24"/>
      <c r="AA908" s="24"/>
      <c r="AB908" s="24"/>
      <c r="AC908" s="24"/>
      <c r="AD908" s="361">
        <f t="shared" si="202"/>
        <v>0</v>
      </c>
      <c r="AE908" s="359" t="str">
        <f t="shared" si="205"/>
        <v/>
      </c>
      <c r="AF908" s="359" t="str">
        <f t="shared" si="214"/>
        <v/>
      </c>
      <c r="AG908" s="359" t="str">
        <f t="shared" si="206"/>
        <v/>
      </c>
      <c r="AH908" s="359" t="str">
        <f t="shared" si="207"/>
        <v/>
      </c>
      <c r="AI908" s="359" t="str">
        <f t="shared" si="208"/>
        <v/>
      </c>
      <c r="AJ908" s="359" t="str">
        <f t="shared" si="209"/>
        <v/>
      </c>
      <c r="AK908" s="359" t="str">
        <f t="shared" si="211"/>
        <v/>
      </c>
      <c r="AL908" s="359" t="str">
        <f t="shared" si="210"/>
        <v/>
      </c>
      <c r="AM908" s="359" t="str">
        <f t="shared" si="212"/>
        <v/>
      </c>
      <c r="AN908" s="262">
        <f t="shared" si="215"/>
        <v>0</v>
      </c>
      <c r="AO908" s="262" t="str">
        <f>IFERROR(HLOOKUP(AN908,'Ref Lists'!Q$1:AL$2,2,FALSE),'Ref Lists'!$AK$2)</f>
        <v>Savings21</v>
      </c>
      <c r="AP908" s="38"/>
      <c r="AQ908" s="38">
        <f t="shared" si="204"/>
        <v>0</v>
      </c>
      <c r="AR908" s="38"/>
      <c r="AS908" s="38"/>
      <c r="AT908" s="38"/>
      <c r="AU908" s="38"/>
      <c r="AV908" s="38"/>
      <c r="AW908" s="38"/>
      <c r="AX908" s="38"/>
      <c r="AY908" s="38"/>
      <c r="AZ908" s="38"/>
      <c r="BA908" s="38"/>
      <c r="BB908" s="38"/>
      <c r="BC908" s="38"/>
      <c r="BD908" s="38"/>
      <c r="BE908" s="38"/>
      <c r="BF908" s="38"/>
      <c r="BG908" s="38"/>
      <c r="BH908" s="38"/>
      <c r="BI908" s="38"/>
      <c r="BJ908" s="38"/>
      <c r="BK908" s="38"/>
      <c r="BL908" s="38"/>
      <c r="BM908" s="38"/>
      <c r="BN908" s="38"/>
      <c r="BO908" s="38"/>
      <c r="BP908" s="38"/>
      <c r="BQ908" s="38"/>
      <c r="BR908" s="38"/>
      <c r="BS908" s="38"/>
      <c r="BT908" s="38"/>
      <c r="BU908" s="38"/>
      <c r="BV908" s="38"/>
      <c r="BW908" s="38"/>
      <c r="BX908" s="38"/>
      <c r="BY908" s="38"/>
      <c r="BZ908" s="38"/>
      <c r="CA908" s="38"/>
      <c r="CB908" s="38"/>
      <c r="CC908" s="38"/>
      <c r="CD908" s="38"/>
      <c r="CE908" s="38"/>
      <c r="CF908" s="38"/>
      <c r="CG908" s="38"/>
      <c r="CH908" s="38"/>
      <c r="CI908" s="38"/>
      <c r="CJ908" s="38"/>
      <c r="CK908" s="38"/>
      <c r="CL908" s="38"/>
      <c r="CM908" s="38"/>
      <c r="CN908" s="38"/>
      <c r="CO908" s="38"/>
      <c r="CP908" s="38"/>
      <c r="CQ908" s="38"/>
      <c r="CR908" s="38"/>
      <c r="CS908" s="38"/>
      <c r="CT908" s="38"/>
      <c r="CU908" s="38"/>
      <c r="CV908" s="38"/>
      <c r="CW908" s="38"/>
      <c r="CX908" s="38"/>
      <c r="CY908" s="38"/>
      <c r="CZ908" s="38"/>
    </row>
    <row r="909" spans="1:104" s="40" customFormat="1" ht="20.149999999999999" customHeight="1">
      <c r="A909" s="358">
        <f t="shared" si="213"/>
        <v>908</v>
      </c>
      <c r="B909" s="359" t="str">
        <f>'Front Sheet and Checklist'!$C$5</f>
        <v>Swansea Bay UHB</v>
      </c>
      <c r="C909" s="17"/>
      <c r="D909" s="17"/>
      <c r="E909" s="17"/>
      <c r="F909" s="17"/>
      <c r="G909" s="17"/>
      <c r="H909" s="17"/>
      <c r="I909" s="361">
        <f t="shared" si="203"/>
        <v>0</v>
      </c>
      <c r="J909" s="17"/>
      <c r="K909" s="18"/>
      <c r="L909" s="18"/>
      <c r="M909" s="17"/>
      <c r="N909" s="17"/>
      <c r="O909" s="17"/>
      <c r="P909" s="17"/>
      <c r="Q909" s="169"/>
      <c r="R909" s="24"/>
      <c r="S909" s="24"/>
      <c r="T909" s="24"/>
      <c r="U909" s="25"/>
      <c r="V909" s="25"/>
      <c r="W909" s="25"/>
      <c r="X909" s="24"/>
      <c r="Y909" s="24"/>
      <c r="Z909" s="24"/>
      <c r="AA909" s="24"/>
      <c r="AB909" s="24"/>
      <c r="AC909" s="24"/>
      <c r="AD909" s="361">
        <f t="shared" si="202"/>
        <v>0</v>
      </c>
      <c r="AE909" s="359" t="str">
        <f t="shared" si="205"/>
        <v/>
      </c>
      <c r="AF909" s="359" t="str">
        <f t="shared" si="214"/>
        <v/>
      </c>
      <c r="AG909" s="359" t="str">
        <f t="shared" si="206"/>
        <v/>
      </c>
      <c r="AH909" s="359" t="str">
        <f t="shared" si="207"/>
        <v/>
      </c>
      <c r="AI909" s="359" t="str">
        <f t="shared" si="208"/>
        <v/>
      </c>
      <c r="AJ909" s="359" t="str">
        <f t="shared" si="209"/>
        <v/>
      </c>
      <c r="AK909" s="359" t="str">
        <f t="shared" si="211"/>
        <v/>
      </c>
      <c r="AL909" s="359" t="str">
        <f t="shared" si="210"/>
        <v/>
      </c>
      <c r="AM909" s="359" t="str">
        <f t="shared" si="212"/>
        <v/>
      </c>
      <c r="AN909" s="262">
        <f t="shared" si="215"/>
        <v>0</v>
      </c>
      <c r="AO909" s="262" t="str">
        <f>IFERROR(HLOOKUP(AN909,'Ref Lists'!Q$1:AL$2,2,FALSE),'Ref Lists'!$AK$2)</f>
        <v>Savings21</v>
      </c>
      <c r="AP909" s="38"/>
      <c r="AQ909" s="38">
        <f t="shared" si="204"/>
        <v>0</v>
      </c>
      <c r="AR909" s="38"/>
      <c r="AS909" s="38"/>
      <c r="AT909" s="38"/>
      <c r="AU909" s="38"/>
      <c r="AV909" s="38"/>
      <c r="AW909" s="38"/>
      <c r="AX909" s="38"/>
      <c r="AY909" s="38"/>
      <c r="AZ909" s="38"/>
      <c r="BA909" s="38"/>
      <c r="BB909" s="38"/>
      <c r="BC909" s="38"/>
      <c r="BD909" s="38"/>
      <c r="BE909" s="38"/>
      <c r="BF909" s="38"/>
      <c r="BG909" s="38"/>
      <c r="BH909" s="38"/>
      <c r="BI909" s="38"/>
      <c r="BJ909" s="38"/>
      <c r="BK909" s="38"/>
      <c r="BL909" s="38"/>
      <c r="BM909" s="38"/>
      <c r="BN909" s="38"/>
      <c r="BO909" s="38"/>
      <c r="BP909" s="38"/>
      <c r="BQ909" s="38"/>
      <c r="BR909" s="38"/>
      <c r="BS909" s="38"/>
      <c r="BT909" s="38"/>
      <c r="BU909" s="38"/>
      <c r="BV909" s="38"/>
      <c r="BW909" s="38"/>
      <c r="BX909" s="38"/>
      <c r="BY909" s="38"/>
      <c r="BZ909" s="38"/>
      <c r="CA909" s="38"/>
      <c r="CB909" s="38"/>
      <c r="CC909" s="38"/>
      <c r="CD909" s="38"/>
      <c r="CE909" s="38"/>
      <c r="CF909" s="38"/>
      <c r="CG909" s="38"/>
      <c r="CH909" s="38"/>
      <c r="CI909" s="38"/>
      <c r="CJ909" s="38"/>
      <c r="CK909" s="38"/>
      <c r="CL909" s="38"/>
      <c r="CM909" s="38"/>
      <c r="CN909" s="38"/>
      <c r="CO909" s="38"/>
      <c r="CP909" s="38"/>
      <c r="CQ909" s="38"/>
      <c r="CR909" s="38"/>
      <c r="CS909" s="38"/>
      <c r="CT909" s="38"/>
      <c r="CU909" s="38"/>
      <c r="CV909" s="38"/>
      <c r="CW909" s="38"/>
      <c r="CX909" s="38"/>
      <c r="CY909" s="38"/>
      <c r="CZ909" s="38"/>
    </row>
    <row r="910" spans="1:104" s="40" customFormat="1" ht="20.149999999999999" customHeight="1">
      <c r="A910" s="358">
        <f t="shared" si="213"/>
        <v>909</v>
      </c>
      <c r="B910" s="359" t="str">
        <f>'Front Sheet and Checklist'!$C$5</f>
        <v>Swansea Bay UHB</v>
      </c>
      <c r="C910" s="17"/>
      <c r="D910" s="17"/>
      <c r="E910" s="17"/>
      <c r="F910" s="17"/>
      <c r="G910" s="17"/>
      <c r="H910" s="17"/>
      <c r="I910" s="361">
        <f t="shared" si="203"/>
        <v>0</v>
      </c>
      <c r="J910" s="17"/>
      <c r="K910" s="18"/>
      <c r="L910" s="18"/>
      <c r="M910" s="17"/>
      <c r="N910" s="17"/>
      <c r="O910" s="17"/>
      <c r="P910" s="17"/>
      <c r="Q910" s="169"/>
      <c r="R910" s="24"/>
      <c r="S910" s="24"/>
      <c r="T910" s="24"/>
      <c r="U910" s="25"/>
      <c r="V910" s="25"/>
      <c r="W910" s="25"/>
      <c r="X910" s="24"/>
      <c r="Y910" s="24"/>
      <c r="Z910" s="24"/>
      <c r="AA910" s="24"/>
      <c r="AB910" s="24"/>
      <c r="AC910" s="24"/>
      <c r="AD910" s="361">
        <f t="shared" si="202"/>
        <v>0</v>
      </c>
      <c r="AE910" s="359" t="str">
        <f t="shared" si="205"/>
        <v/>
      </c>
      <c r="AF910" s="359" t="str">
        <f t="shared" si="214"/>
        <v/>
      </c>
      <c r="AG910" s="359" t="str">
        <f t="shared" si="206"/>
        <v/>
      </c>
      <c r="AH910" s="359" t="str">
        <f t="shared" si="207"/>
        <v/>
      </c>
      <c r="AI910" s="359" t="str">
        <f t="shared" si="208"/>
        <v/>
      </c>
      <c r="AJ910" s="359" t="str">
        <f t="shared" si="209"/>
        <v/>
      </c>
      <c r="AK910" s="359" t="str">
        <f t="shared" si="211"/>
        <v/>
      </c>
      <c r="AL910" s="359" t="str">
        <f t="shared" si="210"/>
        <v/>
      </c>
      <c r="AM910" s="359" t="str">
        <f t="shared" si="212"/>
        <v/>
      </c>
      <c r="AN910" s="262">
        <f t="shared" si="215"/>
        <v>0</v>
      </c>
      <c r="AO910" s="262" t="str">
        <f>IFERROR(HLOOKUP(AN910,'Ref Lists'!Q$1:AL$2,2,FALSE),'Ref Lists'!$AK$2)</f>
        <v>Savings21</v>
      </c>
      <c r="AP910" s="38"/>
      <c r="AQ910" s="38">
        <f t="shared" si="204"/>
        <v>0</v>
      </c>
      <c r="AR910" s="38"/>
      <c r="AS910" s="38"/>
      <c r="AT910" s="38"/>
      <c r="AU910" s="38"/>
      <c r="AV910" s="38"/>
      <c r="AW910" s="38"/>
      <c r="AX910" s="38"/>
      <c r="AY910" s="38"/>
      <c r="AZ910" s="38"/>
      <c r="BA910" s="38"/>
      <c r="BB910" s="38"/>
      <c r="BC910" s="38"/>
      <c r="BD910" s="38"/>
      <c r="BE910" s="38"/>
      <c r="BF910" s="38"/>
      <c r="BG910" s="38"/>
      <c r="BH910" s="38"/>
      <c r="BI910" s="38"/>
      <c r="BJ910" s="38"/>
      <c r="BK910" s="38"/>
      <c r="BL910" s="38"/>
      <c r="BM910" s="38"/>
      <c r="BN910" s="38"/>
      <c r="BO910" s="38"/>
      <c r="BP910" s="38"/>
      <c r="BQ910" s="38"/>
      <c r="BR910" s="38"/>
      <c r="BS910" s="38"/>
      <c r="BT910" s="38"/>
      <c r="BU910" s="38"/>
      <c r="BV910" s="38"/>
      <c r="BW910" s="38"/>
      <c r="BX910" s="38"/>
      <c r="BY910" s="38"/>
      <c r="BZ910" s="38"/>
      <c r="CA910" s="38"/>
      <c r="CB910" s="38"/>
      <c r="CC910" s="38"/>
      <c r="CD910" s="38"/>
      <c r="CE910" s="38"/>
      <c r="CF910" s="38"/>
      <c r="CG910" s="38"/>
      <c r="CH910" s="38"/>
      <c r="CI910" s="38"/>
      <c r="CJ910" s="38"/>
      <c r="CK910" s="38"/>
      <c r="CL910" s="38"/>
      <c r="CM910" s="38"/>
      <c r="CN910" s="38"/>
      <c r="CO910" s="38"/>
      <c r="CP910" s="38"/>
      <c r="CQ910" s="38"/>
      <c r="CR910" s="38"/>
      <c r="CS910" s="38"/>
      <c r="CT910" s="38"/>
      <c r="CU910" s="38"/>
      <c r="CV910" s="38"/>
      <c r="CW910" s="38"/>
      <c r="CX910" s="38"/>
      <c r="CY910" s="38"/>
      <c r="CZ910" s="38"/>
    </row>
    <row r="911" spans="1:104" s="40" customFormat="1" ht="20.149999999999999" customHeight="1">
      <c r="A911" s="358">
        <f t="shared" si="213"/>
        <v>910</v>
      </c>
      <c r="B911" s="359" t="str">
        <f>'Front Sheet and Checklist'!$C$5</f>
        <v>Swansea Bay UHB</v>
      </c>
      <c r="C911" s="17"/>
      <c r="D911" s="17"/>
      <c r="E911" s="17"/>
      <c r="F911" s="17"/>
      <c r="G911" s="17"/>
      <c r="H911" s="17"/>
      <c r="I911" s="361">
        <f t="shared" si="203"/>
        <v>0</v>
      </c>
      <c r="J911" s="17"/>
      <c r="K911" s="18"/>
      <c r="L911" s="18"/>
      <c r="M911" s="17"/>
      <c r="N911" s="17"/>
      <c r="O911" s="17"/>
      <c r="P911" s="17"/>
      <c r="Q911" s="169"/>
      <c r="R911" s="24"/>
      <c r="S911" s="24"/>
      <c r="T911" s="24"/>
      <c r="U911" s="25"/>
      <c r="V911" s="25"/>
      <c r="W911" s="25"/>
      <c r="X911" s="24"/>
      <c r="Y911" s="24"/>
      <c r="Z911" s="24"/>
      <c r="AA911" s="24"/>
      <c r="AB911" s="24"/>
      <c r="AC911" s="24"/>
      <c r="AD911" s="361">
        <f t="shared" si="202"/>
        <v>0</v>
      </c>
      <c r="AE911" s="359" t="str">
        <f t="shared" si="205"/>
        <v/>
      </c>
      <c r="AF911" s="359" t="str">
        <f t="shared" si="214"/>
        <v/>
      </c>
      <c r="AG911" s="359" t="str">
        <f t="shared" si="206"/>
        <v/>
      </c>
      <c r="AH911" s="359" t="str">
        <f t="shared" si="207"/>
        <v/>
      </c>
      <c r="AI911" s="359" t="str">
        <f t="shared" si="208"/>
        <v/>
      </c>
      <c r="AJ911" s="359" t="str">
        <f t="shared" si="209"/>
        <v/>
      </c>
      <c r="AK911" s="359" t="str">
        <f t="shared" si="211"/>
        <v/>
      </c>
      <c r="AL911" s="359" t="str">
        <f t="shared" si="210"/>
        <v/>
      </c>
      <c r="AM911" s="359" t="str">
        <f t="shared" si="212"/>
        <v/>
      </c>
      <c r="AN911" s="262">
        <f t="shared" si="215"/>
        <v>0</v>
      </c>
      <c r="AO911" s="262" t="str">
        <f>IFERROR(HLOOKUP(AN911,'Ref Lists'!Q$1:AL$2,2,FALSE),'Ref Lists'!$AK$2)</f>
        <v>Savings21</v>
      </c>
      <c r="AP911" s="38"/>
      <c r="AQ911" s="38">
        <f t="shared" si="204"/>
        <v>0</v>
      </c>
      <c r="AR911" s="38"/>
      <c r="AS911" s="38"/>
      <c r="AT911" s="38"/>
      <c r="AU911" s="38"/>
      <c r="AV911" s="38"/>
      <c r="AW911" s="38"/>
      <c r="AX911" s="38"/>
      <c r="AY911" s="38"/>
      <c r="AZ911" s="38"/>
      <c r="BA911" s="38"/>
      <c r="BB911" s="38"/>
      <c r="BC911" s="38"/>
      <c r="BD911" s="38"/>
      <c r="BE911" s="38"/>
      <c r="BF911" s="38"/>
      <c r="BG911" s="38"/>
      <c r="BH911" s="38"/>
      <c r="BI911" s="38"/>
      <c r="BJ911" s="38"/>
      <c r="BK911" s="38"/>
      <c r="BL911" s="38"/>
      <c r="BM911" s="38"/>
      <c r="BN911" s="38"/>
      <c r="BO911" s="38"/>
      <c r="BP911" s="38"/>
      <c r="BQ911" s="38"/>
      <c r="BR911" s="38"/>
      <c r="BS911" s="38"/>
      <c r="BT911" s="38"/>
      <c r="BU911" s="38"/>
      <c r="BV911" s="38"/>
      <c r="BW911" s="38"/>
      <c r="BX911" s="38"/>
      <c r="BY911" s="38"/>
      <c r="BZ911" s="38"/>
      <c r="CA911" s="38"/>
      <c r="CB911" s="38"/>
      <c r="CC911" s="38"/>
      <c r="CD911" s="38"/>
      <c r="CE911" s="38"/>
      <c r="CF911" s="38"/>
      <c r="CG911" s="38"/>
      <c r="CH911" s="38"/>
      <c r="CI911" s="38"/>
      <c r="CJ911" s="38"/>
      <c r="CK911" s="38"/>
      <c r="CL911" s="38"/>
      <c r="CM911" s="38"/>
      <c r="CN911" s="38"/>
      <c r="CO911" s="38"/>
      <c r="CP911" s="38"/>
      <c r="CQ911" s="38"/>
      <c r="CR911" s="38"/>
      <c r="CS911" s="38"/>
      <c r="CT911" s="38"/>
      <c r="CU911" s="38"/>
      <c r="CV911" s="38"/>
      <c r="CW911" s="38"/>
      <c r="CX911" s="38"/>
      <c r="CY911" s="38"/>
      <c r="CZ911" s="38"/>
    </row>
    <row r="912" spans="1:104" s="40" customFormat="1" ht="20.149999999999999" customHeight="1">
      <c r="A912" s="358">
        <f t="shared" si="213"/>
        <v>911</v>
      </c>
      <c r="B912" s="359" t="str">
        <f>'Front Sheet and Checklist'!$C$5</f>
        <v>Swansea Bay UHB</v>
      </c>
      <c r="C912" s="17"/>
      <c r="D912" s="17"/>
      <c r="E912" s="17"/>
      <c r="F912" s="17"/>
      <c r="G912" s="17"/>
      <c r="H912" s="17"/>
      <c r="I912" s="361">
        <f t="shared" si="203"/>
        <v>0</v>
      </c>
      <c r="J912" s="17"/>
      <c r="K912" s="18"/>
      <c r="L912" s="18"/>
      <c r="M912" s="17"/>
      <c r="N912" s="17"/>
      <c r="O912" s="17"/>
      <c r="P912" s="17"/>
      <c r="Q912" s="169"/>
      <c r="R912" s="24"/>
      <c r="S912" s="24"/>
      <c r="T912" s="24"/>
      <c r="U912" s="25"/>
      <c r="V912" s="25"/>
      <c r="W912" s="25"/>
      <c r="X912" s="24"/>
      <c r="Y912" s="24"/>
      <c r="Z912" s="24"/>
      <c r="AA912" s="24"/>
      <c r="AB912" s="24"/>
      <c r="AC912" s="24"/>
      <c r="AD912" s="361">
        <f t="shared" si="202"/>
        <v>0</v>
      </c>
      <c r="AE912" s="359" t="str">
        <f t="shared" si="205"/>
        <v/>
      </c>
      <c r="AF912" s="359" t="str">
        <f t="shared" si="214"/>
        <v/>
      </c>
      <c r="AG912" s="359" t="str">
        <f t="shared" si="206"/>
        <v/>
      </c>
      <c r="AH912" s="359" t="str">
        <f t="shared" si="207"/>
        <v/>
      </c>
      <c r="AI912" s="359" t="str">
        <f t="shared" si="208"/>
        <v/>
      </c>
      <c r="AJ912" s="359" t="str">
        <f t="shared" si="209"/>
        <v/>
      </c>
      <c r="AK912" s="359" t="str">
        <f t="shared" si="211"/>
        <v/>
      </c>
      <c r="AL912" s="359" t="str">
        <f t="shared" si="210"/>
        <v/>
      </c>
      <c r="AM912" s="359" t="str">
        <f t="shared" si="212"/>
        <v/>
      </c>
      <c r="AN912" s="262">
        <f t="shared" si="215"/>
        <v>0</v>
      </c>
      <c r="AO912" s="262" t="str">
        <f>IFERROR(HLOOKUP(AN912,'Ref Lists'!Q$1:AL$2,2,FALSE),'Ref Lists'!$AK$2)</f>
        <v>Savings21</v>
      </c>
      <c r="AP912" s="38"/>
      <c r="AQ912" s="38">
        <f t="shared" si="204"/>
        <v>0</v>
      </c>
      <c r="AR912" s="38"/>
      <c r="AS912" s="38"/>
      <c r="AT912" s="38"/>
      <c r="AU912" s="38"/>
      <c r="AV912" s="38"/>
      <c r="AW912" s="38"/>
      <c r="AX912" s="38"/>
      <c r="AY912" s="38"/>
      <c r="AZ912" s="38"/>
      <c r="BA912" s="38"/>
      <c r="BB912" s="38"/>
      <c r="BC912" s="38"/>
      <c r="BD912" s="38"/>
      <c r="BE912" s="38"/>
      <c r="BF912" s="38"/>
      <c r="BG912" s="38"/>
      <c r="BH912" s="38"/>
      <c r="BI912" s="38"/>
      <c r="BJ912" s="38"/>
      <c r="BK912" s="38"/>
      <c r="BL912" s="38"/>
      <c r="BM912" s="38"/>
      <c r="BN912" s="38"/>
      <c r="BO912" s="38"/>
      <c r="BP912" s="38"/>
      <c r="BQ912" s="38"/>
      <c r="BR912" s="38"/>
      <c r="BS912" s="38"/>
      <c r="BT912" s="38"/>
      <c r="BU912" s="38"/>
      <c r="BV912" s="38"/>
      <c r="BW912" s="38"/>
      <c r="BX912" s="38"/>
      <c r="BY912" s="38"/>
      <c r="BZ912" s="38"/>
      <c r="CA912" s="38"/>
      <c r="CB912" s="38"/>
      <c r="CC912" s="38"/>
      <c r="CD912" s="38"/>
      <c r="CE912" s="38"/>
      <c r="CF912" s="38"/>
      <c r="CG912" s="38"/>
      <c r="CH912" s="38"/>
      <c r="CI912" s="38"/>
      <c r="CJ912" s="38"/>
      <c r="CK912" s="38"/>
      <c r="CL912" s="38"/>
      <c r="CM912" s="38"/>
      <c r="CN912" s="38"/>
      <c r="CO912" s="38"/>
      <c r="CP912" s="38"/>
      <c r="CQ912" s="38"/>
      <c r="CR912" s="38"/>
      <c r="CS912" s="38"/>
      <c r="CT912" s="38"/>
      <c r="CU912" s="38"/>
      <c r="CV912" s="38"/>
      <c r="CW912" s="38"/>
      <c r="CX912" s="38"/>
      <c r="CY912" s="38"/>
      <c r="CZ912" s="38"/>
    </row>
    <row r="913" spans="1:104" s="40" customFormat="1" ht="20.149999999999999" customHeight="1">
      <c r="A913" s="358">
        <f t="shared" si="213"/>
        <v>912</v>
      </c>
      <c r="B913" s="359" t="str">
        <f>'Front Sheet and Checklist'!$C$5</f>
        <v>Swansea Bay UHB</v>
      </c>
      <c r="C913" s="17"/>
      <c r="D913" s="17"/>
      <c r="E913" s="17"/>
      <c r="F913" s="17"/>
      <c r="G913" s="17"/>
      <c r="H913" s="17"/>
      <c r="I913" s="361">
        <f t="shared" si="203"/>
        <v>0</v>
      </c>
      <c r="J913" s="17"/>
      <c r="K913" s="18"/>
      <c r="L913" s="18"/>
      <c r="M913" s="17"/>
      <c r="N913" s="17"/>
      <c r="O913" s="17"/>
      <c r="P913" s="17"/>
      <c r="Q913" s="169"/>
      <c r="R913" s="24"/>
      <c r="S913" s="24"/>
      <c r="T913" s="24"/>
      <c r="U913" s="25"/>
      <c r="V913" s="25"/>
      <c r="W913" s="25"/>
      <c r="X913" s="24"/>
      <c r="Y913" s="24"/>
      <c r="Z913" s="24"/>
      <c r="AA913" s="24"/>
      <c r="AB913" s="24"/>
      <c r="AC913" s="24"/>
      <c r="AD913" s="361">
        <f t="shared" si="202"/>
        <v>0</v>
      </c>
      <c r="AE913" s="359" t="str">
        <f t="shared" si="205"/>
        <v/>
      </c>
      <c r="AF913" s="359" t="str">
        <f t="shared" si="214"/>
        <v/>
      </c>
      <c r="AG913" s="359" t="str">
        <f t="shared" si="206"/>
        <v/>
      </c>
      <c r="AH913" s="359" t="str">
        <f t="shared" si="207"/>
        <v/>
      </c>
      <c r="AI913" s="359" t="str">
        <f t="shared" si="208"/>
        <v/>
      </c>
      <c r="AJ913" s="359" t="str">
        <f t="shared" si="209"/>
        <v/>
      </c>
      <c r="AK913" s="359" t="str">
        <f t="shared" si="211"/>
        <v/>
      </c>
      <c r="AL913" s="359" t="str">
        <f t="shared" si="210"/>
        <v/>
      </c>
      <c r="AM913" s="359" t="str">
        <f t="shared" si="212"/>
        <v/>
      </c>
      <c r="AN913" s="262">
        <f t="shared" si="215"/>
        <v>0</v>
      </c>
      <c r="AO913" s="262" t="str">
        <f>IFERROR(HLOOKUP(AN913,'Ref Lists'!Q$1:AL$2,2,FALSE),'Ref Lists'!$AK$2)</f>
        <v>Savings21</v>
      </c>
      <c r="AP913" s="38"/>
      <c r="AQ913" s="38">
        <f t="shared" si="204"/>
        <v>0</v>
      </c>
      <c r="AR913" s="38"/>
      <c r="AS913" s="38"/>
      <c r="AT913" s="38"/>
      <c r="AU913" s="38"/>
      <c r="AV913" s="38"/>
      <c r="AW913" s="38"/>
      <c r="AX913" s="38"/>
      <c r="AY913" s="38"/>
      <c r="AZ913" s="38"/>
      <c r="BA913" s="38"/>
      <c r="BB913" s="38"/>
      <c r="BC913" s="38"/>
      <c r="BD913" s="38"/>
      <c r="BE913" s="38"/>
      <c r="BF913" s="38"/>
      <c r="BG913" s="38"/>
      <c r="BH913" s="38"/>
      <c r="BI913" s="38"/>
      <c r="BJ913" s="38"/>
      <c r="BK913" s="38"/>
      <c r="BL913" s="38"/>
      <c r="BM913" s="38"/>
      <c r="BN913" s="38"/>
      <c r="BO913" s="38"/>
      <c r="BP913" s="38"/>
      <c r="BQ913" s="38"/>
      <c r="BR913" s="38"/>
      <c r="BS913" s="38"/>
      <c r="BT913" s="38"/>
      <c r="BU913" s="38"/>
      <c r="BV913" s="38"/>
      <c r="BW913" s="38"/>
      <c r="BX913" s="38"/>
      <c r="BY913" s="38"/>
      <c r="BZ913" s="38"/>
      <c r="CA913" s="38"/>
      <c r="CB913" s="38"/>
      <c r="CC913" s="38"/>
      <c r="CD913" s="38"/>
      <c r="CE913" s="38"/>
      <c r="CF913" s="38"/>
      <c r="CG913" s="38"/>
      <c r="CH913" s="38"/>
      <c r="CI913" s="38"/>
      <c r="CJ913" s="38"/>
      <c r="CK913" s="38"/>
      <c r="CL913" s="38"/>
      <c r="CM913" s="38"/>
      <c r="CN913" s="38"/>
      <c r="CO913" s="38"/>
      <c r="CP913" s="38"/>
      <c r="CQ913" s="38"/>
      <c r="CR913" s="38"/>
      <c r="CS913" s="38"/>
      <c r="CT913" s="38"/>
      <c r="CU913" s="38"/>
      <c r="CV913" s="38"/>
      <c r="CW913" s="38"/>
      <c r="CX913" s="38"/>
      <c r="CY913" s="38"/>
      <c r="CZ913" s="38"/>
    </row>
    <row r="914" spans="1:104" s="40" customFormat="1" ht="20.149999999999999" customHeight="1">
      <c r="A914" s="358">
        <f t="shared" si="213"/>
        <v>913</v>
      </c>
      <c r="B914" s="359" t="str">
        <f>'Front Sheet and Checklist'!$C$5</f>
        <v>Swansea Bay UHB</v>
      </c>
      <c r="C914" s="17"/>
      <c r="D914" s="17"/>
      <c r="E914" s="17"/>
      <c r="F914" s="17"/>
      <c r="G914" s="17"/>
      <c r="H914" s="17"/>
      <c r="I914" s="361">
        <f t="shared" si="203"/>
        <v>0</v>
      </c>
      <c r="J914" s="17"/>
      <c r="K914" s="18"/>
      <c r="L914" s="18"/>
      <c r="M914" s="17"/>
      <c r="N914" s="17"/>
      <c r="O914" s="17"/>
      <c r="P914" s="17"/>
      <c r="Q914" s="169"/>
      <c r="R914" s="24"/>
      <c r="S914" s="24"/>
      <c r="T914" s="24"/>
      <c r="U914" s="25"/>
      <c r="V914" s="25"/>
      <c r="W914" s="25"/>
      <c r="X914" s="24"/>
      <c r="Y914" s="24"/>
      <c r="Z914" s="24"/>
      <c r="AA914" s="24"/>
      <c r="AB914" s="24"/>
      <c r="AC914" s="24"/>
      <c r="AD914" s="361">
        <f t="shared" si="202"/>
        <v>0</v>
      </c>
      <c r="AE914" s="359" t="str">
        <f t="shared" si="205"/>
        <v/>
      </c>
      <c r="AF914" s="359" t="str">
        <f t="shared" si="214"/>
        <v/>
      </c>
      <c r="AG914" s="359" t="str">
        <f t="shared" si="206"/>
        <v/>
      </c>
      <c r="AH914" s="359" t="str">
        <f t="shared" si="207"/>
        <v/>
      </c>
      <c r="AI914" s="359" t="str">
        <f t="shared" si="208"/>
        <v/>
      </c>
      <c r="AJ914" s="359" t="str">
        <f t="shared" si="209"/>
        <v/>
      </c>
      <c r="AK914" s="359" t="str">
        <f t="shared" si="211"/>
        <v/>
      </c>
      <c r="AL914" s="359" t="str">
        <f t="shared" si="210"/>
        <v/>
      </c>
      <c r="AM914" s="359" t="str">
        <f t="shared" si="212"/>
        <v/>
      </c>
      <c r="AN914" s="262">
        <f t="shared" si="215"/>
        <v>0</v>
      </c>
      <c r="AO914" s="262" t="str">
        <f>IFERROR(HLOOKUP(AN914,'Ref Lists'!Q$1:AL$2,2,FALSE),'Ref Lists'!$AK$2)</f>
        <v>Savings21</v>
      </c>
      <c r="AP914" s="38"/>
      <c r="AQ914" s="38">
        <f t="shared" si="204"/>
        <v>0</v>
      </c>
      <c r="AR914" s="38"/>
      <c r="AS914" s="38"/>
      <c r="AT914" s="38"/>
      <c r="AU914" s="38"/>
      <c r="AV914" s="38"/>
      <c r="AW914" s="38"/>
      <c r="AX914" s="38"/>
      <c r="AY914" s="38"/>
      <c r="AZ914" s="38"/>
      <c r="BA914" s="38"/>
      <c r="BB914" s="38"/>
      <c r="BC914" s="38"/>
      <c r="BD914" s="38"/>
      <c r="BE914" s="38"/>
      <c r="BF914" s="38"/>
      <c r="BG914" s="38"/>
      <c r="BH914" s="38"/>
      <c r="BI914" s="38"/>
      <c r="BJ914" s="38"/>
      <c r="BK914" s="38"/>
      <c r="BL914" s="38"/>
      <c r="BM914" s="38"/>
      <c r="BN914" s="38"/>
      <c r="BO914" s="38"/>
      <c r="BP914" s="38"/>
      <c r="BQ914" s="38"/>
      <c r="BR914" s="38"/>
      <c r="BS914" s="38"/>
      <c r="BT914" s="38"/>
      <c r="BU914" s="38"/>
      <c r="BV914" s="38"/>
      <c r="BW914" s="38"/>
      <c r="BX914" s="38"/>
      <c r="BY914" s="38"/>
      <c r="BZ914" s="38"/>
      <c r="CA914" s="38"/>
      <c r="CB914" s="38"/>
      <c r="CC914" s="38"/>
      <c r="CD914" s="38"/>
      <c r="CE914" s="38"/>
      <c r="CF914" s="38"/>
      <c r="CG914" s="38"/>
      <c r="CH914" s="38"/>
      <c r="CI914" s="38"/>
      <c r="CJ914" s="38"/>
      <c r="CK914" s="38"/>
      <c r="CL914" s="38"/>
      <c r="CM914" s="38"/>
      <c r="CN914" s="38"/>
      <c r="CO914" s="38"/>
      <c r="CP914" s="38"/>
      <c r="CQ914" s="38"/>
      <c r="CR914" s="38"/>
      <c r="CS914" s="38"/>
      <c r="CT914" s="38"/>
      <c r="CU914" s="38"/>
      <c r="CV914" s="38"/>
      <c r="CW914" s="38"/>
      <c r="CX914" s="38"/>
      <c r="CY914" s="38"/>
      <c r="CZ914" s="38"/>
    </row>
    <row r="915" spans="1:104" s="40" customFormat="1" ht="20.149999999999999" customHeight="1">
      <c r="A915" s="358">
        <f t="shared" si="213"/>
        <v>914</v>
      </c>
      <c r="B915" s="359" t="str">
        <f>'Front Sheet and Checklist'!$C$5</f>
        <v>Swansea Bay UHB</v>
      </c>
      <c r="C915" s="17"/>
      <c r="D915" s="17"/>
      <c r="E915" s="17"/>
      <c r="F915" s="17"/>
      <c r="G915" s="17"/>
      <c r="H915" s="17"/>
      <c r="I915" s="361">
        <f t="shared" si="203"/>
        <v>0</v>
      </c>
      <c r="J915" s="17"/>
      <c r="K915" s="18"/>
      <c r="L915" s="18"/>
      <c r="M915" s="17"/>
      <c r="N915" s="17"/>
      <c r="O915" s="17"/>
      <c r="P915" s="17"/>
      <c r="Q915" s="169"/>
      <c r="R915" s="24"/>
      <c r="S915" s="24"/>
      <c r="T915" s="24"/>
      <c r="U915" s="25"/>
      <c r="V915" s="25"/>
      <c r="W915" s="25"/>
      <c r="X915" s="24"/>
      <c r="Y915" s="24"/>
      <c r="Z915" s="24"/>
      <c r="AA915" s="24"/>
      <c r="AB915" s="24"/>
      <c r="AC915" s="24"/>
      <c r="AD915" s="361">
        <f t="shared" si="202"/>
        <v>0</v>
      </c>
      <c r="AE915" s="359" t="str">
        <f t="shared" si="205"/>
        <v/>
      </c>
      <c r="AF915" s="359" t="str">
        <f t="shared" si="214"/>
        <v/>
      </c>
      <c r="AG915" s="359" t="str">
        <f t="shared" si="206"/>
        <v/>
      </c>
      <c r="AH915" s="359" t="str">
        <f t="shared" si="207"/>
        <v/>
      </c>
      <c r="AI915" s="359" t="str">
        <f t="shared" si="208"/>
        <v/>
      </c>
      <c r="AJ915" s="359" t="str">
        <f t="shared" si="209"/>
        <v/>
      </c>
      <c r="AK915" s="359" t="str">
        <f t="shared" si="211"/>
        <v/>
      </c>
      <c r="AL915" s="359" t="str">
        <f t="shared" si="210"/>
        <v/>
      </c>
      <c r="AM915" s="359" t="str">
        <f t="shared" si="212"/>
        <v/>
      </c>
      <c r="AN915" s="262">
        <f t="shared" si="215"/>
        <v>0</v>
      </c>
      <c r="AO915" s="262" t="str">
        <f>IFERROR(HLOOKUP(AN915,'Ref Lists'!Q$1:AL$2,2,FALSE),'Ref Lists'!$AK$2)</f>
        <v>Savings21</v>
      </c>
      <c r="AP915" s="38"/>
      <c r="AQ915" s="38">
        <f t="shared" si="204"/>
        <v>0</v>
      </c>
      <c r="AR915" s="38"/>
      <c r="AS915" s="38"/>
      <c r="AT915" s="38"/>
      <c r="AU915" s="38"/>
      <c r="AV915" s="38"/>
      <c r="AW915" s="38"/>
      <c r="AX915" s="38"/>
      <c r="AY915" s="38"/>
      <c r="AZ915" s="38"/>
      <c r="BA915" s="38"/>
      <c r="BB915" s="38"/>
      <c r="BC915" s="38"/>
      <c r="BD915" s="38"/>
      <c r="BE915" s="38"/>
      <c r="BF915" s="38"/>
      <c r="BG915" s="38"/>
      <c r="BH915" s="38"/>
      <c r="BI915" s="38"/>
      <c r="BJ915" s="38"/>
      <c r="BK915" s="38"/>
      <c r="BL915" s="38"/>
      <c r="BM915" s="38"/>
      <c r="BN915" s="38"/>
      <c r="BO915" s="38"/>
      <c r="BP915" s="38"/>
      <c r="BQ915" s="38"/>
      <c r="BR915" s="38"/>
      <c r="BS915" s="38"/>
      <c r="BT915" s="38"/>
      <c r="BU915" s="38"/>
      <c r="BV915" s="38"/>
      <c r="BW915" s="38"/>
      <c r="BX915" s="38"/>
      <c r="BY915" s="38"/>
      <c r="BZ915" s="38"/>
      <c r="CA915" s="38"/>
      <c r="CB915" s="38"/>
      <c r="CC915" s="38"/>
      <c r="CD915" s="38"/>
      <c r="CE915" s="38"/>
      <c r="CF915" s="38"/>
      <c r="CG915" s="38"/>
      <c r="CH915" s="38"/>
      <c r="CI915" s="38"/>
      <c r="CJ915" s="38"/>
      <c r="CK915" s="38"/>
      <c r="CL915" s="38"/>
      <c r="CM915" s="38"/>
      <c r="CN915" s="38"/>
      <c r="CO915" s="38"/>
      <c r="CP915" s="38"/>
      <c r="CQ915" s="38"/>
      <c r="CR915" s="38"/>
      <c r="CS915" s="38"/>
      <c r="CT915" s="38"/>
      <c r="CU915" s="38"/>
      <c r="CV915" s="38"/>
      <c r="CW915" s="38"/>
      <c r="CX915" s="38"/>
      <c r="CY915" s="38"/>
      <c r="CZ915" s="38"/>
    </row>
    <row r="916" spans="1:104" s="40" customFormat="1" ht="20.149999999999999" customHeight="1">
      <c r="A916" s="358">
        <f t="shared" si="213"/>
        <v>915</v>
      </c>
      <c r="B916" s="359" t="str">
        <f>'Front Sheet and Checklist'!$C$5</f>
        <v>Swansea Bay UHB</v>
      </c>
      <c r="C916" s="17"/>
      <c r="D916" s="17"/>
      <c r="E916" s="17"/>
      <c r="F916" s="17"/>
      <c r="G916" s="17"/>
      <c r="H916" s="17"/>
      <c r="I916" s="361">
        <f t="shared" si="203"/>
        <v>0</v>
      </c>
      <c r="J916" s="17"/>
      <c r="K916" s="18"/>
      <c r="L916" s="18"/>
      <c r="M916" s="17"/>
      <c r="N916" s="17"/>
      <c r="O916" s="17"/>
      <c r="P916" s="17"/>
      <c r="Q916" s="169"/>
      <c r="R916" s="24"/>
      <c r="S916" s="24"/>
      <c r="T916" s="24"/>
      <c r="U916" s="25"/>
      <c r="V916" s="25"/>
      <c r="W916" s="25"/>
      <c r="X916" s="24"/>
      <c r="Y916" s="24"/>
      <c r="Z916" s="24"/>
      <c r="AA916" s="24"/>
      <c r="AB916" s="24"/>
      <c r="AC916" s="24"/>
      <c r="AD916" s="361">
        <f t="shared" si="202"/>
        <v>0</v>
      </c>
      <c r="AE916" s="359" t="str">
        <f t="shared" si="205"/>
        <v/>
      </c>
      <c r="AF916" s="359" t="str">
        <f t="shared" si="214"/>
        <v/>
      </c>
      <c r="AG916" s="359" t="str">
        <f t="shared" si="206"/>
        <v/>
      </c>
      <c r="AH916" s="359" t="str">
        <f t="shared" si="207"/>
        <v/>
      </c>
      <c r="AI916" s="359" t="str">
        <f t="shared" si="208"/>
        <v/>
      </c>
      <c r="AJ916" s="359" t="str">
        <f t="shared" si="209"/>
        <v/>
      </c>
      <c r="AK916" s="359" t="str">
        <f t="shared" si="211"/>
        <v/>
      </c>
      <c r="AL916" s="359" t="str">
        <f t="shared" si="210"/>
        <v/>
      </c>
      <c r="AM916" s="359" t="str">
        <f t="shared" si="212"/>
        <v/>
      </c>
      <c r="AN916" s="262">
        <f t="shared" si="215"/>
        <v>0</v>
      </c>
      <c r="AO916" s="262" t="str">
        <f>IFERROR(HLOOKUP(AN916,'Ref Lists'!Q$1:AL$2,2,FALSE),'Ref Lists'!$AK$2)</f>
        <v>Savings21</v>
      </c>
      <c r="AP916" s="38"/>
      <c r="AQ916" s="38">
        <f t="shared" si="204"/>
        <v>0</v>
      </c>
      <c r="AR916" s="38"/>
      <c r="AS916" s="38"/>
      <c r="AT916" s="38"/>
      <c r="AU916" s="38"/>
      <c r="AV916" s="38"/>
      <c r="AW916" s="38"/>
      <c r="AX916" s="38"/>
      <c r="AY916" s="38"/>
      <c r="AZ916" s="38"/>
      <c r="BA916" s="38"/>
      <c r="BB916" s="38"/>
      <c r="BC916" s="38"/>
      <c r="BD916" s="38"/>
      <c r="BE916" s="38"/>
      <c r="BF916" s="38"/>
      <c r="BG916" s="38"/>
      <c r="BH916" s="38"/>
      <c r="BI916" s="38"/>
      <c r="BJ916" s="38"/>
      <c r="BK916" s="38"/>
      <c r="BL916" s="38"/>
      <c r="BM916" s="38"/>
      <c r="BN916" s="38"/>
      <c r="BO916" s="38"/>
      <c r="BP916" s="38"/>
      <c r="BQ916" s="38"/>
      <c r="BR916" s="38"/>
      <c r="BS916" s="38"/>
      <c r="BT916" s="38"/>
      <c r="BU916" s="38"/>
      <c r="BV916" s="38"/>
      <c r="BW916" s="38"/>
      <c r="BX916" s="38"/>
      <c r="BY916" s="38"/>
      <c r="BZ916" s="38"/>
      <c r="CA916" s="38"/>
      <c r="CB916" s="38"/>
      <c r="CC916" s="38"/>
      <c r="CD916" s="38"/>
      <c r="CE916" s="38"/>
      <c r="CF916" s="38"/>
      <c r="CG916" s="38"/>
      <c r="CH916" s="38"/>
      <c r="CI916" s="38"/>
      <c r="CJ916" s="38"/>
      <c r="CK916" s="38"/>
      <c r="CL916" s="38"/>
      <c r="CM916" s="38"/>
      <c r="CN916" s="38"/>
      <c r="CO916" s="38"/>
      <c r="CP916" s="38"/>
      <c r="CQ916" s="38"/>
      <c r="CR916" s="38"/>
      <c r="CS916" s="38"/>
      <c r="CT916" s="38"/>
      <c r="CU916" s="38"/>
      <c r="CV916" s="38"/>
      <c r="CW916" s="38"/>
      <c r="CX916" s="38"/>
      <c r="CY916" s="38"/>
      <c r="CZ916" s="38"/>
    </row>
    <row r="917" spans="1:104" s="40" customFormat="1" ht="20.149999999999999" customHeight="1">
      <c r="A917" s="358">
        <f t="shared" si="213"/>
        <v>916</v>
      </c>
      <c r="B917" s="359" t="str">
        <f>'Front Sheet and Checklist'!$C$5</f>
        <v>Swansea Bay UHB</v>
      </c>
      <c r="C917" s="17"/>
      <c r="D917" s="17"/>
      <c r="E917" s="17"/>
      <c r="F917" s="17"/>
      <c r="G917" s="17"/>
      <c r="H917" s="17"/>
      <c r="I917" s="361">
        <f t="shared" si="203"/>
        <v>0</v>
      </c>
      <c r="J917" s="17"/>
      <c r="K917" s="18"/>
      <c r="L917" s="18"/>
      <c r="M917" s="17"/>
      <c r="N917" s="17"/>
      <c r="O917" s="17"/>
      <c r="P917" s="17"/>
      <c r="Q917" s="169"/>
      <c r="R917" s="24"/>
      <c r="S917" s="24"/>
      <c r="T917" s="24"/>
      <c r="U917" s="25"/>
      <c r="V917" s="25"/>
      <c r="W917" s="25"/>
      <c r="X917" s="24"/>
      <c r="Y917" s="24"/>
      <c r="Z917" s="24"/>
      <c r="AA917" s="24"/>
      <c r="AB917" s="24"/>
      <c r="AC917" s="24"/>
      <c r="AD917" s="361">
        <f t="shared" si="202"/>
        <v>0</v>
      </c>
      <c r="AE917" s="359" t="str">
        <f t="shared" si="205"/>
        <v/>
      </c>
      <c r="AF917" s="359" t="str">
        <f t="shared" si="214"/>
        <v/>
      </c>
      <c r="AG917" s="359" t="str">
        <f t="shared" si="206"/>
        <v/>
      </c>
      <c r="AH917" s="359" t="str">
        <f t="shared" si="207"/>
        <v/>
      </c>
      <c r="AI917" s="359" t="str">
        <f t="shared" si="208"/>
        <v/>
      </c>
      <c r="AJ917" s="359" t="str">
        <f t="shared" si="209"/>
        <v/>
      </c>
      <c r="AK917" s="359" t="str">
        <f t="shared" si="211"/>
        <v/>
      </c>
      <c r="AL917" s="359" t="str">
        <f t="shared" si="210"/>
        <v/>
      </c>
      <c r="AM917" s="359" t="str">
        <f t="shared" si="212"/>
        <v/>
      </c>
      <c r="AN917" s="262">
        <f t="shared" si="215"/>
        <v>0</v>
      </c>
      <c r="AO917" s="262" t="str">
        <f>IFERROR(HLOOKUP(AN917,'Ref Lists'!Q$1:AL$2,2,FALSE),'Ref Lists'!$AK$2)</f>
        <v>Savings21</v>
      </c>
      <c r="AP917" s="38"/>
      <c r="AQ917" s="38">
        <f t="shared" si="204"/>
        <v>0</v>
      </c>
      <c r="AR917" s="38"/>
      <c r="AS917" s="38"/>
      <c r="AT917" s="38"/>
      <c r="AU917" s="38"/>
      <c r="AV917" s="38"/>
      <c r="AW917" s="38"/>
      <c r="AX917" s="38"/>
      <c r="AY917" s="38"/>
      <c r="AZ917" s="38"/>
      <c r="BA917" s="38"/>
      <c r="BB917" s="38"/>
      <c r="BC917" s="38"/>
      <c r="BD917" s="38"/>
      <c r="BE917" s="38"/>
      <c r="BF917" s="38"/>
      <c r="BG917" s="38"/>
      <c r="BH917" s="38"/>
      <c r="BI917" s="38"/>
      <c r="BJ917" s="38"/>
      <c r="BK917" s="38"/>
      <c r="BL917" s="38"/>
      <c r="BM917" s="38"/>
      <c r="BN917" s="38"/>
      <c r="BO917" s="38"/>
      <c r="BP917" s="38"/>
      <c r="BQ917" s="38"/>
      <c r="BR917" s="38"/>
      <c r="BS917" s="38"/>
      <c r="BT917" s="38"/>
      <c r="BU917" s="38"/>
      <c r="BV917" s="38"/>
      <c r="BW917" s="38"/>
      <c r="BX917" s="38"/>
      <c r="BY917" s="38"/>
      <c r="BZ917" s="38"/>
      <c r="CA917" s="38"/>
      <c r="CB917" s="38"/>
      <c r="CC917" s="38"/>
      <c r="CD917" s="38"/>
      <c r="CE917" s="38"/>
      <c r="CF917" s="38"/>
      <c r="CG917" s="38"/>
      <c r="CH917" s="38"/>
      <c r="CI917" s="38"/>
      <c r="CJ917" s="38"/>
      <c r="CK917" s="38"/>
      <c r="CL917" s="38"/>
      <c r="CM917" s="38"/>
      <c r="CN917" s="38"/>
      <c r="CO917" s="38"/>
      <c r="CP917" s="38"/>
      <c r="CQ917" s="38"/>
      <c r="CR917" s="38"/>
      <c r="CS917" s="38"/>
      <c r="CT917" s="38"/>
      <c r="CU917" s="38"/>
      <c r="CV917" s="38"/>
      <c r="CW917" s="38"/>
      <c r="CX917" s="38"/>
      <c r="CY917" s="38"/>
      <c r="CZ917" s="38"/>
    </row>
    <row r="918" spans="1:104" s="40" customFormat="1" ht="20.149999999999999" customHeight="1">
      <c r="A918" s="358">
        <f t="shared" si="213"/>
        <v>917</v>
      </c>
      <c r="B918" s="359" t="str">
        <f>'Front Sheet and Checklist'!$C$5</f>
        <v>Swansea Bay UHB</v>
      </c>
      <c r="C918" s="17"/>
      <c r="D918" s="17"/>
      <c r="E918" s="17"/>
      <c r="F918" s="17"/>
      <c r="G918" s="17"/>
      <c r="H918" s="17"/>
      <c r="I918" s="361">
        <f t="shared" si="203"/>
        <v>0</v>
      </c>
      <c r="J918" s="17"/>
      <c r="K918" s="18"/>
      <c r="L918" s="18"/>
      <c r="M918" s="17"/>
      <c r="N918" s="17"/>
      <c r="O918" s="17"/>
      <c r="P918" s="17"/>
      <c r="Q918" s="169"/>
      <c r="R918" s="24"/>
      <c r="S918" s="24"/>
      <c r="T918" s="24"/>
      <c r="U918" s="25"/>
      <c r="V918" s="25"/>
      <c r="W918" s="25"/>
      <c r="X918" s="24"/>
      <c r="Y918" s="24"/>
      <c r="Z918" s="24"/>
      <c r="AA918" s="24"/>
      <c r="AB918" s="24"/>
      <c r="AC918" s="24"/>
      <c r="AD918" s="361">
        <f t="shared" si="202"/>
        <v>0</v>
      </c>
      <c r="AE918" s="359" t="str">
        <f t="shared" si="205"/>
        <v/>
      </c>
      <c r="AF918" s="359" t="str">
        <f t="shared" si="214"/>
        <v/>
      </c>
      <c r="AG918" s="359" t="str">
        <f t="shared" si="206"/>
        <v/>
      </c>
      <c r="AH918" s="359" t="str">
        <f t="shared" si="207"/>
        <v/>
      </c>
      <c r="AI918" s="359" t="str">
        <f t="shared" si="208"/>
        <v/>
      </c>
      <c r="AJ918" s="359" t="str">
        <f t="shared" si="209"/>
        <v/>
      </c>
      <c r="AK918" s="359" t="str">
        <f t="shared" si="211"/>
        <v/>
      </c>
      <c r="AL918" s="359" t="str">
        <f t="shared" si="210"/>
        <v/>
      </c>
      <c r="AM918" s="359" t="str">
        <f t="shared" si="212"/>
        <v/>
      </c>
      <c r="AN918" s="262">
        <f t="shared" si="215"/>
        <v>0</v>
      </c>
      <c r="AO918" s="262" t="str">
        <f>IFERROR(HLOOKUP(AN918,'Ref Lists'!Q$1:AL$2,2,FALSE),'Ref Lists'!$AK$2)</f>
        <v>Savings21</v>
      </c>
      <c r="AP918" s="38"/>
      <c r="AQ918" s="38">
        <f t="shared" si="204"/>
        <v>0</v>
      </c>
      <c r="AR918" s="38"/>
      <c r="AS918" s="38"/>
      <c r="AT918" s="38"/>
      <c r="AU918" s="38"/>
      <c r="AV918" s="38"/>
      <c r="AW918" s="38"/>
      <c r="AX918" s="38"/>
      <c r="AY918" s="38"/>
      <c r="AZ918" s="38"/>
      <c r="BA918" s="38"/>
      <c r="BB918" s="38"/>
      <c r="BC918" s="38"/>
      <c r="BD918" s="38"/>
      <c r="BE918" s="38"/>
      <c r="BF918" s="38"/>
      <c r="BG918" s="38"/>
      <c r="BH918" s="38"/>
      <c r="BI918" s="38"/>
      <c r="BJ918" s="38"/>
      <c r="BK918" s="38"/>
      <c r="BL918" s="38"/>
      <c r="BM918" s="38"/>
      <c r="BN918" s="38"/>
      <c r="BO918" s="38"/>
      <c r="BP918" s="38"/>
      <c r="BQ918" s="38"/>
      <c r="BR918" s="38"/>
      <c r="BS918" s="38"/>
      <c r="BT918" s="38"/>
      <c r="BU918" s="38"/>
      <c r="BV918" s="38"/>
      <c r="BW918" s="38"/>
      <c r="BX918" s="38"/>
      <c r="BY918" s="38"/>
      <c r="BZ918" s="38"/>
      <c r="CA918" s="38"/>
      <c r="CB918" s="38"/>
      <c r="CC918" s="38"/>
      <c r="CD918" s="38"/>
      <c r="CE918" s="38"/>
      <c r="CF918" s="38"/>
      <c r="CG918" s="38"/>
      <c r="CH918" s="38"/>
      <c r="CI918" s="38"/>
      <c r="CJ918" s="38"/>
      <c r="CK918" s="38"/>
      <c r="CL918" s="38"/>
      <c r="CM918" s="38"/>
      <c r="CN918" s="38"/>
      <c r="CO918" s="38"/>
      <c r="CP918" s="38"/>
      <c r="CQ918" s="38"/>
      <c r="CR918" s="38"/>
      <c r="CS918" s="38"/>
      <c r="CT918" s="38"/>
      <c r="CU918" s="38"/>
      <c r="CV918" s="38"/>
      <c r="CW918" s="38"/>
      <c r="CX918" s="38"/>
      <c r="CY918" s="38"/>
      <c r="CZ918" s="38"/>
    </row>
    <row r="919" spans="1:104" s="40" customFormat="1" ht="20.149999999999999" customHeight="1">
      <c r="A919" s="358">
        <f t="shared" si="213"/>
        <v>918</v>
      </c>
      <c r="B919" s="359" t="str">
        <f>'Front Sheet and Checklist'!$C$5</f>
        <v>Swansea Bay UHB</v>
      </c>
      <c r="C919" s="17"/>
      <c r="D919" s="17"/>
      <c r="E919" s="17"/>
      <c r="F919" s="17"/>
      <c r="G919" s="17"/>
      <c r="H919" s="17"/>
      <c r="I919" s="361">
        <f t="shared" si="203"/>
        <v>0</v>
      </c>
      <c r="J919" s="17"/>
      <c r="K919" s="18"/>
      <c r="L919" s="18"/>
      <c r="M919" s="17"/>
      <c r="N919" s="17"/>
      <c r="O919" s="17"/>
      <c r="P919" s="17"/>
      <c r="Q919" s="169"/>
      <c r="R919" s="24"/>
      <c r="S919" s="24"/>
      <c r="T919" s="24"/>
      <c r="U919" s="25"/>
      <c r="V919" s="25"/>
      <c r="W919" s="25"/>
      <c r="X919" s="24"/>
      <c r="Y919" s="24"/>
      <c r="Z919" s="24"/>
      <c r="AA919" s="24"/>
      <c r="AB919" s="24"/>
      <c r="AC919" s="24"/>
      <c r="AD919" s="361">
        <f t="shared" si="202"/>
        <v>0</v>
      </c>
      <c r="AE919" s="359" t="str">
        <f t="shared" si="205"/>
        <v/>
      </c>
      <c r="AF919" s="359" t="str">
        <f t="shared" si="214"/>
        <v/>
      </c>
      <c r="AG919" s="359" t="str">
        <f t="shared" si="206"/>
        <v/>
      </c>
      <c r="AH919" s="359" t="str">
        <f t="shared" si="207"/>
        <v/>
      </c>
      <c r="AI919" s="359" t="str">
        <f t="shared" si="208"/>
        <v/>
      </c>
      <c r="AJ919" s="359" t="str">
        <f t="shared" si="209"/>
        <v/>
      </c>
      <c r="AK919" s="359" t="str">
        <f t="shared" si="211"/>
        <v/>
      </c>
      <c r="AL919" s="359" t="str">
        <f t="shared" si="210"/>
        <v/>
      </c>
      <c r="AM919" s="359" t="str">
        <f t="shared" si="212"/>
        <v/>
      </c>
      <c r="AN919" s="262">
        <f t="shared" si="215"/>
        <v>0</v>
      </c>
      <c r="AO919" s="262" t="str">
        <f>IFERROR(HLOOKUP(AN919,'Ref Lists'!Q$1:AL$2,2,FALSE),'Ref Lists'!$AK$2)</f>
        <v>Savings21</v>
      </c>
      <c r="AP919" s="38"/>
      <c r="AQ919" s="38">
        <f t="shared" si="204"/>
        <v>0</v>
      </c>
      <c r="AR919" s="38"/>
      <c r="AS919" s="38"/>
      <c r="AT919" s="38"/>
      <c r="AU919" s="38"/>
      <c r="AV919" s="38"/>
      <c r="AW919" s="38"/>
      <c r="AX919" s="38"/>
      <c r="AY919" s="38"/>
      <c r="AZ919" s="38"/>
      <c r="BA919" s="38"/>
      <c r="BB919" s="38"/>
      <c r="BC919" s="38"/>
      <c r="BD919" s="38"/>
      <c r="BE919" s="38"/>
      <c r="BF919" s="38"/>
      <c r="BG919" s="38"/>
      <c r="BH919" s="38"/>
      <c r="BI919" s="38"/>
      <c r="BJ919" s="38"/>
      <c r="BK919" s="38"/>
      <c r="BL919" s="38"/>
      <c r="BM919" s="38"/>
      <c r="BN919" s="38"/>
      <c r="BO919" s="38"/>
      <c r="BP919" s="38"/>
      <c r="BQ919" s="38"/>
      <c r="BR919" s="38"/>
      <c r="BS919" s="38"/>
      <c r="BT919" s="38"/>
      <c r="BU919" s="38"/>
      <c r="BV919" s="38"/>
      <c r="BW919" s="38"/>
      <c r="BX919" s="38"/>
      <c r="BY919" s="38"/>
      <c r="BZ919" s="38"/>
      <c r="CA919" s="38"/>
      <c r="CB919" s="38"/>
      <c r="CC919" s="38"/>
      <c r="CD919" s="38"/>
      <c r="CE919" s="38"/>
      <c r="CF919" s="38"/>
      <c r="CG919" s="38"/>
      <c r="CH919" s="38"/>
      <c r="CI919" s="38"/>
      <c r="CJ919" s="38"/>
      <c r="CK919" s="38"/>
      <c r="CL919" s="38"/>
      <c r="CM919" s="38"/>
      <c r="CN919" s="38"/>
      <c r="CO919" s="38"/>
      <c r="CP919" s="38"/>
      <c r="CQ919" s="38"/>
      <c r="CR919" s="38"/>
      <c r="CS919" s="38"/>
      <c r="CT919" s="38"/>
      <c r="CU919" s="38"/>
      <c r="CV919" s="38"/>
      <c r="CW919" s="38"/>
      <c r="CX919" s="38"/>
      <c r="CY919" s="38"/>
      <c r="CZ919" s="38"/>
    </row>
    <row r="920" spans="1:104" s="40" customFormat="1" ht="20.149999999999999" customHeight="1">
      <c r="A920" s="358">
        <f t="shared" si="213"/>
        <v>919</v>
      </c>
      <c r="B920" s="359" t="str">
        <f>'Front Sheet and Checklist'!$C$5</f>
        <v>Swansea Bay UHB</v>
      </c>
      <c r="C920" s="17"/>
      <c r="D920" s="17"/>
      <c r="E920" s="17"/>
      <c r="F920" s="17"/>
      <c r="G920" s="17"/>
      <c r="H920" s="17"/>
      <c r="I920" s="361">
        <f t="shared" si="203"/>
        <v>0</v>
      </c>
      <c r="J920" s="17"/>
      <c r="K920" s="18"/>
      <c r="L920" s="18"/>
      <c r="M920" s="17"/>
      <c r="N920" s="17"/>
      <c r="O920" s="17"/>
      <c r="P920" s="17"/>
      <c r="Q920" s="169"/>
      <c r="R920" s="24"/>
      <c r="S920" s="24"/>
      <c r="T920" s="24"/>
      <c r="U920" s="25"/>
      <c r="V920" s="25"/>
      <c r="W920" s="25"/>
      <c r="X920" s="24"/>
      <c r="Y920" s="24"/>
      <c r="Z920" s="24"/>
      <c r="AA920" s="24"/>
      <c r="AB920" s="24"/>
      <c r="AC920" s="24"/>
      <c r="AD920" s="361">
        <f t="shared" si="202"/>
        <v>0</v>
      </c>
      <c r="AE920" s="359" t="str">
        <f t="shared" si="205"/>
        <v/>
      </c>
      <c r="AF920" s="359" t="str">
        <f t="shared" si="214"/>
        <v/>
      </c>
      <c r="AG920" s="359" t="str">
        <f t="shared" si="206"/>
        <v/>
      </c>
      <c r="AH920" s="359" t="str">
        <f t="shared" si="207"/>
        <v/>
      </c>
      <c r="AI920" s="359" t="str">
        <f t="shared" si="208"/>
        <v/>
      </c>
      <c r="AJ920" s="359" t="str">
        <f t="shared" si="209"/>
        <v/>
      </c>
      <c r="AK920" s="359" t="str">
        <f t="shared" si="211"/>
        <v/>
      </c>
      <c r="AL920" s="359" t="str">
        <f t="shared" si="210"/>
        <v/>
      </c>
      <c r="AM920" s="359" t="str">
        <f t="shared" si="212"/>
        <v/>
      </c>
      <c r="AN920" s="262">
        <f t="shared" si="215"/>
        <v>0</v>
      </c>
      <c r="AO920" s="262" t="str">
        <f>IFERROR(HLOOKUP(AN920,'Ref Lists'!Q$1:AL$2,2,FALSE),'Ref Lists'!$AK$2)</f>
        <v>Savings21</v>
      </c>
      <c r="AP920" s="38"/>
      <c r="AQ920" s="38">
        <f t="shared" si="204"/>
        <v>0</v>
      </c>
      <c r="AR920" s="38"/>
      <c r="AS920" s="38"/>
      <c r="AT920" s="38"/>
      <c r="AU920" s="38"/>
      <c r="AV920" s="38"/>
      <c r="AW920" s="38"/>
      <c r="AX920" s="38"/>
      <c r="AY920" s="38"/>
      <c r="AZ920" s="38"/>
      <c r="BA920" s="38"/>
      <c r="BB920" s="38"/>
      <c r="BC920" s="38"/>
      <c r="BD920" s="38"/>
      <c r="BE920" s="38"/>
      <c r="BF920" s="38"/>
      <c r="BG920" s="38"/>
      <c r="BH920" s="38"/>
      <c r="BI920" s="38"/>
      <c r="BJ920" s="38"/>
      <c r="BK920" s="38"/>
      <c r="BL920" s="38"/>
      <c r="BM920" s="38"/>
      <c r="BN920" s="38"/>
      <c r="BO920" s="38"/>
      <c r="BP920" s="38"/>
      <c r="BQ920" s="38"/>
      <c r="BR920" s="38"/>
      <c r="BS920" s="38"/>
      <c r="BT920" s="38"/>
      <c r="BU920" s="38"/>
      <c r="BV920" s="38"/>
      <c r="BW920" s="38"/>
      <c r="BX920" s="38"/>
      <c r="BY920" s="38"/>
      <c r="BZ920" s="38"/>
      <c r="CA920" s="38"/>
      <c r="CB920" s="38"/>
      <c r="CC920" s="38"/>
      <c r="CD920" s="38"/>
      <c r="CE920" s="38"/>
      <c r="CF920" s="38"/>
      <c r="CG920" s="38"/>
      <c r="CH920" s="38"/>
      <c r="CI920" s="38"/>
      <c r="CJ920" s="38"/>
      <c r="CK920" s="38"/>
      <c r="CL920" s="38"/>
      <c r="CM920" s="38"/>
      <c r="CN920" s="38"/>
      <c r="CO920" s="38"/>
      <c r="CP920" s="38"/>
      <c r="CQ920" s="38"/>
      <c r="CR920" s="38"/>
      <c r="CS920" s="38"/>
      <c r="CT920" s="38"/>
      <c r="CU920" s="38"/>
      <c r="CV920" s="38"/>
      <c r="CW920" s="38"/>
      <c r="CX920" s="38"/>
      <c r="CY920" s="38"/>
      <c r="CZ920" s="38"/>
    </row>
    <row r="921" spans="1:104" s="40" customFormat="1" ht="20.149999999999999" customHeight="1">
      <c r="A921" s="358">
        <f t="shared" si="213"/>
        <v>920</v>
      </c>
      <c r="B921" s="359" t="str">
        <f>'Front Sheet and Checklist'!$C$5</f>
        <v>Swansea Bay UHB</v>
      </c>
      <c r="C921" s="17"/>
      <c r="D921" s="17"/>
      <c r="E921" s="17"/>
      <c r="F921" s="17"/>
      <c r="G921" s="17"/>
      <c r="H921" s="17"/>
      <c r="I921" s="361">
        <f t="shared" si="203"/>
        <v>0</v>
      </c>
      <c r="J921" s="17"/>
      <c r="K921" s="18"/>
      <c r="L921" s="18"/>
      <c r="M921" s="17"/>
      <c r="N921" s="17"/>
      <c r="O921" s="17"/>
      <c r="P921" s="17"/>
      <c r="Q921" s="169"/>
      <c r="R921" s="24"/>
      <c r="S921" s="24"/>
      <c r="T921" s="24"/>
      <c r="U921" s="25"/>
      <c r="V921" s="25"/>
      <c r="W921" s="25"/>
      <c r="X921" s="24"/>
      <c r="Y921" s="24"/>
      <c r="Z921" s="24"/>
      <c r="AA921" s="24"/>
      <c r="AB921" s="24"/>
      <c r="AC921" s="24"/>
      <c r="AD921" s="361">
        <f t="shared" si="202"/>
        <v>0</v>
      </c>
      <c r="AE921" s="359" t="str">
        <f t="shared" si="205"/>
        <v/>
      </c>
      <c r="AF921" s="359" t="str">
        <f t="shared" si="214"/>
        <v/>
      </c>
      <c r="AG921" s="359" t="str">
        <f t="shared" si="206"/>
        <v/>
      </c>
      <c r="AH921" s="359" t="str">
        <f t="shared" si="207"/>
        <v/>
      </c>
      <c r="AI921" s="359" t="str">
        <f t="shared" si="208"/>
        <v/>
      </c>
      <c r="AJ921" s="359" t="str">
        <f t="shared" si="209"/>
        <v/>
      </c>
      <c r="AK921" s="359" t="str">
        <f t="shared" si="211"/>
        <v/>
      </c>
      <c r="AL921" s="359" t="str">
        <f t="shared" si="210"/>
        <v/>
      </c>
      <c r="AM921" s="359" t="str">
        <f t="shared" si="212"/>
        <v/>
      </c>
      <c r="AN921" s="262">
        <f t="shared" si="215"/>
        <v>0</v>
      </c>
      <c r="AO921" s="262" t="str">
        <f>IFERROR(HLOOKUP(AN921,'Ref Lists'!Q$1:AL$2,2,FALSE),'Ref Lists'!$AK$2)</f>
        <v>Savings21</v>
      </c>
      <c r="AP921" s="38"/>
      <c r="AQ921" s="38">
        <f t="shared" si="204"/>
        <v>0</v>
      </c>
      <c r="AR921" s="38"/>
      <c r="AS921" s="38"/>
      <c r="AT921" s="38"/>
      <c r="AU921" s="38"/>
      <c r="AV921" s="38"/>
      <c r="AW921" s="38"/>
      <c r="AX921" s="38"/>
      <c r="AY921" s="38"/>
      <c r="AZ921" s="38"/>
      <c r="BA921" s="38"/>
      <c r="BB921" s="38"/>
      <c r="BC921" s="38"/>
      <c r="BD921" s="38"/>
      <c r="BE921" s="38"/>
      <c r="BF921" s="38"/>
      <c r="BG921" s="38"/>
      <c r="BH921" s="38"/>
      <c r="BI921" s="38"/>
      <c r="BJ921" s="38"/>
      <c r="BK921" s="38"/>
      <c r="BL921" s="38"/>
      <c r="BM921" s="38"/>
      <c r="BN921" s="38"/>
      <c r="BO921" s="38"/>
      <c r="BP921" s="38"/>
      <c r="BQ921" s="38"/>
      <c r="BR921" s="38"/>
      <c r="BS921" s="38"/>
      <c r="BT921" s="38"/>
      <c r="BU921" s="38"/>
      <c r="BV921" s="38"/>
      <c r="BW921" s="38"/>
      <c r="BX921" s="38"/>
      <c r="BY921" s="38"/>
      <c r="BZ921" s="38"/>
      <c r="CA921" s="38"/>
      <c r="CB921" s="38"/>
      <c r="CC921" s="38"/>
      <c r="CD921" s="38"/>
      <c r="CE921" s="38"/>
      <c r="CF921" s="38"/>
      <c r="CG921" s="38"/>
      <c r="CH921" s="38"/>
      <c r="CI921" s="38"/>
      <c r="CJ921" s="38"/>
      <c r="CK921" s="38"/>
      <c r="CL921" s="38"/>
      <c r="CM921" s="38"/>
      <c r="CN921" s="38"/>
      <c r="CO921" s="38"/>
      <c r="CP921" s="38"/>
      <c r="CQ921" s="38"/>
      <c r="CR921" s="38"/>
      <c r="CS921" s="38"/>
      <c r="CT921" s="38"/>
      <c r="CU921" s="38"/>
      <c r="CV921" s="38"/>
      <c r="CW921" s="38"/>
      <c r="CX921" s="38"/>
      <c r="CY921" s="38"/>
      <c r="CZ921" s="38"/>
    </row>
    <row r="922" spans="1:104" s="40" customFormat="1" ht="20.149999999999999" customHeight="1">
      <c r="A922" s="358">
        <f t="shared" si="213"/>
        <v>921</v>
      </c>
      <c r="B922" s="359" t="str">
        <f>'Front Sheet and Checklist'!$C$5</f>
        <v>Swansea Bay UHB</v>
      </c>
      <c r="C922" s="17"/>
      <c r="D922" s="17"/>
      <c r="E922" s="17"/>
      <c r="F922" s="17"/>
      <c r="G922" s="17"/>
      <c r="H922" s="17"/>
      <c r="I922" s="361">
        <f t="shared" si="203"/>
        <v>0</v>
      </c>
      <c r="J922" s="17"/>
      <c r="K922" s="18"/>
      <c r="L922" s="18"/>
      <c r="M922" s="17"/>
      <c r="N922" s="17"/>
      <c r="O922" s="17"/>
      <c r="P922" s="17"/>
      <c r="Q922" s="169"/>
      <c r="R922" s="24"/>
      <c r="S922" s="24"/>
      <c r="T922" s="24"/>
      <c r="U922" s="25"/>
      <c r="V922" s="25"/>
      <c r="W922" s="25"/>
      <c r="X922" s="24"/>
      <c r="Y922" s="24"/>
      <c r="Z922" s="24"/>
      <c r="AA922" s="24"/>
      <c r="AB922" s="24"/>
      <c r="AC922" s="24"/>
      <c r="AD922" s="361">
        <f t="shared" si="202"/>
        <v>0</v>
      </c>
      <c r="AE922" s="359" t="str">
        <f t="shared" si="205"/>
        <v/>
      </c>
      <c r="AF922" s="359" t="str">
        <f t="shared" si="214"/>
        <v/>
      </c>
      <c r="AG922" s="359" t="str">
        <f t="shared" si="206"/>
        <v/>
      </c>
      <c r="AH922" s="359" t="str">
        <f t="shared" si="207"/>
        <v/>
      </c>
      <c r="AI922" s="359" t="str">
        <f t="shared" si="208"/>
        <v/>
      </c>
      <c r="AJ922" s="359" t="str">
        <f t="shared" si="209"/>
        <v/>
      </c>
      <c r="AK922" s="359" t="str">
        <f t="shared" si="211"/>
        <v/>
      </c>
      <c r="AL922" s="359" t="str">
        <f t="shared" si="210"/>
        <v/>
      </c>
      <c r="AM922" s="359" t="str">
        <f t="shared" si="212"/>
        <v/>
      </c>
      <c r="AN922" s="262">
        <f t="shared" si="215"/>
        <v>0</v>
      </c>
      <c r="AO922" s="262" t="str">
        <f>IFERROR(HLOOKUP(AN922,'Ref Lists'!Q$1:AL$2,2,FALSE),'Ref Lists'!$AK$2)</f>
        <v>Savings21</v>
      </c>
      <c r="AP922" s="38"/>
      <c r="AQ922" s="38">
        <f t="shared" si="204"/>
        <v>0</v>
      </c>
      <c r="AR922" s="38"/>
      <c r="AS922" s="38"/>
      <c r="AT922" s="38"/>
      <c r="AU922" s="38"/>
      <c r="AV922" s="38"/>
      <c r="AW922" s="38"/>
      <c r="AX922" s="38"/>
      <c r="AY922" s="38"/>
      <c r="AZ922" s="38"/>
      <c r="BA922" s="38"/>
      <c r="BB922" s="38"/>
      <c r="BC922" s="38"/>
      <c r="BD922" s="38"/>
      <c r="BE922" s="38"/>
      <c r="BF922" s="38"/>
      <c r="BG922" s="38"/>
      <c r="BH922" s="38"/>
      <c r="BI922" s="38"/>
      <c r="BJ922" s="38"/>
      <c r="BK922" s="38"/>
      <c r="BL922" s="38"/>
      <c r="BM922" s="38"/>
      <c r="BN922" s="38"/>
      <c r="BO922" s="38"/>
      <c r="BP922" s="38"/>
      <c r="BQ922" s="38"/>
      <c r="BR922" s="38"/>
      <c r="BS922" s="38"/>
      <c r="BT922" s="38"/>
      <c r="BU922" s="38"/>
      <c r="BV922" s="38"/>
      <c r="BW922" s="38"/>
      <c r="BX922" s="38"/>
      <c r="BY922" s="38"/>
      <c r="BZ922" s="38"/>
      <c r="CA922" s="38"/>
      <c r="CB922" s="38"/>
      <c r="CC922" s="38"/>
      <c r="CD922" s="38"/>
      <c r="CE922" s="38"/>
      <c r="CF922" s="38"/>
      <c r="CG922" s="38"/>
      <c r="CH922" s="38"/>
      <c r="CI922" s="38"/>
      <c r="CJ922" s="38"/>
      <c r="CK922" s="38"/>
      <c r="CL922" s="38"/>
      <c r="CM922" s="38"/>
      <c r="CN922" s="38"/>
      <c r="CO922" s="38"/>
      <c r="CP922" s="38"/>
      <c r="CQ922" s="38"/>
      <c r="CR922" s="38"/>
      <c r="CS922" s="38"/>
      <c r="CT922" s="38"/>
      <c r="CU922" s="38"/>
      <c r="CV922" s="38"/>
      <c r="CW922" s="38"/>
      <c r="CX922" s="38"/>
      <c r="CY922" s="38"/>
      <c r="CZ922" s="38"/>
    </row>
    <row r="923" spans="1:104" s="40" customFormat="1" ht="20.149999999999999" customHeight="1">
      <c r="A923" s="358">
        <f t="shared" si="213"/>
        <v>922</v>
      </c>
      <c r="B923" s="359" t="str">
        <f>'Front Sheet and Checklist'!$C$5</f>
        <v>Swansea Bay UHB</v>
      </c>
      <c r="C923" s="17"/>
      <c r="D923" s="17"/>
      <c r="E923" s="17"/>
      <c r="F923" s="17"/>
      <c r="G923" s="17"/>
      <c r="H923" s="17"/>
      <c r="I923" s="361">
        <f t="shared" si="203"/>
        <v>0</v>
      </c>
      <c r="J923" s="17"/>
      <c r="K923" s="18"/>
      <c r="L923" s="18"/>
      <c r="M923" s="17"/>
      <c r="N923" s="17"/>
      <c r="O923" s="17"/>
      <c r="P923" s="17"/>
      <c r="Q923" s="169"/>
      <c r="R923" s="24"/>
      <c r="S923" s="24"/>
      <c r="T923" s="24"/>
      <c r="U923" s="25"/>
      <c r="V923" s="25"/>
      <c r="W923" s="25"/>
      <c r="X923" s="24"/>
      <c r="Y923" s="24"/>
      <c r="Z923" s="24"/>
      <c r="AA923" s="24"/>
      <c r="AB923" s="24"/>
      <c r="AC923" s="24"/>
      <c r="AD923" s="361">
        <f t="shared" si="202"/>
        <v>0</v>
      </c>
      <c r="AE923" s="359" t="str">
        <f t="shared" si="205"/>
        <v/>
      </c>
      <c r="AF923" s="359" t="str">
        <f t="shared" si="214"/>
        <v/>
      </c>
      <c r="AG923" s="359" t="str">
        <f t="shared" si="206"/>
        <v/>
      </c>
      <c r="AH923" s="359" t="str">
        <f t="shared" si="207"/>
        <v/>
      </c>
      <c r="AI923" s="359" t="str">
        <f t="shared" si="208"/>
        <v/>
      </c>
      <c r="AJ923" s="359" t="str">
        <f t="shared" si="209"/>
        <v/>
      </c>
      <c r="AK923" s="359" t="str">
        <f t="shared" si="211"/>
        <v/>
      </c>
      <c r="AL923" s="359" t="str">
        <f t="shared" si="210"/>
        <v/>
      </c>
      <c r="AM923" s="359" t="str">
        <f t="shared" si="212"/>
        <v/>
      </c>
      <c r="AN923" s="262">
        <f t="shared" si="215"/>
        <v>0</v>
      </c>
      <c r="AO923" s="262" t="str">
        <f>IFERROR(HLOOKUP(AN923,'Ref Lists'!Q$1:AL$2,2,FALSE),'Ref Lists'!$AK$2)</f>
        <v>Savings21</v>
      </c>
      <c r="AP923" s="38"/>
      <c r="AQ923" s="38">
        <f t="shared" si="204"/>
        <v>0</v>
      </c>
      <c r="AR923" s="38"/>
      <c r="AS923" s="38"/>
      <c r="AT923" s="38"/>
      <c r="AU923" s="38"/>
      <c r="AV923" s="38"/>
      <c r="AW923" s="38"/>
      <c r="AX923" s="38"/>
      <c r="AY923" s="38"/>
      <c r="AZ923" s="38"/>
      <c r="BA923" s="38"/>
      <c r="BB923" s="38"/>
      <c r="BC923" s="38"/>
      <c r="BD923" s="38"/>
      <c r="BE923" s="38"/>
      <c r="BF923" s="38"/>
      <c r="BG923" s="38"/>
      <c r="BH923" s="38"/>
      <c r="BI923" s="38"/>
      <c r="BJ923" s="38"/>
      <c r="BK923" s="38"/>
      <c r="BL923" s="38"/>
      <c r="BM923" s="38"/>
      <c r="BN923" s="38"/>
      <c r="BO923" s="38"/>
      <c r="BP923" s="38"/>
      <c r="BQ923" s="38"/>
      <c r="BR923" s="38"/>
      <c r="BS923" s="38"/>
      <c r="BT923" s="38"/>
      <c r="BU923" s="38"/>
      <c r="BV923" s="38"/>
      <c r="BW923" s="38"/>
      <c r="BX923" s="38"/>
      <c r="BY923" s="38"/>
      <c r="BZ923" s="38"/>
      <c r="CA923" s="38"/>
      <c r="CB923" s="38"/>
      <c r="CC923" s="38"/>
      <c r="CD923" s="38"/>
      <c r="CE923" s="38"/>
      <c r="CF923" s="38"/>
      <c r="CG923" s="38"/>
      <c r="CH923" s="38"/>
      <c r="CI923" s="38"/>
      <c r="CJ923" s="38"/>
      <c r="CK923" s="38"/>
      <c r="CL923" s="38"/>
      <c r="CM923" s="38"/>
      <c r="CN923" s="38"/>
      <c r="CO923" s="38"/>
      <c r="CP923" s="38"/>
      <c r="CQ923" s="38"/>
      <c r="CR923" s="38"/>
      <c r="CS923" s="38"/>
      <c r="CT923" s="38"/>
      <c r="CU923" s="38"/>
      <c r="CV923" s="38"/>
      <c r="CW923" s="38"/>
      <c r="CX923" s="38"/>
      <c r="CY923" s="38"/>
      <c r="CZ923" s="38"/>
    </row>
    <row r="924" spans="1:104" s="40" customFormat="1" ht="20.149999999999999" customHeight="1">
      <c r="A924" s="358">
        <f t="shared" si="213"/>
        <v>923</v>
      </c>
      <c r="B924" s="359" t="str">
        <f>'Front Sheet and Checklist'!$C$5</f>
        <v>Swansea Bay UHB</v>
      </c>
      <c r="C924" s="17"/>
      <c r="D924" s="17"/>
      <c r="E924" s="17"/>
      <c r="F924" s="17"/>
      <c r="G924" s="17"/>
      <c r="H924" s="17"/>
      <c r="I924" s="361">
        <f t="shared" si="203"/>
        <v>0</v>
      </c>
      <c r="J924" s="17"/>
      <c r="K924" s="18"/>
      <c r="L924" s="18"/>
      <c r="M924" s="17"/>
      <c r="N924" s="17"/>
      <c r="O924" s="17"/>
      <c r="P924" s="17"/>
      <c r="Q924" s="169"/>
      <c r="R924" s="24"/>
      <c r="S924" s="24"/>
      <c r="T924" s="24"/>
      <c r="U924" s="25"/>
      <c r="V924" s="25"/>
      <c r="W924" s="25"/>
      <c r="X924" s="24"/>
      <c r="Y924" s="24"/>
      <c r="Z924" s="24"/>
      <c r="AA924" s="24"/>
      <c r="AB924" s="24"/>
      <c r="AC924" s="24"/>
      <c r="AD924" s="361">
        <f t="shared" si="202"/>
        <v>0</v>
      </c>
      <c r="AE924" s="359" t="str">
        <f t="shared" si="205"/>
        <v/>
      </c>
      <c r="AF924" s="359" t="str">
        <f t="shared" si="214"/>
        <v/>
      </c>
      <c r="AG924" s="359" t="str">
        <f t="shared" si="206"/>
        <v/>
      </c>
      <c r="AH924" s="359" t="str">
        <f t="shared" si="207"/>
        <v/>
      </c>
      <c r="AI924" s="359" t="str">
        <f t="shared" si="208"/>
        <v/>
      </c>
      <c r="AJ924" s="359" t="str">
        <f t="shared" si="209"/>
        <v/>
      </c>
      <c r="AK924" s="359" t="str">
        <f t="shared" si="211"/>
        <v/>
      </c>
      <c r="AL924" s="359" t="str">
        <f t="shared" si="210"/>
        <v/>
      </c>
      <c r="AM924" s="359" t="str">
        <f t="shared" si="212"/>
        <v/>
      </c>
      <c r="AN924" s="262">
        <f t="shared" si="215"/>
        <v>0</v>
      </c>
      <c r="AO924" s="262" t="str">
        <f>IFERROR(HLOOKUP(AN924,'Ref Lists'!Q$1:AL$2,2,FALSE),'Ref Lists'!$AK$2)</f>
        <v>Savings21</v>
      </c>
      <c r="AP924" s="38"/>
      <c r="AQ924" s="38">
        <f t="shared" si="204"/>
        <v>0</v>
      </c>
      <c r="AR924" s="38"/>
      <c r="AS924" s="38"/>
      <c r="AT924" s="38"/>
      <c r="AU924" s="38"/>
      <c r="AV924" s="38"/>
      <c r="AW924" s="38"/>
      <c r="AX924" s="38"/>
      <c r="AY924" s="38"/>
      <c r="AZ924" s="38"/>
      <c r="BA924" s="38"/>
      <c r="BB924" s="38"/>
      <c r="BC924" s="38"/>
      <c r="BD924" s="38"/>
      <c r="BE924" s="38"/>
      <c r="BF924" s="38"/>
      <c r="BG924" s="38"/>
      <c r="BH924" s="38"/>
      <c r="BI924" s="38"/>
      <c r="BJ924" s="38"/>
      <c r="BK924" s="38"/>
      <c r="BL924" s="38"/>
      <c r="BM924" s="38"/>
      <c r="BN924" s="38"/>
      <c r="BO924" s="38"/>
      <c r="BP924" s="38"/>
      <c r="BQ924" s="38"/>
      <c r="BR924" s="38"/>
      <c r="BS924" s="38"/>
      <c r="BT924" s="38"/>
      <c r="BU924" s="38"/>
      <c r="BV924" s="38"/>
      <c r="BW924" s="38"/>
      <c r="BX924" s="38"/>
      <c r="BY924" s="38"/>
      <c r="BZ924" s="38"/>
      <c r="CA924" s="38"/>
      <c r="CB924" s="38"/>
      <c r="CC924" s="38"/>
      <c r="CD924" s="38"/>
      <c r="CE924" s="38"/>
      <c r="CF924" s="38"/>
      <c r="CG924" s="38"/>
      <c r="CH924" s="38"/>
      <c r="CI924" s="38"/>
      <c r="CJ924" s="38"/>
      <c r="CK924" s="38"/>
      <c r="CL924" s="38"/>
      <c r="CM924" s="38"/>
      <c r="CN924" s="38"/>
      <c r="CO924" s="38"/>
      <c r="CP924" s="38"/>
      <c r="CQ924" s="38"/>
      <c r="CR924" s="38"/>
      <c r="CS924" s="38"/>
      <c r="CT924" s="38"/>
      <c r="CU924" s="38"/>
      <c r="CV924" s="38"/>
      <c r="CW924" s="38"/>
      <c r="CX924" s="38"/>
      <c r="CY924" s="38"/>
      <c r="CZ924" s="38"/>
    </row>
    <row r="925" spans="1:104" s="40" customFormat="1" ht="20.149999999999999" customHeight="1">
      <c r="A925" s="358">
        <f t="shared" si="213"/>
        <v>924</v>
      </c>
      <c r="B925" s="359" t="str">
        <f>'Front Sheet and Checklist'!$C$5</f>
        <v>Swansea Bay UHB</v>
      </c>
      <c r="C925" s="17"/>
      <c r="D925" s="17"/>
      <c r="E925" s="17"/>
      <c r="F925" s="17"/>
      <c r="G925" s="17"/>
      <c r="H925" s="17"/>
      <c r="I925" s="361">
        <f t="shared" si="203"/>
        <v>0</v>
      </c>
      <c r="J925" s="17"/>
      <c r="K925" s="18"/>
      <c r="L925" s="18"/>
      <c r="M925" s="17"/>
      <c r="N925" s="17"/>
      <c r="O925" s="17"/>
      <c r="P925" s="17"/>
      <c r="Q925" s="169"/>
      <c r="R925" s="24"/>
      <c r="S925" s="24"/>
      <c r="T925" s="24"/>
      <c r="U925" s="25"/>
      <c r="V925" s="25"/>
      <c r="W925" s="25"/>
      <c r="X925" s="24"/>
      <c r="Y925" s="24"/>
      <c r="Z925" s="24"/>
      <c r="AA925" s="24"/>
      <c r="AB925" s="24"/>
      <c r="AC925" s="24"/>
      <c r="AD925" s="361">
        <f t="shared" si="202"/>
        <v>0</v>
      </c>
      <c r="AE925" s="359" t="str">
        <f t="shared" si="205"/>
        <v/>
      </c>
      <c r="AF925" s="359" t="str">
        <f t="shared" si="214"/>
        <v/>
      </c>
      <c r="AG925" s="359" t="str">
        <f t="shared" si="206"/>
        <v/>
      </c>
      <c r="AH925" s="359" t="str">
        <f t="shared" si="207"/>
        <v/>
      </c>
      <c r="AI925" s="359" t="str">
        <f t="shared" si="208"/>
        <v/>
      </c>
      <c r="AJ925" s="359" t="str">
        <f t="shared" si="209"/>
        <v/>
      </c>
      <c r="AK925" s="359" t="str">
        <f t="shared" si="211"/>
        <v/>
      </c>
      <c r="AL925" s="359" t="str">
        <f t="shared" si="210"/>
        <v/>
      </c>
      <c r="AM925" s="359" t="str">
        <f t="shared" si="212"/>
        <v/>
      </c>
      <c r="AN925" s="262">
        <f t="shared" si="215"/>
        <v>0</v>
      </c>
      <c r="AO925" s="262" t="str">
        <f>IFERROR(HLOOKUP(AN925,'Ref Lists'!Q$1:AL$2,2,FALSE),'Ref Lists'!$AK$2)</f>
        <v>Savings21</v>
      </c>
      <c r="AP925" s="38"/>
      <c r="AQ925" s="38">
        <f t="shared" si="204"/>
        <v>0</v>
      </c>
      <c r="AR925" s="38"/>
      <c r="AS925" s="38"/>
      <c r="AT925" s="38"/>
      <c r="AU925" s="38"/>
      <c r="AV925" s="38"/>
      <c r="AW925" s="38"/>
      <c r="AX925" s="38"/>
      <c r="AY925" s="38"/>
      <c r="AZ925" s="38"/>
      <c r="BA925" s="38"/>
      <c r="BB925" s="38"/>
      <c r="BC925" s="38"/>
      <c r="BD925" s="38"/>
      <c r="BE925" s="38"/>
      <c r="BF925" s="38"/>
      <c r="BG925" s="38"/>
      <c r="BH925" s="38"/>
      <c r="BI925" s="38"/>
      <c r="BJ925" s="38"/>
      <c r="BK925" s="38"/>
      <c r="BL925" s="38"/>
      <c r="BM925" s="38"/>
      <c r="BN925" s="38"/>
      <c r="BO925" s="38"/>
      <c r="BP925" s="38"/>
      <c r="BQ925" s="38"/>
      <c r="BR925" s="38"/>
      <c r="BS925" s="38"/>
      <c r="BT925" s="38"/>
      <c r="BU925" s="38"/>
      <c r="BV925" s="38"/>
      <c r="BW925" s="38"/>
      <c r="BX925" s="38"/>
      <c r="BY925" s="38"/>
      <c r="BZ925" s="38"/>
      <c r="CA925" s="38"/>
      <c r="CB925" s="38"/>
      <c r="CC925" s="38"/>
      <c r="CD925" s="38"/>
      <c r="CE925" s="38"/>
      <c r="CF925" s="38"/>
      <c r="CG925" s="38"/>
      <c r="CH925" s="38"/>
      <c r="CI925" s="38"/>
      <c r="CJ925" s="38"/>
      <c r="CK925" s="38"/>
      <c r="CL925" s="38"/>
      <c r="CM925" s="38"/>
      <c r="CN925" s="38"/>
      <c r="CO925" s="38"/>
      <c r="CP925" s="38"/>
      <c r="CQ925" s="38"/>
      <c r="CR925" s="38"/>
      <c r="CS925" s="38"/>
      <c r="CT925" s="38"/>
      <c r="CU925" s="38"/>
      <c r="CV925" s="38"/>
      <c r="CW925" s="38"/>
      <c r="CX925" s="38"/>
      <c r="CY925" s="38"/>
      <c r="CZ925" s="38"/>
    </row>
    <row r="926" spans="1:104" s="40" customFormat="1" ht="20.149999999999999" customHeight="1">
      <c r="A926" s="358">
        <f t="shared" si="213"/>
        <v>925</v>
      </c>
      <c r="B926" s="359" t="str">
        <f>'Front Sheet and Checklist'!$C$5</f>
        <v>Swansea Bay UHB</v>
      </c>
      <c r="C926" s="17"/>
      <c r="D926" s="17"/>
      <c r="E926" s="17"/>
      <c r="F926" s="17"/>
      <c r="G926" s="17"/>
      <c r="H926" s="17"/>
      <c r="I926" s="361">
        <f t="shared" si="203"/>
        <v>0</v>
      </c>
      <c r="J926" s="17"/>
      <c r="K926" s="18"/>
      <c r="L926" s="18"/>
      <c r="M926" s="17"/>
      <c r="N926" s="17"/>
      <c r="O926" s="17"/>
      <c r="P926" s="17"/>
      <c r="Q926" s="169"/>
      <c r="R926" s="24"/>
      <c r="S926" s="24"/>
      <c r="T926" s="24"/>
      <c r="U926" s="25"/>
      <c r="V926" s="25"/>
      <c r="W926" s="25"/>
      <c r="X926" s="24"/>
      <c r="Y926" s="24"/>
      <c r="Z926" s="24"/>
      <c r="AA926" s="24"/>
      <c r="AB926" s="24"/>
      <c r="AC926" s="24"/>
      <c r="AD926" s="361">
        <f t="shared" si="202"/>
        <v>0</v>
      </c>
      <c r="AE926" s="359" t="str">
        <f t="shared" si="205"/>
        <v/>
      </c>
      <c r="AF926" s="359" t="str">
        <f t="shared" si="214"/>
        <v/>
      </c>
      <c r="AG926" s="359" t="str">
        <f t="shared" si="206"/>
        <v/>
      </c>
      <c r="AH926" s="359" t="str">
        <f t="shared" si="207"/>
        <v/>
      </c>
      <c r="AI926" s="359" t="str">
        <f t="shared" si="208"/>
        <v/>
      </c>
      <c r="AJ926" s="359" t="str">
        <f t="shared" si="209"/>
        <v/>
      </c>
      <c r="AK926" s="359" t="str">
        <f t="shared" si="211"/>
        <v/>
      </c>
      <c r="AL926" s="359" t="str">
        <f t="shared" si="210"/>
        <v/>
      </c>
      <c r="AM926" s="359" t="str">
        <f t="shared" si="212"/>
        <v/>
      </c>
      <c r="AN926" s="262">
        <f t="shared" si="215"/>
        <v>0</v>
      </c>
      <c r="AO926" s="262" t="str">
        <f>IFERROR(HLOOKUP(AN926,'Ref Lists'!Q$1:AL$2,2,FALSE),'Ref Lists'!$AK$2)</f>
        <v>Savings21</v>
      </c>
      <c r="AP926" s="38"/>
      <c r="AQ926" s="38">
        <f t="shared" si="204"/>
        <v>0</v>
      </c>
      <c r="AR926" s="38"/>
      <c r="AS926" s="38"/>
      <c r="AT926" s="38"/>
      <c r="AU926" s="38"/>
      <c r="AV926" s="38"/>
      <c r="AW926" s="38"/>
      <c r="AX926" s="38"/>
      <c r="AY926" s="38"/>
      <c r="AZ926" s="38"/>
      <c r="BA926" s="38"/>
      <c r="BB926" s="38"/>
      <c r="BC926" s="38"/>
      <c r="BD926" s="38"/>
      <c r="BE926" s="38"/>
      <c r="BF926" s="38"/>
      <c r="BG926" s="38"/>
      <c r="BH926" s="38"/>
      <c r="BI926" s="38"/>
      <c r="BJ926" s="38"/>
      <c r="BK926" s="38"/>
      <c r="BL926" s="38"/>
      <c r="BM926" s="38"/>
      <c r="BN926" s="38"/>
      <c r="BO926" s="38"/>
      <c r="BP926" s="38"/>
      <c r="BQ926" s="38"/>
      <c r="BR926" s="38"/>
      <c r="BS926" s="38"/>
      <c r="BT926" s="38"/>
      <c r="BU926" s="38"/>
      <c r="BV926" s="38"/>
      <c r="BW926" s="38"/>
      <c r="BX926" s="38"/>
      <c r="BY926" s="38"/>
      <c r="BZ926" s="38"/>
      <c r="CA926" s="38"/>
      <c r="CB926" s="38"/>
      <c r="CC926" s="38"/>
      <c r="CD926" s="38"/>
      <c r="CE926" s="38"/>
      <c r="CF926" s="38"/>
      <c r="CG926" s="38"/>
      <c r="CH926" s="38"/>
      <c r="CI926" s="38"/>
      <c r="CJ926" s="38"/>
      <c r="CK926" s="38"/>
      <c r="CL926" s="38"/>
      <c r="CM926" s="38"/>
      <c r="CN926" s="38"/>
      <c r="CO926" s="38"/>
      <c r="CP926" s="38"/>
      <c r="CQ926" s="38"/>
      <c r="CR926" s="38"/>
      <c r="CS926" s="38"/>
      <c r="CT926" s="38"/>
      <c r="CU926" s="38"/>
      <c r="CV926" s="38"/>
      <c r="CW926" s="38"/>
      <c r="CX926" s="38"/>
      <c r="CY926" s="38"/>
      <c r="CZ926" s="38"/>
    </row>
    <row r="927" spans="1:104" s="40" customFormat="1" ht="20.149999999999999" customHeight="1">
      <c r="A927" s="358">
        <f t="shared" si="213"/>
        <v>926</v>
      </c>
      <c r="B927" s="359" t="str">
        <f>'Front Sheet and Checklist'!$C$5</f>
        <v>Swansea Bay UHB</v>
      </c>
      <c r="C927" s="17"/>
      <c r="D927" s="17"/>
      <c r="E927" s="17"/>
      <c r="F927" s="17"/>
      <c r="G927" s="17"/>
      <c r="H927" s="17"/>
      <c r="I927" s="361">
        <f t="shared" si="203"/>
        <v>0</v>
      </c>
      <c r="J927" s="17"/>
      <c r="K927" s="18"/>
      <c r="L927" s="18"/>
      <c r="M927" s="17"/>
      <c r="N927" s="17"/>
      <c r="O927" s="17"/>
      <c r="P927" s="17"/>
      <c r="Q927" s="169"/>
      <c r="R927" s="24"/>
      <c r="S927" s="24"/>
      <c r="T927" s="24"/>
      <c r="U927" s="25"/>
      <c r="V927" s="25"/>
      <c r="W927" s="25"/>
      <c r="X927" s="24"/>
      <c r="Y927" s="24"/>
      <c r="Z927" s="24"/>
      <c r="AA927" s="24"/>
      <c r="AB927" s="24"/>
      <c r="AC927" s="24"/>
      <c r="AD927" s="361">
        <f t="shared" si="202"/>
        <v>0</v>
      </c>
      <c r="AE927" s="359" t="str">
        <f t="shared" si="205"/>
        <v/>
      </c>
      <c r="AF927" s="359" t="str">
        <f t="shared" si="214"/>
        <v/>
      </c>
      <c r="AG927" s="359" t="str">
        <f t="shared" si="206"/>
        <v/>
      </c>
      <c r="AH927" s="359" t="str">
        <f t="shared" si="207"/>
        <v/>
      </c>
      <c r="AI927" s="359" t="str">
        <f t="shared" si="208"/>
        <v/>
      </c>
      <c r="AJ927" s="359" t="str">
        <f t="shared" si="209"/>
        <v/>
      </c>
      <c r="AK927" s="359" t="str">
        <f t="shared" si="211"/>
        <v/>
      </c>
      <c r="AL927" s="359" t="str">
        <f t="shared" si="210"/>
        <v/>
      </c>
      <c r="AM927" s="359" t="str">
        <f t="shared" si="212"/>
        <v/>
      </c>
      <c r="AN927" s="262">
        <f t="shared" si="215"/>
        <v>0</v>
      </c>
      <c r="AO927" s="262" t="str">
        <f>IFERROR(HLOOKUP(AN927,'Ref Lists'!Q$1:AL$2,2,FALSE),'Ref Lists'!$AK$2)</f>
        <v>Savings21</v>
      </c>
      <c r="AP927" s="38"/>
      <c r="AQ927" s="38">
        <f t="shared" si="204"/>
        <v>0</v>
      </c>
      <c r="AR927" s="38"/>
      <c r="AS927" s="38"/>
      <c r="AT927" s="38"/>
      <c r="AU927" s="38"/>
      <c r="AV927" s="38"/>
      <c r="AW927" s="38"/>
      <c r="AX927" s="38"/>
      <c r="AY927" s="38"/>
      <c r="AZ927" s="38"/>
      <c r="BA927" s="38"/>
      <c r="BB927" s="38"/>
      <c r="BC927" s="38"/>
      <c r="BD927" s="38"/>
      <c r="BE927" s="38"/>
      <c r="BF927" s="38"/>
      <c r="BG927" s="38"/>
      <c r="BH927" s="38"/>
      <c r="BI927" s="38"/>
      <c r="BJ927" s="38"/>
      <c r="BK927" s="38"/>
      <c r="BL927" s="38"/>
      <c r="BM927" s="38"/>
      <c r="BN927" s="38"/>
      <c r="BO927" s="38"/>
      <c r="BP927" s="38"/>
      <c r="BQ927" s="38"/>
      <c r="BR927" s="38"/>
      <c r="BS927" s="38"/>
      <c r="BT927" s="38"/>
      <c r="BU927" s="38"/>
      <c r="BV927" s="38"/>
      <c r="BW927" s="38"/>
      <c r="BX927" s="38"/>
      <c r="BY927" s="38"/>
      <c r="BZ927" s="38"/>
      <c r="CA927" s="38"/>
      <c r="CB927" s="38"/>
      <c r="CC927" s="38"/>
      <c r="CD927" s="38"/>
      <c r="CE927" s="38"/>
      <c r="CF927" s="38"/>
      <c r="CG927" s="38"/>
      <c r="CH927" s="38"/>
      <c r="CI927" s="38"/>
      <c r="CJ927" s="38"/>
      <c r="CK927" s="38"/>
      <c r="CL927" s="38"/>
      <c r="CM927" s="38"/>
      <c r="CN927" s="38"/>
      <c r="CO927" s="38"/>
      <c r="CP927" s="38"/>
      <c r="CQ927" s="38"/>
      <c r="CR927" s="38"/>
      <c r="CS927" s="38"/>
      <c r="CT927" s="38"/>
      <c r="CU927" s="38"/>
      <c r="CV927" s="38"/>
      <c r="CW927" s="38"/>
      <c r="CX927" s="38"/>
      <c r="CY927" s="38"/>
      <c r="CZ927" s="38"/>
    </row>
    <row r="928" spans="1:104" s="40" customFormat="1" ht="20.149999999999999" customHeight="1">
      <c r="A928" s="358">
        <f t="shared" si="213"/>
        <v>927</v>
      </c>
      <c r="B928" s="359" t="str">
        <f>'Front Sheet and Checklist'!$C$5</f>
        <v>Swansea Bay UHB</v>
      </c>
      <c r="C928" s="17"/>
      <c r="D928" s="17"/>
      <c r="E928" s="17"/>
      <c r="F928" s="17"/>
      <c r="G928" s="17"/>
      <c r="H928" s="17"/>
      <c r="I928" s="361">
        <f t="shared" si="203"/>
        <v>0</v>
      </c>
      <c r="J928" s="17"/>
      <c r="K928" s="18"/>
      <c r="L928" s="18"/>
      <c r="M928" s="17"/>
      <c r="N928" s="17"/>
      <c r="O928" s="17"/>
      <c r="P928" s="17"/>
      <c r="Q928" s="169"/>
      <c r="R928" s="24"/>
      <c r="S928" s="24"/>
      <c r="T928" s="24"/>
      <c r="U928" s="25"/>
      <c r="V928" s="25"/>
      <c r="W928" s="25"/>
      <c r="X928" s="24"/>
      <c r="Y928" s="24"/>
      <c r="Z928" s="24"/>
      <c r="AA928" s="24"/>
      <c r="AB928" s="24"/>
      <c r="AC928" s="24"/>
      <c r="AD928" s="361">
        <f t="shared" si="202"/>
        <v>0</v>
      </c>
      <c r="AE928" s="359" t="str">
        <f t="shared" si="205"/>
        <v/>
      </c>
      <c r="AF928" s="359" t="str">
        <f t="shared" si="214"/>
        <v/>
      </c>
      <c r="AG928" s="359" t="str">
        <f t="shared" si="206"/>
        <v/>
      </c>
      <c r="AH928" s="359" t="str">
        <f t="shared" si="207"/>
        <v/>
      </c>
      <c r="AI928" s="359" t="str">
        <f t="shared" si="208"/>
        <v/>
      </c>
      <c r="AJ928" s="359" t="str">
        <f t="shared" si="209"/>
        <v/>
      </c>
      <c r="AK928" s="359" t="str">
        <f t="shared" si="211"/>
        <v/>
      </c>
      <c r="AL928" s="359" t="str">
        <f t="shared" si="210"/>
        <v/>
      </c>
      <c r="AM928" s="359" t="str">
        <f t="shared" si="212"/>
        <v/>
      </c>
      <c r="AN928" s="262">
        <f t="shared" si="215"/>
        <v>0</v>
      </c>
      <c r="AO928" s="262" t="str">
        <f>IFERROR(HLOOKUP(AN928,'Ref Lists'!Q$1:AL$2,2,FALSE),'Ref Lists'!$AK$2)</f>
        <v>Savings21</v>
      </c>
      <c r="AP928" s="38"/>
      <c r="AQ928" s="38">
        <f t="shared" si="204"/>
        <v>0</v>
      </c>
      <c r="AR928" s="38"/>
      <c r="AS928" s="38"/>
      <c r="AT928" s="38"/>
      <c r="AU928" s="38"/>
      <c r="AV928" s="38"/>
      <c r="AW928" s="38"/>
      <c r="AX928" s="38"/>
      <c r="AY928" s="38"/>
      <c r="AZ928" s="38"/>
      <c r="BA928" s="38"/>
      <c r="BB928" s="38"/>
      <c r="BC928" s="38"/>
      <c r="BD928" s="38"/>
      <c r="BE928" s="38"/>
      <c r="BF928" s="38"/>
      <c r="BG928" s="38"/>
      <c r="BH928" s="38"/>
      <c r="BI928" s="38"/>
      <c r="BJ928" s="38"/>
      <c r="BK928" s="38"/>
      <c r="BL928" s="38"/>
      <c r="BM928" s="38"/>
      <c r="BN928" s="38"/>
      <c r="BO928" s="38"/>
      <c r="BP928" s="38"/>
      <c r="BQ928" s="38"/>
      <c r="BR928" s="38"/>
      <c r="BS928" s="38"/>
      <c r="BT928" s="38"/>
      <c r="BU928" s="38"/>
      <c r="BV928" s="38"/>
      <c r="BW928" s="38"/>
      <c r="BX928" s="38"/>
      <c r="BY928" s="38"/>
      <c r="BZ928" s="38"/>
      <c r="CA928" s="38"/>
      <c r="CB928" s="38"/>
      <c r="CC928" s="38"/>
      <c r="CD928" s="38"/>
      <c r="CE928" s="38"/>
      <c r="CF928" s="38"/>
      <c r="CG928" s="38"/>
      <c r="CH928" s="38"/>
      <c r="CI928" s="38"/>
      <c r="CJ928" s="38"/>
      <c r="CK928" s="38"/>
      <c r="CL928" s="38"/>
      <c r="CM928" s="38"/>
      <c r="CN928" s="38"/>
      <c r="CO928" s="38"/>
      <c r="CP928" s="38"/>
      <c r="CQ928" s="38"/>
      <c r="CR928" s="38"/>
      <c r="CS928" s="38"/>
      <c r="CT928" s="38"/>
      <c r="CU928" s="38"/>
      <c r="CV928" s="38"/>
      <c r="CW928" s="38"/>
      <c r="CX928" s="38"/>
      <c r="CY928" s="38"/>
      <c r="CZ928" s="38"/>
    </row>
    <row r="929" spans="1:104" s="40" customFormat="1" ht="20.149999999999999" customHeight="1">
      <c r="A929" s="358">
        <f t="shared" si="213"/>
        <v>928</v>
      </c>
      <c r="B929" s="359" t="str">
        <f>'Front Sheet and Checklist'!$C$5</f>
        <v>Swansea Bay UHB</v>
      </c>
      <c r="C929" s="17"/>
      <c r="D929" s="17"/>
      <c r="E929" s="17"/>
      <c r="F929" s="17"/>
      <c r="G929" s="17"/>
      <c r="H929" s="17"/>
      <c r="I929" s="361">
        <f t="shared" si="203"/>
        <v>0</v>
      </c>
      <c r="J929" s="17"/>
      <c r="K929" s="18"/>
      <c r="L929" s="18"/>
      <c r="M929" s="17"/>
      <c r="N929" s="17"/>
      <c r="O929" s="17"/>
      <c r="P929" s="17"/>
      <c r="Q929" s="169"/>
      <c r="R929" s="24"/>
      <c r="S929" s="24"/>
      <c r="T929" s="24"/>
      <c r="U929" s="25"/>
      <c r="V929" s="25"/>
      <c r="W929" s="25"/>
      <c r="X929" s="24"/>
      <c r="Y929" s="24"/>
      <c r="Z929" s="24"/>
      <c r="AA929" s="24"/>
      <c r="AB929" s="24"/>
      <c r="AC929" s="24"/>
      <c r="AD929" s="361">
        <f t="shared" si="202"/>
        <v>0</v>
      </c>
      <c r="AE929" s="359" t="str">
        <f t="shared" si="205"/>
        <v/>
      </c>
      <c r="AF929" s="359" t="str">
        <f t="shared" si="214"/>
        <v/>
      </c>
      <c r="AG929" s="359" t="str">
        <f t="shared" si="206"/>
        <v/>
      </c>
      <c r="AH929" s="359" t="str">
        <f t="shared" si="207"/>
        <v/>
      </c>
      <c r="AI929" s="359" t="str">
        <f t="shared" si="208"/>
        <v/>
      </c>
      <c r="AJ929" s="359" t="str">
        <f t="shared" si="209"/>
        <v/>
      </c>
      <c r="AK929" s="359" t="str">
        <f t="shared" si="211"/>
        <v/>
      </c>
      <c r="AL929" s="359" t="str">
        <f t="shared" si="210"/>
        <v/>
      </c>
      <c r="AM929" s="359" t="str">
        <f t="shared" si="212"/>
        <v/>
      </c>
      <c r="AN929" s="262">
        <f t="shared" si="215"/>
        <v>0</v>
      </c>
      <c r="AO929" s="262" t="str">
        <f>IFERROR(HLOOKUP(AN929,'Ref Lists'!Q$1:AL$2,2,FALSE),'Ref Lists'!$AK$2)</f>
        <v>Savings21</v>
      </c>
      <c r="AP929" s="38"/>
      <c r="AQ929" s="38">
        <f t="shared" si="204"/>
        <v>0</v>
      </c>
      <c r="AR929" s="38"/>
      <c r="AS929" s="38"/>
      <c r="AT929" s="38"/>
      <c r="AU929" s="38"/>
      <c r="AV929" s="38"/>
      <c r="AW929" s="38"/>
      <c r="AX929" s="38"/>
      <c r="AY929" s="38"/>
      <c r="AZ929" s="38"/>
      <c r="BA929" s="38"/>
      <c r="BB929" s="38"/>
      <c r="BC929" s="38"/>
      <c r="BD929" s="38"/>
      <c r="BE929" s="38"/>
      <c r="BF929" s="38"/>
      <c r="BG929" s="38"/>
      <c r="BH929" s="38"/>
      <c r="BI929" s="38"/>
      <c r="BJ929" s="38"/>
      <c r="BK929" s="38"/>
      <c r="BL929" s="38"/>
      <c r="BM929" s="38"/>
      <c r="BN929" s="38"/>
      <c r="BO929" s="38"/>
      <c r="BP929" s="38"/>
      <c r="BQ929" s="38"/>
      <c r="BR929" s="38"/>
      <c r="BS929" s="38"/>
      <c r="BT929" s="38"/>
      <c r="BU929" s="38"/>
      <c r="BV929" s="38"/>
      <c r="BW929" s="38"/>
      <c r="BX929" s="38"/>
      <c r="BY929" s="38"/>
      <c r="BZ929" s="38"/>
      <c r="CA929" s="38"/>
      <c r="CB929" s="38"/>
      <c r="CC929" s="38"/>
      <c r="CD929" s="38"/>
      <c r="CE929" s="38"/>
      <c r="CF929" s="38"/>
      <c r="CG929" s="38"/>
      <c r="CH929" s="38"/>
      <c r="CI929" s="38"/>
      <c r="CJ929" s="38"/>
      <c r="CK929" s="38"/>
      <c r="CL929" s="38"/>
      <c r="CM929" s="38"/>
      <c r="CN929" s="38"/>
      <c r="CO929" s="38"/>
      <c r="CP929" s="38"/>
      <c r="CQ929" s="38"/>
      <c r="CR929" s="38"/>
      <c r="CS929" s="38"/>
      <c r="CT929" s="38"/>
      <c r="CU929" s="38"/>
      <c r="CV929" s="38"/>
      <c r="CW929" s="38"/>
      <c r="CX929" s="38"/>
      <c r="CY929" s="38"/>
      <c r="CZ929" s="38"/>
    </row>
    <row r="930" spans="1:104" s="40" customFormat="1" ht="20.149999999999999" customHeight="1">
      <c r="A930" s="358">
        <f t="shared" si="213"/>
        <v>929</v>
      </c>
      <c r="B930" s="359" t="str">
        <f>'Front Sheet and Checklist'!$C$5</f>
        <v>Swansea Bay UHB</v>
      </c>
      <c r="C930" s="17"/>
      <c r="D930" s="17"/>
      <c r="E930" s="17"/>
      <c r="F930" s="17"/>
      <c r="G930" s="17"/>
      <c r="H930" s="17"/>
      <c r="I930" s="361">
        <f t="shared" si="203"/>
        <v>0</v>
      </c>
      <c r="J930" s="17"/>
      <c r="K930" s="18"/>
      <c r="L930" s="18"/>
      <c r="M930" s="17"/>
      <c r="N930" s="17"/>
      <c r="O930" s="17"/>
      <c r="P930" s="17"/>
      <c r="Q930" s="169"/>
      <c r="R930" s="24"/>
      <c r="S930" s="24"/>
      <c r="T930" s="24"/>
      <c r="U930" s="25"/>
      <c r="V930" s="25"/>
      <c r="W930" s="25"/>
      <c r="X930" s="24"/>
      <c r="Y930" s="24"/>
      <c r="Z930" s="24"/>
      <c r="AA930" s="24"/>
      <c r="AB930" s="24"/>
      <c r="AC930" s="24"/>
      <c r="AD930" s="361">
        <f t="shared" si="202"/>
        <v>0</v>
      </c>
      <c r="AE930" s="359" t="str">
        <f t="shared" si="205"/>
        <v/>
      </c>
      <c r="AF930" s="359" t="str">
        <f t="shared" si="214"/>
        <v/>
      </c>
      <c r="AG930" s="359" t="str">
        <f t="shared" si="206"/>
        <v/>
      </c>
      <c r="AH930" s="359" t="str">
        <f t="shared" si="207"/>
        <v/>
      </c>
      <c r="AI930" s="359" t="str">
        <f t="shared" si="208"/>
        <v/>
      </c>
      <c r="AJ930" s="359" t="str">
        <f t="shared" si="209"/>
        <v/>
      </c>
      <c r="AK930" s="359" t="str">
        <f t="shared" si="211"/>
        <v/>
      </c>
      <c r="AL930" s="359" t="str">
        <f t="shared" si="210"/>
        <v/>
      </c>
      <c r="AM930" s="359" t="str">
        <f t="shared" si="212"/>
        <v/>
      </c>
      <c r="AN930" s="262">
        <f t="shared" si="215"/>
        <v>0</v>
      </c>
      <c r="AO930" s="262" t="str">
        <f>IFERROR(HLOOKUP(AN930,'Ref Lists'!Q$1:AL$2,2,FALSE),'Ref Lists'!$AK$2)</f>
        <v>Savings21</v>
      </c>
      <c r="AP930" s="38"/>
      <c r="AQ930" s="38">
        <f t="shared" si="204"/>
        <v>0</v>
      </c>
      <c r="AR930" s="38"/>
      <c r="AS930" s="38"/>
      <c r="AT930" s="38"/>
      <c r="AU930" s="38"/>
      <c r="AV930" s="38"/>
      <c r="AW930" s="38"/>
      <c r="AX930" s="38"/>
      <c r="AY930" s="38"/>
      <c r="AZ930" s="38"/>
      <c r="BA930" s="38"/>
      <c r="BB930" s="38"/>
      <c r="BC930" s="38"/>
      <c r="BD930" s="38"/>
      <c r="BE930" s="38"/>
      <c r="BF930" s="38"/>
      <c r="BG930" s="38"/>
      <c r="BH930" s="38"/>
      <c r="BI930" s="38"/>
      <c r="BJ930" s="38"/>
      <c r="BK930" s="38"/>
      <c r="BL930" s="38"/>
      <c r="BM930" s="38"/>
      <c r="BN930" s="38"/>
      <c r="BO930" s="38"/>
      <c r="BP930" s="38"/>
      <c r="BQ930" s="38"/>
      <c r="BR930" s="38"/>
      <c r="BS930" s="38"/>
      <c r="BT930" s="38"/>
      <c r="BU930" s="38"/>
      <c r="BV930" s="38"/>
      <c r="BW930" s="38"/>
      <c r="BX930" s="38"/>
      <c r="BY930" s="38"/>
      <c r="BZ930" s="38"/>
      <c r="CA930" s="38"/>
      <c r="CB930" s="38"/>
      <c r="CC930" s="38"/>
      <c r="CD930" s="38"/>
      <c r="CE930" s="38"/>
      <c r="CF930" s="38"/>
      <c r="CG930" s="38"/>
      <c r="CH930" s="38"/>
      <c r="CI930" s="38"/>
      <c r="CJ930" s="38"/>
      <c r="CK930" s="38"/>
      <c r="CL930" s="38"/>
      <c r="CM930" s="38"/>
      <c r="CN930" s="38"/>
      <c r="CO930" s="38"/>
      <c r="CP930" s="38"/>
      <c r="CQ930" s="38"/>
      <c r="CR930" s="38"/>
      <c r="CS930" s="38"/>
      <c r="CT930" s="38"/>
      <c r="CU930" s="38"/>
      <c r="CV930" s="38"/>
      <c r="CW930" s="38"/>
      <c r="CX930" s="38"/>
      <c r="CY930" s="38"/>
      <c r="CZ930" s="38"/>
    </row>
    <row r="931" spans="1:104" s="40" customFormat="1" ht="20.149999999999999" customHeight="1">
      <c r="A931" s="358">
        <f t="shared" si="213"/>
        <v>930</v>
      </c>
      <c r="B931" s="359" t="str">
        <f>'Front Sheet and Checklist'!$C$5</f>
        <v>Swansea Bay UHB</v>
      </c>
      <c r="C931" s="17"/>
      <c r="D931" s="17"/>
      <c r="E931" s="17"/>
      <c r="F931" s="17"/>
      <c r="G931" s="17"/>
      <c r="H931" s="17"/>
      <c r="I931" s="361">
        <f t="shared" si="203"/>
        <v>0</v>
      </c>
      <c r="J931" s="17"/>
      <c r="K931" s="18"/>
      <c r="L931" s="18"/>
      <c r="M931" s="17"/>
      <c r="N931" s="17"/>
      <c r="O931" s="17"/>
      <c r="P931" s="17"/>
      <c r="Q931" s="169"/>
      <c r="R931" s="24"/>
      <c r="S931" s="24"/>
      <c r="T931" s="24"/>
      <c r="U931" s="25"/>
      <c r="V931" s="25"/>
      <c r="W931" s="25"/>
      <c r="X931" s="24"/>
      <c r="Y931" s="24"/>
      <c r="Z931" s="24"/>
      <c r="AA931" s="24"/>
      <c r="AB931" s="24"/>
      <c r="AC931" s="24"/>
      <c r="AD931" s="361">
        <f t="shared" si="202"/>
        <v>0</v>
      </c>
      <c r="AE931" s="359" t="str">
        <f t="shared" si="205"/>
        <v/>
      </c>
      <c r="AF931" s="359" t="str">
        <f t="shared" si="214"/>
        <v/>
      </c>
      <c r="AG931" s="359" t="str">
        <f t="shared" si="206"/>
        <v/>
      </c>
      <c r="AH931" s="359" t="str">
        <f t="shared" si="207"/>
        <v/>
      </c>
      <c r="AI931" s="359" t="str">
        <f t="shared" si="208"/>
        <v/>
      </c>
      <c r="AJ931" s="359" t="str">
        <f t="shared" si="209"/>
        <v/>
      </c>
      <c r="AK931" s="359" t="str">
        <f t="shared" si="211"/>
        <v/>
      </c>
      <c r="AL931" s="359" t="str">
        <f t="shared" si="210"/>
        <v/>
      </c>
      <c r="AM931" s="359" t="str">
        <f t="shared" si="212"/>
        <v/>
      </c>
      <c r="AN931" s="262">
        <f t="shared" si="215"/>
        <v>0</v>
      </c>
      <c r="AO931" s="262" t="str">
        <f>IFERROR(HLOOKUP(AN931,'Ref Lists'!Q$1:AL$2,2,FALSE),'Ref Lists'!$AK$2)</f>
        <v>Savings21</v>
      </c>
      <c r="AP931" s="38"/>
      <c r="AQ931" s="38">
        <f t="shared" si="204"/>
        <v>0</v>
      </c>
      <c r="AR931" s="38"/>
      <c r="AS931" s="38"/>
      <c r="AT931" s="38"/>
      <c r="AU931" s="38"/>
      <c r="AV931" s="38"/>
      <c r="AW931" s="38"/>
      <c r="AX931" s="38"/>
      <c r="AY931" s="38"/>
      <c r="AZ931" s="38"/>
      <c r="BA931" s="38"/>
      <c r="BB931" s="38"/>
      <c r="BC931" s="38"/>
      <c r="BD931" s="38"/>
      <c r="BE931" s="38"/>
      <c r="BF931" s="38"/>
      <c r="BG931" s="38"/>
      <c r="BH931" s="38"/>
      <c r="BI931" s="38"/>
      <c r="BJ931" s="38"/>
      <c r="BK931" s="38"/>
      <c r="BL931" s="38"/>
      <c r="BM931" s="38"/>
      <c r="BN931" s="38"/>
      <c r="BO931" s="38"/>
      <c r="BP931" s="38"/>
      <c r="BQ931" s="38"/>
      <c r="BR931" s="38"/>
      <c r="BS931" s="38"/>
      <c r="BT931" s="38"/>
      <c r="BU931" s="38"/>
      <c r="BV931" s="38"/>
      <c r="BW931" s="38"/>
      <c r="BX931" s="38"/>
      <c r="BY931" s="38"/>
      <c r="BZ931" s="38"/>
      <c r="CA931" s="38"/>
      <c r="CB931" s="38"/>
      <c r="CC931" s="38"/>
      <c r="CD931" s="38"/>
      <c r="CE931" s="38"/>
      <c r="CF931" s="38"/>
      <c r="CG931" s="38"/>
      <c r="CH931" s="38"/>
      <c r="CI931" s="38"/>
      <c r="CJ931" s="38"/>
      <c r="CK931" s="38"/>
      <c r="CL931" s="38"/>
      <c r="CM931" s="38"/>
      <c r="CN931" s="38"/>
      <c r="CO931" s="38"/>
      <c r="CP931" s="38"/>
      <c r="CQ931" s="38"/>
      <c r="CR931" s="38"/>
      <c r="CS931" s="38"/>
      <c r="CT931" s="38"/>
      <c r="CU931" s="38"/>
      <c r="CV931" s="38"/>
      <c r="CW931" s="38"/>
      <c r="CX931" s="38"/>
      <c r="CY931" s="38"/>
      <c r="CZ931" s="38"/>
    </row>
    <row r="932" spans="1:104" s="40" customFormat="1" ht="20.149999999999999" customHeight="1">
      <c r="A932" s="358">
        <f t="shared" si="213"/>
        <v>931</v>
      </c>
      <c r="B932" s="359" t="str">
        <f>'Front Sheet and Checklist'!$C$5</f>
        <v>Swansea Bay UHB</v>
      </c>
      <c r="C932" s="17"/>
      <c r="D932" s="17"/>
      <c r="E932" s="17"/>
      <c r="F932" s="17"/>
      <c r="G932" s="17"/>
      <c r="H932" s="17"/>
      <c r="I932" s="361">
        <f t="shared" si="203"/>
        <v>0</v>
      </c>
      <c r="J932" s="17"/>
      <c r="K932" s="18"/>
      <c r="L932" s="18"/>
      <c r="M932" s="17"/>
      <c r="N932" s="17"/>
      <c r="O932" s="17"/>
      <c r="P932" s="17"/>
      <c r="Q932" s="169"/>
      <c r="R932" s="24"/>
      <c r="S932" s="24"/>
      <c r="T932" s="24"/>
      <c r="U932" s="25"/>
      <c r="V932" s="25"/>
      <c r="W932" s="25"/>
      <c r="X932" s="24"/>
      <c r="Y932" s="24"/>
      <c r="Z932" s="24"/>
      <c r="AA932" s="24"/>
      <c r="AB932" s="24"/>
      <c r="AC932" s="24"/>
      <c r="AD932" s="361">
        <f t="shared" si="202"/>
        <v>0</v>
      </c>
      <c r="AE932" s="359" t="str">
        <f t="shared" si="205"/>
        <v/>
      </c>
      <c r="AF932" s="359" t="str">
        <f t="shared" si="214"/>
        <v/>
      </c>
      <c r="AG932" s="359" t="str">
        <f t="shared" si="206"/>
        <v/>
      </c>
      <c r="AH932" s="359" t="str">
        <f t="shared" si="207"/>
        <v/>
      </c>
      <c r="AI932" s="359" t="str">
        <f t="shared" si="208"/>
        <v/>
      </c>
      <c r="AJ932" s="359" t="str">
        <f t="shared" si="209"/>
        <v/>
      </c>
      <c r="AK932" s="359" t="str">
        <f t="shared" si="211"/>
        <v/>
      </c>
      <c r="AL932" s="359" t="str">
        <f t="shared" si="210"/>
        <v/>
      </c>
      <c r="AM932" s="359" t="str">
        <f t="shared" si="212"/>
        <v/>
      </c>
      <c r="AN932" s="262">
        <f t="shared" si="215"/>
        <v>0</v>
      </c>
      <c r="AO932" s="262" t="str">
        <f>IFERROR(HLOOKUP(AN932,'Ref Lists'!Q$1:AL$2,2,FALSE),'Ref Lists'!$AK$2)</f>
        <v>Savings21</v>
      </c>
      <c r="AP932" s="38"/>
      <c r="AQ932" s="38">
        <f t="shared" si="204"/>
        <v>0</v>
      </c>
      <c r="AR932" s="38"/>
      <c r="AS932" s="38"/>
      <c r="AT932" s="38"/>
      <c r="AU932" s="38"/>
      <c r="AV932" s="38"/>
      <c r="AW932" s="38"/>
      <c r="AX932" s="38"/>
      <c r="AY932" s="38"/>
      <c r="AZ932" s="38"/>
      <c r="BA932" s="38"/>
      <c r="BB932" s="38"/>
      <c r="BC932" s="38"/>
      <c r="BD932" s="38"/>
      <c r="BE932" s="38"/>
      <c r="BF932" s="38"/>
      <c r="BG932" s="38"/>
      <c r="BH932" s="38"/>
      <c r="BI932" s="38"/>
      <c r="BJ932" s="38"/>
      <c r="BK932" s="38"/>
      <c r="BL932" s="38"/>
      <c r="BM932" s="38"/>
      <c r="BN932" s="38"/>
      <c r="BO932" s="38"/>
      <c r="BP932" s="38"/>
      <c r="BQ932" s="38"/>
      <c r="BR932" s="38"/>
      <c r="BS932" s="38"/>
      <c r="BT932" s="38"/>
      <c r="BU932" s="38"/>
      <c r="BV932" s="38"/>
      <c r="BW932" s="38"/>
      <c r="BX932" s="38"/>
      <c r="BY932" s="38"/>
      <c r="BZ932" s="38"/>
      <c r="CA932" s="38"/>
      <c r="CB932" s="38"/>
      <c r="CC932" s="38"/>
      <c r="CD932" s="38"/>
      <c r="CE932" s="38"/>
      <c r="CF932" s="38"/>
      <c r="CG932" s="38"/>
      <c r="CH932" s="38"/>
      <c r="CI932" s="38"/>
      <c r="CJ932" s="38"/>
      <c r="CK932" s="38"/>
      <c r="CL932" s="38"/>
      <c r="CM932" s="38"/>
      <c r="CN932" s="38"/>
      <c r="CO932" s="38"/>
      <c r="CP932" s="38"/>
      <c r="CQ932" s="38"/>
      <c r="CR932" s="38"/>
      <c r="CS932" s="38"/>
      <c r="CT932" s="38"/>
      <c r="CU932" s="38"/>
      <c r="CV932" s="38"/>
      <c r="CW932" s="38"/>
      <c r="CX932" s="38"/>
      <c r="CY932" s="38"/>
      <c r="CZ932" s="38"/>
    </row>
    <row r="933" spans="1:104" s="40" customFormat="1" ht="20.149999999999999" customHeight="1">
      <c r="A933" s="358">
        <f t="shared" si="213"/>
        <v>932</v>
      </c>
      <c r="B933" s="359" t="str">
        <f>'Front Sheet and Checklist'!$C$5</f>
        <v>Swansea Bay UHB</v>
      </c>
      <c r="C933" s="17"/>
      <c r="D933" s="17"/>
      <c r="E933" s="17"/>
      <c r="F933" s="17"/>
      <c r="G933" s="17"/>
      <c r="H933" s="17"/>
      <c r="I933" s="361">
        <f t="shared" si="203"/>
        <v>0</v>
      </c>
      <c r="J933" s="17"/>
      <c r="K933" s="18"/>
      <c r="L933" s="18"/>
      <c r="M933" s="17"/>
      <c r="N933" s="17"/>
      <c r="O933" s="17"/>
      <c r="P933" s="17"/>
      <c r="Q933" s="169"/>
      <c r="R933" s="24"/>
      <c r="S933" s="24"/>
      <c r="T933" s="24"/>
      <c r="U933" s="25"/>
      <c r="V933" s="25"/>
      <c r="W933" s="25"/>
      <c r="X933" s="24"/>
      <c r="Y933" s="24"/>
      <c r="Z933" s="24"/>
      <c r="AA933" s="24"/>
      <c r="AB933" s="24"/>
      <c r="AC933" s="24"/>
      <c r="AD933" s="361">
        <f t="shared" si="202"/>
        <v>0</v>
      </c>
      <c r="AE933" s="359" t="str">
        <f t="shared" si="205"/>
        <v/>
      </c>
      <c r="AF933" s="359" t="str">
        <f t="shared" si="214"/>
        <v/>
      </c>
      <c r="AG933" s="359" t="str">
        <f t="shared" si="206"/>
        <v/>
      </c>
      <c r="AH933" s="359" t="str">
        <f t="shared" si="207"/>
        <v/>
      </c>
      <c r="AI933" s="359" t="str">
        <f t="shared" si="208"/>
        <v/>
      </c>
      <c r="AJ933" s="359" t="str">
        <f t="shared" si="209"/>
        <v/>
      </c>
      <c r="AK933" s="359" t="str">
        <f t="shared" si="211"/>
        <v/>
      </c>
      <c r="AL933" s="359" t="str">
        <f t="shared" si="210"/>
        <v/>
      </c>
      <c r="AM933" s="359" t="str">
        <f t="shared" si="212"/>
        <v/>
      </c>
      <c r="AN933" s="262">
        <f t="shared" si="215"/>
        <v>0</v>
      </c>
      <c r="AO933" s="262" t="str">
        <f>IFERROR(HLOOKUP(AN933,'Ref Lists'!Q$1:AL$2,2,FALSE),'Ref Lists'!$AK$2)</f>
        <v>Savings21</v>
      </c>
      <c r="AP933" s="38"/>
      <c r="AQ933" s="38">
        <f t="shared" si="204"/>
        <v>0</v>
      </c>
      <c r="AR933" s="38"/>
      <c r="AS933" s="38"/>
      <c r="AT933" s="38"/>
      <c r="AU933" s="38"/>
      <c r="AV933" s="38"/>
      <c r="AW933" s="38"/>
      <c r="AX933" s="38"/>
      <c r="AY933" s="38"/>
      <c r="AZ933" s="38"/>
      <c r="BA933" s="38"/>
      <c r="BB933" s="38"/>
      <c r="BC933" s="38"/>
      <c r="BD933" s="38"/>
      <c r="BE933" s="38"/>
      <c r="BF933" s="38"/>
      <c r="BG933" s="38"/>
      <c r="BH933" s="38"/>
      <c r="BI933" s="38"/>
      <c r="BJ933" s="38"/>
      <c r="BK933" s="38"/>
      <c r="BL933" s="38"/>
      <c r="BM933" s="38"/>
      <c r="BN933" s="38"/>
      <c r="BO933" s="38"/>
      <c r="BP933" s="38"/>
      <c r="BQ933" s="38"/>
      <c r="BR933" s="38"/>
      <c r="BS933" s="38"/>
      <c r="BT933" s="38"/>
      <c r="BU933" s="38"/>
      <c r="BV933" s="38"/>
      <c r="BW933" s="38"/>
      <c r="BX933" s="38"/>
      <c r="BY933" s="38"/>
      <c r="BZ933" s="38"/>
      <c r="CA933" s="38"/>
      <c r="CB933" s="38"/>
      <c r="CC933" s="38"/>
      <c r="CD933" s="38"/>
      <c r="CE933" s="38"/>
      <c r="CF933" s="38"/>
      <c r="CG933" s="38"/>
      <c r="CH933" s="38"/>
      <c r="CI933" s="38"/>
      <c r="CJ933" s="38"/>
      <c r="CK933" s="38"/>
      <c r="CL933" s="38"/>
      <c r="CM933" s="38"/>
      <c r="CN933" s="38"/>
      <c r="CO933" s="38"/>
      <c r="CP933" s="38"/>
      <c r="CQ933" s="38"/>
      <c r="CR933" s="38"/>
      <c r="CS933" s="38"/>
      <c r="CT933" s="38"/>
      <c r="CU933" s="38"/>
      <c r="CV933" s="38"/>
      <c r="CW933" s="38"/>
      <c r="CX933" s="38"/>
      <c r="CY933" s="38"/>
      <c r="CZ933" s="38"/>
    </row>
    <row r="934" spans="1:104" s="40" customFormat="1" ht="20.149999999999999" customHeight="1">
      <c r="A934" s="358">
        <f t="shared" si="213"/>
        <v>933</v>
      </c>
      <c r="B934" s="359" t="str">
        <f>'Front Sheet and Checklist'!$C$5</f>
        <v>Swansea Bay UHB</v>
      </c>
      <c r="C934" s="17"/>
      <c r="D934" s="17"/>
      <c r="E934" s="17"/>
      <c r="F934" s="17"/>
      <c r="G934" s="17"/>
      <c r="H934" s="17"/>
      <c r="I934" s="361">
        <f t="shared" si="203"/>
        <v>0</v>
      </c>
      <c r="J934" s="17"/>
      <c r="K934" s="18"/>
      <c r="L934" s="18"/>
      <c r="M934" s="17"/>
      <c r="N934" s="17"/>
      <c r="O934" s="17"/>
      <c r="P934" s="17"/>
      <c r="Q934" s="169"/>
      <c r="R934" s="24"/>
      <c r="S934" s="24"/>
      <c r="T934" s="24"/>
      <c r="U934" s="25"/>
      <c r="V934" s="25"/>
      <c r="W934" s="25"/>
      <c r="X934" s="24"/>
      <c r="Y934" s="24"/>
      <c r="Z934" s="24"/>
      <c r="AA934" s="24"/>
      <c r="AB934" s="24"/>
      <c r="AC934" s="24"/>
      <c r="AD934" s="361">
        <f t="shared" si="202"/>
        <v>0</v>
      </c>
      <c r="AE934" s="359" t="str">
        <f t="shared" si="205"/>
        <v/>
      </c>
      <c r="AF934" s="359" t="str">
        <f t="shared" si="214"/>
        <v/>
      </c>
      <c r="AG934" s="359" t="str">
        <f t="shared" si="206"/>
        <v/>
      </c>
      <c r="AH934" s="359" t="str">
        <f t="shared" si="207"/>
        <v/>
      </c>
      <c r="AI934" s="359" t="str">
        <f t="shared" si="208"/>
        <v/>
      </c>
      <c r="AJ934" s="359" t="str">
        <f t="shared" si="209"/>
        <v/>
      </c>
      <c r="AK934" s="359" t="str">
        <f t="shared" si="211"/>
        <v/>
      </c>
      <c r="AL934" s="359" t="str">
        <f t="shared" si="210"/>
        <v/>
      </c>
      <c r="AM934" s="359" t="str">
        <f t="shared" si="212"/>
        <v/>
      </c>
      <c r="AN934" s="262">
        <f t="shared" si="215"/>
        <v>0</v>
      </c>
      <c r="AO934" s="262" t="str">
        <f>IFERROR(HLOOKUP(AN934,'Ref Lists'!Q$1:AL$2,2,FALSE),'Ref Lists'!$AK$2)</f>
        <v>Savings21</v>
      </c>
      <c r="AP934" s="38"/>
      <c r="AQ934" s="38">
        <f t="shared" si="204"/>
        <v>0</v>
      </c>
      <c r="AR934" s="38"/>
      <c r="AS934" s="38"/>
      <c r="AT934" s="38"/>
      <c r="AU934" s="38"/>
      <c r="AV934" s="38"/>
      <c r="AW934" s="38"/>
      <c r="AX934" s="38"/>
      <c r="AY934" s="38"/>
      <c r="AZ934" s="38"/>
      <c r="BA934" s="38"/>
      <c r="BB934" s="38"/>
      <c r="BC934" s="38"/>
      <c r="BD934" s="38"/>
      <c r="BE934" s="38"/>
      <c r="BF934" s="38"/>
      <c r="BG934" s="38"/>
      <c r="BH934" s="38"/>
      <c r="BI934" s="38"/>
      <c r="BJ934" s="38"/>
      <c r="BK934" s="38"/>
      <c r="BL934" s="38"/>
      <c r="BM934" s="38"/>
      <c r="BN934" s="38"/>
      <c r="BO934" s="38"/>
      <c r="BP934" s="38"/>
      <c r="BQ934" s="38"/>
      <c r="BR934" s="38"/>
      <c r="BS934" s="38"/>
      <c r="BT934" s="38"/>
      <c r="BU934" s="38"/>
      <c r="BV934" s="38"/>
      <c r="BW934" s="38"/>
      <c r="BX934" s="38"/>
      <c r="BY934" s="38"/>
      <c r="BZ934" s="38"/>
      <c r="CA934" s="38"/>
      <c r="CB934" s="38"/>
      <c r="CC934" s="38"/>
      <c r="CD934" s="38"/>
      <c r="CE934" s="38"/>
      <c r="CF934" s="38"/>
      <c r="CG934" s="38"/>
      <c r="CH934" s="38"/>
      <c r="CI934" s="38"/>
      <c r="CJ934" s="38"/>
      <c r="CK934" s="38"/>
      <c r="CL934" s="38"/>
      <c r="CM934" s="38"/>
      <c r="CN934" s="38"/>
      <c r="CO934" s="38"/>
      <c r="CP934" s="38"/>
      <c r="CQ934" s="38"/>
      <c r="CR934" s="38"/>
      <c r="CS934" s="38"/>
      <c r="CT934" s="38"/>
      <c r="CU934" s="38"/>
      <c r="CV934" s="38"/>
      <c r="CW934" s="38"/>
      <c r="CX934" s="38"/>
      <c r="CY934" s="38"/>
      <c r="CZ934" s="38"/>
    </row>
    <row r="935" spans="1:104" s="40" customFormat="1" ht="20.149999999999999" customHeight="1">
      <c r="A935" s="358">
        <f t="shared" si="213"/>
        <v>934</v>
      </c>
      <c r="B935" s="359" t="str">
        <f>'Front Sheet and Checklist'!$C$5</f>
        <v>Swansea Bay UHB</v>
      </c>
      <c r="C935" s="17"/>
      <c r="D935" s="17"/>
      <c r="E935" s="17"/>
      <c r="F935" s="17"/>
      <c r="G935" s="17"/>
      <c r="H935" s="17"/>
      <c r="I935" s="361">
        <f t="shared" si="203"/>
        <v>0</v>
      </c>
      <c r="J935" s="17"/>
      <c r="K935" s="18"/>
      <c r="L935" s="18"/>
      <c r="M935" s="17"/>
      <c r="N935" s="17"/>
      <c r="O935" s="17"/>
      <c r="P935" s="17"/>
      <c r="Q935" s="169"/>
      <c r="R935" s="24"/>
      <c r="S935" s="24"/>
      <c r="T935" s="24"/>
      <c r="U935" s="25"/>
      <c r="V935" s="25"/>
      <c r="W935" s="25"/>
      <c r="X935" s="24"/>
      <c r="Y935" s="24"/>
      <c r="Z935" s="24"/>
      <c r="AA935" s="24"/>
      <c r="AB935" s="24"/>
      <c r="AC935" s="24"/>
      <c r="AD935" s="361">
        <f t="shared" si="202"/>
        <v>0</v>
      </c>
      <c r="AE935" s="359" t="str">
        <f t="shared" si="205"/>
        <v/>
      </c>
      <c r="AF935" s="359" t="str">
        <f t="shared" si="214"/>
        <v/>
      </c>
      <c r="AG935" s="359" t="str">
        <f t="shared" si="206"/>
        <v/>
      </c>
      <c r="AH935" s="359" t="str">
        <f t="shared" si="207"/>
        <v/>
      </c>
      <c r="AI935" s="359" t="str">
        <f t="shared" si="208"/>
        <v/>
      </c>
      <c r="AJ935" s="359" t="str">
        <f t="shared" si="209"/>
        <v/>
      </c>
      <c r="AK935" s="359" t="str">
        <f t="shared" si="211"/>
        <v/>
      </c>
      <c r="AL935" s="359" t="str">
        <f t="shared" si="210"/>
        <v/>
      </c>
      <c r="AM935" s="359" t="str">
        <f t="shared" si="212"/>
        <v/>
      </c>
      <c r="AN935" s="262">
        <f t="shared" si="215"/>
        <v>0</v>
      </c>
      <c r="AO935" s="262" t="str">
        <f>IFERROR(HLOOKUP(AN935,'Ref Lists'!Q$1:AL$2,2,FALSE),'Ref Lists'!$AK$2)</f>
        <v>Savings21</v>
      </c>
      <c r="AP935" s="38"/>
      <c r="AQ935" s="38">
        <f t="shared" si="204"/>
        <v>0</v>
      </c>
      <c r="AR935" s="38"/>
      <c r="AS935" s="38"/>
      <c r="AT935" s="38"/>
      <c r="AU935" s="38"/>
      <c r="AV935" s="38"/>
      <c r="AW935" s="38"/>
      <c r="AX935" s="38"/>
      <c r="AY935" s="38"/>
      <c r="AZ935" s="38"/>
      <c r="BA935" s="38"/>
      <c r="BB935" s="38"/>
      <c r="BC935" s="38"/>
      <c r="BD935" s="38"/>
      <c r="BE935" s="38"/>
      <c r="BF935" s="38"/>
      <c r="BG935" s="38"/>
      <c r="BH935" s="38"/>
      <c r="BI935" s="38"/>
      <c r="BJ935" s="38"/>
      <c r="BK935" s="38"/>
      <c r="BL935" s="38"/>
      <c r="BM935" s="38"/>
      <c r="BN935" s="38"/>
      <c r="BO935" s="38"/>
      <c r="BP935" s="38"/>
      <c r="BQ935" s="38"/>
      <c r="BR935" s="38"/>
      <c r="BS935" s="38"/>
      <c r="BT935" s="38"/>
      <c r="BU935" s="38"/>
      <c r="BV935" s="38"/>
      <c r="BW935" s="38"/>
      <c r="BX935" s="38"/>
      <c r="BY935" s="38"/>
      <c r="BZ935" s="38"/>
      <c r="CA935" s="38"/>
      <c r="CB935" s="38"/>
      <c r="CC935" s="38"/>
      <c r="CD935" s="38"/>
      <c r="CE935" s="38"/>
      <c r="CF935" s="38"/>
      <c r="CG935" s="38"/>
      <c r="CH935" s="38"/>
      <c r="CI935" s="38"/>
      <c r="CJ935" s="38"/>
      <c r="CK935" s="38"/>
      <c r="CL935" s="38"/>
      <c r="CM935" s="38"/>
      <c r="CN935" s="38"/>
      <c r="CO935" s="38"/>
      <c r="CP935" s="38"/>
      <c r="CQ935" s="38"/>
      <c r="CR935" s="38"/>
      <c r="CS935" s="38"/>
      <c r="CT935" s="38"/>
      <c r="CU935" s="38"/>
      <c r="CV935" s="38"/>
      <c r="CW935" s="38"/>
      <c r="CX935" s="38"/>
      <c r="CY935" s="38"/>
      <c r="CZ935" s="38"/>
    </row>
    <row r="936" spans="1:104" s="40" customFormat="1" ht="20.149999999999999" customHeight="1">
      <c r="A936" s="358">
        <f t="shared" si="213"/>
        <v>935</v>
      </c>
      <c r="B936" s="359" t="str">
        <f>'Front Sheet and Checklist'!$C$5</f>
        <v>Swansea Bay UHB</v>
      </c>
      <c r="C936" s="17"/>
      <c r="D936" s="17"/>
      <c r="E936" s="17"/>
      <c r="F936" s="17"/>
      <c r="G936" s="17"/>
      <c r="H936" s="17"/>
      <c r="I936" s="361">
        <f t="shared" si="203"/>
        <v>0</v>
      </c>
      <c r="J936" s="17"/>
      <c r="K936" s="18"/>
      <c r="L936" s="18"/>
      <c r="M936" s="17"/>
      <c r="N936" s="17"/>
      <c r="O936" s="17"/>
      <c r="P936" s="17"/>
      <c r="Q936" s="169"/>
      <c r="R936" s="24"/>
      <c r="S936" s="24"/>
      <c r="T936" s="24"/>
      <c r="U936" s="25"/>
      <c r="V936" s="25"/>
      <c r="W936" s="25"/>
      <c r="X936" s="24"/>
      <c r="Y936" s="24"/>
      <c r="Z936" s="24"/>
      <c r="AA936" s="24"/>
      <c r="AB936" s="24"/>
      <c r="AC936" s="24"/>
      <c r="AD936" s="361">
        <f t="shared" si="202"/>
        <v>0</v>
      </c>
      <c r="AE936" s="359" t="str">
        <f t="shared" si="205"/>
        <v/>
      </c>
      <c r="AF936" s="359" t="str">
        <f t="shared" si="214"/>
        <v/>
      </c>
      <c r="AG936" s="359" t="str">
        <f t="shared" si="206"/>
        <v/>
      </c>
      <c r="AH936" s="359" t="str">
        <f t="shared" si="207"/>
        <v/>
      </c>
      <c r="AI936" s="359" t="str">
        <f t="shared" si="208"/>
        <v/>
      </c>
      <c r="AJ936" s="359" t="str">
        <f t="shared" si="209"/>
        <v/>
      </c>
      <c r="AK936" s="359" t="str">
        <f t="shared" si="211"/>
        <v/>
      </c>
      <c r="AL936" s="359" t="str">
        <f t="shared" si="210"/>
        <v/>
      </c>
      <c r="AM936" s="359" t="str">
        <f t="shared" si="212"/>
        <v/>
      </c>
      <c r="AN936" s="262">
        <f t="shared" si="215"/>
        <v>0</v>
      </c>
      <c r="AO936" s="262" t="str">
        <f>IFERROR(HLOOKUP(AN936,'Ref Lists'!Q$1:AL$2,2,FALSE),'Ref Lists'!$AK$2)</f>
        <v>Savings21</v>
      </c>
      <c r="AP936" s="38"/>
      <c r="AQ936" s="38">
        <f t="shared" si="204"/>
        <v>0</v>
      </c>
      <c r="AR936" s="38"/>
      <c r="AS936" s="38"/>
      <c r="AT936" s="38"/>
      <c r="AU936" s="38"/>
      <c r="AV936" s="38"/>
      <c r="AW936" s="38"/>
      <c r="AX936" s="38"/>
      <c r="AY936" s="38"/>
      <c r="AZ936" s="38"/>
      <c r="BA936" s="38"/>
      <c r="BB936" s="38"/>
      <c r="BC936" s="38"/>
      <c r="BD936" s="38"/>
      <c r="BE936" s="38"/>
      <c r="BF936" s="38"/>
      <c r="BG936" s="38"/>
      <c r="BH936" s="38"/>
      <c r="BI936" s="38"/>
      <c r="BJ936" s="38"/>
      <c r="BK936" s="38"/>
      <c r="BL936" s="38"/>
      <c r="BM936" s="38"/>
      <c r="BN936" s="38"/>
      <c r="BO936" s="38"/>
      <c r="BP936" s="38"/>
      <c r="BQ936" s="38"/>
      <c r="BR936" s="38"/>
      <c r="BS936" s="38"/>
      <c r="BT936" s="38"/>
      <c r="BU936" s="38"/>
      <c r="BV936" s="38"/>
      <c r="BW936" s="38"/>
      <c r="BX936" s="38"/>
      <c r="BY936" s="38"/>
      <c r="BZ936" s="38"/>
      <c r="CA936" s="38"/>
      <c r="CB936" s="38"/>
      <c r="CC936" s="38"/>
      <c r="CD936" s="38"/>
      <c r="CE936" s="38"/>
      <c r="CF936" s="38"/>
      <c r="CG936" s="38"/>
      <c r="CH936" s="38"/>
      <c r="CI936" s="38"/>
      <c r="CJ936" s="38"/>
      <c r="CK936" s="38"/>
      <c r="CL936" s="38"/>
      <c r="CM936" s="38"/>
      <c r="CN936" s="38"/>
      <c r="CO936" s="38"/>
      <c r="CP936" s="38"/>
      <c r="CQ936" s="38"/>
      <c r="CR936" s="38"/>
      <c r="CS936" s="38"/>
      <c r="CT936" s="38"/>
      <c r="CU936" s="38"/>
      <c r="CV936" s="38"/>
      <c r="CW936" s="38"/>
      <c r="CX936" s="38"/>
      <c r="CY936" s="38"/>
      <c r="CZ936" s="38"/>
    </row>
    <row r="937" spans="1:104" s="40" customFormat="1" ht="20.149999999999999" customHeight="1">
      <c r="A937" s="358">
        <f t="shared" si="213"/>
        <v>936</v>
      </c>
      <c r="B937" s="359" t="str">
        <f>'Front Sheet and Checklist'!$C$5</f>
        <v>Swansea Bay UHB</v>
      </c>
      <c r="C937" s="17"/>
      <c r="D937" s="17"/>
      <c r="E937" s="17"/>
      <c r="F937" s="17"/>
      <c r="G937" s="17"/>
      <c r="H937" s="17"/>
      <c r="I937" s="361">
        <f t="shared" si="203"/>
        <v>0</v>
      </c>
      <c r="J937" s="17"/>
      <c r="K937" s="18"/>
      <c r="L937" s="18"/>
      <c r="M937" s="17"/>
      <c r="N937" s="17"/>
      <c r="O937" s="17"/>
      <c r="P937" s="17"/>
      <c r="Q937" s="169"/>
      <c r="R937" s="24"/>
      <c r="S937" s="24"/>
      <c r="T937" s="24"/>
      <c r="U937" s="25"/>
      <c r="V937" s="25"/>
      <c r="W937" s="25"/>
      <c r="X937" s="24"/>
      <c r="Y937" s="24"/>
      <c r="Z937" s="24"/>
      <c r="AA937" s="24"/>
      <c r="AB937" s="24"/>
      <c r="AC937" s="24"/>
      <c r="AD937" s="361">
        <f t="shared" si="202"/>
        <v>0</v>
      </c>
      <c r="AE937" s="359" t="str">
        <f t="shared" si="205"/>
        <v/>
      </c>
      <c r="AF937" s="359" t="str">
        <f t="shared" si="214"/>
        <v/>
      </c>
      <c r="AG937" s="359" t="str">
        <f t="shared" si="206"/>
        <v/>
      </c>
      <c r="AH937" s="359" t="str">
        <f t="shared" si="207"/>
        <v/>
      </c>
      <c r="AI937" s="359" t="str">
        <f t="shared" si="208"/>
        <v/>
      </c>
      <c r="AJ937" s="359" t="str">
        <f t="shared" si="209"/>
        <v/>
      </c>
      <c r="AK937" s="359" t="str">
        <f t="shared" si="211"/>
        <v/>
      </c>
      <c r="AL937" s="359" t="str">
        <f t="shared" si="210"/>
        <v/>
      </c>
      <c r="AM937" s="359" t="str">
        <f t="shared" si="212"/>
        <v/>
      </c>
      <c r="AN937" s="262">
        <f t="shared" si="215"/>
        <v>0</v>
      </c>
      <c r="AO937" s="262" t="str">
        <f>IFERROR(HLOOKUP(AN937,'Ref Lists'!Q$1:AL$2,2,FALSE),'Ref Lists'!$AK$2)</f>
        <v>Savings21</v>
      </c>
      <c r="AP937" s="38"/>
      <c r="AQ937" s="38">
        <f t="shared" si="204"/>
        <v>0</v>
      </c>
      <c r="AR937" s="38"/>
      <c r="AS937" s="38"/>
      <c r="AT937" s="38"/>
      <c r="AU937" s="38"/>
      <c r="AV937" s="38"/>
      <c r="AW937" s="38"/>
      <c r="AX937" s="38"/>
      <c r="AY937" s="38"/>
      <c r="AZ937" s="38"/>
      <c r="BA937" s="38"/>
      <c r="BB937" s="38"/>
      <c r="BC937" s="38"/>
      <c r="BD937" s="38"/>
      <c r="BE937" s="38"/>
      <c r="BF937" s="38"/>
      <c r="BG937" s="38"/>
      <c r="BH937" s="38"/>
      <c r="BI937" s="38"/>
      <c r="BJ937" s="38"/>
      <c r="BK937" s="38"/>
      <c r="BL937" s="38"/>
      <c r="BM937" s="38"/>
      <c r="BN937" s="38"/>
      <c r="BO937" s="38"/>
      <c r="BP937" s="38"/>
      <c r="BQ937" s="38"/>
      <c r="BR937" s="38"/>
      <c r="BS937" s="38"/>
      <c r="BT937" s="38"/>
      <c r="BU937" s="38"/>
      <c r="BV937" s="38"/>
      <c r="BW937" s="38"/>
      <c r="BX937" s="38"/>
      <c r="BY937" s="38"/>
      <c r="BZ937" s="38"/>
      <c r="CA937" s="38"/>
      <c r="CB937" s="38"/>
      <c r="CC937" s="38"/>
      <c r="CD937" s="38"/>
      <c r="CE937" s="38"/>
      <c r="CF937" s="38"/>
      <c r="CG937" s="38"/>
      <c r="CH937" s="38"/>
      <c r="CI937" s="38"/>
      <c r="CJ937" s="38"/>
      <c r="CK937" s="38"/>
      <c r="CL937" s="38"/>
      <c r="CM937" s="38"/>
      <c r="CN937" s="38"/>
      <c r="CO937" s="38"/>
      <c r="CP937" s="38"/>
      <c r="CQ937" s="38"/>
      <c r="CR937" s="38"/>
      <c r="CS937" s="38"/>
      <c r="CT937" s="38"/>
      <c r="CU937" s="38"/>
      <c r="CV937" s="38"/>
      <c r="CW937" s="38"/>
      <c r="CX937" s="38"/>
      <c r="CY937" s="38"/>
      <c r="CZ937" s="38"/>
    </row>
    <row r="938" spans="1:104" s="40" customFormat="1" ht="20.149999999999999" customHeight="1">
      <c r="A938" s="358">
        <f t="shared" si="213"/>
        <v>937</v>
      </c>
      <c r="B938" s="359" t="str">
        <f>'Front Sheet and Checklist'!$C$5</f>
        <v>Swansea Bay UHB</v>
      </c>
      <c r="C938" s="17"/>
      <c r="D938" s="17"/>
      <c r="E938" s="17"/>
      <c r="F938" s="17"/>
      <c r="G938" s="17"/>
      <c r="H938" s="17"/>
      <c r="I938" s="361">
        <f t="shared" si="203"/>
        <v>0</v>
      </c>
      <c r="J938" s="17"/>
      <c r="K938" s="18"/>
      <c r="L938" s="18"/>
      <c r="M938" s="17"/>
      <c r="N938" s="17"/>
      <c r="O938" s="17"/>
      <c r="P938" s="17"/>
      <c r="Q938" s="169"/>
      <c r="R938" s="24"/>
      <c r="S938" s="24"/>
      <c r="T938" s="24"/>
      <c r="U938" s="25"/>
      <c r="V938" s="25"/>
      <c r="W938" s="25"/>
      <c r="X938" s="24"/>
      <c r="Y938" s="24"/>
      <c r="Z938" s="24"/>
      <c r="AA938" s="24"/>
      <c r="AB938" s="24"/>
      <c r="AC938" s="24"/>
      <c r="AD938" s="361">
        <f t="shared" si="202"/>
        <v>0</v>
      </c>
      <c r="AE938" s="359" t="str">
        <f t="shared" si="205"/>
        <v/>
      </c>
      <c r="AF938" s="359" t="str">
        <f t="shared" si="214"/>
        <v/>
      </c>
      <c r="AG938" s="359" t="str">
        <f t="shared" si="206"/>
        <v/>
      </c>
      <c r="AH938" s="359" t="str">
        <f t="shared" si="207"/>
        <v/>
      </c>
      <c r="AI938" s="359" t="str">
        <f t="shared" si="208"/>
        <v/>
      </c>
      <c r="AJ938" s="359" t="str">
        <f t="shared" si="209"/>
        <v/>
      </c>
      <c r="AK938" s="359" t="str">
        <f t="shared" si="211"/>
        <v/>
      </c>
      <c r="AL938" s="359" t="str">
        <f t="shared" si="210"/>
        <v/>
      </c>
      <c r="AM938" s="359" t="str">
        <f t="shared" si="212"/>
        <v/>
      </c>
      <c r="AN938" s="262">
        <f t="shared" si="215"/>
        <v>0</v>
      </c>
      <c r="AO938" s="262" t="str">
        <f>IFERROR(HLOOKUP(AN938,'Ref Lists'!Q$1:AL$2,2,FALSE),'Ref Lists'!$AK$2)</f>
        <v>Savings21</v>
      </c>
      <c r="AP938" s="38"/>
      <c r="AQ938" s="38">
        <f t="shared" si="204"/>
        <v>0</v>
      </c>
      <c r="AR938" s="38"/>
      <c r="AS938" s="38"/>
      <c r="AT938" s="38"/>
      <c r="AU938" s="38"/>
      <c r="AV938" s="38"/>
      <c r="AW938" s="38"/>
      <c r="AX938" s="38"/>
      <c r="AY938" s="38"/>
      <c r="AZ938" s="38"/>
      <c r="BA938" s="38"/>
      <c r="BB938" s="38"/>
      <c r="BC938" s="38"/>
      <c r="BD938" s="38"/>
      <c r="BE938" s="38"/>
      <c r="BF938" s="38"/>
      <c r="BG938" s="38"/>
      <c r="BH938" s="38"/>
      <c r="BI938" s="38"/>
      <c r="BJ938" s="38"/>
      <c r="BK938" s="38"/>
      <c r="BL938" s="38"/>
      <c r="BM938" s="38"/>
      <c r="BN938" s="38"/>
      <c r="BO938" s="38"/>
      <c r="BP938" s="38"/>
      <c r="BQ938" s="38"/>
      <c r="BR938" s="38"/>
      <c r="BS938" s="38"/>
      <c r="BT938" s="38"/>
      <c r="BU938" s="38"/>
      <c r="BV938" s="38"/>
      <c r="BW938" s="38"/>
      <c r="BX938" s="38"/>
      <c r="BY938" s="38"/>
      <c r="BZ938" s="38"/>
      <c r="CA938" s="38"/>
      <c r="CB938" s="38"/>
      <c r="CC938" s="38"/>
      <c r="CD938" s="38"/>
      <c r="CE938" s="38"/>
      <c r="CF938" s="38"/>
      <c r="CG938" s="38"/>
      <c r="CH938" s="38"/>
      <c r="CI938" s="38"/>
      <c r="CJ938" s="38"/>
      <c r="CK938" s="38"/>
      <c r="CL938" s="38"/>
      <c r="CM938" s="38"/>
      <c r="CN938" s="38"/>
      <c r="CO938" s="38"/>
      <c r="CP938" s="38"/>
      <c r="CQ938" s="38"/>
      <c r="CR938" s="38"/>
      <c r="CS938" s="38"/>
      <c r="CT938" s="38"/>
      <c r="CU938" s="38"/>
      <c r="CV938" s="38"/>
      <c r="CW938" s="38"/>
      <c r="CX938" s="38"/>
      <c r="CY938" s="38"/>
      <c r="CZ938" s="38"/>
    </row>
    <row r="939" spans="1:104" s="40" customFormat="1" ht="20.149999999999999" customHeight="1">
      <c r="A939" s="358">
        <f t="shared" si="213"/>
        <v>938</v>
      </c>
      <c r="B939" s="359" t="str">
        <f>'Front Sheet and Checklist'!$C$5</f>
        <v>Swansea Bay UHB</v>
      </c>
      <c r="C939" s="17"/>
      <c r="D939" s="17"/>
      <c r="E939" s="17"/>
      <c r="F939" s="17"/>
      <c r="G939" s="17"/>
      <c r="H939" s="17"/>
      <c r="I939" s="361">
        <f t="shared" si="203"/>
        <v>0</v>
      </c>
      <c r="J939" s="17"/>
      <c r="K939" s="18"/>
      <c r="L939" s="18"/>
      <c r="M939" s="17"/>
      <c r="N939" s="17"/>
      <c r="O939" s="17"/>
      <c r="P939" s="17"/>
      <c r="Q939" s="169"/>
      <c r="R939" s="24"/>
      <c r="S939" s="24"/>
      <c r="T939" s="24"/>
      <c r="U939" s="25"/>
      <c r="V939" s="25"/>
      <c r="W939" s="25"/>
      <c r="X939" s="24"/>
      <c r="Y939" s="24"/>
      <c r="Z939" s="24"/>
      <c r="AA939" s="24"/>
      <c r="AB939" s="24"/>
      <c r="AC939" s="24"/>
      <c r="AD939" s="361">
        <f t="shared" si="202"/>
        <v>0</v>
      </c>
      <c r="AE939" s="359" t="str">
        <f t="shared" si="205"/>
        <v/>
      </c>
      <c r="AF939" s="359" t="str">
        <f t="shared" si="214"/>
        <v/>
      </c>
      <c r="AG939" s="359" t="str">
        <f t="shared" si="206"/>
        <v/>
      </c>
      <c r="AH939" s="359" t="str">
        <f t="shared" si="207"/>
        <v/>
      </c>
      <c r="AI939" s="359" t="str">
        <f t="shared" si="208"/>
        <v/>
      </c>
      <c r="AJ939" s="359" t="str">
        <f t="shared" si="209"/>
        <v/>
      </c>
      <c r="AK939" s="359" t="str">
        <f t="shared" si="211"/>
        <v/>
      </c>
      <c r="AL939" s="359" t="str">
        <f t="shared" si="210"/>
        <v/>
      </c>
      <c r="AM939" s="359" t="str">
        <f t="shared" si="212"/>
        <v/>
      </c>
      <c r="AN939" s="262">
        <f t="shared" si="215"/>
        <v>0</v>
      </c>
      <c r="AO939" s="262" t="str">
        <f>IFERROR(HLOOKUP(AN939,'Ref Lists'!Q$1:AL$2,2,FALSE),'Ref Lists'!$AK$2)</f>
        <v>Savings21</v>
      </c>
      <c r="AP939" s="38"/>
      <c r="AQ939" s="38">
        <f t="shared" si="204"/>
        <v>0</v>
      </c>
      <c r="AR939" s="38"/>
      <c r="AS939" s="38"/>
      <c r="AT939" s="38"/>
      <c r="AU939" s="38"/>
      <c r="AV939" s="38"/>
      <c r="AW939" s="38"/>
      <c r="AX939" s="38"/>
      <c r="AY939" s="38"/>
      <c r="AZ939" s="38"/>
      <c r="BA939" s="38"/>
      <c r="BB939" s="38"/>
      <c r="BC939" s="38"/>
      <c r="BD939" s="38"/>
      <c r="BE939" s="38"/>
      <c r="BF939" s="38"/>
      <c r="BG939" s="38"/>
      <c r="BH939" s="38"/>
      <c r="BI939" s="38"/>
      <c r="BJ939" s="38"/>
      <c r="BK939" s="38"/>
      <c r="BL939" s="38"/>
      <c r="BM939" s="38"/>
      <c r="BN939" s="38"/>
      <c r="BO939" s="38"/>
      <c r="BP939" s="38"/>
      <c r="BQ939" s="38"/>
      <c r="BR939" s="38"/>
      <c r="BS939" s="38"/>
      <c r="BT939" s="38"/>
      <c r="BU939" s="38"/>
      <c r="BV939" s="38"/>
      <c r="BW939" s="38"/>
      <c r="BX939" s="38"/>
      <c r="BY939" s="38"/>
      <c r="BZ939" s="38"/>
      <c r="CA939" s="38"/>
      <c r="CB939" s="38"/>
      <c r="CC939" s="38"/>
      <c r="CD939" s="38"/>
      <c r="CE939" s="38"/>
      <c r="CF939" s="38"/>
      <c r="CG939" s="38"/>
      <c r="CH939" s="38"/>
      <c r="CI939" s="38"/>
      <c r="CJ939" s="38"/>
      <c r="CK939" s="38"/>
      <c r="CL939" s="38"/>
      <c r="CM939" s="38"/>
      <c r="CN939" s="38"/>
      <c r="CO939" s="38"/>
      <c r="CP939" s="38"/>
      <c r="CQ939" s="38"/>
      <c r="CR939" s="38"/>
      <c r="CS939" s="38"/>
      <c r="CT939" s="38"/>
      <c r="CU939" s="38"/>
      <c r="CV939" s="38"/>
      <c r="CW939" s="38"/>
      <c r="CX939" s="38"/>
      <c r="CY939" s="38"/>
      <c r="CZ939" s="38"/>
    </row>
    <row r="940" spans="1:104" s="40" customFormat="1" ht="20.149999999999999" customHeight="1">
      <c r="A940" s="358">
        <f t="shared" si="213"/>
        <v>939</v>
      </c>
      <c r="B940" s="359" t="str">
        <f>'Front Sheet and Checklist'!$C$5</f>
        <v>Swansea Bay UHB</v>
      </c>
      <c r="C940" s="17"/>
      <c r="D940" s="17"/>
      <c r="E940" s="17"/>
      <c r="F940" s="17"/>
      <c r="G940" s="17"/>
      <c r="H940" s="17"/>
      <c r="I940" s="361">
        <f t="shared" si="203"/>
        <v>0</v>
      </c>
      <c r="J940" s="17"/>
      <c r="K940" s="18"/>
      <c r="L940" s="18"/>
      <c r="M940" s="17"/>
      <c r="N940" s="17"/>
      <c r="O940" s="17"/>
      <c r="P940" s="17"/>
      <c r="Q940" s="169"/>
      <c r="R940" s="24"/>
      <c r="S940" s="24"/>
      <c r="T940" s="24"/>
      <c r="U940" s="25"/>
      <c r="V940" s="25"/>
      <c r="W940" s="25"/>
      <c r="X940" s="24"/>
      <c r="Y940" s="24"/>
      <c r="Z940" s="24"/>
      <c r="AA940" s="24"/>
      <c r="AB940" s="24"/>
      <c r="AC940" s="24"/>
      <c r="AD940" s="361">
        <f t="shared" si="202"/>
        <v>0</v>
      </c>
      <c r="AE940" s="359" t="str">
        <f t="shared" si="205"/>
        <v/>
      </c>
      <c r="AF940" s="359" t="str">
        <f t="shared" si="214"/>
        <v/>
      </c>
      <c r="AG940" s="359" t="str">
        <f t="shared" si="206"/>
        <v/>
      </c>
      <c r="AH940" s="359" t="str">
        <f t="shared" si="207"/>
        <v/>
      </c>
      <c r="AI940" s="359" t="str">
        <f t="shared" si="208"/>
        <v/>
      </c>
      <c r="AJ940" s="359" t="str">
        <f t="shared" si="209"/>
        <v/>
      </c>
      <c r="AK940" s="359" t="str">
        <f t="shared" si="211"/>
        <v/>
      </c>
      <c r="AL940" s="359" t="str">
        <f t="shared" si="210"/>
        <v/>
      </c>
      <c r="AM940" s="359" t="str">
        <f t="shared" si="212"/>
        <v/>
      </c>
      <c r="AN940" s="262">
        <f t="shared" si="215"/>
        <v>0</v>
      </c>
      <c r="AO940" s="262" t="str">
        <f>IFERROR(HLOOKUP(AN940,'Ref Lists'!Q$1:AL$2,2,FALSE),'Ref Lists'!$AK$2)</f>
        <v>Savings21</v>
      </c>
      <c r="AP940" s="38"/>
      <c r="AQ940" s="38">
        <f t="shared" si="204"/>
        <v>0</v>
      </c>
      <c r="AR940" s="38"/>
      <c r="AS940" s="38"/>
      <c r="AT940" s="38"/>
      <c r="AU940" s="38"/>
      <c r="AV940" s="38"/>
      <c r="AW940" s="38"/>
      <c r="AX940" s="38"/>
      <c r="AY940" s="38"/>
      <c r="AZ940" s="38"/>
      <c r="BA940" s="38"/>
      <c r="BB940" s="38"/>
      <c r="BC940" s="38"/>
      <c r="BD940" s="38"/>
      <c r="BE940" s="38"/>
      <c r="BF940" s="38"/>
      <c r="BG940" s="38"/>
      <c r="BH940" s="38"/>
      <c r="BI940" s="38"/>
      <c r="BJ940" s="38"/>
      <c r="BK940" s="38"/>
      <c r="BL940" s="38"/>
      <c r="BM940" s="38"/>
      <c r="BN940" s="38"/>
      <c r="BO940" s="38"/>
      <c r="BP940" s="38"/>
      <c r="BQ940" s="38"/>
      <c r="BR940" s="38"/>
      <c r="BS940" s="38"/>
      <c r="BT940" s="38"/>
      <c r="BU940" s="38"/>
      <c r="BV940" s="38"/>
      <c r="BW940" s="38"/>
      <c r="BX940" s="38"/>
      <c r="BY940" s="38"/>
      <c r="BZ940" s="38"/>
      <c r="CA940" s="38"/>
      <c r="CB940" s="38"/>
      <c r="CC940" s="38"/>
      <c r="CD940" s="38"/>
      <c r="CE940" s="38"/>
      <c r="CF940" s="38"/>
      <c r="CG940" s="38"/>
      <c r="CH940" s="38"/>
      <c r="CI940" s="38"/>
      <c r="CJ940" s="38"/>
      <c r="CK940" s="38"/>
      <c r="CL940" s="38"/>
      <c r="CM940" s="38"/>
      <c r="CN940" s="38"/>
      <c r="CO940" s="38"/>
      <c r="CP940" s="38"/>
      <c r="CQ940" s="38"/>
      <c r="CR940" s="38"/>
      <c r="CS940" s="38"/>
      <c r="CT940" s="38"/>
      <c r="CU940" s="38"/>
      <c r="CV940" s="38"/>
      <c r="CW940" s="38"/>
      <c r="CX940" s="38"/>
      <c r="CY940" s="38"/>
      <c r="CZ940" s="38"/>
    </row>
    <row r="941" spans="1:104" s="40" customFormat="1" ht="20.149999999999999" customHeight="1">
      <c r="A941" s="358">
        <f t="shared" si="213"/>
        <v>940</v>
      </c>
      <c r="B941" s="359" t="str">
        <f>'Front Sheet and Checklist'!$C$5</f>
        <v>Swansea Bay UHB</v>
      </c>
      <c r="C941" s="17"/>
      <c r="D941" s="17"/>
      <c r="E941" s="17"/>
      <c r="F941" s="17"/>
      <c r="G941" s="17"/>
      <c r="H941" s="17"/>
      <c r="I941" s="361">
        <f t="shared" si="203"/>
        <v>0</v>
      </c>
      <c r="J941" s="17"/>
      <c r="K941" s="18"/>
      <c r="L941" s="18"/>
      <c r="M941" s="17"/>
      <c r="N941" s="17"/>
      <c r="O941" s="17"/>
      <c r="P941" s="17"/>
      <c r="Q941" s="169"/>
      <c r="R941" s="24"/>
      <c r="S941" s="24"/>
      <c r="T941" s="24"/>
      <c r="U941" s="25"/>
      <c r="V941" s="25"/>
      <c r="W941" s="25"/>
      <c r="X941" s="24"/>
      <c r="Y941" s="24"/>
      <c r="Z941" s="24"/>
      <c r="AA941" s="24"/>
      <c r="AB941" s="24"/>
      <c r="AC941" s="24"/>
      <c r="AD941" s="361">
        <f t="shared" si="202"/>
        <v>0</v>
      </c>
      <c r="AE941" s="359" t="str">
        <f t="shared" si="205"/>
        <v/>
      </c>
      <c r="AF941" s="359" t="str">
        <f t="shared" si="214"/>
        <v/>
      </c>
      <c r="AG941" s="359" t="str">
        <f t="shared" si="206"/>
        <v/>
      </c>
      <c r="AH941" s="359" t="str">
        <f t="shared" si="207"/>
        <v/>
      </c>
      <c r="AI941" s="359" t="str">
        <f t="shared" si="208"/>
        <v/>
      </c>
      <c r="AJ941" s="359" t="str">
        <f t="shared" si="209"/>
        <v/>
      </c>
      <c r="AK941" s="359" t="str">
        <f t="shared" si="211"/>
        <v/>
      </c>
      <c r="AL941" s="359" t="str">
        <f t="shared" si="210"/>
        <v/>
      </c>
      <c r="AM941" s="359" t="str">
        <f t="shared" si="212"/>
        <v/>
      </c>
      <c r="AN941" s="262">
        <f t="shared" si="215"/>
        <v>0</v>
      </c>
      <c r="AO941" s="262" t="str">
        <f>IFERROR(HLOOKUP(AN941,'Ref Lists'!Q$1:AL$2,2,FALSE),'Ref Lists'!$AK$2)</f>
        <v>Savings21</v>
      </c>
      <c r="AP941" s="38"/>
      <c r="AQ941" s="38">
        <f t="shared" si="204"/>
        <v>0</v>
      </c>
      <c r="AR941" s="38"/>
      <c r="AS941" s="38"/>
      <c r="AT941" s="38"/>
      <c r="AU941" s="38"/>
      <c r="AV941" s="38"/>
      <c r="AW941" s="38"/>
      <c r="AX941" s="38"/>
      <c r="AY941" s="38"/>
      <c r="AZ941" s="38"/>
      <c r="BA941" s="38"/>
      <c r="BB941" s="38"/>
      <c r="BC941" s="38"/>
      <c r="BD941" s="38"/>
      <c r="BE941" s="38"/>
      <c r="BF941" s="38"/>
      <c r="BG941" s="38"/>
      <c r="BH941" s="38"/>
      <c r="BI941" s="38"/>
      <c r="BJ941" s="38"/>
      <c r="BK941" s="38"/>
      <c r="BL941" s="38"/>
      <c r="BM941" s="38"/>
      <c r="BN941" s="38"/>
      <c r="BO941" s="38"/>
      <c r="BP941" s="38"/>
      <c r="BQ941" s="38"/>
      <c r="BR941" s="38"/>
      <c r="BS941" s="38"/>
      <c r="BT941" s="38"/>
      <c r="BU941" s="38"/>
      <c r="BV941" s="38"/>
      <c r="BW941" s="38"/>
      <c r="BX941" s="38"/>
      <c r="BY941" s="38"/>
      <c r="BZ941" s="38"/>
      <c r="CA941" s="38"/>
      <c r="CB941" s="38"/>
      <c r="CC941" s="38"/>
      <c r="CD941" s="38"/>
      <c r="CE941" s="38"/>
      <c r="CF941" s="38"/>
      <c r="CG941" s="38"/>
      <c r="CH941" s="38"/>
      <c r="CI941" s="38"/>
      <c r="CJ941" s="38"/>
      <c r="CK941" s="38"/>
      <c r="CL941" s="38"/>
      <c r="CM941" s="38"/>
      <c r="CN941" s="38"/>
      <c r="CO941" s="38"/>
      <c r="CP941" s="38"/>
      <c r="CQ941" s="38"/>
      <c r="CR941" s="38"/>
      <c r="CS941" s="38"/>
      <c r="CT941" s="38"/>
      <c r="CU941" s="38"/>
      <c r="CV941" s="38"/>
      <c r="CW941" s="38"/>
      <c r="CX941" s="38"/>
      <c r="CY941" s="38"/>
      <c r="CZ941" s="38"/>
    </row>
    <row r="942" spans="1:104" s="40" customFormat="1" ht="20.149999999999999" customHeight="1">
      <c r="A942" s="358">
        <f t="shared" si="213"/>
        <v>941</v>
      </c>
      <c r="B942" s="359" t="str">
        <f>'Front Sheet and Checklist'!$C$5</f>
        <v>Swansea Bay UHB</v>
      </c>
      <c r="C942" s="17"/>
      <c r="D942" s="17"/>
      <c r="E942" s="17"/>
      <c r="F942" s="17"/>
      <c r="G942" s="17"/>
      <c r="H942" s="17"/>
      <c r="I942" s="361">
        <f t="shared" si="203"/>
        <v>0</v>
      </c>
      <c r="J942" s="17"/>
      <c r="K942" s="18"/>
      <c r="L942" s="18"/>
      <c r="M942" s="17"/>
      <c r="N942" s="17"/>
      <c r="O942" s="17"/>
      <c r="P942" s="17"/>
      <c r="Q942" s="169"/>
      <c r="R942" s="24"/>
      <c r="S942" s="24"/>
      <c r="T942" s="24"/>
      <c r="U942" s="25"/>
      <c r="V942" s="25"/>
      <c r="W942" s="25"/>
      <c r="X942" s="24"/>
      <c r="Y942" s="24"/>
      <c r="Z942" s="24"/>
      <c r="AA942" s="24"/>
      <c r="AB942" s="24"/>
      <c r="AC942" s="24"/>
      <c r="AD942" s="361">
        <f t="shared" si="202"/>
        <v>0</v>
      </c>
      <c r="AE942" s="359" t="str">
        <f t="shared" si="205"/>
        <v/>
      </c>
      <c r="AF942" s="359" t="str">
        <f t="shared" si="214"/>
        <v/>
      </c>
      <c r="AG942" s="359" t="str">
        <f t="shared" si="206"/>
        <v/>
      </c>
      <c r="AH942" s="359" t="str">
        <f t="shared" si="207"/>
        <v/>
      </c>
      <c r="AI942" s="359" t="str">
        <f t="shared" si="208"/>
        <v/>
      </c>
      <c r="AJ942" s="359" t="str">
        <f t="shared" si="209"/>
        <v/>
      </c>
      <c r="AK942" s="359" t="str">
        <f t="shared" si="211"/>
        <v/>
      </c>
      <c r="AL942" s="359" t="str">
        <f t="shared" si="210"/>
        <v/>
      </c>
      <c r="AM942" s="359" t="str">
        <f t="shared" si="212"/>
        <v/>
      </c>
      <c r="AN942" s="262">
        <f t="shared" si="215"/>
        <v>0</v>
      </c>
      <c r="AO942" s="262" t="str">
        <f>IFERROR(HLOOKUP(AN942,'Ref Lists'!Q$1:AL$2,2,FALSE),'Ref Lists'!$AK$2)</f>
        <v>Savings21</v>
      </c>
      <c r="AP942" s="38"/>
      <c r="AQ942" s="38">
        <f t="shared" si="204"/>
        <v>0</v>
      </c>
      <c r="AR942" s="38"/>
      <c r="AS942" s="38"/>
      <c r="AT942" s="38"/>
      <c r="AU942" s="38"/>
      <c r="AV942" s="38"/>
      <c r="AW942" s="38"/>
      <c r="AX942" s="38"/>
      <c r="AY942" s="38"/>
      <c r="AZ942" s="38"/>
      <c r="BA942" s="38"/>
      <c r="BB942" s="38"/>
      <c r="BC942" s="38"/>
      <c r="BD942" s="38"/>
      <c r="BE942" s="38"/>
      <c r="BF942" s="38"/>
      <c r="BG942" s="38"/>
      <c r="BH942" s="38"/>
      <c r="BI942" s="38"/>
      <c r="BJ942" s="38"/>
      <c r="BK942" s="38"/>
      <c r="BL942" s="38"/>
      <c r="BM942" s="38"/>
      <c r="BN942" s="38"/>
      <c r="BO942" s="38"/>
      <c r="BP942" s="38"/>
      <c r="BQ942" s="38"/>
      <c r="BR942" s="38"/>
      <c r="BS942" s="38"/>
      <c r="BT942" s="38"/>
      <c r="BU942" s="38"/>
      <c r="BV942" s="38"/>
      <c r="BW942" s="38"/>
      <c r="BX942" s="38"/>
      <c r="BY942" s="38"/>
      <c r="BZ942" s="38"/>
      <c r="CA942" s="38"/>
      <c r="CB942" s="38"/>
      <c r="CC942" s="38"/>
      <c r="CD942" s="38"/>
      <c r="CE942" s="38"/>
      <c r="CF942" s="38"/>
      <c r="CG942" s="38"/>
      <c r="CH942" s="38"/>
      <c r="CI942" s="38"/>
      <c r="CJ942" s="38"/>
      <c r="CK942" s="38"/>
      <c r="CL942" s="38"/>
      <c r="CM942" s="38"/>
      <c r="CN942" s="38"/>
      <c r="CO942" s="38"/>
      <c r="CP942" s="38"/>
      <c r="CQ942" s="38"/>
      <c r="CR942" s="38"/>
      <c r="CS942" s="38"/>
      <c r="CT942" s="38"/>
      <c r="CU942" s="38"/>
      <c r="CV942" s="38"/>
      <c r="CW942" s="38"/>
      <c r="CX942" s="38"/>
      <c r="CY942" s="38"/>
      <c r="CZ942" s="38"/>
    </row>
    <row r="943" spans="1:104" s="40" customFormat="1" ht="20.149999999999999" customHeight="1">
      <c r="A943" s="358">
        <f t="shared" si="213"/>
        <v>942</v>
      </c>
      <c r="B943" s="359" t="str">
        <f>'Front Sheet and Checklist'!$C$5</f>
        <v>Swansea Bay UHB</v>
      </c>
      <c r="C943" s="17"/>
      <c r="D943" s="17"/>
      <c r="E943" s="17"/>
      <c r="F943" s="17"/>
      <c r="G943" s="17"/>
      <c r="H943" s="17"/>
      <c r="I943" s="361">
        <f t="shared" si="203"/>
        <v>0</v>
      </c>
      <c r="J943" s="17"/>
      <c r="K943" s="18"/>
      <c r="L943" s="18"/>
      <c r="M943" s="17"/>
      <c r="N943" s="17"/>
      <c r="O943" s="17"/>
      <c r="P943" s="17"/>
      <c r="Q943" s="169"/>
      <c r="R943" s="24"/>
      <c r="S943" s="24"/>
      <c r="T943" s="24"/>
      <c r="U943" s="25"/>
      <c r="V943" s="25"/>
      <c r="W943" s="25"/>
      <c r="X943" s="24"/>
      <c r="Y943" s="24"/>
      <c r="Z943" s="24"/>
      <c r="AA943" s="24"/>
      <c r="AB943" s="24"/>
      <c r="AC943" s="24"/>
      <c r="AD943" s="361">
        <f t="shared" si="202"/>
        <v>0</v>
      </c>
      <c r="AE943" s="359" t="str">
        <f t="shared" si="205"/>
        <v/>
      </c>
      <c r="AF943" s="359" t="str">
        <f t="shared" si="214"/>
        <v/>
      </c>
      <c r="AG943" s="359" t="str">
        <f t="shared" si="206"/>
        <v/>
      </c>
      <c r="AH943" s="359" t="str">
        <f t="shared" si="207"/>
        <v/>
      </c>
      <c r="AI943" s="359" t="str">
        <f t="shared" si="208"/>
        <v/>
      </c>
      <c r="AJ943" s="359" t="str">
        <f t="shared" si="209"/>
        <v/>
      </c>
      <c r="AK943" s="359" t="str">
        <f t="shared" si="211"/>
        <v/>
      </c>
      <c r="AL943" s="359" t="str">
        <f t="shared" si="210"/>
        <v/>
      </c>
      <c r="AM943" s="359" t="str">
        <f t="shared" si="212"/>
        <v/>
      </c>
      <c r="AN943" s="262">
        <f t="shared" si="215"/>
        <v>0</v>
      </c>
      <c r="AO943" s="262" t="str">
        <f>IFERROR(HLOOKUP(AN943,'Ref Lists'!Q$1:AL$2,2,FALSE),'Ref Lists'!$AK$2)</f>
        <v>Savings21</v>
      </c>
      <c r="AP943" s="38"/>
      <c r="AQ943" s="38">
        <f t="shared" si="204"/>
        <v>0</v>
      </c>
      <c r="AR943" s="38"/>
      <c r="AS943" s="38"/>
      <c r="AT943" s="38"/>
      <c r="AU943" s="38"/>
      <c r="AV943" s="38"/>
      <c r="AW943" s="38"/>
      <c r="AX943" s="38"/>
      <c r="AY943" s="38"/>
      <c r="AZ943" s="38"/>
      <c r="BA943" s="38"/>
      <c r="BB943" s="38"/>
      <c r="BC943" s="38"/>
      <c r="BD943" s="38"/>
      <c r="BE943" s="38"/>
      <c r="BF943" s="38"/>
      <c r="BG943" s="38"/>
      <c r="BH943" s="38"/>
      <c r="BI943" s="38"/>
      <c r="BJ943" s="38"/>
      <c r="BK943" s="38"/>
      <c r="BL943" s="38"/>
      <c r="BM943" s="38"/>
      <c r="BN943" s="38"/>
      <c r="BO943" s="38"/>
      <c r="BP943" s="38"/>
      <c r="BQ943" s="38"/>
      <c r="BR943" s="38"/>
      <c r="BS943" s="38"/>
      <c r="BT943" s="38"/>
      <c r="BU943" s="38"/>
      <c r="BV943" s="38"/>
      <c r="BW943" s="38"/>
      <c r="BX943" s="38"/>
      <c r="BY943" s="38"/>
      <c r="BZ943" s="38"/>
      <c r="CA943" s="38"/>
      <c r="CB943" s="38"/>
      <c r="CC943" s="38"/>
      <c r="CD943" s="38"/>
      <c r="CE943" s="38"/>
      <c r="CF943" s="38"/>
      <c r="CG943" s="38"/>
      <c r="CH943" s="38"/>
      <c r="CI943" s="38"/>
      <c r="CJ943" s="38"/>
      <c r="CK943" s="38"/>
      <c r="CL943" s="38"/>
      <c r="CM943" s="38"/>
      <c r="CN943" s="38"/>
      <c r="CO943" s="38"/>
      <c r="CP943" s="38"/>
      <c r="CQ943" s="38"/>
      <c r="CR943" s="38"/>
      <c r="CS943" s="38"/>
      <c r="CT943" s="38"/>
      <c r="CU943" s="38"/>
      <c r="CV943" s="38"/>
      <c r="CW943" s="38"/>
      <c r="CX943" s="38"/>
      <c r="CY943" s="38"/>
      <c r="CZ943" s="38"/>
    </row>
    <row r="944" spans="1:104" s="40" customFormat="1" ht="20.149999999999999" customHeight="1">
      <c r="A944" s="358">
        <f t="shared" si="213"/>
        <v>943</v>
      </c>
      <c r="B944" s="359" t="str">
        <f>'Front Sheet and Checklist'!$C$5</f>
        <v>Swansea Bay UHB</v>
      </c>
      <c r="C944" s="17"/>
      <c r="D944" s="17"/>
      <c r="E944" s="17"/>
      <c r="F944" s="17"/>
      <c r="G944" s="17"/>
      <c r="H944" s="17"/>
      <c r="I944" s="361">
        <f t="shared" si="203"/>
        <v>0</v>
      </c>
      <c r="J944" s="17"/>
      <c r="K944" s="18"/>
      <c r="L944" s="18"/>
      <c r="M944" s="17"/>
      <c r="N944" s="17"/>
      <c r="O944" s="17"/>
      <c r="P944" s="17"/>
      <c r="Q944" s="169"/>
      <c r="R944" s="24"/>
      <c r="S944" s="24"/>
      <c r="T944" s="24"/>
      <c r="U944" s="25"/>
      <c r="V944" s="25"/>
      <c r="W944" s="25"/>
      <c r="X944" s="24"/>
      <c r="Y944" s="24"/>
      <c r="Z944" s="24"/>
      <c r="AA944" s="24"/>
      <c r="AB944" s="24"/>
      <c r="AC944" s="24"/>
      <c r="AD944" s="361">
        <f t="shared" si="202"/>
        <v>0</v>
      </c>
      <c r="AE944" s="359" t="str">
        <f t="shared" si="205"/>
        <v/>
      </c>
      <c r="AF944" s="359" t="str">
        <f t="shared" si="214"/>
        <v/>
      </c>
      <c r="AG944" s="359" t="str">
        <f t="shared" si="206"/>
        <v/>
      </c>
      <c r="AH944" s="359" t="str">
        <f t="shared" si="207"/>
        <v/>
      </c>
      <c r="AI944" s="359" t="str">
        <f t="shared" si="208"/>
        <v/>
      </c>
      <c r="AJ944" s="359" t="str">
        <f t="shared" si="209"/>
        <v/>
      </c>
      <c r="AK944" s="359" t="str">
        <f t="shared" si="211"/>
        <v/>
      </c>
      <c r="AL944" s="359" t="str">
        <f t="shared" si="210"/>
        <v/>
      </c>
      <c r="AM944" s="359" t="str">
        <f t="shared" si="212"/>
        <v/>
      </c>
      <c r="AN944" s="262">
        <f t="shared" si="215"/>
        <v>0</v>
      </c>
      <c r="AO944" s="262" t="str">
        <f>IFERROR(HLOOKUP(AN944,'Ref Lists'!Q$1:AL$2,2,FALSE),'Ref Lists'!$AK$2)</f>
        <v>Savings21</v>
      </c>
      <c r="AP944" s="38"/>
      <c r="AQ944" s="38">
        <f t="shared" si="204"/>
        <v>0</v>
      </c>
      <c r="AR944" s="38"/>
      <c r="AS944" s="38"/>
      <c r="AT944" s="38"/>
      <c r="AU944" s="38"/>
      <c r="AV944" s="38"/>
      <c r="AW944" s="38"/>
      <c r="AX944" s="38"/>
      <c r="AY944" s="38"/>
      <c r="AZ944" s="38"/>
      <c r="BA944" s="38"/>
      <c r="BB944" s="38"/>
      <c r="BC944" s="38"/>
      <c r="BD944" s="38"/>
      <c r="BE944" s="38"/>
      <c r="BF944" s="38"/>
      <c r="BG944" s="38"/>
      <c r="BH944" s="38"/>
      <c r="BI944" s="38"/>
      <c r="BJ944" s="38"/>
      <c r="BK944" s="38"/>
      <c r="BL944" s="38"/>
      <c r="BM944" s="38"/>
      <c r="BN944" s="38"/>
      <c r="BO944" s="38"/>
      <c r="BP944" s="38"/>
      <c r="BQ944" s="38"/>
      <c r="BR944" s="38"/>
      <c r="BS944" s="38"/>
      <c r="BT944" s="38"/>
      <c r="BU944" s="38"/>
      <c r="BV944" s="38"/>
      <c r="BW944" s="38"/>
      <c r="BX944" s="38"/>
      <c r="BY944" s="38"/>
      <c r="BZ944" s="38"/>
      <c r="CA944" s="38"/>
      <c r="CB944" s="38"/>
      <c r="CC944" s="38"/>
      <c r="CD944" s="38"/>
      <c r="CE944" s="38"/>
      <c r="CF944" s="38"/>
      <c r="CG944" s="38"/>
      <c r="CH944" s="38"/>
      <c r="CI944" s="38"/>
      <c r="CJ944" s="38"/>
      <c r="CK944" s="38"/>
      <c r="CL944" s="38"/>
      <c r="CM944" s="38"/>
      <c r="CN944" s="38"/>
      <c r="CO944" s="38"/>
      <c r="CP944" s="38"/>
      <c r="CQ944" s="38"/>
      <c r="CR944" s="38"/>
      <c r="CS944" s="38"/>
      <c r="CT944" s="38"/>
      <c r="CU944" s="38"/>
      <c r="CV944" s="38"/>
      <c r="CW944" s="38"/>
      <c r="CX944" s="38"/>
      <c r="CY944" s="38"/>
      <c r="CZ944" s="38"/>
    </row>
    <row r="945" spans="1:104" s="40" customFormat="1" ht="20.149999999999999" customHeight="1">
      <c r="A945" s="358">
        <f t="shared" si="213"/>
        <v>944</v>
      </c>
      <c r="B945" s="359" t="str">
        <f>'Front Sheet and Checklist'!$C$5</f>
        <v>Swansea Bay UHB</v>
      </c>
      <c r="C945" s="17"/>
      <c r="D945" s="17"/>
      <c r="E945" s="17"/>
      <c r="F945" s="17"/>
      <c r="G945" s="17"/>
      <c r="H945" s="17"/>
      <c r="I945" s="361">
        <f t="shared" si="203"/>
        <v>0</v>
      </c>
      <c r="J945" s="17"/>
      <c r="K945" s="18"/>
      <c r="L945" s="18"/>
      <c r="M945" s="17"/>
      <c r="N945" s="17"/>
      <c r="O945" s="17"/>
      <c r="P945" s="17"/>
      <c r="Q945" s="169"/>
      <c r="R945" s="24"/>
      <c r="S945" s="24"/>
      <c r="T945" s="24"/>
      <c r="U945" s="25"/>
      <c r="V945" s="25"/>
      <c r="W945" s="25"/>
      <c r="X945" s="24"/>
      <c r="Y945" s="24"/>
      <c r="Z945" s="24"/>
      <c r="AA945" s="24"/>
      <c r="AB945" s="24"/>
      <c r="AC945" s="24"/>
      <c r="AD945" s="361">
        <f t="shared" si="202"/>
        <v>0</v>
      </c>
      <c r="AE945" s="359" t="str">
        <f t="shared" si="205"/>
        <v/>
      </c>
      <c r="AF945" s="359" t="str">
        <f t="shared" si="214"/>
        <v/>
      </c>
      <c r="AG945" s="359" t="str">
        <f t="shared" si="206"/>
        <v/>
      </c>
      <c r="AH945" s="359" t="str">
        <f t="shared" si="207"/>
        <v/>
      </c>
      <c r="AI945" s="359" t="str">
        <f t="shared" si="208"/>
        <v/>
      </c>
      <c r="AJ945" s="359" t="str">
        <f t="shared" si="209"/>
        <v/>
      </c>
      <c r="AK945" s="359" t="str">
        <f t="shared" si="211"/>
        <v/>
      </c>
      <c r="AL945" s="359" t="str">
        <f t="shared" si="210"/>
        <v/>
      </c>
      <c r="AM945" s="359" t="str">
        <f t="shared" si="212"/>
        <v/>
      </c>
      <c r="AN945" s="262">
        <f t="shared" si="215"/>
        <v>0</v>
      </c>
      <c r="AO945" s="262" t="str">
        <f>IFERROR(HLOOKUP(AN945,'Ref Lists'!Q$1:AL$2,2,FALSE),'Ref Lists'!$AK$2)</f>
        <v>Savings21</v>
      </c>
      <c r="AP945" s="38"/>
      <c r="AQ945" s="38">
        <f t="shared" si="204"/>
        <v>0</v>
      </c>
      <c r="AR945" s="38"/>
      <c r="AS945" s="38"/>
      <c r="AT945" s="38"/>
      <c r="AU945" s="38"/>
      <c r="AV945" s="38"/>
      <c r="AW945" s="38"/>
      <c r="AX945" s="38"/>
      <c r="AY945" s="38"/>
      <c r="AZ945" s="38"/>
      <c r="BA945" s="38"/>
      <c r="BB945" s="38"/>
      <c r="BC945" s="38"/>
      <c r="BD945" s="38"/>
      <c r="BE945" s="38"/>
      <c r="BF945" s="38"/>
      <c r="BG945" s="38"/>
      <c r="BH945" s="38"/>
      <c r="BI945" s="38"/>
      <c r="BJ945" s="38"/>
      <c r="BK945" s="38"/>
      <c r="BL945" s="38"/>
      <c r="BM945" s="38"/>
      <c r="BN945" s="38"/>
      <c r="BO945" s="38"/>
      <c r="BP945" s="38"/>
      <c r="BQ945" s="38"/>
      <c r="BR945" s="38"/>
      <c r="BS945" s="38"/>
      <c r="BT945" s="38"/>
      <c r="BU945" s="38"/>
      <c r="BV945" s="38"/>
      <c r="BW945" s="38"/>
      <c r="BX945" s="38"/>
      <c r="BY945" s="38"/>
      <c r="BZ945" s="38"/>
      <c r="CA945" s="38"/>
      <c r="CB945" s="38"/>
      <c r="CC945" s="38"/>
      <c r="CD945" s="38"/>
      <c r="CE945" s="38"/>
      <c r="CF945" s="38"/>
      <c r="CG945" s="38"/>
      <c r="CH945" s="38"/>
      <c r="CI945" s="38"/>
      <c r="CJ945" s="38"/>
      <c r="CK945" s="38"/>
      <c r="CL945" s="38"/>
      <c r="CM945" s="38"/>
      <c r="CN945" s="38"/>
      <c r="CO945" s="38"/>
      <c r="CP945" s="38"/>
      <c r="CQ945" s="38"/>
      <c r="CR945" s="38"/>
      <c r="CS945" s="38"/>
      <c r="CT945" s="38"/>
      <c r="CU945" s="38"/>
      <c r="CV945" s="38"/>
      <c r="CW945" s="38"/>
      <c r="CX945" s="38"/>
      <c r="CY945" s="38"/>
      <c r="CZ945" s="38"/>
    </row>
    <row r="946" spans="1:104" s="40" customFormat="1" ht="20.149999999999999" customHeight="1">
      <c r="A946" s="358">
        <f t="shared" si="213"/>
        <v>945</v>
      </c>
      <c r="B946" s="359" t="str">
        <f>'Front Sheet and Checklist'!$C$5</f>
        <v>Swansea Bay UHB</v>
      </c>
      <c r="C946" s="17"/>
      <c r="D946" s="17"/>
      <c r="E946" s="17"/>
      <c r="F946" s="17"/>
      <c r="G946" s="17"/>
      <c r="H946" s="17"/>
      <c r="I946" s="361">
        <f t="shared" si="203"/>
        <v>0</v>
      </c>
      <c r="J946" s="17"/>
      <c r="K946" s="18"/>
      <c r="L946" s="18"/>
      <c r="M946" s="17"/>
      <c r="N946" s="17"/>
      <c r="O946" s="17"/>
      <c r="P946" s="17"/>
      <c r="Q946" s="169"/>
      <c r="R946" s="24"/>
      <c r="S946" s="24"/>
      <c r="T946" s="24"/>
      <c r="U946" s="25"/>
      <c r="V946" s="25"/>
      <c r="W946" s="25"/>
      <c r="X946" s="24"/>
      <c r="Y946" s="24"/>
      <c r="Z946" s="24"/>
      <c r="AA946" s="24"/>
      <c r="AB946" s="24"/>
      <c r="AC946" s="24"/>
      <c r="AD946" s="361">
        <f t="shared" si="202"/>
        <v>0</v>
      </c>
      <c r="AE946" s="359" t="str">
        <f t="shared" si="205"/>
        <v/>
      </c>
      <c r="AF946" s="359" t="str">
        <f t="shared" si="214"/>
        <v/>
      </c>
      <c r="AG946" s="359" t="str">
        <f t="shared" si="206"/>
        <v/>
      </c>
      <c r="AH946" s="359" t="str">
        <f t="shared" si="207"/>
        <v/>
      </c>
      <c r="AI946" s="359" t="str">
        <f t="shared" si="208"/>
        <v/>
      </c>
      <c r="AJ946" s="359" t="str">
        <f t="shared" si="209"/>
        <v/>
      </c>
      <c r="AK946" s="359" t="str">
        <f t="shared" si="211"/>
        <v/>
      </c>
      <c r="AL946" s="359" t="str">
        <f t="shared" si="210"/>
        <v/>
      </c>
      <c r="AM946" s="359" t="str">
        <f t="shared" si="212"/>
        <v/>
      </c>
      <c r="AN946" s="262">
        <f t="shared" si="215"/>
        <v>0</v>
      </c>
      <c r="AO946" s="262" t="str">
        <f>IFERROR(HLOOKUP(AN946,'Ref Lists'!Q$1:AL$2,2,FALSE),'Ref Lists'!$AK$2)</f>
        <v>Savings21</v>
      </c>
      <c r="AP946" s="38"/>
      <c r="AQ946" s="38">
        <f t="shared" si="204"/>
        <v>0</v>
      </c>
      <c r="AR946" s="38"/>
      <c r="AS946" s="38"/>
      <c r="AT946" s="38"/>
      <c r="AU946" s="38"/>
      <c r="AV946" s="38"/>
      <c r="AW946" s="38"/>
      <c r="AX946" s="38"/>
      <c r="AY946" s="38"/>
      <c r="AZ946" s="38"/>
      <c r="BA946" s="38"/>
      <c r="BB946" s="38"/>
      <c r="BC946" s="38"/>
      <c r="BD946" s="38"/>
      <c r="BE946" s="38"/>
      <c r="BF946" s="38"/>
      <c r="BG946" s="38"/>
      <c r="BH946" s="38"/>
      <c r="BI946" s="38"/>
      <c r="BJ946" s="38"/>
      <c r="BK946" s="38"/>
      <c r="BL946" s="38"/>
      <c r="BM946" s="38"/>
      <c r="BN946" s="38"/>
      <c r="BO946" s="38"/>
      <c r="BP946" s="38"/>
      <c r="BQ946" s="38"/>
      <c r="BR946" s="38"/>
      <c r="BS946" s="38"/>
      <c r="BT946" s="38"/>
      <c r="BU946" s="38"/>
      <c r="BV946" s="38"/>
      <c r="BW946" s="38"/>
      <c r="BX946" s="38"/>
      <c r="BY946" s="38"/>
      <c r="BZ946" s="38"/>
      <c r="CA946" s="38"/>
      <c r="CB946" s="38"/>
      <c r="CC946" s="38"/>
      <c r="CD946" s="38"/>
      <c r="CE946" s="38"/>
      <c r="CF946" s="38"/>
      <c r="CG946" s="38"/>
      <c r="CH946" s="38"/>
      <c r="CI946" s="38"/>
      <c r="CJ946" s="38"/>
      <c r="CK946" s="38"/>
      <c r="CL946" s="38"/>
      <c r="CM946" s="38"/>
      <c r="CN946" s="38"/>
      <c r="CO946" s="38"/>
      <c r="CP946" s="38"/>
      <c r="CQ946" s="38"/>
      <c r="CR946" s="38"/>
      <c r="CS946" s="38"/>
      <c r="CT946" s="38"/>
      <c r="CU946" s="38"/>
      <c r="CV946" s="38"/>
      <c r="CW946" s="38"/>
      <c r="CX946" s="38"/>
      <c r="CY946" s="38"/>
      <c r="CZ946" s="38"/>
    </row>
    <row r="947" spans="1:104" s="40" customFormat="1" ht="20.149999999999999" customHeight="1">
      <c r="A947" s="358">
        <f t="shared" si="213"/>
        <v>946</v>
      </c>
      <c r="B947" s="359" t="str">
        <f>'Front Sheet and Checklist'!$C$5</f>
        <v>Swansea Bay UHB</v>
      </c>
      <c r="C947" s="17"/>
      <c r="D947" s="17"/>
      <c r="E947" s="17"/>
      <c r="F947" s="17"/>
      <c r="G947" s="17"/>
      <c r="H947" s="17"/>
      <c r="I947" s="361">
        <f t="shared" si="203"/>
        <v>0</v>
      </c>
      <c r="J947" s="17"/>
      <c r="K947" s="18"/>
      <c r="L947" s="18"/>
      <c r="M947" s="17"/>
      <c r="N947" s="17"/>
      <c r="O947" s="17"/>
      <c r="P947" s="17"/>
      <c r="Q947" s="169"/>
      <c r="R947" s="24"/>
      <c r="S947" s="24"/>
      <c r="T947" s="24"/>
      <c r="U947" s="25"/>
      <c r="V947" s="25"/>
      <c r="W947" s="25"/>
      <c r="X947" s="24"/>
      <c r="Y947" s="24"/>
      <c r="Z947" s="24"/>
      <c r="AA947" s="24"/>
      <c r="AB947" s="24"/>
      <c r="AC947" s="24"/>
      <c r="AD947" s="361">
        <f t="shared" si="202"/>
        <v>0</v>
      </c>
      <c r="AE947" s="359" t="str">
        <f t="shared" si="205"/>
        <v/>
      </c>
      <c r="AF947" s="359" t="str">
        <f t="shared" si="214"/>
        <v/>
      </c>
      <c r="AG947" s="359" t="str">
        <f t="shared" si="206"/>
        <v/>
      </c>
      <c r="AH947" s="359" t="str">
        <f t="shared" si="207"/>
        <v/>
      </c>
      <c r="AI947" s="359" t="str">
        <f t="shared" si="208"/>
        <v/>
      </c>
      <c r="AJ947" s="359" t="str">
        <f t="shared" si="209"/>
        <v/>
      </c>
      <c r="AK947" s="359" t="str">
        <f t="shared" si="211"/>
        <v/>
      </c>
      <c r="AL947" s="359" t="str">
        <f t="shared" si="210"/>
        <v/>
      </c>
      <c r="AM947" s="359" t="str">
        <f t="shared" si="212"/>
        <v/>
      </c>
      <c r="AN947" s="262">
        <f t="shared" si="215"/>
        <v>0</v>
      </c>
      <c r="AO947" s="262" t="str">
        <f>IFERROR(HLOOKUP(AN947,'Ref Lists'!Q$1:AL$2,2,FALSE),'Ref Lists'!$AK$2)</f>
        <v>Savings21</v>
      </c>
      <c r="AP947" s="38"/>
      <c r="AQ947" s="38">
        <f t="shared" si="204"/>
        <v>0</v>
      </c>
      <c r="AR947" s="38"/>
      <c r="AS947" s="38"/>
      <c r="AT947" s="38"/>
      <c r="AU947" s="38"/>
      <c r="AV947" s="38"/>
      <c r="AW947" s="38"/>
      <c r="AX947" s="38"/>
      <c r="AY947" s="38"/>
      <c r="AZ947" s="38"/>
      <c r="BA947" s="38"/>
      <c r="BB947" s="38"/>
      <c r="BC947" s="38"/>
      <c r="BD947" s="38"/>
      <c r="BE947" s="38"/>
      <c r="BF947" s="38"/>
      <c r="BG947" s="38"/>
      <c r="BH947" s="38"/>
      <c r="BI947" s="38"/>
      <c r="BJ947" s="38"/>
      <c r="BK947" s="38"/>
      <c r="BL947" s="38"/>
      <c r="BM947" s="38"/>
      <c r="BN947" s="38"/>
      <c r="BO947" s="38"/>
      <c r="BP947" s="38"/>
      <c r="BQ947" s="38"/>
      <c r="BR947" s="38"/>
      <c r="BS947" s="38"/>
      <c r="BT947" s="38"/>
      <c r="BU947" s="38"/>
      <c r="BV947" s="38"/>
      <c r="BW947" s="38"/>
      <c r="BX947" s="38"/>
      <c r="BY947" s="38"/>
      <c r="BZ947" s="38"/>
      <c r="CA947" s="38"/>
      <c r="CB947" s="38"/>
      <c r="CC947" s="38"/>
      <c r="CD947" s="38"/>
      <c r="CE947" s="38"/>
      <c r="CF947" s="38"/>
      <c r="CG947" s="38"/>
      <c r="CH947" s="38"/>
      <c r="CI947" s="38"/>
      <c r="CJ947" s="38"/>
      <c r="CK947" s="38"/>
      <c r="CL947" s="38"/>
      <c r="CM947" s="38"/>
      <c r="CN947" s="38"/>
      <c r="CO947" s="38"/>
      <c r="CP947" s="38"/>
      <c r="CQ947" s="38"/>
      <c r="CR947" s="38"/>
      <c r="CS947" s="38"/>
      <c r="CT947" s="38"/>
      <c r="CU947" s="38"/>
      <c r="CV947" s="38"/>
      <c r="CW947" s="38"/>
      <c r="CX947" s="38"/>
      <c r="CY947" s="38"/>
      <c r="CZ947" s="38"/>
    </row>
    <row r="948" spans="1:104" s="40" customFormat="1" ht="20.149999999999999" customHeight="1">
      <c r="A948" s="358">
        <f t="shared" si="213"/>
        <v>947</v>
      </c>
      <c r="B948" s="359" t="str">
        <f>'Front Sheet and Checklist'!$C$5</f>
        <v>Swansea Bay UHB</v>
      </c>
      <c r="C948" s="17"/>
      <c r="D948" s="17"/>
      <c r="E948" s="17"/>
      <c r="F948" s="17"/>
      <c r="G948" s="17"/>
      <c r="H948" s="17"/>
      <c r="I948" s="361">
        <f t="shared" si="203"/>
        <v>0</v>
      </c>
      <c r="J948" s="17"/>
      <c r="K948" s="18"/>
      <c r="L948" s="18"/>
      <c r="M948" s="17"/>
      <c r="N948" s="17"/>
      <c r="O948" s="17"/>
      <c r="P948" s="17"/>
      <c r="Q948" s="169"/>
      <c r="R948" s="24"/>
      <c r="S948" s="24"/>
      <c r="T948" s="24"/>
      <c r="U948" s="25"/>
      <c r="V948" s="25"/>
      <c r="W948" s="25"/>
      <c r="X948" s="24"/>
      <c r="Y948" s="24"/>
      <c r="Z948" s="24"/>
      <c r="AA948" s="24"/>
      <c r="AB948" s="24"/>
      <c r="AC948" s="24"/>
      <c r="AD948" s="361">
        <f t="shared" si="202"/>
        <v>0</v>
      </c>
      <c r="AE948" s="359" t="str">
        <f t="shared" si="205"/>
        <v/>
      </c>
      <c r="AF948" s="359" t="str">
        <f t="shared" si="214"/>
        <v/>
      </c>
      <c r="AG948" s="359" t="str">
        <f t="shared" si="206"/>
        <v/>
      </c>
      <c r="AH948" s="359" t="str">
        <f t="shared" si="207"/>
        <v/>
      </c>
      <c r="AI948" s="359" t="str">
        <f t="shared" si="208"/>
        <v/>
      </c>
      <c r="AJ948" s="359" t="str">
        <f t="shared" si="209"/>
        <v/>
      </c>
      <c r="AK948" s="359" t="str">
        <f t="shared" si="211"/>
        <v/>
      </c>
      <c r="AL948" s="359" t="str">
        <f t="shared" si="210"/>
        <v/>
      </c>
      <c r="AM948" s="359" t="str">
        <f t="shared" si="212"/>
        <v/>
      </c>
      <c r="AN948" s="262">
        <f t="shared" si="215"/>
        <v>0</v>
      </c>
      <c r="AO948" s="262" t="str">
        <f>IFERROR(HLOOKUP(AN948,'Ref Lists'!Q$1:AL$2,2,FALSE),'Ref Lists'!$AK$2)</f>
        <v>Savings21</v>
      </c>
      <c r="AP948" s="38"/>
      <c r="AQ948" s="38">
        <f t="shared" si="204"/>
        <v>0</v>
      </c>
      <c r="AR948" s="38"/>
      <c r="AS948" s="38"/>
      <c r="AT948" s="38"/>
      <c r="AU948" s="38"/>
      <c r="AV948" s="38"/>
      <c r="AW948" s="38"/>
      <c r="AX948" s="38"/>
      <c r="AY948" s="38"/>
      <c r="AZ948" s="38"/>
      <c r="BA948" s="38"/>
      <c r="BB948" s="38"/>
      <c r="BC948" s="38"/>
      <c r="BD948" s="38"/>
      <c r="BE948" s="38"/>
      <c r="BF948" s="38"/>
      <c r="BG948" s="38"/>
      <c r="BH948" s="38"/>
      <c r="BI948" s="38"/>
      <c r="BJ948" s="38"/>
      <c r="BK948" s="38"/>
      <c r="BL948" s="38"/>
      <c r="BM948" s="38"/>
      <c r="BN948" s="38"/>
      <c r="BO948" s="38"/>
      <c r="BP948" s="38"/>
      <c r="BQ948" s="38"/>
      <c r="BR948" s="38"/>
      <c r="BS948" s="38"/>
      <c r="BT948" s="38"/>
      <c r="BU948" s="38"/>
      <c r="BV948" s="38"/>
      <c r="BW948" s="38"/>
      <c r="BX948" s="38"/>
      <c r="BY948" s="38"/>
      <c r="BZ948" s="38"/>
      <c r="CA948" s="38"/>
      <c r="CB948" s="38"/>
      <c r="CC948" s="38"/>
      <c r="CD948" s="38"/>
      <c r="CE948" s="38"/>
      <c r="CF948" s="38"/>
      <c r="CG948" s="38"/>
      <c r="CH948" s="38"/>
      <c r="CI948" s="38"/>
      <c r="CJ948" s="38"/>
      <c r="CK948" s="38"/>
      <c r="CL948" s="38"/>
      <c r="CM948" s="38"/>
      <c r="CN948" s="38"/>
      <c r="CO948" s="38"/>
      <c r="CP948" s="38"/>
      <c r="CQ948" s="38"/>
      <c r="CR948" s="38"/>
      <c r="CS948" s="38"/>
      <c r="CT948" s="38"/>
      <c r="CU948" s="38"/>
      <c r="CV948" s="38"/>
      <c r="CW948" s="38"/>
      <c r="CX948" s="38"/>
      <c r="CY948" s="38"/>
      <c r="CZ948" s="38"/>
    </row>
    <row r="949" spans="1:104" s="40" customFormat="1" ht="20.149999999999999" customHeight="1">
      <c r="A949" s="358">
        <f t="shared" si="213"/>
        <v>948</v>
      </c>
      <c r="B949" s="359" t="str">
        <f>'Front Sheet and Checklist'!$C$5</f>
        <v>Swansea Bay UHB</v>
      </c>
      <c r="C949" s="17"/>
      <c r="D949" s="17"/>
      <c r="E949" s="17"/>
      <c r="F949" s="17"/>
      <c r="G949" s="17"/>
      <c r="H949" s="17"/>
      <c r="I949" s="361">
        <f t="shared" si="203"/>
        <v>0</v>
      </c>
      <c r="J949" s="17"/>
      <c r="K949" s="18"/>
      <c r="L949" s="18"/>
      <c r="M949" s="17"/>
      <c r="N949" s="17"/>
      <c r="O949" s="17"/>
      <c r="P949" s="17"/>
      <c r="Q949" s="169"/>
      <c r="R949" s="24"/>
      <c r="S949" s="24"/>
      <c r="T949" s="24"/>
      <c r="U949" s="25"/>
      <c r="V949" s="25"/>
      <c r="W949" s="25"/>
      <c r="X949" s="24"/>
      <c r="Y949" s="24"/>
      <c r="Z949" s="24"/>
      <c r="AA949" s="24"/>
      <c r="AB949" s="24"/>
      <c r="AC949" s="24"/>
      <c r="AD949" s="361">
        <f t="shared" si="202"/>
        <v>0</v>
      </c>
      <c r="AE949" s="359" t="str">
        <f t="shared" si="205"/>
        <v/>
      </c>
      <c r="AF949" s="359" t="str">
        <f t="shared" si="214"/>
        <v/>
      </c>
      <c r="AG949" s="359" t="str">
        <f t="shared" si="206"/>
        <v/>
      </c>
      <c r="AH949" s="359" t="str">
        <f t="shared" si="207"/>
        <v/>
      </c>
      <c r="AI949" s="359" t="str">
        <f t="shared" si="208"/>
        <v/>
      </c>
      <c r="AJ949" s="359" t="str">
        <f t="shared" si="209"/>
        <v/>
      </c>
      <c r="AK949" s="359" t="str">
        <f t="shared" si="211"/>
        <v/>
      </c>
      <c r="AL949" s="359" t="str">
        <f t="shared" si="210"/>
        <v/>
      </c>
      <c r="AM949" s="359" t="str">
        <f t="shared" si="212"/>
        <v/>
      </c>
      <c r="AN949" s="262">
        <f t="shared" si="215"/>
        <v>0</v>
      </c>
      <c r="AO949" s="262" t="str">
        <f>IFERROR(HLOOKUP(AN949,'Ref Lists'!Q$1:AL$2,2,FALSE),'Ref Lists'!$AK$2)</f>
        <v>Savings21</v>
      </c>
      <c r="AP949" s="38"/>
      <c r="AQ949" s="38">
        <f t="shared" si="204"/>
        <v>0</v>
      </c>
      <c r="AR949" s="38"/>
      <c r="AS949" s="38"/>
      <c r="AT949" s="38"/>
      <c r="AU949" s="38"/>
      <c r="AV949" s="38"/>
      <c r="AW949" s="38"/>
      <c r="AX949" s="38"/>
      <c r="AY949" s="38"/>
      <c r="AZ949" s="38"/>
      <c r="BA949" s="38"/>
      <c r="BB949" s="38"/>
      <c r="BC949" s="38"/>
      <c r="BD949" s="38"/>
      <c r="BE949" s="38"/>
      <c r="BF949" s="38"/>
      <c r="BG949" s="38"/>
      <c r="BH949" s="38"/>
      <c r="BI949" s="38"/>
      <c r="BJ949" s="38"/>
      <c r="BK949" s="38"/>
      <c r="BL949" s="38"/>
      <c r="BM949" s="38"/>
      <c r="BN949" s="38"/>
      <c r="BO949" s="38"/>
      <c r="BP949" s="38"/>
      <c r="BQ949" s="38"/>
      <c r="BR949" s="38"/>
      <c r="BS949" s="38"/>
      <c r="BT949" s="38"/>
      <c r="BU949" s="38"/>
      <c r="BV949" s="38"/>
      <c r="BW949" s="38"/>
      <c r="BX949" s="38"/>
      <c r="BY949" s="38"/>
      <c r="BZ949" s="38"/>
      <c r="CA949" s="38"/>
      <c r="CB949" s="38"/>
      <c r="CC949" s="38"/>
      <c r="CD949" s="38"/>
      <c r="CE949" s="38"/>
      <c r="CF949" s="38"/>
      <c r="CG949" s="38"/>
      <c r="CH949" s="38"/>
      <c r="CI949" s="38"/>
      <c r="CJ949" s="38"/>
      <c r="CK949" s="38"/>
      <c r="CL949" s="38"/>
      <c r="CM949" s="38"/>
      <c r="CN949" s="38"/>
      <c r="CO949" s="38"/>
      <c r="CP949" s="38"/>
      <c r="CQ949" s="38"/>
      <c r="CR949" s="38"/>
      <c r="CS949" s="38"/>
      <c r="CT949" s="38"/>
      <c r="CU949" s="38"/>
      <c r="CV949" s="38"/>
      <c r="CW949" s="38"/>
      <c r="CX949" s="38"/>
      <c r="CY949" s="38"/>
      <c r="CZ949" s="38"/>
    </row>
    <row r="950" spans="1:104" s="40" customFormat="1" ht="20.149999999999999" customHeight="1">
      <c r="A950" s="358">
        <f t="shared" si="213"/>
        <v>949</v>
      </c>
      <c r="B950" s="359" t="str">
        <f>'Front Sheet and Checklist'!$C$5</f>
        <v>Swansea Bay UHB</v>
      </c>
      <c r="C950" s="17"/>
      <c r="D950" s="17"/>
      <c r="E950" s="17"/>
      <c r="F950" s="17"/>
      <c r="G950" s="17"/>
      <c r="H950" s="17"/>
      <c r="I950" s="361">
        <f t="shared" si="203"/>
        <v>0</v>
      </c>
      <c r="J950" s="17"/>
      <c r="K950" s="18"/>
      <c r="L950" s="18"/>
      <c r="M950" s="17"/>
      <c r="N950" s="17"/>
      <c r="O950" s="17"/>
      <c r="P950" s="17"/>
      <c r="Q950" s="169"/>
      <c r="R950" s="24"/>
      <c r="S950" s="24"/>
      <c r="T950" s="24"/>
      <c r="U950" s="25"/>
      <c r="V950" s="25"/>
      <c r="W950" s="25"/>
      <c r="X950" s="24"/>
      <c r="Y950" s="24"/>
      <c r="Z950" s="24"/>
      <c r="AA950" s="24"/>
      <c r="AB950" s="24"/>
      <c r="AC950" s="24"/>
      <c r="AD950" s="361">
        <f t="shared" si="202"/>
        <v>0</v>
      </c>
      <c r="AE950" s="359" t="str">
        <f t="shared" si="205"/>
        <v/>
      </c>
      <c r="AF950" s="359" t="str">
        <f t="shared" si="214"/>
        <v/>
      </c>
      <c r="AG950" s="359" t="str">
        <f t="shared" si="206"/>
        <v/>
      </c>
      <c r="AH950" s="359" t="str">
        <f t="shared" si="207"/>
        <v/>
      </c>
      <c r="AI950" s="359" t="str">
        <f t="shared" si="208"/>
        <v/>
      </c>
      <c r="AJ950" s="359" t="str">
        <f t="shared" si="209"/>
        <v/>
      </c>
      <c r="AK950" s="359" t="str">
        <f t="shared" si="211"/>
        <v/>
      </c>
      <c r="AL950" s="359" t="str">
        <f t="shared" si="210"/>
        <v/>
      </c>
      <c r="AM950" s="359" t="str">
        <f t="shared" si="212"/>
        <v/>
      </c>
      <c r="AN950" s="262">
        <f t="shared" si="215"/>
        <v>0</v>
      </c>
      <c r="AO950" s="262" t="str">
        <f>IFERROR(HLOOKUP(AN950,'Ref Lists'!Q$1:AL$2,2,FALSE),'Ref Lists'!$AK$2)</f>
        <v>Savings21</v>
      </c>
      <c r="AP950" s="38"/>
      <c r="AQ950" s="38">
        <f t="shared" si="204"/>
        <v>0</v>
      </c>
      <c r="AR950" s="38"/>
      <c r="AS950" s="38"/>
      <c r="AT950" s="38"/>
      <c r="AU950" s="38"/>
      <c r="AV950" s="38"/>
      <c r="AW950" s="38"/>
      <c r="AX950" s="38"/>
      <c r="AY950" s="38"/>
      <c r="AZ950" s="38"/>
      <c r="BA950" s="38"/>
      <c r="BB950" s="38"/>
      <c r="BC950" s="38"/>
      <c r="BD950" s="38"/>
      <c r="BE950" s="38"/>
      <c r="BF950" s="38"/>
      <c r="BG950" s="38"/>
      <c r="BH950" s="38"/>
      <c r="BI950" s="38"/>
      <c r="BJ950" s="38"/>
      <c r="BK950" s="38"/>
      <c r="BL950" s="38"/>
      <c r="BM950" s="38"/>
      <c r="BN950" s="38"/>
      <c r="BO950" s="38"/>
      <c r="BP950" s="38"/>
      <c r="BQ950" s="38"/>
      <c r="BR950" s="38"/>
      <c r="BS950" s="38"/>
      <c r="BT950" s="38"/>
      <c r="BU950" s="38"/>
      <c r="BV950" s="38"/>
      <c r="BW950" s="38"/>
      <c r="BX950" s="38"/>
      <c r="BY950" s="38"/>
      <c r="BZ950" s="38"/>
      <c r="CA950" s="38"/>
      <c r="CB950" s="38"/>
      <c r="CC950" s="38"/>
      <c r="CD950" s="38"/>
      <c r="CE950" s="38"/>
      <c r="CF950" s="38"/>
      <c r="CG950" s="38"/>
      <c r="CH950" s="38"/>
      <c r="CI950" s="38"/>
      <c r="CJ950" s="38"/>
      <c r="CK950" s="38"/>
      <c r="CL950" s="38"/>
      <c r="CM950" s="38"/>
      <c r="CN950" s="38"/>
      <c r="CO950" s="38"/>
      <c r="CP950" s="38"/>
      <c r="CQ950" s="38"/>
      <c r="CR950" s="38"/>
      <c r="CS950" s="38"/>
      <c r="CT950" s="38"/>
      <c r="CU950" s="38"/>
      <c r="CV950" s="38"/>
      <c r="CW950" s="38"/>
      <c r="CX950" s="38"/>
      <c r="CY950" s="38"/>
      <c r="CZ950" s="38"/>
    </row>
    <row r="951" spans="1:104" s="40" customFormat="1" ht="20.149999999999999" customHeight="1">
      <c r="A951" s="358">
        <f t="shared" si="213"/>
        <v>950</v>
      </c>
      <c r="B951" s="359" t="str">
        <f>'Front Sheet and Checklist'!$C$5</f>
        <v>Swansea Bay UHB</v>
      </c>
      <c r="C951" s="17"/>
      <c r="D951" s="17"/>
      <c r="E951" s="17"/>
      <c r="F951" s="17"/>
      <c r="G951" s="17"/>
      <c r="H951" s="17"/>
      <c r="I951" s="361">
        <f t="shared" si="203"/>
        <v>0</v>
      </c>
      <c r="J951" s="17"/>
      <c r="K951" s="18"/>
      <c r="L951" s="18"/>
      <c r="M951" s="17"/>
      <c r="N951" s="17"/>
      <c r="O951" s="17"/>
      <c r="P951" s="17"/>
      <c r="Q951" s="169"/>
      <c r="R951" s="24"/>
      <c r="S951" s="24"/>
      <c r="T951" s="24"/>
      <c r="U951" s="25"/>
      <c r="V951" s="25"/>
      <c r="W951" s="25"/>
      <c r="X951" s="24"/>
      <c r="Y951" s="24"/>
      <c r="Z951" s="24"/>
      <c r="AA951" s="24"/>
      <c r="AB951" s="24"/>
      <c r="AC951" s="24"/>
      <c r="AD951" s="361">
        <f t="shared" si="202"/>
        <v>0</v>
      </c>
      <c r="AE951" s="359" t="str">
        <f t="shared" si="205"/>
        <v/>
      </c>
      <c r="AF951" s="359" t="str">
        <f t="shared" si="214"/>
        <v/>
      </c>
      <c r="AG951" s="359" t="str">
        <f t="shared" si="206"/>
        <v/>
      </c>
      <c r="AH951" s="359" t="str">
        <f t="shared" si="207"/>
        <v/>
      </c>
      <c r="AI951" s="359" t="str">
        <f t="shared" si="208"/>
        <v/>
      </c>
      <c r="AJ951" s="359" t="str">
        <f t="shared" si="209"/>
        <v/>
      </c>
      <c r="AK951" s="359" t="str">
        <f t="shared" si="211"/>
        <v/>
      </c>
      <c r="AL951" s="359" t="str">
        <f t="shared" si="210"/>
        <v/>
      </c>
      <c r="AM951" s="359" t="str">
        <f t="shared" si="212"/>
        <v/>
      </c>
      <c r="AN951" s="262">
        <f t="shared" si="215"/>
        <v>0</v>
      </c>
      <c r="AO951" s="262" t="str">
        <f>IFERROR(HLOOKUP(AN951,'Ref Lists'!Q$1:AL$2,2,FALSE),'Ref Lists'!$AK$2)</f>
        <v>Savings21</v>
      </c>
      <c r="AP951" s="38"/>
      <c r="AQ951" s="38">
        <f t="shared" si="204"/>
        <v>0</v>
      </c>
      <c r="AR951" s="38"/>
      <c r="AS951" s="38"/>
      <c r="AT951" s="38"/>
      <c r="AU951" s="38"/>
      <c r="AV951" s="38"/>
      <c r="AW951" s="38"/>
      <c r="AX951" s="38"/>
      <c r="AY951" s="38"/>
      <c r="AZ951" s="38"/>
      <c r="BA951" s="38"/>
      <c r="BB951" s="38"/>
      <c r="BC951" s="38"/>
      <c r="BD951" s="38"/>
      <c r="BE951" s="38"/>
      <c r="BF951" s="38"/>
      <c r="BG951" s="38"/>
      <c r="BH951" s="38"/>
      <c r="BI951" s="38"/>
      <c r="BJ951" s="38"/>
      <c r="BK951" s="38"/>
      <c r="BL951" s="38"/>
      <c r="BM951" s="38"/>
      <c r="BN951" s="38"/>
      <c r="BO951" s="38"/>
      <c r="BP951" s="38"/>
      <c r="BQ951" s="38"/>
      <c r="BR951" s="38"/>
      <c r="BS951" s="38"/>
      <c r="BT951" s="38"/>
      <c r="BU951" s="38"/>
      <c r="BV951" s="38"/>
      <c r="BW951" s="38"/>
      <c r="BX951" s="38"/>
      <c r="BY951" s="38"/>
      <c r="BZ951" s="38"/>
      <c r="CA951" s="38"/>
      <c r="CB951" s="38"/>
      <c r="CC951" s="38"/>
      <c r="CD951" s="38"/>
      <c r="CE951" s="38"/>
      <c r="CF951" s="38"/>
      <c r="CG951" s="38"/>
      <c r="CH951" s="38"/>
      <c r="CI951" s="38"/>
      <c r="CJ951" s="38"/>
      <c r="CK951" s="38"/>
      <c r="CL951" s="38"/>
      <c r="CM951" s="38"/>
      <c r="CN951" s="38"/>
      <c r="CO951" s="38"/>
      <c r="CP951" s="38"/>
      <c r="CQ951" s="38"/>
      <c r="CR951" s="38"/>
      <c r="CS951" s="38"/>
      <c r="CT951" s="38"/>
      <c r="CU951" s="38"/>
      <c r="CV951" s="38"/>
      <c r="CW951" s="38"/>
      <c r="CX951" s="38"/>
      <c r="CY951" s="38"/>
      <c r="CZ951" s="38"/>
    </row>
    <row r="952" spans="1:104" s="40" customFormat="1" ht="20.149999999999999" customHeight="1">
      <c r="A952" s="358">
        <f t="shared" si="213"/>
        <v>951</v>
      </c>
      <c r="B952" s="359" t="str">
        <f>'Front Sheet and Checklist'!$C$5</f>
        <v>Swansea Bay UHB</v>
      </c>
      <c r="C952" s="17"/>
      <c r="D952" s="17"/>
      <c r="E952" s="17"/>
      <c r="F952" s="17"/>
      <c r="G952" s="17"/>
      <c r="H952" s="17"/>
      <c r="I952" s="361">
        <f t="shared" si="203"/>
        <v>0</v>
      </c>
      <c r="J952" s="17"/>
      <c r="K952" s="18"/>
      <c r="L952" s="18"/>
      <c r="M952" s="17"/>
      <c r="N952" s="17"/>
      <c r="O952" s="17"/>
      <c r="P952" s="17"/>
      <c r="Q952" s="169"/>
      <c r="R952" s="24"/>
      <c r="S952" s="24"/>
      <c r="T952" s="24"/>
      <c r="U952" s="25"/>
      <c r="V952" s="25"/>
      <c r="W952" s="25"/>
      <c r="X952" s="24"/>
      <c r="Y952" s="24"/>
      <c r="Z952" s="24"/>
      <c r="AA952" s="24"/>
      <c r="AB952" s="24"/>
      <c r="AC952" s="24"/>
      <c r="AD952" s="361">
        <f t="shared" si="202"/>
        <v>0</v>
      </c>
      <c r="AE952" s="359" t="str">
        <f t="shared" si="205"/>
        <v/>
      </c>
      <c r="AF952" s="359" t="str">
        <f t="shared" si="214"/>
        <v/>
      </c>
      <c r="AG952" s="359" t="str">
        <f t="shared" si="206"/>
        <v/>
      </c>
      <c r="AH952" s="359" t="str">
        <f t="shared" si="207"/>
        <v/>
      </c>
      <c r="AI952" s="359" t="str">
        <f t="shared" si="208"/>
        <v/>
      </c>
      <c r="AJ952" s="359" t="str">
        <f t="shared" si="209"/>
        <v/>
      </c>
      <c r="AK952" s="359" t="str">
        <f t="shared" si="211"/>
        <v/>
      </c>
      <c r="AL952" s="359" t="str">
        <f t="shared" si="210"/>
        <v/>
      </c>
      <c r="AM952" s="359" t="str">
        <f t="shared" si="212"/>
        <v/>
      </c>
      <c r="AN952" s="262">
        <f t="shared" si="215"/>
        <v>0</v>
      </c>
      <c r="AO952" s="262" t="str">
        <f>IFERROR(HLOOKUP(AN952,'Ref Lists'!Q$1:AL$2,2,FALSE),'Ref Lists'!$AK$2)</f>
        <v>Savings21</v>
      </c>
      <c r="AP952" s="38"/>
      <c r="AQ952" s="38">
        <f t="shared" si="204"/>
        <v>0</v>
      </c>
      <c r="AR952" s="38"/>
      <c r="AS952" s="38"/>
      <c r="AT952" s="38"/>
      <c r="AU952" s="38"/>
      <c r="AV952" s="38"/>
      <c r="AW952" s="38"/>
      <c r="AX952" s="38"/>
      <c r="AY952" s="38"/>
      <c r="AZ952" s="38"/>
      <c r="BA952" s="38"/>
      <c r="BB952" s="38"/>
      <c r="BC952" s="38"/>
      <c r="BD952" s="38"/>
      <c r="BE952" s="38"/>
      <c r="BF952" s="38"/>
      <c r="BG952" s="38"/>
      <c r="BH952" s="38"/>
      <c r="BI952" s="38"/>
      <c r="BJ952" s="38"/>
      <c r="BK952" s="38"/>
      <c r="BL952" s="38"/>
      <c r="BM952" s="38"/>
      <c r="BN952" s="38"/>
      <c r="BO952" s="38"/>
      <c r="BP952" s="38"/>
      <c r="BQ952" s="38"/>
      <c r="BR952" s="38"/>
      <c r="BS952" s="38"/>
      <c r="BT952" s="38"/>
      <c r="BU952" s="38"/>
      <c r="BV952" s="38"/>
      <c r="BW952" s="38"/>
      <c r="BX952" s="38"/>
      <c r="BY952" s="38"/>
      <c r="BZ952" s="38"/>
      <c r="CA952" s="38"/>
      <c r="CB952" s="38"/>
      <c r="CC952" s="38"/>
      <c r="CD952" s="38"/>
      <c r="CE952" s="38"/>
      <c r="CF952" s="38"/>
      <c r="CG952" s="38"/>
      <c r="CH952" s="38"/>
      <c r="CI952" s="38"/>
      <c r="CJ952" s="38"/>
      <c r="CK952" s="38"/>
      <c r="CL952" s="38"/>
      <c r="CM952" s="38"/>
      <c r="CN952" s="38"/>
      <c r="CO952" s="38"/>
      <c r="CP952" s="38"/>
      <c r="CQ952" s="38"/>
      <c r="CR952" s="38"/>
      <c r="CS952" s="38"/>
      <c r="CT952" s="38"/>
      <c r="CU952" s="38"/>
      <c r="CV952" s="38"/>
      <c r="CW952" s="38"/>
      <c r="CX952" s="38"/>
      <c r="CY952" s="38"/>
      <c r="CZ952" s="38"/>
    </row>
    <row r="953" spans="1:104" s="40" customFormat="1" ht="20.149999999999999" customHeight="1">
      <c r="A953" s="358">
        <f t="shared" si="213"/>
        <v>952</v>
      </c>
      <c r="B953" s="359" t="str">
        <f>'Front Sheet and Checklist'!$C$5</f>
        <v>Swansea Bay UHB</v>
      </c>
      <c r="C953" s="17"/>
      <c r="D953" s="17"/>
      <c r="E953" s="17"/>
      <c r="F953" s="17"/>
      <c r="G953" s="17"/>
      <c r="H953" s="17"/>
      <c r="I953" s="361">
        <f t="shared" si="203"/>
        <v>0</v>
      </c>
      <c r="J953" s="17"/>
      <c r="K953" s="18"/>
      <c r="L953" s="18"/>
      <c r="M953" s="17"/>
      <c r="N953" s="17"/>
      <c r="O953" s="17"/>
      <c r="P953" s="17"/>
      <c r="Q953" s="169"/>
      <c r="R953" s="24"/>
      <c r="S953" s="24"/>
      <c r="T953" s="24"/>
      <c r="U953" s="25"/>
      <c r="V953" s="25"/>
      <c r="W953" s="25"/>
      <c r="X953" s="24"/>
      <c r="Y953" s="24"/>
      <c r="Z953" s="24"/>
      <c r="AA953" s="24"/>
      <c r="AB953" s="24"/>
      <c r="AC953" s="24"/>
      <c r="AD953" s="361">
        <f t="shared" si="202"/>
        <v>0</v>
      </c>
      <c r="AE953" s="359" t="str">
        <f t="shared" si="205"/>
        <v/>
      </c>
      <c r="AF953" s="359" t="str">
        <f t="shared" si="214"/>
        <v/>
      </c>
      <c r="AG953" s="359" t="str">
        <f t="shared" si="206"/>
        <v/>
      </c>
      <c r="AH953" s="359" t="str">
        <f t="shared" si="207"/>
        <v/>
      </c>
      <c r="AI953" s="359" t="str">
        <f t="shared" si="208"/>
        <v/>
      </c>
      <c r="AJ953" s="359" t="str">
        <f t="shared" si="209"/>
        <v/>
      </c>
      <c r="AK953" s="359" t="str">
        <f t="shared" si="211"/>
        <v/>
      </c>
      <c r="AL953" s="359" t="str">
        <f t="shared" si="210"/>
        <v/>
      </c>
      <c r="AM953" s="359" t="str">
        <f t="shared" si="212"/>
        <v/>
      </c>
      <c r="AN953" s="262">
        <f t="shared" si="215"/>
        <v>0</v>
      </c>
      <c r="AO953" s="262" t="str">
        <f>IFERROR(HLOOKUP(AN953,'Ref Lists'!Q$1:AL$2,2,FALSE),'Ref Lists'!$AK$2)</f>
        <v>Savings21</v>
      </c>
      <c r="AP953" s="38"/>
      <c r="AQ953" s="38">
        <f t="shared" si="204"/>
        <v>0</v>
      </c>
      <c r="AR953" s="38"/>
      <c r="AS953" s="38"/>
      <c r="AT953" s="38"/>
      <c r="AU953" s="38"/>
      <c r="AV953" s="38"/>
      <c r="AW953" s="38"/>
      <c r="AX953" s="38"/>
      <c r="AY953" s="38"/>
      <c r="AZ953" s="38"/>
      <c r="BA953" s="38"/>
      <c r="BB953" s="38"/>
      <c r="BC953" s="38"/>
      <c r="BD953" s="38"/>
      <c r="BE953" s="38"/>
      <c r="BF953" s="38"/>
      <c r="BG953" s="38"/>
      <c r="BH953" s="38"/>
      <c r="BI953" s="38"/>
      <c r="BJ953" s="38"/>
      <c r="BK953" s="38"/>
      <c r="BL953" s="38"/>
      <c r="BM953" s="38"/>
      <c r="BN953" s="38"/>
      <c r="BO953" s="38"/>
      <c r="BP953" s="38"/>
      <c r="BQ953" s="38"/>
      <c r="BR953" s="38"/>
      <c r="BS953" s="38"/>
      <c r="BT953" s="38"/>
      <c r="BU953" s="38"/>
      <c r="BV953" s="38"/>
      <c r="BW953" s="38"/>
      <c r="BX953" s="38"/>
      <c r="BY953" s="38"/>
      <c r="BZ953" s="38"/>
      <c r="CA953" s="38"/>
      <c r="CB953" s="38"/>
      <c r="CC953" s="38"/>
      <c r="CD953" s="38"/>
      <c r="CE953" s="38"/>
      <c r="CF953" s="38"/>
      <c r="CG953" s="38"/>
      <c r="CH953" s="38"/>
      <c r="CI953" s="38"/>
      <c r="CJ953" s="38"/>
      <c r="CK953" s="38"/>
      <c r="CL953" s="38"/>
      <c r="CM953" s="38"/>
      <c r="CN953" s="38"/>
      <c r="CO953" s="38"/>
      <c r="CP953" s="38"/>
      <c r="CQ953" s="38"/>
      <c r="CR953" s="38"/>
      <c r="CS953" s="38"/>
      <c r="CT953" s="38"/>
      <c r="CU953" s="38"/>
      <c r="CV953" s="38"/>
      <c r="CW953" s="38"/>
      <c r="CX953" s="38"/>
      <c r="CY953" s="38"/>
      <c r="CZ953" s="38"/>
    </row>
    <row r="954" spans="1:104" s="40" customFormat="1" ht="20.149999999999999" customHeight="1">
      <c r="A954" s="358">
        <f t="shared" si="213"/>
        <v>953</v>
      </c>
      <c r="B954" s="359" t="str">
        <f>'Front Sheet and Checklist'!$C$5</f>
        <v>Swansea Bay UHB</v>
      </c>
      <c r="C954" s="17"/>
      <c r="D954" s="17"/>
      <c r="E954" s="17"/>
      <c r="F954" s="17"/>
      <c r="G954" s="17"/>
      <c r="H954" s="17"/>
      <c r="I954" s="361">
        <f t="shared" si="203"/>
        <v>0</v>
      </c>
      <c r="J954" s="17"/>
      <c r="K954" s="18"/>
      <c r="L954" s="18"/>
      <c r="M954" s="17"/>
      <c r="N954" s="17"/>
      <c r="O954" s="17"/>
      <c r="P954" s="17"/>
      <c r="Q954" s="169"/>
      <c r="R954" s="24"/>
      <c r="S954" s="24"/>
      <c r="T954" s="24"/>
      <c r="U954" s="25"/>
      <c r="V954" s="25"/>
      <c r="W954" s="25"/>
      <c r="X954" s="24"/>
      <c r="Y954" s="24"/>
      <c r="Z954" s="24"/>
      <c r="AA954" s="24"/>
      <c r="AB954" s="24"/>
      <c r="AC954" s="24"/>
      <c r="AD954" s="361">
        <f t="shared" ref="AD954:AD1001" si="216">SUM(R954:AC954)</f>
        <v>0</v>
      </c>
      <c r="AE954" s="359" t="str">
        <f t="shared" si="205"/>
        <v/>
      </c>
      <c r="AF954" s="359" t="str">
        <f t="shared" si="214"/>
        <v/>
      </c>
      <c r="AG954" s="359" t="str">
        <f t="shared" si="206"/>
        <v/>
      </c>
      <c r="AH954" s="359" t="str">
        <f t="shared" si="207"/>
        <v/>
      </c>
      <c r="AI954" s="359" t="str">
        <f t="shared" si="208"/>
        <v/>
      </c>
      <c r="AJ954" s="359" t="str">
        <f t="shared" si="209"/>
        <v/>
      </c>
      <c r="AK954" s="359" t="str">
        <f t="shared" si="211"/>
        <v/>
      </c>
      <c r="AL954" s="359" t="str">
        <f t="shared" si="210"/>
        <v/>
      </c>
      <c r="AM954" s="359" t="str">
        <f t="shared" si="212"/>
        <v/>
      </c>
      <c r="AN954" s="262">
        <f t="shared" si="215"/>
        <v>0</v>
      </c>
      <c r="AO954" s="262" t="str">
        <f>IFERROR(HLOOKUP(AN954,'Ref Lists'!Q$1:AL$2,2,FALSE),'Ref Lists'!$AK$2)</f>
        <v>Savings21</v>
      </c>
      <c r="AP954" s="38"/>
      <c r="AQ954" s="38">
        <f t="shared" si="204"/>
        <v>0</v>
      </c>
      <c r="AR954" s="38"/>
      <c r="AS954" s="38"/>
      <c r="AT954" s="38"/>
      <c r="AU954" s="38"/>
      <c r="AV954" s="38"/>
      <c r="AW954" s="38"/>
      <c r="AX954" s="38"/>
      <c r="AY954" s="38"/>
      <c r="AZ954" s="38"/>
      <c r="BA954" s="38"/>
      <c r="BB954" s="38"/>
      <c r="BC954" s="38"/>
      <c r="BD954" s="38"/>
      <c r="BE954" s="38"/>
      <c r="BF954" s="38"/>
      <c r="BG954" s="38"/>
      <c r="BH954" s="38"/>
      <c r="BI954" s="38"/>
      <c r="BJ954" s="38"/>
      <c r="BK954" s="38"/>
      <c r="BL954" s="38"/>
      <c r="BM954" s="38"/>
      <c r="BN954" s="38"/>
      <c r="BO954" s="38"/>
      <c r="BP954" s="38"/>
      <c r="BQ954" s="38"/>
      <c r="BR954" s="38"/>
      <c r="BS954" s="38"/>
      <c r="BT954" s="38"/>
      <c r="BU954" s="38"/>
      <c r="BV954" s="38"/>
      <c r="BW954" s="38"/>
      <c r="BX954" s="38"/>
      <c r="BY954" s="38"/>
      <c r="BZ954" s="38"/>
      <c r="CA954" s="38"/>
      <c r="CB954" s="38"/>
      <c r="CC954" s="38"/>
      <c r="CD954" s="38"/>
      <c r="CE954" s="38"/>
      <c r="CF954" s="38"/>
      <c r="CG954" s="38"/>
      <c r="CH954" s="38"/>
      <c r="CI954" s="38"/>
      <c r="CJ954" s="38"/>
      <c r="CK954" s="38"/>
      <c r="CL954" s="38"/>
      <c r="CM954" s="38"/>
      <c r="CN954" s="38"/>
      <c r="CO954" s="38"/>
      <c r="CP954" s="38"/>
      <c r="CQ954" s="38"/>
      <c r="CR954" s="38"/>
      <c r="CS954" s="38"/>
      <c r="CT954" s="38"/>
      <c r="CU954" s="38"/>
      <c r="CV954" s="38"/>
      <c r="CW954" s="38"/>
      <c r="CX954" s="38"/>
      <c r="CY954" s="38"/>
      <c r="CZ954" s="38"/>
    </row>
    <row r="955" spans="1:104" s="40" customFormat="1" ht="20.149999999999999" customHeight="1">
      <c r="A955" s="358">
        <f t="shared" si="213"/>
        <v>954</v>
      </c>
      <c r="B955" s="359" t="str">
        <f>'Front Sheet and Checklist'!$C$5</f>
        <v>Swansea Bay UHB</v>
      </c>
      <c r="C955" s="17"/>
      <c r="D955" s="17"/>
      <c r="E955" s="17"/>
      <c r="F955" s="17"/>
      <c r="G955" s="17"/>
      <c r="H955" s="17"/>
      <c r="I955" s="361">
        <f t="shared" ref="I955:I1001" si="217">AD955</f>
        <v>0</v>
      </c>
      <c r="J955" s="17"/>
      <c r="K955" s="18"/>
      <c r="L955" s="18"/>
      <c r="M955" s="17"/>
      <c r="N955" s="17"/>
      <c r="O955" s="17"/>
      <c r="P955" s="17"/>
      <c r="Q955" s="169"/>
      <c r="R955" s="24"/>
      <c r="S955" s="24"/>
      <c r="T955" s="24"/>
      <c r="U955" s="25"/>
      <c r="V955" s="25"/>
      <c r="W955" s="25"/>
      <c r="X955" s="24"/>
      <c r="Y955" s="24"/>
      <c r="Z955" s="24"/>
      <c r="AA955" s="24"/>
      <c r="AB955" s="24"/>
      <c r="AC955" s="24"/>
      <c r="AD955" s="361">
        <f t="shared" si="216"/>
        <v>0</v>
      </c>
      <c r="AE955" s="359" t="str">
        <f t="shared" si="205"/>
        <v/>
      </c>
      <c r="AF955" s="359" t="str">
        <f t="shared" si="214"/>
        <v/>
      </c>
      <c r="AG955" s="359" t="str">
        <f t="shared" si="206"/>
        <v/>
      </c>
      <c r="AH955" s="359" t="str">
        <f t="shared" si="207"/>
        <v/>
      </c>
      <c r="AI955" s="359" t="str">
        <f t="shared" si="208"/>
        <v/>
      </c>
      <c r="AJ955" s="359" t="str">
        <f t="shared" si="209"/>
        <v/>
      </c>
      <c r="AK955" s="359" t="str">
        <f t="shared" si="211"/>
        <v/>
      </c>
      <c r="AL955" s="359" t="str">
        <f t="shared" si="210"/>
        <v/>
      </c>
      <c r="AM955" s="359" t="str">
        <f t="shared" si="212"/>
        <v/>
      </c>
      <c r="AN955" s="262">
        <f t="shared" si="215"/>
        <v>0</v>
      </c>
      <c r="AO955" s="262" t="str">
        <f>IFERROR(HLOOKUP(AN955,'Ref Lists'!Q$1:AL$2,2,FALSE),'Ref Lists'!$AK$2)</f>
        <v>Savings21</v>
      </c>
      <c r="AP955" s="38"/>
      <c r="AQ955" s="38">
        <f t="shared" ref="AQ955:AQ1001" si="218">COUNTIFS(AE955:AL955,"Error")</f>
        <v>0</v>
      </c>
      <c r="AR955" s="38"/>
      <c r="AS955" s="38"/>
      <c r="AT955" s="38"/>
      <c r="AU955" s="38"/>
      <c r="AV955" s="38"/>
      <c r="AW955" s="38"/>
      <c r="AX955" s="38"/>
      <c r="AY955" s="38"/>
      <c r="AZ955" s="38"/>
      <c r="BA955" s="38"/>
      <c r="BB955" s="38"/>
      <c r="BC955" s="38"/>
      <c r="BD955" s="38"/>
      <c r="BE955" s="38"/>
      <c r="BF955" s="38"/>
      <c r="BG955" s="38"/>
      <c r="BH955" s="38"/>
      <c r="BI955" s="38"/>
      <c r="BJ955" s="38"/>
      <c r="BK955" s="38"/>
      <c r="BL955" s="38"/>
      <c r="BM955" s="38"/>
      <c r="BN955" s="38"/>
      <c r="BO955" s="38"/>
      <c r="BP955" s="38"/>
      <c r="BQ955" s="38"/>
      <c r="BR955" s="38"/>
      <c r="BS955" s="38"/>
      <c r="BT955" s="38"/>
      <c r="BU955" s="38"/>
      <c r="BV955" s="38"/>
      <c r="BW955" s="38"/>
      <c r="BX955" s="38"/>
      <c r="BY955" s="38"/>
      <c r="BZ955" s="38"/>
      <c r="CA955" s="38"/>
      <c r="CB955" s="38"/>
      <c r="CC955" s="38"/>
      <c r="CD955" s="38"/>
      <c r="CE955" s="38"/>
      <c r="CF955" s="38"/>
      <c r="CG955" s="38"/>
      <c r="CH955" s="38"/>
      <c r="CI955" s="38"/>
      <c r="CJ955" s="38"/>
      <c r="CK955" s="38"/>
      <c r="CL955" s="38"/>
      <c r="CM955" s="38"/>
      <c r="CN955" s="38"/>
      <c r="CO955" s="38"/>
      <c r="CP955" s="38"/>
      <c r="CQ955" s="38"/>
      <c r="CR955" s="38"/>
      <c r="CS955" s="38"/>
      <c r="CT955" s="38"/>
      <c r="CU955" s="38"/>
      <c r="CV955" s="38"/>
      <c r="CW955" s="38"/>
      <c r="CX955" s="38"/>
      <c r="CY955" s="38"/>
      <c r="CZ955" s="38"/>
    </row>
    <row r="956" spans="1:104" s="40" customFormat="1" ht="20.149999999999999" customHeight="1">
      <c r="A956" s="358">
        <f t="shared" si="213"/>
        <v>955</v>
      </c>
      <c r="B956" s="359" t="str">
        <f>'Front Sheet and Checklist'!$C$5</f>
        <v>Swansea Bay UHB</v>
      </c>
      <c r="C956" s="17"/>
      <c r="D956" s="17"/>
      <c r="E956" s="17"/>
      <c r="F956" s="17"/>
      <c r="G956" s="17"/>
      <c r="H956" s="17"/>
      <c r="I956" s="361">
        <f t="shared" si="217"/>
        <v>0</v>
      </c>
      <c r="J956" s="17"/>
      <c r="K956" s="18"/>
      <c r="L956" s="18"/>
      <c r="M956" s="17"/>
      <c r="N956" s="17"/>
      <c r="O956" s="17"/>
      <c r="P956" s="17"/>
      <c r="Q956" s="169"/>
      <c r="R956" s="24"/>
      <c r="S956" s="24"/>
      <c r="T956" s="24"/>
      <c r="U956" s="25"/>
      <c r="V956" s="25"/>
      <c r="W956" s="25"/>
      <c r="X956" s="24"/>
      <c r="Y956" s="24"/>
      <c r="Z956" s="24"/>
      <c r="AA956" s="24"/>
      <c r="AB956" s="24"/>
      <c r="AC956" s="24"/>
      <c r="AD956" s="361">
        <f t="shared" si="216"/>
        <v>0</v>
      </c>
      <c r="AE956" s="359" t="str">
        <f t="shared" si="205"/>
        <v/>
      </c>
      <c r="AF956" s="359" t="str">
        <f t="shared" si="214"/>
        <v/>
      </c>
      <c r="AG956" s="359" t="str">
        <f t="shared" si="206"/>
        <v/>
      </c>
      <c r="AH956" s="359" t="str">
        <f t="shared" si="207"/>
        <v/>
      </c>
      <c r="AI956" s="359" t="str">
        <f t="shared" si="208"/>
        <v/>
      </c>
      <c r="AJ956" s="359" t="str">
        <f t="shared" si="209"/>
        <v/>
      </c>
      <c r="AK956" s="359" t="str">
        <f t="shared" si="211"/>
        <v/>
      </c>
      <c r="AL956" s="359" t="str">
        <f t="shared" si="210"/>
        <v/>
      </c>
      <c r="AM956" s="359" t="str">
        <f t="shared" si="212"/>
        <v/>
      </c>
      <c r="AN956" s="262">
        <f t="shared" si="215"/>
        <v>0</v>
      </c>
      <c r="AO956" s="262" t="str">
        <f>IFERROR(HLOOKUP(AN956,'Ref Lists'!Q$1:AL$2,2,FALSE),'Ref Lists'!$AK$2)</f>
        <v>Savings21</v>
      </c>
      <c r="AP956" s="38"/>
      <c r="AQ956" s="38">
        <f t="shared" si="218"/>
        <v>0</v>
      </c>
      <c r="AR956" s="38"/>
      <c r="AS956" s="38"/>
      <c r="AT956" s="38"/>
      <c r="AU956" s="38"/>
      <c r="AV956" s="38"/>
      <c r="AW956" s="38"/>
      <c r="AX956" s="38"/>
      <c r="AY956" s="38"/>
      <c r="AZ956" s="38"/>
      <c r="BA956" s="38"/>
      <c r="BB956" s="38"/>
      <c r="BC956" s="38"/>
      <c r="BD956" s="38"/>
      <c r="BE956" s="38"/>
      <c r="BF956" s="38"/>
      <c r="BG956" s="38"/>
      <c r="BH956" s="38"/>
      <c r="BI956" s="38"/>
      <c r="BJ956" s="38"/>
      <c r="BK956" s="38"/>
      <c r="BL956" s="38"/>
      <c r="BM956" s="38"/>
      <c r="BN956" s="38"/>
      <c r="BO956" s="38"/>
      <c r="BP956" s="38"/>
      <c r="BQ956" s="38"/>
      <c r="BR956" s="38"/>
      <c r="BS956" s="38"/>
      <c r="BT956" s="38"/>
      <c r="BU956" s="38"/>
      <c r="BV956" s="38"/>
      <c r="BW956" s="38"/>
      <c r="BX956" s="38"/>
      <c r="BY956" s="38"/>
      <c r="BZ956" s="38"/>
      <c r="CA956" s="38"/>
      <c r="CB956" s="38"/>
      <c r="CC956" s="38"/>
      <c r="CD956" s="38"/>
      <c r="CE956" s="38"/>
      <c r="CF956" s="38"/>
      <c r="CG956" s="38"/>
      <c r="CH956" s="38"/>
      <c r="CI956" s="38"/>
      <c r="CJ956" s="38"/>
      <c r="CK956" s="38"/>
      <c r="CL956" s="38"/>
      <c r="CM956" s="38"/>
      <c r="CN956" s="38"/>
      <c r="CO956" s="38"/>
      <c r="CP956" s="38"/>
      <c r="CQ956" s="38"/>
      <c r="CR956" s="38"/>
      <c r="CS956" s="38"/>
      <c r="CT956" s="38"/>
      <c r="CU956" s="38"/>
      <c r="CV956" s="38"/>
      <c r="CW956" s="38"/>
      <c r="CX956" s="38"/>
      <c r="CY956" s="38"/>
      <c r="CZ956" s="38"/>
    </row>
    <row r="957" spans="1:104" s="40" customFormat="1" ht="20.149999999999999" customHeight="1">
      <c r="A957" s="358">
        <f t="shared" si="213"/>
        <v>956</v>
      </c>
      <c r="B957" s="359" t="str">
        <f>'Front Sheet and Checklist'!$C$5</f>
        <v>Swansea Bay UHB</v>
      </c>
      <c r="C957" s="17"/>
      <c r="D957" s="17"/>
      <c r="E957" s="17"/>
      <c r="F957" s="17"/>
      <c r="G957" s="17"/>
      <c r="H957" s="17"/>
      <c r="I957" s="361">
        <f t="shared" si="217"/>
        <v>0</v>
      </c>
      <c r="J957" s="17"/>
      <c r="K957" s="18"/>
      <c r="L957" s="18"/>
      <c r="M957" s="17"/>
      <c r="N957" s="17"/>
      <c r="O957" s="17"/>
      <c r="P957" s="17"/>
      <c r="Q957" s="169"/>
      <c r="R957" s="24"/>
      <c r="S957" s="24"/>
      <c r="T957" s="24"/>
      <c r="U957" s="25"/>
      <c r="V957" s="25"/>
      <c r="W957" s="25"/>
      <c r="X957" s="24"/>
      <c r="Y957" s="24"/>
      <c r="Z957" s="24"/>
      <c r="AA957" s="24"/>
      <c r="AB957" s="24"/>
      <c r="AC957" s="24"/>
      <c r="AD957" s="361">
        <f t="shared" si="216"/>
        <v>0</v>
      </c>
      <c r="AE957" s="359" t="str">
        <f t="shared" si="205"/>
        <v/>
      </c>
      <c r="AF957" s="359" t="str">
        <f t="shared" si="214"/>
        <v/>
      </c>
      <c r="AG957" s="359" t="str">
        <f t="shared" si="206"/>
        <v/>
      </c>
      <c r="AH957" s="359" t="str">
        <f t="shared" si="207"/>
        <v/>
      </c>
      <c r="AI957" s="359" t="str">
        <f t="shared" si="208"/>
        <v/>
      </c>
      <c r="AJ957" s="359" t="str">
        <f t="shared" si="209"/>
        <v/>
      </c>
      <c r="AK957" s="359" t="str">
        <f t="shared" si="211"/>
        <v/>
      </c>
      <c r="AL957" s="359" t="str">
        <f t="shared" si="210"/>
        <v/>
      </c>
      <c r="AM957" s="359" t="str">
        <f t="shared" si="212"/>
        <v/>
      </c>
      <c r="AN957" s="262">
        <f t="shared" si="215"/>
        <v>0</v>
      </c>
      <c r="AO957" s="262" t="str">
        <f>IFERROR(HLOOKUP(AN957,'Ref Lists'!Q$1:AL$2,2,FALSE),'Ref Lists'!$AK$2)</f>
        <v>Savings21</v>
      </c>
      <c r="AP957" s="38"/>
      <c r="AQ957" s="38">
        <f t="shared" si="218"/>
        <v>0</v>
      </c>
      <c r="AR957" s="38"/>
      <c r="AS957" s="38"/>
      <c r="AT957" s="38"/>
      <c r="AU957" s="38"/>
      <c r="AV957" s="38"/>
      <c r="AW957" s="38"/>
      <c r="AX957" s="38"/>
      <c r="AY957" s="38"/>
      <c r="AZ957" s="38"/>
      <c r="BA957" s="38"/>
      <c r="BB957" s="38"/>
      <c r="BC957" s="38"/>
      <c r="BD957" s="38"/>
      <c r="BE957" s="38"/>
      <c r="BF957" s="38"/>
      <c r="BG957" s="38"/>
      <c r="BH957" s="38"/>
      <c r="BI957" s="38"/>
      <c r="BJ957" s="38"/>
      <c r="BK957" s="38"/>
      <c r="BL957" s="38"/>
      <c r="BM957" s="38"/>
      <c r="BN957" s="38"/>
      <c r="BO957" s="38"/>
      <c r="BP957" s="38"/>
      <c r="BQ957" s="38"/>
      <c r="BR957" s="38"/>
      <c r="BS957" s="38"/>
      <c r="BT957" s="38"/>
      <c r="BU957" s="38"/>
      <c r="BV957" s="38"/>
      <c r="BW957" s="38"/>
      <c r="BX957" s="38"/>
      <c r="BY957" s="38"/>
      <c r="BZ957" s="38"/>
      <c r="CA957" s="38"/>
      <c r="CB957" s="38"/>
      <c r="CC957" s="38"/>
      <c r="CD957" s="38"/>
      <c r="CE957" s="38"/>
      <c r="CF957" s="38"/>
      <c r="CG957" s="38"/>
      <c r="CH957" s="38"/>
      <c r="CI957" s="38"/>
      <c r="CJ957" s="38"/>
      <c r="CK957" s="38"/>
      <c r="CL957" s="38"/>
      <c r="CM957" s="38"/>
      <c r="CN957" s="38"/>
      <c r="CO957" s="38"/>
      <c r="CP957" s="38"/>
      <c r="CQ957" s="38"/>
      <c r="CR957" s="38"/>
      <c r="CS957" s="38"/>
      <c r="CT957" s="38"/>
      <c r="CU957" s="38"/>
      <c r="CV957" s="38"/>
      <c r="CW957" s="38"/>
      <c r="CX957" s="38"/>
      <c r="CY957" s="38"/>
      <c r="CZ957" s="38"/>
    </row>
    <row r="958" spans="1:104" s="40" customFormat="1" ht="20.149999999999999" customHeight="1">
      <c r="A958" s="358">
        <f t="shared" si="213"/>
        <v>957</v>
      </c>
      <c r="B958" s="359" t="str">
        <f>'Front Sheet and Checklist'!$C$5</f>
        <v>Swansea Bay UHB</v>
      </c>
      <c r="C958" s="17"/>
      <c r="D958" s="17"/>
      <c r="E958" s="17"/>
      <c r="F958" s="17"/>
      <c r="G958" s="17"/>
      <c r="H958" s="17"/>
      <c r="I958" s="361">
        <f t="shared" si="217"/>
        <v>0</v>
      </c>
      <c r="J958" s="17"/>
      <c r="K958" s="18"/>
      <c r="L958" s="18"/>
      <c r="M958" s="17"/>
      <c r="N958" s="17"/>
      <c r="O958" s="17"/>
      <c r="P958" s="17"/>
      <c r="Q958" s="169"/>
      <c r="R958" s="24"/>
      <c r="S958" s="24"/>
      <c r="T958" s="24"/>
      <c r="U958" s="25"/>
      <c r="V958" s="25"/>
      <c r="W958" s="25"/>
      <c r="X958" s="24"/>
      <c r="Y958" s="24"/>
      <c r="Z958" s="24"/>
      <c r="AA958" s="24"/>
      <c r="AB958" s="24"/>
      <c r="AC958" s="24"/>
      <c r="AD958" s="361">
        <f t="shared" si="216"/>
        <v>0</v>
      </c>
      <c r="AE958" s="359" t="str">
        <f t="shared" si="205"/>
        <v/>
      </c>
      <c r="AF958" s="359" t="str">
        <f t="shared" si="214"/>
        <v/>
      </c>
      <c r="AG958" s="359" t="str">
        <f t="shared" si="206"/>
        <v/>
      </c>
      <c r="AH958" s="359" t="str">
        <f t="shared" si="207"/>
        <v/>
      </c>
      <c r="AI958" s="359" t="str">
        <f t="shared" si="208"/>
        <v/>
      </c>
      <c r="AJ958" s="359" t="str">
        <f t="shared" si="209"/>
        <v/>
      </c>
      <c r="AK958" s="359" t="str">
        <f t="shared" si="211"/>
        <v/>
      </c>
      <c r="AL958" s="359" t="str">
        <f t="shared" si="210"/>
        <v/>
      </c>
      <c r="AM958" s="359" t="str">
        <f t="shared" si="212"/>
        <v/>
      </c>
      <c r="AN958" s="262">
        <f t="shared" si="215"/>
        <v>0</v>
      </c>
      <c r="AO958" s="262" t="str">
        <f>IFERROR(HLOOKUP(AN958,'Ref Lists'!Q$1:AL$2,2,FALSE),'Ref Lists'!$AK$2)</f>
        <v>Savings21</v>
      </c>
      <c r="AP958" s="38"/>
      <c r="AQ958" s="38">
        <f t="shared" si="218"/>
        <v>0</v>
      </c>
      <c r="AR958" s="38"/>
      <c r="AS958" s="38"/>
      <c r="AT958" s="38"/>
      <c r="AU958" s="38"/>
      <c r="AV958" s="38"/>
      <c r="AW958" s="38"/>
      <c r="AX958" s="38"/>
      <c r="AY958" s="38"/>
      <c r="AZ958" s="38"/>
      <c r="BA958" s="38"/>
      <c r="BB958" s="38"/>
      <c r="BC958" s="38"/>
      <c r="BD958" s="38"/>
      <c r="BE958" s="38"/>
      <c r="BF958" s="38"/>
      <c r="BG958" s="38"/>
      <c r="BH958" s="38"/>
      <c r="BI958" s="38"/>
      <c r="BJ958" s="38"/>
      <c r="BK958" s="38"/>
      <c r="BL958" s="38"/>
      <c r="BM958" s="38"/>
      <c r="BN958" s="38"/>
      <c r="BO958" s="38"/>
      <c r="BP958" s="38"/>
      <c r="BQ958" s="38"/>
      <c r="BR958" s="38"/>
      <c r="BS958" s="38"/>
      <c r="BT958" s="38"/>
      <c r="BU958" s="38"/>
      <c r="BV958" s="38"/>
      <c r="BW958" s="38"/>
      <c r="BX958" s="38"/>
      <c r="BY958" s="38"/>
      <c r="BZ958" s="38"/>
      <c r="CA958" s="38"/>
      <c r="CB958" s="38"/>
      <c r="CC958" s="38"/>
      <c r="CD958" s="38"/>
      <c r="CE958" s="38"/>
      <c r="CF958" s="38"/>
      <c r="CG958" s="38"/>
      <c r="CH958" s="38"/>
      <c r="CI958" s="38"/>
      <c r="CJ958" s="38"/>
      <c r="CK958" s="38"/>
      <c r="CL958" s="38"/>
      <c r="CM958" s="38"/>
      <c r="CN958" s="38"/>
      <c r="CO958" s="38"/>
      <c r="CP958" s="38"/>
      <c r="CQ958" s="38"/>
      <c r="CR958" s="38"/>
      <c r="CS958" s="38"/>
      <c r="CT958" s="38"/>
      <c r="CU958" s="38"/>
      <c r="CV958" s="38"/>
      <c r="CW958" s="38"/>
      <c r="CX958" s="38"/>
      <c r="CY958" s="38"/>
      <c r="CZ958" s="38"/>
    </row>
    <row r="959" spans="1:104" s="40" customFormat="1" ht="20.149999999999999" customHeight="1">
      <c r="A959" s="358">
        <f t="shared" si="213"/>
        <v>958</v>
      </c>
      <c r="B959" s="359" t="str">
        <f>'Front Sheet and Checklist'!$C$5</f>
        <v>Swansea Bay UHB</v>
      </c>
      <c r="C959" s="17"/>
      <c r="D959" s="17"/>
      <c r="E959" s="17"/>
      <c r="F959" s="17"/>
      <c r="G959" s="17"/>
      <c r="H959" s="17"/>
      <c r="I959" s="361">
        <f t="shared" si="217"/>
        <v>0</v>
      </c>
      <c r="J959" s="17"/>
      <c r="K959" s="18"/>
      <c r="L959" s="18"/>
      <c r="M959" s="17"/>
      <c r="N959" s="17"/>
      <c r="O959" s="17"/>
      <c r="P959" s="17"/>
      <c r="Q959" s="169"/>
      <c r="R959" s="24"/>
      <c r="S959" s="24"/>
      <c r="T959" s="24"/>
      <c r="U959" s="25"/>
      <c r="V959" s="25"/>
      <c r="W959" s="25"/>
      <c r="X959" s="24"/>
      <c r="Y959" s="24"/>
      <c r="Z959" s="24"/>
      <c r="AA959" s="24"/>
      <c r="AB959" s="24"/>
      <c r="AC959" s="24"/>
      <c r="AD959" s="361">
        <f t="shared" si="216"/>
        <v>0</v>
      </c>
      <c r="AE959" s="359" t="str">
        <f t="shared" si="205"/>
        <v/>
      </c>
      <c r="AF959" s="359" t="str">
        <f t="shared" si="214"/>
        <v/>
      </c>
      <c r="AG959" s="359" t="str">
        <f t="shared" si="206"/>
        <v/>
      </c>
      <c r="AH959" s="359" t="str">
        <f t="shared" si="207"/>
        <v/>
      </c>
      <c r="AI959" s="359" t="str">
        <f t="shared" si="208"/>
        <v/>
      </c>
      <c r="AJ959" s="359" t="str">
        <f t="shared" si="209"/>
        <v/>
      </c>
      <c r="AK959" s="359" t="str">
        <f t="shared" si="211"/>
        <v/>
      </c>
      <c r="AL959" s="359" t="str">
        <f t="shared" si="210"/>
        <v/>
      </c>
      <c r="AM959" s="359" t="str">
        <f t="shared" si="212"/>
        <v/>
      </c>
      <c r="AN959" s="262">
        <f t="shared" si="215"/>
        <v>0</v>
      </c>
      <c r="AO959" s="262" t="str">
        <f>IFERROR(HLOOKUP(AN959,'Ref Lists'!Q$1:AL$2,2,FALSE),'Ref Lists'!$AK$2)</f>
        <v>Savings21</v>
      </c>
      <c r="AP959" s="38"/>
      <c r="AQ959" s="38">
        <f t="shared" si="218"/>
        <v>0</v>
      </c>
      <c r="AR959" s="38"/>
      <c r="AS959" s="38"/>
      <c r="AT959" s="38"/>
      <c r="AU959" s="38"/>
      <c r="AV959" s="38"/>
      <c r="AW959" s="38"/>
      <c r="AX959" s="38"/>
      <c r="AY959" s="38"/>
      <c r="AZ959" s="38"/>
      <c r="BA959" s="38"/>
      <c r="BB959" s="38"/>
      <c r="BC959" s="38"/>
      <c r="BD959" s="38"/>
      <c r="BE959" s="38"/>
      <c r="BF959" s="38"/>
      <c r="BG959" s="38"/>
      <c r="BH959" s="38"/>
      <c r="BI959" s="38"/>
      <c r="BJ959" s="38"/>
      <c r="BK959" s="38"/>
      <c r="BL959" s="38"/>
      <c r="BM959" s="38"/>
      <c r="BN959" s="38"/>
      <c r="BO959" s="38"/>
      <c r="BP959" s="38"/>
      <c r="BQ959" s="38"/>
      <c r="BR959" s="38"/>
      <c r="BS959" s="38"/>
      <c r="BT959" s="38"/>
      <c r="BU959" s="38"/>
      <c r="BV959" s="38"/>
      <c r="BW959" s="38"/>
      <c r="BX959" s="38"/>
      <c r="BY959" s="38"/>
      <c r="BZ959" s="38"/>
      <c r="CA959" s="38"/>
      <c r="CB959" s="38"/>
      <c r="CC959" s="38"/>
      <c r="CD959" s="38"/>
      <c r="CE959" s="38"/>
      <c r="CF959" s="38"/>
      <c r="CG959" s="38"/>
      <c r="CH959" s="38"/>
      <c r="CI959" s="38"/>
      <c r="CJ959" s="38"/>
      <c r="CK959" s="38"/>
      <c r="CL959" s="38"/>
      <c r="CM959" s="38"/>
      <c r="CN959" s="38"/>
      <c r="CO959" s="38"/>
      <c r="CP959" s="38"/>
      <c r="CQ959" s="38"/>
      <c r="CR959" s="38"/>
      <c r="CS959" s="38"/>
      <c r="CT959" s="38"/>
      <c r="CU959" s="38"/>
      <c r="CV959" s="38"/>
      <c r="CW959" s="38"/>
      <c r="CX959" s="38"/>
      <c r="CY959" s="38"/>
      <c r="CZ959" s="38"/>
    </row>
    <row r="960" spans="1:104" s="40" customFormat="1" ht="20.149999999999999" customHeight="1">
      <c r="A960" s="358">
        <f t="shared" si="213"/>
        <v>959</v>
      </c>
      <c r="B960" s="359" t="str">
        <f>'Front Sheet and Checklist'!$C$5</f>
        <v>Swansea Bay UHB</v>
      </c>
      <c r="C960" s="17"/>
      <c r="D960" s="17"/>
      <c r="E960" s="17"/>
      <c r="F960" s="17"/>
      <c r="G960" s="17"/>
      <c r="H960" s="17"/>
      <c r="I960" s="361">
        <f t="shared" si="217"/>
        <v>0</v>
      </c>
      <c r="J960" s="17"/>
      <c r="K960" s="18"/>
      <c r="L960" s="18"/>
      <c r="M960" s="17"/>
      <c r="N960" s="17"/>
      <c r="O960" s="17"/>
      <c r="P960" s="17"/>
      <c r="Q960" s="169"/>
      <c r="R960" s="24"/>
      <c r="S960" s="24"/>
      <c r="T960" s="24"/>
      <c r="U960" s="25"/>
      <c r="V960" s="25"/>
      <c r="W960" s="25"/>
      <c r="X960" s="24"/>
      <c r="Y960" s="24"/>
      <c r="Z960" s="24"/>
      <c r="AA960" s="24"/>
      <c r="AB960" s="24"/>
      <c r="AC960" s="24"/>
      <c r="AD960" s="361">
        <f t="shared" si="216"/>
        <v>0</v>
      </c>
      <c r="AE960" s="359" t="str">
        <f t="shared" si="205"/>
        <v/>
      </c>
      <c r="AF960" s="359" t="str">
        <f t="shared" si="214"/>
        <v/>
      </c>
      <c r="AG960" s="359" t="str">
        <f t="shared" si="206"/>
        <v/>
      </c>
      <c r="AH960" s="359" t="str">
        <f t="shared" si="207"/>
        <v/>
      </c>
      <c r="AI960" s="359" t="str">
        <f t="shared" si="208"/>
        <v/>
      </c>
      <c r="AJ960" s="359" t="str">
        <f t="shared" si="209"/>
        <v/>
      </c>
      <c r="AK960" s="359" t="str">
        <f t="shared" si="211"/>
        <v/>
      </c>
      <c r="AL960" s="359" t="str">
        <f t="shared" si="210"/>
        <v/>
      </c>
      <c r="AM960" s="359" t="str">
        <f t="shared" si="212"/>
        <v/>
      </c>
      <c r="AN960" s="262">
        <f t="shared" si="215"/>
        <v>0</v>
      </c>
      <c r="AO960" s="262" t="str">
        <f>IFERROR(HLOOKUP(AN960,'Ref Lists'!Q$1:AL$2,2,FALSE),'Ref Lists'!$AK$2)</f>
        <v>Savings21</v>
      </c>
      <c r="AP960" s="38"/>
      <c r="AQ960" s="38">
        <f t="shared" si="218"/>
        <v>0</v>
      </c>
      <c r="AR960" s="38"/>
      <c r="AS960" s="38"/>
      <c r="AT960" s="38"/>
      <c r="AU960" s="38"/>
      <c r="AV960" s="38"/>
      <c r="AW960" s="38"/>
      <c r="AX960" s="38"/>
      <c r="AY960" s="38"/>
      <c r="AZ960" s="38"/>
      <c r="BA960" s="38"/>
      <c r="BB960" s="38"/>
      <c r="BC960" s="38"/>
      <c r="BD960" s="38"/>
      <c r="BE960" s="38"/>
      <c r="BF960" s="38"/>
      <c r="BG960" s="38"/>
      <c r="BH960" s="38"/>
      <c r="BI960" s="38"/>
      <c r="BJ960" s="38"/>
      <c r="BK960" s="38"/>
      <c r="BL960" s="38"/>
      <c r="BM960" s="38"/>
      <c r="BN960" s="38"/>
      <c r="BO960" s="38"/>
      <c r="BP960" s="38"/>
      <c r="BQ960" s="38"/>
      <c r="BR960" s="38"/>
      <c r="BS960" s="38"/>
      <c r="BT960" s="38"/>
      <c r="BU960" s="38"/>
      <c r="BV960" s="38"/>
      <c r="BW960" s="38"/>
      <c r="BX960" s="38"/>
      <c r="BY960" s="38"/>
      <c r="BZ960" s="38"/>
      <c r="CA960" s="38"/>
      <c r="CB960" s="38"/>
      <c r="CC960" s="38"/>
      <c r="CD960" s="38"/>
      <c r="CE960" s="38"/>
      <c r="CF960" s="38"/>
      <c r="CG960" s="38"/>
      <c r="CH960" s="38"/>
      <c r="CI960" s="38"/>
      <c r="CJ960" s="38"/>
      <c r="CK960" s="38"/>
      <c r="CL960" s="38"/>
      <c r="CM960" s="38"/>
      <c r="CN960" s="38"/>
      <c r="CO960" s="38"/>
      <c r="CP960" s="38"/>
      <c r="CQ960" s="38"/>
      <c r="CR960" s="38"/>
      <c r="CS960" s="38"/>
      <c r="CT960" s="38"/>
      <c r="CU960" s="38"/>
      <c r="CV960" s="38"/>
      <c r="CW960" s="38"/>
      <c r="CX960" s="38"/>
      <c r="CY960" s="38"/>
      <c r="CZ960" s="38"/>
    </row>
    <row r="961" spans="1:104" s="40" customFormat="1" ht="20.149999999999999" customHeight="1">
      <c r="A961" s="358">
        <f t="shared" si="213"/>
        <v>960</v>
      </c>
      <c r="B961" s="359" t="str">
        <f>'Front Sheet and Checklist'!$C$5</f>
        <v>Swansea Bay UHB</v>
      </c>
      <c r="C961" s="17"/>
      <c r="D961" s="17"/>
      <c r="E961" s="17"/>
      <c r="F961" s="17"/>
      <c r="G961" s="17"/>
      <c r="H961" s="17"/>
      <c r="I961" s="361">
        <f t="shared" si="217"/>
        <v>0</v>
      </c>
      <c r="J961" s="17"/>
      <c r="K961" s="18"/>
      <c r="L961" s="18"/>
      <c r="M961" s="17"/>
      <c r="N961" s="17"/>
      <c r="O961" s="17"/>
      <c r="P961" s="17"/>
      <c r="Q961" s="169"/>
      <c r="R961" s="24"/>
      <c r="S961" s="24"/>
      <c r="T961" s="24"/>
      <c r="U961" s="25"/>
      <c r="V961" s="25"/>
      <c r="W961" s="25"/>
      <c r="X961" s="24"/>
      <c r="Y961" s="24"/>
      <c r="Z961" s="24"/>
      <c r="AA961" s="24"/>
      <c r="AB961" s="24"/>
      <c r="AC961" s="24"/>
      <c r="AD961" s="361">
        <f t="shared" si="216"/>
        <v>0</v>
      </c>
      <c r="AE961" s="359" t="str">
        <f t="shared" si="205"/>
        <v/>
      </c>
      <c r="AF961" s="359" t="str">
        <f t="shared" si="214"/>
        <v/>
      </c>
      <c r="AG961" s="359" t="str">
        <f t="shared" si="206"/>
        <v/>
      </c>
      <c r="AH961" s="359" t="str">
        <f t="shared" si="207"/>
        <v/>
      </c>
      <c r="AI961" s="359" t="str">
        <f t="shared" si="208"/>
        <v/>
      </c>
      <c r="AJ961" s="359" t="str">
        <f t="shared" si="209"/>
        <v/>
      </c>
      <c r="AK961" s="359" t="str">
        <f t="shared" si="211"/>
        <v/>
      </c>
      <c r="AL961" s="359" t="str">
        <f t="shared" si="210"/>
        <v/>
      </c>
      <c r="AM961" s="359" t="str">
        <f t="shared" si="212"/>
        <v/>
      </c>
      <c r="AN961" s="262">
        <f t="shared" si="215"/>
        <v>0</v>
      </c>
      <c r="AO961" s="262" t="str">
        <f>IFERROR(HLOOKUP(AN961,'Ref Lists'!Q$1:AL$2,2,FALSE),'Ref Lists'!$AK$2)</f>
        <v>Savings21</v>
      </c>
      <c r="AP961" s="38"/>
      <c r="AQ961" s="38">
        <f t="shared" si="218"/>
        <v>0</v>
      </c>
      <c r="AR961" s="38"/>
      <c r="AS961" s="38"/>
      <c r="AT961" s="38"/>
      <c r="AU961" s="38"/>
      <c r="AV961" s="38"/>
      <c r="AW961" s="38"/>
      <c r="AX961" s="38"/>
      <c r="AY961" s="38"/>
      <c r="AZ961" s="38"/>
      <c r="BA961" s="38"/>
      <c r="BB961" s="38"/>
      <c r="BC961" s="38"/>
      <c r="BD961" s="38"/>
      <c r="BE961" s="38"/>
      <c r="BF961" s="38"/>
      <c r="BG961" s="38"/>
      <c r="BH961" s="38"/>
      <c r="BI961" s="38"/>
      <c r="BJ961" s="38"/>
      <c r="BK961" s="38"/>
      <c r="BL961" s="38"/>
      <c r="BM961" s="38"/>
      <c r="BN961" s="38"/>
      <c r="BO961" s="38"/>
      <c r="BP961" s="38"/>
      <c r="BQ961" s="38"/>
      <c r="BR961" s="38"/>
      <c r="BS961" s="38"/>
      <c r="BT961" s="38"/>
      <c r="BU961" s="38"/>
      <c r="BV961" s="38"/>
      <c r="BW961" s="38"/>
      <c r="BX961" s="38"/>
      <c r="BY961" s="38"/>
      <c r="BZ961" s="38"/>
      <c r="CA961" s="38"/>
      <c r="CB961" s="38"/>
      <c r="CC961" s="38"/>
      <c r="CD961" s="38"/>
      <c r="CE961" s="38"/>
      <c r="CF961" s="38"/>
      <c r="CG961" s="38"/>
      <c r="CH961" s="38"/>
      <c r="CI961" s="38"/>
      <c r="CJ961" s="38"/>
      <c r="CK961" s="38"/>
      <c r="CL961" s="38"/>
      <c r="CM961" s="38"/>
      <c r="CN961" s="38"/>
      <c r="CO961" s="38"/>
      <c r="CP961" s="38"/>
      <c r="CQ961" s="38"/>
      <c r="CR961" s="38"/>
      <c r="CS961" s="38"/>
      <c r="CT961" s="38"/>
      <c r="CU961" s="38"/>
      <c r="CV961" s="38"/>
      <c r="CW961" s="38"/>
      <c r="CX961" s="38"/>
      <c r="CY961" s="38"/>
      <c r="CZ961" s="38"/>
    </row>
    <row r="962" spans="1:104" s="40" customFormat="1" ht="20.149999999999999" customHeight="1">
      <c r="A962" s="358">
        <f t="shared" si="213"/>
        <v>961</v>
      </c>
      <c r="B962" s="359" t="str">
        <f>'Front Sheet and Checklist'!$C$5</f>
        <v>Swansea Bay UHB</v>
      </c>
      <c r="C962" s="17"/>
      <c r="D962" s="17"/>
      <c r="E962" s="17"/>
      <c r="F962" s="17"/>
      <c r="G962" s="17"/>
      <c r="H962" s="17"/>
      <c r="I962" s="361">
        <f t="shared" si="217"/>
        <v>0</v>
      </c>
      <c r="J962" s="17"/>
      <c r="K962" s="18"/>
      <c r="L962" s="18"/>
      <c r="M962" s="17"/>
      <c r="N962" s="17"/>
      <c r="O962" s="17"/>
      <c r="P962" s="17"/>
      <c r="Q962" s="169"/>
      <c r="R962" s="24"/>
      <c r="S962" s="24"/>
      <c r="T962" s="24"/>
      <c r="U962" s="25"/>
      <c r="V962" s="25"/>
      <c r="W962" s="25"/>
      <c r="X962" s="24"/>
      <c r="Y962" s="24"/>
      <c r="Z962" s="24"/>
      <c r="AA962" s="24"/>
      <c r="AB962" s="24"/>
      <c r="AC962" s="24"/>
      <c r="AD962" s="361">
        <f t="shared" si="216"/>
        <v>0</v>
      </c>
      <c r="AE962" s="359" t="str">
        <f t="shared" ref="AE962:AE1001" si="219">IF(AND(I962&gt;0,H962&lt;&gt;"Income Generation"),IF(AND(H962&lt;&gt;"",D962&lt;&gt;"",E962&lt;&gt;"",F962&lt;&gt;"",C962&lt;&gt;"",G962&lt;&gt;"",K962&lt;&gt;"",L962&lt;&gt;"",M962&lt;&gt;"",N962&lt;&gt;"",P962&lt;&gt;"",Q962&lt;&gt;"",O962&lt;&gt;""),"","ERROR"),"")</f>
        <v/>
      </c>
      <c r="AF962" s="359" t="str">
        <f t="shared" si="214"/>
        <v/>
      </c>
      <c r="AG962" s="359" t="str">
        <f t="shared" ref="AG962:AG1001" si="220">IF(AND(I962&gt;0,O962=""),"ERROR","")</f>
        <v/>
      </c>
      <c r="AH962" s="359" t="str">
        <f t="shared" ref="AH962:AH1001" si="221">IF(AND(OR(H962="Income Generation"),O962&lt;&gt;""),"ERROR","")</f>
        <v/>
      </c>
      <c r="AI962" s="359" t="str">
        <f t="shared" si="208"/>
        <v/>
      </c>
      <c r="AJ962" s="359" t="str">
        <f t="shared" si="209"/>
        <v/>
      </c>
      <c r="AK962" s="359" t="str">
        <f t="shared" si="211"/>
        <v/>
      </c>
      <c r="AL962" s="359" t="str">
        <f t="shared" si="210"/>
        <v/>
      </c>
      <c r="AM962" s="359" t="str">
        <f t="shared" si="212"/>
        <v/>
      </c>
      <c r="AN962" s="262">
        <f t="shared" si="215"/>
        <v>0</v>
      </c>
      <c r="AO962" s="262" t="str">
        <f>IFERROR(HLOOKUP(AN962,'Ref Lists'!Q$1:AL$2,2,FALSE),'Ref Lists'!$AK$2)</f>
        <v>Savings21</v>
      </c>
      <c r="AP962" s="38"/>
      <c r="AQ962" s="38">
        <f t="shared" si="218"/>
        <v>0</v>
      </c>
      <c r="AR962" s="38"/>
      <c r="AS962" s="38"/>
      <c r="AT962" s="38"/>
      <c r="AU962" s="38"/>
      <c r="AV962" s="38"/>
      <c r="AW962" s="38"/>
      <c r="AX962" s="38"/>
      <c r="AY962" s="38"/>
      <c r="AZ962" s="38"/>
      <c r="BA962" s="38"/>
      <c r="BB962" s="38"/>
      <c r="BC962" s="38"/>
      <c r="BD962" s="38"/>
      <c r="BE962" s="38"/>
      <c r="BF962" s="38"/>
      <c r="BG962" s="38"/>
      <c r="BH962" s="38"/>
      <c r="BI962" s="38"/>
      <c r="BJ962" s="38"/>
      <c r="BK962" s="38"/>
      <c r="BL962" s="38"/>
      <c r="BM962" s="38"/>
      <c r="BN962" s="38"/>
      <c r="BO962" s="38"/>
      <c r="BP962" s="38"/>
      <c r="BQ962" s="38"/>
      <c r="BR962" s="38"/>
      <c r="BS962" s="38"/>
      <c r="BT962" s="38"/>
      <c r="BU962" s="38"/>
      <c r="BV962" s="38"/>
      <c r="BW962" s="38"/>
      <c r="BX962" s="38"/>
      <c r="BY962" s="38"/>
      <c r="BZ962" s="38"/>
      <c r="CA962" s="38"/>
      <c r="CB962" s="38"/>
      <c r="CC962" s="38"/>
      <c r="CD962" s="38"/>
      <c r="CE962" s="38"/>
      <c r="CF962" s="38"/>
      <c r="CG962" s="38"/>
      <c r="CH962" s="38"/>
      <c r="CI962" s="38"/>
      <c r="CJ962" s="38"/>
      <c r="CK962" s="38"/>
      <c r="CL962" s="38"/>
      <c r="CM962" s="38"/>
      <c r="CN962" s="38"/>
      <c r="CO962" s="38"/>
      <c r="CP962" s="38"/>
      <c r="CQ962" s="38"/>
      <c r="CR962" s="38"/>
      <c r="CS962" s="38"/>
      <c r="CT962" s="38"/>
      <c r="CU962" s="38"/>
      <c r="CV962" s="38"/>
      <c r="CW962" s="38"/>
      <c r="CX962" s="38"/>
      <c r="CY962" s="38"/>
      <c r="CZ962" s="38"/>
    </row>
    <row r="963" spans="1:104" s="40" customFormat="1" ht="20.149999999999999" customHeight="1">
      <c r="A963" s="358">
        <f t="shared" si="213"/>
        <v>962</v>
      </c>
      <c r="B963" s="359" t="str">
        <f>'Front Sheet and Checklist'!$C$5</f>
        <v>Swansea Bay UHB</v>
      </c>
      <c r="C963" s="17"/>
      <c r="D963" s="17"/>
      <c r="E963" s="17"/>
      <c r="F963" s="17"/>
      <c r="G963" s="17"/>
      <c r="H963" s="17"/>
      <c r="I963" s="361">
        <f t="shared" si="217"/>
        <v>0</v>
      </c>
      <c r="J963" s="17"/>
      <c r="K963" s="18"/>
      <c r="L963" s="18"/>
      <c r="M963" s="17"/>
      <c r="N963" s="17"/>
      <c r="O963" s="17"/>
      <c r="P963" s="17"/>
      <c r="Q963" s="169"/>
      <c r="R963" s="24"/>
      <c r="S963" s="24"/>
      <c r="T963" s="24"/>
      <c r="U963" s="25"/>
      <c r="V963" s="25"/>
      <c r="W963" s="25"/>
      <c r="X963" s="24"/>
      <c r="Y963" s="24"/>
      <c r="Z963" s="24"/>
      <c r="AA963" s="24"/>
      <c r="AB963" s="24"/>
      <c r="AC963" s="24"/>
      <c r="AD963" s="361">
        <f t="shared" si="216"/>
        <v>0</v>
      </c>
      <c r="AE963" s="359" t="str">
        <f t="shared" si="219"/>
        <v/>
      </c>
      <c r="AF963" s="359" t="str">
        <f t="shared" si="214"/>
        <v/>
      </c>
      <c r="AG963" s="359" t="str">
        <f t="shared" si="220"/>
        <v/>
      </c>
      <c r="AH963" s="359" t="str">
        <f t="shared" si="221"/>
        <v/>
      </c>
      <c r="AI963" s="359" t="str">
        <f t="shared" ref="AI963:AI1001" si="222">IF(AND(G963="R",I963&gt;J963),"ERROR","")</f>
        <v/>
      </c>
      <c r="AJ963" s="359" t="str">
        <f t="shared" ref="AJ963:AJ1001" si="223">IF(AND(G963="NR",J963&gt;0),"ERROR","")</f>
        <v/>
      </c>
      <c r="AK963" s="359" t="str">
        <f t="shared" ref="AK963:AK1001" si="224">IF(OR(K963="",K963="N/a"),"",IF(OR(K963&lt;DATEVALUE("01/04/24"),K963&gt;DATEVALUE("31/03/25")),"ERROR",""))</f>
        <v/>
      </c>
      <c r="AL963" s="359" t="str">
        <f t="shared" ref="AL963:AL1001" si="225">IF(OR(L963="",L963="N/A"),"",IF(OR(L963&lt;DATEVALUE("01/04/24"),L963&gt;DATEVALUE("31/03/25")),"ERROR",""))</f>
        <v/>
      </c>
      <c r="AM963" s="359" t="str">
        <f t="shared" ref="AM963:AM1001" si="226">IF(COUNTA(T963:AC963)&lt;&gt;COUNT(T963:AC963),"ERROR","")</f>
        <v/>
      </c>
      <c r="AN963" s="262">
        <f t="shared" si="215"/>
        <v>0</v>
      </c>
      <c r="AO963" s="262" t="str">
        <f>IFERROR(HLOOKUP(AN963,'Ref Lists'!Q$1:AL$2,2,FALSE),'Ref Lists'!$AK$2)</f>
        <v>Savings21</v>
      </c>
      <c r="AP963" s="38"/>
      <c r="AQ963" s="38">
        <f t="shared" si="218"/>
        <v>0</v>
      </c>
      <c r="AR963" s="38"/>
      <c r="AS963" s="38"/>
      <c r="AT963" s="38"/>
      <c r="AU963" s="38"/>
      <c r="AV963" s="38"/>
      <c r="AW963" s="38"/>
      <c r="AX963" s="38"/>
      <c r="AY963" s="38"/>
      <c r="AZ963" s="38"/>
      <c r="BA963" s="38"/>
      <c r="BB963" s="38"/>
      <c r="BC963" s="38"/>
      <c r="BD963" s="38"/>
      <c r="BE963" s="38"/>
      <c r="BF963" s="38"/>
      <c r="BG963" s="38"/>
      <c r="BH963" s="38"/>
      <c r="BI963" s="38"/>
      <c r="BJ963" s="38"/>
      <c r="BK963" s="38"/>
      <c r="BL963" s="38"/>
      <c r="BM963" s="38"/>
      <c r="BN963" s="38"/>
      <c r="BO963" s="38"/>
      <c r="BP963" s="38"/>
      <c r="BQ963" s="38"/>
      <c r="BR963" s="38"/>
      <c r="BS963" s="38"/>
      <c r="BT963" s="38"/>
      <c r="BU963" s="38"/>
      <c r="BV963" s="38"/>
      <c r="BW963" s="38"/>
      <c r="BX963" s="38"/>
      <c r="BY963" s="38"/>
      <c r="BZ963" s="38"/>
      <c r="CA963" s="38"/>
      <c r="CB963" s="38"/>
      <c r="CC963" s="38"/>
      <c r="CD963" s="38"/>
      <c r="CE963" s="38"/>
      <c r="CF963" s="38"/>
      <c r="CG963" s="38"/>
      <c r="CH963" s="38"/>
      <c r="CI963" s="38"/>
      <c r="CJ963" s="38"/>
      <c r="CK963" s="38"/>
      <c r="CL963" s="38"/>
      <c r="CM963" s="38"/>
      <c r="CN963" s="38"/>
      <c r="CO963" s="38"/>
      <c r="CP963" s="38"/>
      <c r="CQ963" s="38"/>
      <c r="CR963" s="38"/>
      <c r="CS963" s="38"/>
      <c r="CT963" s="38"/>
      <c r="CU963" s="38"/>
      <c r="CV963" s="38"/>
      <c r="CW963" s="38"/>
      <c r="CX963" s="38"/>
      <c r="CY963" s="38"/>
      <c r="CZ963" s="38"/>
    </row>
    <row r="964" spans="1:104" s="40" customFormat="1" ht="20.149999999999999" customHeight="1">
      <c r="A964" s="358">
        <f t="shared" ref="A964:A1001" si="227">+A963+1</f>
        <v>963</v>
      </c>
      <c r="B964" s="359" t="str">
        <f>'Front Sheet and Checklist'!$C$5</f>
        <v>Swansea Bay UHB</v>
      </c>
      <c r="C964" s="17"/>
      <c r="D964" s="17"/>
      <c r="E964" s="17"/>
      <c r="F964" s="17"/>
      <c r="G964" s="17"/>
      <c r="H964" s="17"/>
      <c r="I964" s="361">
        <f t="shared" si="217"/>
        <v>0</v>
      </c>
      <c r="J964" s="17"/>
      <c r="K964" s="18"/>
      <c r="L964" s="18"/>
      <c r="M964" s="17"/>
      <c r="N964" s="17"/>
      <c r="O964" s="17"/>
      <c r="P964" s="17"/>
      <c r="Q964" s="169"/>
      <c r="R964" s="24"/>
      <c r="S964" s="24"/>
      <c r="T964" s="24"/>
      <c r="U964" s="25"/>
      <c r="V964" s="25"/>
      <c r="W964" s="25"/>
      <c r="X964" s="24"/>
      <c r="Y964" s="24"/>
      <c r="Z964" s="24"/>
      <c r="AA964" s="24"/>
      <c r="AB964" s="24"/>
      <c r="AC964" s="24"/>
      <c r="AD964" s="361">
        <f t="shared" si="216"/>
        <v>0</v>
      </c>
      <c r="AE964" s="359" t="str">
        <f t="shared" si="219"/>
        <v/>
      </c>
      <c r="AF964" s="359" t="str">
        <f t="shared" ref="AF964:AF1001" si="228">IF(COUNTIF($F$2:$F$1001,F964)&gt;1,"ERROR","")</f>
        <v/>
      </c>
      <c r="AG964" s="359" t="str">
        <f t="shared" si="220"/>
        <v/>
      </c>
      <c r="AH964" s="359" t="str">
        <f t="shared" si="221"/>
        <v/>
      </c>
      <c r="AI964" s="359" t="str">
        <f t="shared" si="222"/>
        <v/>
      </c>
      <c r="AJ964" s="359" t="str">
        <f t="shared" si="223"/>
        <v/>
      </c>
      <c r="AK964" s="359" t="str">
        <f t="shared" si="224"/>
        <v/>
      </c>
      <c r="AL964" s="359" t="str">
        <f t="shared" si="225"/>
        <v/>
      </c>
      <c r="AM964" s="359" t="str">
        <f t="shared" si="226"/>
        <v/>
      </c>
      <c r="AN964" s="262">
        <f t="shared" si="215"/>
        <v>0</v>
      </c>
      <c r="AO964" s="262" t="str">
        <f>IFERROR(HLOOKUP(AN964,'Ref Lists'!Q$1:AL$2,2,FALSE),'Ref Lists'!$AK$2)</f>
        <v>Savings21</v>
      </c>
      <c r="AP964" s="38"/>
      <c r="AQ964" s="38">
        <f t="shared" si="218"/>
        <v>0</v>
      </c>
      <c r="AR964" s="38"/>
      <c r="AS964" s="38"/>
      <c r="AT964" s="38"/>
      <c r="AU964" s="38"/>
      <c r="AV964" s="38"/>
      <c r="AW964" s="38"/>
      <c r="AX964" s="38"/>
      <c r="AY964" s="38"/>
      <c r="AZ964" s="38"/>
      <c r="BA964" s="38"/>
      <c r="BB964" s="38"/>
      <c r="BC964" s="38"/>
      <c r="BD964" s="38"/>
      <c r="BE964" s="38"/>
      <c r="BF964" s="38"/>
      <c r="BG964" s="38"/>
      <c r="BH964" s="38"/>
      <c r="BI964" s="38"/>
      <c r="BJ964" s="38"/>
      <c r="BK964" s="38"/>
      <c r="BL964" s="38"/>
      <c r="BM964" s="38"/>
      <c r="BN964" s="38"/>
      <c r="BO964" s="38"/>
      <c r="BP964" s="38"/>
      <c r="BQ964" s="38"/>
      <c r="BR964" s="38"/>
      <c r="BS964" s="38"/>
      <c r="BT964" s="38"/>
      <c r="BU964" s="38"/>
      <c r="BV964" s="38"/>
      <c r="BW964" s="38"/>
      <c r="BX964" s="38"/>
      <c r="BY964" s="38"/>
      <c r="BZ964" s="38"/>
      <c r="CA964" s="38"/>
      <c r="CB964" s="38"/>
      <c r="CC964" s="38"/>
      <c r="CD964" s="38"/>
      <c r="CE964" s="38"/>
      <c r="CF964" s="38"/>
      <c r="CG964" s="38"/>
      <c r="CH964" s="38"/>
      <c r="CI964" s="38"/>
      <c r="CJ964" s="38"/>
      <c r="CK964" s="38"/>
      <c r="CL964" s="38"/>
      <c r="CM964" s="38"/>
      <c r="CN964" s="38"/>
      <c r="CO964" s="38"/>
      <c r="CP964" s="38"/>
      <c r="CQ964" s="38"/>
      <c r="CR964" s="38"/>
      <c r="CS964" s="38"/>
      <c r="CT964" s="38"/>
      <c r="CU964" s="38"/>
      <c r="CV964" s="38"/>
      <c r="CW964" s="38"/>
      <c r="CX964" s="38"/>
      <c r="CY964" s="38"/>
      <c r="CZ964" s="38"/>
    </row>
    <row r="965" spans="1:104" s="40" customFormat="1" ht="20.149999999999999" customHeight="1">
      <c r="A965" s="358">
        <f t="shared" si="227"/>
        <v>964</v>
      </c>
      <c r="B965" s="359" t="str">
        <f>'Front Sheet and Checklist'!$C$5</f>
        <v>Swansea Bay UHB</v>
      </c>
      <c r="C965" s="17"/>
      <c r="D965" s="17"/>
      <c r="E965" s="17"/>
      <c r="F965" s="17"/>
      <c r="G965" s="17"/>
      <c r="H965" s="17"/>
      <c r="I965" s="361">
        <f t="shared" si="217"/>
        <v>0</v>
      </c>
      <c r="J965" s="17"/>
      <c r="K965" s="18"/>
      <c r="L965" s="18"/>
      <c r="M965" s="17"/>
      <c r="N965" s="17"/>
      <c r="O965" s="17"/>
      <c r="P965" s="17"/>
      <c r="Q965" s="169"/>
      <c r="R965" s="24"/>
      <c r="S965" s="24"/>
      <c r="T965" s="24"/>
      <c r="U965" s="25"/>
      <c r="V965" s="25"/>
      <c r="W965" s="25"/>
      <c r="X965" s="24"/>
      <c r="Y965" s="24"/>
      <c r="Z965" s="24"/>
      <c r="AA965" s="24"/>
      <c r="AB965" s="24"/>
      <c r="AC965" s="24"/>
      <c r="AD965" s="361">
        <f t="shared" si="216"/>
        <v>0</v>
      </c>
      <c r="AE965" s="359" t="str">
        <f t="shared" si="219"/>
        <v/>
      </c>
      <c r="AF965" s="359" t="str">
        <f t="shared" si="228"/>
        <v/>
      </c>
      <c r="AG965" s="359" t="str">
        <f t="shared" si="220"/>
        <v/>
      </c>
      <c r="AH965" s="359" t="str">
        <f t="shared" si="221"/>
        <v/>
      </c>
      <c r="AI965" s="359" t="str">
        <f t="shared" si="222"/>
        <v/>
      </c>
      <c r="AJ965" s="359" t="str">
        <f t="shared" si="223"/>
        <v/>
      </c>
      <c r="AK965" s="359" t="str">
        <f t="shared" si="224"/>
        <v/>
      </c>
      <c r="AL965" s="359" t="str">
        <f t="shared" si="225"/>
        <v/>
      </c>
      <c r="AM965" s="359" t="str">
        <f t="shared" si="226"/>
        <v/>
      </c>
      <c r="AN965" s="262">
        <f t="shared" ref="AN965:AN1001" si="229">IF(P965="1) Workforce",_xlfn.CONCAT(P965,O965),IF(P965="5) Pathway",_xlfn.CONCAT(P965,N965),P965))</f>
        <v>0</v>
      </c>
      <c r="AO965" s="262" t="str">
        <f>IFERROR(HLOOKUP(AN965,'Ref Lists'!Q$1:AL$2,2,FALSE),'Ref Lists'!$AK$2)</f>
        <v>Savings21</v>
      </c>
      <c r="AP965" s="38"/>
      <c r="AQ965" s="38">
        <f t="shared" si="218"/>
        <v>0</v>
      </c>
      <c r="AR965" s="38"/>
      <c r="AS965" s="38"/>
      <c r="AT965" s="38"/>
      <c r="AU965" s="38"/>
      <c r="AV965" s="38"/>
      <c r="AW965" s="38"/>
      <c r="AX965" s="38"/>
      <c r="AY965" s="38"/>
      <c r="AZ965" s="38"/>
      <c r="BA965" s="38"/>
      <c r="BB965" s="38"/>
      <c r="BC965" s="38"/>
      <c r="BD965" s="38"/>
      <c r="BE965" s="38"/>
      <c r="BF965" s="38"/>
      <c r="BG965" s="38"/>
      <c r="BH965" s="38"/>
      <c r="BI965" s="38"/>
      <c r="BJ965" s="38"/>
      <c r="BK965" s="38"/>
      <c r="BL965" s="38"/>
      <c r="BM965" s="38"/>
      <c r="BN965" s="38"/>
      <c r="BO965" s="38"/>
      <c r="BP965" s="38"/>
      <c r="BQ965" s="38"/>
      <c r="BR965" s="38"/>
      <c r="BS965" s="38"/>
      <c r="BT965" s="38"/>
      <c r="BU965" s="38"/>
      <c r="BV965" s="38"/>
      <c r="BW965" s="38"/>
      <c r="BX965" s="38"/>
      <c r="BY965" s="38"/>
      <c r="BZ965" s="38"/>
      <c r="CA965" s="38"/>
      <c r="CB965" s="38"/>
      <c r="CC965" s="38"/>
      <c r="CD965" s="38"/>
      <c r="CE965" s="38"/>
      <c r="CF965" s="38"/>
      <c r="CG965" s="38"/>
      <c r="CH965" s="38"/>
      <c r="CI965" s="38"/>
      <c r="CJ965" s="38"/>
      <c r="CK965" s="38"/>
      <c r="CL965" s="38"/>
      <c r="CM965" s="38"/>
      <c r="CN965" s="38"/>
      <c r="CO965" s="38"/>
      <c r="CP965" s="38"/>
      <c r="CQ965" s="38"/>
      <c r="CR965" s="38"/>
      <c r="CS965" s="38"/>
      <c r="CT965" s="38"/>
      <c r="CU965" s="38"/>
      <c r="CV965" s="38"/>
      <c r="CW965" s="38"/>
      <c r="CX965" s="38"/>
      <c r="CY965" s="38"/>
      <c r="CZ965" s="38"/>
    </row>
    <row r="966" spans="1:104" s="40" customFormat="1" ht="20.149999999999999" customHeight="1">
      <c r="A966" s="358">
        <f t="shared" si="227"/>
        <v>965</v>
      </c>
      <c r="B966" s="359" t="str">
        <f>'Front Sheet and Checklist'!$C$5</f>
        <v>Swansea Bay UHB</v>
      </c>
      <c r="C966" s="17"/>
      <c r="D966" s="17"/>
      <c r="E966" s="17"/>
      <c r="F966" s="17"/>
      <c r="G966" s="17"/>
      <c r="H966" s="17"/>
      <c r="I966" s="361">
        <f t="shared" si="217"/>
        <v>0</v>
      </c>
      <c r="J966" s="17"/>
      <c r="K966" s="18"/>
      <c r="L966" s="18"/>
      <c r="M966" s="17"/>
      <c r="N966" s="17"/>
      <c r="O966" s="17"/>
      <c r="P966" s="17"/>
      <c r="Q966" s="169"/>
      <c r="R966" s="24"/>
      <c r="S966" s="24"/>
      <c r="T966" s="24"/>
      <c r="U966" s="25"/>
      <c r="V966" s="25"/>
      <c r="W966" s="25"/>
      <c r="X966" s="24"/>
      <c r="Y966" s="24"/>
      <c r="Z966" s="24"/>
      <c r="AA966" s="24"/>
      <c r="AB966" s="24"/>
      <c r="AC966" s="24"/>
      <c r="AD966" s="361">
        <f t="shared" si="216"/>
        <v>0</v>
      </c>
      <c r="AE966" s="359" t="str">
        <f t="shared" si="219"/>
        <v/>
      </c>
      <c r="AF966" s="359" t="str">
        <f t="shared" si="228"/>
        <v/>
      </c>
      <c r="AG966" s="359" t="str">
        <f t="shared" si="220"/>
        <v/>
      </c>
      <c r="AH966" s="359" t="str">
        <f t="shared" si="221"/>
        <v/>
      </c>
      <c r="AI966" s="359" t="str">
        <f t="shared" si="222"/>
        <v/>
      </c>
      <c r="AJ966" s="359" t="str">
        <f t="shared" si="223"/>
        <v/>
      </c>
      <c r="AK966" s="359" t="str">
        <f t="shared" si="224"/>
        <v/>
      </c>
      <c r="AL966" s="359" t="str">
        <f t="shared" si="225"/>
        <v/>
      </c>
      <c r="AM966" s="359" t="str">
        <f t="shared" si="226"/>
        <v/>
      </c>
      <c r="AN966" s="262">
        <f t="shared" si="229"/>
        <v>0</v>
      </c>
      <c r="AO966" s="262" t="str">
        <f>IFERROR(HLOOKUP(AN966,'Ref Lists'!Q$1:AL$2,2,FALSE),'Ref Lists'!$AK$2)</f>
        <v>Savings21</v>
      </c>
      <c r="AP966" s="38"/>
      <c r="AQ966" s="38">
        <f t="shared" si="218"/>
        <v>0</v>
      </c>
      <c r="AR966" s="38"/>
      <c r="AS966" s="38"/>
      <c r="AT966" s="38"/>
      <c r="AU966" s="38"/>
      <c r="AV966" s="38"/>
      <c r="AW966" s="38"/>
      <c r="AX966" s="38"/>
      <c r="AY966" s="38"/>
      <c r="AZ966" s="38"/>
      <c r="BA966" s="38"/>
      <c r="BB966" s="38"/>
      <c r="BC966" s="38"/>
      <c r="BD966" s="38"/>
      <c r="BE966" s="38"/>
      <c r="BF966" s="38"/>
      <c r="BG966" s="38"/>
      <c r="BH966" s="38"/>
      <c r="BI966" s="38"/>
      <c r="BJ966" s="38"/>
      <c r="BK966" s="38"/>
      <c r="BL966" s="38"/>
      <c r="BM966" s="38"/>
      <c r="BN966" s="38"/>
      <c r="BO966" s="38"/>
      <c r="BP966" s="38"/>
      <c r="BQ966" s="38"/>
      <c r="BR966" s="38"/>
      <c r="BS966" s="38"/>
      <c r="BT966" s="38"/>
      <c r="BU966" s="38"/>
      <c r="BV966" s="38"/>
      <c r="BW966" s="38"/>
      <c r="BX966" s="38"/>
      <c r="BY966" s="38"/>
      <c r="BZ966" s="38"/>
      <c r="CA966" s="38"/>
      <c r="CB966" s="38"/>
      <c r="CC966" s="38"/>
      <c r="CD966" s="38"/>
      <c r="CE966" s="38"/>
      <c r="CF966" s="38"/>
      <c r="CG966" s="38"/>
      <c r="CH966" s="38"/>
      <c r="CI966" s="38"/>
      <c r="CJ966" s="38"/>
      <c r="CK966" s="38"/>
      <c r="CL966" s="38"/>
      <c r="CM966" s="38"/>
      <c r="CN966" s="38"/>
      <c r="CO966" s="38"/>
      <c r="CP966" s="38"/>
      <c r="CQ966" s="38"/>
      <c r="CR966" s="38"/>
      <c r="CS966" s="38"/>
      <c r="CT966" s="38"/>
      <c r="CU966" s="38"/>
      <c r="CV966" s="38"/>
      <c r="CW966" s="38"/>
      <c r="CX966" s="38"/>
      <c r="CY966" s="38"/>
      <c r="CZ966" s="38"/>
    </row>
    <row r="967" spans="1:104" s="40" customFormat="1" ht="20.149999999999999" customHeight="1">
      <c r="A967" s="358">
        <f t="shared" si="227"/>
        <v>966</v>
      </c>
      <c r="B967" s="359" t="str">
        <f>'Front Sheet and Checklist'!$C$5</f>
        <v>Swansea Bay UHB</v>
      </c>
      <c r="C967" s="17"/>
      <c r="D967" s="17"/>
      <c r="E967" s="17"/>
      <c r="F967" s="17"/>
      <c r="G967" s="17"/>
      <c r="H967" s="17"/>
      <c r="I967" s="361">
        <f t="shared" si="217"/>
        <v>0</v>
      </c>
      <c r="J967" s="17"/>
      <c r="K967" s="18"/>
      <c r="L967" s="18"/>
      <c r="M967" s="17"/>
      <c r="N967" s="17"/>
      <c r="O967" s="17"/>
      <c r="P967" s="17"/>
      <c r="Q967" s="169"/>
      <c r="R967" s="24"/>
      <c r="S967" s="24"/>
      <c r="T967" s="24"/>
      <c r="U967" s="25"/>
      <c r="V967" s="25"/>
      <c r="W967" s="25"/>
      <c r="X967" s="24"/>
      <c r="Y967" s="24"/>
      <c r="Z967" s="24"/>
      <c r="AA967" s="24"/>
      <c r="AB967" s="24"/>
      <c r="AC967" s="24"/>
      <c r="AD967" s="361">
        <f t="shared" si="216"/>
        <v>0</v>
      </c>
      <c r="AE967" s="359" t="str">
        <f t="shared" si="219"/>
        <v/>
      </c>
      <c r="AF967" s="359" t="str">
        <f t="shared" si="228"/>
        <v/>
      </c>
      <c r="AG967" s="359" t="str">
        <f t="shared" si="220"/>
        <v/>
      </c>
      <c r="AH967" s="359" t="str">
        <f t="shared" si="221"/>
        <v/>
      </c>
      <c r="AI967" s="359" t="str">
        <f t="shared" si="222"/>
        <v/>
      </c>
      <c r="AJ967" s="359" t="str">
        <f t="shared" si="223"/>
        <v/>
      </c>
      <c r="AK967" s="359" t="str">
        <f t="shared" si="224"/>
        <v/>
      </c>
      <c r="AL967" s="359" t="str">
        <f t="shared" si="225"/>
        <v/>
      </c>
      <c r="AM967" s="359" t="str">
        <f t="shared" si="226"/>
        <v/>
      </c>
      <c r="AN967" s="262">
        <f t="shared" si="229"/>
        <v>0</v>
      </c>
      <c r="AO967" s="262" t="str">
        <f>IFERROR(HLOOKUP(AN967,'Ref Lists'!Q$1:AL$2,2,FALSE),'Ref Lists'!$AK$2)</f>
        <v>Savings21</v>
      </c>
      <c r="AP967" s="38"/>
      <c r="AQ967" s="38">
        <f t="shared" si="218"/>
        <v>0</v>
      </c>
      <c r="AR967" s="38"/>
      <c r="AS967" s="38"/>
      <c r="AT967" s="38"/>
      <c r="AU967" s="38"/>
      <c r="AV967" s="38"/>
      <c r="AW967" s="38"/>
      <c r="AX967" s="38"/>
      <c r="AY967" s="38"/>
      <c r="AZ967" s="38"/>
      <c r="BA967" s="38"/>
      <c r="BB967" s="38"/>
      <c r="BC967" s="38"/>
      <c r="BD967" s="38"/>
      <c r="BE967" s="38"/>
      <c r="BF967" s="38"/>
      <c r="BG967" s="38"/>
      <c r="BH967" s="38"/>
      <c r="BI967" s="38"/>
      <c r="BJ967" s="38"/>
      <c r="BK967" s="38"/>
      <c r="BL967" s="38"/>
      <c r="BM967" s="38"/>
      <c r="BN967" s="38"/>
      <c r="BO967" s="38"/>
      <c r="BP967" s="38"/>
      <c r="BQ967" s="38"/>
      <c r="BR967" s="38"/>
      <c r="BS967" s="38"/>
      <c r="BT967" s="38"/>
      <c r="BU967" s="38"/>
      <c r="BV967" s="38"/>
      <c r="BW967" s="38"/>
      <c r="BX967" s="38"/>
      <c r="BY967" s="38"/>
      <c r="BZ967" s="38"/>
      <c r="CA967" s="38"/>
      <c r="CB967" s="38"/>
      <c r="CC967" s="38"/>
      <c r="CD967" s="38"/>
      <c r="CE967" s="38"/>
      <c r="CF967" s="38"/>
      <c r="CG967" s="38"/>
      <c r="CH967" s="38"/>
      <c r="CI967" s="38"/>
      <c r="CJ967" s="38"/>
      <c r="CK967" s="38"/>
      <c r="CL967" s="38"/>
      <c r="CM967" s="38"/>
      <c r="CN967" s="38"/>
      <c r="CO967" s="38"/>
      <c r="CP967" s="38"/>
      <c r="CQ967" s="38"/>
      <c r="CR967" s="38"/>
      <c r="CS967" s="38"/>
      <c r="CT967" s="38"/>
      <c r="CU967" s="38"/>
      <c r="CV967" s="38"/>
      <c r="CW967" s="38"/>
      <c r="CX967" s="38"/>
      <c r="CY967" s="38"/>
      <c r="CZ967" s="38"/>
    </row>
    <row r="968" spans="1:104" s="40" customFormat="1" ht="20.149999999999999" customHeight="1">
      <c r="A968" s="358">
        <f t="shared" si="227"/>
        <v>967</v>
      </c>
      <c r="B968" s="359" t="str">
        <f>'Front Sheet and Checklist'!$C$5</f>
        <v>Swansea Bay UHB</v>
      </c>
      <c r="C968" s="17"/>
      <c r="D968" s="17"/>
      <c r="E968" s="17"/>
      <c r="F968" s="17"/>
      <c r="G968" s="17"/>
      <c r="H968" s="17"/>
      <c r="I968" s="361">
        <f t="shared" si="217"/>
        <v>0</v>
      </c>
      <c r="J968" s="17"/>
      <c r="K968" s="18"/>
      <c r="L968" s="18"/>
      <c r="M968" s="17"/>
      <c r="N968" s="17"/>
      <c r="O968" s="17"/>
      <c r="P968" s="17"/>
      <c r="Q968" s="169"/>
      <c r="R968" s="24"/>
      <c r="S968" s="24"/>
      <c r="T968" s="24"/>
      <c r="U968" s="25"/>
      <c r="V968" s="25"/>
      <c r="W968" s="25"/>
      <c r="X968" s="24"/>
      <c r="Y968" s="24"/>
      <c r="Z968" s="24"/>
      <c r="AA968" s="24"/>
      <c r="AB968" s="24"/>
      <c r="AC968" s="24"/>
      <c r="AD968" s="361">
        <f t="shared" si="216"/>
        <v>0</v>
      </c>
      <c r="AE968" s="359" t="str">
        <f t="shared" si="219"/>
        <v/>
      </c>
      <c r="AF968" s="359" t="str">
        <f t="shared" si="228"/>
        <v/>
      </c>
      <c r="AG968" s="359" t="str">
        <f t="shared" si="220"/>
        <v/>
      </c>
      <c r="AH968" s="359" t="str">
        <f t="shared" si="221"/>
        <v/>
      </c>
      <c r="AI968" s="359" t="str">
        <f t="shared" si="222"/>
        <v/>
      </c>
      <c r="AJ968" s="359" t="str">
        <f t="shared" si="223"/>
        <v/>
      </c>
      <c r="AK968" s="359" t="str">
        <f t="shared" si="224"/>
        <v/>
      </c>
      <c r="AL968" s="359" t="str">
        <f t="shared" si="225"/>
        <v/>
      </c>
      <c r="AM968" s="359" t="str">
        <f t="shared" si="226"/>
        <v/>
      </c>
      <c r="AN968" s="262">
        <f t="shared" si="229"/>
        <v>0</v>
      </c>
      <c r="AO968" s="262" t="str">
        <f>IFERROR(HLOOKUP(AN968,'Ref Lists'!Q$1:AL$2,2,FALSE),'Ref Lists'!$AK$2)</f>
        <v>Savings21</v>
      </c>
      <c r="AP968" s="38"/>
      <c r="AQ968" s="38">
        <f t="shared" si="218"/>
        <v>0</v>
      </c>
      <c r="AR968" s="38"/>
      <c r="AS968" s="38"/>
      <c r="AT968" s="38"/>
      <c r="AU968" s="38"/>
      <c r="AV968" s="38"/>
      <c r="AW968" s="38"/>
      <c r="AX968" s="38"/>
      <c r="AY968" s="38"/>
      <c r="AZ968" s="38"/>
      <c r="BA968" s="38"/>
      <c r="BB968" s="38"/>
      <c r="BC968" s="38"/>
      <c r="BD968" s="38"/>
      <c r="BE968" s="38"/>
      <c r="BF968" s="38"/>
      <c r="BG968" s="38"/>
      <c r="BH968" s="38"/>
      <c r="BI968" s="38"/>
      <c r="BJ968" s="38"/>
      <c r="BK968" s="38"/>
      <c r="BL968" s="38"/>
      <c r="BM968" s="38"/>
      <c r="BN968" s="38"/>
      <c r="BO968" s="38"/>
      <c r="BP968" s="38"/>
      <c r="BQ968" s="38"/>
      <c r="BR968" s="38"/>
      <c r="BS968" s="38"/>
      <c r="BT968" s="38"/>
      <c r="BU968" s="38"/>
      <c r="BV968" s="38"/>
      <c r="BW968" s="38"/>
      <c r="BX968" s="38"/>
      <c r="BY968" s="38"/>
      <c r="BZ968" s="38"/>
      <c r="CA968" s="38"/>
      <c r="CB968" s="38"/>
      <c r="CC968" s="38"/>
      <c r="CD968" s="38"/>
      <c r="CE968" s="38"/>
      <c r="CF968" s="38"/>
      <c r="CG968" s="38"/>
      <c r="CH968" s="38"/>
      <c r="CI968" s="38"/>
      <c r="CJ968" s="38"/>
      <c r="CK968" s="38"/>
      <c r="CL968" s="38"/>
      <c r="CM968" s="38"/>
      <c r="CN968" s="38"/>
      <c r="CO968" s="38"/>
      <c r="CP968" s="38"/>
      <c r="CQ968" s="38"/>
      <c r="CR968" s="38"/>
      <c r="CS968" s="38"/>
      <c r="CT968" s="38"/>
      <c r="CU968" s="38"/>
      <c r="CV968" s="38"/>
      <c r="CW968" s="38"/>
      <c r="CX968" s="38"/>
      <c r="CY968" s="38"/>
      <c r="CZ968" s="38"/>
    </row>
    <row r="969" spans="1:104" s="40" customFormat="1" ht="20.149999999999999" customHeight="1">
      <c r="A969" s="358">
        <f t="shared" si="227"/>
        <v>968</v>
      </c>
      <c r="B969" s="359" t="str">
        <f>'Front Sheet and Checklist'!$C$5</f>
        <v>Swansea Bay UHB</v>
      </c>
      <c r="C969" s="17"/>
      <c r="D969" s="17"/>
      <c r="E969" s="17"/>
      <c r="F969" s="17"/>
      <c r="G969" s="17"/>
      <c r="H969" s="17"/>
      <c r="I969" s="361">
        <f t="shared" si="217"/>
        <v>0</v>
      </c>
      <c r="J969" s="17"/>
      <c r="K969" s="18"/>
      <c r="L969" s="18"/>
      <c r="M969" s="17"/>
      <c r="N969" s="17"/>
      <c r="O969" s="17"/>
      <c r="P969" s="17"/>
      <c r="Q969" s="169"/>
      <c r="R969" s="24"/>
      <c r="S969" s="24"/>
      <c r="T969" s="24"/>
      <c r="U969" s="25"/>
      <c r="V969" s="25"/>
      <c r="W969" s="25"/>
      <c r="X969" s="24"/>
      <c r="Y969" s="24"/>
      <c r="Z969" s="24"/>
      <c r="AA969" s="24"/>
      <c r="AB969" s="24"/>
      <c r="AC969" s="24"/>
      <c r="AD969" s="361">
        <f t="shared" si="216"/>
        <v>0</v>
      </c>
      <c r="AE969" s="359" t="str">
        <f t="shared" si="219"/>
        <v/>
      </c>
      <c r="AF969" s="359" t="str">
        <f t="shared" si="228"/>
        <v/>
      </c>
      <c r="AG969" s="359" t="str">
        <f t="shared" si="220"/>
        <v/>
      </c>
      <c r="AH969" s="359" t="str">
        <f t="shared" si="221"/>
        <v/>
      </c>
      <c r="AI969" s="359" t="str">
        <f t="shared" si="222"/>
        <v/>
      </c>
      <c r="AJ969" s="359" t="str">
        <f t="shared" si="223"/>
        <v/>
      </c>
      <c r="AK969" s="359" t="str">
        <f t="shared" si="224"/>
        <v/>
      </c>
      <c r="AL969" s="359" t="str">
        <f t="shared" si="225"/>
        <v/>
      </c>
      <c r="AM969" s="359" t="str">
        <f t="shared" si="226"/>
        <v/>
      </c>
      <c r="AN969" s="262">
        <f t="shared" si="229"/>
        <v>0</v>
      </c>
      <c r="AO969" s="262" t="str">
        <f>IFERROR(HLOOKUP(AN969,'Ref Lists'!Q$1:AL$2,2,FALSE),'Ref Lists'!$AK$2)</f>
        <v>Savings21</v>
      </c>
      <c r="AP969" s="38"/>
      <c r="AQ969" s="38">
        <f t="shared" si="218"/>
        <v>0</v>
      </c>
      <c r="AR969" s="38"/>
      <c r="AS969" s="38"/>
      <c r="AT969" s="38"/>
      <c r="AU969" s="38"/>
      <c r="AV969" s="38"/>
      <c r="AW969" s="38"/>
      <c r="AX969" s="38"/>
      <c r="AY969" s="38"/>
      <c r="AZ969" s="38"/>
      <c r="BA969" s="38"/>
      <c r="BB969" s="38"/>
      <c r="BC969" s="38"/>
      <c r="BD969" s="38"/>
      <c r="BE969" s="38"/>
      <c r="BF969" s="38"/>
      <c r="BG969" s="38"/>
      <c r="BH969" s="38"/>
      <c r="BI969" s="38"/>
      <c r="BJ969" s="38"/>
      <c r="BK969" s="38"/>
      <c r="BL969" s="38"/>
      <c r="BM969" s="38"/>
      <c r="BN969" s="38"/>
      <c r="BO969" s="38"/>
      <c r="BP969" s="38"/>
      <c r="BQ969" s="38"/>
      <c r="BR969" s="38"/>
      <c r="BS969" s="38"/>
      <c r="BT969" s="38"/>
      <c r="BU969" s="38"/>
      <c r="BV969" s="38"/>
      <c r="BW969" s="38"/>
      <c r="BX969" s="38"/>
      <c r="BY969" s="38"/>
      <c r="BZ969" s="38"/>
      <c r="CA969" s="38"/>
      <c r="CB969" s="38"/>
      <c r="CC969" s="38"/>
      <c r="CD969" s="38"/>
      <c r="CE969" s="38"/>
      <c r="CF969" s="38"/>
      <c r="CG969" s="38"/>
      <c r="CH969" s="38"/>
      <c r="CI969" s="38"/>
      <c r="CJ969" s="38"/>
      <c r="CK969" s="38"/>
      <c r="CL969" s="38"/>
      <c r="CM969" s="38"/>
      <c r="CN969" s="38"/>
      <c r="CO969" s="38"/>
      <c r="CP969" s="38"/>
      <c r="CQ969" s="38"/>
      <c r="CR969" s="38"/>
      <c r="CS969" s="38"/>
      <c r="CT969" s="38"/>
      <c r="CU969" s="38"/>
      <c r="CV969" s="38"/>
      <c r="CW969" s="38"/>
      <c r="CX969" s="38"/>
      <c r="CY969" s="38"/>
      <c r="CZ969" s="38"/>
    </row>
    <row r="970" spans="1:104" s="40" customFormat="1" ht="20.149999999999999" customHeight="1">
      <c r="A970" s="358">
        <f t="shared" si="227"/>
        <v>969</v>
      </c>
      <c r="B970" s="359" t="str">
        <f>'Front Sheet and Checklist'!$C$5</f>
        <v>Swansea Bay UHB</v>
      </c>
      <c r="C970" s="17"/>
      <c r="D970" s="17"/>
      <c r="E970" s="17"/>
      <c r="F970" s="17"/>
      <c r="G970" s="17"/>
      <c r="H970" s="17"/>
      <c r="I970" s="361">
        <f t="shared" si="217"/>
        <v>0</v>
      </c>
      <c r="J970" s="17"/>
      <c r="K970" s="18"/>
      <c r="L970" s="18"/>
      <c r="M970" s="17"/>
      <c r="N970" s="17"/>
      <c r="O970" s="17"/>
      <c r="P970" s="17"/>
      <c r="Q970" s="169"/>
      <c r="R970" s="24"/>
      <c r="S970" s="24"/>
      <c r="T970" s="24"/>
      <c r="U970" s="25"/>
      <c r="V970" s="25"/>
      <c r="W970" s="25"/>
      <c r="X970" s="24"/>
      <c r="Y970" s="24"/>
      <c r="Z970" s="24"/>
      <c r="AA970" s="24"/>
      <c r="AB970" s="24"/>
      <c r="AC970" s="24"/>
      <c r="AD970" s="361">
        <f t="shared" si="216"/>
        <v>0</v>
      </c>
      <c r="AE970" s="359" t="str">
        <f t="shared" si="219"/>
        <v/>
      </c>
      <c r="AF970" s="359" t="str">
        <f t="shared" si="228"/>
        <v/>
      </c>
      <c r="AG970" s="359" t="str">
        <f t="shared" si="220"/>
        <v/>
      </c>
      <c r="AH970" s="359" t="str">
        <f t="shared" si="221"/>
        <v/>
      </c>
      <c r="AI970" s="359" t="str">
        <f t="shared" si="222"/>
        <v/>
      </c>
      <c r="AJ970" s="359" t="str">
        <f t="shared" si="223"/>
        <v/>
      </c>
      <c r="AK970" s="359" t="str">
        <f t="shared" si="224"/>
        <v/>
      </c>
      <c r="AL970" s="359" t="str">
        <f t="shared" si="225"/>
        <v/>
      </c>
      <c r="AM970" s="359" t="str">
        <f t="shared" si="226"/>
        <v/>
      </c>
      <c r="AN970" s="262">
        <f t="shared" si="229"/>
        <v>0</v>
      </c>
      <c r="AO970" s="262" t="str">
        <f>IFERROR(HLOOKUP(AN970,'Ref Lists'!Q$1:AL$2,2,FALSE),'Ref Lists'!$AK$2)</f>
        <v>Savings21</v>
      </c>
      <c r="AP970" s="38"/>
      <c r="AQ970" s="38">
        <f t="shared" si="218"/>
        <v>0</v>
      </c>
      <c r="AR970" s="38"/>
      <c r="AS970" s="38"/>
      <c r="AT970" s="38"/>
      <c r="AU970" s="38"/>
      <c r="AV970" s="38"/>
      <c r="AW970" s="38"/>
      <c r="AX970" s="38"/>
      <c r="AY970" s="38"/>
      <c r="AZ970" s="38"/>
      <c r="BA970" s="38"/>
      <c r="BB970" s="38"/>
      <c r="BC970" s="38"/>
      <c r="BD970" s="38"/>
      <c r="BE970" s="38"/>
      <c r="BF970" s="38"/>
      <c r="BG970" s="38"/>
      <c r="BH970" s="38"/>
      <c r="BI970" s="38"/>
      <c r="BJ970" s="38"/>
      <c r="BK970" s="38"/>
      <c r="BL970" s="38"/>
      <c r="BM970" s="38"/>
      <c r="BN970" s="38"/>
      <c r="BO970" s="38"/>
      <c r="BP970" s="38"/>
      <c r="BQ970" s="38"/>
      <c r="BR970" s="38"/>
      <c r="BS970" s="38"/>
      <c r="BT970" s="38"/>
      <c r="BU970" s="38"/>
      <c r="BV970" s="38"/>
      <c r="BW970" s="38"/>
      <c r="BX970" s="38"/>
      <c r="BY970" s="38"/>
      <c r="BZ970" s="38"/>
      <c r="CA970" s="38"/>
      <c r="CB970" s="38"/>
      <c r="CC970" s="38"/>
      <c r="CD970" s="38"/>
      <c r="CE970" s="38"/>
      <c r="CF970" s="38"/>
      <c r="CG970" s="38"/>
      <c r="CH970" s="38"/>
      <c r="CI970" s="38"/>
      <c r="CJ970" s="38"/>
      <c r="CK970" s="38"/>
      <c r="CL970" s="38"/>
      <c r="CM970" s="38"/>
      <c r="CN970" s="38"/>
      <c r="CO970" s="38"/>
      <c r="CP970" s="38"/>
      <c r="CQ970" s="38"/>
      <c r="CR970" s="38"/>
      <c r="CS970" s="38"/>
      <c r="CT970" s="38"/>
      <c r="CU970" s="38"/>
      <c r="CV970" s="38"/>
      <c r="CW970" s="38"/>
      <c r="CX970" s="38"/>
      <c r="CY970" s="38"/>
      <c r="CZ970" s="38"/>
    </row>
    <row r="971" spans="1:104" s="40" customFormat="1" ht="20.149999999999999" customHeight="1">
      <c r="A971" s="358">
        <f t="shared" si="227"/>
        <v>970</v>
      </c>
      <c r="B971" s="359" t="str">
        <f>'Front Sheet and Checklist'!$C$5</f>
        <v>Swansea Bay UHB</v>
      </c>
      <c r="C971" s="17"/>
      <c r="D971" s="17"/>
      <c r="E971" s="17"/>
      <c r="F971" s="17"/>
      <c r="G971" s="17"/>
      <c r="H971" s="17"/>
      <c r="I971" s="361">
        <f t="shared" si="217"/>
        <v>0</v>
      </c>
      <c r="J971" s="17"/>
      <c r="K971" s="18"/>
      <c r="L971" s="18"/>
      <c r="M971" s="17"/>
      <c r="N971" s="17"/>
      <c r="O971" s="17"/>
      <c r="P971" s="17"/>
      <c r="Q971" s="169"/>
      <c r="R971" s="24"/>
      <c r="S971" s="24"/>
      <c r="T971" s="24"/>
      <c r="U971" s="25"/>
      <c r="V971" s="25"/>
      <c r="W971" s="25"/>
      <c r="X971" s="24"/>
      <c r="Y971" s="24"/>
      <c r="Z971" s="24"/>
      <c r="AA971" s="24"/>
      <c r="AB971" s="24"/>
      <c r="AC971" s="24"/>
      <c r="AD971" s="361">
        <f t="shared" si="216"/>
        <v>0</v>
      </c>
      <c r="AE971" s="359" t="str">
        <f t="shared" si="219"/>
        <v/>
      </c>
      <c r="AF971" s="359" t="str">
        <f t="shared" si="228"/>
        <v/>
      </c>
      <c r="AG971" s="359" t="str">
        <f t="shared" si="220"/>
        <v/>
      </c>
      <c r="AH971" s="359" t="str">
        <f t="shared" si="221"/>
        <v/>
      </c>
      <c r="AI971" s="359" t="str">
        <f t="shared" si="222"/>
        <v/>
      </c>
      <c r="AJ971" s="359" t="str">
        <f t="shared" si="223"/>
        <v/>
      </c>
      <c r="AK971" s="359" t="str">
        <f t="shared" si="224"/>
        <v/>
      </c>
      <c r="AL971" s="359" t="str">
        <f t="shared" si="225"/>
        <v/>
      </c>
      <c r="AM971" s="359" t="str">
        <f t="shared" si="226"/>
        <v/>
      </c>
      <c r="AN971" s="262">
        <f t="shared" si="229"/>
        <v>0</v>
      </c>
      <c r="AO971" s="262" t="str">
        <f>IFERROR(HLOOKUP(AN971,'Ref Lists'!Q$1:AL$2,2,FALSE),'Ref Lists'!$AK$2)</f>
        <v>Savings21</v>
      </c>
      <c r="AP971" s="38"/>
      <c r="AQ971" s="38">
        <f t="shared" si="218"/>
        <v>0</v>
      </c>
      <c r="AR971" s="38"/>
      <c r="AS971" s="38"/>
      <c r="AT971" s="38"/>
      <c r="AU971" s="38"/>
      <c r="AV971" s="38"/>
      <c r="AW971" s="38"/>
      <c r="AX971" s="38"/>
      <c r="AY971" s="38"/>
      <c r="AZ971" s="38"/>
      <c r="BA971" s="38"/>
      <c r="BB971" s="38"/>
      <c r="BC971" s="38"/>
      <c r="BD971" s="38"/>
      <c r="BE971" s="38"/>
      <c r="BF971" s="38"/>
      <c r="BG971" s="38"/>
      <c r="BH971" s="38"/>
      <c r="BI971" s="38"/>
      <c r="BJ971" s="38"/>
      <c r="BK971" s="38"/>
      <c r="BL971" s="38"/>
      <c r="BM971" s="38"/>
      <c r="BN971" s="38"/>
      <c r="BO971" s="38"/>
      <c r="BP971" s="38"/>
      <c r="BQ971" s="38"/>
      <c r="BR971" s="38"/>
      <c r="BS971" s="38"/>
      <c r="BT971" s="38"/>
      <c r="BU971" s="38"/>
      <c r="BV971" s="38"/>
      <c r="BW971" s="38"/>
      <c r="BX971" s="38"/>
      <c r="BY971" s="38"/>
      <c r="BZ971" s="38"/>
      <c r="CA971" s="38"/>
      <c r="CB971" s="38"/>
      <c r="CC971" s="38"/>
      <c r="CD971" s="38"/>
      <c r="CE971" s="38"/>
      <c r="CF971" s="38"/>
      <c r="CG971" s="38"/>
      <c r="CH971" s="38"/>
      <c r="CI971" s="38"/>
      <c r="CJ971" s="38"/>
      <c r="CK971" s="38"/>
      <c r="CL971" s="38"/>
      <c r="CM971" s="38"/>
      <c r="CN971" s="38"/>
      <c r="CO971" s="38"/>
      <c r="CP971" s="38"/>
      <c r="CQ971" s="38"/>
      <c r="CR971" s="38"/>
      <c r="CS971" s="38"/>
      <c r="CT971" s="38"/>
      <c r="CU971" s="38"/>
      <c r="CV971" s="38"/>
      <c r="CW971" s="38"/>
      <c r="CX971" s="38"/>
      <c r="CY971" s="38"/>
      <c r="CZ971" s="38"/>
    </row>
    <row r="972" spans="1:104" s="40" customFormat="1" ht="20.149999999999999" customHeight="1">
      <c r="A972" s="358">
        <f t="shared" si="227"/>
        <v>971</v>
      </c>
      <c r="B972" s="359" t="str">
        <f>'Front Sheet and Checklist'!$C$5</f>
        <v>Swansea Bay UHB</v>
      </c>
      <c r="C972" s="17"/>
      <c r="D972" s="17"/>
      <c r="E972" s="17"/>
      <c r="F972" s="17"/>
      <c r="G972" s="17"/>
      <c r="H972" s="17"/>
      <c r="I972" s="361">
        <f t="shared" si="217"/>
        <v>0</v>
      </c>
      <c r="J972" s="17"/>
      <c r="K972" s="18"/>
      <c r="L972" s="18"/>
      <c r="M972" s="17"/>
      <c r="N972" s="17"/>
      <c r="O972" s="17"/>
      <c r="P972" s="17"/>
      <c r="Q972" s="169"/>
      <c r="R972" s="24"/>
      <c r="S972" s="24"/>
      <c r="T972" s="24"/>
      <c r="U972" s="25"/>
      <c r="V972" s="25"/>
      <c r="W972" s="25"/>
      <c r="X972" s="24"/>
      <c r="Y972" s="24"/>
      <c r="Z972" s="24"/>
      <c r="AA972" s="24"/>
      <c r="AB972" s="24"/>
      <c r="AC972" s="24"/>
      <c r="AD972" s="361">
        <f t="shared" si="216"/>
        <v>0</v>
      </c>
      <c r="AE972" s="359" t="str">
        <f t="shared" si="219"/>
        <v/>
      </c>
      <c r="AF972" s="359" t="str">
        <f t="shared" si="228"/>
        <v/>
      </c>
      <c r="AG972" s="359" t="str">
        <f t="shared" si="220"/>
        <v/>
      </c>
      <c r="AH972" s="359" t="str">
        <f t="shared" si="221"/>
        <v/>
      </c>
      <c r="AI972" s="359" t="str">
        <f t="shared" si="222"/>
        <v/>
      </c>
      <c r="AJ972" s="359" t="str">
        <f t="shared" si="223"/>
        <v/>
      </c>
      <c r="AK972" s="359" t="str">
        <f t="shared" si="224"/>
        <v/>
      </c>
      <c r="AL972" s="359" t="str">
        <f t="shared" si="225"/>
        <v/>
      </c>
      <c r="AM972" s="359" t="str">
        <f t="shared" si="226"/>
        <v/>
      </c>
      <c r="AN972" s="262">
        <f t="shared" si="229"/>
        <v>0</v>
      </c>
      <c r="AO972" s="262" t="str">
        <f>IFERROR(HLOOKUP(AN972,'Ref Lists'!Q$1:AL$2,2,FALSE),'Ref Lists'!$AK$2)</f>
        <v>Savings21</v>
      </c>
      <c r="AP972" s="38"/>
      <c r="AQ972" s="38">
        <f t="shared" si="218"/>
        <v>0</v>
      </c>
      <c r="AR972" s="38"/>
      <c r="AS972" s="38"/>
      <c r="AT972" s="38"/>
      <c r="AU972" s="38"/>
      <c r="AV972" s="38"/>
      <c r="AW972" s="38"/>
      <c r="AX972" s="38"/>
      <c r="AY972" s="38"/>
      <c r="AZ972" s="38"/>
      <c r="BA972" s="38"/>
      <c r="BB972" s="38"/>
      <c r="BC972" s="38"/>
      <c r="BD972" s="38"/>
      <c r="BE972" s="38"/>
      <c r="BF972" s="38"/>
      <c r="BG972" s="38"/>
      <c r="BH972" s="38"/>
      <c r="BI972" s="38"/>
      <c r="BJ972" s="38"/>
      <c r="BK972" s="38"/>
      <c r="BL972" s="38"/>
      <c r="BM972" s="38"/>
      <c r="BN972" s="38"/>
      <c r="BO972" s="38"/>
      <c r="BP972" s="38"/>
      <c r="BQ972" s="38"/>
      <c r="BR972" s="38"/>
      <c r="BS972" s="38"/>
      <c r="BT972" s="38"/>
      <c r="BU972" s="38"/>
      <c r="BV972" s="38"/>
      <c r="BW972" s="38"/>
      <c r="BX972" s="38"/>
      <c r="BY972" s="38"/>
      <c r="BZ972" s="38"/>
      <c r="CA972" s="38"/>
      <c r="CB972" s="38"/>
      <c r="CC972" s="38"/>
      <c r="CD972" s="38"/>
      <c r="CE972" s="38"/>
      <c r="CF972" s="38"/>
      <c r="CG972" s="38"/>
      <c r="CH972" s="38"/>
      <c r="CI972" s="38"/>
      <c r="CJ972" s="38"/>
      <c r="CK972" s="38"/>
      <c r="CL972" s="38"/>
      <c r="CM972" s="38"/>
      <c r="CN972" s="38"/>
      <c r="CO972" s="38"/>
      <c r="CP972" s="38"/>
      <c r="CQ972" s="38"/>
      <c r="CR972" s="38"/>
      <c r="CS972" s="38"/>
      <c r="CT972" s="38"/>
      <c r="CU972" s="38"/>
      <c r="CV972" s="38"/>
      <c r="CW972" s="38"/>
      <c r="CX972" s="38"/>
      <c r="CY972" s="38"/>
      <c r="CZ972" s="38"/>
    </row>
    <row r="973" spans="1:104" s="40" customFormat="1" ht="20.149999999999999" customHeight="1">
      <c r="A973" s="358">
        <f t="shared" si="227"/>
        <v>972</v>
      </c>
      <c r="B973" s="359" t="str">
        <f>'Front Sheet and Checklist'!$C$5</f>
        <v>Swansea Bay UHB</v>
      </c>
      <c r="C973" s="17"/>
      <c r="D973" s="17"/>
      <c r="E973" s="17"/>
      <c r="F973" s="17"/>
      <c r="G973" s="17"/>
      <c r="H973" s="17"/>
      <c r="I973" s="361">
        <f t="shared" si="217"/>
        <v>0</v>
      </c>
      <c r="J973" s="17"/>
      <c r="K973" s="18"/>
      <c r="L973" s="18"/>
      <c r="M973" s="17"/>
      <c r="N973" s="17"/>
      <c r="O973" s="17"/>
      <c r="P973" s="17"/>
      <c r="Q973" s="169"/>
      <c r="R973" s="24"/>
      <c r="S973" s="24"/>
      <c r="T973" s="24"/>
      <c r="U973" s="25"/>
      <c r="V973" s="25"/>
      <c r="W973" s="25"/>
      <c r="X973" s="24"/>
      <c r="Y973" s="24"/>
      <c r="Z973" s="24"/>
      <c r="AA973" s="24"/>
      <c r="AB973" s="24"/>
      <c r="AC973" s="24"/>
      <c r="AD973" s="361">
        <f t="shared" si="216"/>
        <v>0</v>
      </c>
      <c r="AE973" s="359" t="str">
        <f t="shared" si="219"/>
        <v/>
      </c>
      <c r="AF973" s="359" t="str">
        <f t="shared" si="228"/>
        <v/>
      </c>
      <c r="AG973" s="359" t="str">
        <f t="shared" si="220"/>
        <v/>
      </c>
      <c r="AH973" s="359" t="str">
        <f t="shared" si="221"/>
        <v/>
      </c>
      <c r="AI973" s="359" t="str">
        <f t="shared" si="222"/>
        <v/>
      </c>
      <c r="AJ973" s="359" t="str">
        <f t="shared" si="223"/>
        <v/>
      </c>
      <c r="AK973" s="359" t="str">
        <f t="shared" si="224"/>
        <v/>
      </c>
      <c r="AL973" s="359" t="str">
        <f t="shared" si="225"/>
        <v/>
      </c>
      <c r="AM973" s="359" t="str">
        <f t="shared" si="226"/>
        <v/>
      </c>
      <c r="AN973" s="262">
        <f t="shared" si="229"/>
        <v>0</v>
      </c>
      <c r="AO973" s="262" t="str">
        <f>IFERROR(HLOOKUP(AN973,'Ref Lists'!Q$1:AL$2,2,FALSE),'Ref Lists'!$AK$2)</f>
        <v>Savings21</v>
      </c>
      <c r="AP973" s="38"/>
      <c r="AQ973" s="38">
        <f t="shared" si="218"/>
        <v>0</v>
      </c>
      <c r="AR973" s="38"/>
      <c r="AS973" s="38"/>
      <c r="AT973" s="38"/>
      <c r="AU973" s="38"/>
      <c r="AV973" s="38"/>
      <c r="AW973" s="38"/>
      <c r="AX973" s="38"/>
      <c r="AY973" s="38"/>
      <c r="AZ973" s="38"/>
      <c r="BA973" s="38"/>
      <c r="BB973" s="38"/>
      <c r="BC973" s="38"/>
      <c r="BD973" s="38"/>
      <c r="BE973" s="38"/>
      <c r="BF973" s="38"/>
      <c r="BG973" s="38"/>
      <c r="BH973" s="38"/>
      <c r="BI973" s="38"/>
      <c r="BJ973" s="38"/>
      <c r="BK973" s="38"/>
      <c r="BL973" s="38"/>
      <c r="BM973" s="38"/>
      <c r="BN973" s="38"/>
      <c r="BO973" s="38"/>
      <c r="BP973" s="38"/>
      <c r="BQ973" s="38"/>
      <c r="BR973" s="38"/>
      <c r="BS973" s="38"/>
      <c r="BT973" s="38"/>
      <c r="BU973" s="38"/>
      <c r="BV973" s="38"/>
      <c r="BW973" s="38"/>
      <c r="BX973" s="38"/>
      <c r="BY973" s="38"/>
      <c r="BZ973" s="38"/>
      <c r="CA973" s="38"/>
      <c r="CB973" s="38"/>
      <c r="CC973" s="38"/>
      <c r="CD973" s="38"/>
      <c r="CE973" s="38"/>
      <c r="CF973" s="38"/>
      <c r="CG973" s="38"/>
      <c r="CH973" s="38"/>
      <c r="CI973" s="38"/>
      <c r="CJ973" s="38"/>
      <c r="CK973" s="38"/>
      <c r="CL973" s="38"/>
      <c r="CM973" s="38"/>
      <c r="CN973" s="38"/>
      <c r="CO973" s="38"/>
      <c r="CP973" s="38"/>
      <c r="CQ973" s="38"/>
      <c r="CR973" s="38"/>
      <c r="CS973" s="38"/>
      <c r="CT973" s="38"/>
      <c r="CU973" s="38"/>
      <c r="CV973" s="38"/>
      <c r="CW973" s="38"/>
      <c r="CX973" s="38"/>
      <c r="CY973" s="38"/>
      <c r="CZ973" s="38"/>
    </row>
    <row r="974" spans="1:104" s="40" customFormat="1" ht="20.149999999999999" customHeight="1">
      <c r="A974" s="358">
        <f t="shared" si="227"/>
        <v>973</v>
      </c>
      <c r="B974" s="359" t="str">
        <f>'Front Sheet and Checklist'!$C$5</f>
        <v>Swansea Bay UHB</v>
      </c>
      <c r="C974" s="17"/>
      <c r="D974" s="17"/>
      <c r="E974" s="17"/>
      <c r="F974" s="17"/>
      <c r="G974" s="17"/>
      <c r="H974" s="17"/>
      <c r="I974" s="361">
        <f t="shared" si="217"/>
        <v>0</v>
      </c>
      <c r="J974" s="17"/>
      <c r="K974" s="18"/>
      <c r="L974" s="18"/>
      <c r="M974" s="17"/>
      <c r="N974" s="17"/>
      <c r="O974" s="17"/>
      <c r="P974" s="17"/>
      <c r="Q974" s="169"/>
      <c r="R974" s="24"/>
      <c r="S974" s="24"/>
      <c r="T974" s="24"/>
      <c r="U974" s="25"/>
      <c r="V974" s="25"/>
      <c r="W974" s="25"/>
      <c r="X974" s="24"/>
      <c r="Y974" s="24"/>
      <c r="Z974" s="24"/>
      <c r="AA974" s="24"/>
      <c r="AB974" s="24"/>
      <c r="AC974" s="24"/>
      <c r="AD974" s="361">
        <f t="shared" si="216"/>
        <v>0</v>
      </c>
      <c r="AE974" s="359" t="str">
        <f t="shared" si="219"/>
        <v/>
      </c>
      <c r="AF974" s="359" t="str">
        <f t="shared" si="228"/>
        <v/>
      </c>
      <c r="AG974" s="359" t="str">
        <f t="shared" si="220"/>
        <v/>
      </c>
      <c r="AH974" s="359" t="str">
        <f t="shared" si="221"/>
        <v/>
      </c>
      <c r="AI974" s="359" t="str">
        <f t="shared" si="222"/>
        <v/>
      </c>
      <c r="AJ974" s="359" t="str">
        <f t="shared" si="223"/>
        <v/>
      </c>
      <c r="AK974" s="359" t="str">
        <f t="shared" si="224"/>
        <v/>
      </c>
      <c r="AL974" s="359" t="str">
        <f t="shared" si="225"/>
        <v/>
      </c>
      <c r="AM974" s="359" t="str">
        <f t="shared" si="226"/>
        <v/>
      </c>
      <c r="AN974" s="262">
        <f t="shared" si="229"/>
        <v>0</v>
      </c>
      <c r="AO974" s="262" t="str">
        <f>IFERROR(HLOOKUP(AN974,'Ref Lists'!Q$1:AL$2,2,FALSE),'Ref Lists'!$AK$2)</f>
        <v>Savings21</v>
      </c>
      <c r="AP974" s="38"/>
      <c r="AQ974" s="38">
        <f t="shared" si="218"/>
        <v>0</v>
      </c>
      <c r="AR974" s="38"/>
      <c r="AS974" s="38"/>
      <c r="AT974" s="38"/>
      <c r="AU974" s="38"/>
      <c r="AV974" s="38"/>
      <c r="AW974" s="38"/>
      <c r="AX974" s="38"/>
      <c r="AY974" s="38"/>
      <c r="AZ974" s="38"/>
      <c r="BA974" s="38"/>
      <c r="BB974" s="38"/>
      <c r="BC974" s="38"/>
      <c r="BD974" s="38"/>
      <c r="BE974" s="38"/>
      <c r="BF974" s="38"/>
      <c r="BG974" s="38"/>
      <c r="BH974" s="38"/>
      <c r="BI974" s="38"/>
      <c r="BJ974" s="38"/>
      <c r="BK974" s="38"/>
      <c r="BL974" s="38"/>
      <c r="BM974" s="38"/>
      <c r="BN974" s="38"/>
      <c r="BO974" s="38"/>
      <c r="BP974" s="38"/>
      <c r="BQ974" s="38"/>
      <c r="BR974" s="38"/>
      <c r="BS974" s="38"/>
      <c r="BT974" s="38"/>
      <c r="BU974" s="38"/>
      <c r="BV974" s="38"/>
      <c r="BW974" s="38"/>
      <c r="BX974" s="38"/>
      <c r="BY974" s="38"/>
      <c r="BZ974" s="38"/>
      <c r="CA974" s="38"/>
      <c r="CB974" s="38"/>
      <c r="CC974" s="38"/>
      <c r="CD974" s="38"/>
      <c r="CE974" s="38"/>
      <c r="CF974" s="38"/>
      <c r="CG974" s="38"/>
      <c r="CH974" s="38"/>
      <c r="CI974" s="38"/>
      <c r="CJ974" s="38"/>
      <c r="CK974" s="38"/>
      <c r="CL974" s="38"/>
      <c r="CM974" s="38"/>
      <c r="CN974" s="38"/>
      <c r="CO974" s="38"/>
      <c r="CP974" s="38"/>
      <c r="CQ974" s="38"/>
      <c r="CR974" s="38"/>
      <c r="CS974" s="38"/>
      <c r="CT974" s="38"/>
      <c r="CU974" s="38"/>
      <c r="CV974" s="38"/>
      <c r="CW974" s="38"/>
      <c r="CX974" s="38"/>
      <c r="CY974" s="38"/>
      <c r="CZ974" s="38"/>
    </row>
    <row r="975" spans="1:104" s="40" customFormat="1" ht="20.149999999999999" customHeight="1">
      <c r="A975" s="358">
        <f t="shared" si="227"/>
        <v>974</v>
      </c>
      <c r="B975" s="359" t="str">
        <f>'Front Sheet and Checklist'!$C$5</f>
        <v>Swansea Bay UHB</v>
      </c>
      <c r="C975" s="17"/>
      <c r="D975" s="17"/>
      <c r="E975" s="17"/>
      <c r="F975" s="17"/>
      <c r="G975" s="17"/>
      <c r="H975" s="17"/>
      <c r="I975" s="361">
        <f t="shared" si="217"/>
        <v>0</v>
      </c>
      <c r="J975" s="17"/>
      <c r="K975" s="18"/>
      <c r="L975" s="18"/>
      <c r="M975" s="17"/>
      <c r="N975" s="17"/>
      <c r="O975" s="17"/>
      <c r="P975" s="17"/>
      <c r="Q975" s="169"/>
      <c r="R975" s="24"/>
      <c r="S975" s="24"/>
      <c r="T975" s="24"/>
      <c r="U975" s="25"/>
      <c r="V975" s="25"/>
      <c r="W975" s="25"/>
      <c r="X975" s="24"/>
      <c r="Y975" s="24"/>
      <c r="Z975" s="24"/>
      <c r="AA975" s="24"/>
      <c r="AB975" s="24"/>
      <c r="AC975" s="24"/>
      <c r="AD975" s="361">
        <f t="shared" si="216"/>
        <v>0</v>
      </c>
      <c r="AE975" s="359" t="str">
        <f t="shared" si="219"/>
        <v/>
      </c>
      <c r="AF975" s="359" t="str">
        <f t="shared" si="228"/>
        <v/>
      </c>
      <c r="AG975" s="359" t="str">
        <f t="shared" si="220"/>
        <v/>
      </c>
      <c r="AH975" s="359" t="str">
        <f t="shared" si="221"/>
        <v/>
      </c>
      <c r="AI975" s="359" t="str">
        <f t="shared" si="222"/>
        <v/>
      </c>
      <c r="AJ975" s="359" t="str">
        <f t="shared" si="223"/>
        <v/>
      </c>
      <c r="AK975" s="359" t="str">
        <f t="shared" si="224"/>
        <v/>
      </c>
      <c r="AL975" s="359" t="str">
        <f t="shared" si="225"/>
        <v/>
      </c>
      <c r="AM975" s="359" t="str">
        <f t="shared" si="226"/>
        <v/>
      </c>
      <c r="AN975" s="262">
        <f t="shared" si="229"/>
        <v>0</v>
      </c>
      <c r="AO975" s="262" t="str">
        <f>IFERROR(HLOOKUP(AN975,'Ref Lists'!Q$1:AL$2,2,FALSE),'Ref Lists'!$AK$2)</f>
        <v>Savings21</v>
      </c>
      <c r="AP975" s="38"/>
      <c r="AQ975" s="38">
        <f t="shared" si="218"/>
        <v>0</v>
      </c>
      <c r="AR975" s="38"/>
      <c r="AS975" s="38"/>
      <c r="AT975" s="38"/>
      <c r="AU975" s="38"/>
      <c r="AV975" s="38"/>
      <c r="AW975" s="38"/>
      <c r="AX975" s="38"/>
      <c r="AY975" s="38"/>
      <c r="AZ975" s="38"/>
      <c r="BA975" s="38"/>
      <c r="BB975" s="38"/>
      <c r="BC975" s="38"/>
      <c r="BD975" s="38"/>
      <c r="BE975" s="38"/>
      <c r="BF975" s="38"/>
      <c r="BG975" s="38"/>
      <c r="BH975" s="38"/>
      <c r="BI975" s="38"/>
      <c r="BJ975" s="38"/>
      <c r="BK975" s="38"/>
      <c r="BL975" s="38"/>
      <c r="BM975" s="38"/>
      <c r="BN975" s="38"/>
      <c r="BO975" s="38"/>
      <c r="BP975" s="38"/>
      <c r="BQ975" s="38"/>
      <c r="BR975" s="38"/>
      <c r="BS975" s="38"/>
      <c r="BT975" s="38"/>
      <c r="BU975" s="38"/>
      <c r="BV975" s="38"/>
      <c r="BW975" s="38"/>
      <c r="BX975" s="38"/>
      <c r="BY975" s="38"/>
      <c r="BZ975" s="38"/>
      <c r="CA975" s="38"/>
      <c r="CB975" s="38"/>
      <c r="CC975" s="38"/>
      <c r="CD975" s="38"/>
      <c r="CE975" s="38"/>
      <c r="CF975" s="38"/>
      <c r="CG975" s="38"/>
      <c r="CH975" s="38"/>
      <c r="CI975" s="38"/>
      <c r="CJ975" s="38"/>
      <c r="CK975" s="38"/>
      <c r="CL975" s="38"/>
      <c r="CM975" s="38"/>
      <c r="CN975" s="38"/>
      <c r="CO975" s="38"/>
      <c r="CP975" s="38"/>
      <c r="CQ975" s="38"/>
      <c r="CR975" s="38"/>
      <c r="CS975" s="38"/>
      <c r="CT975" s="38"/>
      <c r="CU975" s="38"/>
      <c r="CV975" s="38"/>
      <c r="CW975" s="38"/>
      <c r="CX975" s="38"/>
      <c r="CY975" s="38"/>
      <c r="CZ975" s="38"/>
    </row>
    <row r="976" spans="1:104" s="40" customFormat="1" ht="20.149999999999999" customHeight="1">
      <c r="A976" s="358">
        <f t="shared" si="227"/>
        <v>975</v>
      </c>
      <c r="B976" s="359" t="str">
        <f>'Front Sheet and Checklist'!$C$5</f>
        <v>Swansea Bay UHB</v>
      </c>
      <c r="C976" s="17"/>
      <c r="D976" s="17"/>
      <c r="E976" s="17"/>
      <c r="F976" s="17"/>
      <c r="G976" s="17"/>
      <c r="H976" s="17"/>
      <c r="I976" s="361">
        <f t="shared" si="217"/>
        <v>0</v>
      </c>
      <c r="J976" s="17"/>
      <c r="K976" s="18"/>
      <c r="L976" s="18"/>
      <c r="M976" s="17"/>
      <c r="N976" s="17"/>
      <c r="O976" s="17"/>
      <c r="P976" s="17"/>
      <c r="Q976" s="169"/>
      <c r="R976" s="24"/>
      <c r="S976" s="24"/>
      <c r="T976" s="24"/>
      <c r="U976" s="25"/>
      <c r="V976" s="25"/>
      <c r="W976" s="25"/>
      <c r="X976" s="24"/>
      <c r="Y976" s="24"/>
      <c r="Z976" s="24"/>
      <c r="AA976" s="24"/>
      <c r="AB976" s="24"/>
      <c r="AC976" s="24"/>
      <c r="AD976" s="361">
        <f t="shared" si="216"/>
        <v>0</v>
      </c>
      <c r="AE976" s="359" t="str">
        <f t="shared" si="219"/>
        <v/>
      </c>
      <c r="AF976" s="359" t="str">
        <f t="shared" si="228"/>
        <v/>
      </c>
      <c r="AG976" s="359" t="str">
        <f t="shared" si="220"/>
        <v/>
      </c>
      <c r="AH976" s="359" t="str">
        <f t="shared" si="221"/>
        <v/>
      </c>
      <c r="AI976" s="359" t="str">
        <f t="shared" si="222"/>
        <v/>
      </c>
      <c r="AJ976" s="359" t="str">
        <f t="shared" si="223"/>
        <v/>
      </c>
      <c r="AK976" s="359" t="str">
        <f t="shared" si="224"/>
        <v/>
      </c>
      <c r="AL976" s="359" t="str">
        <f t="shared" si="225"/>
        <v/>
      </c>
      <c r="AM976" s="359" t="str">
        <f t="shared" si="226"/>
        <v/>
      </c>
      <c r="AN976" s="262">
        <f t="shared" si="229"/>
        <v>0</v>
      </c>
      <c r="AO976" s="262" t="str">
        <f>IFERROR(HLOOKUP(AN976,'Ref Lists'!Q$1:AL$2,2,FALSE),'Ref Lists'!$AK$2)</f>
        <v>Savings21</v>
      </c>
      <c r="AP976" s="38"/>
      <c r="AQ976" s="38">
        <f t="shared" si="218"/>
        <v>0</v>
      </c>
      <c r="AR976" s="38"/>
      <c r="AS976" s="38"/>
      <c r="AT976" s="38"/>
      <c r="AU976" s="38"/>
      <c r="AV976" s="38"/>
      <c r="AW976" s="38"/>
      <c r="AX976" s="38"/>
      <c r="AY976" s="38"/>
      <c r="AZ976" s="38"/>
      <c r="BA976" s="38"/>
      <c r="BB976" s="38"/>
      <c r="BC976" s="38"/>
      <c r="BD976" s="38"/>
      <c r="BE976" s="38"/>
      <c r="BF976" s="38"/>
      <c r="BG976" s="38"/>
      <c r="BH976" s="38"/>
      <c r="BI976" s="38"/>
      <c r="BJ976" s="38"/>
      <c r="BK976" s="38"/>
      <c r="BL976" s="38"/>
      <c r="BM976" s="38"/>
      <c r="BN976" s="38"/>
      <c r="BO976" s="38"/>
      <c r="BP976" s="38"/>
      <c r="BQ976" s="38"/>
      <c r="BR976" s="38"/>
      <c r="BS976" s="38"/>
      <c r="BT976" s="38"/>
      <c r="BU976" s="38"/>
      <c r="BV976" s="38"/>
      <c r="BW976" s="38"/>
      <c r="BX976" s="38"/>
      <c r="BY976" s="38"/>
      <c r="BZ976" s="38"/>
      <c r="CA976" s="38"/>
      <c r="CB976" s="38"/>
      <c r="CC976" s="38"/>
      <c r="CD976" s="38"/>
      <c r="CE976" s="38"/>
      <c r="CF976" s="38"/>
      <c r="CG976" s="38"/>
      <c r="CH976" s="38"/>
      <c r="CI976" s="38"/>
      <c r="CJ976" s="38"/>
      <c r="CK976" s="38"/>
      <c r="CL976" s="38"/>
      <c r="CM976" s="38"/>
      <c r="CN976" s="38"/>
      <c r="CO976" s="38"/>
      <c r="CP976" s="38"/>
      <c r="CQ976" s="38"/>
      <c r="CR976" s="38"/>
      <c r="CS976" s="38"/>
      <c r="CT976" s="38"/>
      <c r="CU976" s="38"/>
      <c r="CV976" s="38"/>
      <c r="CW976" s="38"/>
      <c r="CX976" s="38"/>
      <c r="CY976" s="38"/>
      <c r="CZ976" s="38"/>
    </row>
    <row r="977" spans="1:104" s="40" customFormat="1" ht="20.149999999999999" customHeight="1">
      <c r="A977" s="358">
        <f t="shared" si="227"/>
        <v>976</v>
      </c>
      <c r="B977" s="359" t="str">
        <f>'Front Sheet and Checklist'!$C$5</f>
        <v>Swansea Bay UHB</v>
      </c>
      <c r="C977" s="17"/>
      <c r="D977" s="17"/>
      <c r="E977" s="17"/>
      <c r="F977" s="17"/>
      <c r="G977" s="17"/>
      <c r="H977" s="17"/>
      <c r="I977" s="361">
        <f t="shared" si="217"/>
        <v>0</v>
      </c>
      <c r="J977" s="17"/>
      <c r="K977" s="18"/>
      <c r="L977" s="18"/>
      <c r="M977" s="17"/>
      <c r="N977" s="17"/>
      <c r="O977" s="17"/>
      <c r="P977" s="17"/>
      <c r="Q977" s="169"/>
      <c r="R977" s="24"/>
      <c r="S977" s="24"/>
      <c r="T977" s="24"/>
      <c r="U977" s="25"/>
      <c r="V977" s="25"/>
      <c r="W977" s="25"/>
      <c r="X977" s="24"/>
      <c r="Y977" s="24"/>
      <c r="Z977" s="24"/>
      <c r="AA977" s="24"/>
      <c r="AB977" s="24"/>
      <c r="AC977" s="24"/>
      <c r="AD977" s="361">
        <f t="shared" si="216"/>
        <v>0</v>
      </c>
      <c r="AE977" s="359" t="str">
        <f t="shared" si="219"/>
        <v/>
      </c>
      <c r="AF977" s="359" t="str">
        <f t="shared" si="228"/>
        <v/>
      </c>
      <c r="AG977" s="359" t="str">
        <f t="shared" si="220"/>
        <v/>
      </c>
      <c r="AH977" s="359" t="str">
        <f t="shared" si="221"/>
        <v/>
      </c>
      <c r="AI977" s="359" t="str">
        <f t="shared" si="222"/>
        <v/>
      </c>
      <c r="AJ977" s="359" t="str">
        <f t="shared" si="223"/>
        <v/>
      </c>
      <c r="AK977" s="359" t="str">
        <f t="shared" si="224"/>
        <v/>
      </c>
      <c r="AL977" s="359" t="str">
        <f t="shared" si="225"/>
        <v/>
      </c>
      <c r="AM977" s="359" t="str">
        <f t="shared" si="226"/>
        <v/>
      </c>
      <c r="AN977" s="262">
        <f t="shared" si="229"/>
        <v>0</v>
      </c>
      <c r="AO977" s="262" t="str">
        <f>IFERROR(HLOOKUP(AN977,'Ref Lists'!Q$1:AL$2,2,FALSE),'Ref Lists'!$AK$2)</f>
        <v>Savings21</v>
      </c>
      <c r="AP977" s="38"/>
      <c r="AQ977" s="38">
        <f t="shared" si="218"/>
        <v>0</v>
      </c>
      <c r="AR977" s="38"/>
      <c r="AS977" s="38"/>
      <c r="AT977" s="38"/>
      <c r="AU977" s="38"/>
      <c r="AV977" s="38"/>
      <c r="AW977" s="38"/>
      <c r="AX977" s="38"/>
      <c r="AY977" s="38"/>
      <c r="AZ977" s="38"/>
      <c r="BA977" s="38"/>
      <c r="BB977" s="38"/>
      <c r="BC977" s="38"/>
      <c r="BD977" s="38"/>
      <c r="BE977" s="38"/>
      <c r="BF977" s="38"/>
      <c r="BG977" s="38"/>
      <c r="BH977" s="38"/>
      <c r="BI977" s="38"/>
      <c r="BJ977" s="38"/>
      <c r="BK977" s="38"/>
      <c r="BL977" s="38"/>
      <c r="BM977" s="38"/>
      <c r="BN977" s="38"/>
      <c r="BO977" s="38"/>
      <c r="BP977" s="38"/>
      <c r="BQ977" s="38"/>
      <c r="BR977" s="38"/>
      <c r="BS977" s="38"/>
      <c r="BT977" s="38"/>
      <c r="BU977" s="38"/>
      <c r="BV977" s="38"/>
      <c r="BW977" s="38"/>
      <c r="BX977" s="38"/>
      <c r="BY977" s="38"/>
      <c r="BZ977" s="38"/>
      <c r="CA977" s="38"/>
      <c r="CB977" s="38"/>
      <c r="CC977" s="38"/>
      <c r="CD977" s="38"/>
      <c r="CE977" s="38"/>
      <c r="CF977" s="38"/>
      <c r="CG977" s="38"/>
      <c r="CH977" s="38"/>
      <c r="CI977" s="38"/>
      <c r="CJ977" s="38"/>
      <c r="CK977" s="38"/>
      <c r="CL977" s="38"/>
      <c r="CM977" s="38"/>
      <c r="CN977" s="38"/>
      <c r="CO977" s="38"/>
      <c r="CP977" s="38"/>
      <c r="CQ977" s="38"/>
      <c r="CR977" s="38"/>
      <c r="CS977" s="38"/>
      <c r="CT977" s="38"/>
      <c r="CU977" s="38"/>
      <c r="CV977" s="38"/>
      <c r="CW977" s="38"/>
      <c r="CX977" s="38"/>
      <c r="CY977" s="38"/>
      <c r="CZ977" s="38"/>
    </row>
    <row r="978" spans="1:104" s="40" customFormat="1" ht="20.149999999999999" customHeight="1">
      <c r="A978" s="358">
        <f t="shared" si="227"/>
        <v>977</v>
      </c>
      <c r="B978" s="359" t="str">
        <f>'Front Sheet and Checklist'!$C$5</f>
        <v>Swansea Bay UHB</v>
      </c>
      <c r="C978" s="17"/>
      <c r="D978" s="17"/>
      <c r="E978" s="17"/>
      <c r="F978" s="17"/>
      <c r="G978" s="17"/>
      <c r="H978" s="17"/>
      <c r="I978" s="361">
        <f t="shared" si="217"/>
        <v>0</v>
      </c>
      <c r="J978" s="17"/>
      <c r="K978" s="18"/>
      <c r="L978" s="18"/>
      <c r="M978" s="17"/>
      <c r="N978" s="17"/>
      <c r="O978" s="17"/>
      <c r="P978" s="17"/>
      <c r="Q978" s="169"/>
      <c r="R978" s="24"/>
      <c r="S978" s="24"/>
      <c r="T978" s="24"/>
      <c r="U978" s="25"/>
      <c r="V978" s="25"/>
      <c r="W978" s="25"/>
      <c r="X978" s="24"/>
      <c r="Y978" s="24"/>
      <c r="Z978" s="24"/>
      <c r="AA978" s="24"/>
      <c r="AB978" s="24"/>
      <c r="AC978" s="24"/>
      <c r="AD978" s="361">
        <f t="shared" si="216"/>
        <v>0</v>
      </c>
      <c r="AE978" s="359" t="str">
        <f t="shared" si="219"/>
        <v/>
      </c>
      <c r="AF978" s="359" t="str">
        <f t="shared" si="228"/>
        <v/>
      </c>
      <c r="AG978" s="359" t="str">
        <f t="shared" si="220"/>
        <v/>
      </c>
      <c r="AH978" s="359" t="str">
        <f t="shared" si="221"/>
        <v/>
      </c>
      <c r="AI978" s="359" t="str">
        <f t="shared" si="222"/>
        <v/>
      </c>
      <c r="AJ978" s="359" t="str">
        <f t="shared" si="223"/>
        <v/>
      </c>
      <c r="AK978" s="359" t="str">
        <f t="shared" si="224"/>
        <v/>
      </c>
      <c r="AL978" s="359" t="str">
        <f t="shared" si="225"/>
        <v/>
      </c>
      <c r="AM978" s="359" t="str">
        <f t="shared" si="226"/>
        <v/>
      </c>
      <c r="AN978" s="262">
        <f t="shared" si="229"/>
        <v>0</v>
      </c>
      <c r="AO978" s="262" t="str">
        <f>IFERROR(HLOOKUP(AN978,'Ref Lists'!Q$1:AL$2,2,FALSE),'Ref Lists'!$AK$2)</f>
        <v>Savings21</v>
      </c>
      <c r="AP978" s="38"/>
      <c r="AQ978" s="38">
        <f t="shared" si="218"/>
        <v>0</v>
      </c>
      <c r="AR978" s="38"/>
      <c r="AS978" s="38"/>
      <c r="AT978" s="38"/>
      <c r="AU978" s="38"/>
      <c r="AV978" s="38"/>
      <c r="AW978" s="38"/>
      <c r="AX978" s="38"/>
      <c r="AY978" s="38"/>
      <c r="AZ978" s="38"/>
      <c r="BA978" s="38"/>
      <c r="BB978" s="38"/>
      <c r="BC978" s="38"/>
      <c r="BD978" s="38"/>
      <c r="BE978" s="38"/>
      <c r="BF978" s="38"/>
      <c r="BG978" s="38"/>
      <c r="BH978" s="38"/>
      <c r="BI978" s="38"/>
      <c r="BJ978" s="38"/>
      <c r="BK978" s="38"/>
      <c r="BL978" s="38"/>
      <c r="BM978" s="38"/>
      <c r="BN978" s="38"/>
      <c r="BO978" s="38"/>
      <c r="BP978" s="38"/>
      <c r="BQ978" s="38"/>
      <c r="BR978" s="38"/>
      <c r="BS978" s="38"/>
      <c r="BT978" s="38"/>
      <c r="BU978" s="38"/>
      <c r="BV978" s="38"/>
      <c r="BW978" s="38"/>
      <c r="BX978" s="38"/>
      <c r="BY978" s="38"/>
      <c r="BZ978" s="38"/>
      <c r="CA978" s="38"/>
      <c r="CB978" s="38"/>
      <c r="CC978" s="38"/>
      <c r="CD978" s="38"/>
      <c r="CE978" s="38"/>
      <c r="CF978" s="38"/>
      <c r="CG978" s="38"/>
      <c r="CH978" s="38"/>
      <c r="CI978" s="38"/>
      <c r="CJ978" s="38"/>
      <c r="CK978" s="38"/>
      <c r="CL978" s="38"/>
      <c r="CM978" s="38"/>
      <c r="CN978" s="38"/>
      <c r="CO978" s="38"/>
      <c r="CP978" s="38"/>
      <c r="CQ978" s="38"/>
      <c r="CR978" s="38"/>
      <c r="CS978" s="38"/>
      <c r="CT978" s="38"/>
      <c r="CU978" s="38"/>
      <c r="CV978" s="38"/>
      <c r="CW978" s="38"/>
      <c r="CX978" s="38"/>
      <c r="CY978" s="38"/>
      <c r="CZ978" s="38"/>
    </row>
    <row r="979" spans="1:104" s="40" customFormat="1" ht="20.149999999999999" customHeight="1">
      <c r="A979" s="358">
        <f t="shared" si="227"/>
        <v>978</v>
      </c>
      <c r="B979" s="359" t="str">
        <f>'Front Sheet and Checklist'!$C$5</f>
        <v>Swansea Bay UHB</v>
      </c>
      <c r="C979" s="17"/>
      <c r="D979" s="17"/>
      <c r="E979" s="17"/>
      <c r="F979" s="17"/>
      <c r="G979" s="17"/>
      <c r="H979" s="17"/>
      <c r="I979" s="361">
        <f t="shared" si="217"/>
        <v>0</v>
      </c>
      <c r="J979" s="17"/>
      <c r="K979" s="18"/>
      <c r="L979" s="18"/>
      <c r="M979" s="17"/>
      <c r="N979" s="17"/>
      <c r="O979" s="17"/>
      <c r="P979" s="17"/>
      <c r="Q979" s="169"/>
      <c r="R979" s="24"/>
      <c r="S979" s="24"/>
      <c r="T979" s="24"/>
      <c r="U979" s="25"/>
      <c r="V979" s="25"/>
      <c r="W979" s="25"/>
      <c r="X979" s="24"/>
      <c r="Y979" s="24"/>
      <c r="Z979" s="24"/>
      <c r="AA979" s="24"/>
      <c r="AB979" s="24"/>
      <c r="AC979" s="24"/>
      <c r="AD979" s="361">
        <f t="shared" si="216"/>
        <v>0</v>
      </c>
      <c r="AE979" s="359" t="str">
        <f t="shared" si="219"/>
        <v/>
      </c>
      <c r="AF979" s="359" t="str">
        <f t="shared" si="228"/>
        <v/>
      </c>
      <c r="AG979" s="359" t="str">
        <f t="shared" si="220"/>
        <v/>
      </c>
      <c r="AH979" s="359" t="str">
        <f t="shared" si="221"/>
        <v/>
      </c>
      <c r="AI979" s="359" t="str">
        <f t="shared" si="222"/>
        <v/>
      </c>
      <c r="AJ979" s="359" t="str">
        <f t="shared" si="223"/>
        <v/>
      </c>
      <c r="AK979" s="359" t="str">
        <f t="shared" si="224"/>
        <v/>
      </c>
      <c r="AL979" s="359" t="str">
        <f t="shared" si="225"/>
        <v/>
      </c>
      <c r="AM979" s="359" t="str">
        <f t="shared" si="226"/>
        <v/>
      </c>
      <c r="AN979" s="262">
        <f t="shared" si="229"/>
        <v>0</v>
      </c>
      <c r="AO979" s="262" t="str">
        <f>IFERROR(HLOOKUP(AN979,'Ref Lists'!Q$1:AL$2,2,FALSE),'Ref Lists'!$AK$2)</f>
        <v>Savings21</v>
      </c>
      <c r="AP979" s="38"/>
      <c r="AQ979" s="38">
        <f t="shared" si="218"/>
        <v>0</v>
      </c>
      <c r="AR979" s="38"/>
      <c r="AS979" s="38"/>
      <c r="AT979" s="38"/>
      <c r="AU979" s="38"/>
      <c r="AV979" s="38"/>
      <c r="AW979" s="38"/>
      <c r="AX979" s="38"/>
      <c r="AY979" s="38"/>
      <c r="AZ979" s="38"/>
      <c r="BA979" s="38"/>
      <c r="BB979" s="38"/>
      <c r="BC979" s="38"/>
      <c r="BD979" s="38"/>
      <c r="BE979" s="38"/>
      <c r="BF979" s="38"/>
      <c r="BG979" s="38"/>
      <c r="BH979" s="38"/>
      <c r="BI979" s="38"/>
      <c r="BJ979" s="38"/>
      <c r="BK979" s="38"/>
      <c r="BL979" s="38"/>
      <c r="BM979" s="38"/>
      <c r="BN979" s="38"/>
      <c r="BO979" s="38"/>
      <c r="BP979" s="38"/>
      <c r="BQ979" s="38"/>
      <c r="BR979" s="38"/>
      <c r="BS979" s="38"/>
      <c r="BT979" s="38"/>
      <c r="BU979" s="38"/>
      <c r="BV979" s="38"/>
      <c r="BW979" s="38"/>
      <c r="BX979" s="38"/>
      <c r="BY979" s="38"/>
      <c r="BZ979" s="38"/>
      <c r="CA979" s="38"/>
      <c r="CB979" s="38"/>
      <c r="CC979" s="38"/>
      <c r="CD979" s="38"/>
      <c r="CE979" s="38"/>
      <c r="CF979" s="38"/>
      <c r="CG979" s="38"/>
      <c r="CH979" s="38"/>
      <c r="CI979" s="38"/>
      <c r="CJ979" s="38"/>
      <c r="CK979" s="38"/>
      <c r="CL979" s="38"/>
      <c r="CM979" s="38"/>
      <c r="CN979" s="38"/>
      <c r="CO979" s="38"/>
      <c r="CP979" s="38"/>
      <c r="CQ979" s="38"/>
      <c r="CR979" s="38"/>
      <c r="CS979" s="38"/>
      <c r="CT979" s="38"/>
      <c r="CU979" s="38"/>
      <c r="CV979" s="38"/>
      <c r="CW979" s="38"/>
      <c r="CX979" s="38"/>
      <c r="CY979" s="38"/>
      <c r="CZ979" s="38"/>
    </row>
    <row r="980" spans="1:104" s="40" customFormat="1" ht="20.149999999999999" customHeight="1">
      <c r="A980" s="358">
        <f t="shared" si="227"/>
        <v>979</v>
      </c>
      <c r="B980" s="359" t="str">
        <f>'Front Sheet and Checklist'!$C$5</f>
        <v>Swansea Bay UHB</v>
      </c>
      <c r="C980" s="17"/>
      <c r="D980" s="17"/>
      <c r="E980" s="17"/>
      <c r="F980" s="17"/>
      <c r="G980" s="17"/>
      <c r="H980" s="17"/>
      <c r="I980" s="361">
        <f t="shared" si="217"/>
        <v>0</v>
      </c>
      <c r="J980" s="17"/>
      <c r="K980" s="18"/>
      <c r="L980" s="18"/>
      <c r="M980" s="17"/>
      <c r="N980" s="17"/>
      <c r="O980" s="17"/>
      <c r="P980" s="17"/>
      <c r="Q980" s="169"/>
      <c r="R980" s="24"/>
      <c r="S980" s="24"/>
      <c r="T980" s="24"/>
      <c r="U980" s="25"/>
      <c r="V980" s="25"/>
      <c r="W980" s="25"/>
      <c r="X980" s="24"/>
      <c r="Y980" s="24"/>
      <c r="Z980" s="24"/>
      <c r="AA980" s="24"/>
      <c r="AB980" s="24"/>
      <c r="AC980" s="24"/>
      <c r="AD980" s="361">
        <f t="shared" si="216"/>
        <v>0</v>
      </c>
      <c r="AE980" s="359" t="str">
        <f t="shared" si="219"/>
        <v/>
      </c>
      <c r="AF980" s="359" t="str">
        <f t="shared" si="228"/>
        <v/>
      </c>
      <c r="AG980" s="359" t="str">
        <f t="shared" si="220"/>
        <v/>
      </c>
      <c r="AH980" s="359" t="str">
        <f t="shared" si="221"/>
        <v/>
      </c>
      <c r="AI980" s="359" t="str">
        <f t="shared" si="222"/>
        <v/>
      </c>
      <c r="AJ980" s="359" t="str">
        <f t="shared" si="223"/>
        <v/>
      </c>
      <c r="AK980" s="359" t="str">
        <f t="shared" si="224"/>
        <v/>
      </c>
      <c r="AL980" s="359" t="str">
        <f t="shared" si="225"/>
        <v/>
      </c>
      <c r="AM980" s="359" t="str">
        <f t="shared" si="226"/>
        <v/>
      </c>
      <c r="AN980" s="262">
        <f t="shared" si="229"/>
        <v>0</v>
      </c>
      <c r="AO980" s="262" t="str">
        <f>IFERROR(HLOOKUP(AN980,'Ref Lists'!Q$1:AL$2,2,FALSE),'Ref Lists'!$AK$2)</f>
        <v>Savings21</v>
      </c>
      <c r="AP980" s="38"/>
      <c r="AQ980" s="38">
        <f t="shared" si="218"/>
        <v>0</v>
      </c>
      <c r="AR980" s="38"/>
      <c r="AS980" s="38"/>
      <c r="AT980" s="38"/>
      <c r="AU980" s="38"/>
      <c r="AV980" s="38"/>
      <c r="AW980" s="38"/>
      <c r="AX980" s="38"/>
      <c r="AY980" s="38"/>
      <c r="AZ980" s="38"/>
      <c r="BA980" s="38"/>
      <c r="BB980" s="38"/>
      <c r="BC980" s="38"/>
      <c r="BD980" s="38"/>
      <c r="BE980" s="38"/>
      <c r="BF980" s="38"/>
      <c r="BG980" s="38"/>
      <c r="BH980" s="38"/>
      <c r="BI980" s="38"/>
      <c r="BJ980" s="38"/>
      <c r="BK980" s="38"/>
      <c r="BL980" s="38"/>
      <c r="BM980" s="38"/>
      <c r="BN980" s="38"/>
      <c r="BO980" s="38"/>
      <c r="BP980" s="38"/>
      <c r="BQ980" s="38"/>
      <c r="BR980" s="38"/>
      <c r="BS980" s="38"/>
      <c r="BT980" s="38"/>
      <c r="BU980" s="38"/>
      <c r="BV980" s="38"/>
      <c r="BW980" s="38"/>
      <c r="BX980" s="38"/>
      <c r="BY980" s="38"/>
      <c r="BZ980" s="38"/>
      <c r="CA980" s="38"/>
      <c r="CB980" s="38"/>
      <c r="CC980" s="38"/>
      <c r="CD980" s="38"/>
      <c r="CE980" s="38"/>
      <c r="CF980" s="38"/>
      <c r="CG980" s="38"/>
      <c r="CH980" s="38"/>
      <c r="CI980" s="38"/>
      <c r="CJ980" s="38"/>
      <c r="CK980" s="38"/>
      <c r="CL980" s="38"/>
      <c r="CM980" s="38"/>
      <c r="CN980" s="38"/>
      <c r="CO980" s="38"/>
      <c r="CP980" s="38"/>
      <c r="CQ980" s="38"/>
      <c r="CR980" s="38"/>
      <c r="CS980" s="38"/>
      <c r="CT980" s="38"/>
      <c r="CU980" s="38"/>
      <c r="CV980" s="38"/>
      <c r="CW980" s="38"/>
      <c r="CX980" s="38"/>
      <c r="CY980" s="38"/>
      <c r="CZ980" s="38"/>
    </row>
    <row r="981" spans="1:104" s="40" customFormat="1" ht="20.149999999999999" customHeight="1">
      <c r="A981" s="358">
        <f t="shared" si="227"/>
        <v>980</v>
      </c>
      <c r="B981" s="359" t="str">
        <f>'Front Sheet and Checklist'!$C$5</f>
        <v>Swansea Bay UHB</v>
      </c>
      <c r="C981" s="17"/>
      <c r="D981" s="17"/>
      <c r="E981" s="17"/>
      <c r="F981" s="17"/>
      <c r="G981" s="17"/>
      <c r="H981" s="17"/>
      <c r="I981" s="361">
        <f t="shared" si="217"/>
        <v>0</v>
      </c>
      <c r="J981" s="17"/>
      <c r="K981" s="18"/>
      <c r="L981" s="18"/>
      <c r="M981" s="17"/>
      <c r="N981" s="17"/>
      <c r="O981" s="17"/>
      <c r="P981" s="17"/>
      <c r="Q981" s="169"/>
      <c r="R981" s="24"/>
      <c r="S981" s="24"/>
      <c r="T981" s="24"/>
      <c r="U981" s="25"/>
      <c r="V981" s="25"/>
      <c r="W981" s="25"/>
      <c r="X981" s="24"/>
      <c r="Y981" s="24"/>
      <c r="Z981" s="24"/>
      <c r="AA981" s="24"/>
      <c r="AB981" s="24"/>
      <c r="AC981" s="24"/>
      <c r="AD981" s="361">
        <f t="shared" si="216"/>
        <v>0</v>
      </c>
      <c r="AE981" s="359" t="str">
        <f t="shared" si="219"/>
        <v/>
      </c>
      <c r="AF981" s="359" t="str">
        <f t="shared" si="228"/>
        <v/>
      </c>
      <c r="AG981" s="359" t="str">
        <f t="shared" si="220"/>
        <v/>
      </c>
      <c r="AH981" s="359" t="str">
        <f t="shared" si="221"/>
        <v/>
      </c>
      <c r="AI981" s="359" t="str">
        <f t="shared" si="222"/>
        <v/>
      </c>
      <c r="AJ981" s="359" t="str">
        <f t="shared" si="223"/>
        <v/>
      </c>
      <c r="AK981" s="359" t="str">
        <f t="shared" si="224"/>
        <v/>
      </c>
      <c r="AL981" s="359" t="str">
        <f t="shared" si="225"/>
        <v/>
      </c>
      <c r="AM981" s="359" t="str">
        <f t="shared" si="226"/>
        <v/>
      </c>
      <c r="AN981" s="262">
        <f t="shared" si="229"/>
        <v>0</v>
      </c>
      <c r="AO981" s="262" t="str">
        <f>IFERROR(HLOOKUP(AN981,'Ref Lists'!Q$1:AL$2,2,FALSE),'Ref Lists'!$AK$2)</f>
        <v>Savings21</v>
      </c>
      <c r="AP981" s="38"/>
      <c r="AQ981" s="38">
        <f t="shared" si="218"/>
        <v>0</v>
      </c>
      <c r="AR981" s="38"/>
      <c r="AS981" s="38"/>
      <c r="AT981" s="38"/>
      <c r="AU981" s="38"/>
      <c r="AV981" s="38"/>
      <c r="AW981" s="38"/>
      <c r="AX981" s="38"/>
      <c r="AY981" s="38"/>
      <c r="AZ981" s="38"/>
      <c r="BA981" s="38"/>
      <c r="BB981" s="38"/>
      <c r="BC981" s="38"/>
      <c r="BD981" s="38"/>
      <c r="BE981" s="38"/>
      <c r="BF981" s="38"/>
      <c r="BG981" s="38"/>
      <c r="BH981" s="38"/>
      <c r="BI981" s="38"/>
      <c r="BJ981" s="38"/>
      <c r="BK981" s="38"/>
      <c r="BL981" s="38"/>
      <c r="BM981" s="38"/>
      <c r="BN981" s="38"/>
      <c r="BO981" s="38"/>
      <c r="BP981" s="38"/>
      <c r="BQ981" s="38"/>
      <c r="BR981" s="38"/>
      <c r="BS981" s="38"/>
      <c r="BT981" s="38"/>
      <c r="BU981" s="38"/>
      <c r="BV981" s="38"/>
      <c r="BW981" s="38"/>
      <c r="BX981" s="38"/>
      <c r="BY981" s="38"/>
      <c r="BZ981" s="38"/>
      <c r="CA981" s="38"/>
      <c r="CB981" s="38"/>
      <c r="CC981" s="38"/>
      <c r="CD981" s="38"/>
      <c r="CE981" s="38"/>
      <c r="CF981" s="38"/>
      <c r="CG981" s="38"/>
      <c r="CH981" s="38"/>
      <c r="CI981" s="38"/>
      <c r="CJ981" s="38"/>
      <c r="CK981" s="38"/>
      <c r="CL981" s="38"/>
      <c r="CM981" s="38"/>
      <c r="CN981" s="38"/>
      <c r="CO981" s="38"/>
      <c r="CP981" s="38"/>
      <c r="CQ981" s="38"/>
      <c r="CR981" s="38"/>
      <c r="CS981" s="38"/>
      <c r="CT981" s="38"/>
      <c r="CU981" s="38"/>
      <c r="CV981" s="38"/>
      <c r="CW981" s="38"/>
      <c r="CX981" s="38"/>
      <c r="CY981" s="38"/>
      <c r="CZ981" s="38"/>
    </row>
    <row r="982" spans="1:104" s="40" customFormat="1" ht="20.149999999999999" customHeight="1">
      <c r="A982" s="358">
        <f t="shared" si="227"/>
        <v>981</v>
      </c>
      <c r="B982" s="359" t="str">
        <f>'Front Sheet and Checklist'!$C$5</f>
        <v>Swansea Bay UHB</v>
      </c>
      <c r="C982" s="17"/>
      <c r="D982" s="17"/>
      <c r="E982" s="17"/>
      <c r="F982" s="17"/>
      <c r="G982" s="17"/>
      <c r="H982" s="17"/>
      <c r="I982" s="361">
        <f t="shared" si="217"/>
        <v>0</v>
      </c>
      <c r="J982" s="17"/>
      <c r="K982" s="18"/>
      <c r="L982" s="18"/>
      <c r="M982" s="17"/>
      <c r="N982" s="17"/>
      <c r="O982" s="17"/>
      <c r="P982" s="17"/>
      <c r="Q982" s="169"/>
      <c r="R982" s="24"/>
      <c r="S982" s="24"/>
      <c r="T982" s="24"/>
      <c r="U982" s="25"/>
      <c r="V982" s="25"/>
      <c r="W982" s="25"/>
      <c r="X982" s="24"/>
      <c r="Y982" s="24"/>
      <c r="Z982" s="24"/>
      <c r="AA982" s="24"/>
      <c r="AB982" s="24"/>
      <c r="AC982" s="24"/>
      <c r="AD982" s="361">
        <f t="shared" si="216"/>
        <v>0</v>
      </c>
      <c r="AE982" s="359" t="str">
        <f t="shared" si="219"/>
        <v/>
      </c>
      <c r="AF982" s="359" t="str">
        <f t="shared" si="228"/>
        <v/>
      </c>
      <c r="AG982" s="359" t="str">
        <f t="shared" si="220"/>
        <v/>
      </c>
      <c r="AH982" s="359" t="str">
        <f t="shared" si="221"/>
        <v/>
      </c>
      <c r="AI982" s="359" t="str">
        <f t="shared" si="222"/>
        <v/>
      </c>
      <c r="AJ982" s="359" t="str">
        <f t="shared" si="223"/>
        <v/>
      </c>
      <c r="AK982" s="359" t="str">
        <f t="shared" si="224"/>
        <v/>
      </c>
      <c r="AL982" s="359" t="str">
        <f t="shared" si="225"/>
        <v/>
      </c>
      <c r="AM982" s="359" t="str">
        <f t="shared" si="226"/>
        <v/>
      </c>
      <c r="AN982" s="262">
        <f t="shared" si="229"/>
        <v>0</v>
      </c>
      <c r="AO982" s="262" t="str">
        <f>IFERROR(HLOOKUP(AN982,'Ref Lists'!Q$1:AL$2,2,FALSE),'Ref Lists'!$AK$2)</f>
        <v>Savings21</v>
      </c>
      <c r="AP982" s="38"/>
      <c r="AQ982" s="38">
        <f t="shared" si="218"/>
        <v>0</v>
      </c>
      <c r="AR982" s="38"/>
      <c r="AS982" s="38"/>
      <c r="AT982" s="38"/>
      <c r="AU982" s="38"/>
      <c r="AV982" s="38"/>
      <c r="AW982" s="38"/>
      <c r="AX982" s="38"/>
      <c r="AY982" s="38"/>
      <c r="AZ982" s="38"/>
      <c r="BA982" s="38"/>
      <c r="BB982" s="38"/>
      <c r="BC982" s="38"/>
      <c r="BD982" s="38"/>
      <c r="BE982" s="38"/>
      <c r="BF982" s="38"/>
      <c r="BG982" s="38"/>
      <c r="BH982" s="38"/>
      <c r="BI982" s="38"/>
      <c r="BJ982" s="38"/>
      <c r="BK982" s="38"/>
      <c r="BL982" s="38"/>
      <c r="BM982" s="38"/>
      <c r="BN982" s="38"/>
      <c r="BO982" s="38"/>
      <c r="BP982" s="38"/>
      <c r="BQ982" s="38"/>
      <c r="BR982" s="38"/>
      <c r="BS982" s="38"/>
      <c r="BT982" s="38"/>
      <c r="BU982" s="38"/>
      <c r="BV982" s="38"/>
      <c r="BW982" s="38"/>
      <c r="BX982" s="38"/>
      <c r="BY982" s="38"/>
      <c r="BZ982" s="38"/>
      <c r="CA982" s="38"/>
      <c r="CB982" s="38"/>
      <c r="CC982" s="38"/>
      <c r="CD982" s="38"/>
      <c r="CE982" s="38"/>
      <c r="CF982" s="38"/>
      <c r="CG982" s="38"/>
      <c r="CH982" s="38"/>
      <c r="CI982" s="38"/>
      <c r="CJ982" s="38"/>
      <c r="CK982" s="38"/>
      <c r="CL982" s="38"/>
      <c r="CM982" s="38"/>
      <c r="CN982" s="38"/>
      <c r="CO982" s="38"/>
      <c r="CP982" s="38"/>
      <c r="CQ982" s="38"/>
      <c r="CR982" s="38"/>
      <c r="CS982" s="38"/>
      <c r="CT982" s="38"/>
      <c r="CU982" s="38"/>
      <c r="CV982" s="38"/>
      <c r="CW982" s="38"/>
      <c r="CX982" s="38"/>
      <c r="CY982" s="38"/>
      <c r="CZ982" s="38"/>
    </row>
    <row r="983" spans="1:104" s="40" customFormat="1" ht="20.149999999999999" customHeight="1">
      <c r="A983" s="358">
        <f t="shared" si="227"/>
        <v>982</v>
      </c>
      <c r="B983" s="359" t="str">
        <f>'Front Sheet and Checklist'!$C$5</f>
        <v>Swansea Bay UHB</v>
      </c>
      <c r="C983" s="17"/>
      <c r="D983" s="17"/>
      <c r="E983" s="17"/>
      <c r="F983" s="17"/>
      <c r="G983" s="17"/>
      <c r="H983" s="17"/>
      <c r="I983" s="361">
        <f t="shared" si="217"/>
        <v>0</v>
      </c>
      <c r="J983" s="17"/>
      <c r="K983" s="18"/>
      <c r="L983" s="18"/>
      <c r="M983" s="17"/>
      <c r="N983" s="17"/>
      <c r="O983" s="17"/>
      <c r="P983" s="17"/>
      <c r="Q983" s="169"/>
      <c r="R983" s="24"/>
      <c r="S983" s="24"/>
      <c r="T983" s="24"/>
      <c r="U983" s="25"/>
      <c r="V983" s="25"/>
      <c r="W983" s="25"/>
      <c r="X983" s="24"/>
      <c r="Y983" s="24"/>
      <c r="Z983" s="24"/>
      <c r="AA983" s="24"/>
      <c r="AB983" s="24"/>
      <c r="AC983" s="24"/>
      <c r="AD983" s="361">
        <f t="shared" si="216"/>
        <v>0</v>
      </c>
      <c r="AE983" s="359" t="str">
        <f t="shared" si="219"/>
        <v/>
      </c>
      <c r="AF983" s="359" t="str">
        <f t="shared" si="228"/>
        <v/>
      </c>
      <c r="AG983" s="359" t="str">
        <f t="shared" si="220"/>
        <v/>
      </c>
      <c r="AH983" s="359" t="str">
        <f t="shared" si="221"/>
        <v/>
      </c>
      <c r="AI983" s="359" t="str">
        <f t="shared" si="222"/>
        <v/>
      </c>
      <c r="AJ983" s="359" t="str">
        <f t="shared" si="223"/>
        <v/>
      </c>
      <c r="AK983" s="359" t="str">
        <f t="shared" si="224"/>
        <v/>
      </c>
      <c r="AL983" s="359" t="str">
        <f t="shared" si="225"/>
        <v/>
      </c>
      <c r="AM983" s="359" t="str">
        <f t="shared" si="226"/>
        <v/>
      </c>
      <c r="AN983" s="262">
        <f t="shared" si="229"/>
        <v>0</v>
      </c>
      <c r="AO983" s="262" t="str">
        <f>IFERROR(HLOOKUP(AN983,'Ref Lists'!Q$1:AL$2,2,FALSE),'Ref Lists'!$AK$2)</f>
        <v>Savings21</v>
      </c>
      <c r="AP983" s="38"/>
      <c r="AQ983" s="38">
        <f t="shared" si="218"/>
        <v>0</v>
      </c>
      <c r="AR983" s="38"/>
      <c r="AS983" s="38"/>
      <c r="AT983" s="38"/>
      <c r="AU983" s="38"/>
      <c r="AV983" s="38"/>
      <c r="AW983" s="38"/>
      <c r="AX983" s="38"/>
      <c r="AY983" s="38"/>
      <c r="AZ983" s="38"/>
      <c r="BA983" s="38"/>
      <c r="BB983" s="38"/>
      <c r="BC983" s="38"/>
      <c r="BD983" s="38"/>
      <c r="BE983" s="38"/>
      <c r="BF983" s="38"/>
      <c r="BG983" s="38"/>
      <c r="BH983" s="38"/>
      <c r="BI983" s="38"/>
      <c r="BJ983" s="38"/>
      <c r="BK983" s="38"/>
      <c r="BL983" s="38"/>
      <c r="BM983" s="38"/>
      <c r="BN983" s="38"/>
      <c r="BO983" s="38"/>
      <c r="BP983" s="38"/>
      <c r="BQ983" s="38"/>
      <c r="BR983" s="38"/>
      <c r="BS983" s="38"/>
      <c r="BT983" s="38"/>
      <c r="BU983" s="38"/>
      <c r="BV983" s="38"/>
      <c r="BW983" s="38"/>
      <c r="BX983" s="38"/>
      <c r="BY983" s="38"/>
      <c r="BZ983" s="38"/>
      <c r="CA983" s="38"/>
      <c r="CB983" s="38"/>
      <c r="CC983" s="38"/>
      <c r="CD983" s="38"/>
      <c r="CE983" s="38"/>
      <c r="CF983" s="38"/>
      <c r="CG983" s="38"/>
      <c r="CH983" s="38"/>
      <c r="CI983" s="38"/>
      <c r="CJ983" s="38"/>
      <c r="CK983" s="38"/>
      <c r="CL983" s="38"/>
      <c r="CM983" s="38"/>
      <c r="CN983" s="38"/>
      <c r="CO983" s="38"/>
      <c r="CP983" s="38"/>
      <c r="CQ983" s="38"/>
      <c r="CR983" s="38"/>
      <c r="CS983" s="38"/>
      <c r="CT983" s="38"/>
      <c r="CU983" s="38"/>
      <c r="CV983" s="38"/>
      <c r="CW983" s="38"/>
      <c r="CX983" s="38"/>
      <c r="CY983" s="38"/>
      <c r="CZ983" s="38"/>
    </row>
    <row r="984" spans="1:104" s="40" customFormat="1" ht="20.149999999999999" customHeight="1">
      <c r="A984" s="358">
        <f t="shared" si="227"/>
        <v>983</v>
      </c>
      <c r="B984" s="359" t="str">
        <f>'Front Sheet and Checklist'!$C$5</f>
        <v>Swansea Bay UHB</v>
      </c>
      <c r="C984" s="17"/>
      <c r="D984" s="17"/>
      <c r="E984" s="17"/>
      <c r="F984" s="17"/>
      <c r="G984" s="17"/>
      <c r="H984" s="17"/>
      <c r="I984" s="361">
        <f t="shared" si="217"/>
        <v>0</v>
      </c>
      <c r="J984" s="17"/>
      <c r="K984" s="18"/>
      <c r="L984" s="18"/>
      <c r="M984" s="17"/>
      <c r="N984" s="17"/>
      <c r="O984" s="17"/>
      <c r="P984" s="17"/>
      <c r="Q984" s="169"/>
      <c r="R984" s="24"/>
      <c r="S984" s="24"/>
      <c r="T984" s="24"/>
      <c r="U984" s="25"/>
      <c r="V984" s="25"/>
      <c r="W984" s="25"/>
      <c r="X984" s="24"/>
      <c r="Y984" s="24"/>
      <c r="Z984" s="24"/>
      <c r="AA984" s="24"/>
      <c r="AB984" s="24"/>
      <c r="AC984" s="24"/>
      <c r="AD984" s="361">
        <f t="shared" si="216"/>
        <v>0</v>
      </c>
      <c r="AE984" s="359" t="str">
        <f t="shared" si="219"/>
        <v/>
      </c>
      <c r="AF984" s="359" t="str">
        <f t="shared" si="228"/>
        <v/>
      </c>
      <c r="AG984" s="359" t="str">
        <f t="shared" si="220"/>
        <v/>
      </c>
      <c r="AH984" s="359" t="str">
        <f t="shared" si="221"/>
        <v/>
      </c>
      <c r="AI984" s="359" t="str">
        <f t="shared" si="222"/>
        <v/>
      </c>
      <c r="AJ984" s="359" t="str">
        <f t="shared" si="223"/>
        <v/>
      </c>
      <c r="AK984" s="359" t="str">
        <f t="shared" si="224"/>
        <v/>
      </c>
      <c r="AL984" s="359" t="str">
        <f t="shared" si="225"/>
        <v/>
      </c>
      <c r="AM984" s="359" t="str">
        <f t="shared" si="226"/>
        <v/>
      </c>
      <c r="AN984" s="262">
        <f t="shared" si="229"/>
        <v>0</v>
      </c>
      <c r="AO984" s="262" t="str">
        <f>IFERROR(HLOOKUP(AN984,'Ref Lists'!Q$1:AL$2,2,FALSE),'Ref Lists'!$AK$2)</f>
        <v>Savings21</v>
      </c>
      <c r="AP984" s="38"/>
      <c r="AQ984" s="38">
        <f t="shared" si="218"/>
        <v>0</v>
      </c>
      <c r="AR984" s="38"/>
      <c r="AS984" s="38"/>
      <c r="AT984" s="38"/>
      <c r="AU984" s="38"/>
      <c r="AV984" s="38"/>
      <c r="AW984" s="38"/>
      <c r="AX984" s="38"/>
      <c r="AY984" s="38"/>
      <c r="AZ984" s="38"/>
      <c r="BA984" s="38"/>
      <c r="BB984" s="38"/>
      <c r="BC984" s="38"/>
      <c r="BD984" s="38"/>
      <c r="BE984" s="38"/>
      <c r="BF984" s="38"/>
      <c r="BG984" s="38"/>
      <c r="BH984" s="38"/>
      <c r="BI984" s="38"/>
      <c r="BJ984" s="38"/>
      <c r="BK984" s="38"/>
      <c r="BL984" s="38"/>
      <c r="BM984" s="38"/>
      <c r="BN984" s="38"/>
      <c r="BO984" s="38"/>
      <c r="BP984" s="38"/>
      <c r="BQ984" s="38"/>
      <c r="BR984" s="38"/>
      <c r="BS984" s="38"/>
      <c r="BT984" s="38"/>
      <c r="BU984" s="38"/>
      <c r="BV984" s="38"/>
      <c r="BW984" s="38"/>
      <c r="BX984" s="38"/>
      <c r="BY984" s="38"/>
      <c r="BZ984" s="38"/>
      <c r="CA984" s="38"/>
      <c r="CB984" s="38"/>
      <c r="CC984" s="38"/>
      <c r="CD984" s="38"/>
      <c r="CE984" s="38"/>
      <c r="CF984" s="38"/>
      <c r="CG984" s="38"/>
      <c r="CH984" s="38"/>
      <c r="CI984" s="38"/>
      <c r="CJ984" s="38"/>
      <c r="CK984" s="38"/>
      <c r="CL984" s="38"/>
      <c r="CM984" s="38"/>
      <c r="CN984" s="38"/>
      <c r="CO984" s="38"/>
      <c r="CP984" s="38"/>
      <c r="CQ984" s="38"/>
      <c r="CR984" s="38"/>
      <c r="CS984" s="38"/>
      <c r="CT984" s="38"/>
      <c r="CU984" s="38"/>
      <c r="CV984" s="38"/>
      <c r="CW984" s="38"/>
      <c r="CX984" s="38"/>
      <c r="CY984" s="38"/>
      <c r="CZ984" s="38"/>
    </row>
    <row r="985" spans="1:104" s="40" customFormat="1" ht="20.149999999999999" customHeight="1">
      <c r="A985" s="358">
        <f t="shared" si="227"/>
        <v>984</v>
      </c>
      <c r="B985" s="359" t="str">
        <f>'Front Sheet and Checklist'!$C$5</f>
        <v>Swansea Bay UHB</v>
      </c>
      <c r="C985" s="17"/>
      <c r="D985" s="17"/>
      <c r="E985" s="17"/>
      <c r="F985" s="17"/>
      <c r="G985" s="17"/>
      <c r="H985" s="17"/>
      <c r="I985" s="361">
        <f t="shared" si="217"/>
        <v>0</v>
      </c>
      <c r="J985" s="17"/>
      <c r="K985" s="18"/>
      <c r="L985" s="18"/>
      <c r="M985" s="17"/>
      <c r="N985" s="17"/>
      <c r="O985" s="17"/>
      <c r="P985" s="17"/>
      <c r="Q985" s="169"/>
      <c r="R985" s="24"/>
      <c r="S985" s="24"/>
      <c r="T985" s="24"/>
      <c r="U985" s="25"/>
      <c r="V985" s="25"/>
      <c r="W985" s="25"/>
      <c r="X985" s="24"/>
      <c r="Y985" s="24"/>
      <c r="Z985" s="24"/>
      <c r="AA985" s="24"/>
      <c r="AB985" s="24"/>
      <c r="AC985" s="24"/>
      <c r="AD985" s="361">
        <f t="shared" si="216"/>
        <v>0</v>
      </c>
      <c r="AE985" s="359" t="str">
        <f t="shared" si="219"/>
        <v/>
      </c>
      <c r="AF985" s="359" t="str">
        <f t="shared" si="228"/>
        <v/>
      </c>
      <c r="AG985" s="359" t="str">
        <f t="shared" si="220"/>
        <v/>
      </c>
      <c r="AH985" s="359" t="str">
        <f t="shared" si="221"/>
        <v/>
      </c>
      <c r="AI985" s="359" t="str">
        <f t="shared" si="222"/>
        <v/>
      </c>
      <c r="AJ985" s="359" t="str">
        <f t="shared" si="223"/>
        <v/>
      </c>
      <c r="AK985" s="359" t="str">
        <f t="shared" si="224"/>
        <v/>
      </c>
      <c r="AL985" s="359" t="str">
        <f t="shared" si="225"/>
        <v/>
      </c>
      <c r="AM985" s="359" t="str">
        <f t="shared" si="226"/>
        <v/>
      </c>
      <c r="AN985" s="262">
        <f t="shared" si="229"/>
        <v>0</v>
      </c>
      <c r="AO985" s="262" t="str">
        <f>IFERROR(HLOOKUP(AN985,'Ref Lists'!Q$1:AL$2,2,FALSE),'Ref Lists'!$AK$2)</f>
        <v>Savings21</v>
      </c>
      <c r="AP985" s="38"/>
      <c r="AQ985" s="38">
        <f t="shared" si="218"/>
        <v>0</v>
      </c>
      <c r="AR985" s="38"/>
      <c r="AS985" s="38"/>
      <c r="AT985" s="38"/>
      <c r="AU985" s="38"/>
      <c r="AV985" s="38"/>
      <c r="AW985" s="38"/>
      <c r="AX985" s="38"/>
      <c r="AY985" s="38"/>
      <c r="AZ985" s="38"/>
      <c r="BA985" s="38"/>
      <c r="BB985" s="38"/>
      <c r="BC985" s="38"/>
      <c r="BD985" s="38"/>
      <c r="BE985" s="38"/>
      <c r="BF985" s="38"/>
      <c r="BG985" s="38"/>
      <c r="BH985" s="38"/>
      <c r="BI985" s="38"/>
      <c r="BJ985" s="38"/>
      <c r="BK985" s="38"/>
      <c r="BL985" s="38"/>
      <c r="BM985" s="38"/>
      <c r="BN985" s="38"/>
      <c r="BO985" s="38"/>
      <c r="BP985" s="38"/>
      <c r="BQ985" s="38"/>
      <c r="BR985" s="38"/>
      <c r="BS985" s="38"/>
      <c r="BT985" s="38"/>
      <c r="BU985" s="38"/>
      <c r="BV985" s="38"/>
      <c r="BW985" s="38"/>
      <c r="BX985" s="38"/>
      <c r="BY985" s="38"/>
      <c r="BZ985" s="38"/>
      <c r="CA985" s="38"/>
      <c r="CB985" s="38"/>
      <c r="CC985" s="38"/>
      <c r="CD985" s="38"/>
      <c r="CE985" s="38"/>
      <c r="CF985" s="38"/>
      <c r="CG985" s="38"/>
      <c r="CH985" s="38"/>
      <c r="CI985" s="38"/>
      <c r="CJ985" s="38"/>
      <c r="CK985" s="38"/>
      <c r="CL985" s="38"/>
      <c r="CM985" s="38"/>
      <c r="CN985" s="38"/>
      <c r="CO985" s="38"/>
      <c r="CP985" s="38"/>
      <c r="CQ985" s="38"/>
      <c r="CR985" s="38"/>
      <c r="CS985" s="38"/>
      <c r="CT985" s="38"/>
      <c r="CU985" s="38"/>
      <c r="CV985" s="38"/>
      <c r="CW985" s="38"/>
      <c r="CX985" s="38"/>
      <c r="CY985" s="38"/>
      <c r="CZ985" s="38"/>
    </row>
    <row r="986" spans="1:104" s="40" customFormat="1" ht="20.149999999999999" customHeight="1">
      <c r="A986" s="358">
        <f t="shared" si="227"/>
        <v>985</v>
      </c>
      <c r="B986" s="359" t="str">
        <f>'Front Sheet and Checklist'!$C$5</f>
        <v>Swansea Bay UHB</v>
      </c>
      <c r="C986" s="17"/>
      <c r="D986" s="17"/>
      <c r="E986" s="17"/>
      <c r="F986" s="17"/>
      <c r="G986" s="17"/>
      <c r="H986" s="17"/>
      <c r="I986" s="361">
        <f t="shared" si="217"/>
        <v>0</v>
      </c>
      <c r="J986" s="17"/>
      <c r="K986" s="18"/>
      <c r="L986" s="18"/>
      <c r="M986" s="17"/>
      <c r="N986" s="17"/>
      <c r="O986" s="17"/>
      <c r="P986" s="17"/>
      <c r="Q986" s="169"/>
      <c r="R986" s="24"/>
      <c r="S986" s="24"/>
      <c r="T986" s="24"/>
      <c r="U986" s="25"/>
      <c r="V986" s="25"/>
      <c r="W986" s="25"/>
      <c r="X986" s="24"/>
      <c r="Y986" s="24"/>
      <c r="Z986" s="24"/>
      <c r="AA986" s="24"/>
      <c r="AB986" s="24"/>
      <c r="AC986" s="24"/>
      <c r="AD986" s="361">
        <f t="shared" si="216"/>
        <v>0</v>
      </c>
      <c r="AE986" s="359" t="str">
        <f t="shared" si="219"/>
        <v/>
      </c>
      <c r="AF986" s="359" t="str">
        <f t="shared" si="228"/>
        <v/>
      </c>
      <c r="AG986" s="359" t="str">
        <f t="shared" si="220"/>
        <v/>
      </c>
      <c r="AH986" s="359" t="str">
        <f t="shared" si="221"/>
        <v/>
      </c>
      <c r="AI986" s="359" t="str">
        <f t="shared" si="222"/>
        <v/>
      </c>
      <c r="AJ986" s="359" t="str">
        <f t="shared" si="223"/>
        <v/>
      </c>
      <c r="AK986" s="359" t="str">
        <f t="shared" si="224"/>
        <v/>
      </c>
      <c r="AL986" s="359" t="str">
        <f t="shared" si="225"/>
        <v/>
      </c>
      <c r="AM986" s="359" t="str">
        <f t="shared" si="226"/>
        <v/>
      </c>
      <c r="AN986" s="262">
        <f t="shared" si="229"/>
        <v>0</v>
      </c>
      <c r="AO986" s="262" t="str">
        <f>IFERROR(HLOOKUP(AN986,'Ref Lists'!Q$1:AL$2,2,FALSE),'Ref Lists'!$AK$2)</f>
        <v>Savings21</v>
      </c>
      <c r="AP986" s="38"/>
      <c r="AQ986" s="38">
        <f t="shared" si="218"/>
        <v>0</v>
      </c>
      <c r="AR986" s="38"/>
      <c r="AS986" s="38"/>
      <c r="AT986" s="38"/>
      <c r="AU986" s="38"/>
      <c r="AV986" s="38"/>
      <c r="AW986" s="38"/>
      <c r="AX986" s="38"/>
      <c r="AY986" s="38"/>
      <c r="AZ986" s="38"/>
      <c r="BA986" s="38"/>
      <c r="BB986" s="38"/>
      <c r="BC986" s="38"/>
      <c r="BD986" s="38"/>
      <c r="BE986" s="38"/>
      <c r="BF986" s="38"/>
      <c r="BG986" s="38"/>
      <c r="BH986" s="38"/>
      <c r="BI986" s="38"/>
      <c r="BJ986" s="38"/>
      <c r="BK986" s="38"/>
      <c r="BL986" s="38"/>
      <c r="BM986" s="38"/>
      <c r="BN986" s="38"/>
      <c r="BO986" s="38"/>
      <c r="BP986" s="38"/>
      <c r="BQ986" s="38"/>
      <c r="BR986" s="38"/>
      <c r="BS986" s="38"/>
      <c r="BT986" s="38"/>
      <c r="BU986" s="38"/>
      <c r="BV986" s="38"/>
      <c r="BW986" s="38"/>
      <c r="BX986" s="38"/>
      <c r="BY986" s="38"/>
      <c r="BZ986" s="38"/>
      <c r="CA986" s="38"/>
      <c r="CB986" s="38"/>
      <c r="CC986" s="38"/>
      <c r="CD986" s="38"/>
      <c r="CE986" s="38"/>
      <c r="CF986" s="38"/>
      <c r="CG986" s="38"/>
      <c r="CH986" s="38"/>
      <c r="CI986" s="38"/>
      <c r="CJ986" s="38"/>
      <c r="CK986" s="38"/>
      <c r="CL986" s="38"/>
      <c r="CM986" s="38"/>
      <c r="CN986" s="38"/>
      <c r="CO986" s="38"/>
      <c r="CP986" s="38"/>
      <c r="CQ986" s="38"/>
      <c r="CR986" s="38"/>
      <c r="CS986" s="38"/>
      <c r="CT986" s="38"/>
      <c r="CU986" s="38"/>
      <c r="CV986" s="38"/>
      <c r="CW986" s="38"/>
      <c r="CX986" s="38"/>
      <c r="CY986" s="38"/>
      <c r="CZ986" s="38"/>
    </row>
    <row r="987" spans="1:104" s="40" customFormat="1" ht="20.149999999999999" customHeight="1">
      <c r="A987" s="358">
        <f t="shared" si="227"/>
        <v>986</v>
      </c>
      <c r="B987" s="359" t="str">
        <f>'Front Sheet and Checklist'!$C$5</f>
        <v>Swansea Bay UHB</v>
      </c>
      <c r="C987" s="17"/>
      <c r="D987" s="17"/>
      <c r="E987" s="17"/>
      <c r="F987" s="17"/>
      <c r="G987" s="17"/>
      <c r="H987" s="17"/>
      <c r="I987" s="361">
        <f t="shared" si="217"/>
        <v>0</v>
      </c>
      <c r="J987" s="17"/>
      <c r="K987" s="18"/>
      <c r="L987" s="18"/>
      <c r="M987" s="17"/>
      <c r="N987" s="17"/>
      <c r="O987" s="17"/>
      <c r="P987" s="17"/>
      <c r="Q987" s="169"/>
      <c r="R987" s="24"/>
      <c r="S987" s="24"/>
      <c r="T987" s="24"/>
      <c r="U987" s="25"/>
      <c r="V987" s="25"/>
      <c r="W987" s="25"/>
      <c r="X987" s="24"/>
      <c r="Y987" s="24"/>
      <c r="Z987" s="24"/>
      <c r="AA987" s="24"/>
      <c r="AB987" s="24"/>
      <c r="AC987" s="24"/>
      <c r="AD987" s="361">
        <f t="shared" si="216"/>
        <v>0</v>
      </c>
      <c r="AE987" s="359" t="str">
        <f t="shared" si="219"/>
        <v/>
      </c>
      <c r="AF987" s="359" t="str">
        <f t="shared" si="228"/>
        <v/>
      </c>
      <c r="AG987" s="359" t="str">
        <f t="shared" si="220"/>
        <v/>
      </c>
      <c r="AH987" s="359" t="str">
        <f t="shared" si="221"/>
        <v/>
      </c>
      <c r="AI987" s="359" t="str">
        <f t="shared" si="222"/>
        <v/>
      </c>
      <c r="AJ987" s="359" t="str">
        <f t="shared" si="223"/>
        <v/>
      </c>
      <c r="AK987" s="359" t="str">
        <f t="shared" si="224"/>
        <v/>
      </c>
      <c r="AL987" s="359" t="str">
        <f t="shared" si="225"/>
        <v/>
      </c>
      <c r="AM987" s="359" t="str">
        <f t="shared" si="226"/>
        <v/>
      </c>
      <c r="AN987" s="262">
        <f t="shared" si="229"/>
        <v>0</v>
      </c>
      <c r="AO987" s="262" t="str">
        <f>IFERROR(HLOOKUP(AN987,'Ref Lists'!Q$1:AL$2,2,FALSE),'Ref Lists'!$AK$2)</f>
        <v>Savings21</v>
      </c>
      <c r="AP987" s="38"/>
      <c r="AQ987" s="38">
        <f t="shared" si="218"/>
        <v>0</v>
      </c>
      <c r="AR987" s="38"/>
      <c r="AS987" s="38"/>
      <c r="AT987" s="38"/>
      <c r="AU987" s="38"/>
      <c r="AV987" s="38"/>
      <c r="AW987" s="38"/>
      <c r="AX987" s="38"/>
      <c r="AY987" s="38"/>
      <c r="AZ987" s="38"/>
      <c r="BA987" s="38"/>
      <c r="BB987" s="38"/>
      <c r="BC987" s="38"/>
      <c r="BD987" s="38"/>
      <c r="BE987" s="38"/>
      <c r="BF987" s="38"/>
      <c r="BG987" s="38"/>
      <c r="BH987" s="38"/>
      <c r="BI987" s="38"/>
      <c r="BJ987" s="38"/>
      <c r="BK987" s="38"/>
      <c r="BL987" s="38"/>
      <c r="BM987" s="38"/>
      <c r="BN987" s="38"/>
      <c r="BO987" s="38"/>
      <c r="BP987" s="38"/>
      <c r="BQ987" s="38"/>
      <c r="BR987" s="38"/>
      <c r="BS987" s="38"/>
      <c r="BT987" s="38"/>
      <c r="BU987" s="38"/>
      <c r="BV987" s="38"/>
      <c r="BW987" s="38"/>
      <c r="BX987" s="38"/>
      <c r="BY987" s="38"/>
      <c r="BZ987" s="38"/>
      <c r="CA987" s="38"/>
      <c r="CB987" s="38"/>
      <c r="CC987" s="38"/>
      <c r="CD987" s="38"/>
      <c r="CE987" s="38"/>
      <c r="CF987" s="38"/>
      <c r="CG987" s="38"/>
      <c r="CH987" s="38"/>
      <c r="CI987" s="38"/>
      <c r="CJ987" s="38"/>
      <c r="CK987" s="38"/>
      <c r="CL987" s="38"/>
      <c r="CM987" s="38"/>
      <c r="CN987" s="38"/>
      <c r="CO987" s="38"/>
      <c r="CP987" s="38"/>
      <c r="CQ987" s="38"/>
      <c r="CR987" s="38"/>
      <c r="CS987" s="38"/>
      <c r="CT987" s="38"/>
      <c r="CU987" s="38"/>
      <c r="CV987" s="38"/>
      <c r="CW987" s="38"/>
      <c r="CX987" s="38"/>
      <c r="CY987" s="38"/>
      <c r="CZ987" s="38"/>
    </row>
    <row r="988" spans="1:104" s="40" customFormat="1" ht="20.149999999999999" customHeight="1">
      <c r="A988" s="358">
        <f t="shared" si="227"/>
        <v>987</v>
      </c>
      <c r="B988" s="359" t="str">
        <f>'Front Sheet and Checklist'!$C$5</f>
        <v>Swansea Bay UHB</v>
      </c>
      <c r="C988" s="17"/>
      <c r="D988" s="17"/>
      <c r="E988" s="17"/>
      <c r="F988" s="17"/>
      <c r="G988" s="17"/>
      <c r="H988" s="17"/>
      <c r="I988" s="361">
        <f t="shared" si="217"/>
        <v>0</v>
      </c>
      <c r="J988" s="17"/>
      <c r="K988" s="18"/>
      <c r="L988" s="18"/>
      <c r="M988" s="17"/>
      <c r="N988" s="17"/>
      <c r="O988" s="17"/>
      <c r="P988" s="17"/>
      <c r="Q988" s="169"/>
      <c r="R988" s="24"/>
      <c r="S988" s="24"/>
      <c r="T988" s="24"/>
      <c r="U988" s="25"/>
      <c r="V988" s="25"/>
      <c r="W988" s="25"/>
      <c r="X988" s="24"/>
      <c r="Y988" s="24"/>
      <c r="Z988" s="24"/>
      <c r="AA988" s="24"/>
      <c r="AB988" s="24"/>
      <c r="AC988" s="24"/>
      <c r="AD988" s="361">
        <f t="shared" si="216"/>
        <v>0</v>
      </c>
      <c r="AE988" s="359" t="str">
        <f t="shared" si="219"/>
        <v/>
      </c>
      <c r="AF988" s="359" t="str">
        <f t="shared" si="228"/>
        <v/>
      </c>
      <c r="AG988" s="359" t="str">
        <f t="shared" si="220"/>
        <v/>
      </c>
      <c r="AH988" s="359" t="str">
        <f t="shared" si="221"/>
        <v/>
      </c>
      <c r="AI988" s="359" t="str">
        <f t="shared" si="222"/>
        <v/>
      </c>
      <c r="AJ988" s="359" t="str">
        <f t="shared" si="223"/>
        <v/>
      </c>
      <c r="AK988" s="359" t="str">
        <f t="shared" si="224"/>
        <v/>
      </c>
      <c r="AL988" s="359" t="str">
        <f t="shared" si="225"/>
        <v/>
      </c>
      <c r="AM988" s="359" t="str">
        <f t="shared" si="226"/>
        <v/>
      </c>
      <c r="AN988" s="262">
        <f t="shared" si="229"/>
        <v>0</v>
      </c>
      <c r="AO988" s="262" t="str">
        <f>IFERROR(HLOOKUP(AN988,'Ref Lists'!Q$1:AL$2,2,FALSE),'Ref Lists'!$AK$2)</f>
        <v>Savings21</v>
      </c>
      <c r="AP988" s="38"/>
      <c r="AQ988" s="38">
        <f t="shared" si="218"/>
        <v>0</v>
      </c>
      <c r="AR988" s="38"/>
      <c r="AS988" s="38"/>
      <c r="AT988" s="38"/>
      <c r="AU988" s="38"/>
      <c r="AV988" s="38"/>
      <c r="AW988" s="38"/>
      <c r="AX988" s="38"/>
      <c r="AY988" s="38"/>
      <c r="AZ988" s="38"/>
      <c r="BA988" s="38"/>
      <c r="BB988" s="38"/>
      <c r="BC988" s="38"/>
      <c r="BD988" s="38"/>
      <c r="BE988" s="38"/>
      <c r="BF988" s="38"/>
      <c r="BG988" s="38"/>
      <c r="BH988" s="38"/>
      <c r="BI988" s="38"/>
      <c r="BJ988" s="38"/>
      <c r="BK988" s="38"/>
      <c r="BL988" s="38"/>
      <c r="BM988" s="38"/>
      <c r="BN988" s="38"/>
      <c r="BO988" s="38"/>
      <c r="BP988" s="38"/>
      <c r="BQ988" s="38"/>
      <c r="BR988" s="38"/>
      <c r="BS988" s="38"/>
      <c r="BT988" s="38"/>
      <c r="BU988" s="38"/>
      <c r="BV988" s="38"/>
      <c r="BW988" s="38"/>
      <c r="BX988" s="38"/>
      <c r="BY988" s="38"/>
      <c r="BZ988" s="38"/>
      <c r="CA988" s="38"/>
      <c r="CB988" s="38"/>
      <c r="CC988" s="38"/>
      <c r="CD988" s="38"/>
      <c r="CE988" s="38"/>
      <c r="CF988" s="38"/>
      <c r="CG988" s="38"/>
      <c r="CH988" s="38"/>
      <c r="CI988" s="38"/>
      <c r="CJ988" s="38"/>
      <c r="CK988" s="38"/>
      <c r="CL988" s="38"/>
      <c r="CM988" s="38"/>
      <c r="CN988" s="38"/>
      <c r="CO988" s="38"/>
      <c r="CP988" s="38"/>
      <c r="CQ988" s="38"/>
      <c r="CR988" s="38"/>
      <c r="CS988" s="38"/>
      <c r="CT988" s="38"/>
      <c r="CU988" s="38"/>
      <c r="CV988" s="38"/>
      <c r="CW988" s="38"/>
      <c r="CX988" s="38"/>
      <c r="CY988" s="38"/>
      <c r="CZ988" s="38"/>
    </row>
    <row r="989" spans="1:104" s="40" customFormat="1" ht="20.149999999999999" customHeight="1">
      <c r="A989" s="358">
        <f t="shared" si="227"/>
        <v>988</v>
      </c>
      <c r="B989" s="359" t="str">
        <f>'Front Sheet and Checklist'!$C$5</f>
        <v>Swansea Bay UHB</v>
      </c>
      <c r="C989" s="17"/>
      <c r="D989" s="17"/>
      <c r="E989" s="17"/>
      <c r="F989" s="17"/>
      <c r="G989" s="17"/>
      <c r="H989" s="17"/>
      <c r="I989" s="361">
        <f t="shared" si="217"/>
        <v>0</v>
      </c>
      <c r="J989" s="17"/>
      <c r="K989" s="18"/>
      <c r="L989" s="18"/>
      <c r="M989" s="17"/>
      <c r="N989" s="17"/>
      <c r="O989" s="17"/>
      <c r="P989" s="17"/>
      <c r="Q989" s="169"/>
      <c r="R989" s="24"/>
      <c r="S989" s="24"/>
      <c r="T989" s="24"/>
      <c r="U989" s="25"/>
      <c r="V989" s="25"/>
      <c r="W989" s="25"/>
      <c r="X989" s="24"/>
      <c r="Y989" s="24"/>
      <c r="Z989" s="24"/>
      <c r="AA989" s="24"/>
      <c r="AB989" s="24"/>
      <c r="AC989" s="24"/>
      <c r="AD989" s="361">
        <f t="shared" si="216"/>
        <v>0</v>
      </c>
      <c r="AE989" s="359" t="str">
        <f t="shared" si="219"/>
        <v/>
      </c>
      <c r="AF989" s="359" t="str">
        <f t="shared" si="228"/>
        <v/>
      </c>
      <c r="AG989" s="359" t="str">
        <f t="shared" si="220"/>
        <v/>
      </c>
      <c r="AH989" s="359" t="str">
        <f t="shared" si="221"/>
        <v/>
      </c>
      <c r="AI989" s="359" t="str">
        <f t="shared" si="222"/>
        <v/>
      </c>
      <c r="AJ989" s="359" t="str">
        <f t="shared" si="223"/>
        <v/>
      </c>
      <c r="AK989" s="359" t="str">
        <f t="shared" si="224"/>
        <v/>
      </c>
      <c r="AL989" s="359" t="str">
        <f t="shared" si="225"/>
        <v/>
      </c>
      <c r="AM989" s="359" t="str">
        <f t="shared" si="226"/>
        <v/>
      </c>
      <c r="AN989" s="262">
        <f t="shared" si="229"/>
        <v>0</v>
      </c>
      <c r="AO989" s="262" t="str">
        <f>IFERROR(HLOOKUP(AN989,'Ref Lists'!Q$1:AL$2,2,FALSE),'Ref Lists'!$AK$2)</f>
        <v>Savings21</v>
      </c>
      <c r="AP989" s="38"/>
      <c r="AQ989" s="38">
        <f t="shared" si="218"/>
        <v>0</v>
      </c>
      <c r="AR989" s="38"/>
      <c r="AS989" s="38"/>
      <c r="AT989" s="38"/>
      <c r="AU989" s="38"/>
      <c r="AV989" s="38"/>
      <c r="AW989" s="38"/>
      <c r="AX989" s="38"/>
      <c r="AY989" s="38"/>
      <c r="AZ989" s="38"/>
      <c r="BA989" s="38"/>
      <c r="BB989" s="38"/>
      <c r="BC989" s="38"/>
      <c r="BD989" s="38"/>
      <c r="BE989" s="38"/>
      <c r="BF989" s="38"/>
      <c r="BG989" s="38"/>
      <c r="BH989" s="38"/>
      <c r="BI989" s="38"/>
      <c r="BJ989" s="38"/>
      <c r="BK989" s="38"/>
      <c r="BL989" s="38"/>
      <c r="BM989" s="38"/>
      <c r="BN989" s="38"/>
      <c r="BO989" s="38"/>
      <c r="BP989" s="38"/>
      <c r="BQ989" s="38"/>
      <c r="BR989" s="38"/>
      <c r="BS989" s="38"/>
      <c r="BT989" s="38"/>
      <c r="BU989" s="38"/>
      <c r="BV989" s="38"/>
      <c r="BW989" s="38"/>
      <c r="BX989" s="38"/>
      <c r="BY989" s="38"/>
      <c r="BZ989" s="38"/>
      <c r="CA989" s="38"/>
      <c r="CB989" s="38"/>
      <c r="CC989" s="38"/>
      <c r="CD989" s="38"/>
      <c r="CE989" s="38"/>
      <c r="CF989" s="38"/>
      <c r="CG989" s="38"/>
      <c r="CH989" s="38"/>
      <c r="CI989" s="38"/>
      <c r="CJ989" s="38"/>
      <c r="CK989" s="38"/>
      <c r="CL989" s="38"/>
      <c r="CM989" s="38"/>
      <c r="CN989" s="38"/>
      <c r="CO989" s="38"/>
      <c r="CP989" s="38"/>
      <c r="CQ989" s="38"/>
      <c r="CR989" s="38"/>
      <c r="CS989" s="38"/>
      <c r="CT989" s="38"/>
      <c r="CU989" s="38"/>
      <c r="CV989" s="38"/>
      <c r="CW989" s="38"/>
      <c r="CX989" s="38"/>
      <c r="CY989" s="38"/>
      <c r="CZ989" s="38"/>
    </row>
    <row r="990" spans="1:104" s="40" customFormat="1" ht="20.149999999999999" customHeight="1">
      <c r="A990" s="358">
        <f t="shared" si="227"/>
        <v>989</v>
      </c>
      <c r="B990" s="359" t="str">
        <f>'Front Sheet and Checklist'!$C$5</f>
        <v>Swansea Bay UHB</v>
      </c>
      <c r="C990" s="17"/>
      <c r="D990" s="17"/>
      <c r="E990" s="17"/>
      <c r="F990" s="17"/>
      <c r="G990" s="17"/>
      <c r="H990" s="17"/>
      <c r="I990" s="361">
        <f t="shared" si="217"/>
        <v>0</v>
      </c>
      <c r="J990" s="17"/>
      <c r="K990" s="18"/>
      <c r="L990" s="18"/>
      <c r="M990" s="17"/>
      <c r="N990" s="17"/>
      <c r="O990" s="17"/>
      <c r="P990" s="17"/>
      <c r="Q990" s="169"/>
      <c r="R990" s="24"/>
      <c r="S990" s="24"/>
      <c r="T990" s="24"/>
      <c r="U990" s="25"/>
      <c r="V990" s="25"/>
      <c r="W990" s="25"/>
      <c r="X990" s="24"/>
      <c r="Y990" s="24"/>
      <c r="Z990" s="24"/>
      <c r="AA990" s="24"/>
      <c r="AB990" s="24"/>
      <c r="AC990" s="24"/>
      <c r="AD990" s="361">
        <f t="shared" si="216"/>
        <v>0</v>
      </c>
      <c r="AE990" s="359" t="str">
        <f t="shared" si="219"/>
        <v/>
      </c>
      <c r="AF990" s="359" t="str">
        <f t="shared" si="228"/>
        <v/>
      </c>
      <c r="AG990" s="359" t="str">
        <f t="shared" si="220"/>
        <v/>
      </c>
      <c r="AH990" s="359" t="str">
        <f t="shared" si="221"/>
        <v/>
      </c>
      <c r="AI990" s="359" t="str">
        <f t="shared" si="222"/>
        <v/>
      </c>
      <c r="AJ990" s="359" t="str">
        <f t="shared" si="223"/>
        <v/>
      </c>
      <c r="AK990" s="359" t="str">
        <f t="shared" si="224"/>
        <v/>
      </c>
      <c r="AL990" s="359" t="str">
        <f t="shared" si="225"/>
        <v/>
      </c>
      <c r="AM990" s="359" t="str">
        <f t="shared" si="226"/>
        <v/>
      </c>
      <c r="AN990" s="262">
        <f t="shared" si="229"/>
        <v>0</v>
      </c>
      <c r="AO990" s="262" t="str">
        <f>IFERROR(HLOOKUP(AN990,'Ref Lists'!Q$1:AL$2,2,FALSE),'Ref Lists'!$AK$2)</f>
        <v>Savings21</v>
      </c>
      <c r="AP990" s="38"/>
      <c r="AQ990" s="38">
        <f t="shared" si="218"/>
        <v>0</v>
      </c>
      <c r="AR990" s="38"/>
      <c r="AS990" s="38"/>
      <c r="AT990" s="38"/>
      <c r="AU990" s="38"/>
      <c r="AV990" s="38"/>
      <c r="AW990" s="38"/>
      <c r="AX990" s="38"/>
      <c r="AY990" s="38"/>
      <c r="AZ990" s="38"/>
      <c r="BA990" s="38"/>
      <c r="BB990" s="38"/>
      <c r="BC990" s="38"/>
      <c r="BD990" s="38"/>
      <c r="BE990" s="38"/>
      <c r="BF990" s="38"/>
      <c r="BG990" s="38"/>
      <c r="BH990" s="38"/>
      <c r="BI990" s="38"/>
      <c r="BJ990" s="38"/>
      <c r="BK990" s="38"/>
      <c r="BL990" s="38"/>
      <c r="BM990" s="38"/>
      <c r="BN990" s="38"/>
      <c r="BO990" s="38"/>
      <c r="BP990" s="38"/>
      <c r="BQ990" s="38"/>
      <c r="BR990" s="38"/>
      <c r="BS990" s="38"/>
      <c r="BT990" s="38"/>
      <c r="BU990" s="38"/>
      <c r="BV990" s="38"/>
      <c r="BW990" s="38"/>
      <c r="BX990" s="38"/>
      <c r="BY990" s="38"/>
      <c r="BZ990" s="38"/>
      <c r="CA990" s="38"/>
      <c r="CB990" s="38"/>
      <c r="CC990" s="38"/>
      <c r="CD990" s="38"/>
      <c r="CE990" s="38"/>
      <c r="CF990" s="38"/>
      <c r="CG990" s="38"/>
      <c r="CH990" s="38"/>
      <c r="CI990" s="38"/>
      <c r="CJ990" s="38"/>
      <c r="CK990" s="38"/>
      <c r="CL990" s="38"/>
      <c r="CM990" s="38"/>
      <c r="CN990" s="38"/>
      <c r="CO990" s="38"/>
      <c r="CP990" s="38"/>
      <c r="CQ990" s="38"/>
      <c r="CR990" s="38"/>
      <c r="CS990" s="38"/>
      <c r="CT990" s="38"/>
      <c r="CU990" s="38"/>
      <c r="CV990" s="38"/>
      <c r="CW990" s="38"/>
      <c r="CX990" s="38"/>
      <c r="CY990" s="38"/>
      <c r="CZ990" s="38"/>
    </row>
    <row r="991" spans="1:104" s="40" customFormat="1" ht="20.149999999999999" customHeight="1">
      <c r="A991" s="358">
        <f t="shared" si="227"/>
        <v>990</v>
      </c>
      <c r="B991" s="359" t="str">
        <f>'Front Sheet and Checklist'!$C$5</f>
        <v>Swansea Bay UHB</v>
      </c>
      <c r="C991" s="17"/>
      <c r="D991" s="17"/>
      <c r="E991" s="17"/>
      <c r="F991" s="17"/>
      <c r="G991" s="17"/>
      <c r="H991" s="17"/>
      <c r="I991" s="361">
        <f t="shared" si="217"/>
        <v>0</v>
      </c>
      <c r="J991" s="17"/>
      <c r="K991" s="18"/>
      <c r="L991" s="18"/>
      <c r="M991" s="17"/>
      <c r="N991" s="17"/>
      <c r="O991" s="17"/>
      <c r="P991" s="17"/>
      <c r="Q991" s="169"/>
      <c r="R991" s="24"/>
      <c r="S991" s="24"/>
      <c r="T991" s="24"/>
      <c r="U991" s="25"/>
      <c r="V991" s="25"/>
      <c r="W991" s="25"/>
      <c r="X991" s="24"/>
      <c r="Y991" s="24"/>
      <c r="Z991" s="24"/>
      <c r="AA991" s="24"/>
      <c r="AB991" s="24"/>
      <c r="AC991" s="24"/>
      <c r="AD991" s="361">
        <f t="shared" si="216"/>
        <v>0</v>
      </c>
      <c r="AE991" s="359" t="str">
        <f t="shared" si="219"/>
        <v/>
      </c>
      <c r="AF991" s="359" t="str">
        <f t="shared" si="228"/>
        <v/>
      </c>
      <c r="AG991" s="359" t="str">
        <f t="shared" si="220"/>
        <v/>
      </c>
      <c r="AH991" s="359" t="str">
        <f t="shared" si="221"/>
        <v/>
      </c>
      <c r="AI991" s="359" t="str">
        <f t="shared" si="222"/>
        <v/>
      </c>
      <c r="AJ991" s="359" t="str">
        <f t="shared" si="223"/>
        <v/>
      </c>
      <c r="AK991" s="359" t="str">
        <f t="shared" si="224"/>
        <v/>
      </c>
      <c r="AL991" s="359" t="str">
        <f t="shared" si="225"/>
        <v/>
      </c>
      <c r="AM991" s="359" t="str">
        <f t="shared" si="226"/>
        <v/>
      </c>
      <c r="AN991" s="262">
        <f t="shared" si="229"/>
        <v>0</v>
      </c>
      <c r="AO991" s="262" t="str">
        <f>IFERROR(HLOOKUP(AN991,'Ref Lists'!Q$1:AL$2,2,FALSE),'Ref Lists'!$AK$2)</f>
        <v>Savings21</v>
      </c>
      <c r="AP991" s="38"/>
      <c r="AQ991" s="38">
        <f t="shared" si="218"/>
        <v>0</v>
      </c>
      <c r="AR991" s="38"/>
      <c r="AS991" s="38"/>
      <c r="AT991" s="38"/>
      <c r="AU991" s="38"/>
      <c r="AV991" s="38"/>
      <c r="AW991" s="38"/>
      <c r="AX991" s="38"/>
      <c r="AY991" s="38"/>
      <c r="AZ991" s="38"/>
      <c r="BA991" s="38"/>
      <c r="BB991" s="38"/>
      <c r="BC991" s="38"/>
      <c r="BD991" s="38"/>
      <c r="BE991" s="38"/>
      <c r="BF991" s="38"/>
      <c r="BG991" s="38"/>
      <c r="BH991" s="38"/>
      <c r="BI991" s="38"/>
      <c r="BJ991" s="38"/>
      <c r="BK991" s="38"/>
      <c r="BL991" s="38"/>
      <c r="BM991" s="38"/>
      <c r="BN991" s="38"/>
      <c r="BO991" s="38"/>
      <c r="BP991" s="38"/>
      <c r="BQ991" s="38"/>
      <c r="BR991" s="38"/>
      <c r="BS991" s="38"/>
      <c r="BT991" s="38"/>
      <c r="BU991" s="38"/>
      <c r="BV991" s="38"/>
      <c r="BW991" s="38"/>
      <c r="BX991" s="38"/>
      <c r="BY991" s="38"/>
      <c r="BZ991" s="38"/>
      <c r="CA991" s="38"/>
      <c r="CB991" s="38"/>
      <c r="CC991" s="38"/>
      <c r="CD991" s="38"/>
      <c r="CE991" s="38"/>
      <c r="CF991" s="38"/>
      <c r="CG991" s="38"/>
      <c r="CH991" s="38"/>
      <c r="CI991" s="38"/>
      <c r="CJ991" s="38"/>
      <c r="CK991" s="38"/>
      <c r="CL991" s="38"/>
      <c r="CM991" s="38"/>
      <c r="CN991" s="38"/>
      <c r="CO991" s="38"/>
      <c r="CP991" s="38"/>
      <c r="CQ991" s="38"/>
      <c r="CR991" s="38"/>
      <c r="CS991" s="38"/>
      <c r="CT991" s="38"/>
      <c r="CU991" s="38"/>
      <c r="CV991" s="38"/>
      <c r="CW991" s="38"/>
      <c r="CX991" s="38"/>
      <c r="CY991" s="38"/>
      <c r="CZ991" s="38"/>
    </row>
    <row r="992" spans="1:104" s="40" customFormat="1" ht="20.149999999999999" customHeight="1">
      <c r="A992" s="358">
        <f t="shared" si="227"/>
        <v>991</v>
      </c>
      <c r="B992" s="359" t="str">
        <f>'Front Sheet and Checklist'!$C$5</f>
        <v>Swansea Bay UHB</v>
      </c>
      <c r="C992" s="17"/>
      <c r="D992" s="17"/>
      <c r="E992" s="17"/>
      <c r="F992" s="17"/>
      <c r="G992" s="17"/>
      <c r="H992" s="17"/>
      <c r="I992" s="361">
        <f t="shared" si="217"/>
        <v>0</v>
      </c>
      <c r="J992" s="17"/>
      <c r="K992" s="18"/>
      <c r="L992" s="18"/>
      <c r="M992" s="17"/>
      <c r="N992" s="17"/>
      <c r="O992" s="17"/>
      <c r="P992" s="17"/>
      <c r="Q992" s="169"/>
      <c r="R992" s="24"/>
      <c r="S992" s="24"/>
      <c r="T992" s="24"/>
      <c r="U992" s="25"/>
      <c r="V992" s="25"/>
      <c r="W992" s="25"/>
      <c r="X992" s="24"/>
      <c r="Y992" s="24"/>
      <c r="Z992" s="24"/>
      <c r="AA992" s="24"/>
      <c r="AB992" s="24"/>
      <c r="AC992" s="24"/>
      <c r="AD992" s="361">
        <f t="shared" si="216"/>
        <v>0</v>
      </c>
      <c r="AE992" s="359" t="str">
        <f t="shared" si="219"/>
        <v/>
      </c>
      <c r="AF992" s="359" t="str">
        <f t="shared" si="228"/>
        <v/>
      </c>
      <c r="AG992" s="359" t="str">
        <f t="shared" si="220"/>
        <v/>
      </c>
      <c r="AH992" s="359" t="str">
        <f t="shared" si="221"/>
        <v/>
      </c>
      <c r="AI992" s="359" t="str">
        <f t="shared" si="222"/>
        <v/>
      </c>
      <c r="AJ992" s="359" t="str">
        <f t="shared" si="223"/>
        <v/>
      </c>
      <c r="AK992" s="359" t="str">
        <f t="shared" si="224"/>
        <v/>
      </c>
      <c r="AL992" s="359" t="str">
        <f t="shared" si="225"/>
        <v/>
      </c>
      <c r="AM992" s="359" t="str">
        <f t="shared" si="226"/>
        <v/>
      </c>
      <c r="AN992" s="262">
        <f t="shared" si="229"/>
        <v>0</v>
      </c>
      <c r="AO992" s="262" t="str">
        <f>IFERROR(HLOOKUP(AN992,'Ref Lists'!Q$1:AL$2,2,FALSE),'Ref Lists'!$AK$2)</f>
        <v>Savings21</v>
      </c>
      <c r="AP992" s="38"/>
      <c r="AQ992" s="38">
        <f t="shared" si="218"/>
        <v>0</v>
      </c>
      <c r="AR992" s="38"/>
      <c r="AS992" s="38"/>
      <c r="AT992" s="38"/>
      <c r="AU992" s="38"/>
      <c r="AV992" s="38"/>
      <c r="AW992" s="38"/>
      <c r="AX992" s="38"/>
      <c r="AY992" s="38"/>
      <c r="AZ992" s="38"/>
      <c r="BA992" s="38"/>
      <c r="BB992" s="38"/>
      <c r="BC992" s="38"/>
      <c r="BD992" s="38"/>
      <c r="BE992" s="38"/>
      <c r="BF992" s="38"/>
      <c r="BG992" s="38"/>
      <c r="BH992" s="38"/>
      <c r="BI992" s="38"/>
      <c r="BJ992" s="38"/>
      <c r="BK992" s="38"/>
      <c r="BL992" s="38"/>
      <c r="BM992" s="38"/>
      <c r="BN992" s="38"/>
      <c r="BO992" s="38"/>
      <c r="BP992" s="38"/>
      <c r="BQ992" s="38"/>
      <c r="BR992" s="38"/>
      <c r="BS992" s="38"/>
      <c r="BT992" s="38"/>
      <c r="BU992" s="38"/>
      <c r="BV992" s="38"/>
      <c r="BW992" s="38"/>
      <c r="BX992" s="38"/>
      <c r="BY992" s="38"/>
      <c r="BZ992" s="38"/>
      <c r="CA992" s="38"/>
      <c r="CB992" s="38"/>
      <c r="CC992" s="38"/>
      <c r="CD992" s="38"/>
      <c r="CE992" s="38"/>
      <c r="CF992" s="38"/>
      <c r="CG992" s="38"/>
      <c r="CH992" s="38"/>
      <c r="CI992" s="38"/>
      <c r="CJ992" s="38"/>
      <c r="CK992" s="38"/>
      <c r="CL992" s="38"/>
      <c r="CM992" s="38"/>
      <c r="CN992" s="38"/>
      <c r="CO992" s="38"/>
      <c r="CP992" s="38"/>
      <c r="CQ992" s="38"/>
      <c r="CR992" s="38"/>
      <c r="CS992" s="38"/>
      <c r="CT992" s="38"/>
      <c r="CU992" s="38"/>
      <c r="CV992" s="38"/>
      <c r="CW992" s="38"/>
      <c r="CX992" s="38"/>
      <c r="CY992" s="38"/>
      <c r="CZ992" s="38"/>
    </row>
    <row r="993" spans="1:104" s="40" customFormat="1" ht="20.149999999999999" customHeight="1">
      <c r="A993" s="358">
        <f t="shared" si="227"/>
        <v>992</v>
      </c>
      <c r="B993" s="359" t="str">
        <f>'Front Sheet and Checklist'!$C$5</f>
        <v>Swansea Bay UHB</v>
      </c>
      <c r="C993" s="17"/>
      <c r="D993" s="17"/>
      <c r="E993" s="17"/>
      <c r="F993" s="17"/>
      <c r="G993" s="17"/>
      <c r="H993" s="17"/>
      <c r="I993" s="361">
        <f t="shared" si="217"/>
        <v>0</v>
      </c>
      <c r="J993" s="17"/>
      <c r="K993" s="18"/>
      <c r="L993" s="18"/>
      <c r="M993" s="17"/>
      <c r="N993" s="17"/>
      <c r="O993" s="17"/>
      <c r="P993" s="17"/>
      <c r="Q993" s="169"/>
      <c r="R993" s="24"/>
      <c r="S993" s="24"/>
      <c r="T993" s="24"/>
      <c r="U993" s="25"/>
      <c r="V993" s="25"/>
      <c r="W993" s="25"/>
      <c r="X993" s="24"/>
      <c r="Y993" s="24"/>
      <c r="Z993" s="24"/>
      <c r="AA993" s="24"/>
      <c r="AB993" s="24"/>
      <c r="AC993" s="24"/>
      <c r="AD993" s="361">
        <f t="shared" si="216"/>
        <v>0</v>
      </c>
      <c r="AE993" s="359" t="str">
        <f t="shared" si="219"/>
        <v/>
      </c>
      <c r="AF993" s="359" t="str">
        <f t="shared" si="228"/>
        <v/>
      </c>
      <c r="AG993" s="359" t="str">
        <f t="shared" si="220"/>
        <v/>
      </c>
      <c r="AH993" s="359" t="str">
        <f t="shared" si="221"/>
        <v/>
      </c>
      <c r="AI993" s="359" t="str">
        <f t="shared" si="222"/>
        <v/>
      </c>
      <c r="AJ993" s="359" t="str">
        <f t="shared" si="223"/>
        <v/>
      </c>
      <c r="AK993" s="359" t="str">
        <f t="shared" si="224"/>
        <v/>
      </c>
      <c r="AL993" s="359" t="str">
        <f t="shared" si="225"/>
        <v/>
      </c>
      <c r="AM993" s="359" t="str">
        <f t="shared" si="226"/>
        <v/>
      </c>
      <c r="AN993" s="262">
        <f t="shared" si="229"/>
        <v>0</v>
      </c>
      <c r="AO993" s="262" t="str">
        <f>IFERROR(HLOOKUP(AN993,'Ref Lists'!Q$1:AL$2,2,FALSE),'Ref Lists'!$AK$2)</f>
        <v>Savings21</v>
      </c>
      <c r="AP993" s="38"/>
      <c r="AQ993" s="38">
        <f t="shared" si="218"/>
        <v>0</v>
      </c>
      <c r="AR993" s="38"/>
      <c r="AS993" s="38"/>
      <c r="AT993" s="38"/>
      <c r="AU993" s="38"/>
      <c r="AV993" s="38"/>
      <c r="AW993" s="38"/>
      <c r="AX993" s="38"/>
      <c r="AY993" s="38"/>
      <c r="AZ993" s="38"/>
      <c r="BA993" s="38"/>
      <c r="BB993" s="38"/>
      <c r="BC993" s="38"/>
      <c r="BD993" s="38"/>
      <c r="BE993" s="38"/>
      <c r="BF993" s="38"/>
      <c r="BG993" s="38"/>
      <c r="BH993" s="38"/>
      <c r="BI993" s="38"/>
      <c r="BJ993" s="38"/>
      <c r="BK993" s="38"/>
      <c r="BL993" s="38"/>
      <c r="BM993" s="38"/>
      <c r="BN993" s="38"/>
      <c r="BO993" s="38"/>
      <c r="BP993" s="38"/>
      <c r="BQ993" s="38"/>
      <c r="BR993" s="38"/>
      <c r="BS993" s="38"/>
      <c r="BT993" s="38"/>
      <c r="BU993" s="38"/>
      <c r="BV993" s="38"/>
      <c r="BW993" s="38"/>
      <c r="BX993" s="38"/>
      <c r="BY993" s="38"/>
      <c r="BZ993" s="38"/>
      <c r="CA993" s="38"/>
      <c r="CB993" s="38"/>
      <c r="CC993" s="38"/>
      <c r="CD993" s="38"/>
      <c r="CE993" s="38"/>
      <c r="CF993" s="38"/>
      <c r="CG993" s="38"/>
      <c r="CH993" s="38"/>
      <c r="CI993" s="38"/>
      <c r="CJ993" s="38"/>
      <c r="CK993" s="38"/>
      <c r="CL993" s="38"/>
      <c r="CM993" s="38"/>
      <c r="CN993" s="38"/>
      <c r="CO993" s="38"/>
      <c r="CP993" s="38"/>
      <c r="CQ993" s="38"/>
      <c r="CR993" s="38"/>
      <c r="CS993" s="38"/>
      <c r="CT993" s="38"/>
      <c r="CU993" s="38"/>
      <c r="CV993" s="38"/>
      <c r="CW993" s="38"/>
      <c r="CX993" s="38"/>
      <c r="CY993" s="38"/>
      <c r="CZ993" s="38"/>
    </row>
    <row r="994" spans="1:104" s="40" customFormat="1" ht="20.149999999999999" customHeight="1">
      <c r="A994" s="358">
        <f t="shared" si="227"/>
        <v>993</v>
      </c>
      <c r="B994" s="359" t="str">
        <f>'Front Sheet and Checklist'!$C$5</f>
        <v>Swansea Bay UHB</v>
      </c>
      <c r="C994" s="17"/>
      <c r="D994" s="17"/>
      <c r="E994" s="17"/>
      <c r="F994" s="17"/>
      <c r="G994" s="17"/>
      <c r="H994" s="17"/>
      <c r="I994" s="361">
        <f t="shared" si="217"/>
        <v>0</v>
      </c>
      <c r="J994" s="17"/>
      <c r="K994" s="18"/>
      <c r="L994" s="18"/>
      <c r="M994" s="17"/>
      <c r="N994" s="17"/>
      <c r="O994" s="17"/>
      <c r="P994" s="17"/>
      <c r="Q994" s="169"/>
      <c r="R994" s="24"/>
      <c r="S994" s="24"/>
      <c r="T994" s="24"/>
      <c r="U994" s="25"/>
      <c r="V994" s="25"/>
      <c r="W994" s="25"/>
      <c r="X994" s="24"/>
      <c r="Y994" s="24"/>
      <c r="Z994" s="24"/>
      <c r="AA994" s="24"/>
      <c r="AB994" s="24"/>
      <c r="AC994" s="24"/>
      <c r="AD994" s="361">
        <f t="shared" si="216"/>
        <v>0</v>
      </c>
      <c r="AE994" s="359" t="str">
        <f t="shared" si="219"/>
        <v/>
      </c>
      <c r="AF994" s="359" t="str">
        <f t="shared" si="228"/>
        <v/>
      </c>
      <c r="AG994" s="359" t="str">
        <f t="shared" si="220"/>
        <v/>
      </c>
      <c r="AH994" s="359" t="str">
        <f t="shared" si="221"/>
        <v/>
      </c>
      <c r="AI994" s="359" t="str">
        <f t="shared" si="222"/>
        <v/>
      </c>
      <c r="AJ994" s="359" t="str">
        <f t="shared" si="223"/>
        <v/>
      </c>
      <c r="AK994" s="359" t="str">
        <f t="shared" si="224"/>
        <v/>
      </c>
      <c r="AL994" s="359" t="str">
        <f t="shared" si="225"/>
        <v/>
      </c>
      <c r="AM994" s="359" t="str">
        <f t="shared" si="226"/>
        <v/>
      </c>
      <c r="AN994" s="262">
        <f t="shared" si="229"/>
        <v>0</v>
      </c>
      <c r="AO994" s="262" t="str">
        <f>IFERROR(HLOOKUP(AN994,'Ref Lists'!Q$1:AL$2,2,FALSE),'Ref Lists'!$AK$2)</f>
        <v>Savings21</v>
      </c>
      <c r="AP994" s="38"/>
      <c r="AQ994" s="38">
        <f t="shared" si="218"/>
        <v>0</v>
      </c>
      <c r="AR994" s="38"/>
      <c r="AS994" s="38"/>
      <c r="AT994" s="38"/>
      <c r="AU994" s="38"/>
      <c r="AV994" s="38"/>
      <c r="AW994" s="38"/>
      <c r="AX994" s="38"/>
      <c r="AY994" s="38"/>
      <c r="AZ994" s="38"/>
      <c r="BA994" s="38"/>
      <c r="BB994" s="38"/>
      <c r="BC994" s="38"/>
      <c r="BD994" s="38"/>
      <c r="BE994" s="38"/>
      <c r="BF994" s="38"/>
      <c r="BG994" s="38"/>
      <c r="BH994" s="38"/>
      <c r="BI994" s="38"/>
      <c r="BJ994" s="38"/>
      <c r="BK994" s="38"/>
      <c r="BL994" s="38"/>
      <c r="BM994" s="38"/>
      <c r="BN994" s="38"/>
      <c r="BO994" s="38"/>
      <c r="BP994" s="38"/>
      <c r="BQ994" s="38"/>
      <c r="BR994" s="38"/>
      <c r="BS994" s="38"/>
      <c r="BT994" s="38"/>
      <c r="BU994" s="38"/>
      <c r="BV994" s="38"/>
      <c r="BW994" s="38"/>
      <c r="BX994" s="38"/>
      <c r="BY994" s="38"/>
      <c r="BZ994" s="38"/>
      <c r="CA994" s="38"/>
      <c r="CB994" s="38"/>
      <c r="CC994" s="38"/>
      <c r="CD994" s="38"/>
      <c r="CE994" s="38"/>
      <c r="CF994" s="38"/>
      <c r="CG994" s="38"/>
      <c r="CH994" s="38"/>
      <c r="CI994" s="38"/>
      <c r="CJ994" s="38"/>
      <c r="CK994" s="38"/>
      <c r="CL994" s="38"/>
      <c r="CM994" s="38"/>
      <c r="CN994" s="38"/>
      <c r="CO994" s="38"/>
      <c r="CP994" s="38"/>
      <c r="CQ994" s="38"/>
      <c r="CR994" s="38"/>
      <c r="CS994" s="38"/>
      <c r="CT994" s="38"/>
      <c r="CU994" s="38"/>
      <c r="CV994" s="38"/>
      <c r="CW994" s="38"/>
      <c r="CX994" s="38"/>
      <c r="CY994" s="38"/>
      <c r="CZ994" s="38"/>
    </row>
    <row r="995" spans="1:104" s="40" customFormat="1" ht="20.149999999999999" customHeight="1">
      <c r="A995" s="358">
        <f t="shared" si="227"/>
        <v>994</v>
      </c>
      <c r="B995" s="359" t="str">
        <f>'Front Sheet and Checklist'!$C$5</f>
        <v>Swansea Bay UHB</v>
      </c>
      <c r="C995" s="17"/>
      <c r="D995" s="17"/>
      <c r="E995" s="17"/>
      <c r="F995" s="17"/>
      <c r="G995" s="17"/>
      <c r="H995" s="17"/>
      <c r="I995" s="361">
        <f t="shared" si="217"/>
        <v>0</v>
      </c>
      <c r="J995" s="17"/>
      <c r="K995" s="18"/>
      <c r="L995" s="18"/>
      <c r="M995" s="17"/>
      <c r="N995" s="17"/>
      <c r="O995" s="17"/>
      <c r="P995" s="17"/>
      <c r="Q995" s="169"/>
      <c r="R995" s="24"/>
      <c r="S995" s="24"/>
      <c r="T995" s="24"/>
      <c r="U995" s="25"/>
      <c r="V995" s="25"/>
      <c r="W995" s="25"/>
      <c r="X995" s="24"/>
      <c r="Y995" s="24"/>
      <c r="Z995" s="24"/>
      <c r="AA995" s="24"/>
      <c r="AB995" s="24"/>
      <c r="AC995" s="24"/>
      <c r="AD995" s="361">
        <f t="shared" si="216"/>
        <v>0</v>
      </c>
      <c r="AE995" s="359" t="str">
        <f t="shared" si="219"/>
        <v/>
      </c>
      <c r="AF995" s="359" t="str">
        <f t="shared" si="228"/>
        <v/>
      </c>
      <c r="AG995" s="359" t="str">
        <f t="shared" si="220"/>
        <v/>
      </c>
      <c r="AH995" s="359" t="str">
        <f t="shared" si="221"/>
        <v/>
      </c>
      <c r="AI995" s="359" t="str">
        <f t="shared" si="222"/>
        <v/>
      </c>
      <c r="AJ995" s="359" t="str">
        <f t="shared" si="223"/>
        <v/>
      </c>
      <c r="AK995" s="359" t="str">
        <f t="shared" si="224"/>
        <v/>
      </c>
      <c r="AL995" s="359" t="str">
        <f t="shared" si="225"/>
        <v/>
      </c>
      <c r="AM995" s="359" t="str">
        <f t="shared" si="226"/>
        <v/>
      </c>
      <c r="AN995" s="262">
        <f t="shared" si="229"/>
        <v>0</v>
      </c>
      <c r="AO995" s="262" t="str">
        <f>IFERROR(HLOOKUP(AN995,'Ref Lists'!Q$1:AL$2,2,FALSE),'Ref Lists'!$AK$2)</f>
        <v>Savings21</v>
      </c>
      <c r="AP995" s="38"/>
      <c r="AQ995" s="38">
        <f t="shared" si="218"/>
        <v>0</v>
      </c>
      <c r="AR995" s="38"/>
      <c r="AS995" s="38"/>
      <c r="AT995" s="38"/>
      <c r="AU995" s="38"/>
      <c r="AV995" s="38"/>
      <c r="AW995" s="38"/>
      <c r="AX995" s="38"/>
      <c r="AY995" s="38"/>
      <c r="AZ995" s="38"/>
      <c r="BA995" s="38"/>
      <c r="BB995" s="38"/>
      <c r="BC995" s="38"/>
      <c r="BD995" s="38"/>
      <c r="BE995" s="38"/>
      <c r="BF995" s="38"/>
      <c r="BG995" s="38"/>
      <c r="BH995" s="38"/>
      <c r="BI995" s="38"/>
      <c r="BJ995" s="38"/>
      <c r="BK995" s="38"/>
      <c r="BL995" s="38"/>
      <c r="BM995" s="38"/>
      <c r="BN995" s="38"/>
      <c r="BO995" s="38"/>
      <c r="BP995" s="38"/>
      <c r="BQ995" s="38"/>
      <c r="BR995" s="38"/>
      <c r="BS995" s="38"/>
      <c r="BT995" s="38"/>
      <c r="BU995" s="38"/>
      <c r="BV995" s="38"/>
      <c r="BW995" s="38"/>
      <c r="BX995" s="38"/>
      <c r="BY995" s="38"/>
      <c r="BZ995" s="38"/>
      <c r="CA995" s="38"/>
      <c r="CB995" s="38"/>
      <c r="CC995" s="38"/>
      <c r="CD995" s="38"/>
      <c r="CE995" s="38"/>
      <c r="CF995" s="38"/>
      <c r="CG995" s="38"/>
      <c r="CH995" s="38"/>
      <c r="CI995" s="38"/>
      <c r="CJ995" s="38"/>
      <c r="CK995" s="38"/>
      <c r="CL995" s="38"/>
      <c r="CM995" s="38"/>
      <c r="CN995" s="38"/>
      <c r="CO995" s="38"/>
      <c r="CP995" s="38"/>
      <c r="CQ995" s="38"/>
      <c r="CR995" s="38"/>
      <c r="CS995" s="38"/>
      <c r="CT995" s="38"/>
      <c r="CU995" s="38"/>
      <c r="CV995" s="38"/>
      <c r="CW995" s="38"/>
      <c r="CX995" s="38"/>
      <c r="CY995" s="38"/>
      <c r="CZ995" s="38"/>
    </row>
    <row r="996" spans="1:104" s="40" customFormat="1" ht="20.149999999999999" customHeight="1">
      <c r="A996" s="358">
        <f t="shared" si="227"/>
        <v>995</v>
      </c>
      <c r="B996" s="359" t="str">
        <f>'Front Sheet and Checklist'!$C$5</f>
        <v>Swansea Bay UHB</v>
      </c>
      <c r="C996" s="17"/>
      <c r="D996" s="17"/>
      <c r="E996" s="17"/>
      <c r="F996" s="17"/>
      <c r="G996" s="17"/>
      <c r="H996" s="17"/>
      <c r="I996" s="361">
        <f t="shared" si="217"/>
        <v>0</v>
      </c>
      <c r="J996" s="17"/>
      <c r="K996" s="18"/>
      <c r="L996" s="18"/>
      <c r="M996" s="17"/>
      <c r="N996" s="17"/>
      <c r="O996" s="17"/>
      <c r="P996" s="17"/>
      <c r="Q996" s="169"/>
      <c r="R996" s="24"/>
      <c r="S996" s="24"/>
      <c r="T996" s="24"/>
      <c r="U996" s="25"/>
      <c r="V996" s="25"/>
      <c r="W996" s="25"/>
      <c r="X996" s="24"/>
      <c r="Y996" s="24"/>
      <c r="Z996" s="24"/>
      <c r="AA996" s="24"/>
      <c r="AB996" s="24"/>
      <c r="AC996" s="24"/>
      <c r="AD996" s="361">
        <f t="shared" si="216"/>
        <v>0</v>
      </c>
      <c r="AE996" s="359" t="str">
        <f t="shared" si="219"/>
        <v/>
      </c>
      <c r="AF996" s="359" t="str">
        <f t="shared" si="228"/>
        <v/>
      </c>
      <c r="AG996" s="359" t="str">
        <f t="shared" si="220"/>
        <v/>
      </c>
      <c r="AH996" s="359" t="str">
        <f t="shared" si="221"/>
        <v/>
      </c>
      <c r="AI996" s="359" t="str">
        <f t="shared" si="222"/>
        <v/>
      </c>
      <c r="AJ996" s="359" t="str">
        <f t="shared" si="223"/>
        <v/>
      </c>
      <c r="AK996" s="359" t="str">
        <f t="shared" si="224"/>
        <v/>
      </c>
      <c r="AL996" s="359" t="str">
        <f t="shared" si="225"/>
        <v/>
      </c>
      <c r="AM996" s="359" t="str">
        <f t="shared" si="226"/>
        <v/>
      </c>
      <c r="AN996" s="262">
        <f t="shared" si="229"/>
        <v>0</v>
      </c>
      <c r="AO996" s="262" t="str">
        <f>IFERROR(HLOOKUP(AN996,'Ref Lists'!Q$1:AL$2,2,FALSE),'Ref Lists'!$AK$2)</f>
        <v>Savings21</v>
      </c>
      <c r="AP996" s="38"/>
      <c r="AQ996" s="38">
        <f t="shared" si="218"/>
        <v>0</v>
      </c>
      <c r="AR996" s="38"/>
      <c r="AS996" s="38"/>
      <c r="AT996" s="38"/>
      <c r="AU996" s="38"/>
      <c r="AV996" s="38"/>
      <c r="AW996" s="38"/>
      <c r="AX996" s="38"/>
      <c r="AY996" s="38"/>
      <c r="AZ996" s="38"/>
      <c r="BA996" s="38"/>
      <c r="BB996" s="38"/>
      <c r="BC996" s="38"/>
      <c r="BD996" s="38"/>
      <c r="BE996" s="38"/>
      <c r="BF996" s="38"/>
      <c r="BG996" s="38"/>
      <c r="BH996" s="38"/>
      <c r="BI996" s="38"/>
      <c r="BJ996" s="38"/>
      <c r="BK996" s="38"/>
      <c r="BL996" s="38"/>
      <c r="BM996" s="38"/>
      <c r="BN996" s="38"/>
      <c r="BO996" s="38"/>
      <c r="BP996" s="38"/>
      <c r="BQ996" s="38"/>
      <c r="BR996" s="38"/>
      <c r="BS996" s="38"/>
      <c r="BT996" s="38"/>
      <c r="BU996" s="38"/>
      <c r="BV996" s="38"/>
      <c r="BW996" s="38"/>
      <c r="BX996" s="38"/>
      <c r="BY996" s="38"/>
      <c r="BZ996" s="38"/>
      <c r="CA996" s="38"/>
      <c r="CB996" s="38"/>
      <c r="CC996" s="38"/>
      <c r="CD996" s="38"/>
      <c r="CE996" s="38"/>
      <c r="CF996" s="38"/>
      <c r="CG996" s="38"/>
      <c r="CH996" s="38"/>
      <c r="CI996" s="38"/>
      <c r="CJ996" s="38"/>
      <c r="CK996" s="38"/>
      <c r="CL996" s="38"/>
      <c r="CM996" s="38"/>
      <c r="CN996" s="38"/>
      <c r="CO996" s="38"/>
      <c r="CP996" s="38"/>
      <c r="CQ996" s="38"/>
      <c r="CR996" s="38"/>
      <c r="CS996" s="38"/>
      <c r="CT996" s="38"/>
      <c r="CU996" s="38"/>
      <c r="CV996" s="38"/>
      <c r="CW996" s="38"/>
      <c r="CX996" s="38"/>
      <c r="CY996" s="38"/>
      <c r="CZ996" s="38"/>
    </row>
    <row r="997" spans="1:104" s="40" customFormat="1" ht="20.149999999999999" customHeight="1">
      <c r="A997" s="358">
        <f t="shared" si="227"/>
        <v>996</v>
      </c>
      <c r="B997" s="359" t="str">
        <f>'Front Sheet and Checklist'!$C$5</f>
        <v>Swansea Bay UHB</v>
      </c>
      <c r="C997" s="17"/>
      <c r="D997" s="17"/>
      <c r="E997" s="17"/>
      <c r="F997" s="17"/>
      <c r="G997" s="17"/>
      <c r="H997" s="17"/>
      <c r="I997" s="361">
        <f t="shared" si="217"/>
        <v>0</v>
      </c>
      <c r="J997" s="17"/>
      <c r="K997" s="18"/>
      <c r="L997" s="18"/>
      <c r="M997" s="17"/>
      <c r="N997" s="17"/>
      <c r="O997" s="17"/>
      <c r="P997" s="17"/>
      <c r="Q997" s="169"/>
      <c r="R997" s="24"/>
      <c r="S997" s="24"/>
      <c r="T997" s="24"/>
      <c r="U997" s="25"/>
      <c r="V997" s="25"/>
      <c r="W997" s="25"/>
      <c r="X997" s="24"/>
      <c r="Y997" s="24"/>
      <c r="Z997" s="24"/>
      <c r="AA997" s="24"/>
      <c r="AB997" s="24"/>
      <c r="AC997" s="24"/>
      <c r="AD997" s="361">
        <f t="shared" si="216"/>
        <v>0</v>
      </c>
      <c r="AE997" s="359" t="str">
        <f t="shared" si="219"/>
        <v/>
      </c>
      <c r="AF997" s="359" t="str">
        <f t="shared" si="228"/>
        <v/>
      </c>
      <c r="AG997" s="359" t="str">
        <f t="shared" si="220"/>
        <v/>
      </c>
      <c r="AH997" s="359" t="str">
        <f t="shared" si="221"/>
        <v/>
      </c>
      <c r="AI997" s="359" t="str">
        <f t="shared" si="222"/>
        <v/>
      </c>
      <c r="AJ997" s="359" t="str">
        <f t="shared" si="223"/>
        <v/>
      </c>
      <c r="AK997" s="359" t="str">
        <f t="shared" si="224"/>
        <v/>
      </c>
      <c r="AL997" s="359" t="str">
        <f t="shared" si="225"/>
        <v/>
      </c>
      <c r="AM997" s="359" t="str">
        <f t="shared" si="226"/>
        <v/>
      </c>
      <c r="AN997" s="262">
        <f t="shared" si="229"/>
        <v>0</v>
      </c>
      <c r="AO997" s="262" t="str">
        <f>IFERROR(HLOOKUP(AN997,'Ref Lists'!Q$1:AL$2,2,FALSE),'Ref Lists'!$AK$2)</f>
        <v>Savings21</v>
      </c>
      <c r="AP997" s="38"/>
      <c r="AQ997" s="38">
        <f t="shared" si="218"/>
        <v>0</v>
      </c>
      <c r="AR997" s="38"/>
      <c r="AS997" s="38"/>
      <c r="AT997" s="38"/>
      <c r="AU997" s="38"/>
      <c r="AV997" s="38"/>
      <c r="AW997" s="38"/>
      <c r="AX997" s="38"/>
      <c r="AY997" s="38"/>
      <c r="AZ997" s="38"/>
      <c r="BA997" s="38"/>
      <c r="BB997" s="38"/>
      <c r="BC997" s="38"/>
      <c r="BD997" s="38"/>
      <c r="BE997" s="38"/>
      <c r="BF997" s="38"/>
      <c r="BG997" s="38"/>
      <c r="BH997" s="38"/>
      <c r="BI997" s="38"/>
      <c r="BJ997" s="38"/>
      <c r="BK997" s="38"/>
      <c r="BL997" s="38"/>
      <c r="BM997" s="38"/>
      <c r="BN997" s="38"/>
      <c r="BO997" s="38"/>
      <c r="BP997" s="38"/>
      <c r="BQ997" s="38"/>
      <c r="BR997" s="38"/>
      <c r="BS997" s="38"/>
      <c r="BT997" s="38"/>
      <c r="BU997" s="38"/>
      <c r="BV997" s="38"/>
      <c r="BW997" s="38"/>
      <c r="BX997" s="38"/>
      <c r="BY997" s="38"/>
      <c r="BZ997" s="38"/>
      <c r="CA997" s="38"/>
      <c r="CB997" s="38"/>
      <c r="CC997" s="38"/>
      <c r="CD997" s="38"/>
      <c r="CE997" s="38"/>
      <c r="CF997" s="38"/>
      <c r="CG997" s="38"/>
      <c r="CH997" s="38"/>
      <c r="CI997" s="38"/>
      <c r="CJ997" s="38"/>
      <c r="CK997" s="38"/>
      <c r="CL997" s="38"/>
      <c r="CM997" s="38"/>
      <c r="CN997" s="38"/>
      <c r="CO997" s="38"/>
      <c r="CP997" s="38"/>
      <c r="CQ997" s="38"/>
      <c r="CR997" s="38"/>
      <c r="CS997" s="38"/>
      <c r="CT997" s="38"/>
      <c r="CU997" s="38"/>
      <c r="CV997" s="38"/>
      <c r="CW997" s="38"/>
      <c r="CX997" s="38"/>
      <c r="CY997" s="38"/>
      <c r="CZ997" s="38"/>
    </row>
    <row r="998" spans="1:104" s="40" customFormat="1" ht="20.149999999999999" customHeight="1">
      <c r="A998" s="358">
        <f t="shared" si="227"/>
        <v>997</v>
      </c>
      <c r="B998" s="359" t="str">
        <f>'Front Sheet and Checklist'!$C$5</f>
        <v>Swansea Bay UHB</v>
      </c>
      <c r="C998" s="17"/>
      <c r="D998" s="17"/>
      <c r="E998" s="17"/>
      <c r="F998" s="17"/>
      <c r="G998" s="17"/>
      <c r="H998" s="17"/>
      <c r="I998" s="361">
        <f t="shared" si="217"/>
        <v>0</v>
      </c>
      <c r="J998" s="17"/>
      <c r="K998" s="18"/>
      <c r="L998" s="18"/>
      <c r="M998" s="17"/>
      <c r="N998" s="17"/>
      <c r="O998" s="17"/>
      <c r="P998" s="17"/>
      <c r="Q998" s="169"/>
      <c r="R998" s="24"/>
      <c r="S998" s="24"/>
      <c r="T998" s="24"/>
      <c r="U998" s="25"/>
      <c r="V998" s="25"/>
      <c r="W998" s="25"/>
      <c r="X998" s="24"/>
      <c r="Y998" s="24"/>
      <c r="Z998" s="24"/>
      <c r="AA998" s="24"/>
      <c r="AB998" s="24"/>
      <c r="AC998" s="24"/>
      <c r="AD998" s="361">
        <f t="shared" si="216"/>
        <v>0</v>
      </c>
      <c r="AE998" s="359" t="str">
        <f t="shared" si="219"/>
        <v/>
      </c>
      <c r="AF998" s="359" t="str">
        <f t="shared" si="228"/>
        <v/>
      </c>
      <c r="AG998" s="359" t="str">
        <f t="shared" si="220"/>
        <v/>
      </c>
      <c r="AH998" s="359" t="str">
        <f t="shared" si="221"/>
        <v/>
      </c>
      <c r="AI998" s="359" t="str">
        <f t="shared" si="222"/>
        <v/>
      </c>
      <c r="AJ998" s="359" t="str">
        <f t="shared" si="223"/>
        <v/>
      </c>
      <c r="AK998" s="359" t="str">
        <f t="shared" si="224"/>
        <v/>
      </c>
      <c r="AL998" s="359" t="str">
        <f t="shared" si="225"/>
        <v/>
      </c>
      <c r="AM998" s="359" t="str">
        <f t="shared" si="226"/>
        <v/>
      </c>
      <c r="AN998" s="262">
        <f t="shared" si="229"/>
        <v>0</v>
      </c>
      <c r="AO998" s="262" t="str">
        <f>IFERROR(HLOOKUP(AN998,'Ref Lists'!Q$1:AL$2,2,FALSE),'Ref Lists'!$AK$2)</f>
        <v>Savings21</v>
      </c>
      <c r="AP998" s="38"/>
      <c r="AQ998" s="38">
        <f t="shared" si="218"/>
        <v>0</v>
      </c>
      <c r="AR998" s="38"/>
      <c r="AS998" s="38"/>
      <c r="AT998" s="38"/>
      <c r="AU998" s="38"/>
      <c r="AV998" s="38"/>
      <c r="AW998" s="38"/>
      <c r="AX998" s="38"/>
      <c r="AY998" s="38"/>
      <c r="AZ998" s="38"/>
      <c r="BA998" s="38"/>
      <c r="BB998" s="38"/>
      <c r="BC998" s="38"/>
      <c r="BD998" s="38"/>
      <c r="BE998" s="38"/>
      <c r="BF998" s="38"/>
      <c r="BG998" s="38"/>
      <c r="BH998" s="38"/>
      <c r="BI998" s="38"/>
      <c r="BJ998" s="38"/>
      <c r="BK998" s="38"/>
      <c r="BL998" s="38"/>
      <c r="BM998" s="38"/>
      <c r="BN998" s="38"/>
      <c r="BO998" s="38"/>
      <c r="BP998" s="38"/>
      <c r="BQ998" s="38"/>
      <c r="BR998" s="38"/>
      <c r="BS998" s="38"/>
      <c r="BT998" s="38"/>
      <c r="BU998" s="38"/>
      <c r="BV998" s="38"/>
      <c r="BW998" s="38"/>
      <c r="BX998" s="38"/>
      <c r="BY998" s="38"/>
      <c r="BZ998" s="38"/>
      <c r="CA998" s="38"/>
      <c r="CB998" s="38"/>
      <c r="CC998" s="38"/>
      <c r="CD998" s="38"/>
      <c r="CE998" s="38"/>
      <c r="CF998" s="38"/>
      <c r="CG998" s="38"/>
      <c r="CH998" s="38"/>
      <c r="CI998" s="38"/>
      <c r="CJ998" s="38"/>
      <c r="CK998" s="38"/>
      <c r="CL998" s="38"/>
      <c r="CM998" s="38"/>
      <c r="CN998" s="38"/>
      <c r="CO998" s="38"/>
      <c r="CP998" s="38"/>
      <c r="CQ998" s="38"/>
      <c r="CR998" s="38"/>
      <c r="CS998" s="38"/>
      <c r="CT998" s="38"/>
      <c r="CU998" s="38"/>
      <c r="CV998" s="38"/>
      <c r="CW998" s="38"/>
      <c r="CX998" s="38"/>
      <c r="CY998" s="38"/>
      <c r="CZ998" s="38"/>
    </row>
    <row r="999" spans="1:104" s="40" customFormat="1" ht="20.149999999999999" customHeight="1">
      <c r="A999" s="358">
        <f t="shared" si="227"/>
        <v>998</v>
      </c>
      <c r="B999" s="359" t="str">
        <f>'Front Sheet and Checklist'!$C$5</f>
        <v>Swansea Bay UHB</v>
      </c>
      <c r="C999" s="17"/>
      <c r="D999" s="17"/>
      <c r="E999" s="17"/>
      <c r="F999" s="17"/>
      <c r="G999" s="17"/>
      <c r="H999" s="17"/>
      <c r="I999" s="361">
        <f t="shared" si="217"/>
        <v>0</v>
      </c>
      <c r="J999" s="17"/>
      <c r="K999" s="18"/>
      <c r="L999" s="18"/>
      <c r="M999" s="17"/>
      <c r="N999" s="17"/>
      <c r="O999" s="17"/>
      <c r="P999" s="17"/>
      <c r="Q999" s="169"/>
      <c r="R999" s="24"/>
      <c r="S999" s="24"/>
      <c r="T999" s="24"/>
      <c r="U999" s="25"/>
      <c r="V999" s="25"/>
      <c r="W999" s="25"/>
      <c r="X999" s="24"/>
      <c r="Y999" s="24"/>
      <c r="Z999" s="24"/>
      <c r="AA999" s="24"/>
      <c r="AB999" s="24"/>
      <c r="AC999" s="24"/>
      <c r="AD999" s="361">
        <f t="shared" si="216"/>
        <v>0</v>
      </c>
      <c r="AE999" s="359" t="str">
        <f t="shared" si="219"/>
        <v/>
      </c>
      <c r="AF999" s="359" t="str">
        <f t="shared" si="228"/>
        <v/>
      </c>
      <c r="AG999" s="359" t="str">
        <f t="shared" si="220"/>
        <v/>
      </c>
      <c r="AH999" s="359" t="str">
        <f t="shared" si="221"/>
        <v/>
      </c>
      <c r="AI999" s="359" t="str">
        <f t="shared" si="222"/>
        <v/>
      </c>
      <c r="AJ999" s="359" t="str">
        <f t="shared" si="223"/>
        <v/>
      </c>
      <c r="AK999" s="359" t="str">
        <f t="shared" si="224"/>
        <v/>
      </c>
      <c r="AL999" s="359" t="str">
        <f t="shared" si="225"/>
        <v/>
      </c>
      <c r="AM999" s="359" t="str">
        <f t="shared" si="226"/>
        <v/>
      </c>
      <c r="AN999" s="262">
        <f t="shared" si="229"/>
        <v>0</v>
      </c>
      <c r="AO999" s="262" t="str">
        <f>IFERROR(HLOOKUP(AN999,'Ref Lists'!Q$1:AL$2,2,FALSE),'Ref Lists'!$AK$2)</f>
        <v>Savings21</v>
      </c>
      <c r="AP999" s="38"/>
      <c r="AQ999" s="38">
        <f t="shared" si="218"/>
        <v>0</v>
      </c>
      <c r="AR999" s="38"/>
      <c r="AS999" s="38"/>
      <c r="AT999" s="38"/>
      <c r="AU999" s="38"/>
      <c r="AV999" s="38"/>
      <c r="AW999" s="38"/>
      <c r="AX999" s="38"/>
      <c r="AY999" s="38"/>
      <c r="AZ999" s="38"/>
      <c r="BA999" s="38"/>
      <c r="BB999" s="38"/>
      <c r="BC999" s="38"/>
      <c r="BD999" s="38"/>
      <c r="BE999" s="38"/>
      <c r="BF999" s="38"/>
      <c r="BG999" s="38"/>
      <c r="BH999" s="38"/>
      <c r="BI999" s="38"/>
      <c r="BJ999" s="38"/>
      <c r="BK999" s="38"/>
      <c r="BL999" s="38"/>
      <c r="BM999" s="38"/>
      <c r="BN999" s="38"/>
      <c r="BO999" s="38"/>
      <c r="BP999" s="38"/>
      <c r="BQ999" s="38"/>
      <c r="BR999" s="38"/>
      <c r="BS999" s="38"/>
      <c r="BT999" s="38"/>
      <c r="BU999" s="38"/>
      <c r="BV999" s="38"/>
      <c r="BW999" s="38"/>
      <c r="BX999" s="38"/>
      <c r="BY999" s="38"/>
      <c r="BZ999" s="38"/>
      <c r="CA999" s="38"/>
      <c r="CB999" s="38"/>
      <c r="CC999" s="38"/>
      <c r="CD999" s="38"/>
      <c r="CE999" s="38"/>
      <c r="CF999" s="38"/>
      <c r="CG999" s="38"/>
      <c r="CH999" s="38"/>
      <c r="CI999" s="38"/>
      <c r="CJ999" s="38"/>
      <c r="CK999" s="38"/>
      <c r="CL999" s="38"/>
      <c r="CM999" s="38"/>
      <c r="CN999" s="38"/>
      <c r="CO999" s="38"/>
      <c r="CP999" s="38"/>
      <c r="CQ999" s="38"/>
      <c r="CR999" s="38"/>
      <c r="CS999" s="38"/>
      <c r="CT999" s="38"/>
      <c r="CU999" s="38"/>
      <c r="CV999" s="38"/>
      <c r="CW999" s="38"/>
      <c r="CX999" s="38"/>
      <c r="CY999" s="38"/>
      <c r="CZ999" s="38"/>
    </row>
    <row r="1000" spans="1:104" s="40" customFormat="1" ht="20.149999999999999" customHeight="1">
      <c r="A1000" s="358">
        <f t="shared" si="227"/>
        <v>999</v>
      </c>
      <c r="B1000" s="359" t="str">
        <f>'Front Sheet and Checklist'!$C$5</f>
        <v>Swansea Bay UHB</v>
      </c>
      <c r="C1000" s="17"/>
      <c r="D1000" s="17"/>
      <c r="E1000" s="17"/>
      <c r="F1000" s="17"/>
      <c r="G1000" s="17"/>
      <c r="H1000" s="17"/>
      <c r="I1000" s="361">
        <f t="shared" si="217"/>
        <v>0</v>
      </c>
      <c r="J1000" s="17"/>
      <c r="K1000" s="18"/>
      <c r="L1000" s="18"/>
      <c r="M1000" s="17"/>
      <c r="N1000" s="17"/>
      <c r="O1000" s="17"/>
      <c r="P1000" s="17"/>
      <c r="Q1000" s="169"/>
      <c r="R1000" s="24"/>
      <c r="S1000" s="24"/>
      <c r="T1000" s="24"/>
      <c r="U1000" s="25"/>
      <c r="V1000" s="25"/>
      <c r="W1000" s="25"/>
      <c r="X1000" s="24"/>
      <c r="Y1000" s="24"/>
      <c r="Z1000" s="24"/>
      <c r="AA1000" s="24"/>
      <c r="AB1000" s="24"/>
      <c r="AC1000" s="24"/>
      <c r="AD1000" s="361">
        <f t="shared" si="216"/>
        <v>0</v>
      </c>
      <c r="AE1000" s="359" t="str">
        <f t="shared" si="219"/>
        <v/>
      </c>
      <c r="AF1000" s="359" t="str">
        <f t="shared" si="228"/>
        <v/>
      </c>
      <c r="AG1000" s="359" t="str">
        <f t="shared" si="220"/>
        <v/>
      </c>
      <c r="AH1000" s="359" t="str">
        <f t="shared" si="221"/>
        <v/>
      </c>
      <c r="AI1000" s="359" t="str">
        <f t="shared" si="222"/>
        <v/>
      </c>
      <c r="AJ1000" s="359" t="str">
        <f t="shared" si="223"/>
        <v/>
      </c>
      <c r="AK1000" s="359" t="str">
        <f t="shared" si="224"/>
        <v/>
      </c>
      <c r="AL1000" s="359" t="str">
        <f t="shared" si="225"/>
        <v/>
      </c>
      <c r="AM1000" s="359" t="str">
        <f t="shared" si="226"/>
        <v/>
      </c>
      <c r="AN1000" s="262">
        <f t="shared" si="229"/>
        <v>0</v>
      </c>
      <c r="AO1000" s="262" t="str">
        <f>IFERROR(HLOOKUP(AN1000,'Ref Lists'!Q$1:AL$2,2,FALSE),'Ref Lists'!$AK$2)</f>
        <v>Savings21</v>
      </c>
      <c r="AP1000" s="38"/>
      <c r="AQ1000" s="38">
        <f t="shared" si="218"/>
        <v>0</v>
      </c>
      <c r="AR1000" s="38"/>
      <c r="AS1000" s="38"/>
      <c r="AT1000" s="38"/>
      <c r="AU1000" s="38"/>
      <c r="AV1000" s="38"/>
      <c r="AW1000" s="38"/>
      <c r="AX1000" s="38"/>
      <c r="AY1000" s="38"/>
      <c r="AZ1000" s="38"/>
      <c r="BA1000" s="38"/>
      <c r="BB1000" s="38"/>
      <c r="BC1000" s="38"/>
      <c r="BD1000" s="38"/>
      <c r="BE1000" s="38"/>
      <c r="BF1000" s="38"/>
      <c r="BG1000" s="38"/>
      <c r="BH1000" s="38"/>
      <c r="BI1000" s="38"/>
      <c r="BJ1000" s="38"/>
      <c r="BK1000" s="38"/>
      <c r="BL1000" s="38"/>
      <c r="BM1000" s="38"/>
      <c r="BN1000" s="38"/>
      <c r="BO1000" s="38"/>
      <c r="BP1000" s="38"/>
      <c r="BQ1000" s="38"/>
      <c r="BR1000" s="38"/>
      <c r="BS1000" s="38"/>
      <c r="BT1000" s="38"/>
      <c r="BU1000" s="38"/>
      <c r="BV1000" s="38"/>
      <c r="BW1000" s="38"/>
      <c r="BX1000" s="38"/>
      <c r="BY1000" s="38"/>
      <c r="BZ1000" s="38"/>
      <c r="CA1000" s="38"/>
      <c r="CB1000" s="38"/>
      <c r="CC1000" s="38"/>
      <c r="CD1000" s="38"/>
      <c r="CE1000" s="38"/>
      <c r="CF1000" s="38"/>
      <c r="CG1000" s="38"/>
      <c r="CH1000" s="38"/>
      <c r="CI1000" s="38"/>
      <c r="CJ1000" s="38"/>
      <c r="CK1000" s="38"/>
      <c r="CL1000" s="38"/>
      <c r="CM1000" s="38"/>
      <c r="CN1000" s="38"/>
      <c r="CO1000" s="38"/>
      <c r="CP1000" s="38"/>
      <c r="CQ1000" s="38"/>
      <c r="CR1000" s="38"/>
      <c r="CS1000" s="38"/>
      <c r="CT1000" s="38"/>
      <c r="CU1000" s="38"/>
      <c r="CV1000" s="38"/>
      <c r="CW1000" s="38"/>
      <c r="CX1000" s="38"/>
      <c r="CY1000" s="38"/>
      <c r="CZ1000" s="38"/>
    </row>
    <row r="1001" spans="1:104" s="40" customFormat="1" ht="20.149999999999999" customHeight="1">
      <c r="A1001" s="358">
        <f t="shared" si="227"/>
        <v>1000</v>
      </c>
      <c r="B1001" s="359" t="str">
        <f>'Front Sheet and Checklist'!$C$5</f>
        <v>Swansea Bay UHB</v>
      </c>
      <c r="C1001" s="17"/>
      <c r="D1001" s="17"/>
      <c r="E1001" s="17"/>
      <c r="F1001" s="17"/>
      <c r="G1001" s="17"/>
      <c r="H1001" s="17"/>
      <c r="I1001" s="361">
        <f t="shared" si="217"/>
        <v>0</v>
      </c>
      <c r="J1001" s="17"/>
      <c r="K1001" s="18"/>
      <c r="L1001" s="18"/>
      <c r="M1001" s="17"/>
      <c r="N1001" s="17"/>
      <c r="O1001" s="17"/>
      <c r="P1001" s="17"/>
      <c r="Q1001" s="169"/>
      <c r="R1001" s="24"/>
      <c r="S1001" s="24"/>
      <c r="T1001" s="24"/>
      <c r="U1001" s="25"/>
      <c r="V1001" s="25"/>
      <c r="W1001" s="25"/>
      <c r="X1001" s="24"/>
      <c r="Y1001" s="24"/>
      <c r="Z1001" s="24"/>
      <c r="AA1001" s="24"/>
      <c r="AB1001" s="24"/>
      <c r="AC1001" s="24"/>
      <c r="AD1001" s="361">
        <f t="shared" si="216"/>
        <v>0</v>
      </c>
      <c r="AE1001" s="359" t="str">
        <f t="shared" si="219"/>
        <v/>
      </c>
      <c r="AF1001" s="359" t="str">
        <f t="shared" si="228"/>
        <v/>
      </c>
      <c r="AG1001" s="359" t="str">
        <f t="shared" si="220"/>
        <v/>
      </c>
      <c r="AH1001" s="359" t="str">
        <f t="shared" si="221"/>
        <v/>
      </c>
      <c r="AI1001" s="359" t="str">
        <f t="shared" si="222"/>
        <v/>
      </c>
      <c r="AJ1001" s="359" t="str">
        <f t="shared" si="223"/>
        <v/>
      </c>
      <c r="AK1001" s="359" t="str">
        <f t="shared" si="224"/>
        <v/>
      </c>
      <c r="AL1001" s="359" t="str">
        <f t="shared" si="225"/>
        <v/>
      </c>
      <c r="AM1001" s="359" t="str">
        <f t="shared" si="226"/>
        <v/>
      </c>
      <c r="AN1001" s="262">
        <f t="shared" si="229"/>
        <v>0</v>
      </c>
      <c r="AO1001" s="262" t="str">
        <f>IFERROR(HLOOKUP(AN1001,'Ref Lists'!Q$1:AL$2,2,FALSE),'Ref Lists'!$AK$2)</f>
        <v>Savings21</v>
      </c>
      <c r="AP1001" s="38"/>
      <c r="AQ1001" s="38">
        <f t="shared" si="218"/>
        <v>0</v>
      </c>
      <c r="AR1001" s="38"/>
      <c r="AS1001" s="38"/>
      <c r="AT1001" s="38"/>
      <c r="AU1001" s="38"/>
      <c r="AV1001" s="38"/>
      <c r="AW1001" s="38"/>
      <c r="AX1001" s="38"/>
      <c r="AY1001" s="38"/>
      <c r="AZ1001" s="38"/>
      <c r="BA1001" s="38"/>
      <c r="BB1001" s="38"/>
      <c r="BC1001" s="38"/>
      <c r="BD1001" s="38"/>
      <c r="BE1001" s="38"/>
      <c r="BF1001" s="38"/>
      <c r="BG1001" s="38"/>
      <c r="BH1001" s="38"/>
      <c r="BI1001" s="38"/>
      <c r="BJ1001" s="38"/>
      <c r="BK1001" s="38"/>
      <c r="BL1001" s="38"/>
      <c r="BM1001" s="38"/>
      <c r="BN1001" s="38"/>
      <c r="BO1001" s="38"/>
      <c r="BP1001" s="38"/>
      <c r="BQ1001" s="38"/>
      <c r="BR1001" s="38"/>
      <c r="BS1001" s="38"/>
      <c r="BT1001" s="38"/>
      <c r="BU1001" s="38"/>
      <c r="BV1001" s="38"/>
      <c r="BW1001" s="38"/>
      <c r="BX1001" s="38"/>
      <c r="BY1001" s="38"/>
      <c r="BZ1001" s="38"/>
      <c r="CA1001" s="38"/>
      <c r="CB1001" s="38"/>
      <c r="CC1001" s="38"/>
      <c r="CD1001" s="38"/>
      <c r="CE1001" s="38"/>
      <c r="CF1001" s="38"/>
      <c r="CG1001" s="38"/>
      <c r="CH1001" s="38"/>
      <c r="CI1001" s="38"/>
      <c r="CJ1001" s="38"/>
      <c r="CK1001" s="38"/>
      <c r="CL1001" s="38"/>
      <c r="CM1001" s="38"/>
      <c r="CN1001" s="38"/>
      <c r="CO1001" s="38"/>
      <c r="CP1001" s="38"/>
      <c r="CQ1001" s="38"/>
      <c r="CR1001" s="38"/>
      <c r="CS1001" s="38"/>
      <c r="CT1001" s="38"/>
      <c r="CU1001" s="38"/>
      <c r="CV1001" s="38"/>
      <c r="CW1001" s="38"/>
      <c r="CX1001" s="38"/>
      <c r="CY1001" s="38"/>
      <c r="CZ1001" s="38"/>
    </row>
  </sheetData>
  <sheetProtection sheet="1" objects="1" scenarios="1"/>
  <customSheetViews>
    <customSheetView guid="{95B84344-25FE-4A71-9083-825DAB5E8F01}" scale="85" showGridLines="0" hiddenColumns="1">
      <pane xSplit="5" topLeftCell="F1" activePane="topRight" state="frozen"/>
      <selection pane="topRight" activeCell="K71" sqref="K71"/>
      <pageMargins left="0" right="0" top="0" bottom="0" header="0" footer="0"/>
      <pageSetup paperSize="9" orientation="portrait" r:id="rId1"/>
    </customSheetView>
  </customSheetViews>
  <phoneticPr fontId="48" type="noConversion"/>
  <dataValidations count="4">
    <dataValidation type="list" allowBlank="1" showInputMessage="1" showErrorMessage="1" sqref="M4:M1001" xr:uid="{00000000-0002-0000-1900-000000000000}">
      <formula1>"Green, Amber, Red"</formula1>
    </dataValidation>
    <dataValidation type="list" allowBlank="1" showInputMessage="1" showErrorMessage="1" sqref="M2:M3" xr:uid="{00000000-0002-0000-1900-000001000000}">
      <formula1>"Green,Amber,Red,Pipeline"</formula1>
    </dataValidation>
    <dataValidation type="list" allowBlank="1" showInputMessage="1" showErrorMessage="1" sqref="G4:G1001" xr:uid="{00000000-0002-0000-1900-000002000000}">
      <formula1>"R,NR"</formula1>
    </dataValidation>
    <dataValidation type="list" allowBlank="1" showInputMessage="1" showErrorMessage="1" sqref="Q4:Q1001" xr:uid="{00000000-0002-0000-1900-000003000000}">
      <formula1>INDIRECT(AO4)</formula1>
    </dataValidation>
  </dataValidations>
  <pageMargins left="0.23622047244094491" right="0.23622047244094491" top="0.74803149606299213" bottom="0.74803149606299213" header="0.31496062992125984" footer="0.31496062992125984"/>
  <pageSetup paperSize="9" scale="10" fitToHeight="0"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900-000004000000}">
          <x14:formula1>
            <xm:f>'Ref Lists'!$K$2:$K$13</xm:f>
          </x14:formula1>
          <xm:sqref>N4:N1001</xm:sqref>
        </x14:dataValidation>
        <x14:dataValidation type="list" allowBlank="1" showInputMessage="1" showErrorMessage="1" xr:uid="{00000000-0002-0000-1900-000005000000}">
          <x14:formula1>
            <xm:f>'Ref Lists'!$L$2:$L$14</xm:f>
          </x14:formula1>
          <xm:sqref>O2:O1001</xm:sqref>
        </x14:dataValidation>
        <x14:dataValidation type="list" allowBlank="1" showInputMessage="1" showErrorMessage="1" xr:uid="{00000000-0002-0000-1900-000006000000}">
          <x14:formula1>
            <xm:f>'Ref Lists'!$J$2:$J$5</xm:f>
          </x14:formula1>
          <xm:sqref>H2:H1001</xm:sqref>
        </x14:dataValidation>
        <x14:dataValidation type="list" allowBlank="1" showInputMessage="1" showErrorMessage="1" xr:uid="{00000000-0002-0000-1900-000007000000}">
          <x14:formula1>
            <xm:f>'Ref Lists'!$N$2:$N$9</xm:f>
          </x14:formula1>
          <xm:sqref>P4:P1001</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
    <tabColor theme="0" tint="-0.499984740745262"/>
  </sheetPr>
  <dimension ref="A1:AS28"/>
  <sheetViews>
    <sheetView topLeftCell="W1" zoomScale="55" zoomScaleNormal="55" workbookViewId="0">
      <selection activeCell="AF4" sqref="AF4"/>
    </sheetView>
  </sheetViews>
  <sheetFormatPr defaultRowHeight="15.5"/>
  <cols>
    <col min="2" max="2" width="36.3046875" customWidth="1"/>
    <col min="4" max="4" width="36.765625" customWidth="1"/>
    <col min="6" max="6" width="53.3046875" bestFit="1" customWidth="1"/>
    <col min="7" max="7" width="29.4609375" customWidth="1"/>
    <col min="8" max="9" width="31.3046875" customWidth="1"/>
    <col min="10" max="10" width="23.84375" customWidth="1"/>
    <col min="11" max="12" width="31.3046875" customWidth="1"/>
    <col min="13" max="13" width="4.84375" customWidth="1"/>
    <col min="14" max="14" width="23.84375" customWidth="1"/>
    <col min="15" max="16" width="7.3046875" customWidth="1"/>
    <col min="17" max="19" width="30" customWidth="1"/>
    <col min="20" max="20" width="30.4609375" customWidth="1"/>
    <col min="21" max="21" width="31.23046875" customWidth="1"/>
    <col min="22" max="22" width="34.3046875" customWidth="1"/>
    <col min="23" max="24" width="18.23046875" customWidth="1"/>
    <col min="25" max="25" width="41.07421875" customWidth="1"/>
    <col min="26" max="28" width="29.69140625" customWidth="1"/>
    <col min="29" max="42" width="16.84375" customWidth="1"/>
    <col min="43" max="43" width="50.53515625" customWidth="1"/>
  </cols>
  <sheetData>
    <row r="1" spans="1:45" ht="77.5">
      <c r="A1" s="149" t="s">
        <v>736</v>
      </c>
      <c r="B1" s="149" t="s">
        <v>737</v>
      </c>
      <c r="D1" s="149" t="s">
        <v>738</v>
      </c>
      <c r="F1" s="149" t="s">
        <v>739</v>
      </c>
      <c r="G1" s="149" t="s">
        <v>739</v>
      </c>
      <c r="H1" s="149" t="s">
        <v>547</v>
      </c>
      <c r="I1" s="149"/>
      <c r="J1" s="166" t="s">
        <v>693</v>
      </c>
      <c r="K1" s="149" t="s">
        <v>547</v>
      </c>
      <c r="L1" s="166" t="s">
        <v>740</v>
      </c>
      <c r="M1" s="166"/>
      <c r="N1" s="166" t="s">
        <v>330</v>
      </c>
      <c r="O1" s="166"/>
      <c r="P1" s="154"/>
      <c r="Q1" s="166" t="str">
        <f>_xlfn.CONCAT(N2,L3)</f>
        <v>1) WorkforcePay - General &amp; Substantive</v>
      </c>
      <c r="R1" s="166" t="str">
        <f>_xlfn.CONCAT(N2,L4)</f>
        <v>1) WorkforcePay - Variable</v>
      </c>
      <c r="S1" s="166" t="str">
        <f>_xlfn.CONCAT(N2,L5)</f>
        <v>1) WorkforcePay - Agency</v>
      </c>
      <c r="T1" s="166" t="str">
        <f>N3</f>
        <v>2) Medicines Management</v>
      </c>
      <c r="U1" s="166" t="str">
        <f>N4</f>
        <v>3) Procurement &amp; Non-pay</v>
      </c>
      <c r="V1" s="166" t="str">
        <f>N5</f>
        <v>4) CHC</v>
      </c>
      <c r="W1" s="166" t="str">
        <f>N7</f>
        <v>Other - Commissioning</v>
      </c>
      <c r="X1" s="166" t="str">
        <f>N8</f>
        <v>Other - Primary Care</v>
      </c>
      <c r="Y1" s="166" t="str">
        <f>_xlfn.CONCAT($N$6,K2)</f>
        <v>5) PathwayAll Service Areas</v>
      </c>
      <c r="Z1" s="166" t="str">
        <f>_xlfn.CONCAT($N$6,$K3)</f>
        <v>5) PathwayScheduled Care</v>
      </c>
      <c r="AA1" s="166" t="str">
        <f>_xlfn.CONCAT($N$6,$K4)</f>
        <v>5) PathwayUnscheduled Care</v>
      </c>
      <c r="AB1" s="166" t="str">
        <f>_xlfn.CONCAT($N$6,$K5)</f>
        <v>5) PathwayMental Health</v>
      </c>
      <c r="AC1" s="166" t="str">
        <f>_xlfn.CONCAT($N$6,$K6)</f>
        <v>5) PathwayCommunity Services</v>
      </c>
      <c r="AD1" s="166" t="str">
        <f>_xlfn.CONCAT($N$6,$K7)</f>
        <v>5) PathwayPrimary Care</v>
      </c>
      <c r="AE1" s="166" t="str">
        <f>_xlfn.CONCAT($N$6,$K8)</f>
        <v>5) PathwayCommissioned Services CHC</v>
      </c>
      <c r="AF1" s="166" t="str">
        <f>_xlfn.CONCAT($N$6,$K9)</f>
        <v>5) PathwayCommissioned Services Specialised Services</v>
      </c>
      <c r="AG1" s="166" t="str">
        <f>_xlfn.CONCAT($N$6,$K10)</f>
        <v>5) PathwayOther Commissioned Services</v>
      </c>
      <c r="AH1" s="166" t="str">
        <f>_xlfn.CONCAT($N$6,$K11)</f>
        <v>5) PathwayClinical Support</v>
      </c>
      <c r="AI1" s="166" t="str">
        <f>_xlfn.CONCAT($N$6,$K12)</f>
        <v>5) PathwayNon Clinical Support</v>
      </c>
      <c r="AJ1" s="166" t="str">
        <f>_xlfn.CONCAT($N$6,$K13)</f>
        <v>5) PathwayExecutive Corporate Areas</v>
      </c>
      <c r="AK1" s="149" t="s">
        <v>741</v>
      </c>
      <c r="AL1" s="149" t="s">
        <v>369</v>
      </c>
      <c r="AN1" s="166" t="s">
        <v>696</v>
      </c>
      <c r="AQ1" s="166" t="s">
        <v>742</v>
      </c>
      <c r="AS1" s="149"/>
    </row>
    <row r="2" spans="1:45">
      <c r="A2" t="s">
        <v>743</v>
      </c>
      <c r="B2" s="7" t="s">
        <v>42</v>
      </c>
      <c r="D2" t="s">
        <v>744</v>
      </c>
      <c r="H2" s="154" t="s">
        <v>716</v>
      </c>
      <c r="I2" s="154"/>
      <c r="J2" s="487" t="s">
        <v>711</v>
      </c>
      <c r="K2" s="154" t="s">
        <v>716</v>
      </c>
      <c r="L2" s="5" t="s">
        <v>733</v>
      </c>
      <c r="N2" s="487" t="s">
        <v>720</v>
      </c>
      <c r="Q2" s="166" t="s">
        <v>745</v>
      </c>
      <c r="R2" s="166" t="s">
        <v>746</v>
      </c>
      <c r="S2" s="166" t="s">
        <v>747</v>
      </c>
      <c r="T2" s="166" t="s">
        <v>748</v>
      </c>
      <c r="U2" s="166" t="s">
        <v>749</v>
      </c>
      <c r="V2" s="166" t="s">
        <v>750</v>
      </c>
      <c r="W2" s="166" t="s">
        <v>751</v>
      </c>
      <c r="X2" s="166" t="s">
        <v>752</v>
      </c>
      <c r="Y2" s="166" t="s">
        <v>753</v>
      </c>
      <c r="Z2" s="166" t="s">
        <v>754</v>
      </c>
      <c r="AA2" s="166" t="s">
        <v>755</v>
      </c>
      <c r="AB2" s="166" t="s">
        <v>756</v>
      </c>
      <c r="AC2" s="166" t="s">
        <v>757</v>
      </c>
      <c r="AD2" s="166" t="s">
        <v>758</v>
      </c>
      <c r="AE2" s="166" t="s">
        <v>759</v>
      </c>
      <c r="AF2" s="166" t="s">
        <v>760</v>
      </c>
      <c r="AG2" s="166" t="s">
        <v>761</v>
      </c>
      <c r="AH2" s="166" t="s">
        <v>762</v>
      </c>
      <c r="AI2" s="166" t="s">
        <v>763</v>
      </c>
      <c r="AJ2" s="166" t="s">
        <v>764</v>
      </c>
      <c r="AK2" s="166" t="s">
        <v>765</v>
      </c>
      <c r="AL2" s="166" t="s">
        <v>766</v>
      </c>
      <c r="AN2" s="154" t="s">
        <v>767</v>
      </c>
      <c r="AO2" s="168"/>
      <c r="AP2" s="168"/>
      <c r="AQ2" s="167" t="s">
        <v>768</v>
      </c>
      <c r="AS2" t="s">
        <v>548</v>
      </c>
    </row>
    <row r="3" spans="1:45" ht="166.5">
      <c r="A3" t="s">
        <v>769</v>
      </c>
      <c r="B3" s="7" t="s">
        <v>43</v>
      </c>
      <c r="D3" t="s">
        <v>770</v>
      </c>
      <c r="F3" t="s">
        <v>771</v>
      </c>
      <c r="G3" t="s">
        <v>408</v>
      </c>
      <c r="H3" s="154" t="s">
        <v>488</v>
      </c>
      <c r="I3" s="154"/>
      <c r="J3" s="487" t="s">
        <v>772</v>
      </c>
      <c r="K3" s="154" t="s">
        <v>488</v>
      </c>
      <c r="L3" s="487" t="s">
        <v>705</v>
      </c>
      <c r="M3" s="154"/>
      <c r="N3" s="487" t="s">
        <v>713</v>
      </c>
      <c r="P3" s="154"/>
      <c r="Q3" s="258" t="s">
        <v>773</v>
      </c>
      <c r="R3" s="258" t="s">
        <v>774</v>
      </c>
      <c r="S3" s="258" t="s">
        <v>775</v>
      </c>
      <c r="T3" s="258" t="s">
        <v>776</v>
      </c>
      <c r="U3" s="258" t="s">
        <v>777</v>
      </c>
      <c r="V3" s="258" t="s">
        <v>778</v>
      </c>
      <c r="W3" s="261" t="s">
        <v>779</v>
      </c>
      <c r="X3" s="378" t="s">
        <v>780</v>
      </c>
      <c r="Y3" s="379" t="s">
        <v>781</v>
      </c>
      <c r="Z3" s="379" t="s">
        <v>781</v>
      </c>
      <c r="AA3" s="379" t="s">
        <v>781</v>
      </c>
      <c r="AB3" s="379" t="s">
        <v>782</v>
      </c>
      <c r="AC3" s="379" t="s">
        <v>782</v>
      </c>
      <c r="AD3" s="379" t="s">
        <v>782</v>
      </c>
      <c r="AE3" s="258" t="s">
        <v>778</v>
      </c>
      <c r="AF3" s="261" t="s">
        <v>779</v>
      </c>
      <c r="AG3" s="261" t="s">
        <v>779</v>
      </c>
      <c r="AH3" s="261" t="s">
        <v>783</v>
      </c>
      <c r="AI3" s="481" t="s">
        <v>784</v>
      </c>
      <c r="AJ3" s="379" t="s">
        <v>782</v>
      </c>
      <c r="AK3" s="261" t="s">
        <v>785</v>
      </c>
      <c r="AL3" s="263" t="s">
        <v>786</v>
      </c>
      <c r="AN3" s="154" t="s">
        <v>787</v>
      </c>
      <c r="AO3" s="168"/>
      <c r="AP3" s="168"/>
      <c r="AQ3" s="167">
        <v>2</v>
      </c>
      <c r="AS3" t="s">
        <v>549</v>
      </c>
    </row>
    <row r="4" spans="1:45" ht="185">
      <c r="A4" t="s">
        <v>788</v>
      </c>
      <c r="B4" s="7" t="s">
        <v>44</v>
      </c>
      <c r="D4" t="s">
        <v>789</v>
      </c>
      <c r="F4" t="s">
        <v>488</v>
      </c>
      <c r="G4" t="s">
        <v>409</v>
      </c>
      <c r="H4" s="154" t="s">
        <v>490</v>
      </c>
      <c r="I4" s="154"/>
      <c r="J4" s="487" t="s">
        <v>733</v>
      </c>
      <c r="K4" s="154" t="s">
        <v>490</v>
      </c>
      <c r="L4" s="154" t="s">
        <v>719</v>
      </c>
      <c r="N4" s="487" t="s">
        <v>717</v>
      </c>
      <c r="P4" s="154"/>
      <c r="Q4" s="258" t="s">
        <v>790</v>
      </c>
      <c r="R4" s="258" t="s">
        <v>791</v>
      </c>
      <c r="S4" s="258" t="s">
        <v>791</v>
      </c>
      <c r="T4" s="258" t="s">
        <v>792</v>
      </c>
      <c r="U4" s="258" t="s">
        <v>793</v>
      </c>
      <c r="V4" s="258" t="s">
        <v>794</v>
      </c>
      <c r="W4" s="261" t="s">
        <v>795</v>
      </c>
      <c r="X4" s="378" t="s">
        <v>796</v>
      </c>
      <c r="Y4" s="379" t="s">
        <v>782</v>
      </c>
      <c r="Z4" s="379" t="s">
        <v>782</v>
      </c>
      <c r="AA4" s="379" t="s">
        <v>782</v>
      </c>
      <c r="AB4" s="261" t="s">
        <v>797</v>
      </c>
      <c r="AC4" s="261" t="s">
        <v>798</v>
      </c>
      <c r="AD4" s="261" t="s">
        <v>780</v>
      </c>
      <c r="AE4" s="258" t="s">
        <v>794</v>
      </c>
      <c r="AF4" s="261" t="s">
        <v>795</v>
      </c>
      <c r="AG4" s="261" t="s">
        <v>795</v>
      </c>
      <c r="AH4" s="261" t="s">
        <v>799</v>
      </c>
      <c r="AI4" s="379" t="s">
        <v>782</v>
      </c>
      <c r="AJ4" s="258" t="s">
        <v>800</v>
      </c>
      <c r="AK4" s="261" t="s">
        <v>801</v>
      </c>
      <c r="AL4" s="263" t="s">
        <v>802</v>
      </c>
      <c r="AN4" s="154" t="s">
        <v>733</v>
      </c>
      <c r="AO4" s="168"/>
      <c r="AP4" s="168"/>
      <c r="AQ4" s="167">
        <v>3</v>
      </c>
      <c r="AS4" t="s">
        <v>550</v>
      </c>
    </row>
    <row r="5" spans="1:45" ht="166.5">
      <c r="A5" t="s">
        <v>803</v>
      </c>
      <c r="B5" s="7" t="s">
        <v>45</v>
      </c>
      <c r="D5" t="s">
        <v>804</v>
      </c>
      <c r="F5" t="s">
        <v>490</v>
      </c>
      <c r="G5" t="s">
        <v>410</v>
      </c>
      <c r="H5" s="154" t="s">
        <v>493</v>
      </c>
      <c r="I5" s="154"/>
      <c r="J5" s="154" t="s">
        <v>420</v>
      </c>
      <c r="K5" s="154" t="s">
        <v>493</v>
      </c>
      <c r="L5" s="154" t="s">
        <v>805</v>
      </c>
      <c r="N5" s="487" t="s">
        <v>806</v>
      </c>
      <c r="Q5" s="258" t="s">
        <v>791</v>
      </c>
      <c r="R5" s="258" t="s">
        <v>807</v>
      </c>
      <c r="S5" s="258" t="s">
        <v>807</v>
      </c>
      <c r="T5" s="258" t="s">
        <v>808</v>
      </c>
      <c r="U5" s="258" t="s">
        <v>800</v>
      </c>
      <c r="V5" s="258" t="s">
        <v>809</v>
      </c>
      <c r="W5" s="261" t="s">
        <v>810</v>
      </c>
      <c r="Y5" s="379" t="s">
        <v>811</v>
      </c>
      <c r="Z5" s="379" t="s">
        <v>811</v>
      </c>
      <c r="AA5" s="379" t="s">
        <v>811</v>
      </c>
      <c r="AB5" s="261" t="s">
        <v>812</v>
      </c>
      <c r="AC5" s="261" t="s">
        <v>813</v>
      </c>
      <c r="AD5" s="261" t="s">
        <v>796</v>
      </c>
      <c r="AE5" s="258" t="s">
        <v>809</v>
      </c>
      <c r="AF5" s="261" t="s">
        <v>810</v>
      </c>
      <c r="AG5" s="261" t="s">
        <v>810</v>
      </c>
      <c r="AH5" s="261" t="s">
        <v>814</v>
      </c>
      <c r="AI5" s="261" t="s">
        <v>815</v>
      </c>
      <c r="AJ5" s="481" t="s">
        <v>784</v>
      </c>
      <c r="AK5" s="482" t="s">
        <v>816</v>
      </c>
      <c r="AL5" s="264" t="s">
        <v>448</v>
      </c>
      <c r="AN5" s="154"/>
      <c r="AO5" s="168"/>
      <c r="AP5" s="168"/>
      <c r="AQ5" s="167">
        <v>4</v>
      </c>
      <c r="AS5" t="s">
        <v>551</v>
      </c>
    </row>
    <row r="6" spans="1:45" ht="74">
      <c r="A6" t="s">
        <v>51</v>
      </c>
      <c r="B6" s="7" t="s">
        <v>51</v>
      </c>
      <c r="D6" t="s">
        <v>817</v>
      </c>
      <c r="F6" t="s">
        <v>818</v>
      </c>
      <c r="G6" t="s">
        <v>411</v>
      </c>
      <c r="H6" s="154" t="s">
        <v>495</v>
      </c>
      <c r="I6" s="154"/>
      <c r="J6" s="154" t="s">
        <v>819</v>
      </c>
      <c r="K6" s="154" t="s">
        <v>495</v>
      </c>
      <c r="L6" s="487" t="s">
        <v>706</v>
      </c>
      <c r="N6" s="487" t="s">
        <v>820</v>
      </c>
      <c r="Q6" s="259" t="s">
        <v>821</v>
      </c>
      <c r="R6" s="258" t="s">
        <v>816</v>
      </c>
      <c r="S6" s="258" t="s">
        <v>816</v>
      </c>
      <c r="T6" s="258" t="s">
        <v>822</v>
      </c>
      <c r="U6" s="377" t="s">
        <v>823</v>
      </c>
      <c r="V6" s="481" t="s">
        <v>824</v>
      </c>
      <c r="W6" s="261" t="s">
        <v>825</v>
      </c>
      <c r="X6" s="154"/>
      <c r="Y6" s="379" t="s">
        <v>826</v>
      </c>
      <c r="Z6" s="379" t="s">
        <v>826</v>
      </c>
      <c r="AA6" s="379" t="s">
        <v>826</v>
      </c>
      <c r="AB6" s="261" t="s">
        <v>827</v>
      </c>
      <c r="AC6" s="487"/>
      <c r="AE6" s="481" t="s">
        <v>824</v>
      </c>
      <c r="AF6" s="261" t="s">
        <v>825</v>
      </c>
      <c r="AG6" s="261" t="s">
        <v>825</v>
      </c>
      <c r="AH6" s="379" t="s">
        <v>782</v>
      </c>
      <c r="AI6" s="154"/>
      <c r="AJ6" s="261" t="s">
        <v>828</v>
      </c>
      <c r="AK6" s="379" t="s">
        <v>782</v>
      </c>
      <c r="AL6" s="263"/>
      <c r="AQ6" t="s">
        <v>829</v>
      </c>
      <c r="AS6" t="s">
        <v>379</v>
      </c>
    </row>
    <row r="7" spans="1:45" ht="92.5">
      <c r="A7" t="s">
        <v>830</v>
      </c>
      <c r="B7" s="7" t="s">
        <v>46</v>
      </c>
      <c r="D7" t="s">
        <v>492</v>
      </c>
      <c r="F7" t="s">
        <v>493</v>
      </c>
      <c r="G7" t="s">
        <v>412</v>
      </c>
      <c r="H7" s="154" t="s">
        <v>497</v>
      </c>
      <c r="I7" s="154"/>
      <c r="K7" s="154" t="s">
        <v>497</v>
      </c>
      <c r="L7" s="487" t="s">
        <v>450</v>
      </c>
      <c r="N7" s="487" t="s">
        <v>831</v>
      </c>
      <c r="Q7" s="259" t="s">
        <v>832</v>
      </c>
      <c r="R7" s="481" t="s">
        <v>824</v>
      </c>
      <c r="S7" s="481" t="s">
        <v>824</v>
      </c>
      <c r="T7" s="258" t="s">
        <v>833</v>
      </c>
      <c r="U7" s="379" t="s">
        <v>782</v>
      </c>
      <c r="V7" s="259" t="s">
        <v>834</v>
      </c>
      <c r="W7" s="261" t="s">
        <v>835</v>
      </c>
      <c r="Y7" s="379" t="s">
        <v>836</v>
      </c>
      <c r="Z7" s="379" t="s">
        <v>836</v>
      </c>
      <c r="AA7" s="379" t="s">
        <v>836</v>
      </c>
      <c r="AB7" s="261" t="s">
        <v>267</v>
      </c>
      <c r="AC7" s="487"/>
      <c r="AE7" s="259" t="s">
        <v>834</v>
      </c>
      <c r="AF7" s="261" t="s">
        <v>835</v>
      </c>
      <c r="AG7" s="261" t="s">
        <v>835</v>
      </c>
      <c r="AH7" s="261" t="s">
        <v>267</v>
      </c>
      <c r="AI7" s="154"/>
      <c r="AJ7" s="154"/>
      <c r="AK7" s="481" t="s">
        <v>784</v>
      </c>
      <c r="AL7" s="263"/>
      <c r="AM7" s="154"/>
      <c r="AN7" s="154"/>
      <c r="AO7" s="154"/>
      <c r="AP7" s="154"/>
      <c r="AS7" t="s">
        <v>552</v>
      </c>
    </row>
    <row r="8" spans="1:45" ht="148">
      <c r="A8" t="s">
        <v>837</v>
      </c>
      <c r="B8" s="7" t="s">
        <v>52</v>
      </c>
      <c r="D8" t="s">
        <v>838</v>
      </c>
      <c r="F8" t="s">
        <v>839</v>
      </c>
      <c r="G8" t="s">
        <v>413</v>
      </c>
      <c r="H8" s="154" t="s">
        <v>840</v>
      </c>
      <c r="I8" s="154"/>
      <c r="K8" s="154" t="s">
        <v>841</v>
      </c>
      <c r="L8" s="487" t="s">
        <v>551</v>
      </c>
      <c r="N8" s="487" t="s">
        <v>842</v>
      </c>
      <c r="Q8" s="379" t="s">
        <v>782</v>
      </c>
      <c r="R8" s="258" t="s">
        <v>843</v>
      </c>
      <c r="S8" s="258" t="s">
        <v>844</v>
      </c>
      <c r="T8" s="259" t="s">
        <v>845</v>
      </c>
      <c r="U8" s="259" t="s">
        <v>846</v>
      </c>
      <c r="V8" s="153"/>
      <c r="W8" s="481" t="s">
        <v>824</v>
      </c>
      <c r="Y8" s="379" t="s">
        <v>847</v>
      </c>
      <c r="Z8" s="379" t="s">
        <v>847</v>
      </c>
      <c r="AA8" s="379" t="s">
        <v>847</v>
      </c>
      <c r="AB8" s="487"/>
      <c r="AC8" s="487"/>
      <c r="AE8" s="261"/>
      <c r="AF8" s="481" t="s">
        <v>824</v>
      </c>
      <c r="AG8" s="481" t="s">
        <v>824</v>
      </c>
      <c r="AI8" s="154"/>
      <c r="AJ8" s="154"/>
      <c r="AK8" s="258" t="s">
        <v>823</v>
      </c>
      <c r="AL8" s="154"/>
      <c r="AM8" s="154"/>
      <c r="AN8" s="154"/>
      <c r="AO8" s="154"/>
      <c r="AP8" s="154"/>
      <c r="AS8" t="s">
        <v>553</v>
      </c>
    </row>
    <row r="9" spans="1:45" ht="74">
      <c r="A9" t="s">
        <v>848</v>
      </c>
      <c r="B9" s="7" t="s">
        <v>53</v>
      </c>
      <c r="D9" t="s">
        <v>267</v>
      </c>
      <c r="F9" t="s">
        <v>712</v>
      </c>
      <c r="H9" s="154" t="s">
        <v>849</v>
      </c>
      <c r="I9" s="154"/>
      <c r="K9" s="154" t="s">
        <v>850</v>
      </c>
      <c r="L9" s="154" t="s">
        <v>379</v>
      </c>
      <c r="N9" s="487" t="s">
        <v>369</v>
      </c>
      <c r="Q9" s="481" t="s">
        <v>784</v>
      </c>
      <c r="R9" s="154"/>
      <c r="S9" s="154"/>
      <c r="T9" s="379" t="s">
        <v>782</v>
      </c>
      <c r="U9" s="154"/>
      <c r="W9" s="379" t="s">
        <v>782</v>
      </c>
      <c r="Y9" s="379" t="s">
        <v>851</v>
      </c>
      <c r="Z9" s="379" t="s">
        <v>851</v>
      </c>
      <c r="AA9" s="379" t="s">
        <v>851</v>
      </c>
      <c r="AB9" s="487"/>
      <c r="AC9" s="487"/>
      <c r="AE9" s="154"/>
      <c r="AF9" s="379" t="s">
        <v>782</v>
      </c>
      <c r="AG9" s="379" t="s">
        <v>782</v>
      </c>
      <c r="AH9" s="154"/>
      <c r="AK9" s="261" t="s">
        <v>835</v>
      </c>
      <c r="AL9" s="154"/>
      <c r="AM9" s="154"/>
      <c r="AN9" s="154"/>
      <c r="AO9" s="154"/>
      <c r="AP9" s="154"/>
      <c r="AS9" t="s">
        <v>554</v>
      </c>
    </row>
    <row r="10" spans="1:45" ht="37">
      <c r="A10" t="s">
        <v>852</v>
      </c>
      <c r="B10" s="7" t="s">
        <v>47</v>
      </c>
      <c r="F10" t="s">
        <v>853</v>
      </c>
      <c r="H10" s="154" t="s">
        <v>854</v>
      </c>
      <c r="I10" s="154"/>
      <c r="K10" s="487" t="s">
        <v>854</v>
      </c>
      <c r="L10" s="487" t="s">
        <v>552</v>
      </c>
      <c r="Q10" s="481" t="s">
        <v>824</v>
      </c>
      <c r="R10" s="154"/>
      <c r="S10" s="154"/>
      <c r="T10" s="259" t="s">
        <v>855</v>
      </c>
      <c r="W10" s="261" t="s">
        <v>856</v>
      </c>
      <c r="Y10" s="379" t="s">
        <v>857</v>
      </c>
      <c r="Z10" s="379" t="s">
        <v>857</v>
      </c>
      <c r="AA10" s="379" t="s">
        <v>857</v>
      </c>
      <c r="AB10" s="487"/>
      <c r="AC10" s="154"/>
      <c r="AE10" s="154"/>
      <c r="AF10" s="261" t="s">
        <v>856</v>
      </c>
      <c r="AG10" s="261" t="s">
        <v>856</v>
      </c>
      <c r="AH10" s="154"/>
      <c r="AI10" s="154"/>
      <c r="AJ10" s="154"/>
      <c r="AK10" s="261" t="s">
        <v>267</v>
      </c>
      <c r="AL10" s="154"/>
      <c r="AM10" s="154"/>
      <c r="AN10" s="154"/>
      <c r="AO10" s="154"/>
      <c r="AP10" s="154"/>
      <c r="AS10" t="s">
        <v>449</v>
      </c>
    </row>
    <row r="11" spans="1:45" ht="37">
      <c r="A11" t="s">
        <v>858</v>
      </c>
      <c r="B11" s="7" t="s">
        <v>48</v>
      </c>
      <c r="H11" s="154" t="s">
        <v>712</v>
      </c>
      <c r="I11" s="154"/>
      <c r="K11" s="487" t="s">
        <v>712</v>
      </c>
      <c r="L11" s="487" t="s">
        <v>859</v>
      </c>
      <c r="Q11" s="260" t="s">
        <v>267</v>
      </c>
      <c r="R11" s="154"/>
      <c r="S11" s="154"/>
      <c r="Y11" s="379" t="s">
        <v>860</v>
      </c>
      <c r="Z11" s="379" t="s">
        <v>860</v>
      </c>
      <c r="AA11" s="379" t="s">
        <v>860</v>
      </c>
      <c r="AB11" s="487"/>
      <c r="AC11" s="154"/>
      <c r="AE11" s="154"/>
      <c r="AF11" s="154"/>
      <c r="AG11" s="154"/>
      <c r="AH11" s="154"/>
      <c r="AI11" s="154"/>
      <c r="AJ11" s="154"/>
      <c r="AK11" s="261"/>
      <c r="AL11" s="154"/>
      <c r="AM11" s="154"/>
      <c r="AN11" s="154"/>
      <c r="AO11" s="154"/>
      <c r="AP11" s="154"/>
      <c r="AS11" t="s">
        <v>555</v>
      </c>
    </row>
    <row r="12" spans="1:45" ht="55.5">
      <c r="A12" t="s">
        <v>861</v>
      </c>
      <c r="B12" s="7" t="s">
        <v>3</v>
      </c>
      <c r="H12" s="154" t="s">
        <v>729</v>
      </c>
      <c r="K12" s="487" t="s">
        <v>729</v>
      </c>
      <c r="L12" s="487" t="s">
        <v>862</v>
      </c>
      <c r="N12" s="154"/>
      <c r="R12" s="487"/>
      <c r="S12" s="154"/>
      <c r="Y12" s="379" t="s">
        <v>863</v>
      </c>
      <c r="Z12" s="379" t="s">
        <v>863</v>
      </c>
      <c r="AA12" s="379" t="s">
        <v>863</v>
      </c>
      <c r="AB12" s="487"/>
      <c r="AC12" s="154"/>
      <c r="AE12" s="154"/>
      <c r="AF12" s="154"/>
      <c r="AG12" s="154"/>
      <c r="AH12" s="154"/>
      <c r="AI12" s="154"/>
      <c r="AJ12" s="154"/>
      <c r="AL12" s="154"/>
      <c r="AM12" s="154"/>
      <c r="AN12" s="154"/>
      <c r="AO12" s="154"/>
      <c r="AP12" s="154"/>
      <c r="AS12" t="s">
        <v>385</v>
      </c>
    </row>
    <row r="13" spans="1:45" ht="37">
      <c r="A13" t="s">
        <v>864</v>
      </c>
      <c r="B13" s="7" t="s">
        <v>49</v>
      </c>
      <c r="H13" s="487" t="s">
        <v>503</v>
      </c>
      <c r="K13" s="487" t="s">
        <v>865</v>
      </c>
      <c r="L13" s="487" t="s">
        <v>449</v>
      </c>
      <c r="N13" s="154"/>
      <c r="O13" s="154"/>
      <c r="P13" s="154"/>
      <c r="Q13" s="154"/>
      <c r="R13" s="154"/>
      <c r="S13" s="154"/>
      <c r="T13" s="154"/>
      <c r="Y13" s="379" t="s">
        <v>866</v>
      </c>
      <c r="Z13" s="379" t="s">
        <v>866</v>
      </c>
      <c r="AA13" s="379" t="s">
        <v>866</v>
      </c>
      <c r="AB13" s="487"/>
      <c r="AC13" s="154"/>
      <c r="AD13" s="154"/>
      <c r="AE13" s="154"/>
      <c r="AF13" s="154"/>
      <c r="AG13" s="154"/>
      <c r="AH13" s="154"/>
      <c r="AI13" s="154"/>
      <c r="AJ13" s="154"/>
      <c r="AK13" s="154"/>
      <c r="AL13" s="154"/>
    </row>
    <row r="14" spans="1:45" ht="37">
      <c r="A14" t="s">
        <v>867</v>
      </c>
      <c r="B14" s="7" t="s">
        <v>50</v>
      </c>
      <c r="L14" s="487" t="s">
        <v>555</v>
      </c>
      <c r="M14" s="154"/>
      <c r="Q14" s="487"/>
      <c r="R14" s="487"/>
      <c r="S14" s="487"/>
      <c r="Y14" s="379" t="s">
        <v>868</v>
      </c>
      <c r="Z14" s="379" t="s">
        <v>868</v>
      </c>
      <c r="AA14" s="379" t="s">
        <v>868</v>
      </c>
      <c r="AB14" s="487"/>
      <c r="AC14" s="154"/>
      <c r="AD14" s="154"/>
      <c r="AE14" s="154"/>
      <c r="AF14" s="154"/>
      <c r="AG14" s="154"/>
      <c r="AH14" s="154"/>
      <c r="AI14" s="154"/>
      <c r="AJ14" s="154"/>
      <c r="AK14" s="154"/>
    </row>
    <row r="15" spans="1:45" ht="37">
      <c r="A15" t="s">
        <v>461</v>
      </c>
      <c r="B15" s="7" t="s">
        <v>461</v>
      </c>
      <c r="Q15" s="154"/>
      <c r="R15" s="487"/>
      <c r="S15" s="154"/>
      <c r="Y15" s="379" t="s">
        <v>869</v>
      </c>
      <c r="Z15" s="379" t="s">
        <v>869</v>
      </c>
      <c r="AA15" s="379" t="s">
        <v>869</v>
      </c>
      <c r="AB15" s="487"/>
      <c r="AC15" s="154"/>
      <c r="AF15" s="154"/>
      <c r="AG15" s="154"/>
      <c r="AI15" s="154"/>
      <c r="AJ15" s="154"/>
      <c r="AK15" s="154"/>
    </row>
    <row r="16" spans="1:45" ht="37">
      <c r="A16" t="s">
        <v>870</v>
      </c>
      <c r="B16" s="7" t="s">
        <v>870</v>
      </c>
      <c r="O16" s="154"/>
      <c r="P16" s="154"/>
      <c r="Q16" s="487"/>
      <c r="R16" s="487"/>
      <c r="S16" s="487"/>
      <c r="Y16" s="379" t="s">
        <v>871</v>
      </c>
      <c r="Z16" s="379" t="s">
        <v>871</v>
      </c>
      <c r="AA16" s="379" t="s">
        <v>871</v>
      </c>
      <c r="AB16" s="487"/>
      <c r="AC16" s="487"/>
      <c r="AF16" s="154"/>
      <c r="AG16" s="154"/>
      <c r="AK16" s="154"/>
    </row>
    <row r="17" spans="12:37" ht="18.5">
      <c r="Q17" s="487"/>
      <c r="R17" s="154"/>
      <c r="S17" s="487"/>
      <c r="Y17" s="379" t="s">
        <v>267</v>
      </c>
      <c r="Z17" s="379" t="s">
        <v>267</v>
      </c>
      <c r="AA17" s="379" t="s">
        <v>267</v>
      </c>
      <c r="AB17" s="487"/>
      <c r="AC17" s="487"/>
      <c r="AK17" s="154"/>
    </row>
    <row r="18" spans="12:37">
      <c r="L18" s="154"/>
      <c r="O18" s="154"/>
      <c r="P18" s="154"/>
      <c r="Q18" s="487"/>
      <c r="R18" s="487"/>
      <c r="S18" s="487"/>
      <c r="AK18" s="154"/>
    </row>
    <row r="19" spans="12:37">
      <c r="L19" s="154"/>
      <c r="Q19" s="154"/>
      <c r="R19" s="487"/>
      <c r="S19" s="154"/>
    </row>
    <row r="20" spans="12:37">
      <c r="L20" s="154"/>
      <c r="Q20" s="487"/>
      <c r="S20" s="487"/>
      <c r="Y20" s="154"/>
    </row>
    <row r="21" spans="12:37">
      <c r="L21" s="154"/>
      <c r="O21" s="154"/>
      <c r="P21" s="154"/>
      <c r="Q21" s="487"/>
      <c r="R21" s="154"/>
      <c r="S21" s="487"/>
    </row>
    <row r="22" spans="12:37">
      <c r="L22" s="154"/>
      <c r="R22" s="154"/>
    </row>
    <row r="23" spans="12:37">
      <c r="L23" s="154"/>
      <c r="Q23" s="154"/>
      <c r="R23" s="154"/>
      <c r="S23" s="154"/>
      <c r="Y23" s="154"/>
    </row>
    <row r="24" spans="12:37">
      <c r="L24" s="154"/>
      <c r="O24" s="154"/>
      <c r="P24" s="154"/>
      <c r="Q24" s="154"/>
      <c r="S24" s="154"/>
    </row>
    <row r="25" spans="12:37">
      <c r="O25" s="154"/>
      <c r="P25" s="154"/>
      <c r="Q25" s="154"/>
      <c r="S25" s="154"/>
    </row>
    <row r="26" spans="12:37">
      <c r="O26" s="154"/>
      <c r="P26" s="154"/>
    </row>
    <row r="27" spans="12:37">
      <c r="O27" s="154"/>
      <c r="P27" s="154"/>
    </row>
    <row r="28" spans="12:37">
      <c r="O28" s="154"/>
      <c r="P28" s="154"/>
    </row>
  </sheetData>
  <autoFilter ref="L1:L29" xr:uid="{00000000-0009-0000-0000-00001A000000}"/>
  <customSheetViews>
    <customSheetView guid="{95B84344-25FE-4A71-9083-825DAB5E8F01}" state="hidden">
      <selection activeCell="C9" sqref="C9"/>
      <pageMargins left="0" right="0" top="0" bottom="0" header="0" footer="0"/>
    </customSheetView>
  </customSheetViews>
  <phoneticPr fontId="48" type="noConversion"/>
  <pageMargins left="0" right="0" top="0" bottom="0" header="0" footer="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79998168889431442"/>
    <pageSetUpPr fitToPage="1"/>
  </sheetPr>
  <dimension ref="B1:J70"/>
  <sheetViews>
    <sheetView showGridLines="0" zoomScale="85" zoomScaleNormal="85" workbookViewId="0">
      <pane xSplit="2" ySplit="3" topLeftCell="C41" activePane="bottomRight" state="frozenSplit"/>
      <selection pane="topRight" activeCell="A22" sqref="A22"/>
      <selection pane="bottomLeft" activeCell="A22" sqref="A22"/>
      <selection pane="bottomRight" activeCell="C21" sqref="C21"/>
    </sheetView>
  </sheetViews>
  <sheetFormatPr defaultRowHeight="15.5"/>
  <cols>
    <col min="1" max="1" width="2.23046875" customWidth="1"/>
    <col min="2" max="2" width="19.84375" customWidth="1"/>
    <col min="3" max="3" width="53.765625" customWidth="1"/>
    <col min="4" max="4" width="16.69140625" customWidth="1"/>
    <col min="5" max="7" width="13.3046875" customWidth="1"/>
    <col min="8" max="8" width="9.07421875" style="382" customWidth="1"/>
  </cols>
  <sheetData>
    <row r="1" spans="2:10" ht="23.5">
      <c r="B1" s="199" t="s">
        <v>872</v>
      </c>
      <c r="C1" s="199"/>
      <c r="D1" s="199"/>
      <c r="E1" s="199"/>
      <c r="F1" s="199"/>
      <c r="G1" s="199"/>
      <c r="H1" s="199"/>
    </row>
    <row r="2" spans="2:10" ht="4" customHeight="1"/>
    <row r="3" spans="2:10" ht="26">
      <c r="B3" s="35" t="s">
        <v>557</v>
      </c>
      <c r="C3" s="35" t="s">
        <v>873</v>
      </c>
      <c r="D3" s="35" t="s">
        <v>363</v>
      </c>
      <c r="E3" s="35" t="s">
        <v>364</v>
      </c>
      <c r="F3" s="35" t="s">
        <v>365</v>
      </c>
      <c r="G3" s="35" t="s">
        <v>698</v>
      </c>
      <c r="H3" s="35" t="s">
        <v>874</v>
      </c>
    </row>
    <row r="4" spans="2:10">
      <c r="B4" s="17" t="s">
        <v>875</v>
      </c>
      <c r="C4" s="17" t="s">
        <v>1192</v>
      </c>
      <c r="D4" s="17">
        <f>-'[3]Options Presetned 13 March'!P205*1000</f>
        <v>3600</v>
      </c>
      <c r="E4" s="17">
        <f>D4</f>
        <v>3600</v>
      </c>
      <c r="F4" s="17"/>
      <c r="G4" s="17" t="s">
        <v>1195</v>
      </c>
      <c r="H4" s="380" t="s">
        <v>829</v>
      </c>
      <c r="J4" t="str">
        <f>IF(AND(OR(D4&lt;&gt;0,E4&lt;&gt;0,F4&lt;&gt;0),OR(B4="",C4="",G4="",H4="")),"Please complete all sections","")</f>
        <v/>
      </c>
    </row>
    <row r="5" spans="2:10">
      <c r="B5" s="17" t="s">
        <v>876</v>
      </c>
      <c r="C5" s="17" t="s">
        <v>1192</v>
      </c>
      <c r="D5" s="17">
        <f>-'[3]Options Presetned 13 March'!P206*1000</f>
        <v>9600</v>
      </c>
      <c r="E5" s="17">
        <f t="shared" ref="E5:E11" si="0">D5</f>
        <v>9600</v>
      </c>
      <c r="F5" s="17"/>
      <c r="G5" s="17" t="s">
        <v>1195</v>
      </c>
      <c r="H5" s="380" t="s">
        <v>829</v>
      </c>
      <c r="J5" t="str">
        <f t="shared" ref="J5:J68" si="1">IF(AND(OR(D5&lt;&gt;0,E5&lt;&gt;0,F5&lt;&gt;0),OR(B5="",C5="",G5="",H5="")),"Please complete all sections","")</f>
        <v/>
      </c>
    </row>
    <row r="6" spans="2:10">
      <c r="B6" s="17" t="s">
        <v>877</v>
      </c>
      <c r="C6" s="17" t="s">
        <v>1192</v>
      </c>
      <c r="D6" s="17">
        <f>-'[3]Options Presetned 13 March'!P207*1000</f>
        <v>2660</v>
      </c>
      <c r="E6" s="17">
        <f t="shared" si="0"/>
        <v>2660</v>
      </c>
      <c r="F6" s="17"/>
      <c r="G6" s="17" t="s">
        <v>1193</v>
      </c>
      <c r="H6" s="380" t="s">
        <v>829</v>
      </c>
      <c r="J6" t="str">
        <f t="shared" si="1"/>
        <v/>
      </c>
    </row>
    <row r="7" spans="2:10">
      <c r="B7" s="17" t="s">
        <v>878</v>
      </c>
      <c r="C7" s="17" t="s">
        <v>1192</v>
      </c>
      <c r="D7" s="17">
        <f>-'[3]Options Presetned 13 March'!P208*1000</f>
        <v>2600</v>
      </c>
      <c r="E7" s="17">
        <f t="shared" si="0"/>
        <v>2600</v>
      </c>
      <c r="F7" s="17"/>
      <c r="G7" s="17" t="s">
        <v>878</v>
      </c>
      <c r="H7" s="380" t="s">
        <v>829</v>
      </c>
      <c r="J7" t="str">
        <f t="shared" si="1"/>
        <v/>
      </c>
    </row>
    <row r="8" spans="2:10">
      <c r="B8" s="17" t="s">
        <v>879</v>
      </c>
      <c r="C8" s="17" t="s">
        <v>1192</v>
      </c>
      <c r="D8" s="17">
        <f>-'[3]Options Presetned 13 March'!P209*1000</f>
        <v>3478.7000000000003</v>
      </c>
      <c r="E8" s="17">
        <f t="shared" si="0"/>
        <v>3478.7000000000003</v>
      </c>
      <c r="F8" s="17"/>
      <c r="G8" s="17" t="s">
        <v>1194</v>
      </c>
      <c r="H8" s="380" t="s">
        <v>829</v>
      </c>
      <c r="J8" t="str">
        <f t="shared" si="1"/>
        <v/>
      </c>
    </row>
    <row r="9" spans="2:10">
      <c r="B9" s="17" t="s">
        <v>880</v>
      </c>
      <c r="C9" s="17" t="s">
        <v>1192</v>
      </c>
      <c r="D9" s="17">
        <f>-'[3]Options Presetned 13 March'!P210*1000</f>
        <v>2647.0000000000005</v>
      </c>
      <c r="E9" s="17">
        <f t="shared" si="0"/>
        <v>2647.0000000000005</v>
      </c>
      <c r="F9" s="17"/>
      <c r="G9" s="17" t="s">
        <v>250</v>
      </c>
      <c r="H9" s="380" t="s">
        <v>829</v>
      </c>
      <c r="J9" t="str">
        <f t="shared" si="1"/>
        <v/>
      </c>
    </row>
    <row r="10" spans="2:10">
      <c r="B10" s="17" t="s">
        <v>881</v>
      </c>
      <c r="C10" s="17" t="s">
        <v>1192</v>
      </c>
      <c r="D10" s="17">
        <f>-'[3]Options Presetned 13 March'!P211*1000</f>
        <v>0</v>
      </c>
      <c r="E10" s="17">
        <f t="shared" si="0"/>
        <v>0</v>
      </c>
      <c r="F10" s="17"/>
      <c r="G10" s="17" t="s">
        <v>250</v>
      </c>
      <c r="H10" s="380" t="s">
        <v>829</v>
      </c>
      <c r="J10" t="str">
        <f t="shared" si="1"/>
        <v/>
      </c>
    </row>
    <row r="11" spans="2:10">
      <c r="B11" s="17" t="s">
        <v>882</v>
      </c>
      <c r="C11" s="17" t="s">
        <v>1192</v>
      </c>
      <c r="D11" s="17">
        <f>-'[3]Options Presetned 13 March'!P212*1000</f>
        <v>1050</v>
      </c>
      <c r="E11" s="17">
        <f t="shared" si="0"/>
        <v>1050</v>
      </c>
      <c r="F11" s="17"/>
      <c r="G11" s="17" t="s">
        <v>1195</v>
      </c>
      <c r="H11" s="380" t="s">
        <v>829</v>
      </c>
      <c r="J11" t="str">
        <f t="shared" si="1"/>
        <v/>
      </c>
    </row>
    <row r="12" spans="2:10">
      <c r="B12" s="17"/>
      <c r="C12" s="17"/>
      <c r="D12" s="17"/>
      <c r="E12" s="17"/>
      <c r="F12" s="17"/>
      <c r="G12" s="17"/>
      <c r="H12" s="381"/>
      <c r="J12" t="str">
        <f t="shared" si="1"/>
        <v/>
      </c>
    </row>
    <row r="13" spans="2:10">
      <c r="B13" s="17"/>
      <c r="C13" s="17"/>
      <c r="D13" s="17"/>
      <c r="E13" s="17"/>
      <c r="F13" s="17"/>
      <c r="G13" s="17"/>
      <c r="H13" s="381"/>
      <c r="J13" t="str">
        <f t="shared" si="1"/>
        <v/>
      </c>
    </row>
    <row r="14" spans="2:10">
      <c r="B14" s="17"/>
      <c r="C14" s="17"/>
      <c r="D14" s="17"/>
      <c r="E14" s="17"/>
      <c r="F14" s="17"/>
      <c r="G14" s="17"/>
      <c r="H14" s="381"/>
      <c r="J14" t="str">
        <f t="shared" si="1"/>
        <v/>
      </c>
    </row>
    <row r="15" spans="2:10">
      <c r="B15" s="17"/>
      <c r="C15" s="17"/>
      <c r="D15" s="17"/>
      <c r="E15" s="17"/>
      <c r="F15" s="17"/>
      <c r="G15" s="17"/>
      <c r="H15" s="381"/>
      <c r="J15" t="str">
        <f t="shared" si="1"/>
        <v/>
      </c>
    </row>
    <row r="16" spans="2:10">
      <c r="B16" s="17"/>
      <c r="C16" s="17"/>
      <c r="D16" s="17"/>
      <c r="E16" s="17"/>
      <c r="F16" s="17"/>
      <c r="G16" s="17"/>
      <c r="H16" s="381"/>
      <c r="J16" t="str">
        <f t="shared" si="1"/>
        <v/>
      </c>
    </row>
    <row r="17" spans="2:10">
      <c r="B17" s="17"/>
      <c r="C17" s="17"/>
      <c r="D17" s="17"/>
      <c r="E17" s="17"/>
      <c r="F17" s="17"/>
      <c r="G17" s="17"/>
      <c r="H17" s="381"/>
      <c r="J17" t="str">
        <f t="shared" si="1"/>
        <v/>
      </c>
    </row>
    <row r="18" spans="2:10">
      <c r="B18" s="17"/>
      <c r="C18" s="17"/>
      <c r="D18" s="17"/>
      <c r="E18" s="17"/>
      <c r="F18" s="17"/>
      <c r="G18" s="17"/>
      <c r="H18" s="381"/>
      <c r="J18" t="str">
        <f t="shared" si="1"/>
        <v/>
      </c>
    </row>
    <row r="19" spans="2:10">
      <c r="B19" s="17"/>
      <c r="C19" s="17"/>
      <c r="D19" s="17"/>
      <c r="E19" s="17"/>
      <c r="F19" s="17"/>
      <c r="G19" s="17"/>
      <c r="H19" s="381"/>
      <c r="J19" t="str">
        <f t="shared" si="1"/>
        <v/>
      </c>
    </row>
    <row r="20" spans="2:10">
      <c r="B20" s="17"/>
      <c r="C20" s="17"/>
      <c r="D20" s="17"/>
      <c r="E20" s="17"/>
      <c r="F20" s="17"/>
      <c r="G20" s="17"/>
      <c r="H20" s="381"/>
      <c r="J20" t="str">
        <f t="shared" si="1"/>
        <v/>
      </c>
    </row>
    <row r="21" spans="2:10">
      <c r="B21" s="17"/>
      <c r="C21" s="17"/>
      <c r="D21" s="17"/>
      <c r="E21" s="17"/>
      <c r="F21" s="17"/>
      <c r="G21" s="17"/>
      <c r="H21" s="381"/>
      <c r="J21" t="str">
        <f t="shared" si="1"/>
        <v/>
      </c>
    </row>
    <row r="22" spans="2:10">
      <c r="B22" s="17"/>
      <c r="C22" s="17"/>
      <c r="D22" s="17"/>
      <c r="E22" s="17"/>
      <c r="F22" s="17"/>
      <c r="G22" s="17"/>
      <c r="H22" s="381"/>
      <c r="J22" t="str">
        <f t="shared" si="1"/>
        <v/>
      </c>
    </row>
    <row r="23" spans="2:10">
      <c r="B23" s="17"/>
      <c r="C23" s="17"/>
      <c r="D23" s="17"/>
      <c r="E23" s="17"/>
      <c r="F23" s="17"/>
      <c r="G23" s="17"/>
      <c r="H23" s="381"/>
      <c r="J23" t="str">
        <f t="shared" si="1"/>
        <v/>
      </c>
    </row>
    <row r="24" spans="2:10">
      <c r="B24" s="17"/>
      <c r="C24" s="17"/>
      <c r="D24" s="17"/>
      <c r="E24" s="17"/>
      <c r="F24" s="17"/>
      <c r="G24" s="17"/>
      <c r="H24" s="381"/>
      <c r="J24" t="str">
        <f t="shared" si="1"/>
        <v/>
      </c>
    </row>
    <row r="25" spans="2:10">
      <c r="B25" s="17"/>
      <c r="C25" s="17"/>
      <c r="D25" s="17"/>
      <c r="E25" s="17"/>
      <c r="F25" s="17"/>
      <c r="G25" s="17"/>
      <c r="H25" s="381"/>
      <c r="J25" t="str">
        <f t="shared" si="1"/>
        <v/>
      </c>
    </row>
    <row r="26" spans="2:10">
      <c r="B26" s="17"/>
      <c r="C26" s="17"/>
      <c r="D26" s="17"/>
      <c r="E26" s="17"/>
      <c r="F26" s="17"/>
      <c r="G26" s="17"/>
      <c r="H26" s="381"/>
      <c r="J26" t="str">
        <f t="shared" si="1"/>
        <v/>
      </c>
    </row>
    <row r="27" spans="2:10">
      <c r="B27" s="17"/>
      <c r="C27" s="17"/>
      <c r="D27" s="17"/>
      <c r="E27" s="17"/>
      <c r="F27" s="17"/>
      <c r="G27" s="17"/>
      <c r="H27" s="381"/>
      <c r="J27" t="str">
        <f t="shared" si="1"/>
        <v/>
      </c>
    </row>
    <row r="28" spans="2:10">
      <c r="B28" s="17"/>
      <c r="C28" s="17"/>
      <c r="D28" s="17"/>
      <c r="E28" s="17"/>
      <c r="F28" s="17"/>
      <c r="G28" s="17"/>
      <c r="H28" s="381"/>
      <c r="J28" t="str">
        <f t="shared" si="1"/>
        <v/>
      </c>
    </row>
    <row r="29" spans="2:10">
      <c r="B29" s="17"/>
      <c r="C29" s="17"/>
      <c r="D29" s="17"/>
      <c r="E29" s="17"/>
      <c r="F29" s="17"/>
      <c r="G29" s="17"/>
      <c r="H29" s="381"/>
      <c r="J29" t="str">
        <f t="shared" si="1"/>
        <v/>
      </c>
    </row>
    <row r="30" spans="2:10">
      <c r="B30" s="17"/>
      <c r="C30" s="17"/>
      <c r="D30" s="17"/>
      <c r="E30" s="17"/>
      <c r="F30" s="17"/>
      <c r="G30" s="17"/>
      <c r="H30" s="381"/>
      <c r="J30" t="str">
        <f t="shared" si="1"/>
        <v/>
      </c>
    </row>
    <row r="31" spans="2:10">
      <c r="B31" s="17"/>
      <c r="C31" s="17"/>
      <c r="D31" s="17"/>
      <c r="E31" s="17"/>
      <c r="F31" s="17"/>
      <c r="G31" s="17"/>
      <c r="H31" s="381"/>
      <c r="J31" t="str">
        <f t="shared" si="1"/>
        <v/>
      </c>
    </row>
    <row r="32" spans="2:10">
      <c r="B32" s="17"/>
      <c r="C32" s="17"/>
      <c r="D32" s="17"/>
      <c r="E32" s="17"/>
      <c r="F32" s="17"/>
      <c r="G32" s="17"/>
      <c r="H32" s="381"/>
      <c r="J32" t="str">
        <f t="shared" si="1"/>
        <v/>
      </c>
    </row>
    <row r="33" spans="2:10">
      <c r="B33" s="17"/>
      <c r="C33" s="17"/>
      <c r="D33" s="17"/>
      <c r="E33" s="17"/>
      <c r="F33" s="17"/>
      <c r="G33" s="17"/>
      <c r="H33" s="381"/>
      <c r="J33" t="str">
        <f t="shared" si="1"/>
        <v/>
      </c>
    </row>
    <row r="34" spans="2:10">
      <c r="B34" s="17"/>
      <c r="C34" s="17"/>
      <c r="D34" s="17"/>
      <c r="E34" s="17"/>
      <c r="F34" s="17"/>
      <c r="G34" s="17"/>
      <c r="H34" s="381"/>
      <c r="J34" t="str">
        <f t="shared" si="1"/>
        <v/>
      </c>
    </row>
    <row r="35" spans="2:10">
      <c r="B35" s="17"/>
      <c r="C35" s="17"/>
      <c r="D35" s="17"/>
      <c r="E35" s="17"/>
      <c r="F35" s="17"/>
      <c r="G35" s="17"/>
      <c r="H35" s="381"/>
      <c r="J35" t="str">
        <f t="shared" si="1"/>
        <v/>
      </c>
    </row>
    <row r="36" spans="2:10">
      <c r="B36" s="17"/>
      <c r="C36" s="17"/>
      <c r="D36" s="17"/>
      <c r="E36" s="17"/>
      <c r="F36" s="17"/>
      <c r="G36" s="17"/>
      <c r="H36" s="381"/>
      <c r="J36" t="str">
        <f t="shared" si="1"/>
        <v/>
      </c>
    </row>
    <row r="37" spans="2:10">
      <c r="B37" s="17"/>
      <c r="C37" s="17"/>
      <c r="D37" s="17"/>
      <c r="E37" s="17"/>
      <c r="F37" s="17"/>
      <c r="G37" s="17"/>
      <c r="H37" s="381"/>
      <c r="J37" t="str">
        <f t="shared" si="1"/>
        <v/>
      </c>
    </row>
    <row r="38" spans="2:10">
      <c r="B38" s="17"/>
      <c r="C38" s="17"/>
      <c r="D38" s="17"/>
      <c r="E38" s="17"/>
      <c r="F38" s="17"/>
      <c r="G38" s="17"/>
      <c r="H38" s="381"/>
      <c r="J38" t="str">
        <f t="shared" si="1"/>
        <v/>
      </c>
    </row>
    <row r="39" spans="2:10">
      <c r="B39" s="17"/>
      <c r="C39" s="17"/>
      <c r="D39" s="17"/>
      <c r="E39" s="17"/>
      <c r="F39" s="17"/>
      <c r="G39" s="17"/>
      <c r="H39" s="381"/>
      <c r="J39" t="str">
        <f t="shared" si="1"/>
        <v/>
      </c>
    </row>
    <row r="40" spans="2:10">
      <c r="B40" s="17"/>
      <c r="C40" s="17"/>
      <c r="D40" s="17"/>
      <c r="E40" s="17"/>
      <c r="F40" s="17"/>
      <c r="G40" s="17"/>
      <c r="H40" s="381"/>
      <c r="J40" t="str">
        <f t="shared" si="1"/>
        <v/>
      </c>
    </row>
    <row r="41" spans="2:10">
      <c r="B41" s="17"/>
      <c r="C41" s="17"/>
      <c r="D41" s="17"/>
      <c r="E41" s="17"/>
      <c r="F41" s="17"/>
      <c r="G41" s="17"/>
      <c r="H41" s="381"/>
      <c r="J41" t="str">
        <f t="shared" si="1"/>
        <v/>
      </c>
    </row>
    <row r="42" spans="2:10">
      <c r="B42" s="17"/>
      <c r="C42" s="17"/>
      <c r="D42" s="17"/>
      <c r="E42" s="17"/>
      <c r="F42" s="17"/>
      <c r="G42" s="17"/>
      <c r="H42" s="381"/>
      <c r="J42" t="str">
        <f t="shared" si="1"/>
        <v/>
      </c>
    </row>
    <row r="43" spans="2:10">
      <c r="B43" s="17"/>
      <c r="C43" s="17"/>
      <c r="D43" s="17"/>
      <c r="E43" s="17"/>
      <c r="F43" s="17"/>
      <c r="G43" s="17"/>
      <c r="H43" s="381"/>
      <c r="J43" t="str">
        <f t="shared" si="1"/>
        <v/>
      </c>
    </row>
    <row r="44" spans="2:10">
      <c r="B44" s="17"/>
      <c r="C44" s="17"/>
      <c r="D44" s="17"/>
      <c r="E44" s="17"/>
      <c r="F44" s="17"/>
      <c r="G44" s="17"/>
      <c r="H44" s="381"/>
      <c r="J44" t="str">
        <f t="shared" si="1"/>
        <v/>
      </c>
    </row>
    <row r="45" spans="2:10">
      <c r="B45" s="17"/>
      <c r="C45" s="17"/>
      <c r="D45" s="17"/>
      <c r="E45" s="17"/>
      <c r="F45" s="17"/>
      <c r="G45" s="17"/>
      <c r="H45" s="381"/>
      <c r="J45" t="str">
        <f t="shared" si="1"/>
        <v/>
      </c>
    </row>
    <row r="46" spans="2:10">
      <c r="B46" s="17"/>
      <c r="C46" s="17"/>
      <c r="D46" s="17"/>
      <c r="E46" s="17"/>
      <c r="F46" s="17"/>
      <c r="G46" s="17"/>
      <c r="H46" s="381"/>
      <c r="J46" t="str">
        <f t="shared" si="1"/>
        <v/>
      </c>
    </row>
    <row r="47" spans="2:10">
      <c r="B47" s="17"/>
      <c r="C47" s="17"/>
      <c r="D47" s="17"/>
      <c r="E47" s="17"/>
      <c r="F47" s="17"/>
      <c r="G47" s="17"/>
      <c r="H47" s="381"/>
      <c r="J47" t="str">
        <f t="shared" si="1"/>
        <v/>
      </c>
    </row>
    <row r="48" spans="2:10">
      <c r="B48" s="17"/>
      <c r="C48" s="17"/>
      <c r="D48" s="17"/>
      <c r="E48" s="17"/>
      <c r="F48" s="17"/>
      <c r="G48" s="17"/>
      <c r="H48" s="381"/>
      <c r="J48" t="str">
        <f t="shared" si="1"/>
        <v/>
      </c>
    </row>
    <row r="49" spans="2:10">
      <c r="B49" s="17"/>
      <c r="C49" s="17"/>
      <c r="D49" s="17"/>
      <c r="E49" s="17"/>
      <c r="F49" s="17"/>
      <c r="G49" s="17"/>
      <c r="H49" s="381"/>
      <c r="J49" t="str">
        <f t="shared" si="1"/>
        <v/>
      </c>
    </row>
    <row r="50" spans="2:10">
      <c r="B50" s="17"/>
      <c r="C50" s="17"/>
      <c r="D50" s="17"/>
      <c r="E50" s="17"/>
      <c r="F50" s="17"/>
      <c r="G50" s="17"/>
      <c r="H50" s="381"/>
      <c r="J50" t="str">
        <f t="shared" si="1"/>
        <v/>
      </c>
    </row>
    <row r="51" spans="2:10">
      <c r="B51" s="17"/>
      <c r="C51" s="17"/>
      <c r="D51" s="17"/>
      <c r="E51" s="17"/>
      <c r="F51" s="17"/>
      <c r="G51" s="17"/>
      <c r="H51" s="381"/>
      <c r="J51" t="str">
        <f t="shared" si="1"/>
        <v/>
      </c>
    </row>
    <row r="52" spans="2:10">
      <c r="B52" s="17"/>
      <c r="C52" s="17"/>
      <c r="D52" s="17"/>
      <c r="E52" s="17"/>
      <c r="F52" s="17"/>
      <c r="G52" s="17"/>
      <c r="H52" s="381"/>
      <c r="J52" t="str">
        <f t="shared" si="1"/>
        <v/>
      </c>
    </row>
    <row r="53" spans="2:10">
      <c r="B53" s="17"/>
      <c r="C53" s="17"/>
      <c r="D53" s="17"/>
      <c r="E53" s="17"/>
      <c r="F53" s="17"/>
      <c r="G53" s="17"/>
      <c r="H53" s="381"/>
      <c r="J53" t="str">
        <f t="shared" si="1"/>
        <v/>
      </c>
    </row>
    <row r="54" spans="2:10">
      <c r="B54" s="17"/>
      <c r="C54" s="17"/>
      <c r="D54" s="17"/>
      <c r="E54" s="17"/>
      <c r="F54" s="17"/>
      <c r="G54" s="17"/>
      <c r="H54" s="381"/>
      <c r="J54" t="str">
        <f t="shared" si="1"/>
        <v/>
      </c>
    </row>
    <row r="55" spans="2:10">
      <c r="B55" s="17"/>
      <c r="C55" s="17"/>
      <c r="D55" s="17"/>
      <c r="E55" s="17"/>
      <c r="F55" s="17"/>
      <c r="G55" s="17"/>
      <c r="H55" s="381"/>
      <c r="J55" t="str">
        <f t="shared" si="1"/>
        <v/>
      </c>
    </row>
    <row r="56" spans="2:10">
      <c r="B56" s="17"/>
      <c r="C56" s="17"/>
      <c r="D56" s="17"/>
      <c r="E56" s="17"/>
      <c r="F56" s="17"/>
      <c r="G56" s="17"/>
      <c r="H56" s="381"/>
      <c r="J56" t="str">
        <f t="shared" si="1"/>
        <v/>
      </c>
    </row>
    <row r="57" spans="2:10">
      <c r="B57" s="17"/>
      <c r="C57" s="17"/>
      <c r="D57" s="17"/>
      <c r="E57" s="17"/>
      <c r="F57" s="17"/>
      <c r="G57" s="17"/>
      <c r="H57" s="381"/>
      <c r="J57" t="str">
        <f t="shared" si="1"/>
        <v/>
      </c>
    </row>
    <row r="58" spans="2:10">
      <c r="B58" s="17"/>
      <c r="C58" s="17"/>
      <c r="D58" s="17"/>
      <c r="E58" s="17"/>
      <c r="F58" s="17"/>
      <c r="G58" s="17"/>
      <c r="H58" s="381"/>
      <c r="J58" t="str">
        <f t="shared" si="1"/>
        <v/>
      </c>
    </row>
    <row r="59" spans="2:10">
      <c r="B59" s="17"/>
      <c r="C59" s="17"/>
      <c r="D59" s="17"/>
      <c r="E59" s="17"/>
      <c r="F59" s="17"/>
      <c r="G59" s="17"/>
      <c r="H59" s="381"/>
      <c r="J59" t="str">
        <f t="shared" si="1"/>
        <v/>
      </c>
    </row>
    <row r="60" spans="2:10">
      <c r="B60" s="17"/>
      <c r="C60" s="17"/>
      <c r="D60" s="17"/>
      <c r="E60" s="17"/>
      <c r="F60" s="17"/>
      <c r="G60" s="17"/>
      <c r="H60" s="381"/>
      <c r="J60" t="str">
        <f t="shared" si="1"/>
        <v/>
      </c>
    </row>
    <row r="61" spans="2:10">
      <c r="B61" s="17"/>
      <c r="C61" s="17"/>
      <c r="D61" s="17"/>
      <c r="E61" s="17"/>
      <c r="F61" s="17"/>
      <c r="G61" s="17"/>
      <c r="H61" s="381"/>
      <c r="J61" t="str">
        <f t="shared" si="1"/>
        <v/>
      </c>
    </row>
    <row r="62" spans="2:10">
      <c r="B62" s="17"/>
      <c r="C62" s="17"/>
      <c r="D62" s="17"/>
      <c r="E62" s="17"/>
      <c r="F62" s="17"/>
      <c r="G62" s="17"/>
      <c r="H62" s="381"/>
      <c r="J62" t="str">
        <f t="shared" si="1"/>
        <v/>
      </c>
    </row>
    <row r="63" spans="2:10">
      <c r="B63" s="17"/>
      <c r="C63" s="17"/>
      <c r="D63" s="17"/>
      <c r="E63" s="17"/>
      <c r="F63" s="17"/>
      <c r="G63" s="17"/>
      <c r="H63" s="381"/>
      <c r="J63" t="str">
        <f t="shared" si="1"/>
        <v/>
      </c>
    </row>
    <row r="64" spans="2:10">
      <c r="B64" s="17"/>
      <c r="C64" s="17"/>
      <c r="D64" s="17"/>
      <c r="E64" s="17"/>
      <c r="F64" s="17"/>
      <c r="G64" s="17"/>
      <c r="H64" s="381"/>
      <c r="J64" t="str">
        <f t="shared" si="1"/>
        <v/>
      </c>
    </row>
    <row r="65" spans="2:10">
      <c r="B65" s="17"/>
      <c r="C65" s="17"/>
      <c r="D65" s="17"/>
      <c r="E65" s="17"/>
      <c r="F65" s="17"/>
      <c r="G65" s="17"/>
      <c r="H65" s="381"/>
      <c r="J65" t="str">
        <f t="shared" si="1"/>
        <v/>
      </c>
    </row>
    <row r="66" spans="2:10">
      <c r="B66" s="17"/>
      <c r="C66" s="17"/>
      <c r="D66" s="17"/>
      <c r="E66" s="17"/>
      <c r="F66" s="17"/>
      <c r="G66" s="17"/>
      <c r="H66" s="381"/>
      <c r="J66" t="str">
        <f t="shared" si="1"/>
        <v/>
      </c>
    </row>
    <row r="67" spans="2:10">
      <c r="B67" s="17"/>
      <c r="C67" s="17"/>
      <c r="D67" s="17"/>
      <c r="E67" s="17"/>
      <c r="F67" s="17"/>
      <c r="G67" s="17"/>
      <c r="H67" s="381"/>
      <c r="J67" t="str">
        <f t="shared" si="1"/>
        <v/>
      </c>
    </row>
    <row r="68" spans="2:10">
      <c r="B68" s="17"/>
      <c r="C68" s="17"/>
      <c r="D68" s="17"/>
      <c r="E68" s="17"/>
      <c r="F68" s="17"/>
      <c r="G68" s="17"/>
      <c r="H68" s="381"/>
      <c r="J68" t="str">
        <f t="shared" si="1"/>
        <v/>
      </c>
    </row>
    <row r="69" spans="2:10">
      <c r="B69" s="479" t="s">
        <v>268</v>
      </c>
      <c r="C69" s="478"/>
      <c r="D69" s="480">
        <f>SUM(D4:D68)</f>
        <v>25635.7</v>
      </c>
      <c r="E69" s="480">
        <f>SUM(E4:E68)</f>
        <v>25635.7</v>
      </c>
      <c r="F69" s="480">
        <f>SUM(F4:F68)</f>
        <v>0</v>
      </c>
      <c r="G69" s="478"/>
      <c r="H69" s="478"/>
    </row>
    <row r="70" spans="2:10">
      <c r="J70" s="365">
        <f>COUNTIFS(J4:J68,"Please*")</f>
        <v>0</v>
      </c>
    </row>
  </sheetData>
  <sheetProtection sheet="1" objects="1" scenarios="1"/>
  <dataValidations count="1">
    <dataValidation type="list" allowBlank="1" showInputMessage="1" showErrorMessage="1" sqref="G4:G68" xr:uid="{00000000-0002-0000-1B00-000000000000}">
      <formula1>"Workforce,Medicines Management,Procurement &amp; Non-pay,CHC,Pathway,N/A"</formula1>
    </dataValidation>
  </dataValidations>
  <pageMargins left="0.70866141732283472" right="0.70866141732283472" top="0.74803149606299213" bottom="0.74803149606299213" header="0.31496062992125984" footer="0.31496062992125984"/>
  <pageSetup paperSize="9" scale="78" fitToHeight="0" orientation="landscape" r:id="rId1"/>
  <headerFooter>
    <oddHeader>&amp;C&amp;A</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1000000}">
          <x14:formula1>
            <xm:f>'Ref Lists'!$AQ$2:$AQ$6</xm:f>
          </x14:formula1>
          <xm:sqref>H4:H68</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79998168889431442"/>
    <pageSetUpPr fitToPage="1"/>
  </sheetPr>
  <dimension ref="A2:LN89"/>
  <sheetViews>
    <sheetView showGridLines="0" zoomScale="70" zoomScaleNormal="70" workbookViewId="0">
      <pane xSplit="1" ySplit="3" topLeftCell="B4" activePane="bottomRight" state="frozenSplit"/>
      <selection pane="topRight" activeCell="A22" sqref="A22"/>
      <selection pane="bottomLeft" activeCell="A22" sqref="A22"/>
      <selection pane="bottomRight" activeCell="D51" sqref="D51"/>
    </sheetView>
  </sheetViews>
  <sheetFormatPr defaultColWidth="9.23046875" defaultRowHeight="15.5"/>
  <cols>
    <col min="1" max="1" width="2.69140625" style="10" customWidth="1"/>
    <col min="2" max="2" width="34.53515625" style="10" customWidth="1"/>
    <col min="3" max="4" width="17.69140625" style="10" customWidth="1"/>
    <col min="5" max="5" width="6.23046875" style="113" customWidth="1"/>
    <col min="6" max="7" width="17.69140625" style="113" customWidth="1"/>
    <col min="8" max="326" width="10.3046875" style="113" customWidth="1"/>
  </cols>
  <sheetData>
    <row r="2" spans="1:10" ht="47">
      <c r="A2" s="4"/>
      <c r="B2" s="349" t="s">
        <v>883</v>
      </c>
      <c r="C2" s="83" t="s">
        <v>884</v>
      </c>
      <c r="D2" s="83" t="s">
        <v>471</v>
      </c>
    </row>
    <row r="3" spans="1:10">
      <c r="A3" s="4"/>
      <c r="B3" s="16" t="s">
        <v>266</v>
      </c>
      <c r="C3" s="350" t="s">
        <v>398</v>
      </c>
      <c r="D3" s="350"/>
    </row>
    <row r="4" spans="1:10">
      <c r="B4" s="875" t="s">
        <v>885</v>
      </c>
      <c r="C4" s="875"/>
      <c r="D4" s="875"/>
    </row>
    <row r="5" spans="1:10">
      <c r="B5" s="117" t="s">
        <v>276</v>
      </c>
      <c r="C5" s="189">
        <v>101242</v>
      </c>
      <c r="D5" s="189">
        <v>99076.5419535892</v>
      </c>
      <c r="E5" s="113" t="str">
        <f t="shared" ref="E5:E13" si="0">IF(COUNTA(C5:D5)&lt;&gt;COUNT(C5:D5),"Please remove any text entries, enter numeric values only","")</f>
        <v/>
      </c>
      <c r="J5" s="4" t="str">
        <f>IF(COUNTA(C5:D5)&lt;&gt;COUNT(C5:D5),"Please remove any text entries, enter numeric values only","")</f>
        <v/>
      </c>
    </row>
    <row r="6" spans="1:10">
      <c r="B6" s="117" t="s">
        <v>277</v>
      </c>
      <c r="C6" s="189">
        <v>167736</v>
      </c>
      <c r="D6" s="189">
        <v>164148.30644522273</v>
      </c>
      <c r="E6" s="113" t="str">
        <f t="shared" si="0"/>
        <v/>
      </c>
      <c r="J6" s="4" t="str">
        <f t="shared" ref="J6:J13" si="1">IF(COUNTA(C6:D6)&lt;&gt;COUNT(C6:D6),"Please remove any text entries, enter numeric values only","")</f>
        <v/>
      </c>
    </row>
    <row r="7" spans="1:10" ht="15.65" customHeight="1">
      <c r="B7" s="117" t="s">
        <v>278</v>
      </c>
      <c r="C7" s="189">
        <v>202810</v>
      </c>
      <c r="D7" s="189">
        <v>198472.11111601337</v>
      </c>
      <c r="E7" s="113" t="str">
        <f t="shared" si="0"/>
        <v/>
      </c>
      <c r="J7" s="4" t="str">
        <f t="shared" si="1"/>
        <v/>
      </c>
    </row>
    <row r="8" spans="1:10">
      <c r="B8" s="117" t="s">
        <v>74</v>
      </c>
      <c r="C8" s="189">
        <v>24218</v>
      </c>
      <c r="D8" s="189">
        <v>23700.00289437213</v>
      </c>
      <c r="E8" s="113" t="str">
        <f t="shared" si="0"/>
        <v/>
      </c>
      <c r="J8" s="4" t="str">
        <f t="shared" si="1"/>
        <v/>
      </c>
    </row>
    <row r="9" spans="1:10">
      <c r="B9" s="117" t="s">
        <v>886</v>
      </c>
      <c r="C9" s="189">
        <v>91477</v>
      </c>
      <c r="D9" s="189">
        <v>89520.404854590772</v>
      </c>
      <c r="E9" s="113" t="str">
        <f t="shared" si="0"/>
        <v/>
      </c>
      <c r="J9" s="4" t="str">
        <f t="shared" si="1"/>
        <v/>
      </c>
    </row>
    <row r="10" spans="1:10">
      <c r="B10" s="117" t="s">
        <v>69</v>
      </c>
      <c r="C10" s="189">
        <v>52482</v>
      </c>
      <c r="D10" s="189">
        <v>51359.466178150062</v>
      </c>
      <c r="E10" s="113" t="str">
        <f t="shared" si="0"/>
        <v/>
      </c>
      <c r="J10" s="4" t="str">
        <f t="shared" si="1"/>
        <v/>
      </c>
    </row>
    <row r="11" spans="1:10">
      <c r="B11" s="117" t="s">
        <v>279</v>
      </c>
      <c r="C11" s="189">
        <v>20851</v>
      </c>
      <c r="D11" s="189">
        <v>20405.019421527511</v>
      </c>
      <c r="E11" s="113" t="str">
        <f t="shared" si="0"/>
        <v/>
      </c>
      <c r="J11" s="4" t="str">
        <f t="shared" si="1"/>
        <v/>
      </c>
    </row>
    <row r="12" spans="1:10">
      <c r="B12" s="117" t="s">
        <v>280</v>
      </c>
      <c r="C12" s="189">
        <v>35936</v>
      </c>
      <c r="D12" s="189">
        <v>35167.367413170243</v>
      </c>
      <c r="E12" s="113" t="str">
        <f t="shared" si="0"/>
        <v/>
      </c>
      <c r="J12" s="4" t="str">
        <f t="shared" si="1"/>
        <v/>
      </c>
    </row>
    <row r="13" spans="1:10">
      <c r="B13" s="117" t="s">
        <v>281</v>
      </c>
      <c r="C13" s="189">
        <v>10.298628145717664</v>
      </c>
      <c r="D13" s="189">
        <v>10.07835150968581</v>
      </c>
      <c r="E13" s="113" t="str">
        <f t="shared" si="0"/>
        <v/>
      </c>
      <c r="J13" s="4" t="str">
        <f t="shared" si="1"/>
        <v/>
      </c>
    </row>
    <row r="14" spans="1:10">
      <c r="B14" s="3" t="str">
        <f>"TOTAL "&amp;B4</f>
        <v>TOTAL SUBSTANTIVE WORKFORCE</v>
      </c>
      <c r="C14" s="188">
        <f>SUM(C5:C13)</f>
        <v>696762.29862814571</v>
      </c>
      <c r="D14" s="188">
        <f t="shared" ref="D14" si="2">SUM(D5:D13)</f>
        <v>681859.29862814571</v>
      </c>
      <c r="J14" s="4"/>
    </row>
    <row r="15" spans="1:10">
      <c r="B15" s="87"/>
      <c r="C15" s="88"/>
      <c r="J15" s="4"/>
    </row>
    <row r="16" spans="1:10">
      <c r="B16" s="875" t="s">
        <v>887</v>
      </c>
      <c r="C16" s="875"/>
      <c r="D16" s="875"/>
      <c r="J16" s="4"/>
    </row>
    <row r="17" spans="2:10">
      <c r="B17" s="117" t="s">
        <v>276</v>
      </c>
      <c r="C17" s="189">
        <v>873.5</v>
      </c>
      <c r="D17" s="189">
        <f>C17</f>
        <v>873.5</v>
      </c>
      <c r="E17" s="113" t="str">
        <f t="shared" ref="E17:E25" si="3">IF(COUNTA(C17:D17)&lt;&gt;COUNT(C17:D17),"Please remove any text entries, enter numeric values only","")</f>
        <v/>
      </c>
      <c r="J17" s="4" t="str">
        <f t="shared" ref="J17:J25" si="4">IF(COUNTA(C17:D17)&lt;&gt;COUNT(C17:D17),"Please remove any text entries, enter numeric values only","")</f>
        <v/>
      </c>
    </row>
    <row r="18" spans="2:10">
      <c r="B18" s="117" t="s">
        <v>277</v>
      </c>
      <c r="C18" s="189">
        <v>13855</v>
      </c>
      <c r="D18" s="189">
        <f>-1000+C18</f>
        <v>12855</v>
      </c>
      <c r="E18" s="113" t="str">
        <f t="shared" si="3"/>
        <v/>
      </c>
      <c r="J18" s="4" t="str">
        <f t="shared" si="4"/>
        <v/>
      </c>
    </row>
    <row r="19" spans="2:10">
      <c r="B19" s="117" t="s">
        <v>278</v>
      </c>
      <c r="C19" s="189">
        <v>8156</v>
      </c>
      <c r="D19" s="189">
        <f>-300+C19</f>
        <v>7856</v>
      </c>
      <c r="E19" s="113" t="str">
        <f t="shared" si="3"/>
        <v/>
      </c>
      <c r="J19" s="4" t="str">
        <f t="shared" si="4"/>
        <v/>
      </c>
    </row>
    <row r="20" spans="2:10">
      <c r="B20" s="117" t="s">
        <v>74</v>
      </c>
      <c r="C20" s="189">
        <v>106</v>
      </c>
      <c r="D20" s="189">
        <f>C20</f>
        <v>106</v>
      </c>
      <c r="E20" s="113" t="str">
        <f t="shared" si="3"/>
        <v/>
      </c>
      <c r="J20" s="4" t="str">
        <f t="shared" si="4"/>
        <v/>
      </c>
    </row>
    <row r="21" spans="2:10">
      <c r="B21" s="117" t="s">
        <v>886</v>
      </c>
      <c r="C21" s="189">
        <v>13026</v>
      </c>
      <c r="D21" s="189">
        <f t="shared" ref="D21:D25" si="5">C21</f>
        <v>13026</v>
      </c>
      <c r="E21" s="113" t="str">
        <f t="shared" si="3"/>
        <v/>
      </c>
      <c r="J21" s="4" t="str">
        <f t="shared" si="4"/>
        <v/>
      </c>
    </row>
    <row r="22" spans="2:10">
      <c r="B22" s="117" t="s">
        <v>69</v>
      </c>
      <c r="C22" s="189">
        <v>1003</v>
      </c>
      <c r="D22" s="189">
        <f t="shared" si="5"/>
        <v>1003</v>
      </c>
      <c r="E22" s="113" t="str">
        <f t="shared" si="3"/>
        <v/>
      </c>
      <c r="J22" s="4" t="str">
        <f t="shared" si="4"/>
        <v/>
      </c>
    </row>
    <row r="23" spans="2:10">
      <c r="B23" s="117" t="s">
        <v>279</v>
      </c>
      <c r="C23" s="189">
        <v>623</v>
      </c>
      <c r="D23" s="189">
        <f t="shared" si="5"/>
        <v>623</v>
      </c>
      <c r="E23" s="113" t="str">
        <f t="shared" si="3"/>
        <v/>
      </c>
      <c r="J23" s="4" t="str">
        <f t="shared" si="4"/>
        <v/>
      </c>
    </row>
    <row r="24" spans="2:10">
      <c r="B24" s="117" t="s">
        <v>280</v>
      </c>
      <c r="C24" s="189">
        <v>1432</v>
      </c>
      <c r="D24" s="189">
        <f t="shared" si="5"/>
        <v>1432</v>
      </c>
      <c r="E24" s="113" t="str">
        <f t="shared" si="3"/>
        <v/>
      </c>
      <c r="J24" s="4" t="str">
        <f t="shared" si="4"/>
        <v/>
      </c>
    </row>
    <row r="25" spans="2:10">
      <c r="B25" s="117" t="s">
        <v>281</v>
      </c>
      <c r="C25" s="189">
        <v>0</v>
      </c>
      <c r="D25" s="189">
        <f t="shared" si="5"/>
        <v>0</v>
      </c>
      <c r="E25" s="113" t="str">
        <f t="shared" si="3"/>
        <v/>
      </c>
      <c r="J25" s="4" t="str">
        <f t="shared" si="4"/>
        <v/>
      </c>
    </row>
    <row r="26" spans="2:10">
      <c r="B26" s="3" t="str">
        <f>"TOTAL "&amp;B16</f>
        <v>TOTAL VARIABLE PAY</v>
      </c>
      <c r="C26" s="188">
        <f>SUM(C17:C25)</f>
        <v>39074.5</v>
      </c>
      <c r="D26" s="188">
        <f>SUM(D17:D25)</f>
        <v>37774.5</v>
      </c>
      <c r="J26" s="4"/>
    </row>
    <row r="27" spans="2:10">
      <c r="B27" s="87"/>
      <c r="C27" s="2"/>
      <c r="J27" s="4"/>
    </row>
    <row r="28" spans="2:10">
      <c r="B28" s="875" t="s">
        <v>275</v>
      </c>
      <c r="C28" s="875"/>
      <c r="D28" s="875"/>
      <c r="J28" s="4"/>
    </row>
    <row r="29" spans="2:10">
      <c r="B29" s="117" t="s">
        <v>276</v>
      </c>
      <c r="C29" s="189">
        <v>1800.220596666667</v>
      </c>
      <c r="D29" s="189">
        <f>C29</f>
        <v>1800.220596666667</v>
      </c>
      <c r="E29" s="113" t="str">
        <f t="shared" ref="E29:E37" si="6">IF(COUNTA(C29:D29)&lt;&gt;COUNT(C29:D29),"Please remove any text entries, enter numeric values only","")</f>
        <v/>
      </c>
      <c r="J29" s="4" t="str">
        <f t="shared" ref="J29:J37" si="7">IF(COUNTA(C29:D29)&lt;&gt;COUNT(C29:D29),"Please remove any text entries, enter numeric values only","")</f>
        <v/>
      </c>
    </row>
    <row r="30" spans="2:10">
      <c r="B30" s="117" t="s">
        <v>277</v>
      </c>
      <c r="C30" s="189">
        <v>6320.6126866666673</v>
      </c>
      <c r="D30" s="189">
        <f>-1000+C30</f>
        <v>5320.6126866666673</v>
      </c>
      <c r="E30" s="113" t="str">
        <f t="shared" si="6"/>
        <v/>
      </c>
      <c r="J30" s="4" t="str">
        <f t="shared" si="7"/>
        <v/>
      </c>
    </row>
    <row r="31" spans="2:10">
      <c r="B31" s="117" t="s">
        <v>278</v>
      </c>
      <c r="C31" s="189">
        <v>20061.612150000001</v>
      </c>
      <c r="D31" s="189">
        <f>-4000+C31</f>
        <v>16061.612150000001</v>
      </c>
      <c r="E31" s="113" t="str">
        <f t="shared" si="6"/>
        <v/>
      </c>
      <c r="J31" s="4" t="str">
        <f t="shared" si="7"/>
        <v/>
      </c>
    </row>
    <row r="32" spans="2:10">
      <c r="B32" s="117" t="s">
        <v>74</v>
      </c>
      <c r="C32" s="189">
        <v>90.495319999999992</v>
      </c>
      <c r="D32" s="189">
        <f>C32</f>
        <v>90.495319999999992</v>
      </c>
      <c r="E32" s="113" t="str">
        <f t="shared" si="6"/>
        <v/>
      </c>
      <c r="J32" s="4" t="str">
        <f t="shared" si="7"/>
        <v/>
      </c>
    </row>
    <row r="33" spans="2:10">
      <c r="B33" s="117" t="s">
        <v>886</v>
      </c>
      <c r="C33" s="189">
        <v>3137.7550033333332</v>
      </c>
      <c r="D33" s="189">
        <f t="shared" ref="D33:D37" si="8">C33</f>
        <v>3137.7550033333332</v>
      </c>
      <c r="E33" s="113" t="str">
        <f t="shared" si="6"/>
        <v/>
      </c>
      <c r="J33" s="4" t="str">
        <f t="shared" si="7"/>
        <v/>
      </c>
    </row>
    <row r="34" spans="2:10">
      <c r="B34" s="117" t="s">
        <v>69</v>
      </c>
      <c r="C34" s="189">
        <v>760.99339666666674</v>
      </c>
      <c r="D34" s="189">
        <f t="shared" si="8"/>
        <v>760.99339666666674</v>
      </c>
      <c r="E34" s="113" t="str">
        <f t="shared" si="6"/>
        <v/>
      </c>
      <c r="J34" s="4" t="str">
        <f t="shared" si="7"/>
        <v/>
      </c>
    </row>
    <row r="35" spans="2:10">
      <c r="B35" s="117" t="s">
        <v>279</v>
      </c>
      <c r="C35" s="189">
        <v>2076.6736699999997</v>
      </c>
      <c r="D35" s="189">
        <f t="shared" si="8"/>
        <v>2076.6736699999997</v>
      </c>
      <c r="E35" s="113" t="str">
        <f t="shared" si="6"/>
        <v/>
      </c>
      <c r="J35" s="4" t="str">
        <f t="shared" si="7"/>
        <v/>
      </c>
    </row>
    <row r="36" spans="2:10">
      <c r="B36" s="117" t="s">
        <v>280</v>
      </c>
      <c r="C36" s="189">
        <v>410.69821666666667</v>
      </c>
      <c r="D36" s="189">
        <f t="shared" si="8"/>
        <v>410.69821666666667</v>
      </c>
      <c r="E36" s="113" t="str">
        <f t="shared" si="6"/>
        <v/>
      </c>
      <c r="J36" s="4" t="str">
        <f t="shared" si="7"/>
        <v/>
      </c>
    </row>
    <row r="37" spans="2:10">
      <c r="B37" s="117" t="s">
        <v>281</v>
      </c>
      <c r="C37" s="189">
        <v>0</v>
      </c>
      <c r="D37" s="189">
        <f t="shared" si="8"/>
        <v>0</v>
      </c>
      <c r="E37" s="113" t="str">
        <f t="shared" si="6"/>
        <v/>
      </c>
      <c r="J37" s="4" t="str">
        <f t="shared" si="7"/>
        <v/>
      </c>
    </row>
    <row r="38" spans="2:10">
      <c r="B38" s="3" t="str">
        <f>"TOTAL "&amp;B28</f>
        <v>TOTAL AGENCY/LOCUM</v>
      </c>
      <c r="C38" s="188">
        <f>SUM(C29:C37)</f>
        <v>34659.061039999993</v>
      </c>
      <c r="D38" s="188">
        <f>SUM(D29:D37)</f>
        <v>29659.061040000001</v>
      </c>
      <c r="J38" s="4" t="str">
        <f t="shared" ref="J38:J39" si="9">IF(COUNTA(C38:G38)&lt;&gt;COUNT(C38:G38),"Please remove any text entries, enter numeric values only","")</f>
        <v/>
      </c>
    </row>
    <row r="39" spans="2:10">
      <c r="B39" s="89"/>
      <c r="C39" s="1"/>
      <c r="J39" s="4" t="str">
        <f t="shared" si="9"/>
        <v/>
      </c>
    </row>
    <row r="40" spans="2:10" ht="67.5" customHeight="1">
      <c r="B40" s="67" t="s">
        <v>327</v>
      </c>
      <c r="C40" s="78" t="str">
        <f>C2</f>
        <v>FORECAST 2023/24</v>
      </c>
      <c r="D40" s="78" t="str">
        <f>D2</f>
        <v>PLAN YEAR-END POSITION 2024/25</v>
      </c>
      <c r="F40" s="78" t="s">
        <v>888</v>
      </c>
      <c r="G40" s="78" t="s">
        <v>889</v>
      </c>
      <c r="J40" s="4"/>
    </row>
    <row r="41" spans="2:10">
      <c r="B41" s="116" t="s">
        <v>276</v>
      </c>
      <c r="C41" s="187">
        <f>C5+C17+C29</f>
        <v>103915.72059666667</v>
      </c>
      <c r="D41" s="187">
        <f t="shared" ref="D41" si="10">D5+D17+D29</f>
        <v>101750.26255025587</v>
      </c>
      <c r="F41" s="242">
        <f t="shared" ref="F41:F49" si="11">C41/C$50</f>
        <v>0.1348686294582081</v>
      </c>
      <c r="G41" s="242">
        <f t="shared" ref="G41:G49" si="12">D41/D$50</f>
        <v>0.1357950516108215</v>
      </c>
      <c r="J41" s="4"/>
    </row>
    <row r="42" spans="2:10">
      <c r="B42" s="117" t="s">
        <v>277</v>
      </c>
      <c r="C42" s="187">
        <f t="shared" ref="C42:D42" si="13">C6+C18+C30</f>
        <v>187911.61268666666</v>
      </c>
      <c r="D42" s="187">
        <f t="shared" si="13"/>
        <v>182323.91913188939</v>
      </c>
      <c r="F42" s="242">
        <f t="shared" si="11"/>
        <v>0.24388400058061385</v>
      </c>
      <c r="G42" s="242">
        <f t="shared" si="12"/>
        <v>0.24332798154868157</v>
      </c>
      <c r="J42" s="4"/>
    </row>
    <row r="43" spans="2:10">
      <c r="B43" s="117" t="s">
        <v>278</v>
      </c>
      <c r="C43" s="187">
        <f t="shared" ref="C43:D43" si="14">C7+C19+C31</f>
        <v>231027.61215</v>
      </c>
      <c r="D43" s="187">
        <f t="shared" si="14"/>
        <v>222389.72326601337</v>
      </c>
      <c r="F43" s="242">
        <f t="shared" si="11"/>
        <v>0.29984276910910856</v>
      </c>
      <c r="G43" s="242">
        <f t="shared" si="12"/>
        <v>0.29679946952184699</v>
      </c>
      <c r="J43" s="4"/>
    </row>
    <row r="44" spans="2:10">
      <c r="B44" s="117" t="s">
        <v>74</v>
      </c>
      <c r="C44" s="187">
        <f t="shared" ref="C44:D44" si="15">C8+C20+C32</f>
        <v>24414.495320000002</v>
      </c>
      <c r="D44" s="187">
        <f t="shared" si="15"/>
        <v>23896.498214372128</v>
      </c>
      <c r="F44" s="242">
        <f t="shared" si="11"/>
        <v>3.1686731360912664E-2</v>
      </c>
      <c r="G44" s="242">
        <f t="shared" si="12"/>
        <v>3.1892067175117146E-2</v>
      </c>
      <c r="J44" s="4"/>
    </row>
    <row r="45" spans="2:10">
      <c r="B45" s="117" t="s">
        <v>886</v>
      </c>
      <c r="C45" s="187">
        <f t="shared" ref="C45:D45" si="16">C9+C21+C33</f>
        <v>107640.75500333334</v>
      </c>
      <c r="D45" s="187">
        <f t="shared" si="16"/>
        <v>105684.15985792411</v>
      </c>
      <c r="F45" s="242">
        <f t="shared" si="11"/>
        <v>0.13970322312918648</v>
      </c>
      <c r="G45" s="242">
        <f t="shared" si="12"/>
        <v>0.14104519814152583</v>
      </c>
      <c r="J45" s="4"/>
    </row>
    <row r="46" spans="2:10">
      <c r="B46" s="117" t="s">
        <v>69</v>
      </c>
      <c r="C46" s="187">
        <f t="shared" ref="C46:D46" si="17">C10+C22+C34</f>
        <v>54245.993396666665</v>
      </c>
      <c r="D46" s="187">
        <f t="shared" si="17"/>
        <v>53123.459574816727</v>
      </c>
      <c r="F46" s="242">
        <f t="shared" si="11"/>
        <v>7.0404003754193464E-2</v>
      </c>
      <c r="G46" s="242">
        <f t="shared" si="12"/>
        <v>7.0898125998884579E-2</v>
      </c>
      <c r="J46" s="4"/>
    </row>
    <row r="47" spans="2:10">
      <c r="B47" s="117" t="s">
        <v>279</v>
      </c>
      <c r="C47" s="187">
        <f t="shared" ref="C47:D47" si="18">C11+C23+C35</f>
        <v>23550.67367</v>
      </c>
      <c r="D47" s="187">
        <f t="shared" si="18"/>
        <v>23104.693091527512</v>
      </c>
      <c r="F47" s="242">
        <f t="shared" si="11"/>
        <v>3.0565607036672882E-2</v>
      </c>
      <c r="G47" s="242">
        <f t="shared" si="12"/>
        <v>3.0835330663314141E-2</v>
      </c>
      <c r="J47" s="4"/>
    </row>
    <row r="48" spans="2:10">
      <c r="B48" s="117" t="s">
        <v>280</v>
      </c>
      <c r="C48" s="187">
        <f t="shared" ref="C48:D49" si="19">C12+C24+C36</f>
        <v>37778.698216666664</v>
      </c>
      <c r="D48" s="187">
        <f t="shared" si="19"/>
        <v>37010.065629836907</v>
      </c>
      <c r="F48" s="242">
        <f t="shared" si="11"/>
        <v>4.9031669336857986E-2</v>
      </c>
      <c r="G48" s="242">
        <f t="shared" si="12"/>
        <v>4.9393324855955913E-2</v>
      </c>
      <c r="J48" s="4"/>
    </row>
    <row r="49" spans="2:10">
      <c r="B49" s="117" t="s">
        <v>281</v>
      </c>
      <c r="C49" s="187">
        <f t="shared" si="19"/>
        <v>10.298628145717664</v>
      </c>
      <c r="D49" s="187">
        <f t="shared" si="19"/>
        <v>10.07835150968581</v>
      </c>
      <c r="F49" s="242">
        <f t="shared" si="11"/>
        <v>1.3366234245766492E-5</v>
      </c>
      <c r="G49" s="242">
        <f t="shared" si="12"/>
        <v>1.3450483852401064E-5</v>
      </c>
      <c r="J49" s="4"/>
    </row>
    <row r="50" spans="2:10">
      <c r="B50" s="3" t="s">
        <v>890</v>
      </c>
      <c r="C50" s="195">
        <f>SUM(C41:C49)</f>
        <v>770495.85966814589</v>
      </c>
      <c r="D50" s="195">
        <f t="shared" ref="D50" si="20">SUM(D41:D49)</f>
        <v>749292.85966814565</v>
      </c>
      <c r="F50" s="244">
        <f t="shared" ref="F50" si="21">C50/C$50</f>
        <v>1</v>
      </c>
      <c r="G50" s="244">
        <f t="shared" ref="G50" si="22">D50/D$50</f>
        <v>1</v>
      </c>
      <c r="J50" s="4"/>
    </row>
    <row r="51" spans="2:10">
      <c r="J51" s="401">
        <f>COUNTIFS(J3:J50,"Please*")</f>
        <v>0</v>
      </c>
    </row>
    <row r="89" spans="5:326">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c r="CB89" s="114"/>
      <c r="CC89" s="114"/>
      <c r="CD89" s="114"/>
      <c r="CE89" s="114"/>
      <c r="CF89" s="114"/>
      <c r="CG89" s="114"/>
      <c r="CH89" s="114"/>
      <c r="CI89" s="114"/>
      <c r="CJ89" s="114"/>
      <c r="CK89" s="114"/>
      <c r="CL89" s="114"/>
      <c r="CM89" s="114"/>
      <c r="CN89" s="114"/>
      <c r="CO89" s="114"/>
      <c r="CP89" s="114"/>
      <c r="CQ89" s="114"/>
      <c r="CR89" s="114"/>
      <c r="CS89" s="114"/>
      <c r="CT89" s="114"/>
      <c r="CU89" s="114"/>
      <c r="CV89" s="114"/>
      <c r="CW89" s="114"/>
      <c r="CX89" s="114"/>
      <c r="CY89" s="114"/>
      <c r="CZ89" s="114"/>
      <c r="DA89" s="114"/>
      <c r="DB89" s="114"/>
      <c r="DC89" s="114"/>
      <c r="DD89" s="114"/>
      <c r="DE89" s="114"/>
      <c r="DF89" s="114"/>
      <c r="DG89" s="114"/>
      <c r="DH89" s="114"/>
      <c r="DI89" s="114"/>
      <c r="DJ89" s="114"/>
      <c r="DK89" s="114"/>
      <c r="DL89" s="114"/>
      <c r="DM89" s="114"/>
      <c r="DN89" s="114"/>
      <c r="DO89" s="114"/>
      <c r="DP89" s="114"/>
      <c r="DQ89" s="114"/>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c r="GI89" s="114"/>
      <c r="GJ89" s="114"/>
      <c r="GK89" s="114"/>
      <c r="GL89" s="114"/>
      <c r="GM89" s="114"/>
      <c r="GN89" s="114"/>
      <c r="GO89" s="114"/>
      <c r="GP89" s="114"/>
      <c r="GQ89" s="114"/>
      <c r="GR89" s="114"/>
      <c r="GS89" s="114"/>
      <c r="GT89" s="114"/>
      <c r="GU89" s="114"/>
      <c r="GV89" s="114"/>
      <c r="GW89" s="114"/>
      <c r="GX89" s="114"/>
      <c r="GY89" s="114"/>
      <c r="GZ89" s="114"/>
      <c r="HA89" s="114"/>
      <c r="HB89" s="114"/>
      <c r="HC89" s="114"/>
      <c r="HD89" s="114"/>
      <c r="HE89" s="114"/>
      <c r="HF89" s="114"/>
      <c r="HG89" s="114"/>
      <c r="HH89" s="114"/>
      <c r="HI89" s="114"/>
      <c r="HJ89" s="114"/>
      <c r="HK89" s="114"/>
      <c r="HL89" s="114"/>
      <c r="HM89" s="114"/>
      <c r="HN89" s="114"/>
      <c r="HO89" s="114"/>
      <c r="HP89" s="114"/>
      <c r="HQ89" s="114"/>
      <c r="HR89" s="114"/>
      <c r="HS89" s="114"/>
      <c r="HT89" s="114"/>
      <c r="HU89" s="114"/>
      <c r="HV89" s="114"/>
      <c r="HW89" s="114"/>
      <c r="HX89" s="114"/>
      <c r="HY89" s="114"/>
      <c r="HZ89" s="114"/>
      <c r="IA89" s="114"/>
      <c r="IB89" s="114"/>
      <c r="IC89" s="114"/>
      <c r="ID89" s="114"/>
      <c r="IE89" s="114"/>
      <c r="IF89" s="114"/>
      <c r="IG89" s="114"/>
      <c r="IH89" s="114"/>
      <c r="II89" s="114"/>
      <c r="IJ89" s="114"/>
      <c r="IK89" s="114"/>
      <c r="IL89" s="114"/>
      <c r="IM89" s="114"/>
      <c r="IN89" s="114"/>
      <c r="IO89" s="114"/>
      <c r="IP89" s="114"/>
      <c r="IQ89" s="114"/>
      <c r="IR89" s="114"/>
      <c r="IS89" s="114"/>
      <c r="IT89" s="114"/>
      <c r="IU89" s="114"/>
      <c r="IV89" s="114"/>
      <c r="IW89" s="114"/>
      <c r="IX89" s="114"/>
      <c r="IY89" s="114"/>
      <c r="IZ89" s="114"/>
      <c r="JA89" s="114"/>
      <c r="JB89" s="114"/>
      <c r="JC89" s="114"/>
      <c r="JD89" s="114"/>
      <c r="JE89" s="114"/>
      <c r="JF89" s="114"/>
      <c r="JG89" s="114"/>
      <c r="JH89" s="114"/>
      <c r="JI89" s="114"/>
      <c r="JJ89" s="114"/>
      <c r="JK89" s="114"/>
      <c r="JL89" s="114"/>
      <c r="JM89" s="114"/>
      <c r="JN89" s="114"/>
      <c r="JO89" s="114"/>
      <c r="JP89" s="114"/>
      <c r="JQ89" s="114"/>
      <c r="JR89" s="114"/>
      <c r="JS89" s="114"/>
      <c r="JT89" s="114"/>
      <c r="JU89" s="114"/>
      <c r="JV89" s="114"/>
      <c r="JW89" s="114"/>
      <c r="JX89" s="114"/>
      <c r="JY89" s="114"/>
      <c r="JZ89" s="114"/>
      <c r="KA89" s="114"/>
      <c r="KB89" s="114"/>
      <c r="KC89" s="114"/>
      <c r="KD89" s="114"/>
      <c r="KE89" s="114"/>
      <c r="KF89" s="114"/>
      <c r="KG89" s="114"/>
      <c r="KH89" s="114"/>
      <c r="KI89" s="114"/>
      <c r="KJ89" s="114"/>
      <c r="KK89" s="114"/>
      <c r="KL89" s="114"/>
      <c r="KM89" s="114"/>
      <c r="KN89" s="114"/>
      <c r="KO89" s="114"/>
      <c r="KP89" s="114"/>
      <c r="KQ89" s="114"/>
      <c r="KR89" s="114"/>
      <c r="KS89" s="114"/>
      <c r="KT89" s="114"/>
      <c r="KU89" s="114"/>
      <c r="KV89" s="114"/>
      <c r="KW89" s="114"/>
      <c r="KX89" s="114"/>
      <c r="KY89" s="114"/>
      <c r="KZ89" s="114"/>
      <c r="LA89" s="114"/>
      <c r="LB89" s="114"/>
      <c r="LC89" s="114"/>
      <c r="LD89" s="114"/>
      <c r="LE89" s="114"/>
      <c r="LF89" s="114"/>
      <c r="LG89" s="114"/>
      <c r="LH89" s="114"/>
      <c r="LI89" s="114"/>
      <c r="LJ89" s="114"/>
      <c r="LK89" s="114"/>
      <c r="LL89" s="114"/>
      <c r="LM89" s="114"/>
      <c r="LN89" s="114"/>
    </row>
  </sheetData>
  <sheetProtection sheet="1" objects="1" scenarios="1"/>
  <customSheetViews>
    <customSheetView guid="{95B84344-25FE-4A71-9083-825DAB5E8F01}" scale="70">
      <pane xSplit="2" ySplit="8" topLeftCell="C9" activePane="bottomRight" state="frozen"/>
      <selection pane="bottomRight" activeCell="H61" sqref="H61"/>
      <pageMargins left="0" right="0" top="0" bottom="0" header="0" footer="0"/>
      <pageSetup paperSize="9" orientation="portrait" r:id="rId1"/>
    </customSheetView>
  </customSheetViews>
  <mergeCells count="3">
    <mergeCell ref="B4:D4"/>
    <mergeCell ref="B16:D16"/>
    <mergeCell ref="B28:D28"/>
  </mergeCells>
  <pageMargins left="0.70866141732283472" right="0.70866141732283472" top="0.74803149606299213" bottom="0.74803149606299213" header="0.31496062992125984" footer="0.31496062992125984"/>
  <pageSetup paperSize="9" fitToHeight="0" orientation="landscape" r:id="rId2"/>
  <headerFooter>
    <oddHeader>&amp;C&amp;A</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H532"/>
  <sheetViews>
    <sheetView workbookViewId="0">
      <selection activeCell="R1" sqref="R1"/>
    </sheetView>
  </sheetViews>
  <sheetFormatPr defaultRowHeight="15.5"/>
  <cols>
    <col min="1" max="1" width="44.84375" customWidth="1"/>
    <col min="2" max="2" width="9.69140625" customWidth="1"/>
    <col min="3" max="3" width="11.3046875" style="217" customWidth="1"/>
    <col min="4" max="17" width="5.07421875" customWidth="1"/>
    <col min="21" max="21" width="31.07421875" bestFit="1" customWidth="1"/>
    <col min="22" max="34" width="11.4609375" customWidth="1"/>
    <col min="35" max="69" width="10" bestFit="1" customWidth="1"/>
    <col min="70" max="70" width="9" bestFit="1" customWidth="1"/>
    <col min="71" max="122" width="10" bestFit="1" customWidth="1"/>
    <col min="123" max="123" width="9" bestFit="1" customWidth="1"/>
    <col min="124" max="144" width="10" bestFit="1" customWidth="1"/>
    <col min="145" max="145" width="11" bestFit="1" customWidth="1"/>
    <col min="146" max="146" width="10" bestFit="1" customWidth="1"/>
    <col min="147" max="147" width="11" bestFit="1" customWidth="1"/>
    <col min="148" max="150" width="10" bestFit="1" customWidth="1"/>
    <col min="151" max="151" width="11" bestFit="1" customWidth="1"/>
    <col min="152" max="155" width="10" bestFit="1" customWidth="1"/>
    <col min="156" max="156" width="11" bestFit="1" customWidth="1"/>
    <col min="157" max="160" width="10" bestFit="1" customWidth="1"/>
    <col min="161" max="161" width="11" bestFit="1" customWidth="1"/>
    <col min="162" max="163" width="10" bestFit="1" customWidth="1"/>
    <col min="164" max="167" width="11" bestFit="1" customWidth="1"/>
    <col min="168" max="173" width="10" bestFit="1" customWidth="1"/>
    <col min="174" max="174" width="11" bestFit="1" customWidth="1"/>
    <col min="175" max="175" width="10" bestFit="1" customWidth="1"/>
    <col min="176" max="191" width="11" bestFit="1" customWidth="1"/>
    <col min="192" max="192" width="10" bestFit="1" customWidth="1"/>
    <col min="193" max="194" width="11" bestFit="1" customWidth="1"/>
    <col min="195" max="195" width="10" bestFit="1" customWidth="1"/>
    <col min="196" max="209" width="11" bestFit="1" customWidth="1"/>
    <col min="210" max="210" width="10" bestFit="1" customWidth="1"/>
    <col min="211" max="224" width="11" bestFit="1" customWidth="1"/>
    <col min="225" max="225" width="10" bestFit="1" customWidth="1"/>
    <col min="226" max="227" width="11" bestFit="1" customWidth="1"/>
    <col min="228" max="228" width="10" bestFit="1" customWidth="1"/>
    <col min="229" max="238" width="11" bestFit="1" customWidth="1"/>
    <col min="239" max="239" width="10" bestFit="1" customWidth="1"/>
    <col min="240" max="263" width="11" bestFit="1" customWidth="1"/>
    <col min="264" max="264" width="10" bestFit="1" customWidth="1"/>
    <col min="265" max="326" width="11" bestFit="1" customWidth="1"/>
    <col min="327" max="327" width="10" bestFit="1" customWidth="1"/>
    <col min="328" max="456" width="11" bestFit="1" customWidth="1"/>
    <col min="457" max="457" width="12" bestFit="1" customWidth="1"/>
  </cols>
  <sheetData>
    <row r="1" spans="1:34">
      <c r="A1" t="s">
        <v>38</v>
      </c>
      <c r="B1" t="s">
        <v>39</v>
      </c>
      <c r="C1" s="217" t="s">
        <v>40</v>
      </c>
      <c r="D1" t="s">
        <v>41</v>
      </c>
      <c r="E1" t="s">
        <v>42</v>
      </c>
      <c r="F1" t="s">
        <v>43</v>
      </c>
      <c r="G1" t="s">
        <v>44</v>
      </c>
      <c r="H1" t="s">
        <v>45</v>
      </c>
      <c r="I1" t="s">
        <v>46</v>
      </c>
      <c r="J1" t="s">
        <v>3</v>
      </c>
      <c r="K1" t="s">
        <v>47</v>
      </c>
      <c r="L1" t="s">
        <v>48</v>
      </c>
      <c r="M1" t="s">
        <v>49</v>
      </c>
      <c r="N1" t="s">
        <v>50</v>
      </c>
      <c r="O1" t="s">
        <v>51</v>
      </c>
      <c r="P1" t="s">
        <v>52</v>
      </c>
      <c r="Q1" t="s">
        <v>53</v>
      </c>
      <c r="R1" t="s">
        <v>54</v>
      </c>
      <c r="U1" s="219" t="s">
        <v>55</v>
      </c>
      <c r="V1" t="s">
        <v>56</v>
      </c>
      <c r="W1" t="s">
        <v>57</v>
      </c>
      <c r="X1" t="s">
        <v>58</v>
      </c>
      <c r="Y1" t="s">
        <v>59</v>
      </c>
      <c r="Z1" t="s">
        <v>60</v>
      </c>
      <c r="AA1" t="s">
        <v>61</v>
      </c>
      <c r="AB1" t="s">
        <v>62</v>
      </c>
      <c r="AC1" t="s">
        <v>63</v>
      </c>
      <c r="AD1" t="s">
        <v>64</v>
      </c>
      <c r="AE1" t="s">
        <v>65</v>
      </c>
      <c r="AF1" t="s">
        <v>66</v>
      </c>
      <c r="AG1" t="s">
        <v>67</v>
      </c>
      <c r="AH1" t="s">
        <v>68</v>
      </c>
    </row>
    <row r="2" spans="1:34">
      <c r="A2" t="s">
        <v>69</v>
      </c>
      <c r="B2" s="216" t="str">
        <f>TEXT(C2,"mmm-yy")</f>
        <v>Apr-19</v>
      </c>
      <c r="C2" s="217">
        <v>43556</v>
      </c>
      <c r="D2">
        <v>5679.2403999999988</v>
      </c>
      <c r="E2">
        <v>725.90885000000003</v>
      </c>
      <c r="F2">
        <v>891.86951999999997</v>
      </c>
      <c r="G2">
        <v>851.36012000000005</v>
      </c>
      <c r="H2">
        <v>596.69065000000001</v>
      </c>
      <c r="I2">
        <v>543.92512999999997</v>
      </c>
      <c r="J2">
        <v>752.1223</v>
      </c>
      <c r="K2">
        <v>124.45762000000001</v>
      </c>
      <c r="L2">
        <v>60.834139999999998</v>
      </c>
      <c r="M2">
        <v>113.74184</v>
      </c>
      <c r="N2">
        <v>1018.33023</v>
      </c>
      <c r="U2" s="7" t="s">
        <v>70</v>
      </c>
      <c r="V2">
        <v>11378.218900000002</v>
      </c>
      <c r="W2">
        <v>15472.329959999999</v>
      </c>
      <c r="X2">
        <v>12866.19738</v>
      </c>
      <c r="Y2">
        <v>10315.904799999998</v>
      </c>
      <c r="Z2">
        <v>8451.2646100000002</v>
      </c>
      <c r="AA2">
        <v>11285.869970000002</v>
      </c>
      <c r="AB2">
        <v>1763.0799199999999</v>
      </c>
      <c r="AC2">
        <v>1618.7369900000001</v>
      </c>
      <c r="AD2">
        <v>3903.87383</v>
      </c>
      <c r="AE2">
        <v>3198.82944</v>
      </c>
    </row>
    <row r="3" spans="1:34">
      <c r="A3" t="s">
        <v>69</v>
      </c>
      <c r="B3" s="216" t="str">
        <f t="shared" ref="B3:B66" si="0">TEXT(C3,"mmm-yy")</f>
        <v>May-19</v>
      </c>
      <c r="C3" s="217">
        <v>43586</v>
      </c>
      <c r="D3">
        <v>5674.6545099999985</v>
      </c>
      <c r="E3">
        <v>727.76217999999994</v>
      </c>
      <c r="F3">
        <v>891.19938999999999</v>
      </c>
      <c r="G3">
        <v>850.31344999999999</v>
      </c>
      <c r="H3">
        <v>594.34397999999999</v>
      </c>
      <c r="I3">
        <v>534.13314000000003</v>
      </c>
      <c r="J3">
        <v>749.92841999999996</v>
      </c>
      <c r="K3">
        <v>123.65761999999999</v>
      </c>
      <c r="L3">
        <v>60.834139999999998</v>
      </c>
      <c r="M3">
        <v>111.01197000000001</v>
      </c>
      <c r="N3">
        <v>1031.4702199999999</v>
      </c>
      <c r="U3" s="221" t="s">
        <v>71</v>
      </c>
      <c r="V3">
        <v>2281.5405900000001</v>
      </c>
      <c r="W3">
        <v>3074.11859</v>
      </c>
      <c r="X3">
        <v>2539.6782400000002</v>
      </c>
      <c r="Y3">
        <v>1899.8460500000001</v>
      </c>
      <c r="Z3">
        <v>1720.97937</v>
      </c>
      <c r="AA3">
        <v>2278.3491800000002</v>
      </c>
      <c r="AB3">
        <v>321.10332</v>
      </c>
      <c r="AC3">
        <v>259.06742000000003</v>
      </c>
      <c r="AD3">
        <v>195.79333</v>
      </c>
      <c r="AE3">
        <v>1473.97054</v>
      </c>
    </row>
    <row r="4" spans="1:34">
      <c r="A4" t="s">
        <v>69</v>
      </c>
      <c r="B4" s="216" t="str">
        <f t="shared" si="0"/>
        <v>Jun-19</v>
      </c>
      <c r="C4" s="217">
        <v>43617</v>
      </c>
      <c r="D4">
        <v>5651.1568600000001</v>
      </c>
      <c r="E4">
        <v>722.39121999999998</v>
      </c>
      <c r="F4">
        <v>878.11270999999999</v>
      </c>
      <c r="G4">
        <v>856.98677999999995</v>
      </c>
      <c r="H4">
        <v>599.67597999999998</v>
      </c>
      <c r="I4">
        <v>528.89368000000002</v>
      </c>
      <c r="J4">
        <v>743.00388999999996</v>
      </c>
      <c r="K4">
        <v>122.05762</v>
      </c>
      <c r="L4">
        <v>60.934139999999999</v>
      </c>
      <c r="M4">
        <v>110.76184000000001</v>
      </c>
      <c r="N4">
        <v>1028.3389999999999</v>
      </c>
      <c r="U4" s="221" t="s">
        <v>69</v>
      </c>
      <c r="V4">
        <v>725.90885000000003</v>
      </c>
      <c r="W4">
        <v>891.86951999999997</v>
      </c>
      <c r="X4">
        <v>851.36012000000005</v>
      </c>
      <c r="Y4">
        <v>596.69065000000001</v>
      </c>
      <c r="Z4">
        <v>543.92512999999997</v>
      </c>
      <c r="AA4">
        <v>752.1223</v>
      </c>
      <c r="AB4">
        <v>124.45762000000001</v>
      </c>
      <c r="AC4">
        <v>60.834139999999998</v>
      </c>
      <c r="AD4">
        <v>113.74184</v>
      </c>
      <c r="AE4">
        <v>1018.33023</v>
      </c>
    </row>
    <row r="5" spans="1:34">
      <c r="A5" t="s">
        <v>69</v>
      </c>
      <c r="B5" s="216" t="str">
        <f t="shared" si="0"/>
        <v>Jul-19</v>
      </c>
      <c r="C5" s="217">
        <v>43647</v>
      </c>
      <c r="D5">
        <v>5680.8843299999999</v>
      </c>
      <c r="E5">
        <v>726.26056000000005</v>
      </c>
      <c r="F5">
        <v>889.40791000000002</v>
      </c>
      <c r="G5">
        <v>855.40011000000004</v>
      </c>
      <c r="H5">
        <v>598.09</v>
      </c>
      <c r="I5">
        <v>538.53368</v>
      </c>
      <c r="J5">
        <v>745.84388999999999</v>
      </c>
      <c r="K5">
        <v>122.24</v>
      </c>
      <c r="L5">
        <v>65.540809999999993</v>
      </c>
      <c r="M5">
        <v>109.61503999999999</v>
      </c>
      <c r="N5">
        <v>1029.9523300000001</v>
      </c>
      <c r="U5" s="221" t="s">
        <v>72</v>
      </c>
      <c r="V5">
        <v>219.18887000000001</v>
      </c>
      <c r="W5">
        <v>280.4803</v>
      </c>
      <c r="X5">
        <v>456.86613999999997</v>
      </c>
      <c r="Y5">
        <v>185.25094000000001</v>
      </c>
      <c r="Z5">
        <v>176.1662</v>
      </c>
      <c r="AA5">
        <v>294.49079999999998</v>
      </c>
      <c r="AB5">
        <v>3.1295999999999999</v>
      </c>
      <c r="AC5">
        <v>220.84932000000001</v>
      </c>
      <c r="AD5">
        <v>139.6</v>
      </c>
      <c r="AE5">
        <v>0</v>
      </c>
    </row>
    <row r="6" spans="1:34">
      <c r="A6" t="s">
        <v>69</v>
      </c>
      <c r="B6" s="216" t="str">
        <f t="shared" si="0"/>
        <v>Aug-19</v>
      </c>
      <c r="C6" s="217">
        <v>43678</v>
      </c>
      <c r="D6">
        <v>5731.3607299999985</v>
      </c>
      <c r="E6">
        <v>732.72109999999998</v>
      </c>
      <c r="F6">
        <v>906.06844000000001</v>
      </c>
      <c r="G6">
        <v>862.60010999999997</v>
      </c>
      <c r="H6">
        <v>598.33384999999998</v>
      </c>
      <c r="I6">
        <v>543.68700999999999</v>
      </c>
      <c r="J6">
        <v>753.29055000000005</v>
      </c>
      <c r="K6">
        <v>122.61762</v>
      </c>
      <c r="L6">
        <v>63.834139999999998</v>
      </c>
      <c r="M6">
        <v>112.61503999999999</v>
      </c>
      <c r="N6">
        <v>1035.5928699999999</v>
      </c>
      <c r="U6" s="221" t="s">
        <v>73</v>
      </c>
      <c r="V6">
        <v>6.5</v>
      </c>
      <c r="W6">
        <v>15.86</v>
      </c>
      <c r="X6">
        <v>24.153310000000001</v>
      </c>
      <c r="Y6">
        <v>5.0133299999999998</v>
      </c>
      <c r="Z6">
        <v>5</v>
      </c>
      <c r="AA6">
        <v>2.4</v>
      </c>
      <c r="AB6">
        <v>0</v>
      </c>
      <c r="AC6">
        <v>0</v>
      </c>
      <c r="AD6">
        <v>0</v>
      </c>
      <c r="AE6">
        <v>0</v>
      </c>
    </row>
    <row r="7" spans="1:34">
      <c r="A7" t="s">
        <v>69</v>
      </c>
      <c r="B7" s="216" t="str">
        <f t="shared" si="0"/>
        <v>Sep-19</v>
      </c>
      <c r="C7" s="217">
        <v>43709</v>
      </c>
      <c r="D7">
        <v>5833.0825999999997</v>
      </c>
      <c r="E7">
        <v>751.82510000000002</v>
      </c>
      <c r="F7">
        <v>913.70551</v>
      </c>
      <c r="G7">
        <v>870.10676999999998</v>
      </c>
      <c r="H7">
        <v>607.84717999999998</v>
      </c>
      <c r="I7">
        <v>555.29795000000001</v>
      </c>
      <c r="J7">
        <v>758.68840999999998</v>
      </c>
      <c r="K7">
        <v>125.29761999999999</v>
      </c>
      <c r="L7">
        <v>63.634140000000002</v>
      </c>
      <c r="M7">
        <v>114.89503999999999</v>
      </c>
      <c r="N7">
        <v>1071.7848799999999</v>
      </c>
      <c r="U7" s="221" t="s">
        <v>74</v>
      </c>
      <c r="V7">
        <v>407.01737000000003</v>
      </c>
      <c r="W7">
        <v>738.23014000000001</v>
      </c>
      <c r="X7">
        <v>665.17831999999999</v>
      </c>
      <c r="Y7">
        <v>354.52704</v>
      </c>
      <c r="Z7">
        <v>315.13986</v>
      </c>
      <c r="AA7">
        <v>342.44292000000002</v>
      </c>
      <c r="AB7">
        <v>54.568269999999998</v>
      </c>
      <c r="AC7">
        <v>5.5</v>
      </c>
      <c r="AD7">
        <v>56.52666</v>
      </c>
      <c r="AE7">
        <v>0</v>
      </c>
    </row>
    <row r="8" spans="1:34">
      <c r="A8" t="s">
        <v>69</v>
      </c>
      <c r="B8" s="216" t="str">
        <f t="shared" si="0"/>
        <v>Oct-19</v>
      </c>
      <c r="C8" s="217">
        <v>43739</v>
      </c>
      <c r="D8">
        <v>5841.8472299999994</v>
      </c>
      <c r="E8">
        <v>746.13229000000001</v>
      </c>
      <c r="F8">
        <v>910.76683000000003</v>
      </c>
      <c r="G8">
        <v>874.47343000000001</v>
      </c>
      <c r="H8">
        <v>608.92718000000002</v>
      </c>
      <c r="I8">
        <v>564.34460999999999</v>
      </c>
      <c r="J8">
        <v>766.82654000000002</v>
      </c>
      <c r="K8">
        <v>122.60429000000001</v>
      </c>
      <c r="L8">
        <v>62.434139999999999</v>
      </c>
      <c r="M8">
        <v>113.85171</v>
      </c>
      <c r="N8">
        <v>1071.48621</v>
      </c>
      <c r="U8" s="221" t="s">
        <v>75</v>
      </c>
      <c r="V8">
        <v>2196.7496700000002</v>
      </c>
      <c r="W8">
        <v>2938.0265599999998</v>
      </c>
      <c r="X8">
        <v>2075.8648899999998</v>
      </c>
      <c r="Y8">
        <v>1922.8670400000001</v>
      </c>
      <c r="Z8">
        <v>1590.36231</v>
      </c>
      <c r="AA8">
        <v>2072.14212</v>
      </c>
      <c r="AB8">
        <v>529.58452999999997</v>
      </c>
      <c r="AC8">
        <v>928.96946000000003</v>
      </c>
      <c r="AD8">
        <v>2415.91165</v>
      </c>
      <c r="AE8">
        <v>492.53532000000001</v>
      </c>
    </row>
    <row r="9" spans="1:34">
      <c r="A9" t="s">
        <v>69</v>
      </c>
      <c r="B9" s="216" t="str">
        <f t="shared" si="0"/>
        <v>Nov-19</v>
      </c>
      <c r="C9" s="217">
        <v>43770</v>
      </c>
      <c r="D9">
        <v>5854.7325000000001</v>
      </c>
      <c r="E9">
        <v>743.03895</v>
      </c>
      <c r="F9">
        <v>915.64016000000004</v>
      </c>
      <c r="G9">
        <v>874.04677000000004</v>
      </c>
      <c r="H9">
        <v>597.58717999999999</v>
      </c>
      <c r="I9">
        <v>563.90989000000002</v>
      </c>
      <c r="J9">
        <v>776.85987</v>
      </c>
      <c r="K9">
        <v>124.87094999999999</v>
      </c>
      <c r="L9">
        <v>63.034140000000001</v>
      </c>
      <c r="M9">
        <v>114.98504</v>
      </c>
      <c r="N9">
        <v>1080.75955</v>
      </c>
      <c r="U9" s="221" t="s">
        <v>76</v>
      </c>
      <c r="V9">
        <v>1072.72504</v>
      </c>
      <c r="W9">
        <v>1261.02199</v>
      </c>
      <c r="X9">
        <v>1061.0827099999999</v>
      </c>
      <c r="Y9">
        <v>1098.61645</v>
      </c>
      <c r="Z9">
        <v>759.78800999999999</v>
      </c>
      <c r="AA9">
        <v>1044.64249</v>
      </c>
      <c r="AB9">
        <v>154.94668999999999</v>
      </c>
      <c r="AC9">
        <v>0.66666999999999998</v>
      </c>
      <c r="AD9">
        <v>326.56713000000002</v>
      </c>
      <c r="AE9">
        <v>56.159990000000001</v>
      </c>
    </row>
    <row r="10" spans="1:34">
      <c r="A10" t="s">
        <v>69</v>
      </c>
      <c r="B10" s="216" t="str">
        <f t="shared" si="0"/>
        <v>Dec-19</v>
      </c>
      <c r="C10" s="217">
        <v>43800</v>
      </c>
      <c r="D10">
        <v>5846.2020899999998</v>
      </c>
      <c r="E10">
        <v>745.22906999999998</v>
      </c>
      <c r="F10">
        <v>911.85350000000005</v>
      </c>
      <c r="G10">
        <v>877.14543000000003</v>
      </c>
      <c r="H10">
        <v>597.58717999999999</v>
      </c>
      <c r="I10">
        <v>562.10321999999996</v>
      </c>
      <c r="J10">
        <v>775.77934000000005</v>
      </c>
      <c r="K10">
        <v>122.67895</v>
      </c>
      <c r="L10">
        <v>61.287469999999999</v>
      </c>
      <c r="M10">
        <v>115.98504</v>
      </c>
      <c r="N10">
        <v>1076.5528899999999</v>
      </c>
      <c r="U10" s="221" t="s">
        <v>77</v>
      </c>
      <c r="V10">
        <v>3478.8559399999999</v>
      </c>
      <c r="W10">
        <v>4956.0634300000002</v>
      </c>
      <c r="X10">
        <v>3862.1151500000001</v>
      </c>
      <c r="Y10">
        <v>3301.3555999999999</v>
      </c>
      <c r="Z10">
        <v>2655.8343799999998</v>
      </c>
      <c r="AA10">
        <v>3493.5979299999999</v>
      </c>
      <c r="AB10">
        <v>537.85841000000005</v>
      </c>
      <c r="AC10">
        <v>59.766649999999998</v>
      </c>
      <c r="AD10">
        <v>181.86</v>
      </c>
      <c r="AE10">
        <v>156.83336</v>
      </c>
    </row>
    <row r="11" spans="1:34">
      <c r="A11" t="s">
        <v>69</v>
      </c>
      <c r="B11" s="216" t="str">
        <f t="shared" si="0"/>
        <v>Jan-20</v>
      </c>
      <c r="C11" s="217">
        <v>43831</v>
      </c>
      <c r="D11">
        <v>5856.3522499999999</v>
      </c>
      <c r="E11">
        <v>754.85681999999997</v>
      </c>
      <c r="F11">
        <v>905.46015999999997</v>
      </c>
      <c r="G11">
        <v>883.25210000000004</v>
      </c>
      <c r="H11">
        <v>603.24051999999995</v>
      </c>
      <c r="I11">
        <v>560.78989000000001</v>
      </c>
      <c r="J11">
        <v>774.77773999999999</v>
      </c>
      <c r="K11">
        <v>128.19228000000001</v>
      </c>
      <c r="L11">
        <v>61.287469999999999</v>
      </c>
      <c r="M11">
        <v>116.05171</v>
      </c>
      <c r="N11">
        <v>1068.4435599999997</v>
      </c>
      <c r="U11" s="221" t="s">
        <v>78</v>
      </c>
      <c r="V11">
        <v>989.73257000000001</v>
      </c>
      <c r="W11">
        <v>1316.6594299999999</v>
      </c>
      <c r="X11">
        <v>1329.8985</v>
      </c>
      <c r="Y11">
        <v>951.73770000000002</v>
      </c>
      <c r="Z11">
        <v>684.06934999999999</v>
      </c>
      <c r="AA11">
        <v>1005.68223</v>
      </c>
      <c r="AB11">
        <v>37.431480000000001</v>
      </c>
      <c r="AC11">
        <v>83.083330000000004</v>
      </c>
      <c r="AD11">
        <v>473.87322</v>
      </c>
      <c r="AE11">
        <v>1</v>
      </c>
    </row>
    <row r="12" spans="1:34">
      <c r="A12" t="s">
        <v>69</v>
      </c>
      <c r="B12" s="216" t="str">
        <f t="shared" si="0"/>
        <v>Feb-20</v>
      </c>
      <c r="C12" s="217">
        <v>43862</v>
      </c>
      <c r="D12">
        <v>5857.0914499999999</v>
      </c>
      <c r="E12">
        <v>759.21681000000001</v>
      </c>
      <c r="F12">
        <v>905.18016</v>
      </c>
      <c r="G12">
        <v>886.57449999999994</v>
      </c>
      <c r="H12">
        <v>602.28052000000002</v>
      </c>
      <c r="I12">
        <v>560.92322000000001</v>
      </c>
      <c r="J12">
        <v>765.11107000000004</v>
      </c>
      <c r="K12">
        <v>128.19228000000001</v>
      </c>
      <c r="L12">
        <v>60.88747</v>
      </c>
      <c r="M12">
        <v>116.12238000000001</v>
      </c>
      <c r="N12">
        <v>1072.60304</v>
      </c>
      <c r="U12" s="7" t="s">
        <v>79</v>
      </c>
      <c r="V12">
        <v>12088.552449999999</v>
      </c>
      <c r="W12">
        <v>15970.90065</v>
      </c>
      <c r="X12">
        <v>13657.81446</v>
      </c>
      <c r="Y12">
        <v>10736.47811</v>
      </c>
      <c r="Z12">
        <v>9356.2602599999991</v>
      </c>
      <c r="AA12">
        <v>11467.965</v>
      </c>
      <c r="AB12">
        <v>1870.6578000000002</v>
      </c>
      <c r="AC12">
        <v>1711.6937100000002</v>
      </c>
      <c r="AD12">
        <v>4163.1625800000002</v>
      </c>
      <c r="AE12">
        <v>3410.8383899999999</v>
      </c>
    </row>
    <row r="13" spans="1:34">
      <c r="A13" t="s">
        <v>69</v>
      </c>
      <c r="B13" s="216" t="str">
        <f t="shared" si="0"/>
        <v>Mar-20</v>
      </c>
      <c r="C13" s="217">
        <v>43891</v>
      </c>
      <c r="D13">
        <v>5834.4001100000005</v>
      </c>
      <c r="E13">
        <v>759.55681000000004</v>
      </c>
      <c r="F13">
        <v>901.06016</v>
      </c>
      <c r="G13">
        <v>888.73450000000003</v>
      </c>
      <c r="H13">
        <v>601.68479000000002</v>
      </c>
      <c r="I13">
        <v>552.08549000000005</v>
      </c>
      <c r="J13">
        <v>761.57320000000004</v>
      </c>
      <c r="K13">
        <v>125.59228</v>
      </c>
      <c r="L13">
        <v>60.587470000000003</v>
      </c>
      <c r="M13">
        <v>116.30904</v>
      </c>
      <c r="N13">
        <v>1067.2163700000001</v>
      </c>
      <c r="U13" s="221" t="s">
        <v>71</v>
      </c>
      <c r="V13">
        <v>2677.2943399999999</v>
      </c>
      <c r="W13">
        <v>3282.1989400000002</v>
      </c>
      <c r="X13">
        <v>2586.4971599999999</v>
      </c>
      <c r="Y13">
        <v>1918.83753</v>
      </c>
      <c r="Z13">
        <v>2027.14555</v>
      </c>
      <c r="AA13">
        <v>2312.2215900000001</v>
      </c>
      <c r="AB13">
        <v>335.70278999999999</v>
      </c>
      <c r="AC13">
        <v>263.43677000000002</v>
      </c>
      <c r="AD13">
        <v>204.00665000000001</v>
      </c>
      <c r="AE13">
        <v>1555.5648900000001</v>
      </c>
    </row>
    <row r="14" spans="1:34">
      <c r="A14" t="s">
        <v>69</v>
      </c>
      <c r="B14" s="216" t="str">
        <f t="shared" si="0"/>
        <v>Apr-20</v>
      </c>
      <c r="C14" s="217">
        <v>43922</v>
      </c>
      <c r="D14">
        <v>5823.9152899999999</v>
      </c>
      <c r="E14">
        <v>753.66932999999995</v>
      </c>
      <c r="F14">
        <v>898.21028999999999</v>
      </c>
      <c r="G14">
        <v>890.38783999999998</v>
      </c>
      <c r="H14">
        <v>604.74558999999999</v>
      </c>
      <c r="I14">
        <v>548.57722000000001</v>
      </c>
      <c r="J14">
        <v>756.08013000000005</v>
      </c>
      <c r="K14">
        <v>127.67228</v>
      </c>
      <c r="L14">
        <v>61.174140000000001</v>
      </c>
      <c r="M14">
        <v>113.2989</v>
      </c>
      <c r="N14">
        <v>1070.0995700000001</v>
      </c>
      <c r="U14" s="221" t="s">
        <v>69</v>
      </c>
      <c r="V14">
        <v>753.66932999999995</v>
      </c>
      <c r="W14">
        <v>898.21028999999999</v>
      </c>
      <c r="X14">
        <v>890.38783999999998</v>
      </c>
      <c r="Y14">
        <v>604.74558999999999</v>
      </c>
      <c r="Z14">
        <v>548.57722000000001</v>
      </c>
      <c r="AA14">
        <v>756.08013000000005</v>
      </c>
      <c r="AB14">
        <v>127.67228</v>
      </c>
      <c r="AC14">
        <v>61.174140000000001</v>
      </c>
      <c r="AD14">
        <v>113.2989</v>
      </c>
      <c r="AE14">
        <v>1070.0995700000001</v>
      </c>
    </row>
    <row r="15" spans="1:34">
      <c r="A15" t="s">
        <v>71</v>
      </c>
      <c r="B15" s="216" t="str">
        <f t="shared" si="0"/>
        <v>Apr-19</v>
      </c>
      <c r="C15" s="217">
        <v>43556</v>
      </c>
      <c r="D15">
        <v>16044.446630000002</v>
      </c>
      <c r="E15">
        <v>2281.5405900000001</v>
      </c>
      <c r="F15">
        <v>3074.11859</v>
      </c>
      <c r="G15">
        <v>2539.6782400000002</v>
      </c>
      <c r="H15">
        <v>1899.8460500000001</v>
      </c>
      <c r="I15">
        <v>1720.97937</v>
      </c>
      <c r="J15">
        <v>2278.3491800000002</v>
      </c>
      <c r="K15">
        <v>321.10332</v>
      </c>
      <c r="L15">
        <v>259.06742000000003</v>
      </c>
      <c r="M15">
        <v>195.79333</v>
      </c>
      <c r="N15">
        <v>1473.97054</v>
      </c>
      <c r="U15" s="221" t="s">
        <v>72</v>
      </c>
      <c r="V15">
        <v>223.34888000000001</v>
      </c>
      <c r="W15">
        <v>251.40747999999999</v>
      </c>
      <c r="X15">
        <v>483.68558999999999</v>
      </c>
      <c r="Y15">
        <v>198.19094999999999</v>
      </c>
      <c r="Z15">
        <v>177.03287</v>
      </c>
      <c r="AA15">
        <v>297.03077000000002</v>
      </c>
      <c r="AB15">
        <v>2</v>
      </c>
      <c r="AC15">
        <v>239.47599</v>
      </c>
      <c r="AD15">
        <v>134.65333000000001</v>
      </c>
      <c r="AE15">
        <v>0</v>
      </c>
    </row>
    <row r="16" spans="1:34">
      <c r="A16" t="s">
        <v>71</v>
      </c>
      <c r="B16" s="216" t="str">
        <f t="shared" si="0"/>
        <v>May-19</v>
      </c>
      <c r="C16" s="217">
        <v>43586</v>
      </c>
      <c r="D16">
        <v>16075.83808</v>
      </c>
      <c r="E16">
        <v>2285.5872399999998</v>
      </c>
      <c r="F16">
        <v>3081.8551299999999</v>
      </c>
      <c r="G16">
        <v>2547.2393000000002</v>
      </c>
      <c r="H16">
        <v>1900.9159199999999</v>
      </c>
      <c r="I16">
        <v>1733.6313700000001</v>
      </c>
      <c r="J16">
        <v>2287.59584</v>
      </c>
      <c r="K16">
        <v>321.89533</v>
      </c>
      <c r="L16">
        <v>258.18741999999997</v>
      </c>
      <c r="M16">
        <v>197.79333</v>
      </c>
      <c r="N16">
        <v>1461.1371999999999</v>
      </c>
      <c r="U16" s="221" t="s">
        <v>73</v>
      </c>
      <c r="V16">
        <v>2</v>
      </c>
      <c r="W16">
        <v>250.26</v>
      </c>
      <c r="X16">
        <v>239.28659999999999</v>
      </c>
      <c r="Y16">
        <v>91.066659999999999</v>
      </c>
      <c r="Z16">
        <v>168.22666000000001</v>
      </c>
      <c r="AA16">
        <v>1</v>
      </c>
      <c r="AB16">
        <v>21.4</v>
      </c>
      <c r="AC16">
        <v>0</v>
      </c>
      <c r="AD16">
        <v>4.5999999999999996</v>
      </c>
      <c r="AE16">
        <v>0</v>
      </c>
    </row>
    <row r="17" spans="1:31">
      <c r="A17" t="s">
        <v>71</v>
      </c>
      <c r="B17" s="216" t="str">
        <f t="shared" si="0"/>
        <v>Jun-19</v>
      </c>
      <c r="C17" s="217">
        <v>43617</v>
      </c>
      <c r="D17">
        <v>16117.369020000002</v>
      </c>
      <c r="E17">
        <v>2310.76215</v>
      </c>
      <c r="F17">
        <v>3071.50848</v>
      </c>
      <c r="G17">
        <v>2555.03368</v>
      </c>
      <c r="H17">
        <v>1908.6092599999999</v>
      </c>
      <c r="I17">
        <v>1740.6374900000001</v>
      </c>
      <c r="J17">
        <v>2292.2291799999998</v>
      </c>
      <c r="K17">
        <v>322.42201</v>
      </c>
      <c r="L17">
        <v>257.18741999999997</v>
      </c>
      <c r="M17">
        <v>194.24665999999999</v>
      </c>
      <c r="N17">
        <v>1464.73269</v>
      </c>
      <c r="U17" s="221" t="s">
        <v>74</v>
      </c>
      <c r="V17">
        <v>452.54489999999998</v>
      </c>
      <c r="W17">
        <v>728.50346000000002</v>
      </c>
      <c r="X17">
        <v>711.39883999999995</v>
      </c>
      <c r="Y17">
        <v>362.78278</v>
      </c>
      <c r="Z17">
        <v>333.08258999999998</v>
      </c>
      <c r="AA17">
        <v>373.35491999999999</v>
      </c>
      <c r="AB17">
        <v>66.445080000000004</v>
      </c>
      <c r="AC17">
        <v>7.5</v>
      </c>
      <c r="AD17">
        <v>59.52666</v>
      </c>
      <c r="AE17">
        <v>1</v>
      </c>
    </row>
    <row r="18" spans="1:31">
      <c r="A18" t="s">
        <v>71</v>
      </c>
      <c r="B18" s="216" t="str">
        <f t="shared" si="0"/>
        <v>Jul-19</v>
      </c>
      <c r="C18" s="217">
        <v>43647</v>
      </c>
      <c r="D18">
        <v>16173.467299999998</v>
      </c>
      <c r="E18">
        <v>2312.2192300000002</v>
      </c>
      <c r="F18">
        <v>3112.1207300000001</v>
      </c>
      <c r="G18">
        <v>2553.8496799999998</v>
      </c>
      <c r="H18">
        <v>1909.06</v>
      </c>
      <c r="I18">
        <v>1745.8517199999999</v>
      </c>
      <c r="J18">
        <v>2301.3558499999999</v>
      </c>
      <c r="K18">
        <v>324.13</v>
      </c>
      <c r="L18">
        <v>254.52074999999999</v>
      </c>
      <c r="M18">
        <v>199.23331999999999</v>
      </c>
      <c r="N18">
        <v>1461.1260199999999</v>
      </c>
      <c r="U18" s="221" t="s">
        <v>75</v>
      </c>
      <c r="V18">
        <v>2334.6110899999999</v>
      </c>
      <c r="W18">
        <v>2965.2462799999998</v>
      </c>
      <c r="X18">
        <v>2154.6931800000002</v>
      </c>
      <c r="Y18">
        <v>2057.7006000000001</v>
      </c>
      <c r="Z18">
        <v>1670.60978</v>
      </c>
      <c r="AA18">
        <v>2115.4731900000002</v>
      </c>
      <c r="AB18">
        <v>561.44090000000006</v>
      </c>
      <c r="AC18">
        <v>990.73933</v>
      </c>
      <c r="AD18">
        <v>2567.6338700000001</v>
      </c>
      <c r="AE18">
        <v>563.44057999999995</v>
      </c>
    </row>
    <row r="19" spans="1:31">
      <c r="A19" t="s">
        <v>71</v>
      </c>
      <c r="B19" s="216" t="str">
        <f t="shared" si="0"/>
        <v>Aug-19</v>
      </c>
      <c r="C19" s="217">
        <v>43678</v>
      </c>
      <c r="D19">
        <v>16089.231229999999</v>
      </c>
      <c r="E19">
        <v>2253.25045</v>
      </c>
      <c r="F19">
        <v>3116.8140600000002</v>
      </c>
      <c r="G19">
        <v>2540.5232599999999</v>
      </c>
      <c r="H19">
        <v>1916.5959</v>
      </c>
      <c r="I19">
        <v>1721.0434600000001</v>
      </c>
      <c r="J19">
        <v>2300.2846599999998</v>
      </c>
      <c r="K19">
        <v>329.01666999999998</v>
      </c>
      <c r="L19">
        <v>259.7901</v>
      </c>
      <c r="M19">
        <v>200.47998999999999</v>
      </c>
      <c r="N19">
        <v>1451.4326799999999</v>
      </c>
      <c r="U19" s="221" t="s">
        <v>76</v>
      </c>
      <c r="V19">
        <v>1008.63335</v>
      </c>
      <c r="W19">
        <v>1261.11637</v>
      </c>
      <c r="X19">
        <v>1054.61448</v>
      </c>
      <c r="Y19">
        <v>1121.4082800000001</v>
      </c>
      <c r="Z19">
        <v>1000.45591</v>
      </c>
      <c r="AA19">
        <v>1033.05186</v>
      </c>
      <c r="AB19">
        <v>166.86669000000001</v>
      </c>
      <c r="AC19">
        <v>0.66666999999999998</v>
      </c>
      <c r="AD19">
        <v>350.71195999999998</v>
      </c>
      <c r="AE19">
        <v>58.32</v>
      </c>
    </row>
    <row r="20" spans="1:31">
      <c r="A20" t="s">
        <v>71</v>
      </c>
      <c r="B20" s="216" t="str">
        <f t="shared" si="0"/>
        <v>Sep-19</v>
      </c>
      <c r="C20" s="217">
        <v>43709</v>
      </c>
      <c r="D20">
        <v>16252.089759999999</v>
      </c>
      <c r="E20">
        <v>2300.8205400000002</v>
      </c>
      <c r="F20">
        <v>3169.8244500000001</v>
      </c>
      <c r="G20">
        <v>2547.7838200000001</v>
      </c>
      <c r="H20">
        <v>1922.36258</v>
      </c>
      <c r="I20">
        <v>1778.9434699999999</v>
      </c>
      <c r="J20">
        <v>2287.5326599999999</v>
      </c>
      <c r="K20">
        <v>333.59280000000001</v>
      </c>
      <c r="L20">
        <v>259.67410000000001</v>
      </c>
      <c r="M20">
        <v>196.03998999999999</v>
      </c>
      <c r="N20">
        <v>1455.5153499999999</v>
      </c>
      <c r="U20" s="221" t="s">
        <v>77</v>
      </c>
      <c r="V20">
        <v>3539.0889999999999</v>
      </c>
      <c r="W20">
        <v>4948.5134799999996</v>
      </c>
      <c r="X20">
        <v>4138.7972799999998</v>
      </c>
      <c r="Y20">
        <v>3340.5361499999999</v>
      </c>
      <c r="Z20">
        <v>2705.9216099999999</v>
      </c>
      <c r="AA20">
        <v>3480.8106400000001</v>
      </c>
      <c r="AB20">
        <v>554.77736000000004</v>
      </c>
      <c r="AC20">
        <v>58.479979999999998</v>
      </c>
      <c r="AD20">
        <v>190.37998999999999</v>
      </c>
      <c r="AE20">
        <v>161.41335000000001</v>
      </c>
    </row>
    <row r="21" spans="1:31">
      <c r="A21" t="s">
        <v>71</v>
      </c>
      <c r="B21" s="216" t="str">
        <f t="shared" si="0"/>
        <v>Oct-19</v>
      </c>
      <c r="C21" s="217">
        <v>43739</v>
      </c>
      <c r="D21">
        <v>16282.377850000001</v>
      </c>
      <c r="E21">
        <v>2300.9274399999999</v>
      </c>
      <c r="F21">
        <v>3141.74413</v>
      </c>
      <c r="G21">
        <v>2545.5320200000001</v>
      </c>
      <c r="H21">
        <v>1939.6700599999999</v>
      </c>
      <c r="I21">
        <v>1792.9501299999999</v>
      </c>
      <c r="J21">
        <v>2321.0393199999999</v>
      </c>
      <c r="K21">
        <v>335.04613000000001</v>
      </c>
      <c r="L21">
        <v>259.42343</v>
      </c>
      <c r="M21">
        <v>195.35999000000001</v>
      </c>
      <c r="N21">
        <v>1450.6851999999999</v>
      </c>
      <c r="U21" s="221" t="s">
        <v>78</v>
      </c>
      <c r="V21">
        <v>1097.3615600000001</v>
      </c>
      <c r="W21">
        <v>1385.44435</v>
      </c>
      <c r="X21">
        <v>1398.4534900000001</v>
      </c>
      <c r="Y21">
        <v>1041.20957</v>
      </c>
      <c r="Z21">
        <v>725.20807000000002</v>
      </c>
      <c r="AA21">
        <v>1098.9419</v>
      </c>
      <c r="AB21">
        <v>34.352699999999999</v>
      </c>
      <c r="AC21">
        <v>90.220830000000007</v>
      </c>
      <c r="AD21">
        <v>538.35122000000001</v>
      </c>
      <c r="AE21">
        <v>1</v>
      </c>
    </row>
    <row r="22" spans="1:31">
      <c r="A22" t="s">
        <v>71</v>
      </c>
      <c r="B22" s="216" t="str">
        <f t="shared" si="0"/>
        <v>Nov-19</v>
      </c>
      <c r="C22" s="217">
        <v>43770</v>
      </c>
      <c r="D22">
        <v>16317.052879999997</v>
      </c>
      <c r="E22">
        <v>2320.4061099999999</v>
      </c>
      <c r="F22">
        <v>3154.62</v>
      </c>
      <c r="G22">
        <v>2567.4622100000001</v>
      </c>
      <c r="H22">
        <v>1908.2825800000001</v>
      </c>
      <c r="I22">
        <v>1802.6398999999999</v>
      </c>
      <c r="J22">
        <v>2313.5873499999998</v>
      </c>
      <c r="K22">
        <v>332.51276999999999</v>
      </c>
      <c r="L22">
        <v>265.69009999999997</v>
      </c>
      <c r="M22">
        <v>200.00666000000001</v>
      </c>
      <c r="N22">
        <v>1451.8452</v>
      </c>
      <c r="U22" s="7" t="s">
        <v>80</v>
      </c>
      <c r="V22">
        <v>12320.250609999999</v>
      </c>
      <c r="W22">
        <v>16195.739839999998</v>
      </c>
      <c r="X22">
        <v>13783.43</v>
      </c>
      <c r="Y22">
        <v>11195.627079999998</v>
      </c>
      <c r="Z22">
        <v>9420.6024899999993</v>
      </c>
      <c r="AA22">
        <v>11763.29365</v>
      </c>
      <c r="AB22">
        <v>2012.27604</v>
      </c>
      <c r="AC22">
        <v>2000.8244499999998</v>
      </c>
      <c r="AD22">
        <v>3823.3947200000002</v>
      </c>
      <c r="AE22">
        <v>3858.1998800000001</v>
      </c>
    </row>
    <row r="23" spans="1:31">
      <c r="A23" t="s">
        <v>71</v>
      </c>
      <c r="B23" s="216" t="str">
        <f t="shared" si="0"/>
        <v>Dec-19</v>
      </c>
      <c r="C23" s="217">
        <v>43800</v>
      </c>
      <c r="D23">
        <v>16298.03794</v>
      </c>
      <c r="E23">
        <v>2319.6327700000002</v>
      </c>
      <c r="F23">
        <v>3147.1162399999998</v>
      </c>
      <c r="G23">
        <v>2576.0635699999998</v>
      </c>
      <c r="H23">
        <v>1908.08258</v>
      </c>
      <c r="I23">
        <v>1793.97855</v>
      </c>
      <c r="J23">
        <v>2306.0793699999999</v>
      </c>
      <c r="K23">
        <v>328.97116999999997</v>
      </c>
      <c r="L23">
        <v>269.30344000000002</v>
      </c>
      <c r="M23">
        <v>199.25998999999999</v>
      </c>
      <c r="N23">
        <v>1449.55026</v>
      </c>
      <c r="U23" s="221" t="s">
        <v>71</v>
      </c>
      <c r="V23">
        <v>2677.5408600000001</v>
      </c>
      <c r="W23">
        <v>3474.2434400000002</v>
      </c>
      <c r="X23">
        <v>2838.4</v>
      </c>
      <c r="Y23">
        <v>2130.7957799999999</v>
      </c>
      <c r="Z23">
        <v>2061.51494</v>
      </c>
      <c r="AA23">
        <v>2426.1624999999999</v>
      </c>
      <c r="AB23">
        <v>382.77202</v>
      </c>
      <c r="AC23">
        <v>339.56394</v>
      </c>
      <c r="AD23">
        <v>372.34613000000002</v>
      </c>
      <c r="AE23">
        <v>2009.47127</v>
      </c>
    </row>
    <row r="24" spans="1:31">
      <c r="A24" t="s">
        <v>71</v>
      </c>
      <c r="B24" s="216" t="str">
        <f t="shared" si="0"/>
        <v>Jan-20</v>
      </c>
      <c r="C24" s="217">
        <v>43831</v>
      </c>
      <c r="D24">
        <v>16334.567389999998</v>
      </c>
      <c r="E24">
        <v>2352.6661199999999</v>
      </c>
      <c r="F24">
        <v>3155.3872000000001</v>
      </c>
      <c r="G24">
        <v>2597.3224700000001</v>
      </c>
      <c r="H24">
        <v>1937.36339</v>
      </c>
      <c r="I24">
        <v>1764.3167900000001</v>
      </c>
      <c r="J24">
        <v>2280.65272</v>
      </c>
      <c r="K24">
        <v>333.10021</v>
      </c>
      <c r="L24">
        <v>267.46343999999999</v>
      </c>
      <c r="M24">
        <v>198.99332000000001</v>
      </c>
      <c r="N24">
        <v>1447.3017299999965</v>
      </c>
      <c r="U24" s="221" t="s">
        <v>69</v>
      </c>
      <c r="V24">
        <v>778.69604000000004</v>
      </c>
      <c r="W24">
        <v>1057.1498899999999</v>
      </c>
      <c r="X24">
        <v>936.04</v>
      </c>
      <c r="Y24">
        <v>713.29145000000005</v>
      </c>
      <c r="Z24">
        <v>627.98758999999995</v>
      </c>
      <c r="AA24">
        <v>798.47320000000002</v>
      </c>
      <c r="AB24">
        <v>134.86562000000001</v>
      </c>
      <c r="AC24">
        <v>64.054140000000004</v>
      </c>
      <c r="AD24">
        <v>123.84224</v>
      </c>
      <c r="AE24">
        <v>1028.5395599999999</v>
      </c>
    </row>
    <row r="25" spans="1:31">
      <c r="A25" t="s">
        <v>71</v>
      </c>
      <c r="B25" s="216" t="str">
        <f t="shared" si="0"/>
        <v>Feb-20</v>
      </c>
      <c r="C25" s="217">
        <v>43862</v>
      </c>
      <c r="D25">
        <v>16549.252569999997</v>
      </c>
      <c r="E25">
        <v>2394.8143700000001</v>
      </c>
      <c r="F25">
        <v>3177.4580999999998</v>
      </c>
      <c r="G25">
        <v>2607.6821799999998</v>
      </c>
      <c r="H25">
        <v>1948.27594</v>
      </c>
      <c r="I25">
        <v>1815.7968000000001</v>
      </c>
      <c r="J25">
        <v>2289.3312799999999</v>
      </c>
      <c r="K25">
        <v>332.54021</v>
      </c>
      <c r="L25">
        <v>266.90343999999999</v>
      </c>
      <c r="M25">
        <v>204.29998000000001</v>
      </c>
      <c r="N25">
        <v>1512.1502700000001</v>
      </c>
      <c r="U25" s="221" t="s">
        <v>72</v>
      </c>
      <c r="V25">
        <v>222.70221000000001</v>
      </c>
      <c r="W25">
        <v>260.50081</v>
      </c>
      <c r="X25">
        <v>488.04</v>
      </c>
      <c r="Y25">
        <v>208.29759999999999</v>
      </c>
      <c r="Z25">
        <v>181.6662</v>
      </c>
      <c r="AA25">
        <v>306.78944999999999</v>
      </c>
      <c r="AB25">
        <v>5</v>
      </c>
      <c r="AC25">
        <v>352.82292000000001</v>
      </c>
      <c r="AD25">
        <v>142.55332999999999</v>
      </c>
      <c r="AE25">
        <v>0</v>
      </c>
    </row>
    <row r="26" spans="1:31">
      <c r="A26" t="s">
        <v>71</v>
      </c>
      <c r="B26" s="216" t="str">
        <f t="shared" si="0"/>
        <v>Mar-20</v>
      </c>
      <c r="C26" s="217">
        <v>43891</v>
      </c>
      <c r="D26">
        <v>16641.029740000002</v>
      </c>
      <c r="E26">
        <v>2421.42767</v>
      </c>
      <c r="F26">
        <v>3205.8655699999999</v>
      </c>
      <c r="G26">
        <v>2605.16192</v>
      </c>
      <c r="H26">
        <v>1953.4092599999999</v>
      </c>
      <c r="I26">
        <v>1853.8169399999999</v>
      </c>
      <c r="J26">
        <v>2288.5712800000001</v>
      </c>
      <c r="K26">
        <v>328.27355</v>
      </c>
      <c r="L26">
        <v>264.14344</v>
      </c>
      <c r="M26">
        <v>203.21997999999999</v>
      </c>
      <c r="N26">
        <v>1517.14013</v>
      </c>
      <c r="U26" s="221" t="s">
        <v>73</v>
      </c>
      <c r="V26">
        <v>1</v>
      </c>
      <c r="W26">
        <v>17.5</v>
      </c>
      <c r="X26">
        <v>28.18</v>
      </c>
      <c r="Y26">
        <v>42.8</v>
      </c>
      <c r="Z26">
        <v>1</v>
      </c>
      <c r="AA26">
        <v>1</v>
      </c>
      <c r="AB26">
        <v>0</v>
      </c>
      <c r="AC26">
        <v>0</v>
      </c>
      <c r="AD26">
        <v>3.0666500000000001</v>
      </c>
      <c r="AE26">
        <v>0</v>
      </c>
    </row>
    <row r="27" spans="1:31">
      <c r="A27" t="s">
        <v>71</v>
      </c>
      <c r="B27" s="216" t="str">
        <f t="shared" si="0"/>
        <v>Apr-20</v>
      </c>
      <c r="C27" s="217">
        <v>43922</v>
      </c>
      <c r="D27">
        <v>17162.906209999997</v>
      </c>
      <c r="E27">
        <v>2677.2943399999999</v>
      </c>
      <c r="F27">
        <v>3282.1989400000002</v>
      </c>
      <c r="G27">
        <v>2586.4971599999999</v>
      </c>
      <c r="H27">
        <v>1918.83753</v>
      </c>
      <c r="I27">
        <v>2027.14555</v>
      </c>
      <c r="J27">
        <v>2312.2215900000001</v>
      </c>
      <c r="K27">
        <v>335.70278999999999</v>
      </c>
      <c r="L27">
        <v>263.43677000000002</v>
      </c>
      <c r="M27">
        <v>204.00665000000001</v>
      </c>
      <c r="N27">
        <v>1555.5648900000001</v>
      </c>
      <c r="U27" s="221" t="s">
        <v>74</v>
      </c>
      <c r="V27">
        <v>427.92302000000001</v>
      </c>
      <c r="W27">
        <v>632.32209</v>
      </c>
      <c r="X27">
        <v>734.12</v>
      </c>
      <c r="Y27">
        <v>336.44414</v>
      </c>
      <c r="Z27">
        <v>306.48604</v>
      </c>
      <c r="AA27">
        <v>391.94400000000002</v>
      </c>
      <c r="AB27">
        <v>74.058660000000003</v>
      </c>
      <c r="AC27">
        <v>9.5</v>
      </c>
      <c r="AD27">
        <v>67.19999</v>
      </c>
      <c r="AE27">
        <v>2</v>
      </c>
    </row>
    <row r="28" spans="1:31">
      <c r="A28" t="s">
        <v>72</v>
      </c>
      <c r="B28" s="216" t="str">
        <f t="shared" si="0"/>
        <v>Apr-19</v>
      </c>
      <c r="C28" s="217">
        <v>43556</v>
      </c>
      <c r="D28">
        <v>1976.0221699999997</v>
      </c>
      <c r="E28">
        <v>219.18887000000001</v>
      </c>
      <c r="F28">
        <v>280.4803</v>
      </c>
      <c r="G28">
        <v>456.86613999999997</v>
      </c>
      <c r="H28">
        <v>185.25094000000001</v>
      </c>
      <c r="I28">
        <v>176.1662</v>
      </c>
      <c r="J28">
        <v>294.49079999999998</v>
      </c>
      <c r="K28">
        <v>3.1295999999999999</v>
      </c>
      <c r="L28">
        <v>220.84932000000001</v>
      </c>
      <c r="M28">
        <v>139.6</v>
      </c>
      <c r="N28">
        <v>0</v>
      </c>
      <c r="U28" s="221" t="s">
        <v>75</v>
      </c>
      <c r="V28">
        <v>2459.6824499999998</v>
      </c>
      <c r="W28">
        <v>3132.2922699999999</v>
      </c>
      <c r="X28">
        <v>2333.87</v>
      </c>
      <c r="Y28">
        <v>2205.9785299999999</v>
      </c>
      <c r="Z28">
        <v>1865.7649799999999</v>
      </c>
      <c r="AA28">
        <v>2264.24728</v>
      </c>
      <c r="AB28">
        <v>643.18589999999995</v>
      </c>
      <c r="AC28">
        <v>1061.9667999999999</v>
      </c>
      <c r="AD28">
        <v>1910.1857500000001</v>
      </c>
      <c r="AE28">
        <v>555.63570000000004</v>
      </c>
    </row>
    <row r="29" spans="1:31">
      <c r="A29" t="s">
        <v>72</v>
      </c>
      <c r="B29" s="216" t="str">
        <f t="shared" si="0"/>
        <v>May-19</v>
      </c>
      <c r="C29" s="217">
        <v>43586</v>
      </c>
      <c r="D29">
        <v>1970.3488299999999</v>
      </c>
      <c r="E29">
        <v>221.18887000000001</v>
      </c>
      <c r="F29">
        <v>281.44029999999998</v>
      </c>
      <c r="G29">
        <v>454.65280000000001</v>
      </c>
      <c r="H29">
        <v>185.99761000000001</v>
      </c>
      <c r="I29">
        <v>174.7662</v>
      </c>
      <c r="J29">
        <v>295.09079000000003</v>
      </c>
      <c r="K29">
        <v>3.1295999999999999</v>
      </c>
      <c r="L29">
        <v>216.82266000000001</v>
      </c>
      <c r="M29">
        <v>137.26</v>
      </c>
      <c r="N29">
        <v>0</v>
      </c>
      <c r="U29" s="221" t="s">
        <v>76</v>
      </c>
      <c r="V29">
        <v>986.51922999999999</v>
      </c>
      <c r="W29">
        <v>1249.3198500000001</v>
      </c>
      <c r="X29">
        <v>1152.51</v>
      </c>
      <c r="Y29">
        <v>1114.8645799999999</v>
      </c>
      <c r="Z29">
        <v>948.20974999999999</v>
      </c>
      <c r="AA29">
        <v>1028.61193</v>
      </c>
      <c r="AB29">
        <v>168.56668999999999</v>
      </c>
      <c r="AC29">
        <v>0.66666999999999998</v>
      </c>
      <c r="AD29">
        <v>369.05196999999998</v>
      </c>
      <c r="AE29">
        <v>63.253340000000001</v>
      </c>
    </row>
    <row r="30" spans="1:31">
      <c r="A30" t="s">
        <v>72</v>
      </c>
      <c r="B30" s="216" t="str">
        <f t="shared" si="0"/>
        <v>Jun-19</v>
      </c>
      <c r="C30" s="217">
        <v>43617</v>
      </c>
      <c r="D30">
        <v>1971.6488299999999</v>
      </c>
      <c r="E30">
        <v>220.40219999999999</v>
      </c>
      <c r="F30">
        <v>278.22696999999999</v>
      </c>
      <c r="G30">
        <v>457.60613000000001</v>
      </c>
      <c r="H30">
        <v>186.64428000000001</v>
      </c>
      <c r="I30">
        <v>175.6662</v>
      </c>
      <c r="J30">
        <v>297.29079000000002</v>
      </c>
      <c r="K30">
        <v>2.7296</v>
      </c>
      <c r="L30">
        <v>215.82266000000001</v>
      </c>
      <c r="M30">
        <v>137.26</v>
      </c>
      <c r="N30">
        <v>0</v>
      </c>
      <c r="U30" s="221" t="s">
        <v>77</v>
      </c>
      <c r="V30">
        <v>3815.9649599999998</v>
      </c>
      <c r="W30">
        <v>5126.5667000000003</v>
      </c>
      <c r="X30">
        <v>4063.69</v>
      </c>
      <c r="Y30">
        <v>3539.6231699999998</v>
      </c>
      <c r="Z30">
        <v>2785.91687</v>
      </c>
      <c r="AA30">
        <v>3604.6624099999999</v>
      </c>
      <c r="AB30">
        <v>571.18481999999995</v>
      </c>
      <c r="AC30">
        <v>73.399979999999999</v>
      </c>
      <c r="AD30">
        <v>200.48666</v>
      </c>
      <c r="AE30">
        <v>198.30000999999999</v>
      </c>
    </row>
    <row r="31" spans="1:31">
      <c r="A31" t="s">
        <v>72</v>
      </c>
      <c r="B31" s="216" t="str">
        <f t="shared" si="0"/>
        <v>Jul-19</v>
      </c>
      <c r="C31" s="217">
        <v>43647</v>
      </c>
      <c r="D31">
        <v>1957.1393599999999</v>
      </c>
      <c r="E31">
        <v>224.78887</v>
      </c>
      <c r="F31">
        <v>245.82804999999999</v>
      </c>
      <c r="G31">
        <v>462.93946</v>
      </c>
      <c r="H31">
        <v>189.28</v>
      </c>
      <c r="I31">
        <v>176.11953</v>
      </c>
      <c r="J31">
        <v>295.27746000000002</v>
      </c>
      <c r="K31">
        <v>2.73</v>
      </c>
      <c r="L31">
        <v>222.22265999999999</v>
      </c>
      <c r="M31">
        <v>137.95332999999999</v>
      </c>
      <c r="N31">
        <v>0</v>
      </c>
      <c r="U31" s="221" t="s">
        <v>78</v>
      </c>
      <c r="V31">
        <v>950.22184000000004</v>
      </c>
      <c r="W31">
        <v>1245.8447900000001</v>
      </c>
      <c r="X31">
        <v>1208.58</v>
      </c>
      <c r="Y31">
        <v>903.53183000000001</v>
      </c>
      <c r="Z31">
        <v>642.05611999999996</v>
      </c>
      <c r="AA31">
        <v>941.40287999999998</v>
      </c>
      <c r="AB31">
        <v>32.642330000000001</v>
      </c>
      <c r="AC31">
        <v>98.85</v>
      </c>
      <c r="AD31">
        <v>634.66200000000003</v>
      </c>
      <c r="AE31">
        <v>1</v>
      </c>
    </row>
    <row r="32" spans="1:31">
      <c r="A32" t="s">
        <v>72</v>
      </c>
      <c r="B32" s="216" t="str">
        <f t="shared" si="0"/>
        <v>Aug-19</v>
      </c>
      <c r="C32" s="217">
        <v>43678</v>
      </c>
      <c r="D32">
        <v>1967.6365699999999</v>
      </c>
      <c r="E32">
        <v>223.42886999999999</v>
      </c>
      <c r="F32">
        <v>247.50138000000001</v>
      </c>
      <c r="G32">
        <v>466.12612999999999</v>
      </c>
      <c r="H32">
        <v>191.88427999999999</v>
      </c>
      <c r="I32">
        <v>175.79953</v>
      </c>
      <c r="J32">
        <v>294.81079</v>
      </c>
      <c r="K32">
        <v>2.7296</v>
      </c>
      <c r="L32">
        <v>229.10265999999999</v>
      </c>
      <c r="M32">
        <v>136.25333000000001</v>
      </c>
      <c r="N32">
        <v>0</v>
      </c>
      <c r="U32" s="7" t="s">
        <v>81</v>
      </c>
      <c r="V32">
        <v>12199.864970000001</v>
      </c>
      <c r="W32">
        <v>16700.555949999998</v>
      </c>
      <c r="X32">
        <v>13998.114820000001</v>
      </c>
      <c r="Y32">
        <v>11006.943160000001</v>
      </c>
      <c r="Z32">
        <v>9601.5529800000004</v>
      </c>
      <c r="AA32">
        <v>11705.22565</v>
      </c>
      <c r="AB32">
        <v>2027.89004</v>
      </c>
      <c r="AC32">
        <v>2115.2189800000001</v>
      </c>
      <c r="AD32">
        <v>1424.72534</v>
      </c>
      <c r="AE32">
        <v>4026.64032</v>
      </c>
    </row>
    <row r="33" spans="1:34">
      <c r="A33" t="s">
        <v>72</v>
      </c>
      <c r="B33" s="216" t="str">
        <f t="shared" si="0"/>
        <v>Sep-19</v>
      </c>
      <c r="C33" s="217">
        <v>43709</v>
      </c>
      <c r="D33">
        <v>1974.5464499999998</v>
      </c>
      <c r="E33">
        <v>222.52221</v>
      </c>
      <c r="F33">
        <v>248.68805</v>
      </c>
      <c r="G33">
        <v>469.93599999999998</v>
      </c>
      <c r="H33">
        <v>196.64428000000001</v>
      </c>
      <c r="I33">
        <v>176.79953</v>
      </c>
      <c r="J33">
        <v>295.77078999999998</v>
      </c>
      <c r="K33">
        <v>2.7296</v>
      </c>
      <c r="L33">
        <v>226.10265999999999</v>
      </c>
      <c r="M33">
        <v>135.35333</v>
      </c>
      <c r="N33">
        <v>0</v>
      </c>
      <c r="U33" s="221" t="s">
        <v>71</v>
      </c>
      <c r="V33">
        <v>2631.7542800000001</v>
      </c>
      <c r="W33">
        <v>3562.0550499999999</v>
      </c>
      <c r="X33">
        <v>2837.9277999999999</v>
      </c>
      <c r="Y33">
        <v>2072.2885999999999</v>
      </c>
      <c r="Z33">
        <v>2126.8298300000001</v>
      </c>
      <c r="AA33">
        <v>2469.69425</v>
      </c>
      <c r="AB33">
        <v>391.69628</v>
      </c>
      <c r="AC33">
        <v>335.73408000000001</v>
      </c>
      <c r="AD33">
        <v>229.27977000000001</v>
      </c>
      <c r="AE33">
        <v>2104.9065300000002</v>
      </c>
    </row>
    <row r="34" spans="1:34">
      <c r="A34" t="s">
        <v>72</v>
      </c>
      <c r="B34" s="216" t="str">
        <f t="shared" si="0"/>
        <v>Oct-19</v>
      </c>
      <c r="C34" s="217">
        <v>43739</v>
      </c>
      <c r="D34">
        <v>1988.78107</v>
      </c>
      <c r="E34">
        <v>225.92221000000001</v>
      </c>
      <c r="F34">
        <v>247.78801999999999</v>
      </c>
      <c r="G34">
        <v>472.53359</v>
      </c>
      <c r="H34">
        <v>196.25761</v>
      </c>
      <c r="I34">
        <v>178.14619999999999</v>
      </c>
      <c r="J34">
        <v>298.87745000000001</v>
      </c>
      <c r="K34">
        <v>2</v>
      </c>
      <c r="L34">
        <v>233.10265999999999</v>
      </c>
      <c r="M34">
        <v>134.15333000000001</v>
      </c>
      <c r="N34">
        <v>0</v>
      </c>
      <c r="U34" s="221" t="s">
        <v>69</v>
      </c>
      <c r="V34">
        <v>795.38484000000005</v>
      </c>
      <c r="W34">
        <v>1100.9227100000001</v>
      </c>
      <c r="X34">
        <v>1334.1693299999999</v>
      </c>
      <c r="Y34">
        <v>714.28611000000001</v>
      </c>
      <c r="Z34">
        <v>656.44289000000003</v>
      </c>
      <c r="AA34">
        <v>869.28335000000004</v>
      </c>
      <c r="AB34">
        <v>129.09575000000001</v>
      </c>
      <c r="AC34">
        <v>66.644260000000003</v>
      </c>
      <c r="AD34">
        <v>139.3981</v>
      </c>
      <c r="AE34">
        <v>1071.7074500000001</v>
      </c>
    </row>
    <row r="35" spans="1:34">
      <c r="A35" t="s">
        <v>72</v>
      </c>
      <c r="B35" s="216" t="str">
        <f t="shared" si="0"/>
        <v>Nov-19</v>
      </c>
      <c r="C35" s="217">
        <v>43770</v>
      </c>
      <c r="D35">
        <v>1992.7210699999998</v>
      </c>
      <c r="E35">
        <v>225.52887999999999</v>
      </c>
      <c r="F35">
        <v>247.58802</v>
      </c>
      <c r="G35">
        <v>479.37358</v>
      </c>
      <c r="H35">
        <v>189.28428</v>
      </c>
      <c r="I35">
        <v>181.14619999999999</v>
      </c>
      <c r="J35">
        <v>301.87745000000001</v>
      </c>
      <c r="K35">
        <v>2</v>
      </c>
      <c r="L35">
        <v>233.70266000000001</v>
      </c>
      <c r="M35">
        <v>132.22</v>
      </c>
      <c r="N35">
        <v>0</v>
      </c>
      <c r="U35" s="221" t="s">
        <v>72</v>
      </c>
      <c r="V35">
        <v>230.23553000000001</v>
      </c>
      <c r="W35">
        <v>262.06373000000002</v>
      </c>
      <c r="X35">
        <v>537.55974000000003</v>
      </c>
      <c r="Y35">
        <v>191.57492999999999</v>
      </c>
      <c r="Z35">
        <v>194.65528</v>
      </c>
      <c r="AA35">
        <v>318.16278999999997</v>
      </c>
      <c r="AB35">
        <v>4.6133300000000004</v>
      </c>
      <c r="AC35">
        <v>373.17345999999998</v>
      </c>
      <c r="AD35">
        <v>156.62665999999999</v>
      </c>
      <c r="AE35">
        <v>0</v>
      </c>
    </row>
    <row r="36" spans="1:34">
      <c r="A36" t="s">
        <v>72</v>
      </c>
      <c r="B36" s="216" t="str">
        <f t="shared" si="0"/>
        <v>Dec-19</v>
      </c>
      <c r="C36" s="217">
        <v>43800</v>
      </c>
      <c r="D36">
        <v>1989.4477200000001</v>
      </c>
      <c r="E36">
        <v>226.16888</v>
      </c>
      <c r="F36">
        <v>246.97468000000001</v>
      </c>
      <c r="G36">
        <v>479.54025000000001</v>
      </c>
      <c r="H36">
        <v>189.28428</v>
      </c>
      <c r="I36">
        <v>177.5462</v>
      </c>
      <c r="J36">
        <v>300.95744000000002</v>
      </c>
      <c r="K36">
        <v>2</v>
      </c>
      <c r="L36">
        <v>233.75599</v>
      </c>
      <c r="M36">
        <v>133.22</v>
      </c>
      <c r="N36">
        <v>0</v>
      </c>
      <c r="U36" s="221" t="s">
        <v>73</v>
      </c>
      <c r="V36">
        <v>11.5</v>
      </c>
      <c r="W36">
        <v>44.9</v>
      </c>
      <c r="X36">
        <v>39.566650000000003</v>
      </c>
      <c r="Y36">
        <v>15.533340000000001</v>
      </c>
      <c r="Z36">
        <v>1</v>
      </c>
      <c r="AA36">
        <v>0</v>
      </c>
      <c r="AB36">
        <v>0</v>
      </c>
      <c r="AC36">
        <v>0</v>
      </c>
      <c r="AD36">
        <v>3.0666500000000001</v>
      </c>
      <c r="AE36">
        <v>0</v>
      </c>
    </row>
    <row r="37" spans="1:34">
      <c r="A37" t="s">
        <v>72</v>
      </c>
      <c r="B37" s="216" t="str">
        <f t="shared" si="0"/>
        <v>Jan-20</v>
      </c>
      <c r="C37" s="217">
        <v>43831</v>
      </c>
      <c r="D37">
        <v>1998.2877100000003</v>
      </c>
      <c r="E37">
        <v>227.04888</v>
      </c>
      <c r="F37">
        <v>247.14134000000001</v>
      </c>
      <c r="G37">
        <v>486.06025</v>
      </c>
      <c r="H37">
        <v>194.15761000000001</v>
      </c>
      <c r="I37">
        <v>176.34620000000001</v>
      </c>
      <c r="J37">
        <v>299.85744</v>
      </c>
      <c r="K37">
        <v>2</v>
      </c>
      <c r="L37">
        <v>233.55599000000001</v>
      </c>
      <c r="M37">
        <v>132.12</v>
      </c>
      <c r="N37">
        <v>0</v>
      </c>
      <c r="U37" s="221" t="s">
        <v>74</v>
      </c>
      <c r="V37">
        <v>456.56975</v>
      </c>
      <c r="W37">
        <v>672.88234</v>
      </c>
      <c r="X37">
        <v>479.07377000000002</v>
      </c>
      <c r="Y37">
        <v>341.80412999999999</v>
      </c>
      <c r="Z37">
        <v>334.47892999999999</v>
      </c>
      <c r="AA37">
        <v>358.83386000000002</v>
      </c>
      <c r="AB37">
        <v>71.574669999999998</v>
      </c>
      <c r="AC37">
        <v>10</v>
      </c>
      <c r="AD37">
        <v>49.206659999999999</v>
      </c>
      <c r="AE37">
        <v>3</v>
      </c>
    </row>
    <row r="38" spans="1:34">
      <c r="A38" t="s">
        <v>72</v>
      </c>
      <c r="B38" s="216" t="str">
        <f t="shared" si="0"/>
        <v>Feb-20</v>
      </c>
      <c r="C38" s="217">
        <v>43862</v>
      </c>
      <c r="D38">
        <v>2010.5525200000002</v>
      </c>
      <c r="E38">
        <v>228.67554999999999</v>
      </c>
      <c r="F38">
        <v>252.69414</v>
      </c>
      <c r="G38">
        <v>481.84559000000002</v>
      </c>
      <c r="H38">
        <v>195.85760999999999</v>
      </c>
      <c r="I38">
        <v>178.34620000000001</v>
      </c>
      <c r="J38">
        <v>299.65744000000001</v>
      </c>
      <c r="K38">
        <v>2</v>
      </c>
      <c r="L38">
        <v>238.35598999999999</v>
      </c>
      <c r="M38">
        <v>133.12</v>
      </c>
      <c r="N38">
        <v>0</v>
      </c>
      <c r="U38" s="221" t="s">
        <v>75</v>
      </c>
      <c r="V38">
        <v>2627.4830299999999</v>
      </c>
      <c r="W38">
        <v>3364.6540100000002</v>
      </c>
      <c r="X38">
        <v>2539.9924000000001</v>
      </c>
      <c r="Y38">
        <v>2251.6711500000001</v>
      </c>
      <c r="Z38">
        <v>2002.3679299999999</v>
      </c>
      <c r="AA38">
        <v>2365.3723300000001</v>
      </c>
      <c r="AB38">
        <v>663.75171</v>
      </c>
      <c r="AC38">
        <v>1144.2353700000001</v>
      </c>
      <c r="AD38">
        <v>508.18531999999999</v>
      </c>
      <c r="AE38">
        <v>585.14233999999999</v>
      </c>
    </row>
    <row r="39" spans="1:34">
      <c r="A39" t="s">
        <v>72</v>
      </c>
      <c r="B39" s="216" t="str">
        <f t="shared" si="0"/>
        <v>Mar-20</v>
      </c>
      <c r="C39" s="217">
        <v>43891</v>
      </c>
      <c r="D39">
        <v>2017.1658599999998</v>
      </c>
      <c r="E39">
        <v>225.94220999999999</v>
      </c>
      <c r="F39">
        <v>255.30748</v>
      </c>
      <c r="G39">
        <v>486.80559</v>
      </c>
      <c r="H39">
        <v>197.00427999999999</v>
      </c>
      <c r="I39">
        <v>178.77287000000001</v>
      </c>
      <c r="J39">
        <v>299.85744</v>
      </c>
      <c r="K39">
        <v>2</v>
      </c>
      <c r="L39">
        <v>237.87599</v>
      </c>
      <c r="M39">
        <v>133.6</v>
      </c>
      <c r="N39">
        <v>0</v>
      </c>
      <c r="U39" s="221" t="s">
        <v>76</v>
      </c>
      <c r="V39">
        <v>984.29971999999998</v>
      </c>
      <c r="W39">
        <v>1298.62003</v>
      </c>
      <c r="X39">
        <v>1144.5688399999999</v>
      </c>
      <c r="Y39">
        <v>1090.0883799999999</v>
      </c>
      <c r="Z39">
        <v>867.79376000000002</v>
      </c>
      <c r="AA39">
        <v>994.58475999999996</v>
      </c>
      <c r="AB39">
        <v>180.98671999999999</v>
      </c>
      <c r="AC39">
        <v>0.66666999999999998</v>
      </c>
      <c r="AD39">
        <v>55.923690000000001</v>
      </c>
      <c r="AE39">
        <v>59.213320000000003</v>
      </c>
    </row>
    <row r="40" spans="1:34">
      <c r="A40" t="s">
        <v>72</v>
      </c>
      <c r="B40" s="216" t="str">
        <f t="shared" si="0"/>
        <v>Apr-20</v>
      </c>
      <c r="C40" s="217">
        <v>43922</v>
      </c>
      <c r="D40">
        <v>2006.8258600000001</v>
      </c>
      <c r="E40">
        <v>223.34888000000001</v>
      </c>
      <c r="F40">
        <v>251.40747999999999</v>
      </c>
      <c r="G40">
        <v>483.68558999999999</v>
      </c>
      <c r="H40">
        <v>198.19094999999999</v>
      </c>
      <c r="I40">
        <v>177.03287</v>
      </c>
      <c r="J40">
        <v>297.03077000000002</v>
      </c>
      <c r="K40">
        <v>2</v>
      </c>
      <c r="L40">
        <v>239.47599</v>
      </c>
      <c r="M40">
        <v>134.65333000000001</v>
      </c>
      <c r="N40">
        <v>0</v>
      </c>
      <c r="U40" s="221" t="s">
        <v>77</v>
      </c>
      <c r="V40">
        <v>3715.9892199999999</v>
      </c>
      <c r="W40">
        <v>5260.36895</v>
      </c>
      <c r="X40">
        <v>4136.8591900000001</v>
      </c>
      <c r="Y40">
        <v>3571.9133400000001</v>
      </c>
      <c r="Z40">
        <v>2814.9823500000002</v>
      </c>
      <c r="AA40">
        <v>3542.4237499999999</v>
      </c>
      <c r="AB40">
        <v>557.63813000000005</v>
      </c>
      <c r="AC40">
        <v>85.233320000000006</v>
      </c>
      <c r="AD40">
        <v>210.98667</v>
      </c>
      <c r="AE40">
        <v>202.16400999999999</v>
      </c>
    </row>
    <row r="41" spans="1:34">
      <c r="A41" t="s">
        <v>74</v>
      </c>
      <c r="B41" s="216" t="str">
        <f t="shared" si="0"/>
        <v>Apr-19</v>
      </c>
      <c r="C41" s="217">
        <v>43556</v>
      </c>
      <c r="D41">
        <v>2939.13058</v>
      </c>
      <c r="E41">
        <v>407.01737000000003</v>
      </c>
      <c r="F41">
        <v>738.23014000000001</v>
      </c>
      <c r="G41">
        <v>665.17831999999999</v>
      </c>
      <c r="H41">
        <v>354.52704</v>
      </c>
      <c r="I41">
        <v>315.13986</v>
      </c>
      <c r="J41">
        <v>342.44292000000002</v>
      </c>
      <c r="K41">
        <v>54.568269999999998</v>
      </c>
      <c r="L41">
        <v>5.5</v>
      </c>
      <c r="M41">
        <v>56.52666</v>
      </c>
      <c r="N41">
        <v>0</v>
      </c>
      <c r="U41" s="221" t="s">
        <v>78</v>
      </c>
      <c r="V41">
        <v>746.64859999999999</v>
      </c>
      <c r="W41">
        <v>1134.0891300000001</v>
      </c>
      <c r="X41">
        <v>948.39710000000002</v>
      </c>
      <c r="Y41">
        <v>757.78318000000002</v>
      </c>
      <c r="Z41">
        <v>603.00201000000004</v>
      </c>
      <c r="AA41">
        <v>786.87055999999995</v>
      </c>
      <c r="AB41">
        <v>28.533449999999998</v>
      </c>
      <c r="AC41">
        <v>99.531819999999996</v>
      </c>
      <c r="AD41">
        <v>72.051820000000006</v>
      </c>
      <c r="AE41">
        <v>0.50666999999999995</v>
      </c>
    </row>
    <row r="42" spans="1:34">
      <c r="A42" t="s">
        <v>74</v>
      </c>
      <c r="B42" s="216" t="str">
        <f t="shared" si="0"/>
        <v>May-19</v>
      </c>
      <c r="C42" s="217">
        <v>43586</v>
      </c>
      <c r="D42">
        <v>2942.6905699999998</v>
      </c>
      <c r="E42">
        <v>410.15069999999997</v>
      </c>
      <c r="F42">
        <v>733.45681000000002</v>
      </c>
      <c r="G42">
        <v>667.37165000000005</v>
      </c>
      <c r="H42">
        <v>348.72037</v>
      </c>
      <c r="I42">
        <v>315.13986</v>
      </c>
      <c r="J42">
        <v>351.91624999999999</v>
      </c>
      <c r="K42">
        <v>53.908270000000002</v>
      </c>
      <c r="L42">
        <v>6.5</v>
      </c>
      <c r="M42">
        <v>55.52666</v>
      </c>
      <c r="N42">
        <v>0</v>
      </c>
      <c r="U42" s="7" t="s">
        <v>82</v>
      </c>
      <c r="V42">
        <v>12665.430200000001</v>
      </c>
      <c r="W42">
        <v>17641.42037</v>
      </c>
      <c r="X42">
        <v>14504.701060000001</v>
      </c>
      <c r="Y42">
        <v>11067.761230000002</v>
      </c>
      <c r="Z42">
        <v>10119.40617</v>
      </c>
      <c r="AA42">
        <v>12086.76168</v>
      </c>
      <c r="AB42">
        <v>1997.4337500000001</v>
      </c>
      <c r="AC42">
        <v>2125.6054500000005</v>
      </c>
      <c r="AD42">
        <v>1468.8533499999999</v>
      </c>
      <c r="AE42">
        <v>4081.4783900000002</v>
      </c>
      <c r="AF42">
        <v>405.37999999999994</v>
      </c>
      <c r="AG42">
        <v>1106.02368</v>
      </c>
      <c r="AH42">
        <v>5139.8148199999996</v>
      </c>
    </row>
    <row r="43" spans="1:34">
      <c r="A43" t="s">
        <v>74</v>
      </c>
      <c r="B43" s="216" t="str">
        <f t="shared" si="0"/>
        <v>Jun-19</v>
      </c>
      <c r="C43" s="217">
        <v>43617</v>
      </c>
      <c r="D43">
        <v>2944.5334300000004</v>
      </c>
      <c r="E43">
        <v>408.96275000000003</v>
      </c>
      <c r="F43">
        <v>737.76347999999996</v>
      </c>
      <c r="G43">
        <v>672.01577999999995</v>
      </c>
      <c r="H43">
        <v>347.14037000000002</v>
      </c>
      <c r="I43">
        <v>311.77985999999999</v>
      </c>
      <c r="J43">
        <v>351.71625999999998</v>
      </c>
      <c r="K43">
        <v>55.208269999999999</v>
      </c>
      <c r="L43">
        <v>6.5</v>
      </c>
      <c r="M43">
        <v>53.446660000000001</v>
      </c>
      <c r="N43">
        <v>0</v>
      </c>
      <c r="U43" s="221" t="s">
        <v>71</v>
      </c>
      <c r="V43">
        <v>2820.21783</v>
      </c>
      <c r="W43">
        <v>3928.0421700000002</v>
      </c>
      <c r="X43">
        <v>2882.3360600000001</v>
      </c>
      <c r="Y43">
        <v>2083.1090600000002</v>
      </c>
      <c r="Z43">
        <v>2243.9219400000002</v>
      </c>
      <c r="AA43">
        <v>2558.0833699999998</v>
      </c>
      <c r="AB43">
        <v>394.84535</v>
      </c>
      <c r="AC43">
        <v>308.26211000000001</v>
      </c>
      <c r="AD43">
        <v>235.73311000000001</v>
      </c>
      <c r="AE43">
        <v>2095.60725</v>
      </c>
      <c r="AF43">
        <v>1</v>
      </c>
      <c r="AG43">
        <v>0</v>
      </c>
      <c r="AH43">
        <v>122.7</v>
      </c>
    </row>
    <row r="44" spans="1:34">
      <c r="A44" t="s">
        <v>74</v>
      </c>
      <c r="B44" s="216" t="str">
        <f t="shared" si="0"/>
        <v>Jul-19</v>
      </c>
      <c r="C44" s="217">
        <v>43647</v>
      </c>
      <c r="D44">
        <v>2946.2217300000002</v>
      </c>
      <c r="E44">
        <v>410.76729</v>
      </c>
      <c r="F44">
        <v>729.49014999999997</v>
      </c>
      <c r="G44">
        <v>672.02377999999999</v>
      </c>
      <c r="H44">
        <v>348.66</v>
      </c>
      <c r="I44">
        <v>318.67426</v>
      </c>
      <c r="J44">
        <v>350.00959</v>
      </c>
      <c r="K44">
        <v>57.65</v>
      </c>
      <c r="L44">
        <v>6.5</v>
      </c>
      <c r="M44">
        <v>52.446660000000001</v>
      </c>
      <c r="N44">
        <v>0</v>
      </c>
      <c r="U44" s="221" t="s">
        <v>69</v>
      </c>
      <c r="V44">
        <v>806.58615999999995</v>
      </c>
      <c r="W44">
        <v>1172.7517</v>
      </c>
      <c r="X44">
        <v>1402.4258299999999</v>
      </c>
      <c r="Y44">
        <v>732.22131000000002</v>
      </c>
      <c r="Z44">
        <v>682.11680000000001</v>
      </c>
      <c r="AA44">
        <v>899.24602000000004</v>
      </c>
      <c r="AB44">
        <v>137.74960999999999</v>
      </c>
      <c r="AC44">
        <v>67.851730000000003</v>
      </c>
      <c r="AD44">
        <v>138.84252000000001</v>
      </c>
      <c r="AE44">
        <v>1094.3482300000001</v>
      </c>
      <c r="AF44">
        <v>6</v>
      </c>
      <c r="AG44">
        <v>0</v>
      </c>
      <c r="AH44">
        <v>0.6</v>
      </c>
    </row>
    <row r="45" spans="1:34">
      <c r="A45" t="s">
        <v>74</v>
      </c>
      <c r="B45" s="216" t="str">
        <f t="shared" si="0"/>
        <v>Aug-19</v>
      </c>
      <c r="C45" s="217">
        <v>43678</v>
      </c>
      <c r="D45">
        <v>2970.2551400000002</v>
      </c>
      <c r="E45">
        <v>393.65469000000002</v>
      </c>
      <c r="F45">
        <v>737.99014999999997</v>
      </c>
      <c r="G45">
        <v>675.48126000000002</v>
      </c>
      <c r="H45">
        <v>356.42038000000002</v>
      </c>
      <c r="I45">
        <v>336.13159999999999</v>
      </c>
      <c r="J45">
        <v>352.47626000000002</v>
      </c>
      <c r="K45">
        <v>60.154139999999998</v>
      </c>
      <c r="L45">
        <v>5.5</v>
      </c>
      <c r="M45">
        <v>52.446660000000001</v>
      </c>
      <c r="N45">
        <v>0</v>
      </c>
      <c r="U45" s="221" t="s">
        <v>72</v>
      </c>
      <c r="V45">
        <v>236.52217999999999</v>
      </c>
      <c r="W45">
        <v>273.25065999999998</v>
      </c>
      <c r="X45">
        <v>556.64512999999999</v>
      </c>
      <c r="Y45">
        <v>195.90692000000001</v>
      </c>
      <c r="Z45">
        <v>192.89528000000001</v>
      </c>
      <c r="AA45">
        <v>340.9228</v>
      </c>
      <c r="AB45">
        <v>7.6133300000000004</v>
      </c>
      <c r="AC45">
        <v>397.03158000000002</v>
      </c>
      <c r="AD45">
        <v>169.50932</v>
      </c>
      <c r="AE45">
        <v>0</v>
      </c>
      <c r="AF45">
        <v>1</v>
      </c>
      <c r="AG45">
        <v>0</v>
      </c>
      <c r="AH45">
        <v>0</v>
      </c>
    </row>
    <row r="46" spans="1:34">
      <c r="A46" t="s">
        <v>74</v>
      </c>
      <c r="B46" s="216" t="str">
        <f t="shared" si="0"/>
        <v>Sep-19</v>
      </c>
      <c r="C46" s="217">
        <v>43709</v>
      </c>
      <c r="D46">
        <v>2991.8453300000001</v>
      </c>
      <c r="E46">
        <v>416.39156000000003</v>
      </c>
      <c r="F46">
        <v>724.33681000000001</v>
      </c>
      <c r="G46">
        <v>684.66791999999998</v>
      </c>
      <c r="H46">
        <v>356.01371</v>
      </c>
      <c r="I46">
        <v>332.96494000000001</v>
      </c>
      <c r="J46">
        <v>356.80959000000001</v>
      </c>
      <c r="K46">
        <v>61.75414</v>
      </c>
      <c r="L46">
        <v>5.5</v>
      </c>
      <c r="M46">
        <v>53.406660000000002</v>
      </c>
      <c r="N46">
        <v>0</v>
      </c>
      <c r="U46" s="221" t="s">
        <v>73</v>
      </c>
      <c r="V46">
        <v>12</v>
      </c>
      <c r="W46">
        <v>21.5</v>
      </c>
      <c r="X46">
        <v>25.226659999999999</v>
      </c>
      <c r="Y46">
        <v>17.933340000000001</v>
      </c>
      <c r="Z46">
        <v>0</v>
      </c>
      <c r="AA46">
        <v>0</v>
      </c>
      <c r="AB46">
        <v>0</v>
      </c>
      <c r="AC46">
        <v>0</v>
      </c>
      <c r="AD46">
        <v>3.0666500000000001</v>
      </c>
      <c r="AE46">
        <v>0</v>
      </c>
      <c r="AF46">
        <v>0</v>
      </c>
      <c r="AG46">
        <v>0</v>
      </c>
      <c r="AH46">
        <v>0</v>
      </c>
    </row>
    <row r="47" spans="1:34">
      <c r="A47" t="s">
        <v>74</v>
      </c>
      <c r="B47" s="216" t="str">
        <f t="shared" si="0"/>
        <v>Oct-19</v>
      </c>
      <c r="C47" s="217">
        <v>43739</v>
      </c>
      <c r="D47">
        <v>2990.6840100000009</v>
      </c>
      <c r="E47">
        <v>421.31823000000003</v>
      </c>
      <c r="F47">
        <v>714.91015000000004</v>
      </c>
      <c r="G47">
        <v>688.89458000000002</v>
      </c>
      <c r="H47">
        <v>352.42705000000001</v>
      </c>
      <c r="I47">
        <v>330.56493999999998</v>
      </c>
      <c r="J47">
        <v>360.17493000000002</v>
      </c>
      <c r="K47">
        <v>62.354140000000001</v>
      </c>
      <c r="L47">
        <v>6.5</v>
      </c>
      <c r="M47">
        <v>53.539990000000003</v>
      </c>
      <c r="N47">
        <v>0</v>
      </c>
      <c r="U47" s="221" t="s">
        <v>74</v>
      </c>
      <c r="V47">
        <v>465.85219999999998</v>
      </c>
      <c r="W47">
        <v>738.83447000000001</v>
      </c>
      <c r="X47">
        <v>539.28511000000003</v>
      </c>
      <c r="Y47">
        <v>354.84838999999999</v>
      </c>
      <c r="Z47">
        <v>354.71758</v>
      </c>
      <c r="AA47">
        <v>384.21917999999999</v>
      </c>
      <c r="AB47">
        <v>77.594669999999994</v>
      </c>
      <c r="AC47">
        <v>8.6999999999999993</v>
      </c>
      <c r="AD47">
        <v>54.206659999999999</v>
      </c>
      <c r="AE47">
        <v>3.8</v>
      </c>
      <c r="AF47">
        <v>35.450000000000003</v>
      </c>
      <c r="AG47">
        <v>0</v>
      </c>
      <c r="AH47">
        <v>24.093330000000002</v>
      </c>
    </row>
    <row r="48" spans="1:34">
      <c r="A48" t="s">
        <v>74</v>
      </c>
      <c r="B48" s="216" t="str">
        <f t="shared" si="0"/>
        <v>Nov-19</v>
      </c>
      <c r="C48" s="217">
        <v>43770</v>
      </c>
      <c r="D48">
        <v>3023.8168399999995</v>
      </c>
      <c r="E48">
        <v>438.39823000000001</v>
      </c>
      <c r="F48">
        <v>714.69681000000003</v>
      </c>
      <c r="G48">
        <v>698.47457999999995</v>
      </c>
      <c r="H48">
        <v>348.67371000000003</v>
      </c>
      <c r="I48">
        <v>336.52445</v>
      </c>
      <c r="J48">
        <v>362.21492999999998</v>
      </c>
      <c r="K48">
        <v>62.354140000000001</v>
      </c>
      <c r="L48">
        <v>7.5</v>
      </c>
      <c r="M48">
        <v>54.979990000000001</v>
      </c>
      <c r="N48">
        <v>0</v>
      </c>
      <c r="U48" s="221" t="s">
        <v>75</v>
      </c>
      <c r="V48">
        <v>2770.1130499999999</v>
      </c>
      <c r="W48">
        <v>3633.0513700000001</v>
      </c>
      <c r="X48">
        <v>2568.5378999999998</v>
      </c>
      <c r="Y48">
        <v>2248.16815</v>
      </c>
      <c r="Z48">
        <v>2182.26352</v>
      </c>
      <c r="AA48">
        <v>2353.9452999999999</v>
      </c>
      <c r="AB48">
        <v>620.51504999999997</v>
      </c>
      <c r="AC48">
        <v>1165.8567</v>
      </c>
      <c r="AD48">
        <v>519.85623999999996</v>
      </c>
      <c r="AE48">
        <v>630.34559000000002</v>
      </c>
      <c r="AF48">
        <v>301.20999999999998</v>
      </c>
      <c r="AG48">
        <v>1104.78368</v>
      </c>
      <c r="AH48">
        <v>1560.88482</v>
      </c>
    </row>
    <row r="49" spans="1:34">
      <c r="A49" t="s">
        <v>74</v>
      </c>
      <c r="B49" s="216" t="str">
        <f t="shared" si="0"/>
        <v>Dec-19</v>
      </c>
      <c r="C49" s="217">
        <v>43800</v>
      </c>
      <c r="D49">
        <v>3030.91471</v>
      </c>
      <c r="E49">
        <v>444.48489999999998</v>
      </c>
      <c r="F49">
        <v>715.41013999999996</v>
      </c>
      <c r="G49">
        <v>698.46124999999995</v>
      </c>
      <c r="H49">
        <v>348.47370999999998</v>
      </c>
      <c r="I49">
        <v>328.68445000000003</v>
      </c>
      <c r="J49">
        <v>369.95492999999999</v>
      </c>
      <c r="K49">
        <v>61.965339999999998</v>
      </c>
      <c r="L49">
        <v>7.5</v>
      </c>
      <c r="M49">
        <v>55.979990000000001</v>
      </c>
      <c r="N49">
        <v>0</v>
      </c>
      <c r="U49" s="221" t="s">
        <v>76</v>
      </c>
      <c r="V49">
        <v>983.44840999999997</v>
      </c>
      <c r="W49">
        <v>1368.6157000000001</v>
      </c>
      <c r="X49">
        <v>1176.5568499999999</v>
      </c>
      <c r="Y49">
        <v>1083.6982700000001</v>
      </c>
      <c r="Z49">
        <v>851.99248</v>
      </c>
      <c r="AA49">
        <v>973.53962999999999</v>
      </c>
      <c r="AB49">
        <v>169.94668999999999</v>
      </c>
      <c r="AC49">
        <v>0.66666999999999998</v>
      </c>
      <c r="AD49">
        <v>54.990360000000003</v>
      </c>
      <c r="AE49">
        <v>63.466650000000001</v>
      </c>
      <c r="AF49">
        <v>0</v>
      </c>
      <c r="AG49">
        <v>0</v>
      </c>
      <c r="AH49">
        <v>464.68666999999999</v>
      </c>
    </row>
    <row r="50" spans="1:34">
      <c r="A50" t="s">
        <v>74</v>
      </c>
      <c r="B50" s="216" t="str">
        <f t="shared" si="0"/>
        <v>Jan-20</v>
      </c>
      <c r="C50" s="217">
        <v>43831</v>
      </c>
      <c r="D50">
        <v>3062.8467100000003</v>
      </c>
      <c r="E50">
        <v>452.80489</v>
      </c>
      <c r="F50">
        <v>717.26347999999996</v>
      </c>
      <c r="G50">
        <v>710.41084000000001</v>
      </c>
      <c r="H50">
        <v>355.77611999999999</v>
      </c>
      <c r="I50">
        <v>329.41777999999999</v>
      </c>
      <c r="J50">
        <v>368.52159999999998</v>
      </c>
      <c r="K50">
        <v>61.972009999999997</v>
      </c>
      <c r="L50">
        <v>7.5</v>
      </c>
      <c r="M50">
        <v>58.979990000000001</v>
      </c>
      <c r="N50">
        <v>0.2</v>
      </c>
      <c r="U50" s="221" t="s">
        <v>77</v>
      </c>
      <c r="V50">
        <v>3772.1641199999999</v>
      </c>
      <c r="W50">
        <v>5355.1402600000001</v>
      </c>
      <c r="X50">
        <v>4378.2493999999997</v>
      </c>
      <c r="Y50">
        <v>3604.0714600000001</v>
      </c>
      <c r="Z50">
        <v>2976.6967800000002</v>
      </c>
      <c r="AA50">
        <v>3751.9544599999999</v>
      </c>
      <c r="AB50">
        <v>555.44564000000003</v>
      </c>
      <c r="AC50">
        <v>86.906660000000002</v>
      </c>
      <c r="AD50">
        <v>214.58667</v>
      </c>
      <c r="AE50">
        <v>193.404</v>
      </c>
      <c r="AF50">
        <v>10.199999999999999</v>
      </c>
      <c r="AG50">
        <v>0</v>
      </c>
      <c r="AH50">
        <v>2.5</v>
      </c>
    </row>
    <row r="51" spans="1:34">
      <c r="A51" t="s">
        <v>74</v>
      </c>
      <c r="B51" s="216" t="str">
        <f t="shared" si="0"/>
        <v>Feb-20</v>
      </c>
      <c r="C51" s="217">
        <v>43862</v>
      </c>
      <c r="D51">
        <v>3080.0805599999999</v>
      </c>
      <c r="E51">
        <v>450.11822999999998</v>
      </c>
      <c r="F51">
        <v>725.27012999999999</v>
      </c>
      <c r="G51">
        <v>709.64471000000003</v>
      </c>
      <c r="H51">
        <v>360.24277999999998</v>
      </c>
      <c r="I51">
        <v>329.24444999999997</v>
      </c>
      <c r="J51">
        <v>374.50826000000001</v>
      </c>
      <c r="K51">
        <v>62.972009999999997</v>
      </c>
      <c r="L51">
        <v>7.5</v>
      </c>
      <c r="M51">
        <v>59.979990000000001</v>
      </c>
      <c r="N51">
        <v>0.6</v>
      </c>
      <c r="U51" s="221" t="s">
        <v>78</v>
      </c>
      <c r="V51">
        <v>798.52625</v>
      </c>
      <c r="W51">
        <v>1150.23404</v>
      </c>
      <c r="X51">
        <v>975.43812000000003</v>
      </c>
      <c r="Y51">
        <v>747.80433000000005</v>
      </c>
      <c r="Z51">
        <v>634.80178999999998</v>
      </c>
      <c r="AA51">
        <v>824.85091999999997</v>
      </c>
      <c r="AB51">
        <v>33.723410000000001</v>
      </c>
      <c r="AC51">
        <v>90.33</v>
      </c>
      <c r="AD51">
        <v>78.061819999999997</v>
      </c>
      <c r="AE51">
        <v>0.50666999999999995</v>
      </c>
      <c r="AF51">
        <v>50.52</v>
      </c>
      <c r="AG51">
        <v>1.24</v>
      </c>
      <c r="AH51">
        <v>2964.35</v>
      </c>
    </row>
    <row r="52" spans="1:34">
      <c r="A52" t="s">
        <v>74</v>
      </c>
      <c r="B52" s="216" t="str">
        <f t="shared" si="0"/>
        <v>Mar-20</v>
      </c>
      <c r="C52" s="217">
        <v>43891</v>
      </c>
      <c r="D52">
        <v>3087.5485699999999</v>
      </c>
      <c r="E52">
        <v>452.99157000000002</v>
      </c>
      <c r="F52">
        <v>719.89679999999998</v>
      </c>
      <c r="G52">
        <v>711.09938</v>
      </c>
      <c r="H52">
        <v>361.14278000000002</v>
      </c>
      <c r="I52">
        <v>333.45778000000001</v>
      </c>
      <c r="J52">
        <v>374.70826</v>
      </c>
      <c r="K52">
        <v>65.772009999999995</v>
      </c>
      <c r="L52">
        <v>7.5</v>
      </c>
      <c r="M52">
        <v>59.979990000000001</v>
      </c>
      <c r="N52">
        <v>1</v>
      </c>
      <c r="U52" s="7" t="s">
        <v>83</v>
      </c>
      <c r="V52">
        <v>11323.0946</v>
      </c>
      <c r="W52">
        <v>15436.31077</v>
      </c>
      <c r="X52">
        <v>12935.358379999998</v>
      </c>
      <c r="Y52">
        <v>10331.82869</v>
      </c>
      <c r="Z52">
        <v>8438.2931799999988</v>
      </c>
      <c r="AA52">
        <v>11228.704839999999</v>
      </c>
      <c r="AB52">
        <v>1788.06872</v>
      </c>
      <c r="AC52">
        <v>1657.8014499999999</v>
      </c>
      <c r="AD52">
        <v>4006.87075</v>
      </c>
      <c r="AE52">
        <v>3215.2415999999998</v>
      </c>
    </row>
    <row r="53" spans="1:34">
      <c r="A53" t="s">
        <v>74</v>
      </c>
      <c r="B53" s="216" t="str">
        <f t="shared" si="0"/>
        <v>Apr-20</v>
      </c>
      <c r="C53" s="217">
        <v>43922</v>
      </c>
      <c r="D53">
        <v>3096.1392299999998</v>
      </c>
      <c r="E53">
        <v>452.54489999999998</v>
      </c>
      <c r="F53">
        <v>728.50346000000002</v>
      </c>
      <c r="G53">
        <v>711.39883999999995</v>
      </c>
      <c r="H53">
        <v>362.78278</v>
      </c>
      <c r="I53">
        <v>333.08258999999998</v>
      </c>
      <c r="J53">
        <v>373.35491999999999</v>
      </c>
      <c r="K53">
        <v>66.445080000000004</v>
      </c>
      <c r="L53">
        <v>7.5</v>
      </c>
      <c r="M53">
        <v>59.52666</v>
      </c>
      <c r="N53">
        <v>1</v>
      </c>
      <c r="U53" s="221" t="s">
        <v>71</v>
      </c>
      <c r="V53">
        <v>2253.25045</v>
      </c>
      <c r="W53">
        <v>3116.8140600000002</v>
      </c>
      <c r="X53">
        <v>2540.5232599999999</v>
      </c>
      <c r="Y53">
        <v>1916.5959</v>
      </c>
      <c r="Z53">
        <v>1721.0434600000001</v>
      </c>
      <c r="AA53">
        <v>2300.2846599999998</v>
      </c>
      <c r="AB53">
        <v>329.01666999999998</v>
      </c>
      <c r="AC53">
        <v>259.7901</v>
      </c>
      <c r="AD53">
        <v>200.47998999999999</v>
      </c>
      <c r="AE53">
        <v>1451.4326799999999</v>
      </c>
    </row>
    <row r="54" spans="1:34">
      <c r="A54" t="s">
        <v>75</v>
      </c>
      <c r="B54" s="216" t="str">
        <f t="shared" si="0"/>
        <v>Apr-19</v>
      </c>
      <c r="C54" s="217">
        <v>43556</v>
      </c>
      <c r="D54">
        <v>17163.01355</v>
      </c>
      <c r="E54">
        <v>2196.7496700000002</v>
      </c>
      <c r="F54">
        <v>2938.0265599999998</v>
      </c>
      <c r="G54">
        <v>2075.8648899999998</v>
      </c>
      <c r="H54">
        <v>1922.8670400000001</v>
      </c>
      <c r="I54">
        <v>1590.36231</v>
      </c>
      <c r="J54">
        <v>2072.14212</v>
      </c>
      <c r="K54">
        <v>529.58452999999997</v>
      </c>
      <c r="L54">
        <v>928.96946000000003</v>
      </c>
      <c r="M54">
        <v>2415.91165</v>
      </c>
      <c r="N54">
        <v>492.53532000000001</v>
      </c>
      <c r="U54" s="221" t="s">
        <v>69</v>
      </c>
      <c r="V54">
        <v>732.72109999999998</v>
      </c>
      <c r="W54">
        <v>906.06844000000001</v>
      </c>
      <c r="X54">
        <v>862.60010999999997</v>
      </c>
      <c r="Y54">
        <v>598.33384999999998</v>
      </c>
      <c r="Z54">
        <v>543.68700999999999</v>
      </c>
      <c r="AA54">
        <v>753.29055000000005</v>
      </c>
      <c r="AB54">
        <v>122.61762</v>
      </c>
      <c r="AC54">
        <v>63.834139999999998</v>
      </c>
      <c r="AD54">
        <v>112.61503999999999</v>
      </c>
      <c r="AE54">
        <v>1035.5928699999999</v>
      </c>
    </row>
    <row r="55" spans="1:34">
      <c r="A55" t="s">
        <v>75</v>
      </c>
      <c r="B55" s="216" t="str">
        <f t="shared" si="0"/>
        <v>May-19</v>
      </c>
      <c r="C55" s="217">
        <v>43586</v>
      </c>
      <c r="D55">
        <v>17221.957739999998</v>
      </c>
      <c r="E55">
        <v>2211.14005</v>
      </c>
      <c r="F55">
        <v>2950.41374</v>
      </c>
      <c r="G55">
        <v>2076.5502200000001</v>
      </c>
      <c r="H55">
        <v>1922.8173300000001</v>
      </c>
      <c r="I55">
        <v>1591.95804</v>
      </c>
      <c r="J55">
        <v>2078.1918099999998</v>
      </c>
      <c r="K55">
        <v>535.23784999999998</v>
      </c>
      <c r="L55">
        <v>944.14919999999995</v>
      </c>
      <c r="M55">
        <v>2415.6041799999998</v>
      </c>
      <c r="N55">
        <v>495.89532000000003</v>
      </c>
      <c r="U55" s="221" t="s">
        <v>72</v>
      </c>
      <c r="V55">
        <v>223.42886999999999</v>
      </c>
      <c r="W55">
        <v>247.50138000000001</v>
      </c>
      <c r="X55">
        <v>466.12612999999999</v>
      </c>
      <c r="Y55">
        <v>191.88427999999999</v>
      </c>
      <c r="Z55">
        <v>175.79953</v>
      </c>
      <c r="AA55">
        <v>294.81079</v>
      </c>
      <c r="AB55">
        <v>2.7296</v>
      </c>
      <c r="AC55">
        <v>229.10265999999999</v>
      </c>
      <c r="AD55">
        <v>136.25333000000001</v>
      </c>
      <c r="AE55">
        <v>0</v>
      </c>
    </row>
    <row r="56" spans="1:34">
      <c r="A56" t="s">
        <v>75</v>
      </c>
      <c r="B56" s="216" t="str">
        <f t="shared" si="0"/>
        <v>Jun-19</v>
      </c>
      <c r="C56" s="217">
        <v>43617</v>
      </c>
      <c r="D56">
        <v>17284.175449999999</v>
      </c>
      <c r="E56">
        <v>2214.25792</v>
      </c>
      <c r="F56">
        <v>2941.56149</v>
      </c>
      <c r="G56">
        <v>2087.1729099999998</v>
      </c>
      <c r="H56">
        <v>1930.6268299999999</v>
      </c>
      <c r="I56">
        <v>1598.8559299999999</v>
      </c>
      <c r="J56">
        <v>2095.1597900000002</v>
      </c>
      <c r="K56">
        <v>537.35784000000001</v>
      </c>
      <c r="L56">
        <v>941.73586</v>
      </c>
      <c r="M56">
        <v>2432.1841800000002</v>
      </c>
      <c r="N56">
        <v>505.2627</v>
      </c>
      <c r="U56" s="221" t="s">
        <v>73</v>
      </c>
      <c r="V56">
        <v>6.5</v>
      </c>
      <c r="W56">
        <v>15.36</v>
      </c>
      <c r="X56">
        <v>36.626640000000002</v>
      </c>
      <c r="Y56">
        <v>3.6266600000000002</v>
      </c>
      <c r="Z56">
        <v>2.6</v>
      </c>
      <c r="AA56">
        <v>2</v>
      </c>
      <c r="AB56">
        <v>0</v>
      </c>
      <c r="AC56">
        <v>0</v>
      </c>
      <c r="AD56">
        <v>0</v>
      </c>
      <c r="AE56">
        <v>0</v>
      </c>
    </row>
    <row r="57" spans="1:34">
      <c r="A57" t="s">
        <v>75</v>
      </c>
      <c r="B57" s="216" t="str">
        <f t="shared" si="0"/>
        <v>Jul-19</v>
      </c>
      <c r="C57" s="217">
        <v>43647</v>
      </c>
      <c r="D57">
        <v>17375.45925</v>
      </c>
      <c r="E57">
        <v>2221.4957899999999</v>
      </c>
      <c r="F57">
        <v>2954.49271</v>
      </c>
      <c r="G57">
        <v>2103.52198</v>
      </c>
      <c r="H57">
        <v>1938.24</v>
      </c>
      <c r="I57">
        <v>1603.07503</v>
      </c>
      <c r="J57">
        <v>2090.0198</v>
      </c>
      <c r="K57">
        <v>539.65</v>
      </c>
      <c r="L57">
        <v>972.21906999999999</v>
      </c>
      <c r="M57">
        <v>2444.3362200000001</v>
      </c>
      <c r="N57">
        <v>508.40865000000002</v>
      </c>
      <c r="U57" s="221" t="s">
        <v>74</v>
      </c>
      <c r="V57">
        <v>393.65469000000002</v>
      </c>
      <c r="W57">
        <v>737.99014999999997</v>
      </c>
      <c r="X57">
        <v>675.48126000000002</v>
      </c>
      <c r="Y57">
        <v>356.42038000000002</v>
      </c>
      <c r="Z57">
        <v>336.13159999999999</v>
      </c>
      <c r="AA57">
        <v>352.47626000000002</v>
      </c>
      <c r="AB57">
        <v>60.154139999999998</v>
      </c>
      <c r="AC57">
        <v>5.5</v>
      </c>
      <c r="AD57">
        <v>52.446660000000001</v>
      </c>
      <c r="AE57">
        <v>0</v>
      </c>
    </row>
    <row r="58" spans="1:34">
      <c r="A58" t="s">
        <v>75</v>
      </c>
      <c r="B58" s="216" t="str">
        <f t="shared" si="0"/>
        <v>Aug-19</v>
      </c>
      <c r="C58" s="217">
        <v>43678</v>
      </c>
      <c r="D58">
        <v>17315.570490000002</v>
      </c>
      <c r="E58">
        <v>2188.90272</v>
      </c>
      <c r="F58">
        <v>2936.4754499999999</v>
      </c>
      <c r="G58">
        <v>2112.3819699999999</v>
      </c>
      <c r="H58">
        <v>1945.37743</v>
      </c>
      <c r="I58">
        <v>1602.49929</v>
      </c>
      <c r="J58">
        <v>2087.5466099999999</v>
      </c>
      <c r="K58">
        <v>539.73436000000004</v>
      </c>
      <c r="L58">
        <v>944.54706999999996</v>
      </c>
      <c r="M58">
        <v>2453.0562300000001</v>
      </c>
      <c r="N58">
        <v>505.04935999999998</v>
      </c>
      <c r="U58" s="221" t="s">
        <v>75</v>
      </c>
      <c r="V58">
        <v>2188.90272</v>
      </c>
      <c r="W58">
        <v>2936.4754499999999</v>
      </c>
      <c r="X58">
        <v>2112.3819699999999</v>
      </c>
      <c r="Y58">
        <v>1945.37743</v>
      </c>
      <c r="Z58">
        <v>1602.49929</v>
      </c>
      <c r="AA58">
        <v>2087.5466099999999</v>
      </c>
      <c r="AB58">
        <v>539.73436000000004</v>
      </c>
      <c r="AC58">
        <v>944.54706999999996</v>
      </c>
      <c r="AD58">
        <v>2453.0562300000001</v>
      </c>
      <c r="AE58">
        <v>505.04935999999998</v>
      </c>
    </row>
    <row r="59" spans="1:34">
      <c r="A59" t="s">
        <v>75</v>
      </c>
      <c r="B59" s="216" t="str">
        <f t="shared" si="0"/>
        <v>Sep-19</v>
      </c>
      <c r="C59" s="217">
        <v>43709</v>
      </c>
      <c r="D59">
        <v>17479.785970000001</v>
      </c>
      <c r="E59">
        <v>2233.5481100000002</v>
      </c>
      <c r="F59">
        <v>2938.9642399999998</v>
      </c>
      <c r="G59">
        <v>2121.6886300000001</v>
      </c>
      <c r="H59">
        <v>1968.4192700000001</v>
      </c>
      <c r="I59">
        <v>1617.70595</v>
      </c>
      <c r="J59">
        <v>2101.07197</v>
      </c>
      <c r="K59">
        <v>545.26769000000002</v>
      </c>
      <c r="L59">
        <v>974.20331999999996</v>
      </c>
      <c r="M59">
        <v>2467.7341000000001</v>
      </c>
      <c r="N59">
        <v>511.18268999999998</v>
      </c>
      <c r="U59" s="221" t="s">
        <v>76</v>
      </c>
      <c r="V59">
        <v>1070.2050099999999</v>
      </c>
      <c r="W59">
        <v>1254.3411900000001</v>
      </c>
      <c r="X59">
        <v>1041.0428199999999</v>
      </c>
      <c r="Y59">
        <v>1104.5630799999999</v>
      </c>
      <c r="Z59">
        <v>756.59772999999996</v>
      </c>
      <c r="AA59">
        <v>1041.84248</v>
      </c>
      <c r="AB59">
        <v>159.41336000000001</v>
      </c>
      <c r="AC59">
        <v>0.66666999999999998</v>
      </c>
      <c r="AD59">
        <v>326.03327999999999</v>
      </c>
      <c r="AE59">
        <v>58.626660000000001</v>
      </c>
    </row>
    <row r="60" spans="1:34">
      <c r="A60" t="s">
        <v>75</v>
      </c>
      <c r="B60" s="216" t="str">
        <f t="shared" si="0"/>
        <v>Oct-19</v>
      </c>
      <c r="C60" s="217">
        <v>43739</v>
      </c>
      <c r="D60">
        <v>17593.484940000002</v>
      </c>
      <c r="E60">
        <v>2270.0831600000001</v>
      </c>
      <c r="F60">
        <v>2952.3240099999998</v>
      </c>
      <c r="G60">
        <v>2131.8187699999999</v>
      </c>
      <c r="H60">
        <v>1979.05152</v>
      </c>
      <c r="I60">
        <v>1628.00261</v>
      </c>
      <c r="J60">
        <v>2120.8253100000002</v>
      </c>
      <c r="K60">
        <v>544.80101999999999</v>
      </c>
      <c r="L60">
        <v>956.70387000000005</v>
      </c>
      <c r="M60">
        <v>2487.8253100000002</v>
      </c>
      <c r="N60">
        <v>522.04935999999998</v>
      </c>
      <c r="U60" s="221" t="s">
        <v>77</v>
      </c>
      <c r="V60">
        <v>3470.2616899999998</v>
      </c>
      <c r="W60">
        <v>4888.6166800000001</v>
      </c>
      <c r="X60">
        <v>3863.9943699999999</v>
      </c>
      <c r="Y60">
        <v>3255.0726599999998</v>
      </c>
      <c r="Z60">
        <v>2621.4666999999999</v>
      </c>
      <c r="AA60">
        <v>3401.4246600000001</v>
      </c>
      <c r="AB60">
        <v>537.25815999999998</v>
      </c>
      <c r="AC60">
        <v>62.139980000000001</v>
      </c>
      <c r="AD60">
        <v>188.62</v>
      </c>
      <c r="AE60">
        <v>163.54003</v>
      </c>
    </row>
    <row r="61" spans="1:34">
      <c r="A61" t="s">
        <v>75</v>
      </c>
      <c r="B61" s="216" t="str">
        <f t="shared" si="0"/>
        <v>Nov-19</v>
      </c>
      <c r="C61" s="217">
        <v>43770</v>
      </c>
      <c r="D61">
        <v>17637.129730000001</v>
      </c>
      <c r="E61">
        <v>2286.12581</v>
      </c>
      <c r="F61">
        <v>2958.8049900000001</v>
      </c>
      <c r="G61">
        <v>2141.6792999999998</v>
      </c>
      <c r="H61">
        <v>1936.4404400000001</v>
      </c>
      <c r="I61">
        <v>1635.4559300000001</v>
      </c>
      <c r="J61">
        <v>2130.49197</v>
      </c>
      <c r="K61">
        <v>549.94581000000005</v>
      </c>
      <c r="L61">
        <v>967.90413999999998</v>
      </c>
      <c r="M61">
        <v>2501.1253099999999</v>
      </c>
      <c r="N61">
        <v>529.15602999999999</v>
      </c>
      <c r="U61" s="221" t="s">
        <v>78</v>
      </c>
      <c r="V61">
        <v>984.17007000000001</v>
      </c>
      <c r="W61">
        <v>1333.1434200000001</v>
      </c>
      <c r="X61">
        <v>1336.5818200000001</v>
      </c>
      <c r="Y61">
        <v>959.95444999999995</v>
      </c>
      <c r="Z61">
        <v>678.46785999999997</v>
      </c>
      <c r="AA61">
        <v>995.02882999999997</v>
      </c>
      <c r="AB61">
        <v>37.14481</v>
      </c>
      <c r="AC61">
        <v>92.220830000000007</v>
      </c>
      <c r="AD61">
        <v>537.36622</v>
      </c>
      <c r="AE61">
        <v>1</v>
      </c>
    </row>
    <row r="62" spans="1:34">
      <c r="A62" t="s">
        <v>75</v>
      </c>
      <c r="B62" s="216" t="str">
        <f t="shared" si="0"/>
        <v>Dec-19</v>
      </c>
      <c r="C62" s="217">
        <v>43800</v>
      </c>
      <c r="D62">
        <v>17691.783609999999</v>
      </c>
      <c r="E62">
        <v>2309.9108000000001</v>
      </c>
      <c r="F62">
        <v>2956.5716600000001</v>
      </c>
      <c r="G62">
        <v>2148.4011599999999</v>
      </c>
      <c r="H62">
        <v>1937.46711</v>
      </c>
      <c r="I62">
        <v>1629.77108</v>
      </c>
      <c r="J62">
        <v>2130.7619599999998</v>
      </c>
      <c r="K62">
        <v>551.72581000000002</v>
      </c>
      <c r="L62">
        <v>977.70603000000006</v>
      </c>
      <c r="M62">
        <v>2520.6519699999999</v>
      </c>
      <c r="N62">
        <v>528.81602999999996</v>
      </c>
      <c r="U62" s="7" t="s">
        <v>84</v>
      </c>
      <c r="V62">
        <v>11827.290809999999</v>
      </c>
      <c r="W62">
        <v>16269.99159</v>
      </c>
      <c r="X62">
        <v>13437.83711</v>
      </c>
      <c r="Y62">
        <v>10797.37264</v>
      </c>
      <c r="Z62">
        <v>9175.9209499999997</v>
      </c>
      <c r="AA62">
        <v>11679.598260000001</v>
      </c>
      <c r="AB62">
        <v>1860.3016</v>
      </c>
      <c r="AC62">
        <v>1748.7079299999998</v>
      </c>
      <c r="AD62">
        <v>4440.4174800000001</v>
      </c>
      <c r="AE62">
        <v>3458.2141299999962</v>
      </c>
    </row>
    <row r="63" spans="1:34">
      <c r="A63" t="s">
        <v>75</v>
      </c>
      <c r="B63" s="216" t="str">
        <f t="shared" si="0"/>
        <v>Jan-20</v>
      </c>
      <c r="C63" s="217">
        <v>43831</v>
      </c>
      <c r="D63">
        <v>17807.279920000001</v>
      </c>
      <c r="E63">
        <v>2322.8001100000001</v>
      </c>
      <c r="F63">
        <v>2964.3809700000002</v>
      </c>
      <c r="G63">
        <v>2152.1928899999998</v>
      </c>
      <c r="H63">
        <v>2002.3048899999999</v>
      </c>
      <c r="I63">
        <v>1628.19976</v>
      </c>
      <c r="J63">
        <v>2111.9555399999999</v>
      </c>
      <c r="K63">
        <v>565.43065999999999</v>
      </c>
      <c r="L63">
        <v>978.65935999999999</v>
      </c>
      <c r="M63">
        <v>2545.6618400000002</v>
      </c>
      <c r="N63">
        <v>535.69390000000055</v>
      </c>
      <c r="U63" s="221" t="s">
        <v>71</v>
      </c>
      <c r="V63">
        <v>2512.4614099999999</v>
      </c>
      <c r="W63">
        <v>3333.94695</v>
      </c>
      <c r="X63">
        <v>2604.8303000000001</v>
      </c>
      <c r="Y63">
        <v>1948.0616299999999</v>
      </c>
      <c r="Z63">
        <v>1989.48369</v>
      </c>
      <c r="AA63">
        <v>2364.5264900000002</v>
      </c>
      <c r="AB63">
        <v>331.68612999999999</v>
      </c>
      <c r="AC63">
        <v>269.88342999999998</v>
      </c>
      <c r="AD63">
        <v>340.71999</v>
      </c>
      <c r="AE63">
        <v>1604.4872999999957</v>
      </c>
    </row>
    <row r="64" spans="1:34">
      <c r="A64" t="s">
        <v>75</v>
      </c>
      <c r="B64" s="216" t="str">
        <f t="shared" si="0"/>
        <v>Feb-20</v>
      </c>
      <c r="C64" s="217">
        <v>43862</v>
      </c>
      <c r="D64">
        <v>17903.444599999999</v>
      </c>
      <c r="E64">
        <v>2322.1558300000002</v>
      </c>
      <c r="F64">
        <v>2966.50254</v>
      </c>
      <c r="G64">
        <v>2160.1963300000002</v>
      </c>
      <c r="H64">
        <v>2033.7882300000001</v>
      </c>
      <c r="I64">
        <v>1655.3537200000001</v>
      </c>
      <c r="J64">
        <v>2126.79522</v>
      </c>
      <c r="K64">
        <v>565.00426000000004</v>
      </c>
      <c r="L64">
        <v>970.68604000000005</v>
      </c>
      <c r="M64">
        <v>2555.4018599999999</v>
      </c>
      <c r="N64">
        <v>547.56056999999998</v>
      </c>
      <c r="U64" s="221" t="s">
        <v>69</v>
      </c>
      <c r="V64">
        <v>766.79814999999996</v>
      </c>
      <c r="W64">
        <v>950.36694999999997</v>
      </c>
      <c r="X64">
        <v>919.22249999999997</v>
      </c>
      <c r="Y64">
        <v>620.43544999999995</v>
      </c>
      <c r="Z64">
        <v>559.94174999999996</v>
      </c>
      <c r="AA64">
        <v>791.08465999999999</v>
      </c>
      <c r="AB64">
        <v>131.39573999999999</v>
      </c>
      <c r="AC64">
        <v>62.57414</v>
      </c>
      <c r="AD64">
        <v>122.85557</v>
      </c>
      <c r="AE64">
        <v>1079.8595699999998</v>
      </c>
    </row>
    <row r="65" spans="1:31">
      <c r="A65" t="s">
        <v>75</v>
      </c>
      <c r="B65" s="216" t="str">
        <f t="shared" si="0"/>
        <v>Mar-20</v>
      </c>
      <c r="C65" s="217">
        <v>43891</v>
      </c>
      <c r="D65">
        <v>17986.417819999999</v>
      </c>
      <c r="E65">
        <v>2330.4957800000002</v>
      </c>
      <c r="F65">
        <v>2972.9846600000001</v>
      </c>
      <c r="G65">
        <v>2161.5608699999998</v>
      </c>
      <c r="H65">
        <v>2056.7815399999999</v>
      </c>
      <c r="I65">
        <v>1675.2437</v>
      </c>
      <c r="J65">
        <v>2115.68093</v>
      </c>
      <c r="K65">
        <v>565.24427000000003</v>
      </c>
      <c r="L65">
        <v>988.40363000000002</v>
      </c>
      <c r="M65">
        <v>2565.06187</v>
      </c>
      <c r="N65">
        <v>554.96056999999996</v>
      </c>
      <c r="U65" s="221" t="s">
        <v>72</v>
      </c>
      <c r="V65">
        <v>226.54888</v>
      </c>
      <c r="W65">
        <v>252.66748000000001</v>
      </c>
      <c r="X65">
        <v>486.98559</v>
      </c>
      <c r="Y65">
        <v>206.97761</v>
      </c>
      <c r="Z65">
        <v>179.95286999999999</v>
      </c>
      <c r="AA65">
        <v>304.52409999999998</v>
      </c>
      <c r="AB65">
        <v>4</v>
      </c>
      <c r="AC65">
        <v>252.00479999999999</v>
      </c>
      <c r="AD65">
        <v>135.65333000000001</v>
      </c>
      <c r="AE65">
        <v>0</v>
      </c>
    </row>
    <row r="66" spans="1:31">
      <c r="A66" t="s">
        <v>75</v>
      </c>
      <c r="B66" s="216" t="str">
        <f t="shared" si="0"/>
        <v>Apr-20</v>
      </c>
      <c r="C66" s="217">
        <v>43922</v>
      </c>
      <c r="D66">
        <v>17981.588800000001</v>
      </c>
      <c r="E66">
        <v>2334.6110899999999</v>
      </c>
      <c r="F66">
        <v>2965.2462799999998</v>
      </c>
      <c r="G66">
        <v>2154.6931800000002</v>
      </c>
      <c r="H66">
        <v>2057.7006000000001</v>
      </c>
      <c r="I66">
        <v>1670.60978</v>
      </c>
      <c r="J66">
        <v>2115.4731900000002</v>
      </c>
      <c r="K66">
        <v>561.44090000000006</v>
      </c>
      <c r="L66">
        <v>990.73933</v>
      </c>
      <c r="M66">
        <v>2567.6338700000001</v>
      </c>
      <c r="N66">
        <v>563.44057999999995</v>
      </c>
      <c r="U66" s="221" t="s">
        <v>73</v>
      </c>
      <c r="V66">
        <v>2</v>
      </c>
      <c r="W66">
        <v>359.26</v>
      </c>
      <c r="X66">
        <v>46.353299999999997</v>
      </c>
      <c r="Y66">
        <v>185.64</v>
      </c>
      <c r="Z66">
        <v>67.533330000000007</v>
      </c>
      <c r="AA66">
        <v>137.01331999999999</v>
      </c>
      <c r="AB66">
        <v>10.4</v>
      </c>
      <c r="AC66">
        <v>0</v>
      </c>
      <c r="AD66">
        <v>1.8</v>
      </c>
      <c r="AE66">
        <v>0</v>
      </c>
    </row>
    <row r="67" spans="1:31">
      <c r="A67" t="s">
        <v>76</v>
      </c>
      <c r="B67" s="216" t="str">
        <f t="shared" ref="B67:B130" si="1">TEXT(C67,"mmm-yy")</f>
        <v>Apr-19</v>
      </c>
      <c r="C67" s="217">
        <v>43556</v>
      </c>
      <c r="D67">
        <v>6836.2171700000008</v>
      </c>
      <c r="E67">
        <v>1072.72504</v>
      </c>
      <c r="F67">
        <v>1261.02199</v>
      </c>
      <c r="G67">
        <v>1061.0827099999999</v>
      </c>
      <c r="H67">
        <v>1098.61645</v>
      </c>
      <c r="I67">
        <v>759.78800999999999</v>
      </c>
      <c r="J67">
        <v>1044.64249</v>
      </c>
      <c r="K67">
        <v>154.94668999999999</v>
      </c>
      <c r="L67">
        <v>0.66666999999999998</v>
      </c>
      <c r="M67">
        <v>326.56713000000002</v>
      </c>
      <c r="N67">
        <v>56.159990000000001</v>
      </c>
      <c r="U67" s="221" t="s">
        <v>74</v>
      </c>
      <c r="V67">
        <v>448.98302999999999</v>
      </c>
      <c r="W67">
        <v>743.21677999999997</v>
      </c>
      <c r="X67">
        <v>716.28680999999995</v>
      </c>
      <c r="Y67">
        <v>376.34280000000001</v>
      </c>
      <c r="Z67">
        <v>337.70258999999999</v>
      </c>
      <c r="AA67">
        <v>382.16798999999997</v>
      </c>
      <c r="AB67">
        <v>68.644800000000004</v>
      </c>
      <c r="AC67">
        <v>7.5</v>
      </c>
      <c r="AD67">
        <v>60.626660000000001</v>
      </c>
      <c r="AE67">
        <v>1</v>
      </c>
    </row>
    <row r="68" spans="1:31">
      <c r="A68" t="s">
        <v>76</v>
      </c>
      <c r="B68" s="216" t="str">
        <f t="shared" si="1"/>
        <v>May-19</v>
      </c>
      <c r="C68" s="217">
        <v>43586</v>
      </c>
      <c r="D68">
        <v>6811.6633599999996</v>
      </c>
      <c r="E68">
        <v>1067.4183800000001</v>
      </c>
      <c r="F68">
        <v>1253.6153300000001</v>
      </c>
      <c r="G68">
        <v>1053.6094000000001</v>
      </c>
      <c r="H68">
        <v>1095.8964699999999</v>
      </c>
      <c r="I68">
        <v>757.30799999999999</v>
      </c>
      <c r="J68">
        <v>1039.80916</v>
      </c>
      <c r="K68">
        <v>156.10668999999999</v>
      </c>
      <c r="L68">
        <v>0.66666999999999998</v>
      </c>
      <c r="M68">
        <v>330.07326999999998</v>
      </c>
      <c r="N68">
        <v>57.159990000000001</v>
      </c>
      <c r="U68" s="221" t="s">
        <v>75</v>
      </c>
      <c r="V68">
        <v>2336.4111800000001</v>
      </c>
      <c r="W68">
        <v>3013.1041399999999</v>
      </c>
      <c r="X68">
        <v>2162.29</v>
      </c>
      <c r="Y68">
        <v>2088.5828499999998</v>
      </c>
      <c r="Z68">
        <v>1708.10401</v>
      </c>
      <c r="AA68">
        <v>2127.9436900000001</v>
      </c>
      <c r="AB68">
        <v>559.19467999999995</v>
      </c>
      <c r="AC68">
        <v>1000.3830799999999</v>
      </c>
      <c r="AD68">
        <v>2590.78208</v>
      </c>
      <c r="AE68">
        <v>546.86724000000061</v>
      </c>
    </row>
    <row r="69" spans="1:31">
      <c r="A69" t="s">
        <v>76</v>
      </c>
      <c r="B69" s="216" t="str">
        <f t="shared" si="1"/>
        <v>Jun-19</v>
      </c>
      <c r="C69" s="217">
        <v>43617</v>
      </c>
      <c r="D69">
        <v>6804.9389800000008</v>
      </c>
      <c r="E69">
        <v>1062.3783900000001</v>
      </c>
      <c r="F69">
        <v>1257.4012</v>
      </c>
      <c r="G69">
        <v>1052.04276</v>
      </c>
      <c r="H69">
        <v>1095.9497799999999</v>
      </c>
      <c r="I69">
        <v>758.27772000000004</v>
      </c>
      <c r="J69">
        <v>1038.6624999999999</v>
      </c>
      <c r="K69">
        <v>156.54669000000001</v>
      </c>
      <c r="L69">
        <v>0.66666999999999998</v>
      </c>
      <c r="M69">
        <v>325.38661000000002</v>
      </c>
      <c r="N69">
        <v>57.626660000000001</v>
      </c>
      <c r="U69" s="221" t="s">
        <v>76</v>
      </c>
      <c r="V69">
        <v>983.57336999999995</v>
      </c>
      <c r="W69">
        <v>1281.52863</v>
      </c>
      <c r="X69">
        <v>1063.3016500000001</v>
      </c>
      <c r="Y69">
        <v>1104.4778699999999</v>
      </c>
      <c r="Z69">
        <v>988.28587000000005</v>
      </c>
      <c r="AA69">
        <v>1101.8365200000001</v>
      </c>
      <c r="AB69">
        <v>165.68002999999999</v>
      </c>
      <c r="AC69">
        <v>0.66666999999999998</v>
      </c>
      <c r="AD69">
        <v>344.65197000000001</v>
      </c>
      <c r="AE69">
        <v>58.626659999999994</v>
      </c>
    </row>
    <row r="70" spans="1:31">
      <c r="A70" t="s">
        <v>76</v>
      </c>
      <c r="B70" s="216" t="str">
        <f t="shared" si="1"/>
        <v>Jul-19</v>
      </c>
      <c r="C70" s="217">
        <v>43647</v>
      </c>
      <c r="D70">
        <v>6804.8925399999998</v>
      </c>
      <c r="E70">
        <v>1062.3450600000001</v>
      </c>
      <c r="F70">
        <v>1250.7478699999999</v>
      </c>
      <c r="G70">
        <v>1046.3361199999999</v>
      </c>
      <c r="H70">
        <v>1099.3399999999999</v>
      </c>
      <c r="I70">
        <v>757.31772000000001</v>
      </c>
      <c r="J70">
        <v>1045.7091600000001</v>
      </c>
      <c r="K70">
        <v>159.27000000000001</v>
      </c>
      <c r="L70">
        <v>1.33334</v>
      </c>
      <c r="M70">
        <v>324.86660999999998</v>
      </c>
      <c r="N70">
        <v>57.626660000000001</v>
      </c>
      <c r="U70" s="221" t="s">
        <v>77</v>
      </c>
      <c r="V70">
        <v>3549.04072</v>
      </c>
      <c r="W70">
        <v>4939.5002999999997</v>
      </c>
      <c r="X70">
        <v>4089.4026600000002</v>
      </c>
      <c r="Y70">
        <v>3321.03343</v>
      </c>
      <c r="Z70">
        <v>2704.5869400000001</v>
      </c>
      <c r="AA70">
        <v>3458.3962900000001</v>
      </c>
      <c r="AB70">
        <v>556.14296999999999</v>
      </c>
      <c r="AC70">
        <v>59.433309999999999</v>
      </c>
      <c r="AD70">
        <v>188.78666000000001</v>
      </c>
      <c r="AE70">
        <v>166.37335999999999</v>
      </c>
    </row>
    <row r="71" spans="1:31">
      <c r="A71" t="s">
        <v>76</v>
      </c>
      <c r="B71" s="216" t="str">
        <f t="shared" si="1"/>
        <v>Aug-19</v>
      </c>
      <c r="C71" s="217">
        <v>43678</v>
      </c>
      <c r="D71">
        <v>6813.3322799999996</v>
      </c>
      <c r="E71">
        <v>1070.2050099999999</v>
      </c>
      <c r="F71">
        <v>1254.3411900000001</v>
      </c>
      <c r="G71">
        <v>1041.0428199999999</v>
      </c>
      <c r="H71">
        <v>1104.5630799999999</v>
      </c>
      <c r="I71">
        <v>756.59772999999996</v>
      </c>
      <c r="J71">
        <v>1041.84248</v>
      </c>
      <c r="K71">
        <v>159.41336000000001</v>
      </c>
      <c r="L71">
        <v>0.66666999999999998</v>
      </c>
      <c r="M71">
        <v>326.03327999999999</v>
      </c>
      <c r="N71">
        <v>58.626660000000001</v>
      </c>
      <c r="U71" s="221" t="s">
        <v>78</v>
      </c>
      <c r="V71">
        <v>1001.47407</v>
      </c>
      <c r="W71">
        <v>1396.4003600000001</v>
      </c>
      <c r="X71">
        <v>1349.1642999999999</v>
      </c>
      <c r="Y71">
        <v>945.82100000000003</v>
      </c>
      <c r="Z71">
        <v>640.32989999999995</v>
      </c>
      <c r="AA71">
        <v>1012.1052</v>
      </c>
      <c r="AB71">
        <v>33.157249999999998</v>
      </c>
      <c r="AC71">
        <v>96.262500000000003</v>
      </c>
      <c r="AD71">
        <v>654.54121999999995</v>
      </c>
      <c r="AE71">
        <v>1</v>
      </c>
    </row>
    <row r="72" spans="1:31">
      <c r="A72" t="s">
        <v>76</v>
      </c>
      <c r="B72" s="216" t="str">
        <f t="shared" si="1"/>
        <v>Sep-19</v>
      </c>
      <c r="C72" s="217">
        <v>43709</v>
      </c>
      <c r="D72">
        <v>6784.0117199999995</v>
      </c>
      <c r="E72">
        <v>1049.41039</v>
      </c>
      <c r="F72">
        <v>1252.1995099999999</v>
      </c>
      <c r="G72">
        <v>1038.3798899999999</v>
      </c>
      <c r="H72">
        <v>1101.44975</v>
      </c>
      <c r="I72">
        <v>753.68439000000001</v>
      </c>
      <c r="J72">
        <v>1034.56915</v>
      </c>
      <c r="K72">
        <v>161.49336</v>
      </c>
      <c r="L72">
        <v>0.66666999999999998</v>
      </c>
      <c r="M72">
        <v>333.53194999999999</v>
      </c>
      <c r="N72">
        <v>58.626660000000001</v>
      </c>
      <c r="U72" s="7" t="s">
        <v>85</v>
      </c>
      <c r="V72">
        <v>12224.863810000001</v>
      </c>
      <c r="W72">
        <v>16164.149280000001</v>
      </c>
      <c r="X72">
        <v>13727.506109999998</v>
      </c>
      <c r="Y72">
        <v>10986.360999999999</v>
      </c>
      <c r="Z72">
        <v>9374.82935</v>
      </c>
      <c r="AA72">
        <v>11657.292000000001</v>
      </c>
      <c r="AB72">
        <v>1986.2450599999997</v>
      </c>
      <c r="AC72">
        <v>2015.91912</v>
      </c>
      <c r="AD72">
        <v>1453.8080800000002</v>
      </c>
      <c r="AE72">
        <v>3876.8057699999999</v>
      </c>
    </row>
    <row r="73" spans="1:31">
      <c r="A73" t="s">
        <v>76</v>
      </c>
      <c r="B73" s="216" t="str">
        <f t="shared" si="1"/>
        <v>Oct-19</v>
      </c>
      <c r="C73" s="217">
        <v>43739</v>
      </c>
      <c r="D73">
        <v>6784.4487099999988</v>
      </c>
      <c r="E73">
        <v>1037.9340199999999</v>
      </c>
      <c r="F73">
        <v>1265.1195299999999</v>
      </c>
      <c r="G73">
        <v>1038.9598800000001</v>
      </c>
      <c r="H73">
        <v>1097.43643</v>
      </c>
      <c r="I73">
        <v>751.86437999999998</v>
      </c>
      <c r="J73">
        <v>1037.34916</v>
      </c>
      <c r="K73">
        <v>162.70669000000001</v>
      </c>
      <c r="L73">
        <v>0.66666999999999998</v>
      </c>
      <c r="M73">
        <v>333.78528999999997</v>
      </c>
      <c r="N73">
        <v>58.626660000000001</v>
      </c>
      <c r="U73" s="221" t="s">
        <v>71</v>
      </c>
      <c r="V73">
        <v>2639.63699</v>
      </c>
      <c r="W73">
        <v>3449.0645300000001</v>
      </c>
      <c r="X73">
        <v>2782.2112099999999</v>
      </c>
      <c r="Y73">
        <v>2066.0374400000001</v>
      </c>
      <c r="Z73">
        <v>2083.8847900000001</v>
      </c>
      <c r="AA73">
        <v>2383.7166400000001</v>
      </c>
      <c r="AB73">
        <v>382.04136</v>
      </c>
      <c r="AC73">
        <v>337.91061000000002</v>
      </c>
      <c r="AD73">
        <v>250.93946</v>
      </c>
      <c r="AE73">
        <v>2015.5833</v>
      </c>
    </row>
    <row r="74" spans="1:31">
      <c r="A74" t="s">
        <v>76</v>
      </c>
      <c r="B74" s="216" t="str">
        <f t="shared" si="1"/>
        <v>Nov-19</v>
      </c>
      <c r="C74" s="217">
        <v>43770</v>
      </c>
      <c r="D74">
        <v>6791.7593699999998</v>
      </c>
      <c r="E74">
        <v>1034.3446799999999</v>
      </c>
      <c r="F74">
        <v>1268.7862</v>
      </c>
      <c r="G74">
        <v>1042.4598599999999</v>
      </c>
      <c r="H74">
        <v>1099.65644</v>
      </c>
      <c r="I74">
        <v>751.70439999999996</v>
      </c>
      <c r="J74">
        <v>1029.2891500000001</v>
      </c>
      <c r="K74">
        <v>166.44002</v>
      </c>
      <c r="L74">
        <v>0.66666999999999998</v>
      </c>
      <c r="M74">
        <v>339.78528999999997</v>
      </c>
      <c r="N74">
        <v>58.626660000000001</v>
      </c>
      <c r="U74" s="221" t="s">
        <v>69</v>
      </c>
      <c r="V74">
        <v>773.76190999999994</v>
      </c>
      <c r="W74">
        <v>1052.2859100000001</v>
      </c>
      <c r="X74">
        <v>1257.4084800000001</v>
      </c>
      <c r="Y74">
        <v>711.59596999999997</v>
      </c>
      <c r="Z74">
        <v>624.94971999999996</v>
      </c>
      <c r="AA74">
        <v>850.55028000000004</v>
      </c>
      <c r="AB74">
        <v>133.24561</v>
      </c>
      <c r="AC74">
        <v>64.054140000000004</v>
      </c>
      <c r="AD74">
        <v>123.82304999999999</v>
      </c>
      <c r="AE74">
        <v>1035.76944</v>
      </c>
    </row>
    <row r="75" spans="1:31">
      <c r="A75" t="s">
        <v>76</v>
      </c>
      <c r="B75" s="216" t="str">
        <f t="shared" si="1"/>
        <v>Dec-19</v>
      </c>
      <c r="C75" s="217">
        <v>43800</v>
      </c>
      <c r="D75">
        <v>6779.8406999999997</v>
      </c>
      <c r="E75">
        <v>1024.8446799999999</v>
      </c>
      <c r="F75">
        <v>1265.54621</v>
      </c>
      <c r="G75">
        <v>1041.55449</v>
      </c>
      <c r="H75">
        <v>1099.65644</v>
      </c>
      <c r="I75">
        <v>747.57773999999995</v>
      </c>
      <c r="J75">
        <v>1029.3025</v>
      </c>
      <c r="K75">
        <v>165.68002000000001</v>
      </c>
      <c r="L75">
        <v>0.66666999999999998</v>
      </c>
      <c r="M75">
        <v>346.38529</v>
      </c>
      <c r="N75">
        <v>58.626660000000001</v>
      </c>
      <c r="U75" s="221" t="s">
        <v>72</v>
      </c>
      <c r="V75">
        <v>221.82220000000001</v>
      </c>
      <c r="W75">
        <v>257.89413999999999</v>
      </c>
      <c r="X75">
        <v>502.77627000000001</v>
      </c>
      <c r="Y75">
        <v>190.99760000000001</v>
      </c>
      <c r="Z75">
        <v>180.72861</v>
      </c>
      <c r="AA75">
        <v>309.49612000000002</v>
      </c>
      <c r="AB75">
        <v>5</v>
      </c>
      <c r="AC75">
        <v>351.22291999999999</v>
      </c>
      <c r="AD75">
        <v>146.95332999999999</v>
      </c>
      <c r="AE75">
        <v>0</v>
      </c>
    </row>
    <row r="76" spans="1:31">
      <c r="A76" t="s">
        <v>76</v>
      </c>
      <c r="B76" s="216" t="str">
        <f t="shared" si="1"/>
        <v>Jan-20</v>
      </c>
      <c r="C76" s="217">
        <v>43831</v>
      </c>
      <c r="D76">
        <v>6794.03737</v>
      </c>
      <c r="E76">
        <v>1023.89804</v>
      </c>
      <c r="F76">
        <v>1269.7128600000001</v>
      </c>
      <c r="G76">
        <v>1049.02783</v>
      </c>
      <c r="H76">
        <v>1106.5530699999999</v>
      </c>
      <c r="I76">
        <v>745.32440999999994</v>
      </c>
      <c r="J76">
        <v>1026.28252</v>
      </c>
      <c r="K76">
        <v>166.06668999999999</v>
      </c>
      <c r="L76">
        <v>0.66666999999999998</v>
      </c>
      <c r="M76">
        <v>347.87862000000001</v>
      </c>
      <c r="N76">
        <v>58.626660000000001</v>
      </c>
      <c r="U76" s="221" t="s">
        <v>73</v>
      </c>
      <c r="V76">
        <v>1</v>
      </c>
      <c r="W76">
        <v>49.9</v>
      </c>
      <c r="X76">
        <v>24.67998</v>
      </c>
      <c r="Y76">
        <v>22</v>
      </c>
      <c r="Z76">
        <v>1</v>
      </c>
      <c r="AA76">
        <v>0</v>
      </c>
      <c r="AB76">
        <v>1</v>
      </c>
      <c r="AC76">
        <v>0</v>
      </c>
      <c r="AD76">
        <v>3.1333199999999999</v>
      </c>
      <c r="AE76">
        <v>0</v>
      </c>
    </row>
    <row r="77" spans="1:31">
      <c r="A77" t="s">
        <v>76</v>
      </c>
      <c r="B77" s="216" t="str">
        <f t="shared" si="1"/>
        <v>Feb-20</v>
      </c>
      <c r="C77" s="217">
        <v>43862</v>
      </c>
      <c r="D77">
        <v>6805.8870200000001</v>
      </c>
      <c r="E77">
        <v>1022.92683</v>
      </c>
      <c r="F77">
        <v>1266.7337</v>
      </c>
      <c r="G77">
        <v>1053.50783</v>
      </c>
      <c r="H77">
        <v>1104.5663999999999</v>
      </c>
      <c r="I77">
        <v>748.55107999999996</v>
      </c>
      <c r="J77">
        <v>1033.92254</v>
      </c>
      <c r="K77">
        <v>166.72002000000001</v>
      </c>
      <c r="L77">
        <v>0.66666999999999998</v>
      </c>
      <c r="M77">
        <v>351.97194999999999</v>
      </c>
      <c r="N77">
        <v>56.32</v>
      </c>
      <c r="U77" s="221" t="s">
        <v>74</v>
      </c>
      <c r="V77">
        <v>437.04635000000002</v>
      </c>
      <c r="W77">
        <v>639.25540999999998</v>
      </c>
      <c r="X77">
        <v>454.82200999999998</v>
      </c>
      <c r="Y77">
        <v>338.87745999999999</v>
      </c>
      <c r="Z77">
        <v>312.84097000000003</v>
      </c>
      <c r="AA77">
        <v>345.75734</v>
      </c>
      <c r="AB77">
        <v>71.789330000000007</v>
      </c>
      <c r="AC77">
        <v>10.5</v>
      </c>
      <c r="AD77">
        <v>49.206659999999999</v>
      </c>
      <c r="AE77">
        <v>2</v>
      </c>
    </row>
    <row r="78" spans="1:31">
      <c r="A78" t="s">
        <v>76</v>
      </c>
      <c r="B78" s="216" t="str">
        <f t="shared" si="1"/>
        <v>Mar-20</v>
      </c>
      <c r="C78" s="217">
        <v>43891</v>
      </c>
      <c r="D78">
        <v>6848.1602499999999</v>
      </c>
      <c r="E78">
        <v>1012.30673</v>
      </c>
      <c r="F78">
        <v>1263.02702</v>
      </c>
      <c r="G78">
        <v>1053.56114</v>
      </c>
      <c r="H78">
        <v>1109.73975</v>
      </c>
      <c r="I78">
        <v>806.01774999999998</v>
      </c>
      <c r="J78">
        <v>1029.1492000000001</v>
      </c>
      <c r="K78">
        <v>166.36002999999999</v>
      </c>
      <c r="L78">
        <v>0.66666999999999998</v>
      </c>
      <c r="M78">
        <v>351.01195999999999</v>
      </c>
      <c r="N78">
        <v>56.32</v>
      </c>
      <c r="U78" s="221" t="s">
        <v>75</v>
      </c>
      <c r="V78">
        <v>2496.7365300000001</v>
      </c>
      <c r="W78">
        <v>3164.3018200000001</v>
      </c>
      <c r="X78">
        <v>2421.8865900000001</v>
      </c>
      <c r="Y78">
        <v>2188.4616799999999</v>
      </c>
      <c r="Z78">
        <v>1877.4640099999999</v>
      </c>
      <c r="AA78">
        <v>2313.5012200000001</v>
      </c>
      <c r="AB78">
        <v>633.94251999999994</v>
      </c>
      <c r="AC78">
        <v>1078.5281299999999</v>
      </c>
      <c r="AD78">
        <v>507.51195999999999</v>
      </c>
      <c r="AE78">
        <v>555.68236000000002</v>
      </c>
    </row>
    <row r="79" spans="1:31">
      <c r="A79" t="s">
        <v>76</v>
      </c>
      <c r="B79" s="216" t="str">
        <f t="shared" si="1"/>
        <v>Apr-20</v>
      </c>
      <c r="C79" s="217">
        <v>43922</v>
      </c>
      <c r="D79">
        <v>7055.8455699999995</v>
      </c>
      <c r="E79">
        <v>1008.63335</v>
      </c>
      <c r="F79">
        <v>1261.11637</v>
      </c>
      <c r="G79">
        <v>1054.61448</v>
      </c>
      <c r="H79">
        <v>1121.4082800000001</v>
      </c>
      <c r="I79">
        <v>1000.45591</v>
      </c>
      <c r="J79">
        <v>1033.05186</v>
      </c>
      <c r="K79">
        <v>166.86669000000001</v>
      </c>
      <c r="L79">
        <v>0.66666999999999998</v>
      </c>
      <c r="M79">
        <v>350.71195999999998</v>
      </c>
      <c r="N79">
        <v>58.32</v>
      </c>
      <c r="U79" s="221" t="s">
        <v>76</v>
      </c>
      <c r="V79">
        <v>987.80586000000005</v>
      </c>
      <c r="W79">
        <v>1223.3458700000001</v>
      </c>
      <c r="X79">
        <v>1113.99809</v>
      </c>
      <c r="Y79">
        <v>1099.1045999999999</v>
      </c>
      <c r="Z79">
        <v>917.52309000000002</v>
      </c>
      <c r="AA79">
        <v>1025.2185899999999</v>
      </c>
      <c r="AB79">
        <v>170.44668999999999</v>
      </c>
      <c r="AC79">
        <v>0.66666999999999998</v>
      </c>
      <c r="AD79">
        <v>60.231969999999997</v>
      </c>
      <c r="AE79">
        <v>61.973320000000001</v>
      </c>
    </row>
    <row r="80" spans="1:31">
      <c r="A80" t="s">
        <v>77</v>
      </c>
      <c r="B80" s="216" t="str">
        <f t="shared" si="1"/>
        <v>Apr-19</v>
      </c>
      <c r="C80" s="217">
        <v>43556</v>
      </c>
      <c r="D80">
        <v>22684.14085</v>
      </c>
      <c r="E80">
        <v>3478.8559399999999</v>
      </c>
      <c r="F80">
        <v>4956.0634300000002</v>
      </c>
      <c r="G80">
        <v>3862.1151500000001</v>
      </c>
      <c r="H80">
        <v>3301.3555999999999</v>
      </c>
      <c r="I80">
        <v>2655.8343799999998</v>
      </c>
      <c r="J80">
        <v>3493.5979299999999</v>
      </c>
      <c r="K80">
        <v>537.85841000000005</v>
      </c>
      <c r="L80">
        <v>59.766649999999998</v>
      </c>
      <c r="M80">
        <v>181.86</v>
      </c>
      <c r="N80">
        <v>156.83336</v>
      </c>
      <c r="U80" s="221" t="s">
        <v>77</v>
      </c>
      <c r="V80">
        <v>3771.6055200000001</v>
      </c>
      <c r="W80">
        <v>5145.9286700000002</v>
      </c>
      <c r="X80">
        <v>4021.2382899999998</v>
      </c>
      <c r="Y80">
        <v>3520.0127499999999</v>
      </c>
      <c r="Z80">
        <v>2788.8414299999999</v>
      </c>
      <c r="AA80">
        <v>3530.9781600000001</v>
      </c>
      <c r="AB80">
        <v>554.83601999999996</v>
      </c>
      <c r="AC80">
        <v>73.786649999999995</v>
      </c>
      <c r="AD80">
        <v>192.21333000000001</v>
      </c>
      <c r="AE80">
        <v>204.79734999999999</v>
      </c>
    </row>
    <row r="81" spans="1:34">
      <c r="A81" t="s">
        <v>77</v>
      </c>
      <c r="B81" s="216" t="str">
        <f t="shared" si="1"/>
        <v>May-19</v>
      </c>
      <c r="C81" s="217">
        <v>43586</v>
      </c>
      <c r="D81">
        <v>22634.75488</v>
      </c>
      <c r="E81">
        <v>3467.3659299999999</v>
      </c>
      <c r="F81">
        <v>4958.8287499999997</v>
      </c>
      <c r="G81">
        <v>3858.01755</v>
      </c>
      <c r="H81">
        <v>3297.6294499999999</v>
      </c>
      <c r="I81">
        <v>2644.4069100000002</v>
      </c>
      <c r="J81">
        <v>3450.42121</v>
      </c>
      <c r="K81">
        <v>543.65174000000002</v>
      </c>
      <c r="L81">
        <v>59.939979999999998</v>
      </c>
      <c r="M81">
        <v>185.86</v>
      </c>
      <c r="N81">
        <v>168.63336000000001</v>
      </c>
      <c r="U81" s="221" t="s">
        <v>78</v>
      </c>
      <c r="V81">
        <v>895.44844999999998</v>
      </c>
      <c r="W81">
        <v>1182.17293</v>
      </c>
      <c r="X81">
        <v>1148.4851900000001</v>
      </c>
      <c r="Y81">
        <v>849.27350000000001</v>
      </c>
      <c r="Z81">
        <v>587.59672999999998</v>
      </c>
      <c r="AA81">
        <v>898.07365000000004</v>
      </c>
      <c r="AB81">
        <v>33.943530000000003</v>
      </c>
      <c r="AC81">
        <v>99.25</v>
      </c>
      <c r="AD81">
        <v>119.795</v>
      </c>
      <c r="AE81">
        <v>1</v>
      </c>
    </row>
    <row r="82" spans="1:34">
      <c r="A82" t="s">
        <v>77</v>
      </c>
      <c r="B82" s="216" t="str">
        <f t="shared" si="1"/>
        <v>Jun-19</v>
      </c>
      <c r="C82" s="217">
        <v>43617</v>
      </c>
      <c r="D82">
        <v>22552.622859999999</v>
      </c>
      <c r="E82">
        <v>3475.3907100000001</v>
      </c>
      <c r="F82">
        <v>4929.5780699999996</v>
      </c>
      <c r="G82">
        <v>3849.6964899999998</v>
      </c>
      <c r="H82">
        <v>3287.4625099999998</v>
      </c>
      <c r="I82">
        <v>2631.4335799999999</v>
      </c>
      <c r="J82">
        <v>3428.7478700000001</v>
      </c>
      <c r="K82">
        <v>540.46695</v>
      </c>
      <c r="L82">
        <v>59.939979999999998</v>
      </c>
      <c r="M82">
        <v>183.72667000000001</v>
      </c>
      <c r="N82">
        <v>166.18002999999999</v>
      </c>
      <c r="U82" s="7" t="s">
        <v>86</v>
      </c>
      <c r="V82">
        <v>12213.183779999999</v>
      </c>
      <c r="W82">
        <v>16821.035660000001</v>
      </c>
      <c r="X82">
        <v>14015.001729999998</v>
      </c>
      <c r="Y82">
        <v>10874.45895</v>
      </c>
      <c r="Z82">
        <v>9640.0882900000015</v>
      </c>
      <c r="AA82">
        <v>11669.7111</v>
      </c>
      <c r="AB82">
        <v>2020.3669899999998</v>
      </c>
      <c r="AC82">
        <v>2165.67967</v>
      </c>
      <c r="AD82">
        <v>1432.6532500000001</v>
      </c>
      <c r="AE82">
        <v>3970.1222700000003</v>
      </c>
      <c r="AF82">
        <v>368.39173999999997</v>
      </c>
      <c r="AG82">
        <v>984.58</v>
      </c>
      <c r="AH82">
        <v>0</v>
      </c>
    </row>
    <row r="83" spans="1:34">
      <c r="A83" t="s">
        <v>77</v>
      </c>
      <c r="B83" s="216" t="str">
        <f t="shared" si="1"/>
        <v>Jul-19</v>
      </c>
      <c r="C83" s="217">
        <v>43647</v>
      </c>
      <c r="D83">
        <v>22496.422000000002</v>
      </c>
      <c r="E83">
        <v>3463.1576300000002</v>
      </c>
      <c r="F83">
        <v>4924.7700400000003</v>
      </c>
      <c r="G83">
        <v>3854.2277100000001</v>
      </c>
      <c r="H83">
        <v>3260.95</v>
      </c>
      <c r="I83">
        <v>2629.3387200000002</v>
      </c>
      <c r="J83">
        <v>3417.37455</v>
      </c>
      <c r="K83">
        <v>532.69000000000005</v>
      </c>
      <c r="L83">
        <v>60.939979999999998</v>
      </c>
      <c r="M83">
        <v>187.79334</v>
      </c>
      <c r="N83">
        <v>165.18002999999999</v>
      </c>
      <c r="U83" s="221" t="s">
        <v>71</v>
      </c>
      <c r="V83">
        <v>2650.3301299999998</v>
      </c>
      <c r="W83">
        <v>3658.8949400000001</v>
      </c>
      <c r="X83">
        <v>2785.61796</v>
      </c>
      <c r="Y83">
        <v>2058.1435999999999</v>
      </c>
      <c r="Z83">
        <v>2182.81538</v>
      </c>
      <c r="AA83">
        <v>2453.5410499999998</v>
      </c>
      <c r="AB83">
        <v>390.59922999999998</v>
      </c>
      <c r="AC83">
        <v>324.30077</v>
      </c>
      <c r="AD83">
        <v>226.83312000000001</v>
      </c>
      <c r="AE83">
        <v>2025.11106</v>
      </c>
      <c r="AF83">
        <v>2.5</v>
      </c>
      <c r="AG83">
        <v>0</v>
      </c>
      <c r="AH83">
        <v>0</v>
      </c>
    </row>
    <row r="84" spans="1:34">
      <c r="A84" t="s">
        <v>77</v>
      </c>
      <c r="B84" s="216" t="str">
        <f t="shared" si="1"/>
        <v>Aug-19</v>
      </c>
      <c r="C84" s="217">
        <v>43678</v>
      </c>
      <c r="D84">
        <v>22452.394929999995</v>
      </c>
      <c r="E84">
        <v>3470.2616899999998</v>
      </c>
      <c r="F84">
        <v>4888.6166800000001</v>
      </c>
      <c r="G84">
        <v>3863.9943699999999</v>
      </c>
      <c r="H84">
        <v>3255.0726599999998</v>
      </c>
      <c r="I84">
        <v>2621.4666999999999</v>
      </c>
      <c r="J84">
        <v>3401.4246600000001</v>
      </c>
      <c r="K84">
        <v>537.25815999999998</v>
      </c>
      <c r="L84">
        <v>62.139980000000001</v>
      </c>
      <c r="M84">
        <v>188.62</v>
      </c>
      <c r="N84">
        <v>163.54003</v>
      </c>
      <c r="U84" s="221" t="s">
        <v>69</v>
      </c>
      <c r="V84">
        <v>792.12615000000005</v>
      </c>
      <c r="W84">
        <v>1124.8664200000001</v>
      </c>
      <c r="X84">
        <v>1354.2258400000001</v>
      </c>
      <c r="Y84">
        <v>707.62103999999999</v>
      </c>
      <c r="Z84">
        <v>651.35951</v>
      </c>
      <c r="AA84">
        <v>853.04150000000004</v>
      </c>
      <c r="AB84">
        <v>134.88242</v>
      </c>
      <c r="AC84">
        <v>67.844260000000006</v>
      </c>
      <c r="AD84">
        <v>137.76265000000001</v>
      </c>
      <c r="AE84">
        <v>1088.95822</v>
      </c>
      <c r="AF84">
        <v>4.8</v>
      </c>
      <c r="AG84">
        <v>0</v>
      </c>
      <c r="AH84">
        <v>0</v>
      </c>
    </row>
    <row r="85" spans="1:34">
      <c r="A85" t="s">
        <v>77</v>
      </c>
      <c r="B85" s="216" t="str">
        <f t="shared" si="1"/>
        <v>Sep-19</v>
      </c>
      <c r="C85" s="217">
        <v>43709</v>
      </c>
      <c r="D85">
        <v>22680.040119999994</v>
      </c>
      <c r="E85">
        <v>3509.3824599999998</v>
      </c>
      <c r="F85">
        <v>4915.5366999999997</v>
      </c>
      <c r="G85">
        <v>3952.5378599999999</v>
      </c>
      <c r="H85">
        <v>3273.34186</v>
      </c>
      <c r="I85">
        <v>2681.6296200000002</v>
      </c>
      <c r="J85">
        <v>3394.14464</v>
      </c>
      <c r="K85">
        <v>536.96696999999995</v>
      </c>
      <c r="L85">
        <v>63.03998</v>
      </c>
      <c r="M85">
        <v>185.62</v>
      </c>
      <c r="N85">
        <v>167.84003000000001</v>
      </c>
      <c r="U85" s="221" t="s">
        <v>72</v>
      </c>
      <c r="V85">
        <v>229.38220000000001</v>
      </c>
      <c r="W85">
        <v>259.42720000000003</v>
      </c>
      <c r="X85">
        <v>536.74721</v>
      </c>
      <c r="Y85">
        <v>196.69493</v>
      </c>
      <c r="Z85">
        <v>188.05528000000001</v>
      </c>
      <c r="AA85">
        <v>323.58945999999997</v>
      </c>
      <c r="AB85">
        <v>4.6133300000000004</v>
      </c>
      <c r="AC85">
        <v>389.43558000000002</v>
      </c>
      <c r="AD85">
        <v>161.22932</v>
      </c>
      <c r="AE85">
        <v>0</v>
      </c>
      <c r="AF85">
        <v>0</v>
      </c>
      <c r="AG85">
        <v>0</v>
      </c>
      <c r="AH85">
        <v>0</v>
      </c>
    </row>
    <row r="86" spans="1:34">
      <c r="A86" t="s">
        <v>77</v>
      </c>
      <c r="B86" s="216" t="str">
        <f t="shared" si="1"/>
        <v>Oct-19</v>
      </c>
      <c r="C86" s="217">
        <v>43739</v>
      </c>
      <c r="D86">
        <v>22887.205439999998</v>
      </c>
      <c r="E86">
        <v>3518.7325999999998</v>
      </c>
      <c r="F86">
        <v>4986.49269</v>
      </c>
      <c r="G86">
        <v>3972.8944000000001</v>
      </c>
      <c r="H86">
        <v>3301.7368000000001</v>
      </c>
      <c r="I86">
        <v>2690.3773500000002</v>
      </c>
      <c r="J86">
        <v>3466.20462</v>
      </c>
      <c r="K86">
        <v>536.28697</v>
      </c>
      <c r="L86">
        <v>63.03998</v>
      </c>
      <c r="M86">
        <v>187.32</v>
      </c>
      <c r="N86">
        <v>164.12003000000001</v>
      </c>
      <c r="U86" s="221" t="s">
        <v>73</v>
      </c>
      <c r="V86">
        <v>10.5</v>
      </c>
      <c r="W86">
        <v>23.5</v>
      </c>
      <c r="X86">
        <v>27.566649999999999</v>
      </c>
      <c r="Y86">
        <v>63.733339999999998</v>
      </c>
      <c r="Z86">
        <v>1</v>
      </c>
      <c r="AA86">
        <v>0</v>
      </c>
      <c r="AB86">
        <v>0</v>
      </c>
      <c r="AC86">
        <v>0</v>
      </c>
      <c r="AD86">
        <v>3.0666500000000001</v>
      </c>
      <c r="AE86">
        <v>0</v>
      </c>
      <c r="AF86">
        <v>0</v>
      </c>
      <c r="AG86">
        <v>0</v>
      </c>
      <c r="AH86">
        <v>0</v>
      </c>
    </row>
    <row r="87" spans="1:34">
      <c r="A87" t="s">
        <v>77</v>
      </c>
      <c r="B87" s="216" t="str">
        <f t="shared" si="1"/>
        <v>Nov-19</v>
      </c>
      <c r="C87" s="217">
        <v>43770</v>
      </c>
      <c r="D87">
        <v>22846.124669999997</v>
      </c>
      <c r="E87">
        <v>3519.7706600000001</v>
      </c>
      <c r="F87">
        <v>4990.2753599999996</v>
      </c>
      <c r="G87">
        <v>3962.53386</v>
      </c>
      <c r="H87">
        <v>3257.4438500000001</v>
      </c>
      <c r="I87">
        <v>2679.5506700000001</v>
      </c>
      <c r="J87">
        <v>3477.6099599999998</v>
      </c>
      <c r="K87">
        <v>539.52030999999999</v>
      </c>
      <c r="L87">
        <v>60.939979999999998</v>
      </c>
      <c r="M87">
        <v>191.96</v>
      </c>
      <c r="N87">
        <v>166.52001999999999</v>
      </c>
      <c r="U87" s="221" t="s">
        <v>74</v>
      </c>
      <c r="V87">
        <v>468.24376999999998</v>
      </c>
      <c r="W87">
        <v>692.96100999999999</v>
      </c>
      <c r="X87">
        <v>487.05122999999998</v>
      </c>
      <c r="Y87">
        <v>346.41746000000001</v>
      </c>
      <c r="Z87">
        <v>349.67892999999998</v>
      </c>
      <c r="AA87">
        <v>353.18718000000001</v>
      </c>
      <c r="AB87">
        <v>74.961340000000007</v>
      </c>
      <c r="AC87">
        <v>9</v>
      </c>
      <c r="AD87">
        <v>54.606659999999998</v>
      </c>
      <c r="AE87">
        <v>3</v>
      </c>
      <c r="AF87">
        <v>29.342859999999995</v>
      </c>
      <c r="AG87">
        <v>0</v>
      </c>
      <c r="AH87">
        <v>0</v>
      </c>
    </row>
    <row r="88" spans="1:34">
      <c r="A88" t="s">
        <v>77</v>
      </c>
      <c r="B88" s="216" t="str">
        <f t="shared" si="1"/>
        <v>Dec-19</v>
      </c>
      <c r="C88" s="217">
        <v>43800</v>
      </c>
      <c r="D88">
        <v>22770.301060000002</v>
      </c>
      <c r="E88">
        <v>3500.7566099999999</v>
      </c>
      <c r="F88">
        <v>4978.9840599999998</v>
      </c>
      <c r="G88">
        <v>3941.59024</v>
      </c>
      <c r="H88">
        <v>3256.4438500000001</v>
      </c>
      <c r="I88">
        <v>2673.6360300000001</v>
      </c>
      <c r="J88">
        <v>3463.7833000000001</v>
      </c>
      <c r="K88">
        <v>542.83365000000003</v>
      </c>
      <c r="L88">
        <v>60.593310000000002</v>
      </c>
      <c r="M88">
        <v>192.02665999999999</v>
      </c>
      <c r="N88">
        <v>159.65334999999999</v>
      </c>
      <c r="U88" s="221" t="s">
        <v>75</v>
      </c>
      <c r="V88">
        <v>2671.2932000000001</v>
      </c>
      <c r="W88">
        <v>3430.6457099999998</v>
      </c>
      <c r="X88">
        <v>2508.8928900000001</v>
      </c>
      <c r="Y88">
        <v>2187.2494799999999</v>
      </c>
      <c r="Z88">
        <v>2047.5211999999999</v>
      </c>
      <c r="AA88">
        <v>2390.0975100000001</v>
      </c>
      <c r="AB88">
        <v>663.28558999999996</v>
      </c>
      <c r="AC88">
        <v>1189.8230799999999</v>
      </c>
      <c r="AD88">
        <v>504.68266</v>
      </c>
      <c r="AE88">
        <v>593.07565999999997</v>
      </c>
      <c r="AF88">
        <v>277.35187999999999</v>
      </c>
      <c r="AG88">
        <v>983.98</v>
      </c>
      <c r="AH88">
        <v>0</v>
      </c>
    </row>
    <row r="89" spans="1:34">
      <c r="A89" t="s">
        <v>77</v>
      </c>
      <c r="B89" s="216" t="str">
        <f t="shared" si="1"/>
        <v>Jan-20</v>
      </c>
      <c r="C89" s="217">
        <v>43831</v>
      </c>
      <c r="D89">
        <v>22825.079160000001</v>
      </c>
      <c r="E89">
        <v>3505.0792799999999</v>
      </c>
      <c r="F89">
        <v>4964.25209</v>
      </c>
      <c r="G89">
        <v>3956.30611</v>
      </c>
      <c r="H89">
        <v>3308.8270900000002</v>
      </c>
      <c r="I89">
        <v>2669.6909900000001</v>
      </c>
      <c r="J89">
        <v>3453.7899699999998</v>
      </c>
      <c r="K89">
        <v>548.48031000000003</v>
      </c>
      <c r="L89">
        <v>60.89331</v>
      </c>
      <c r="M89">
        <v>190.61332999999999</v>
      </c>
      <c r="N89">
        <v>167.14667999999998</v>
      </c>
      <c r="U89" s="221" t="s">
        <v>76</v>
      </c>
      <c r="V89">
        <v>973.38948000000005</v>
      </c>
      <c r="W89">
        <v>1308.21173</v>
      </c>
      <c r="X89">
        <v>1157.3288399999999</v>
      </c>
      <c r="Y89">
        <v>1066.1950400000001</v>
      </c>
      <c r="Z89">
        <v>836.45375999999999</v>
      </c>
      <c r="AA89">
        <v>990.13802999999996</v>
      </c>
      <c r="AB89">
        <v>178.12671</v>
      </c>
      <c r="AC89">
        <v>0.66666999999999998</v>
      </c>
      <c r="AD89">
        <v>55.363700000000001</v>
      </c>
      <c r="AE89">
        <v>61.813319999999997</v>
      </c>
      <c r="AF89">
        <v>0</v>
      </c>
      <c r="AG89">
        <v>0</v>
      </c>
      <c r="AH89">
        <v>0</v>
      </c>
    </row>
    <row r="90" spans="1:34">
      <c r="A90" t="s">
        <v>77</v>
      </c>
      <c r="B90" s="216" t="str">
        <f t="shared" si="1"/>
        <v>Feb-20</v>
      </c>
      <c r="C90" s="217">
        <v>43862</v>
      </c>
      <c r="D90">
        <v>22812.136189999997</v>
      </c>
      <c r="E90">
        <v>3502.6924899999999</v>
      </c>
      <c r="F90">
        <v>4917.4654099999998</v>
      </c>
      <c r="G90">
        <v>3963.0210299999999</v>
      </c>
      <c r="H90">
        <v>3313.8070899999998</v>
      </c>
      <c r="I90">
        <v>2686.6163099999999</v>
      </c>
      <c r="J90">
        <v>3467.60023</v>
      </c>
      <c r="K90">
        <v>547.68030999999996</v>
      </c>
      <c r="L90">
        <v>59.153309999999998</v>
      </c>
      <c r="M90">
        <v>191.00666000000001</v>
      </c>
      <c r="N90">
        <v>163.09334999999999</v>
      </c>
      <c r="U90" s="221" t="s">
        <v>77</v>
      </c>
      <c r="V90">
        <v>3675.6395900000002</v>
      </c>
      <c r="W90">
        <v>5237.1000800000002</v>
      </c>
      <c r="X90">
        <v>4234.5295599999999</v>
      </c>
      <c r="Y90">
        <v>3518.78755</v>
      </c>
      <c r="Z90">
        <v>2792.42796</v>
      </c>
      <c r="AA90">
        <v>3549.6634300000001</v>
      </c>
      <c r="AB90">
        <v>545.93814999999995</v>
      </c>
      <c r="AC90">
        <v>82.33999</v>
      </c>
      <c r="AD90">
        <v>214.32667000000001</v>
      </c>
      <c r="AE90">
        <v>197.65734</v>
      </c>
      <c r="AF90">
        <v>8.4</v>
      </c>
      <c r="AG90">
        <v>0</v>
      </c>
      <c r="AH90">
        <v>0</v>
      </c>
    </row>
    <row r="91" spans="1:34">
      <c r="A91" t="s">
        <v>77</v>
      </c>
      <c r="B91" s="216" t="str">
        <f t="shared" si="1"/>
        <v>Mar-20</v>
      </c>
      <c r="C91" s="217">
        <v>43891</v>
      </c>
      <c r="D91">
        <v>22926.302589999999</v>
      </c>
      <c r="E91">
        <v>3520.6636699999999</v>
      </c>
      <c r="F91">
        <v>4944.0512900000003</v>
      </c>
      <c r="G91">
        <v>3980.1140999999998</v>
      </c>
      <c r="H91">
        <v>3340.59429</v>
      </c>
      <c r="I91">
        <v>2706.8075100000001</v>
      </c>
      <c r="J91">
        <v>3464.7669000000001</v>
      </c>
      <c r="K91">
        <v>555.59817999999996</v>
      </c>
      <c r="L91">
        <v>57.233310000000003</v>
      </c>
      <c r="M91">
        <v>193.37998999999999</v>
      </c>
      <c r="N91">
        <v>163.09334999999999</v>
      </c>
      <c r="U91" s="221" t="s">
        <v>78</v>
      </c>
      <c r="V91">
        <v>742.27926000000002</v>
      </c>
      <c r="W91">
        <v>1085.42857</v>
      </c>
      <c r="X91">
        <v>923.04155000000003</v>
      </c>
      <c r="Y91">
        <v>729.61650999999995</v>
      </c>
      <c r="Z91">
        <v>590.77626999999995</v>
      </c>
      <c r="AA91">
        <v>756.45294000000001</v>
      </c>
      <c r="AB91">
        <v>27.96022</v>
      </c>
      <c r="AC91">
        <v>102.26931999999999</v>
      </c>
      <c r="AD91">
        <v>74.781819999999996</v>
      </c>
      <c r="AE91">
        <v>0.50666999999999995</v>
      </c>
      <c r="AF91">
        <v>45.997</v>
      </c>
      <c r="AG91">
        <v>0.6</v>
      </c>
      <c r="AH91">
        <v>0</v>
      </c>
    </row>
    <row r="92" spans="1:34">
      <c r="A92" t="s">
        <v>77</v>
      </c>
      <c r="B92" s="216" t="str">
        <f t="shared" si="1"/>
        <v>Apr-20</v>
      </c>
      <c r="C92" s="217">
        <v>43922</v>
      </c>
      <c r="D92">
        <v>23118.718839999998</v>
      </c>
      <c r="E92">
        <v>3539.0889999999999</v>
      </c>
      <c r="F92">
        <v>4948.5134799999996</v>
      </c>
      <c r="G92">
        <v>4138.7972799999998</v>
      </c>
      <c r="H92">
        <v>3340.5361499999999</v>
      </c>
      <c r="I92">
        <v>2705.9216099999999</v>
      </c>
      <c r="J92">
        <v>3480.8106400000001</v>
      </c>
      <c r="K92">
        <v>554.77736000000004</v>
      </c>
      <c r="L92">
        <v>58.479979999999998</v>
      </c>
      <c r="M92">
        <v>190.37998999999999</v>
      </c>
      <c r="N92">
        <v>161.41335000000001</v>
      </c>
      <c r="U92" s="7" t="s">
        <v>87</v>
      </c>
      <c r="V92">
        <v>12760.964829999999</v>
      </c>
      <c r="W92">
        <v>17807.748100000004</v>
      </c>
      <c r="X92">
        <v>14584.548739999998</v>
      </c>
      <c r="Y92">
        <v>11035.213389999999</v>
      </c>
      <c r="Z92">
        <v>10198.450220000001</v>
      </c>
      <c r="AA92">
        <v>12190.74106</v>
      </c>
      <c r="AB92">
        <v>1969.1539700000001</v>
      </c>
      <c r="AC92">
        <v>2137.56214</v>
      </c>
      <c r="AD92">
        <v>1462.3665300000002</v>
      </c>
      <c r="AE92">
        <v>4054.2282000000005</v>
      </c>
      <c r="AF92">
        <v>426.56437000000011</v>
      </c>
      <c r="AG92">
        <v>1122.94</v>
      </c>
      <c r="AH92">
        <v>5428.0634899999995</v>
      </c>
    </row>
    <row r="93" spans="1:34">
      <c r="A93" t="s">
        <v>78</v>
      </c>
      <c r="B93" s="216" t="str">
        <f t="shared" si="1"/>
        <v>Apr-19</v>
      </c>
      <c r="C93" s="217">
        <v>43556</v>
      </c>
      <c r="D93">
        <v>6873.1678099999999</v>
      </c>
      <c r="E93">
        <v>989.73257000000001</v>
      </c>
      <c r="F93">
        <v>1316.6594299999999</v>
      </c>
      <c r="G93">
        <v>1329.8985</v>
      </c>
      <c r="H93">
        <v>951.73770000000002</v>
      </c>
      <c r="I93">
        <v>684.06934999999999</v>
      </c>
      <c r="J93">
        <v>1005.68223</v>
      </c>
      <c r="K93">
        <v>37.431480000000001</v>
      </c>
      <c r="L93">
        <v>83.083330000000004</v>
      </c>
      <c r="M93">
        <v>473.87322</v>
      </c>
      <c r="N93">
        <v>1</v>
      </c>
      <c r="U93" s="221" t="s">
        <v>71</v>
      </c>
      <c r="V93">
        <v>2869.9156800000001</v>
      </c>
      <c r="W93">
        <v>3979.44695</v>
      </c>
      <c r="X93">
        <v>2893.7040099999999</v>
      </c>
      <c r="Y93">
        <v>2103.0643599999999</v>
      </c>
      <c r="Z93">
        <v>2281.9173300000002</v>
      </c>
      <c r="AA93">
        <v>2608.8318599999998</v>
      </c>
      <c r="AB93">
        <v>387.95868000000002</v>
      </c>
      <c r="AC93">
        <v>298.65172000000001</v>
      </c>
      <c r="AD93">
        <v>225.59338</v>
      </c>
      <c r="AE93">
        <v>2076.9010800000001</v>
      </c>
      <c r="AF93">
        <v>1</v>
      </c>
      <c r="AG93">
        <v>0</v>
      </c>
      <c r="AH93">
        <v>116</v>
      </c>
    </row>
    <row r="94" spans="1:34">
      <c r="A94" t="s">
        <v>78</v>
      </c>
      <c r="B94" s="216" t="str">
        <f t="shared" si="1"/>
        <v>May-19</v>
      </c>
      <c r="C94" s="217">
        <v>43586</v>
      </c>
      <c r="D94">
        <v>6871.2255599999999</v>
      </c>
      <c r="E94">
        <v>991.24006999999995</v>
      </c>
      <c r="F94">
        <v>1338.69371</v>
      </c>
      <c r="G94">
        <v>1327.7985000000001</v>
      </c>
      <c r="H94">
        <v>952.95198000000005</v>
      </c>
      <c r="I94">
        <v>686.52468999999996</v>
      </c>
      <c r="J94">
        <v>979.57402999999999</v>
      </c>
      <c r="K94">
        <v>37.48603</v>
      </c>
      <c r="L94">
        <v>84.183329999999998</v>
      </c>
      <c r="M94">
        <v>471.77321999999998</v>
      </c>
      <c r="N94">
        <v>1</v>
      </c>
      <c r="U94" s="221" t="s">
        <v>69</v>
      </c>
      <c r="V94">
        <v>806.26642000000004</v>
      </c>
      <c r="W94">
        <v>1193.6898200000001</v>
      </c>
      <c r="X94">
        <v>1298.3964800000001</v>
      </c>
      <c r="Y94">
        <v>714.02450999999996</v>
      </c>
      <c r="Z94">
        <v>687.14257999999995</v>
      </c>
      <c r="AA94">
        <v>910.00936000000002</v>
      </c>
      <c r="AB94">
        <v>139.91627</v>
      </c>
      <c r="AC94">
        <v>67.045060000000007</v>
      </c>
      <c r="AD94">
        <v>144.03586000000001</v>
      </c>
      <c r="AE94">
        <v>1095.8015600000001</v>
      </c>
      <c r="AF94">
        <v>5</v>
      </c>
      <c r="AG94">
        <v>0</v>
      </c>
      <c r="AH94">
        <v>0.6</v>
      </c>
    </row>
    <row r="95" spans="1:34">
      <c r="A95" t="s">
        <v>78</v>
      </c>
      <c r="B95" s="216" t="str">
        <f t="shared" si="1"/>
        <v>Jun-19</v>
      </c>
      <c r="C95" s="217">
        <v>43617</v>
      </c>
      <c r="D95">
        <v>6850.6377300000004</v>
      </c>
      <c r="E95">
        <v>981.29007000000001</v>
      </c>
      <c r="F95">
        <v>1340.9684199999999</v>
      </c>
      <c r="G95">
        <v>1320.8484900000001</v>
      </c>
      <c r="H95">
        <v>951.57961</v>
      </c>
      <c r="I95">
        <v>690.76027999999997</v>
      </c>
      <c r="J95">
        <v>973.18160999999998</v>
      </c>
      <c r="K95">
        <v>37.786029999999997</v>
      </c>
      <c r="L95">
        <v>83.45</v>
      </c>
      <c r="M95">
        <v>469.77321999999998</v>
      </c>
      <c r="N95">
        <v>1</v>
      </c>
      <c r="U95" s="221" t="s">
        <v>72</v>
      </c>
      <c r="V95">
        <v>242.91551999999999</v>
      </c>
      <c r="W95">
        <v>280.96053000000001</v>
      </c>
      <c r="X95">
        <v>568.31047999999998</v>
      </c>
      <c r="Y95">
        <v>194.69358</v>
      </c>
      <c r="Z95">
        <v>195.56728000000001</v>
      </c>
      <c r="AA95">
        <v>336.34947</v>
      </c>
      <c r="AB95">
        <v>7.6133300000000004</v>
      </c>
      <c r="AC95">
        <v>395.39159000000001</v>
      </c>
      <c r="AD95">
        <v>166.76265000000001</v>
      </c>
      <c r="AE95">
        <v>0</v>
      </c>
      <c r="AF95">
        <v>1.7999999999999998</v>
      </c>
      <c r="AG95">
        <v>0</v>
      </c>
      <c r="AH95">
        <v>0</v>
      </c>
    </row>
    <row r="96" spans="1:34">
      <c r="A96" t="s">
        <v>78</v>
      </c>
      <c r="B96" s="216" t="str">
        <f t="shared" si="1"/>
        <v>Jul-19</v>
      </c>
      <c r="C96" s="217">
        <v>43647</v>
      </c>
      <c r="D96">
        <v>6790.2371000000003</v>
      </c>
      <c r="E96">
        <v>971.44006999999999</v>
      </c>
      <c r="F96">
        <v>1319.3953799999999</v>
      </c>
      <c r="G96">
        <v>1316.4207100000001</v>
      </c>
      <c r="H96">
        <v>947.31</v>
      </c>
      <c r="I96">
        <v>680.63869</v>
      </c>
      <c r="J96">
        <v>962.39570000000003</v>
      </c>
      <c r="K96">
        <v>37.380000000000003</v>
      </c>
      <c r="L96">
        <v>87.583330000000004</v>
      </c>
      <c r="M96">
        <v>466.67322000000001</v>
      </c>
      <c r="N96">
        <v>1</v>
      </c>
      <c r="U96" s="221" t="s">
        <v>73</v>
      </c>
      <c r="V96">
        <v>11</v>
      </c>
      <c r="W96">
        <v>20.5</v>
      </c>
      <c r="X96">
        <v>23.913329999999998</v>
      </c>
      <c r="Y96">
        <v>14.933339999999999</v>
      </c>
      <c r="Z96">
        <v>0</v>
      </c>
      <c r="AA96">
        <v>0</v>
      </c>
      <c r="AB96">
        <v>0</v>
      </c>
      <c r="AC96">
        <v>0</v>
      </c>
      <c r="AD96">
        <v>3.0666500000000001</v>
      </c>
      <c r="AE96">
        <v>0</v>
      </c>
      <c r="AF96">
        <v>0</v>
      </c>
      <c r="AG96">
        <v>0</v>
      </c>
      <c r="AH96">
        <v>0</v>
      </c>
    </row>
    <row r="97" spans="1:34">
      <c r="A97" t="s">
        <v>78</v>
      </c>
      <c r="B97" s="216" t="str">
        <f t="shared" si="1"/>
        <v>Aug-19</v>
      </c>
      <c r="C97" s="217">
        <v>43678</v>
      </c>
      <c r="D97">
        <v>6955.0783099999999</v>
      </c>
      <c r="E97">
        <v>984.17007000000001</v>
      </c>
      <c r="F97">
        <v>1333.1434200000001</v>
      </c>
      <c r="G97">
        <v>1336.5818200000001</v>
      </c>
      <c r="H97">
        <v>959.95444999999995</v>
      </c>
      <c r="I97">
        <v>678.46785999999997</v>
      </c>
      <c r="J97">
        <v>995.02882999999997</v>
      </c>
      <c r="K97">
        <v>37.14481</v>
      </c>
      <c r="L97">
        <v>92.220830000000007</v>
      </c>
      <c r="M97">
        <v>537.36622</v>
      </c>
      <c r="N97">
        <v>1</v>
      </c>
      <c r="U97" s="221" t="s">
        <v>74</v>
      </c>
      <c r="V97">
        <v>479.79219000000001</v>
      </c>
      <c r="W97">
        <v>738.90392999999995</v>
      </c>
      <c r="X97">
        <v>537.30777999999998</v>
      </c>
      <c r="Y97">
        <v>366.46174000000002</v>
      </c>
      <c r="Z97">
        <v>358.79545999999999</v>
      </c>
      <c r="AA97">
        <v>389.84852000000001</v>
      </c>
      <c r="AB97">
        <v>77.294669999999996</v>
      </c>
      <c r="AC97">
        <v>9.6999999999999993</v>
      </c>
      <c r="AD97">
        <v>52.17333</v>
      </c>
      <c r="AE97">
        <v>3</v>
      </c>
      <c r="AF97">
        <v>36.047619999999995</v>
      </c>
      <c r="AG97">
        <v>0</v>
      </c>
      <c r="AH97">
        <v>31.98</v>
      </c>
    </row>
    <row r="98" spans="1:34">
      <c r="A98" t="s">
        <v>78</v>
      </c>
      <c r="B98" s="216" t="str">
        <f t="shared" si="1"/>
        <v>Sep-19</v>
      </c>
      <c r="C98" s="217">
        <v>43709</v>
      </c>
      <c r="D98">
        <v>7023.0860599999996</v>
      </c>
      <c r="E98">
        <v>998.41589999999997</v>
      </c>
      <c r="F98">
        <v>1349.7815000000001</v>
      </c>
      <c r="G98">
        <v>1351.4329299999999</v>
      </c>
      <c r="H98">
        <v>957.57825000000003</v>
      </c>
      <c r="I98">
        <v>681.81786</v>
      </c>
      <c r="J98">
        <v>1014.7101</v>
      </c>
      <c r="K98">
        <v>37.29148</v>
      </c>
      <c r="L98">
        <v>91.01</v>
      </c>
      <c r="M98">
        <v>540.04804000000001</v>
      </c>
      <c r="N98">
        <v>1</v>
      </c>
      <c r="U98" s="221" t="s">
        <v>75</v>
      </c>
      <c r="V98">
        <v>2802.6477199999999</v>
      </c>
      <c r="W98">
        <v>3677.44301</v>
      </c>
      <c r="X98">
        <v>2588.9539599999998</v>
      </c>
      <c r="Y98">
        <v>2259.1847699999998</v>
      </c>
      <c r="Z98">
        <v>2209.8334799999998</v>
      </c>
      <c r="AA98">
        <v>2347.4408100000001</v>
      </c>
      <c r="AB98">
        <v>618.24504999999999</v>
      </c>
      <c r="AC98">
        <v>1191.79294</v>
      </c>
      <c r="AD98">
        <v>528.66664000000003</v>
      </c>
      <c r="AE98">
        <v>625.96559000000002</v>
      </c>
      <c r="AF98">
        <v>323.0247500000001</v>
      </c>
      <c r="AG98">
        <v>1121.4000000000001</v>
      </c>
      <c r="AH98">
        <v>1587.6834899999999</v>
      </c>
    </row>
    <row r="99" spans="1:34">
      <c r="A99" t="s">
        <v>78</v>
      </c>
      <c r="B99" s="216" t="str">
        <f t="shared" si="1"/>
        <v>Oct-19</v>
      </c>
      <c r="C99" s="217">
        <v>43739</v>
      </c>
      <c r="D99">
        <v>7046.4214599999996</v>
      </c>
      <c r="E99">
        <v>1005.22923</v>
      </c>
      <c r="F99">
        <v>1344.5854899999999</v>
      </c>
      <c r="G99">
        <v>1357.20793</v>
      </c>
      <c r="H99">
        <v>960.19114000000002</v>
      </c>
      <c r="I99">
        <v>688.56786</v>
      </c>
      <c r="J99">
        <v>1024.3403699999999</v>
      </c>
      <c r="K99">
        <v>37.23057</v>
      </c>
      <c r="L99">
        <v>92.420829999999995</v>
      </c>
      <c r="M99">
        <v>535.64804000000004</v>
      </c>
      <c r="N99">
        <v>1</v>
      </c>
      <c r="U99" s="221" t="s">
        <v>76</v>
      </c>
      <c r="V99">
        <v>982.93493000000001</v>
      </c>
      <c r="W99">
        <v>1364.66905</v>
      </c>
      <c r="X99">
        <v>1204.61635</v>
      </c>
      <c r="Y99">
        <v>1059.35826</v>
      </c>
      <c r="Z99">
        <v>852.47248999999999</v>
      </c>
      <c r="AA99">
        <v>967.59965</v>
      </c>
      <c r="AB99">
        <v>162.12669</v>
      </c>
      <c r="AC99">
        <v>0.66666999999999998</v>
      </c>
      <c r="AD99">
        <v>59.370370000000001</v>
      </c>
      <c r="AE99">
        <v>57.806649999999998</v>
      </c>
      <c r="AF99">
        <v>0</v>
      </c>
      <c r="AG99">
        <v>0</v>
      </c>
      <c r="AH99">
        <v>468.2</v>
      </c>
    </row>
    <row r="100" spans="1:34">
      <c r="A100" t="s">
        <v>78</v>
      </c>
      <c r="B100" s="216" t="str">
        <f t="shared" si="1"/>
        <v>Nov-19</v>
      </c>
      <c r="C100" s="217">
        <v>43770</v>
      </c>
      <c r="D100">
        <v>7069.2783400000008</v>
      </c>
      <c r="E100">
        <v>1012.60823</v>
      </c>
      <c r="F100">
        <v>1363.30321</v>
      </c>
      <c r="G100">
        <v>1359.3079299999999</v>
      </c>
      <c r="H100">
        <v>948.30628000000002</v>
      </c>
      <c r="I100">
        <v>690.91252999999995</v>
      </c>
      <c r="J100">
        <v>1033.0907199999999</v>
      </c>
      <c r="K100">
        <v>36.23057</v>
      </c>
      <c r="L100">
        <v>91.020830000000004</v>
      </c>
      <c r="M100">
        <v>533.49803999999995</v>
      </c>
      <c r="N100">
        <v>1</v>
      </c>
      <c r="U100" s="221" t="s">
        <v>77</v>
      </c>
      <c r="V100">
        <v>3767.6006200000002</v>
      </c>
      <c r="W100">
        <v>5424.2373900000002</v>
      </c>
      <c r="X100">
        <v>4477.1110099999996</v>
      </c>
      <c r="Y100">
        <v>3577.5607799999998</v>
      </c>
      <c r="Z100">
        <v>2983.3835600000002</v>
      </c>
      <c r="AA100">
        <v>3824.66347</v>
      </c>
      <c r="AB100">
        <v>543.56457999999998</v>
      </c>
      <c r="AC100">
        <v>85.746660000000006</v>
      </c>
      <c r="AD100">
        <v>206.97333</v>
      </c>
      <c r="AE100">
        <v>194.24664999999999</v>
      </c>
      <c r="AF100">
        <v>10.199999999999999</v>
      </c>
      <c r="AG100">
        <v>0</v>
      </c>
      <c r="AH100">
        <v>3.1</v>
      </c>
    </row>
    <row r="101" spans="1:34">
      <c r="A101" t="s">
        <v>78</v>
      </c>
      <c r="B101" s="216" t="str">
        <f t="shared" si="1"/>
        <v>Dec-19</v>
      </c>
      <c r="C101" s="217">
        <v>43800</v>
      </c>
      <c r="D101">
        <v>7064.6471399999991</v>
      </c>
      <c r="E101">
        <v>1010.40823</v>
      </c>
      <c r="F101">
        <v>1362.0492099999999</v>
      </c>
      <c r="G101">
        <v>1357.8079299999999</v>
      </c>
      <c r="H101">
        <v>948.30628000000002</v>
      </c>
      <c r="I101">
        <v>689.79163000000005</v>
      </c>
      <c r="J101">
        <v>1038.71624</v>
      </c>
      <c r="K101">
        <v>35.830570000000002</v>
      </c>
      <c r="L101">
        <v>90.520830000000004</v>
      </c>
      <c r="M101">
        <v>530.21622000000002</v>
      </c>
      <c r="N101">
        <v>1</v>
      </c>
      <c r="U101" s="221" t="s">
        <v>78</v>
      </c>
      <c r="V101">
        <v>797.89175</v>
      </c>
      <c r="W101">
        <v>1127.89742</v>
      </c>
      <c r="X101">
        <v>992.23533999999995</v>
      </c>
      <c r="Y101">
        <v>745.93205</v>
      </c>
      <c r="Z101">
        <v>629.33803999999998</v>
      </c>
      <c r="AA101">
        <v>805.99792000000002</v>
      </c>
      <c r="AB101">
        <v>32.434699999999999</v>
      </c>
      <c r="AC101">
        <v>88.567499999999995</v>
      </c>
      <c r="AD101">
        <v>75.724320000000006</v>
      </c>
      <c r="AE101">
        <v>0.50666999999999995</v>
      </c>
      <c r="AF101">
        <v>49.491999999999997</v>
      </c>
      <c r="AG101">
        <v>1.54</v>
      </c>
      <c r="AH101">
        <v>3220.5</v>
      </c>
    </row>
    <row r="102" spans="1:34">
      <c r="A102" t="s">
        <v>78</v>
      </c>
      <c r="B102" s="216" t="str">
        <f t="shared" si="1"/>
        <v>Jan-20</v>
      </c>
      <c r="C102" s="217">
        <v>43831</v>
      </c>
      <c r="D102">
        <v>7088.7025900000008</v>
      </c>
      <c r="E102">
        <v>1011.52823</v>
      </c>
      <c r="F102">
        <v>1344.5458599999999</v>
      </c>
      <c r="G102">
        <v>1365.32321</v>
      </c>
      <c r="H102">
        <v>974.29642999999999</v>
      </c>
      <c r="I102">
        <v>698.78575999999998</v>
      </c>
      <c r="J102">
        <v>1043.23335</v>
      </c>
      <c r="K102">
        <v>34.852699999999999</v>
      </c>
      <c r="L102">
        <v>91.220830000000007</v>
      </c>
      <c r="M102">
        <v>523.91621999999995</v>
      </c>
      <c r="N102">
        <v>1</v>
      </c>
      <c r="U102" s="7" t="s">
        <v>88</v>
      </c>
      <c r="V102">
        <v>11584.935939999999</v>
      </c>
      <c r="W102">
        <v>15602.3657</v>
      </c>
      <c r="X102">
        <v>13159.524290000001</v>
      </c>
      <c r="Y102">
        <v>10289.928090000001</v>
      </c>
      <c r="Z102">
        <v>8603.6888999999992</v>
      </c>
      <c r="AA102">
        <v>11416.335079999999</v>
      </c>
      <c r="AB102">
        <v>1811.68551</v>
      </c>
      <c r="AC102">
        <v>1701.33374</v>
      </c>
      <c r="AD102">
        <v>4093.72516</v>
      </c>
      <c r="AE102">
        <v>3274.1991899999998</v>
      </c>
    </row>
    <row r="103" spans="1:34">
      <c r="A103" t="s">
        <v>78</v>
      </c>
      <c r="B103" s="216" t="str">
        <f t="shared" si="1"/>
        <v>Feb-20</v>
      </c>
      <c r="C103" s="217">
        <v>43862</v>
      </c>
      <c r="D103">
        <v>7114.5977800000001</v>
      </c>
      <c r="E103">
        <v>1001.28656</v>
      </c>
      <c r="F103">
        <v>1365.80555</v>
      </c>
      <c r="G103">
        <v>1374.8357100000001</v>
      </c>
      <c r="H103">
        <v>972.20060000000001</v>
      </c>
      <c r="I103">
        <v>692.28576999999996</v>
      </c>
      <c r="J103">
        <v>1039.6938399999999</v>
      </c>
      <c r="K103">
        <v>34.852699999999999</v>
      </c>
      <c r="L103">
        <v>91.420829999999995</v>
      </c>
      <c r="M103">
        <v>541.21622000000002</v>
      </c>
      <c r="N103">
        <v>1</v>
      </c>
      <c r="U103" s="221" t="s">
        <v>71</v>
      </c>
      <c r="V103">
        <v>2319.6327700000002</v>
      </c>
      <c r="W103">
        <v>3147.1162399999998</v>
      </c>
      <c r="X103">
        <v>2576.0635699999998</v>
      </c>
      <c r="Y103">
        <v>1908.08258</v>
      </c>
      <c r="Z103">
        <v>1793.97855</v>
      </c>
      <c r="AA103">
        <v>2306.0793699999999</v>
      </c>
      <c r="AB103">
        <v>328.97116999999997</v>
      </c>
      <c r="AC103">
        <v>269.30344000000002</v>
      </c>
      <c r="AD103">
        <v>199.25998999999999</v>
      </c>
      <c r="AE103">
        <v>1449.55026</v>
      </c>
    </row>
    <row r="104" spans="1:34">
      <c r="A104" t="s">
        <v>78</v>
      </c>
      <c r="B104" s="216" t="str">
        <f t="shared" si="1"/>
        <v>Mar-20</v>
      </c>
      <c r="C104" s="217">
        <v>43891</v>
      </c>
      <c r="D104">
        <v>7155.8974500000004</v>
      </c>
      <c r="E104">
        <v>1011.88656</v>
      </c>
      <c r="F104">
        <v>1378.0510099999999</v>
      </c>
      <c r="G104">
        <v>1379.7357099999999</v>
      </c>
      <c r="H104">
        <v>978.71789999999999</v>
      </c>
      <c r="I104">
        <v>701.09244000000001</v>
      </c>
      <c r="J104">
        <v>1040.28908</v>
      </c>
      <c r="K104">
        <v>35.352699999999999</v>
      </c>
      <c r="L104">
        <v>90.420829999999995</v>
      </c>
      <c r="M104">
        <v>539.35122000000001</v>
      </c>
      <c r="N104">
        <v>1</v>
      </c>
      <c r="U104" s="221" t="s">
        <v>69</v>
      </c>
      <c r="V104">
        <v>745.22906999999998</v>
      </c>
      <c r="W104">
        <v>911.85350000000005</v>
      </c>
      <c r="X104">
        <v>877.14543000000003</v>
      </c>
      <c r="Y104">
        <v>597.58717999999999</v>
      </c>
      <c r="Z104">
        <v>562.10321999999996</v>
      </c>
      <c r="AA104">
        <v>775.77934000000005</v>
      </c>
      <c r="AB104">
        <v>122.67895</v>
      </c>
      <c r="AC104">
        <v>61.287469999999999</v>
      </c>
      <c r="AD104">
        <v>115.98504</v>
      </c>
      <c r="AE104">
        <v>1076.5528899999999</v>
      </c>
    </row>
    <row r="105" spans="1:34">
      <c r="A105" t="s">
        <v>78</v>
      </c>
      <c r="B105" s="216" t="str">
        <f t="shared" si="1"/>
        <v>Apr-20</v>
      </c>
      <c r="C105" s="217">
        <v>43922</v>
      </c>
      <c r="D105">
        <v>7410.5436900000004</v>
      </c>
      <c r="E105">
        <v>1097.3615600000001</v>
      </c>
      <c r="F105">
        <v>1385.44435</v>
      </c>
      <c r="G105">
        <v>1398.4534900000001</v>
      </c>
      <c r="H105">
        <v>1041.20957</v>
      </c>
      <c r="I105">
        <v>725.20807000000002</v>
      </c>
      <c r="J105">
        <v>1098.9419</v>
      </c>
      <c r="K105">
        <v>34.352699999999999</v>
      </c>
      <c r="L105">
        <v>90.220830000000007</v>
      </c>
      <c r="M105">
        <v>538.35122000000001</v>
      </c>
      <c r="N105">
        <v>1</v>
      </c>
      <c r="U105" s="221" t="s">
        <v>72</v>
      </c>
      <c r="V105">
        <v>226.16888</v>
      </c>
      <c r="W105">
        <v>246.97468000000001</v>
      </c>
      <c r="X105">
        <v>479.54025000000001</v>
      </c>
      <c r="Y105">
        <v>189.28428</v>
      </c>
      <c r="Z105">
        <v>177.5462</v>
      </c>
      <c r="AA105">
        <v>300.95744000000002</v>
      </c>
      <c r="AB105">
        <v>2</v>
      </c>
      <c r="AC105">
        <v>233.75599</v>
      </c>
      <c r="AD105">
        <v>133.22</v>
      </c>
      <c r="AE105">
        <v>0</v>
      </c>
    </row>
    <row r="106" spans="1:34">
      <c r="A106" t="s">
        <v>73</v>
      </c>
      <c r="B106" s="216" t="str">
        <f t="shared" si="1"/>
        <v>Apr-19</v>
      </c>
      <c r="C106" s="217">
        <v>43556</v>
      </c>
      <c r="D106">
        <v>58.926639999999999</v>
      </c>
      <c r="E106">
        <v>6.5</v>
      </c>
      <c r="F106">
        <v>15.86</v>
      </c>
      <c r="G106">
        <v>24.153310000000001</v>
      </c>
      <c r="H106">
        <v>5.0133299999999998</v>
      </c>
      <c r="I106">
        <v>5</v>
      </c>
      <c r="J106">
        <v>2.4</v>
      </c>
      <c r="K106">
        <v>0</v>
      </c>
      <c r="L106">
        <v>0</v>
      </c>
      <c r="M106">
        <v>0</v>
      </c>
      <c r="N106">
        <v>0</v>
      </c>
      <c r="U106" s="221" t="s">
        <v>73</v>
      </c>
      <c r="V106">
        <v>3.5</v>
      </c>
      <c r="W106">
        <v>17.86</v>
      </c>
      <c r="X106">
        <v>38.959969999999998</v>
      </c>
      <c r="Y106">
        <v>4.6266600000000002</v>
      </c>
      <c r="Z106">
        <v>0.6</v>
      </c>
      <c r="AA106">
        <v>1</v>
      </c>
      <c r="AB106">
        <v>0</v>
      </c>
      <c r="AC106">
        <v>0</v>
      </c>
      <c r="AD106">
        <v>0</v>
      </c>
      <c r="AE106">
        <v>0</v>
      </c>
    </row>
    <row r="107" spans="1:34">
      <c r="A107" t="s">
        <v>73</v>
      </c>
      <c r="B107" s="216" t="str">
        <f t="shared" si="1"/>
        <v>May-19</v>
      </c>
      <c r="C107" s="217">
        <v>43586</v>
      </c>
      <c r="D107">
        <v>57.52664</v>
      </c>
      <c r="E107">
        <v>6.5</v>
      </c>
      <c r="F107">
        <v>15.36</v>
      </c>
      <c r="G107">
        <v>23.653310000000001</v>
      </c>
      <c r="H107">
        <v>5.0133299999999998</v>
      </c>
      <c r="I107">
        <v>5</v>
      </c>
      <c r="J107">
        <v>2</v>
      </c>
      <c r="K107">
        <v>0</v>
      </c>
      <c r="L107">
        <v>0</v>
      </c>
      <c r="M107">
        <v>0</v>
      </c>
      <c r="N107">
        <v>0</v>
      </c>
      <c r="U107" s="221" t="s">
        <v>74</v>
      </c>
      <c r="V107">
        <v>444.48489999999998</v>
      </c>
      <c r="W107">
        <v>715.41013999999996</v>
      </c>
      <c r="X107">
        <v>698.46124999999995</v>
      </c>
      <c r="Y107">
        <v>348.47370999999998</v>
      </c>
      <c r="Z107">
        <v>328.68445000000003</v>
      </c>
      <c r="AA107">
        <v>369.95492999999999</v>
      </c>
      <c r="AB107">
        <v>61.965339999999998</v>
      </c>
      <c r="AC107">
        <v>7.5</v>
      </c>
      <c r="AD107">
        <v>55.979990000000001</v>
      </c>
      <c r="AE107">
        <v>0</v>
      </c>
    </row>
    <row r="108" spans="1:34">
      <c r="A108" t="s">
        <v>73</v>
      </c>
      <c r="B108" s="216" t="str">
        <f t="shared" si="1"/>
        <v>Jun-19</v>
      </c>
      <c r="C108" s="217">
        <v>43617</v>
      </c>
      <c r="D108">
        <v>66.753299999999996</v>
      </c>
      <c r="E108">
        <v>6.5</v>
      </c>
      <c r="F108">
        <v>15.36</v>
      </c>
      <c r="G108">
        <v>33.266640000000002</v>
      </c>
      <c r="H108">
        <v>4.6266600000000002</v>
      </c>
      <c r="I108">
        <v>5</v>
      </c>
      <c r="J108">
        <v>2</v>
      </c>
      <c r="K108">
        <v>0</v>
      </c>
      <c r="L108">
        <v>0</v>
      </c>
      <c r="M108">
        <v>0</v>
      </c>
      <c r="N108">
        <v>0</v>
      </c>
      <c r="U108" s="221" t="s">
        <v>75</v>
      </c>
      <c r="V108">
        <v>2309.9108000000001</v>
      </c>
      <c r="W108">
        <v>2956.5716600000001</v>
      </c>
      <c r="X108">
        <v>2148.4011599999999</v>
      </c>
      <c r="Y108">
        <v>1937.46711</v>
      </c>
      <c r="Z108">
        <v>1629.77108</v>
      </c>
      <c r="AA108">
        <v>2130.7619599999998</v>
      </c>
      <c r="AB108">
        <v>551.72581000000002</v>
      </c>
      <c r="AC108">
        <v>977.70603000000006</v>
      </c>
      <c r="AD108">
        <v>2520.6519699999999</v>
      </c>
      <c r="AE108">
        <v>528.81602999999996</v>
      </c>
    </row>
    <row r="109" spans="1:34">
      <c r="A109" t="s">
        <v>73</v>
      </c>
      <c r="B109" s="216" t="str">
        <f t="shared" si="1"/>
        <v>Jul-19</v>
      </c>
      <c r="C109" s="217">
        <v>43647</v>
      </c>
      <c r="D109">
        <v>69.116640000000004</v>
      </c>
      <c r="E109">
        <v>6.5</v>
      </c>
      <c r="F109">
        <v>15.36</v>
      </c>
      <c r="G109">
        <v>35.626640000000002</v>
      </c>
      <c r="H109">
        <v>4.63</v>
      </c>
      <c r="I109">
        <v>5</v>
      </c>
      <c r="J109">
        <v>2</v>
      </c>
      <c r="K109">
        <v>0</v>
      </c>
      <c r="L109">
        <v>0</v>
      </c>
      <c r="M109">
        <v>0</v>
      </c>
      <c r="N109">
        <v>0</v>
      </c>
      <c r="U109" s="221" t="s">
        <v>76</v>
      </c>
      <c r="V109">
        <v>1024.8446799999999</v>
      </c>
      <c r="W109">
        <v>1265.54621</v>
      </c>
      <c r="X109">
        <v>1041.55449</v>
      </c>
      <c r="Y109">
        <v>1099.65644</v>
      </c>
      <c r="Z109">
        <v>747.57773999999995</v>
      </c>
      <c r="AA109">
        <v>1029.3025</v>
      </c>
      <c r="AB109">
        <v>165.68002000000001</v>
      </c>
      <c r="AC109">
        <v>0.66666999999999998</v>
      </c>
      <c r="AD109">
        <v>346.38529</v>
      </c>
      <c r="AE109">
        <v>58.626660000000001</v>
      </c>
    </row>
    <row r="110" spans="1:34">
      <c r="A110" t="s">
        <v>73</v>
      </c>
      <c r="B110" s="216" t="str">
        <f t="shared" si="1"/>
        <v>Aug-19</v>
      </c>
      <c r="C110" s="217">
        <v>43678</v>
      </c>
      <c r="D110">
        <v>66.713300000000004</v>
      </c>
      <c r="E110">
        <v>6.5</v>
      </c>
      <c r="F110">
        <v>15.36</v>
      </c>
      <c r="G110">
        <v>36.626640000000002</v>
      </c>
      <c r="H110">
        <v>3.6266600000000002</v>
      </c>
      <c r="I110">
        <v>2.6</v>
      </c>
      <c r="J110">
        <v>2</v>
      </c>
      <c r="K110">
        <v>0</v>
      </c>
      <c r="L110">
        <v>0</v>
      </c>
      <c r="M110">
        <v>0</v>
      </c>
      <c r="N110">
        <v>0</v>
      </c>
      <c r="U110" s="221" t="s">
        <v>77</v>
      </c>
      <c r="V110">
        <v>3500.7566099999999</v>
      </c>
      <c r="W110">
        <v>4978.9840599999998</v>
      </c>
      <c r="X110">
        <v>3941.59024</v>
      </c>
      <c r="Y110">
        <v>3256.4438500000001</v>
      </c>
      <c r="Z110">
        <v>2673.6360300000001</v>
      </c>
      <c r="AA110">
        <v>3463.7833000000001</v>
      </c>
      <c r="AB110">
        <v>542.83365000000003</v>
      </c>
      <c r="AC110">
        <v>60.593310000000002</v>
      </c>
      <c r="AD110">
        <v>192.02665999999999</v>
      </c>
      <c r="AE110">
        <v>159.65334999999999</v>
      </c>
    </row>
    <row r="111" spans="1:34">
      <c r="A111" t="s">
        <v>73</v>
      </c>
      <c r="B111" s="216" t="str">
        <f t="shared" si="1"/>
        <v>Sep-19</v>
      </c>
      <c r="C111" s="217">
        <v>43709</v>
      </c>
      <c r="D111">
        <v>89.7333</v>
      </c>
      <c r="E111">
        <v>6.5</v>
      </c>
      <c r="F111">
        <v>18.36</v>
      </c>
      <c r="G111">
        <v>45.646639999999998</v>
      </c>
      <c r="H111">
        <v>9.2266600000000007</v>
      </c>
      <c r="I111">
        <v>7</v>
      </c>
      <c r="J111">
        <v>3</v>
      </c>
      <c r="K111">
        <v>0</v>
      </c>
      <c r="L111">
        <v>0</v>
      </c>
      <c r="M111">
        <v>0</v>
      </c>
      <c r="N111">
        <v>0</v>
      </c>
      <c r="U111" s="221" t="s">
        <v>78</v>
      </c>
      <c r="V111">
        <v>1010.40823</v>
      </c>
      <c r="W111">
        <v>1362.0492099999999</v>
      </c>
      <c r="X111">
        <v>1357.8079299999999</v>
      </c>
      <c r="Y111">
        <v>948.30628000000002</v>
      </c>
      <c r="Z111">
        <v>689.79163000000005</v>
      </c>
      <c r="AA111">
        <v>1038.71624</v>
      </c>
      <c r="AB111">
        <v>35.830570000000002</v>
      </c>
      <c r="AC111">
        <v>90.520830000000004</v>
      </c>
      <c r="AD111">
        <v>530.21622000000002</v>
      </c>
      <c r="AE111">
        <v>1</v>
      </c>
    </row>
    <row r="112" spans="1:34">
      <c r="A112" t="s">
        <v>73</v>
      </c>
      <c r="B112" s="216" t="str">
        <f t="shared" si="1"/>
        <v>Oct-19</v>
      </c>
      <c r="C112" s="217">
        <v>43739</v>
      </c>
      <c r="D112">
        <v>83.746629999999996</v>
      </c>
      <c r="E112">
        <v>6.5</v>
      </c>
      <c r="F112">
        <v>18.36</v>
      </c>
      <c r="G112">
        <v>44.259970000000003</v>
      </c>
      <c r="H112">
        <v>5.6266600000000002</v>
      </c>
      <c r="I112">
        <v>7</v>
      </c>
      <c r="J112">
        <v>2</v>
      </c>
      <c r="K112">
        <v>0</v>
      </c>
      <c r="L112">
        <v>0</v>
      </c>
      <c r="M112">
        <v>0</v>
      </c>
      <c r="N112">
        <v>0</v>
      </c>
      <c r="U112" s="7" t="s">
        <v>89</v>
      </c>
      <c r="V112">
        <v>12073.0182</v>
      </c>
      <c r="W112">
        <v>16124.983450000002</v>
      </c>
      <c r="X112">
        <v>13552.633090000001</v>
      </c>
      <c r="Y112">
        <v>11013.343889999998</v>
      </c>
      <c r="Z112">
        <v>9108.4784199999995</v>
      </c>
      <c r="AA112">
        <v>11712.67211</v>
      </c>
      <c r="AB112">
        <v>1902.6918600000001</v>
      </c>
      <c r="AC112">
        <v>1891.02476</v>
      </c>
      <c r="AD112">
        <v>4530.2466199999999</v>
      </c>
      <c r="AE112">
        <v>3766.3628600000002</v>
      </c>
    </row>
    <row r="113" spans="1:31">
      <c r="A113" t="s">
        <v>73</v>
      </c>
      <c r="B113" s="216" t="str">
        <f t="shared" si="1"/>
        <v>Nov-19</v>
      </c>
      <c r="C113" s="217">
        <v>43770</v>
      </c>
      <c r="D113">
        <v>79.746629999999996</v>
      </c>
      <c r="E113">
        <v>5.5</v>
      </c>
      <c r="F113">
        <v>18.36</v>
      </c>
      <c r="G113">
        <v>43.259970000000003</v>
      </c>
      <c r="H113">
        <v>4.6266600000000002</v>
      </c>
      <c r="I113">
        <v>7</v>
      </c>
      <c r="J113">
        <v>1</v>
      </c>
      <c r="K113">
        <v>0</v>
      </c>
      <c r="L113">
        <v>0</v>
      </c>
      <c r="M113">
        <v>0</v>
      </c>
      <c r="N113">
        <v>0</v>
      </c>
      <c r="U113" s="221" t="s">
        <v>71</v>
      </c>
      <c r="V113">
        <v>2511.59782</v>
      </c>
      <c r="W113">
        <v>3347.1610700000001</v>
      </c>
      <c r="X113">
        <v>2648.87093</v>
      </c>
      <c r="Y113">
        <v>2075.2869599999999</v>
      </c>
      <c r="Z113">
        <v>1959.78232</v>
      </c>
      <c r="AA113">
        <v>2392.4059200000002</v>
      </c>
      <c r="AB113">
        <v>353.86615999999998</v>
      </c>
      <c r="AC113">
        <v>337.65676999999999</v>
      </c>
      <c r="AD113">
        <v>356.08</v>
      </c>
      <c r="AE113">
        <v>1857.7291600000001</v>
      </c>
    </row>
    <row r="114" spans="1:31">
      <c r="A114" t="s">
        <v>73</v>
      </c>
      <c r="B114" s="216" t="str">
        <f t="shared" si="1"/>
        <v>Dec-19</v>
      </c>
      <c r="C114" s="217">
        <v>43800</v>
      </c>
      <c r="D114">
        <v>66.546629999999993</v>
      </c>
      <c r="E114">
        <v>3.5</v>
      </c>
      <c r="F114">
        <v>17.86</v>
      </c>
      <c r="G114">
        <v>38.959969999999998</v>
      </c>
      <c r="H114">
        <v>4.6266600000000002</v>
      </c>
      <c r="I114">
        <v>0.6</v>
      </c>
      <c r="J114">
        <v>1</v>
      </c>
      <c r="K114">
        <v>0</v>
      </c>
      <c r="L114">
        <v>0</v>
      </c>
      <c r="M114">
        <v>0</v>
      </c>
      <c r="N114">
        <v>0</v>
      </c>
      <c r="U114" s="221" t="s">
        <v>69</v>
      </c>
      <c r="V114">
        <v>783.69203000000005</v>
      </c>
      <c r="W114">
        <v>968.47333000000003</v>
      </c>
      <c r="X114">
        <v>947.14634999999998</v>
      </c>
      <c r="Y114">
        <v>641.63278000000003</v>
      </c>
      <c r="Z114">
        <v>591.92920000000004</v>
      </c>
      <c r="AA114">
        <v>804.53130999999996</v>
      </c>
      <c r="AB114">
        <v>133.06721999999999</v>
      </c>
      <c r="AC114">
        <v>62.274140000000003</v>
      </c>
      <c r="AD114">
        <v>124.46223999999999</v>
      </c>
      <c r="AE114">
        <v>1117.6547700000001</v>
      </c>
    </row>
    <row r="115" spans="1:31">
      <c r="A115" t="s">
        <v>73</v>
      </c>
      <c r="B115" s="216" t="str">
        <f t="shared" si="1"/>
        <v>Jan-20</v>
      </c>
      <c r="C115" s="217">
        <v>43831</v>
      </c>
      <c r="D115">
        <v>68.546629999999993</v>
      </c>
      <c r="E115">
        <v>3.5</v>
      </c>
      <c r="F115">
        <v>17.86</v>
      </c>
      <c r="G115">
        <v>30.959969999999998</v>
      </c>
      <c r="H115">
        <v>14.626659999999999</v>
      </c>
      <c r="I115">
        <v>0.6</v>
      </c>
      <c r="J115">
        <v>1</v>
      </c>
      <c r="K115">
        <v>0</v>
      </c>
      <c r="L115">
        <v>0</v>
      </c>
      <c r="M115">
        <v>0</v>
      </c>
      <c r="N115">
        <v>0</v>
      </c>
      <c r="U115" s="221" t="s">
        <v>72</v>
      </c>
      <c r="V115">
        <v>227.50888</v>
      </c>
      <c r="W115">
        <v>259.98748999999998</v>
      </c>
      <c r="X115">
        <v>491.28293000000002</v>
      </c>
      <c r="Y115">
        <v>204.52427</v>
      </c>
      <c r="Z115">
        <v>178.83287000000001</v>
      </c>
      <c r="AA115">
        <v>302.97611000000001</v>
      </c>
      <c r="AB115">
        <v>4</v>
      </c>
      <c r="AC115">
        <v>312.57812999999999</v>
      </c>
      <c r="AD115">
        <v>142.45332999999999</v>
      </c>
      <c r="AE115">
        <v>0</v>
      </c>
    </row>
    <row r="116" spans="1:31">
      <c r="A116" t="s">
        <v>73</v>
      </c>
      <c r="B116" s="216" t="str">
        <f t="shared" si="1"/>
        <v>Feb-20</v>
      </c>
      <c r="C116" s="217">
        <v>43862</v>
      </c>
      <c r="D116">
        <v>68.546629999999993</v>
      </c>
      <c r="E116">
        <v>3.5</v>
      </c>
      <c r="F116">
        <v>18.86</v>
      </c>
      <c r="G116">
        <v>30.959969999999998</v>
      </c>
      <c r="H116">
        <v>13.626659999999999</v>
      </c>
      <c r="I116">
        <v>0.6</v>
      </c>
      <c r="J116">
        <v>1</v>
      </c>
      <c r="K116">
        <v>0</v>
      </c>
      <c r="L116">
        <v>0</v>
      </c>
      <c r="M116">
        <v>0</v>
      </c>
      <c r="N116">
        <v>0</v>
      </c>
      <c r="U116" s="221" t="s">
        <v>73</v>
      </c>
      <c r="V116">
        <v>1</v>
      </c>
      <c r="W116">
        <v>71.306669999999997</v>
      </c>
      <c r="X116">
        <v>26.17998</v>
      </c>
      <c r="Y116">
        <v>104.04</v>
      </c>
      <c r="Z116">
        <v>1</v>
      </c>
      <c r="AA116">
        <v>7</v>
      </c>
      <c r="AB116">
        <v>1.4</v>
      </c>
      <c r="AC116">
        <v>0</v>
      </c>
      <c r="AD116">
        <v>1.41333</v>
      </c>
      <c r="AE116">
        <v>0</v>
      </c>
    </row>
    <row r="117" spans="1:31">
      <c r="A117" t="s">
        <v>73</v>
      </c>
      <c r="B117" s="216" t="str">
        <f t="shared" si="1"/>
        <v>Mar-20</v>
      </c>
      <c r="C117" s="217">
        <v>43891</v>
      </c>
      <c r="D117">
        <v>66.546629999999993</v>
      </c>
      <c r="E117">
        <v>2</v>
      </c>
      <c r="F117">
        <v>18.86</v>
      </c>
      <c r="G117">
        <v>25.459969999999998</v>
      </c>
      <c r="H117">
        <v>18.626660000000001</v>
      </c>
      <c r="I117">
        <v>0.6</v>
      </c>
      <c r="J117">
        <v>1</v>
      </c>
      <c r="K117">
        <v>0</v>
      </c>
      <c r="L117">
        <v>0</v>
      </c>
      <c r="M117">
        <v>0</v>
      </c>
      <c r="N117">
        <v>0</v>
      </c>
      <c r="U117" s="221" t="s">
        <v>74</v>
      </c>
      <c r="V117">
        <v>457.8897</v>
      </c>
      <c r="W117">
        <v>750.62181999999996</v>
      </c>
      <c r="X117">
        <v>731.77080999999998</v>
      </c>
      <c r="Y117">
        <v>383.68414000000001</v>
      </c>
      <c r="Z117">
        <v>332.17590999999999</v>
      </c>
      <c r="AA117">
        <v>389.92133000000001</v>
      </c>
      <c r="AB117">
        <v>73.962670000000003</v>
      </c>
      <c r="AC117">
        <v>9.5</v>
      </c>
      <c r="AD117">
        <v>70.19999</v>
      </c>
      <c r="AE117">
        <v>1</v>
      </c>
    </row>
    <row r="118" spans="1:31">
      <c r="A118" t="s">
        <v>73</v>
      </c>
      <c r="B118" s="216" t="str">
        <f t="shared" si="1"/>
        <v>Apr-20</v>
      </c>
      <c r="C118" s="217">
        <v>43922</v>
      </c>
      <c r="D118">
        <v>777.83992000000001</v>
      </c>
      <c r="E118">
        <v>2</v>
      </c>
      <c r="F118">
        <v>250.26</v>
      </c>
      <c r="G118">
        <v>239.28659999999999</v>
      </c>
      <c r="H118">
        <v>91.066659999999999</v>
      </c>
      <c r="I118">
        <v>168.22666000000001</v>
      </c>
      <c r="J118">
        <v>1</v>
      </c>
      <c r="K118">
        <v>21.4</v>
      </c>
      <c r="L118">
        <v>0</v>
      </c>
      <c r="M118">
        <v>4.5999999999999996</v>
      </c>
      <c r="N118">
        <v>0</v>
      </c>
      <c r="U118" s="221" t="s">
        <v>75</v>
      </c>
      <c r="V118">
        <v>2393.7807699999998</v>
      </c>
      <c r="W118">
        <v>3049.9049100000002</v>
      </c>
      <c r="X118">
        <v>2226.67</v>
      </c>
      <c r="Y118">
        <v>2131.9587799999999</v>
      </c>
      <c r="Z118">
        <v>1718.4013600000001</v>
      </c>
      <c r="AA118">
        <v>2170.79027</v>
      </c>
      <c r="AB118">
        <v>584.37787000000003</v>
      </c>
      <c r="AC118">
        <v>1009.74574</v>
      </c>
      <c r="AD118">
        <v>2650.0562100000002</v>
      </c>
      <c r="AE118">
        <v>554.15890000000002</v>
      </c>
    </row>
    <row r="119" spans="1:31">
      <c r="A119" t="s">
        <v>69</v>
      </c>
      <c r="B119" s="216" t="str">
        <f t="shared" si="1"/>
        <v>May-20</v>
      </c>
      <c r="C119" s="217">
        <v>43952</v>
      </c>
      <c r="D119">
        <v>5827.830390000001</v>
      </c>
      <c r="E119">
        <v>740.59146999999996</v>
      </c>
      <c r="F119">
        <v>900.92430000000002</v>
      </c>
      <c r="G119">
        <v>896.18116999999995</v>
      </c>
      <c r="H119">
        <v>602.05226000000005</v>
      </c>
      <c r="I119">
        <v>546.03855999999996</v>
      </c>
      <c r="J119">
        <v>757.88759000000005</v>
      </c>
      <c r="K119">
        <v>129.23575</v>
      </c>
      <c r="L119">
        <v>61.174140000000001</v>
      </c>
      <c r="M119">
        <v>118.51224000000001</v>
      </c>
      <c r="N119">
        <v>1075.2329099999999</v>
      </c>
      <c r="U119" s="221" t="s">
        <v>76</v>
      </c>
      <c r="V119">
        <v>1001.6503300000001</v>
      </c>
      <c r="W119">
        <v>1300.27845</v>
      </c>
      <c r="X119">
        <v>1101.97147</v>
      </c>
      <c r="Y119">
        <v>1094.4112299999999</v>
      </c>
      <c r="Z119">
        <v>917.01255000000003</v>
      </c>
      <c r="AA119">
        <v>1073.12986</v>
      </c>
      <c r="AB119">
        <v>162.32003</v>
      </c>
      <c r="AC119">
        <v>0.66666999999999998</v>
      </c>
      <c r="AD119">
        <v>359.55196999999998</v>
      </c>
      <c r="AE119">
        <v>66.013350000000003</v>
      </c>
    </row>
    <row r="120" spans="1:31">
      <c r="A120" t="s">
        <v>69</v>
      </c>
      <c r="B120" s="216" t="str">
        <f t="shared" si="1"/>
        <v>Jun-20</v>
      </c>
      <c r="C120" s="217">
        <v>43983</v>
      </c>
      <c r="D120">
        <v>5908.8338400000002</v>
      </c>
      <c r="E120">
        <v>754.27814000000001</v>
      </c>
      <c r="F120">
        <v>924.08029999999997</v>
      </c>
      <c r="G120">
        <v>908.04115999999999</v>
      </c>
      <c r="H120">
        <v>608.78558999999996</v>
      </c>
      <c r="I120">
        <v>550.94228999999996</v>
      </c>
      <c r="J120">
        <v>765.53799000000004</v>
      </c>
      <c r="K120">
        <v>128.56908000000001</v>
      </c>
      <c r="L120">
        <v>62.974139999999998</v>
      </c>
      <c r="M120">
        <v>123.51224000000001</v>
      </c>
      <c r="N120">
        <v>1082.1129100000001</v>
      </c>
      <c r="U120" s="221" t="s">
        <v>77</v>
      </c>
      <c r="V120">
        <v>3687.7828300000001</v>
      </c>
      <c r="W120">
        <v>5065.8806100000002</v>
      </c>
      <c r="X120">
        <v>4074.9879500000002</v>
      </c>
      <c r="Y120">
        <v>3434.6524800000002</v>
      </c>
      <c r="Z120">
        <v>2759.1493700000001</v>
      </c>
      <c r="AA120">
        <v>3566.07285</v>
      </c>
      <c r="AB120">
        <v>554.80507999999998</v>
      </c>
      <c r="AC120">
        <v>64.953310000000002</v>
      </c>
      <c r="AD120">
        <v>196.51333</v>
      </c>
      <c r="AE120">
        <v>168.80668</v>
      </c>
    </row>
    <row r="121" spans="1:31">
      <c r="A121" t="s">
        <v>69</v>
      </c>
      <c r="B121" s="216" t="str">
        <f t="shared" si="1"/>
        <v>Jul-20</v>
      </c>
      <c r="C121" s="217">
        <v>44013</v>
      </c>
      <c r="D121">
        <v>5971.7496999999985</v>
      </c>
      <c r="E121">
        <v>757.79147999999998</v>
      </c>
      <c r="F121">
        <v>938.91363000000001</v>
      </c>
      <c r="G121">
        <v>924.08916999999997</v>
      </c>
      <c r="H121">
        <v>619.36558000000002</v>
      </c>
      <c r="I121">
        <v>554.59348</v>
      </c>
      <c r="J121">
        <v>778.35798999999997</v>
      </c>
      <c r="K121">
        <v>130.26908</v>
      </c>
      <c r="L121">
        <v>62.974139999999998</v>
      </c>
      <c r="M121">
        <v>123.36891</v>
      </c>
      <c r="N121">
        <v>1082.0262399999999</v>
      </c>
      <c r="U121" s="221" t="s">
        <v>78</v>
      </c>
      <c r="V121">
        <v>1008.11584</v>
      </c>
      <c r="W121">
        <v>1311.3690999999999</v>
      </c>
      <c r="X121">
        <v>1303.7526700000001</v>
      </c>
      <c r="Y121">
        <v>943.15324999999996</v>
      </c>
      <c r="Z121">
        <v>650.19484</v>
      </c>
      <c r="AA121">
        <v>1005.84446</v>
      </c>
      <c r="AB121">
        <v>34.892829999999996</v>
      </c>
      <c r="AC121">
        <v>93.65</v>
      </c>
      <c r="AD121">
        <v>629.51621999999998</v>
      </c>
      <c r="AE121">
        <v>1</v>
      </c>
    </row>
    <row r="122" spans="1:31">
      <c r="A122" t="s">
        <v>69</v>
      </c>
      <c r="B122" s="216" t="str">
        <f t="shared" si="1"/>
        <v>Aug-20</v>
      </c>
      <c r="C122" s="217">
        <v>44044</v>
      </c>
      <c r="D122">
        <v>6004.5344800000003</v>
      </c>
      <c r="E122">
        <v>766.79814999999996</v>
      </c>
      <c r="F122">
        <v>950.36694999999997</v>
      </c>
      <c r="G122">
        <v>919.22249999999997</v>
      </c>
      <c r="H122">
        <v>620.43544999999995</v>
      </c>
      <c r="I122">
        <v>559.94174999999996</v>
      </c>
      <c r="J122">
        <v>791.08465999999999</v>
      </c>
      <c r="K122">
        <v>131.39573999999999</v>
      </c>
      <c r="L122">
        <v>62.57414</v>
      </c>
      <c r="M122">
        <v>122.85557</v>
      </c>
      <c r="N122">
        <v>1079.8595699999998</v>
      </c>
      <c r="U122" s="7" t="s">
        <v>90</v>
      </c>
      <c r="V122">
        <v>12314.723639999998</v>
      </c>
      <c r="W122">
        <v>16444.265350000001</v>
      </c>
      <c r="X122">
        <v>13843.641170000001</v>
      </c>
      <c r="Y122">
        <v>11091.22</v>
      </c>
      <c r="Z122">
        <v>9535.3764899999987</v>
      </c>
      <c r="AA122">
        <v>11739.967180000001</v>
      </c>
      <c r="AB122">
        <v>2011.3057900000001</v>
      </c>
      <c r="AC122">
        <v>2116.4601600000001</v>
      </c>
      <c r="AD122">
        <v>1428.16669</v>
      </c>
      <c r="AE122">
        <v>4043.2378199999998</v>
      </c>
    </row>
    <row r="123" spans="1:31">
      <c r="A123" t="s">
        <v>69</v>
      </c>
      <c r="B123" s="216" t="str">
        <f t="shared" si="1"/>
        <v>Sep-20</v>
      </c>
      <c r="C123" s="217">
        <v>44075</v>
      </c>
      <c r="D123">
        <v>6128.2818399999996</v>
      </c>
      <c r="E123">
        <v>781.39815999999996</v>
      </c>
      <c r="F123">
        <v>962.86000999999999</v>
      </c>
      <c r="G123">
        <v>934.96</v>
      </c>
      <c r="H123">
        <v>644.20878000000005</v>
      </c>
      <c r="I123">
        <v>577.40841</v>
      </c>
      <c r="J123">
        <v>793.18277999999998</v>
      </c>
      <c r="K123">
        <v>133.56587999999999</v>
      </c>
      <c r="L123">
        <v>62.57414</v>
      </c>
      <c r="M123">
        <v>122.00224</v>
      </c>
      <c r="N123">
        <v>1116.1214399999999</v>
      </c>
      <c r="U123" s="221" t="s">
        <v>71</v>
      </c>
      <c r="V123">
        <v>2602.13706</v>
      </c>
      <c r="W123">
        <v>3454.9576900000002</v>
      </c>
      <c r="X123">
        <v>2832.8210800000002</v>
      </c>
      <c r="Y123">
        <v>2047.55</v>
      </c>
      <c r="Z123">
        <v>2068.3038900000001</v>
      </c>
      <c r="AA123">
        <v>2377.9246600000001</v>
      </c>
      <c r="AB123">
        <v>373.77069</v>
      </c>
      <c r="AC123">
        <v>339.89274999999998</v>
      </c>
      <c r="AD123">
        <v>227.84641999999999</v>
      </c>
      <c r="AE123">
        <v>2097.3603899999998</v>
      </c>
    </row>
    <row r="124" spans="1:31">
      <c r="A124" t="s">
        <v>69</v>
      </c>
      <c r="B124" s="216" t="str">
        <f t="shared" si="1"/>
        <v>Oct-20</v>
      </c>
      <c r="C124" s="217">
        <v>44105</v>
      </c>
      <c r="D124">
        <v>6077.3318399999998</v>
      </c>
      <c r="E124">
        <v>782.85469999999998</v>
      </c>
      <c r="F124">
        <v>964.30668000000003</v>
      </c>
      <c r="G124">
        <v>856.70919000000004</v>
      </c>
      <c r="H124">
        <v>647.01544999999999</v>
      </c>
      <c r="I124">
        <v>580.23081000000002</v>
      </c>
      <c r="J124">
        <v>799.46464000000003</v>
      </c>
      <c r="K124">
        <v>134.36588</v>
      </c>
      <c r="L124">
        <v>62.57414</v>
      </c>
      <c r="M124">
        <v>121.50224</v>
      </c>
      <c r="N124">
        <v>1128.3081099999999</v>
      </c>
      <c r="U124" s="221" t="s">
        <v>69</v>
      </c>
      <c r="V124">
        <v>814.36458000000005</v>
      </c>
      <c r="W124">
        <v>1099.09843</v>
      </c>
      <c r="X124">
        <v>1235.3593100000001</v>
      </c>
      <c r="Y124">
        <v>737.38</v>
      </c>
      <c r="Z124">
        <v>649.30650000000003</v>
      </c>
      <c r="AA124">
        <v>881.33055000000002</v>
      </c>
      <c r="AB124">
        <v>135.52215000000001</v>
      </c>
      <c r="AC124">
        <v>67.534130000000005</v>
      </c>
      <c r="AD124">
        <v>136.26121000000001</v>
      </c>
      <c r="AE124">
        <v>1090.67091</v>
      </c>
    </row>
    <row r="125" spans="1:31">
      <c r="A125" t="s">
        <v>69</v>
      </c>
      <c r="B125" s="216" t="str">
        <f t="shared" si="1"/>
        <v>Nov-20</v>
      </c>
      <c r="C125" s="217">
        <v>44136</v>
      </c>
      <c r="D125">
        <v>6168.8022199999996</v>
      </c>
      <c r="E125">
        <v>783.09869000000003</v>
      </c>
      <c r="F125">
        <v>964.78666999999996</v>
      </c>
      <c r="G125">
        <v>939.17585999999994</v>
      </c>
      <c r="H125">
        <v>642.19545000000005</v>
      </c>
      <c r="I125">
        <v>588.65587000000005</v>
      </c>
      <c r="J125">
        <v>805.63130999999998</v>
      </c>
      <c r="K125">
        <v>132.60055</v>
      </c>
      <c r="L125">
        <v>62.474139999999998</v>
      </c>
      <c r="M125">
        <v>125.46223999999999</v>
      </c>
      <c r="N125">
        <v>1124.72144</v>
      </c>
      <c r="U125" s="221" t="s">
        <v>72</v>
      </c>
      <c r="V125">
        <v>226.80219</v>
      </c>
      <c r="W125">
        <v>250.1208</v>
      </c>
      <c r="X125">
        <v>488.09625999999997</v>
      </c>
      <c r="Y125">
        <v>192.31</v>
      </c>
      <c r="Z125">
        <v>193.81528</v>
      </c>
      <c r="AA125">
        <v>326.08278999999999</v>
      </c>
      <c r="AB125">
        <v>4</v>
      </c>
      <c r="AC125">
        <v>369.28158000000002</v>
      </c>
      <c r="AD125">
        <v>156.64666</v>
      </c>
      <c r="AE125">
        <v>0</v>
      </c>
    </row>
    <row r="126" spans="1:31">
      <c r="A126" t="s">
        <v>69</v>
      </c>
      <c r="B126" s="216" t="str">
        <f t="shared" si="1"/>
        <v>Dec-20</v>
      </c>
      <c r="C126" s="217">
        <v>44166</v>
      </c>
      <c r="D126">
        <v>6174.86337</v>
      </c>
      <c r="E126">
        <v>783.69203000000005</v>
      </c>
      <c r="F126">
        <v>968.47333000000003</v>
      </c>
      <c r="G126">
        <v>947.14634999999998</v>
      </c>
      <c r="H126">
        <v>641.63278000000003</v>
      </c>
      <c r="I126">
        <v>591.92920000000004</v>
      </c>
      <c r="J126">
        <v>804.53130999999996</v>
      </c>
      <c r="K126">
        <v>133.06721999999999</v>
      </c>
      <c r="L126">
        <v>62.274140000000003</v>
      </c>
      <c r="M126">
        <v>124.46223999999999</v>
      </c>
      <c r="N126">
        <v>1117.6547700000001</v>
      </c>
      <c r="U126" s="221" t="s">
        <v>73</v>
      </c>
      <c r="V126">
        <v>7.5</v>
      </c>
      <c r="W126">
        <v>24.5</v>
      </c>
      <c r="X126">
        <v>28.17998</v>
      </c>
      <c r="Y126">
        <v>17</v>
      </c>
      <c r="Z126">
        <v>1</v>
      </c>
      <c r="AA126">
        <v>0</v>
      </c>
      <c r="AB126">
        <v>0</v>
      </c>
      <c r="AC126">
        <v>0</v>
      </c>
      <c r="AD126">
        <v>2.51999</v>
      </c>
      <c r="AE126">
        <v>0</v>
      </c>
    </row>
    <row r="127" spans="1:31">
      <c r="A127" t="s">
        <v>69</v>
      </c>
      <c r="B127" s="216" t="str">
        <f t="shared" si="1"/>
        <v>Jan-21</v>
      </c>
      <c r="C127" s="217">
        <v>44197</v>
      </c>
      <c r="D127">
        <v>6198.1438400000006</v>
      </c>
      <c r="E127">
        <v>785.13202000000001</v>
      </c>
      <c r="F127">
        <v>964.41385000000002</v>
      </c>
      <c r="G127">
        <v>951.39031999999997</v>
      </c>
      <c r="H127">
        <v>646.99945000000002</v>
      </c>
      <c r="I127">
        <v>595.93584999999996</v>
      </c>
      <c r="J127">
        <v>808.37131999999997</v>
      </c>
      <c r="K127">
        <v>137.60321999999999</v>
      </c>
      <c r="L127">
        <v>62.07414</v>
      </c>
      <c r="M127">
        <v>124.06224</v>
      </c>
      <c r="N127">
        <v>1122.1614300000001</v>
      </c>
      <c r="U127" s="221" t="s">
        <v>74</v>
      </c>
      <c r="V127">
        <v>451.23234000000002</v>
      </c>
      <c r="W127">
        <v>669.80876000000001</v>
      </c>
      <c r="X127">
        <v>447.13880999999998</v>
      </c>
      <c r="Y127">
        <v>341.09</v>
      </c>
      <c r="Z127">
        <v>327.37358</v>
      </c>
      <c r="AA127">
        <v>354.92854</v>
      </c>
      <c r="AB127">
        <v>74.268000000000001</v>
      </c>
      <c r="AC127">
        <v>11.2</v>
      </c>
      <c r="AD127">
        <v>50.406660000000002</v>
      </c>
      <c r="AE127">
        <v>2</v>
      </c>
    </row>
    <row r="128" spans="1:31">
      <c r="A128" t="s">
        <v>69</v>
      </c>
      <c r="B128" s="216" t="str">
        <f t="shared" si="1"/>
        <v>Feb-21</v>
      </c>
      <c r="C128" s="217">
        <v>44228</v>
      </c>
      <c r="D128">
        <v>6156.3294600000008</v>
      </c>
      <c r="E128">
        <v>783.79282000000001</v>
      </c>
      <c r="F128">
        <v>960.86717999999996</v>
      </c>
      <c r="G128">
        <v>949.38396</v>
      </c>
      <c r="H128">
        <v>708.40611000000001</v>
      </c>
      <c r="I128">
        <v>594.09478000000001</v>
      </c>
      <c r="J128">
        <v>804.83879000000002</v>
      </c>
      <c r="K128">
        <v>135.59655000000001</v>
      </c>
      <c r="L128">
        <v>63.087470000000003</v>
      </c>
      <c r="M128">
        <v>125.06224</v>
      </c>
      <c r="N128">
        <v>1031.19956</v>
      </c>
      <c r="U128" s="221" t="s">
        <v>75</v>
      </c>
      <c r="V128">
        <v>2559.2306600000002</v>
      </c>
      <c r="W128">
        <v>3288.2551699999999</v>
      </c>
      <c r="X128">
        <v>2338.4671899999998</v>
      </c>
      <c r="Y128">
        <v>2221.41</v>
      </c>
      <c r="Z128">
        <v>1974.70911</v>
      </c>
      <c r="AA128">
        <v>2341.1139199999998</v>
      </c>
      <c r="AB128">
        <v>648.81814999999995</v>
      </c>
      <c r="AC128">
        <v>1142.08656</v>
      </c>
      <c r="AD128">
        <v>514.58529999999996</v>
      </c>
      <c r="AE128">
        <v>576.70919000000004</v>
      </c>
    </row>
    <row r="129" spans="1:34">
      <c r="A129" t="s">
        <v>69</v>
      </c>
      <c r="B129" s="216" t="str">
        <f t="shared" si="1"/>
        <v>Mar-21</v>
      </c>
      <c r="C129" s="217">
        <v>44256</v>
      </c>
      <c r="D129">
        <v>6155.5996100000002</v>
      </c>
      <c r="E129">
        <v>780.15949000000001</v>
      </c>
      <c r="F129">
        <v>960.42318999999998</v>
      </c>
      <c r="G129">
        <v>947.81142999999997</v>
      </c>
      <c r="H129">
        <v>714.63278000000003</v>
      </c>
      <c r="I129">
        <v>591.38144</v>
      </c>
      <c r="J129">
        <v>807.85212999999999</v>
      </c>
      <c r="K129">
        <v>137.49655000000001</v>
      </c>
      <c r="L129">
        <v>64.087469999999996</v>
      </c>
      <c r="M129">
        <v>125.06224</v>
      </c>
      <c r="N129">
        <v>1026.69289</v>
      </c>
      <c r="U129" s="221" t="s">
        <v>76</v>
      </c>
      <c r="V129">
        <v>984.70586000000003</v>
      </c>
      <c r="W129">
        <v>1237.6908699999999</v>
      </c>
      <c r="X129">
        <v>1166.6647</v>
      </c>
      <c r="Y129">
        <v>1103.27</v>
      </c>
      <c r="Z129">
        <v>892.60979999999995</v>
      </c>
      <c r="AA129">
        <v>1013.57192</v>
      </c>
      <c r="AB129">
        <v>177.88670999999999</v>
      </c>
      <c r="AC129">
        <v>0.66666999999999998</v>
      </c>
      <c r="AD129">
        <v>57.798630000000003</v>
      </c>
      <c r="AE129">
        <v>60.053319999999999</v>
      </c>
    </row>
    <row r="130" spans="1:34">
      <c r="A130" t="s">
        <v>69</v>
      </c>
      <c r="B130" s="216" t="str">
        <f t="shared" si="1"/>
        <v>Apr-21</v>
      </c>
      <c r="C130" s="217">
        <v>44287</v>
      </c>
      <c r="D130">
        <v>6262.9397300000001</v>
      </c>
      <c r="E130">
        <v>778.69604000000004</v>
      </c>
      <c r="F130">
        <v>1057.1498899999999</v>
      </c>
      <c r="G130">
        <v>936.04</v>
      </c>
      <c r="H130">
        <v>713.29145000000005</v>
      </c>
      <c r="I130">
        <v>627.98758999999995</v>
      </c>
      <c r="J130">
        <v>798.47320000000002</v>
      </c>
      <c r="K130">
        <v>134.86562000000001</v>
      </c>
      <c r="L130">
        <v>64.054140000000004</v>
      </c>
      <c r="M130">
        <v>123.84224</v>
      </c>
      <c r="N130">
        <v>1028.5395599999999</v>
      </c>
      <c r="U130" s="221" t="s">
        <v>77</v>
      </c>
      <c r="V130">
        <v>3804.2450199999998</v>
      </c>
      <c r="W130">
        <v>5241.25558</v>
      </c>
      <c r="X130">
        <v>4077.91617</v>
      </c>
      <c r="Y130">
        <v>3593.82</v>
      </c>
      <c r="Z130">
        <v>2813.8719900000001</v>
      </c>
      <c r="AA130">
        <v>3570.9138699999999</v>
      </c>
      <c r="AB130">
        <v>563.12989000000005</v>
      </c>
      <c r="AC130">
        <v>86.866650000000007</v>
      </c>
      <c r="AD130">
        <v>208.44</v>
      </c>
      <c r="AE130">
        <v>215.93734000000001</v>
      </c>
    </row>
    <row r="131" spans="1:34">
      <c r="A131" t="s">
        <v>71</v>
      </c>
      <c r="B131" s="216" t="str">
        <f t="shared" ref="B131:B194" si="2">TEXT(C131,"mmm-yy")</f>
        <v>May-20</v>
      </c>
      <c r="C131" s="217">
        <v>43952</v>
      </c>
      <c r="D131">
        <v>17163.139520000001</v>
      </c>
      <c r="E131">
        <v>2700.0710100000001</v>
      </c>
      <c r="F131">
        <v>3258.7856000000002</v>
      </c>
      <c r="G131">
        <v>2572.1819799999998</v>
      </c>
      <c r="H131">
        <v>1906.7175199999999</v>
      </c>
      <c r="I131">
        <v>2033.2063499999999</v>
      </c>
      <c r="J131">
        <v>2350.9747699999998</v>
      </c>
      <c r="K131">
        <v>333.28278999999998</v>
      </c>
      <c r="L131">
        <v>264.87677000000002</v>
      </c>
      <c r="M131">
        <v>201.32665</v>
      </c>
      <c r="N131">
        <v>1541.7160799999999</v>
      </c>
      <c r="U131" s="221" t="s">
        <v>78</v>
      </c>
      <c r="V131">
        <v>864.50593000000003</v>
      </c>
      <c r="W131">
        <v>1178.5780500000001</v>
      </c>
      <c r="X131">
        <v>1228.99767</v>
      </c>
      <c r="Y131">
        <v>837.39</v>
      </c>
      <c r="Z131">
        <v>614.38634000000002</v>
      </c>
      <c r="AA131">
        <v>874.10092999999995</v>
      </c>
      <c r="AB131">
        <v>33.910200000000003</v>
      </c>
      <c r="AC131">
        <v>98.931820000000002</v>
      </c>
      <c r="AD131">
        <v>73.661820000000006</v>
      </c>
      <c r="AE131">
        <v>0.50666999999999995</v>
      </c>
    </row>
    <row r="132" spans="1:34">
      <c r="A132" t="s">
        <v>71</v>
      </c>
      <c r="B132" s="216" t="str">
        <f t="shared" si="2"/>
        <v>Jun-20</v>
      </c>
      <c r="C132" s="217">
        <v>43983</v>
      </c>
      <c r="D132">
        <v>17312.092809999998</v>
      </c>
      <c r="E132">
        <v>2711.30195</v>
      </c>
      <c r="F132">
        <v>3300.09843</v>
      </c>
      <c r="G132">
        <v>2596.4129800000001</v>
      </c>
      <c r="H132">
        <v>1924.1668500000001</v>
      </c>
      <c r="I132">
        <v>2035.4863499999999</v>
      </c>
      <c r="J132">
        <v>2370.3040999999998</v>
      </c>
      <c r="K132">
        <v>333.05279000000002</v>
      </c>
      <c r="L132">
        <v>272.32342999999997</v>
      </c>
      <c r="M132">
        <v>202.43332000000001</v>
      </c>
      <c r="N132">
        <v>1566.51261</v>
      </c>
      <c r="U132" s="7" t="s">
        <v>91</v>
      </c>
      <c r="V132">
        <v>12456.401619999999</v>
      </c>
      <c r="W132">
        <v>17181.035170000003</v>
      </c>
      <c r="X132">
        <v>14313.412409999999</v>
      </c>
      <c r="Y132">
        <v>11116.13679</v>
      </c>
      <c r="Z132">
        <v>9898.4978300000002</v>
      </c>
      <c r="AA132">
        <v>11996.996690000002</v>
      </c>
      <c r="AB132">
        <v>2063.5577800000001</v>
      </c>
      <c r="AC132">
        <v>2037.0182300000001</v>
      </c>
      <c r="AD132">
        <v>1451.4472500000002</v>
      </c>
      <c r="AE132">
        <v>4074.5219100000004</v>
      </c>
      <c r="AF132">
        <v>380.14317999999997</v>
      </c>
      <c r="AG132">
        <v>1039.6400000000001</v>
      </c>
      <c r="AH132">
        <v>0</v>
      </c>
    </row>
    <row r="133" spans="1:34">
      <c r="A133" t="s">
        <v>71</v>
      </c>
      <c r="B133" s="216" t="str">
        <f t="shared" si="2"/>
        <v>Jul-20</v>
      </c>
      <c r="C133" s="217">
        <v>44013</v>
      </c>
      <c r="D133">
        <v>17193.405420000003</v>
      </c>
      <c r="E133">
        <v>2531.6243300000001</v>
      </c>
      <c r="F133">
        <v>3317.7920300000001</v>
      </c>
      <c r="G133">
        <v>2610.02682</v>
      </c>
      <c r="H133">
        <v>1944.6147100000001</v>
      </c>
      <c r="I133">
        <v>2010.86635</v>
      </c>
      <c r="J133">
        <v>2361.9331299999999</v>
      </c>
      <c r="K133">
        <v>333.95945</v>
      </c>
      <c r="L133">
        <v>269.75009999999997</v>
      </c>
      <c r="M133">
        <v>203.30026000000001</v>
      </c>
      <c r="N133">
        <v>1609.5382400000001</v>
      </c>
      <c r="U133" s="221" t="s">
        <v>71</v>
      </c>
      <c r="V133">
        <v>2657.2740699999999</v>
      </c>
      <c r="W133">
        <v>3755.0040399999998</v>
      </c>
      <c r="X133">
        <v>2768.7110200000002</v>
      </c>
      <c r="Y133">
        <v>2072.6811899999998</v>
      </c>
      <c r="Z133">
        <v>2199.51791</v>
      </c>
      <c r="AA133">
        <v>2488.60718</v>
      </c>
      <c r="AB133">
        <v>402.49923000000001</v>
      </c>
      <c r="AC133">
        <v>309.65410000000003</v>
      </c>
      <c r="AD133">
        <v>224.79311999999999</v>
      </c>
      <c r="AE133">
        <v>2102.3935099999999</v>
      </c>
      <c r="AF133">
        <v>1.3</v>
      </c>
      <c r="AG133">
        <v>0</v>
      </c>
      <c r="AH133">
        <v>0</v>
      </c>
    </row>
    <row r="134" spans="1:34">
      <c r="A134" t="s">
        <v>71</v>
      </c>
      <c r="B134" s="216" t="str">
        <f t="shared" si="2"/>
        <v>Aug-20</v>
      </c>
      <c r="C134" s="217">
        <v>44044</v>
      </c>
      <c r="D134">
        <v>17300.087319999999</v>
      </c>
      <c r="E134">
        <v>2512.4614099999999</v>
      </c>
      <c r="F134">
        <v>3333.94695</v>
      </c>
      <c r="G134">
        <v>2604.8303000000001</v>
      </c>
      <c r="H134">
        <v>1948.0616299999999</v>
      </c>
      <c r="I134">
        <v>1989.48369</v>
      </c>
      <c r="J134">
        <v>2364.5264900000002</v>
      </c>
      <c r="K134">
        <v>331.68612999999999</v>
      </c>
      <c r="L134">
        <v>269.88342999999998</v>
      </c>
      <c r="M134">
        <v>340.71999</v>
      </c>
      <c r="N134">
        <v>1604.4872999999957</v>
      </c>
      <c r="U134" s="221" t="s">
        <v>69</v>
      </c>
      <c r="V134">
        <v>817.83950000000004</v>
      </c>
      <c r="W134">
        <v>1163.18868</v>
      </c>
      <c r="X134">
        <v>1399.1258499999999</v>
      </c>
      <c r="Y134">
        <v>746.84583999999995</v>
      </c>
      <c r="Z134">
        <v>682.97951</v>
      </c>
      <c r="AA134">
        <v>916.87057000000004</v>
      </c>
      <c r="AB134">
        <v>138.48909</v>
      </c>
      <c r="AC134">
        <v>67.200530000000001</v>
      </c>
      <c r="AD134">
        <v>139.91999000000001</v>
      </c>
      <c r="AE134">
        <v>1096.2620899999999</v>
      </c>
      <c r="AF134">
        <v>5.2</v>
      </c>
      <c r="AG134">
        <v>0</v>
      </c>
      <c r="AH134">
        <v>0</v>
      </c>
    </row>
    <row r="135" spans="1:34">
      <c r="A135" t="s">
        <v>71</v>
      </c>
      <c r="B135" s="216" t="str">
        <f t="shared" si="2"/>
        <v>Sep-20</v>
      </c>
      <c r="C135" s="217">
        <v>44075</v>
      </c>
      <c r="D135">
        <v>17384.75144</v>
      </c>
      <c r="E135">
        <v>2475.10419</v>
      </c>
      <c r="F135">
        <v>3295.9290900000001</v>
      </c>
      <c r="G135">
        <v>2614.2199999999998</v>
      </c>
      <c r="H135">
        <v>1971.0896299999999</v>
      </c>
      <c r="I135">
        <v>1957.8681099999999</v>
      </c>
      <c r="J135">
        <v>2363.6475700000001</v>
      </c>
      <c r="K135">
        <v>331.29946999999999</v>
      </c>
      <c r="L135">
        <v>279.95675999999997</v>
      </c>
      <c r="M135">
        <v>355.03998999999999</v>
      </c>
      <c r="N135">
        <v>1740.59663</v>
      </c>
      <c r="U135" s="221" t="s">
        <v>72</v>
      </c>
      <c r="V135">
        <v>230.80886000000001</v>
      </c>
      <c r="W135">
        <v>271.73066</v>
      </c>
      <c r="X135">
        <v>551.67421000000002</v>
      </c>
      <c r="Y135">
        <v>200.54693</v>
      </c>
      <c r="Z135">
        <v>193.19528</v>
      </c>
      <c r="AA135">
        <v>334.80279000000002</v>
      </c>
      <c r="AB135">
        <v>6.6133300000000004</v>
      </c>
      <c r="AC135">
        <v>390.09557999999998</v>
      </c>
      <c r="AD135">
        <v>169.37599</v>
      </c>
      <c r="AE135">
        <v>0</v>
      </c>
      <c r="AF135">
        <v>1</v>
      </c>
      <c r="AG135">
        <v>0</v>
      </c>
      <c r="AH135">
        <v>0</v>
      </c>
    </row>
    <row r="136" spans="1:34">
      <c r="A136" t="s">
        <v>71</v>
      </c>
      <c r="B136" s="216" t="str">
        <f t="shared" si="2"/>
        <v>Oct-20</v>
      </c>
      <c r="C136" s="217">
        <v>44105</v>
      </c>
      <c r="D136">
        <v>17197.245280000003</v>
      </c>
      <c r="E136">
        <v>2224.1300999999999</v>
      </c>
      <c r="F136">
        <v>3304.7491100000002</v>
      </c>
      <c r="G136">
        <v>2577.2043399999998</v>
      </c>
      <c r="H136">
        <v>2002.62429</v>
      </c>
      <c r="I136">
        <v>1925.48342</v>
      </c>
      <c r="J136">
        <v>2369.92355</v>
      </c>
      <c r="K136">
        <v>338.25281000000001</v>
      </c>
      <c r="L136">
        <v>298.45010000000002</v>
      </c>
      <c r="M136">
        <v>357.04</v>
      </c>
      <c r="N136">
        <v>1799.3875599999999</v>
      </c>
      <c r="U136" s="221" t="s">
        <v>73</v>
      </c>
      <c r="V136">
        <v>8.5</v>
      </c>
      <c r="W136">
        <v>14.5</v>
      </c>
      <c r="X136">
        <v>24.666650000000001</v>
      </c>
      <c r="Y136">
        <v>65.333340000000007</v>
      </c>
      <c r="Z136">
        <v>0</v>
      </c>
      <c r="AA136">
        <v>0</v>
      </c>
      <c r="AB136">
        <v>0</v>
      </c>
      <c r="AC136">
        <v>0</v>
      </c>
      <c r="AD136">
        <v>3.0666500000000001</v>
      </c>
      <c r="AE136">
        <v>0</v>
      </c>
      <c r="AF136">
        <v>0</v>
      </c>
      <c r="AG136">
        <v>0</v>
      </c>
      <c r="AH136">
        <v>0</v>
      </c>
    </row>
    <row r="137" spans="1:34">
      <c r="A137" t="s">
        <v>71</v>
      </c>
      <c r="B137" s="216" t="str">
        <f t="shared" si="2"/>
        <v>Nov-20</v>
      </c>
      <c r="C137" s="217">
        <v>44136</v>
      </c>
      <c r="D137">
        <v>17750.852589999999</v>
      </c>
      <c r="E137">
        <v>2490.0461100000002</v>
      </c>
      <c r="F137">
        <v>3338.0877500000001</v>
      </c>
      <c r="G137">
        <v>2624.4834300000002</v>
      </c>
      <c r="H137">
        <v>2056.2989600000001</v>
      </c>
      <c r="I137">
        <v>1943.6756499999999</v>
      </c>
      <c r="J137">
        <v>2382.1190099999999</v>
      </c>
      <c r="K137">
        <v>354.11282</v>
      </c>
      <c r="L137">
        <v>326.9101</v>
      </c>
      <c r="M137">
        <v>357.88</v>
      </c>
      <c r="N137">
        <v>1877.23876</v>
      </c>
      <c r="U137" s="221" t="s">
        <v>74</v>
      </c>
      <c r="V137">
        <v>472.87218999999999</v>
      </c>
      <c r="W137">
        <v>734.22808999999995</v>
      </c>
      <c r="X137">
        <v>515.21983999999998</v>
      </c>
      <c r="Y137">
        <v>365.39746000000002</v>
      </c>
      <c r="Z137">
        <v>353.11225000000002</v>
      </c>
      <c r="AA137">
        <v>374.70717999999999</v>
      </c>
      <c r="AB137">
        <v>78.347999999999999</v>
      </c>
      <c r="AC137">
        <v>8.6999999999999993</v>
      </c>
      <c r="AD137">
        <v>55.606659999999998</v>
      </c>
      <c r="AE137">
        <v>3.4</v>
      </c>
      <c r="AF137">
        <v>29.676189999999995</v>
      </c>
      <c r="AG137">
        <v>0</v>
      </c>
      <c r="AH137">
        <v>0</v>
      </c>
    </row>
    <row r="138" spans="1:34">
      <c r="A138" t="s">
        <v>71</v>
      </c>
      <c r="B138" s="216" t="str">
        <f t="shared" si="2"/>
        <v>Dec-20</v>
      </c>
      <c r="C138" s="217">
        <v>44166</v>
      </c>
      <c r="D138">
        <v>17840.437109999999</v>
      </c>
      <c r="E138">
        <v>2511.59782</v>
      </c>
      <c r="F138">
        <v>3347.1610700000001</v>
      </c>
      <c r="G138">
        <v>2648.87093</v>
      </c>
      <c r="H138">
        <v>2075.2869599999999</v>
      </c>
      <c r="I138">
        <v>1959.78232</v>
      </c>
      <c r="J138">
        <v>2392.4059200000002</v>
      </c>
      <c r="K138">
        <v>353.86615999999998</v>
      </c>
      <c r="L138">
        <v>337.65676999999999</v>
      </c>
      <c r="M138">
        <v>356.08</v>
      </c>
      <c r="N138">
        <v>1857.7291600000001</v>
      </c>
      <c r="U138" s="221" t="s">
        <v>75</v>
      </c>
      <c r="V138">
        <v>2731.7838400000001</v>
      </c>
      <c r="W138">
        <v>3544.6097500000001</v>
      </c>
      <c r="X138">
        <v>2542.2969699999999</v>
      </c>
      <c r="Y138">
        <v>2241.9059600000001</v>
      </c>
      <c r="Z138">
        <v>2133.2260000000001</v>
      </c>
      <c r="AA138">
        <v>2411.06315</v>
      </c>
      <c r="AB138">
        <v>681.43958999999995</v>
      </c>
      <c r="AC138">
        <v>1082.03802</v>
      </c>
      <c r="AD138">
        <v>515.06930999999997</v>
      </c>
      <c r="AE138">
        <v>613.77565000000004</v>
      </c>
      <c r="AF138">
        <v>285.46999</v>
      </c>
      <c r="AG138">
        <v>1039.44</v>
      </c>
      <c r="AH138">
        <v>0</v>
      </c>
    </row>
    <row r="139" spans="1:34">
      <c r="A139" t="s">
        <v>71</v>
      </c>
      <c r="B139" s="216" t="str">
        <f t="shared" si="2"/>
        <v>Jan-21</v>
      </c>
      <c r="C139" s="217">
        <v>44197</v>
      </c>
      <c r="D139">
        <v>18255.59215</v>
      </c>
      <c r="E139">
        <v>2618.4167400000001</v>
      </c>
      <c r="F139">
        <v>3423.9805200000001</v>
      </c>
      <c r="G139">
        <v>2743.7723000000001</v>
      </c>
      <c r="H139">
        <v>2112.4539100000002</v>
      </c>
      <c r="I139">
        <v>2004.22855</v>
      </c>
      <c r="J139">
        <v>2412.0125800000001</v>
      </c>
      <c r="K139">
        <v>361.05416000000002</v>
      </c>
      <c r="L139">
        <v>342.47543000000002</v>
      </c>
      <c r="M139">
        <v>360.25333000000001</v>
      </c>
      <c r="N139">
        <v>1876.94463</v>
      </c>
      <c r="U139" s="221" t="s">
        <v>76</v>
      </c>
      <c r="V139">
        <v>969.31133</v>
      </c>
      <c r="W139">
        <v>1339.893</v>
      </c>
      <c r="X139">
        <v>1158.38885</v>
      </c>
      <c r="Y139">
        <v>1075.1284000000001</v>
      </c>
      <c r="Z139">
        <v>822.44045000000006</v>
      </c>
      <c r="AA139">
        <v>991.08228999999994</v>
      </c>
      <c r="AB139">
        <v>168.38669999999999</v>
      </c>
      <c r="AC139">
        <v>0.66666999999999998</v>
      </c>
      <c r="AD139">
        <v>55.817030000000003</v>
      </c>
      <c r="AE139">
        <v>63.466650000000001</v>
      </c>
      <c r="AF139">
        <v>0</v>
      </c>
      <c r="AG139">
        <v>0</v>
      </c>
      <c r="AH139">
        <v>0</v>
      </c>
    </row>
    <row r="140" spans="1:34">
      <c r="A140" t="s">
        <v>71</v>
      </c>
      <c r="B140" s="216" t="str">
        <f t="shared" si="2"/>
        <v>Feb-21</v>
      </c>
      <c r="C140" s="217">
        <v>44228</v>
      </c>
      <c r="D140">
        <v>18563.491440000002</v>
      </c>
      <c r="E140">
        <v>2644.1659199999999</v>
      </c>
      <c r="F140">
        <v>3467.2031999999999</v>
      </c>
      <c r="G140">
        <v>2807.7339000000002</v>
      </c>
      <c r="H140">
        <v>2143.7947100000001</v>
      </c>
      <c r="I140">
        <v>2040.96722</v>
      </c>
      <c r="J140">
        <v>2431.4458800000002</v>
      </c>
      <c r="K140">
        <v>360.72082999999998</v>
      </c>
      <c r="L140">
        <v>344.70209</v>
      </c>
      <c r="M140">
        <v>368.78001</v>
      </c>
      <c r="N140">
        <v>1953.97768</v>
      </c>
      <c r="U140" s="221" t="s">
        <v>77</v>
      </c>
      <c r="V140">
        <v>3775.4688999999998</v>
      </c>
      <c r="W140">
        <v>5252.9059200000002</v>
      </c>
      <c r="X140">
        <v>4389.1475099999998</v>
      </c>
      <c r="Y140">
        <v>3614.3668699999998</v>
      </c>
      <c r="Z140">
        <v>2898.7320399999999</v>
      </c>
      <c r="AA140">
        <v>3686.7707300000002</v>
      </c>
      <c r="AB140">
        <v>555.67548999999997</v>
      </c>
      <c r="AC140">
        <v>91.213329999999999</v>
      </c>
      <c r="AD140">
        <v>211.86668</v>
      </c>
      <c r="AE140">
        <v>194.71734000000001</v>
      </c>
      <c r="AF140">
        <v>8.4</v>
      </c>
      <c r="AG140">
        <v>0</v>
      </c>
      <c r="AH140">
        <v>0</v>
      </c>
    </row>
    <row r="141" spans="1:34">
      <c r="A141" t="s">
        <v>71</v>
      </c>
      <c r="B141" s="216" t="str">
        <f t="shared" si="2"/>
        <v>Mar-21</v>
      </c>
      <c r="C141" s="217">
        <v>44256</v>
      </c>
      <c r="D141">
        <v>18750.06639</v>
      </c>
      <c r="E141">
        <v>2674.6160399999999</v>
      </c>
      <c r="F141">
        <v>3482.9085399999999</v>
      </c>
      <c r="G141">
        <v>2848.65895</v>
      </c>
      <c r="H141">
        <v>2152.8546999999999</v>
      </c>
      <c r="I141">
        <v>2077.00693</v>
      </c>
      <c r="J141">
        <v>2434.0094399999998</v>
      </c>
      <c r="K141">
        <v>375.33416</v>
      </c>
      <c r="L141">
        <v>344.70209</v>
      </c>
      <c r="M141">
        <v>369.85307</v>
      </c>
      <c r="N141">
        <v>1990.12247</v>
      </c>
      <c r="U141" s="221" t="s">
        <v>78</v>
      </c>
      <c r="V141">
        <v>792.54292999999996</v>
      </c>
      <c r="W141">
        <v>1104.9750300000001</v>
      </c>
      <c r="X141">
        <v>964.18151</v>
      </c>
      <c r="Y141">
        <v>733.93079999999998</v>
      </c>
      <c r="Z141">
        <v>615.29439000000002</v>
      </c>
      <c r="AA141">
        <v>793.09280000000001</v>
      </c>
      <c r="AB141">
        <v>32.106349999999999</v>
      </c>
      <c r="AC141">
        <v>87.45</v>
      </c>
      <c r="AD141">
        <v>75.931820000000002</v>
      </c>
      <c r="AE141">
        <v>0.50666999999999995</v>
      </c>
      <c r="AF141">
        <v>49.097000000000037</v>
      </c>
      <c r="AG141">
        <v>0.2</v>
      </c>
      <c r="AH141">
        <v>0</v>
      </c>
    </row>
    <row r="142" spans="1:34">
      <c r="A142" t="s">
        <v>71</v>
      </c>
      <c r="B142" s="216" t="str">
        <f t="shared" si="2"/>
        <v>Apr-21</v>
      </c>
      <c r="C142" s="217">
        <v>44287</v>
      </c>
      <c r="D142">
        <v>18712.810880000001</v>
      </c>
      <c r="E142">
        <v>2677.5408600000001</v>
      </c>
      <c r="F142">
        <v>3474.2434400000002</v>
      </c>
      <c r="G142">
        <v>2838.4</v>
      </c>
      <c r="H142">
        <v>2130.7957799999999</v>
      </c>
      <c r="I142">
        <v>2061.51494</v>
      </c>
      <c r="J142">
        <v>2426.1624999999999</v>
      </c>
      <c r="K142">
        <v>382.77202</v>
      </c>
      <c r="L142">
        <v>339.56394</v>
      </c>
      <c r="M142">
        <v>372.34613000000002</v>
      </c>
      <c r="N142">
        <v>2009.47127</v>
      </c>
      <c r="U142" s="7" t="s">
        <v>92</v>
      </c>
      <c r="V142">
        <v>11685.38667</v>
      </c>
      <c r="W142">
        <v>15595.969730000001</v>
      </c>
      <c r="X142">
        <v>13268.26785</v>
      </c>
      <c r="Y142">
        <v>10544.645829999999</v>
      </c>
      <c r="Z142">
        <v>8667.7175500000012</v>
      </c>
      <c r="AA142">
        <v>11397.61988</v>
      </c>
      <c r="AB142">
        <v>1839.9617899999998</v>
      </c>
      <c r="AC142">
        <v>1695.57375</v>
      </c>
      <c r="AD142">
        <v>4153.1190400000005</v>
      </c>
      <c r="AE142">
        <v>3353.3272300000003</v>
      </c>
    </row>
    <row r="143" spans="1:34">
      <c r="A143" t="s">
        <v>72</v>
      </c>
      <c r="B143" s="216" t="str">
        <f t="shared" si="2"/>
        <v>May-20</v>
      </c>
      <c r="C143" s="217">
        <v>43952</v>
      </c>
      <c r="D143">
        <v>2024.4079900000002</v>
      </c>
      <c r="E143">
        <v>227.26888</v>
      </c>
      <c r="F143">
        <v>252.24081000000001</v>
      </c>
      <c r="G143">
        <v>486.55225999999999</v>
      </c>
      <c r="H143">
        <v>201.61761000000001</v>
      </c>
      <c r="I143">
        <v>178.03287</v>
      </c>
      <c r="J143">
        <v>299.03077000000002</v>
      </c>
      <c r="K143">
        <v>3</v>
      </c>
      <c r="L143">
        <v>239.51146</v>
      </c>
      <c r="M143">
        <v>137.15333000000001</v>
      </c>
      <c r="N143">
        <v>0</v>
      </c>
      <c r="U143" s="221" t="s">
        <v>71</v>
      </c>
      <c r="V143">
        <v>2394.8143700000001</v>
      </c>
      <c r="W143">
        <v>3177.4580999999998</v>
      </c>
      <c r="X143">
        <v>2607.6821799999998</v>
      </c>
      <c r="Y143">
        <v>1948.27594</v>
      </c>
      <c r="Z143">
        <v>1815.7968000000001</v>
      </c>
      <c r="AA143">
        <v>2289.3312799999999</v>
      </c>
      <c r="AB143">
        <v>332.54021</v>
      </c>
      <c r="AC143">
        <v>266.90343999999999</v>
      </c>
      <c r="AD143">
        <v>204.29998000000001</v>
      </c>
      <c r="AE143">
        <v>1512.1502700000001</v>
      </c>
    </row>
    <row r="144" spans="1:34">
      <c r="A144" t="s">
        <v>72</v>
      </c>
      <c r="B144" s="216" t="str">
        <f t="shared" si="2"/>
        <v>Jun-20</v>
      </c>
      <c r="C144" s="217">
        <v>43983</v>
      </c>
      <c r="D144">
        <v>2040.6879900000004</v>
      </c>
      <c r="E144">
        <v>227.72220999999999</v>
      </c>
      <c r="F144">
        <v>250.38748000000001</v>
      </c>
      <c r="G144">
        <v>491.84559000000002</v>
      </c>
      <c r="H144">
        <v>202.61761000000001</v>
      </c>
      <c r="I144">
        <v>178.05287000000001</v>
      </c>
      <c r="J144">
        <v>300.23077000000001</v>
      </c>
      <c r="K144">
        <v>3</v>
      </c>
      <c r="L144">
        <v>249.17813000000001</v>
      </c>
      <c r="M144">
        <v>137.65333000000001</v>
      </c>
      <c r="N144">
        <v>0</v>
      </c>
      <c r="U144" s="221" t="s">
        <v>69</v>
      </c>
      <c r="V144">
        <v>759.21681000000001</v>
      </c>
      <c r="W144">
        <v>905.18016</v>
      </c>
      <c r="X144">
        <v>886.57449999999994</v>
      </c>
      <c r="Y144">
        <v>602.28052000000002</v>
      </c>
      <c r="Z144">
        <v>560.92322000000001</v>
      </c>
      <c r="AA144">
        <v>765.11107000000004</v>
      </c>
      <c r="AB144">
        <v>128.19228000000001</v>
      </c>
      <c r="AC144">
        <v>60.88747</v>
      </c>
      <c r="AD144">
        <v>116.12238000000001</v>
      </c>
      <c r="AE144">
        <v>1072.60304</v>
      </c>
    </row>
    <row r="145" spans="1:31">
      <c r="A145" t="s">
        <v>72</v>
      </c>
      <c r="B145" s="216" t="str">
        <f t="shared" si="2"/>
        <v>Jul-20</v>
      </c>
      <c r="C145" s="217">
        <v>44013</v>
      </c>
      <c r="D145">
        <v>2046.7679900000001</v>
      </c>
      <c r="E145">
        <v>227.34888000000001</v>
      </c>
      <c r="F145">
        <v>252.78747999999999</v>
      </c>
      <c r="G145">
        <v>491.27226000000002</v>
      </c>
      <c r="H145">
        <v>202.97761</v>
      </c>
      <c r="I145">
        <v>180.05287000000001</v>
      </c>
      <c r="J145">
        <v>302.16410000000002</v>
      </c>
      <c r="K145">
        <v>4</v>
      </c>
      <c r="L145">
        <v>248.51146</v>
      </c>
      <c r="M145">
        <v>137.65333000000001</v>
      </c>
      <c r="N145">
        <v>0</v>
      </c>
      <c r="U145" s="221" t="s">
        <v>72</v>
      </c>
      <c r="V145">
        <v>228.67554999999999</v>
      </c>
      <c r="W145">
        <v>252.69414</v>
      </c>
      <c r="X145">
        <v>481.84559000000002</v>
      </c>
      <c r="Y145">
        <v>195.85760999999999</v>
      </c>
      <c r="Z145">
        <v>178.34620000000001</v>
      </c>
      <c r="AA145">
        <v>299.65744000000001</v>
      </c>
      <c r="AB145">
        <v>2</v>
      </c>
      <c r="AC145">
        <v>238.35598999999999</v>
      </c>
      <c r="AD145">
        <v>133.12</v>
      </c>
      <c r="AE145">
        <v>0</v>
      </c>
    </row>
    <row r="146" spans="1:31">
      <c r="A146" t="s">
        <v>72</v>
      </c>
      <c r="B146" s="216" t="str">
        <f t="shared" si="2"/>
        <v>Aug-20</v>
      </c>
      <c r="C146" s="217">
        <v>44044</v>
      </c>
      <c r="D146">
        <v>2049.31466</v>
      </c>
      <c r="E146">
        <v>226.54888</v>
      </c>
      <c r="F146">
        <v>252.66748000000001</v>
      </c>
      <c r="G146">
        <v>486.98559</v>
      </c>
      <c r="H146">
        <v>206.97761</v>
      </c>
      <c r="I146">
        <v>179.95286999999999</v>
      </c>
      <c r="J146">
        <v>304.52409999999998</v>
      </c>
      <c r="K146">
        <v>4</v>
      </c>
      <c r="L146">
        <v>252.00479999999999</v>
      </c>
      <c r="M146">
        <v>135.65333000000001</v>
      </c>
      <c r="N146">
        <v>0</v>
      </c>
      <c r="U146" s="221" t="s">
        <v>73</v>
      </c>
      <c r="V146">
        <v>3.5</v>
      </c>
      <c r="W146">
        <v>18.86</v>
      </c>
      <c r="X146">
        <v>30.959969999999998</v>
      </c>
      <c r="Y146">
        <v>13.626659999999999</v>
      </c>
      <c r="Z146">
        <v>0.6</v>
      </c>
      <c r="AA146">
        <v>1</v>
      </c>
      <c r="AB146">
        <v>0</v>
      </c>
      <c r="AC146">
        <v>0</v>
      </c>
      <c r="AD146">
        <v>0</v>
      </c>
      <c r="AE146">
        <v>0</v>
      </c>
    </row>
    <row r="147" spans="1:31">
      <c r="A147" t="s">
        <v>72</v>
      </c>
      <c r="B147" s="216" t="str">
        <f t="shared" si="2"/>
        <v>Sep-20</v>
      </c>
      <c r="C147" s="217">
        <v>44075</v>
      </c>
      <c r="D147">
        <v>2064.74109</v>
      </c>
      <c r="E147">
        <v>227.65555000000001</v>
      </c>
      <c r="F147">
        <v>254.94748999999999</v>
      </c>
      <c r="G147">
        <v>492.26</v>
      </c>
      <c r="H147">
        <v>208.77761000000001</v>
      </c>
      <c r="I147">
        <v>177.87953999999999</v>
      </c>
      <c r="J147">
        <v>303.68277</v>
      </c>
      <c r="K147">
        <v>4</v>
      </c>
      <c r="L147">
        <v>255.0848</v>
      </c>
      <c r="M147">
        <v>140.45332999999999</v>
      </c>
      <c r="N147">
        <v>0</v>
      </c>
      <c r="U147" s="221" t="s">
        <v>74</v>
      </c>
      <c r="V147">
        <v>450.11822999999998</v>
      </c>
      <c r="W147">
        <v>725.27012999999999</v>
      </c>
      <c r="X147">
        <v>709.64471000000003</v>
      </c>
      <c r="Y147">
        <v>360.24277999999998</v>
      </c>
      <c r="Z147">
        <v>329.24444999999997</v>
      </c>
      <c r="AA147">
        <v>374.50826000000001</v>
      </c>
      <c r="AB147">
        <v>62.972009999999997</v>
      </c>
      <c r="AC147">
        <v>7.5</v>
      </c>
      <c r="AD147">
        <v>59.979990000000001</v>
      </c>
      <c r="AE147">
        <v>0.6</v>
      </c>
    </row>
    <row r="148" spans="1:31">
      <c r="A148" t="s">
        <v>72</v>
      </c>
      <c r="B148" s="216" t="str">
        <f t="shared" si="2"/>
        <v>Oct-20</v>
      </c>
      <c r="C148" s="217">
        <v>44105</v>
      </c>
      <c r="D148">
        <v>2044.5512400000002</v>
      </c>
      <c r="E148">
        <v>231.05555000000001</v>
      </c>
      <c r="F148">
        <v>259.54750000000001</v>
      </c>
      <c r="G148">
        <v>462.88348000000002</v>
      </c>
      <c r="H148">
        <v>209.77761000000001</v>
      </c>
      <c r="I148">
        <v>177.5462</v>
      </c>
      <c r="J148">
        <v>303.18943999999999</v>
      </c>
      <c r="K148">
        <v>4</v>
      </c>
      <c r="L148">
        <v>256.89812999999998</v>
      </c>
      <c r="M148">
        <v>139.65333000000001</v>
      </c>
      <c r="N148">
        <v>0</v>
      </c>
      <c r="U148" s="221" t="s">
        <v>75</v>
      </c>
      <c r="V148">
        <v>2322.1558300000002</v>
      </c>
      <c r="W148">
        <v>2966.50254</v>
      </c>
      <c r="X148">
        <v>2160.1963300000002</v>
      </c>
      <c r="Y148">
        <v>2033.7882300000001</v>
      </c>
      <c r="Z148">
        <v>1655.3537200000001</v>
      </c>
      <c r="AA148">
        <v>2126.79522</v>
      </c>
      <c r="AB148">
        <v>565.00426000000004</v>
      </c>
      <c r="AC148">
        <v>970.68604000000005</v>
      </c>
      <c r="AD148">
        <v>2555.4018599999999</v>
      </c>
      <c r="AE148">
        <v>547.56056999999998</v>
      </c>
    </row>
    <row r="149" spans="1:31">
      <c r="A149" t="s">
        <v>72</v>
      </c>
      <c r="B149" s="216" t="str">
        <f t="shared" si="2"/>
        <v>Nov-20</v>
      </c>
      <c r="C149" s="217">
        <v>44136</v>
      </c>
      <c r="D149">
        <v>2104.3000099999999</v>
      </c>
      <c r="E149">
        <v>227.10888</v>
      </c>
      <c r="F149">
        <v>259.45416</v>
      </c>
      <c r="G149">
        <v>492.63225999999997</v>
      </c>
      <c r="H149">
        <v>206.66426999999999</v>
      </c>
      <c r="I149">
        <v>174.83287000000001</v>
      </c>
      <c r="J149">
        <v>304.77611000000002</v>
      </c>
      <c r="K149">
        <v>4</v>
      </c>
      <c r="L149">
        <v>294.37813</v>
      </c>
      <c r="M149">
        <v>140.45332999999999</v>
      </c>
      <c r="N149">
        <v>0</v>
      </c>
      <c r="U149" s="221" t="s">
        <v>76</v>
      </c>
      <c r="V149">
        <v>1022.92683</v>
      </c>
      <c r="W149">
        <v>1266.7337</v>
      </c>
      <c r="X149">
        <v>1053.50783</v>
      </c>
      <c r="Y149">
        <v>1104.5663999999999</v>
      </c>
      <c r="Z149">
        <v>748.55107999999996</v>
      </c>
      <c r="AA149">
        <v>1033.92254</v>
      </c>
      <c r="AB149">
        <v>166.72002000000001</v>
      </c>
      <c r="AC149">
        <v>0.66666999999999998</v>
      </c>
      <c r="AD149">
        <v>351.97194999999999</v>
      </c>
      <c r="AE149">
        <v>56.32</v>
      </c>
    </row>
    <row r="150" spans="1:31">
      <c r="A150" t="s">
        <v>72</v>
      </c>
      <c r="B150" s="216" t="str">
        <f t="shared" si="2"/>
        <v>Dec-20</v>
      </c>
      <c r="C150" s="217">
        <v>44166</v>
      </c>
      <c r="D150">
        <v>2124.14401</v>
      </c>
      <c r="E150">
        <v>227.50888</v>
      </c>
      <c r="F150">
        <v>259.98748999999998</v>
      </c>
      <c r="G150">
        <v>491.28293000000002</v>
      </c>
      <c r="H150">
        <v>204.52427</v>
      </c>
      <c r="I150">
        <v>178.83287000000001</v>
      </c>
      <c r="J150">
        <v>302.97611000000001</v>
      </c>
      <c r="K150">
        <v>4</v>
      </c>
      <c r="L150">
        <v>312.57812999999999</v>
      </c>
      <c r="M150">
        <v>142.45332999999999</v>
      </c>
      <c r="N150">
        <v>0</v>
      </c>
      <c r="U150" s="221" t="s">
        <v>77</v>
      </c>
      <c r="V150">
        <v>3502.6924899999999</v>
      </c>
      <c r="W150">
        <v>4917.4654099999998</v>
      </c>
      <c r="X150">
        <v>3963.0210299999999</v>
      </c>
      <c r="Y150">
        <v>3313.8070899999998</v>
      </c>
      <c r="Z150">
        <v>2686.6163099999999</v>
      </c>
      <c r="AA150">
        <v>3467.60023</v>
      </c>
      <c r="AB150">
        <v>547.68030999999996</v>
      </c>
      <c r="AC150">
        <v>59.153309999999998</v>
      </c>
      <c r="AD150">
        <v>191.00666000000001</v>
      </c>
      <c r="AE150">
        <v>163.09334999999999</v>
      </c>
    </row>
    <row r="151" spans="1:31">
      <c r="A151" t="s">
        <v>72</v>
      </c>
      <c r="B151" s="216" t="str">
        <f t="shared" si="2"/>
        <v>Jan-21</v>
      </c>
      <c r="C151" s="217">
        <v>44197</v>
      </c>
      <c r="D151">
        <v>2139.7821300000001</v>
      </c>
      <c r="E151">
        <v>226.71555000000001</v>
      </c>
      <c r="F151">
        <v>261.40082000000001</v>
      </c>
      <c r="G151">
        <v>491.32292999999999</v>
      </c>
      <c r="H151">
        <v>207.2576</v>
      </c>
      <c r="I151">
        <v>180.96619999999999</v>
      </c>
      <c r="J151">
        <v>303.57611000000003</v>
      </c>
      <c r="K151">
        <v>4</v>
      </c>
      <c r="L151">
        <v>320.48959000000002</v>
      </c>
      <c r="M151">
        <v>144.05332999999999</v>
      </c>
      <c r="N151">
        <v>0</v>
      </c>
      <c r="U151" s="221" t="s">
        <v>78</v>
      </c>
      <c r="V151">
        <v>1001.28656</v>
      </c>
      <c r="W151">
        <v>1365.80555</v>
      </c>
      <c r="X151">
        <v>1374.8357100000001</v>
      </c>
      <c r="Y151">
        <v>972.20060000000001</v>
      </c>
      <c r="Z151">
        <v>692.28576999999996</v>
      </c>
      <c r="AA151">
        <v>1039.6938399999999</v>
      </c>
      <c r="AB151">
        <v>34.852699999999999</v>
      </c>
      <c r="AC151">
        <v>91.420829999999995</v>
      </c>
      <c r="AD151">
        <v>541.21622000000002</v>
      </c>
      <c r="AE151">
        <v>1</v>
      </c>
    </row>
    <row r="152" spans="1:31">
      <c r="A152" t="s">
        <v>72</v>
      </c>
      <c r="B152" s="216" t="str">
        <f t="shared" si="2"/>
        <v>Feb-21</v>
      </c>
      <c r="C152" s="217">
        <v>44228</v>
      </c>
      <c r="D152">
        <v>2145.7621100000001</v>
      </c>
      <c r="E152">
        <v>228.20887999999999</v>
      </c>
      <c r="F152">
        <v>261.33415000000002</v>
      </c>
      <c r="G152">
        <v>491.12959000000001</v>
      </c>
      <c r="H152">
        <v>208.61760000000001</v>
      </c>
      <c r="I152">
        <v>179.86619999999999</v>
      </c>
      <c r="J152">
        <v>303.78944000000001</v>
      </c>
      <c r="K152">
        <v>4</v>
      </c>
      <c r="L152">
        <v>328.06292000000002</v>
      </c>
      <c r="M152">
        <v>140.75333000000001</v>
      </c>
      <c r="N152">
        <v>0</v>
      </c>
      <c r="U152" s="7" t="s">
        <v>93</v>
      </c>
      <c r="V152">
        <v>12302.50945</v>
      </c>
      <c r="W152">
        <v>16293.011460000002</v>
      </c>
      <c r="X152">
        <v>13820.745050000001</v>
      </c>
      <c r="Y152">
        <v>11180.568810000001</v>
      </c>
      <c r="Z152">
        <v>9313.850550000001</v>
      </c>
      <c r="AA152">
        <v>11788.898009999999</v>
      </c>
      <c r="AB152">
        <v>1952.7781900000002</v>
      </c>
      <c r="AC152">
        <v>1934.71488</v>
      </c>
      <c r="AD152">
        <v>4611.05717</v>
      </c>
      <c r="AE152">
        <v>3795.0494900000003</v>
      </c>
    </row>
    <row r="153" spans="1:31">
      <c r="A153" t="s">
        <v>72</v>
      </c>
      <c r="B153" s="216" t="str">
        <f t="shared" si="2"/>
        <v>Mar-21</v>
      </c>
      <c r="C153" s="217">
        <v>44256</v>
      </c>
      <c r="D153">
        <v>2157.5154499999999</v>
      </c>
      <c r="E153">
        <v>228.12888000000001</v>
      </c>
      <c r="F153">
        <v>263.23415</v>
      </c>
      <c r="G153">
        <v>488.52958999999998</v>
      </c>
      <c r="H153">
        <v>210.61760000000001</v>
      </c>
      <c r="I153">
        <v>180.06620000000001</v>
      </c>
      <c r="J153">
        <v>306.92277999999999</v>
      </c>
      <c r="K153">
        <v>5</v>
      </c>
      <c r="L153">
        <v>334.26292000000001</v>
      </c>
      <c r="M153">
        <v>140.75333000000001</v>
      </c>
      <c r="N153">
        <v>0</v>
      </c>
      <c r="U153" s="221" t="s">
        <v>71</v>
      </c>
      <c r="V153">
        <v>2644.1659199999999</v>
      </c>
      <c r="W153">
        <v>3467.2031999999999</v>
      </c>
      <c r="X153">
        <v>2807.7339000000002</v>
      </c>
      <c r="Y153">
        <v>2143.7947100000001</v>
      </c>
      <c r="Z153">
        <v>2040.96722</v>
      </c>
      <c r="AA153">
        <v>2431.4458800000002</v>
      </c>
      <c r="AB153">
        <v>360.72082999999998</v>
      </c>
      <c r="AC153">
        <v>344.70209</v>
      </c>
      <c r="AD153">
        <v>368.78001</v>
      </c>
      <c r="AE153">
        <v>1953.97768</v>
      </c>
    </row>
    <row r="154" spans="1:31">
      <c r="A154" t="s">
        <v>72</v>
      </c>
      <c r="B154" s="216" t="str">
        <f t="shared" si="2"/>
        <v>Apr-21</v>
      </c>
      <c r="C154" s="217">
        <v>44287</v>
      </c>
      <c r="D154">
        <v>2168.3725199999999</v>
      </c>
      <c r="E154">
        <v>222.70221000000001</v>
      </c>
      <c r="F154">
        <v>260.50081</v>
      </c>
      <c r="G154">
        <v>488.04</v>
      </c>
      <c r="H154">
        <v>208.29759999999999</v>
      </c>
      <c r="I154">
        <v>181.6662</v>
      </c>
      <c r="J154">
        <v>306.78944999999999</v>
      </c>
      <c r="K154">
        <v>5</v>
      </c>
      <c r="L154">
        <v>352.82292000000001</v>
      </c>
      <c r="M154">
        <v>142.55332999999999</v>
      </c>
      <c r="N154">
        <v>0</v>
      </c>
      <c r="U154" s="221" t="s">
        <v>69</v>
      </c>
      <c r="V154">
        <v>783.79282000000001</v>
      </c>
      <c r="W154">
        <v>960.86717999999996</v>
      </c>
      <c r="X154">
        <v>949.38396</v>
      </c>
      <c r="Y154">
        <v>708.40611000000001</v>
      </c>
      <c r="Z154">
        <v>594.09478000000001</v>
      </c>
      <c r="AA154">
        <v>804.83879000000002</v>
      </c>
      <c r="AB154">
        <v>135.59655000000001</v>
      </c>
      <c r="AC154">
        <v>63.087470000000003</v>
      </c>
      <c r="AD154">
        <v>125.06224</v>
      </c>
      <c r="AE154">
        <v>1031.19956</v>
      </c>
    </row>
    <row r="155" spans="1:31">
      <c r="A155" t="s">
        <v>74</v>
      </c>
      <c r="B155" s="216" t="str">
        <f t="shared" si="2"/>
        <v>May-20</v>
      </c>
      <c r="C155" s="217">
        <v>43952</v>
      </c>
      <c r="D155">
        <v>3106.88591</v>
      </c>
      <c r="E155">
        <v>448.24489999999997</v>
      </c>
      <c r="F155">
        <v>733.70345999999995</v>
      </c>
      <c r="G155">
        <v>711.29884000000004</v>
      </c>
      <c r="H155">
        <v>366.24946</v>
      </c>
      <c r="I155">
        <v>335.68259</v>
      </c>
      <c r="J155">
        <v>374.23491999999999</v>
      </c>
      <c r="K155">
        <v>68.445080000000004</v>
      </c>
      <c r="L155">
        <v>7.5</v>
      </c>
      <c r="M155">
        <v>60.52666</v>
      </c>
      <c r="N155">
        <v>1</v>
      </c>
      <c r="U155" s="221" t="s">
        <v>72</v>
      </c>
      <c r="V155">
        <v>228.20887999999999</v>
      </c>
      <c r="W155">
        <v>261.33415000000002</v>
      </c>
      <c r="X155">
        <v>491.12959000000001</v>
      </c>
      <c r="Y155">
        <v>208.61760000000001</v>
      </c>
      <c r="Z155">
        <v>179.86619999999999</v>
      </c>
      <c r="AA155">
        <v>303.78944000000001</v>
      </c>
      <c r="AB155">
        <v>4</v>
      </c>
      <c r="AC155">
        <v>328.06292000000002</v>
      </c>
      <c r="AD155">
        <v>140.75333000000001</v>
      </c>
      <c r="AE155">
        <v>0</v>
      </c>
    </row>
    <row r="156" spans="1:31">
      <c r="A156" t="s">
        <v>74</v>
      </c>
      <c r="B156" s="216" t="str">
        <f t="shared" si="2"/>
        <v>Jun-20</v>
      </c>
      <c r="C156" s="217">
        <v>43983</v>
      </c>
      <c r="D156">
        <v>3122.2179100000003</v>
      </c>
      <c r="E156">
        <v>451.12490000000003</v>
      </c>
      <c r="F156">
        <v>735.41678999999999</v>
      </c>
      <c r="G156">
        <v>717.13350000000003</v>
      </c>
      <c r="H156">
        <v>370.96947</v>
      </c>
      <c r="I156">
        <v>336.88258999999999</v>
      </c>
      <c r="J156">
        <v>370.41892000000001</v>
      </c>
      <c r="K156">
        <v>70.245080000000002</v>
      </c>
      <c r="L156">
        <v>7.5</v>
      </c>
      <c r="M156">
        <v>61.52666</v>
      </c>
      <c r="N156">
        <v>1</v>
      </c>
      <c r="U156" s="221" t="s">
        <v>73</v>
      </c>
      <c r="V156">
        <v>1</v>
      </c>
      <c r="W156">
        <v>62.806669999999997</v>
      </c>
      <c r="X156">
        <v>28.17998</v>
      </c>
      <c r="Y156">
        <v>106.04</v>
      </c>
      <c r="Z156">
        <v>1</v>
      </c>
      <c r="AA156">
        <v>3.92</v>
      </c>
      <c r="AB156">
        <v>0</v>
      </c>
      <c r="AC156">
        <v>0</v>
      </c>
      <c r="AD156">
        <v>3.0666500000000001</v>
      </c>
      <c r="AE156">
        <v>0</v>
      </c>
    </row>
    <row r="157" spans="1:31">
      <c r="A157" t="s">
        <v>74</v>
      </c>
      <c r="B157" s="216" t="str">
        <f t="shared" si="2"/>
        <v>Jul-20</v>
      </c>
      <c r="C157" s="217">
        <v>44013</v>
      </c>
      <c r="D157">
        <v>3123.9216200000005</v>
      </c>
      <c r="E157">
        <v>449.58303000000001</v>
      </c>
      <c r="F157">
        <v>738.51012000000003</v>
      </c>
      <c r="G157">
        <v>717.79348000000005</v>
      </c>
      <c r="H157">
        <v>368.95614</v>
      </c>
      <c r="I157">
        <v>335.28926000000001</v>
      </c>
      <c r="J157">
        <v>374.35199</v>
      </c>
      <c r="K157">
        <v>68.410939999999997</v>
      </c>
      <c r="L157">
        <v>7.5</v>
      </c>
      <c r="M157">
        <v>62.52666</v>
      </c>
      <c r="N157">
        <v>1</v>
      </c>
      <c r="U157" s="221" t="s">
        <v>74</v>
      </c>
      <c r="V157">
        <v>454.92968999999999</v>
      </c>
      <c r="W157">
        <v>748.46208000000001</v>
      </c>
      <c r="X157">
        <v>737.71214999999995</v>
      </c>
      <c r="Y157">
        <v>330.97746999999998</v>
      </c>
      <c r="Z157">
        <v>340.03937999999999</v>
      </c>
      <c r="AA157">
        <v>387.72133000000002</v>
      </c>
      <c r="AB157">
        <v>72.859470000000002</v>
      </c>
      <c r="AC157">
        <v>9.5</v>
      </c>
      <c r="AD157">
        <v>68.19999</v>
      </c>
      <c r="AE157">
        <v>1</v>
      </c>
    </row>
    <row r="158" spans="1:31">
      <c r="A158" t="s">
        <v>74</v>
      </c>
      <c r="B158" s="216" t="str">
        <f t="shared" si="2"/>
        <v>Aug-20</v>
      </c>
      <c r="C158" s="217">
        <v>44044</v>
      </c>
      <c r="D158">
        <v>3142.4714599999998</v>
      </c>
      <c r="E158">
        <v>448.98302999999999</v>
      </c>
      <c r="F158">
        <v>743.21677999999997</v>
      </c>
      <c r="G158">
        <v>716.28680999999995</v>
      </c>
      <c r="H158">
        <v>376.34280000000001</v>
      </c>
      <c r="I158">
        <v>337.70258999999999</v>
      </c>
      <c r="J158">
        <v>382.16798999999997</v>
      </c>
      <c r="K158">
        <v>68.644800000000004</v>
      </c>
      <c r="L158">
        <v>7.5</v>
      </c>
      <c r="M158">
        <v>60.626660000000001</v>
      </c>
      <c r="N158">
        <v>1</v>
      </c>
      <c r="U158" s="221" t="s">
        <v>75</v>
      </c>
      <c r="V158">
        <v>2444.3236200000001</v>
      </c>
      <c r="W158">
        <v>3107.55215</v>
      </c>
      <c r="X158">
        <v>2314.3671899999999</v>
      </c>
      <c r="Y158">
        <v>2183.09211</v>
      </c>
      <c r="Z158">
        <v>1802.95136</v>
      </c>
      <c r="AA158">
        <v>2236.8096300000002</v>
      </c>
      <c r="AB158">
        <v>613.52723000000003</v>
      </c>
      <c r="AC158">
        <v>1028.27242</v>
      </c>
      <c r="AD158">
        <v>2688.4356499999999</v>
      </c>
      <c r="AE158">
        <v>562.05223000000001</v>
      </c>
    </row>
    <row r="159" spans="1:31">
      <c r="A159" t="s">
        <v>74</v>
      </c>
      <c r="B159" s="216" t="str">
        <f t="shared" si="2"/>
        <v>Sep-20</v>
      </c>
      <c r="C159" s="217">
        <v>44075</v>
      </c>
      <c r="D159">
        <v>3172.7885099999994</v>
      </c>
      <c r="E159">
        <v>459.3897</v>
      </c>
      <c r="F159">
        <v>752.88316999999995</v>
      </c>
      <c r="G159">
        <v>717.77</v>
      </c>
      <c r="H159">
        <v>378.44279999999998</v>
      </c>
      <c r="I159">
        <v>335.40924999999999</v>
      </c>
      <c r="J159">
        <v>383.81466</v>
      </c>
      <c r="K159">
        <v>69.552269999999993</v>
      </c>
      <c r="L159">
        <v>7.5</v>
      </c>
      <c r="M159">
        <v>67.026660000000007</v>
      </c>
      <c r="N159">
        <v>1</v>
      </c>
      <c r="U159" s="221" t="s">
        <v>76</v>
      </c>
      <c r="V159">
        <v>1029.9794899999999</v>
      </c>
      <c r="W159">
        <v>1304.45579</v>
      </c>
      <c r="X159">
        <v>1158.8113699999999</v>
      </c>
      <c r="Y159">
        <v>1114.1578999999999</v>
      </c>
      <c r="Z159">
        <v>934.75256000000002</v>
      </c>
      <c r="AA159">
        <v>1065.3564699999999</v>
      </c>
      <c r="AB159">
        <v>165.86002999999999</v>
      </c>
      <c r="AC159">
        <v>0.66666999999999998</v>
      </c>
      <c r="AD159">
        <v>372.95197000000002</v>
      </c>
      <c r="AE159">
        <v>66.013350000000003</v>
      </c>
    </row>
    <row r="160" spans="1:31">
      <c r="A160" t="s">
        <v>74</v>
      </c>
      <c r="B160" s="216" t="str">
        <f t="shared" si="2"/>
        <v>Oct-20</v>
      </c>
      <c r="C160" s="217">
        <v>44105</v>
      </c>
      <c r="D160">
        <v>3119.28694</v>
      </c>
      <c r="E160">
        <v>462.54969999999997</v>
      </c>
      <c r="F160">
        <v>747.91650000000004</v>
      </c>
      <c r="G160">
        <v>658.12336000000005</v>
      </c>
      <c r="H160">
        <v>381.12947000000003</v>
      </c>
      <c r="I160">
        <v>336.72924999999998</v>
      </c>
      <c r="J160">
        <v>384.64933000000002</v>
      </c>
      <c r="K160">
        <v>71.662670000000006</v>
      </c>
      <c r="L160">
        <v>8.5</v>
      </c>
      <c r="M160">
        <v>67.026660000000007</v>
      </c>
      <c r="N160">
        <v>1</v>
      </c>
      <c r="U160" s="221" t="s">
        <v>77</v>
      </c>
      <c r="V160">
        <v>3755.5948600000002</v>
      </c>
      <c r="W160">
        <v>5100.6145500000002</v>
      </c>
      <c r="X160">
        <v>4077.8592400000002</v>
      </c>
      <c r="Y160">
        <v>3476.1090100000001</v>
      </c>
      <c r="Z160">
        <v>2777.94643</v>
      </c>
      <c r="AA160">
        <v>3588.4824100000001</v>
      </c>
      <c r="AB160">
        <v>565.77175</v>
      </c>
      <c r="AC160">
        <v>64.673310000000001</v>
      </c>
      <c r="AD160">
        <v>198.71333000000001</v>
      </c>
      <c r="AE160">
        <v>179.80667</v>
      </c>
    </row>
    <row r="161" spans="1:34">
      <c r="A161" t="s">
        <v>74</v>
      </c>
      <c r="B161" s="216" t="str">
        <f t="shared" si="2"/>
        <v>Nov-20</v>
      </c>
      <c r="C161" s="217">
        <v>44136</v>
      </c>
      <c r="D161">
        <v>3198.3962500000002</v>
      </c>
      <c r="E161">
        <v>460.85637000000003</v>
      </c>
      <c r="F161">
        <v>754.29648999999995</v>
      </c>
      <c r="G161">
        <v>724.92467999999997</v>
      </c>
      <c r="H161">
        <v>382.73746999999997</v>
      </c>
      <c r="I161">
        <v>333.67590999999999</v>
      </c>
      <c r="J161">
        <v>388.416</v>
      </c>
      <c r="K161">
        <v>73.962670000000003</v>
      </c>
      <c r="L161">
        <v>9.5</v>
      </c>
      <c r="M161">
        <v>69.026660000000007</v>
      </c>
      <c r="N161">
        <v>1</v>
      </c>
      <c r="U161" s="221" t="s">
        <v>78</v>
      </c>
      <c r="V161">
        <v>960.51417000000004</v>
      </c>
      <c r="W161">
        <v>1279.71569</v>
      </c>
      <c r="X161">
        <v>1255.5676699999999</v>
      </c>
      <c r="Y161">
        <v>909.37390000000005</v>
      </c>
      <c r="Z161">
        <v>642.23262</v>
      </c>
      <c r="AA161">
        <v>966.53405999999995</v>
      </c>
      <c r="AB161">
        <v>34.442329999999998</v>
      </c>
      <c r="AC161">
        <v>95.75</v>
      </c>
      <c r="AD161">
        <v>645.09400000000005</v>
      </c>
      <c r="AE161">
        <v>1</v>
      </c>
    </row>
    <row r="162" spans="1:34">
      <c r="A162" t="s">
        <v>74</v>
      </c>
      <c r="B162" s="216" t="str">
        <f t="shared" si="2"/>
        <v>Dec-20</v>
      </c>
      <c r="C162" s="217">
        <v>44166</v>
      </c>
      <c r="D162">
        <v>3200.7263699999999</v>
      </c>
      <c r="E162">
        <v>457.8897</v>
      </c>
      <c r="F162">
        <v>750.62181999999996</v>
      </c>
      <c r="G162">
        <v>731.77080999999998</v>
      </c>
      <c r="H162">
        <v>383.68414000000001</v>
      </c>
      <c r="I162">
        <v>332.17590999999999</v>
      </c>
      <c r="J162">
        <v>389.92133000000001</v>
      </c>
      <c r="K162">
        <v>73.962670000000003</v>
      </c>
      <c r="L162">
        <v>9.5</v>
      </c>
      <c r="M162">
        <v>70.19999</v>
      </c>
      <c r="N162">
        <v>1</v>
      </c>
      <c r="U162" s="7" t="s">
        <v>94</v>
      </c>
      <c r="V162">
        <v>12354.060000000001</v>
      </c>
      <c r="W162">
        <v>16725.825959999998</v>
      </c>
      <c r="X162">
        <v>14103.028419999999</v>
      </c>
      <c r="Y162">
        <v>11163.62133</v>
      </c>
      <c r="Z162">
        <v>9624.1178199999995</v>
      </c>
      <c r="AA162">
        <v>11794.61558</v>
      </c>
      <c r="AB162">
        <v>2036.5148200000001</v>
      </c>
      <c r="AC162">
        <v>2113.7268300000001</v>
      </c>
      <c r="AD162">
        <v>1439.4600200000002</v>
      </c>
      <c r="AE162">
        <v>4103.631159999999</v>
      </c>
    </row>
    <row r="163" spans="1:34">
      <c r="A163" t="s">
        <v>74</v>
      </c>
      <c r="B163" s="216" t="str">
        <f t="shared" si="2"/>
        <v>Jan-21</v>
      </c>
      <c r="C163" s="217">
        <v>44197</v>
      </c>
      <c r="D163">
        <v>3203.8164900000002</v>
      </c>
      <c r="E163">
        <v>457.80302999999998</v>
      </c>
      <c r="F163">
        <v>751.76180999999997</v>
      </c>
      <c r="G163">
        <v>731.04413999999997</v>
      </c>
      <c r="H163">
        <v>387.50414000000001</v>
      </c>
      <c r="I163">
        <v>334.63938000000002</v>
      </c>
      <c r="J163">
        <v>387.32132999999999</v>
      </c>
      <c r="K163">
        <v>75.042670000000001</v>
      </c>
      <c r="L163">
        <v>9.5</v>
      </c>
      <c r="M163">
        <v>68.19999</v>
      </c>
      <c r="N163">
        <v>1</v>
      </c>
      <c r="U163" s="221" t="s">
        <v>71</v>
      </c>
      <c r="V163">
        <v>2622.4</v>
      </c>
      <c r="W163">
        <v>3533.30836</v>
      </c>
      <c r="X163">
        <v>2831.0851200000002</v>
      </c>
      <c r="Y163">
        <v>2084.1475399999999</v>
      </c>
      <c r="Z163">
        <v>2108.1945599999999</v>
      </c>
      <c r="AA163">
        <v>2423.8011999999999</v>
      </c>
      <c r="AB163">
        <v>385.73975000000002</v>
      </c>
      <c r="AC163">
        <v>339.78609</v>
      </c>
      <c r="AD163">
        <v>228.22641999999999</v>
      </c>
      <c r="AE163">
        <v>2152.23587</v>
      </c>
    </row>
    <row r="164" spans="1:34">
      <c r="A164" t="s">
        <v>74</v>
      </c>
      <c r="B164" s="216" t="str">
        <f t="shared" si="2"/>
        <v>Feb-21</v>
      </c>
      <c r="C164" s="217">
        <v>44228</v>
      </c>
      <c r="D164">
        <v>3151.4015599999998</v>
      </c>
      <c r="E164">
        <v>454.92968999999999</v>
      </c>
      <c r="F164">
        <v>748.46208000000001</v>
      </c>
      <c r="G164">
        <v>737.71214999999995</v>
      </c>
      <c r="H164">
        <v>330.97746999999998</v>
      </c>
      <c r="I164">
        <v>340.03937999999999</v>
      </c>
      <c r="J164">
        <v>387.72133000000002</v>
      </c>
      <c r="K164">
        <v>72.859470000000002</v>
      </c>
      <c r="L164">
        <v>9.5</v>
      </c>
      <c r="M164">
        <v>68.19999</v>
      </c>
      <c r="N164">
        <v>1</v>
      </c>
      <c r="U164" s="221" t="s">
        <v>69</v>
      </c>
      <c r="V164">
        <v>811.64</v>
      </c>
      <c r="W164">
        <v>1107.8491200000001</v>
      </c>
      <c r="X164">
        <v>1337.8261199999999</v>
      </c>
      <c r="Y164">
        <v>732.76130000000001</v>
      </c>
      <c r="Z164">
        <v>659.73316</v>
      </c>
      <c r="AA164">
        <v>881.51721999999995</v>
      </c>
      <c r="AB164">
        <v>130.98882</v>
      </c>
      <c r="AC164">
        <v>68.134129999999999</v>
      </c>
      <c r="AD164">
        <v>136.26121000000001</v>
      </c>
      <c r="AE164">
        <v>1082.16211</v>
      </c>
    </row>
    <row r="165" spans="1:34">
      <c r="A165" t="s">
        <v>74</v>
      </c>
      <c r="B165" s="216" t="str">
        <f t="shared" si="2"/>
        <v>Mar-21</v>
      </c>
      <c r="C165" s="217">
        <v>44256</v>
      </c>
      <c r="D165">
        <v>3136.7495699999999</v>
      </c>
      <c r="E165">
        <v>444.44968999999998</v>
      </c>
      <c r="F165">
        <v>746.58208999999999</v>
      </c>
      <c r="G165">
        <v>731.56547999999998</v>
      </c>
      <c r="H165">
        <v>330.76414</v>
      </c>
      <c r="I165">
        <v>339.83938000000001</v>
      </c>
      <c r="J165">
        <v>393.18932999999998</v>
      </c>
      <c r="K165">
        <v>73.659469999999999</v>
      </c>
      <c r="L165">
        <v>9.5</v>
      </c>
      <c r="M165">
        <v>65.19999</v>
      </c>
      <c r="N165">
        <v>2</v>
      </c>
      <c r="U165" s="221" t="s">
        <v>72</v>
      </c>
      <c r="V165">
        <v>229.98</v>
      </c>
      <c r="W165">
        <v>254.61707000000001</v>
      </c>
      <c r="X165">
        <v>533.07974000000002</v>
      </c>
      <c r="Y165">
        <v>196.31093000000001</v>
      </c>
      <c r="Z165">
        <v>195.32194999999999</v>
      </c>
      <c r="AA165">
        <v>324.08945999999997</v>
      </c>
      <c r="AB165">
        <v>4</v>
      </c>
      <c r="AC165">
        <v>373.26825000000002</v>
      </c>
      <c r="AD165">
        <v>156.64666</v>
      </c>
      <c r="AE165">
        <v>0</v>
      </c>
    </row>
    <row r="166" spans="1:34">
      <c r="A166" t="s">
        <v>74</v>
      </c>
      <c r="B166" s="216" t="str">
        <f t="shared" si="2"/>
        <v>Apr-21</v>
      </c>
      <c r="C166" s="217">
        <v>44287</v>
      </c>
      <c r="D166">
        <v>2981.9979400000002</v>
      </c>
      <c r="E166">
        <v>427.92302000000001</v>
      </c>
      <c r="F166">
        <v>632.32209</v>
      </c>
      <c r="G166">
        <v>734.12</v>
      </c>
      <c r="H166">
        <v>336.44414</v>
      </c>
      <c r="I166">
        <v>306.48604</v>
      </c>
      <c r="J166">
        <v>391.94400000000002</v>
      </c>
      <c r="K166">
        <v>74.058660000000003</v>
      </c>
      <c r="L166">
        <v>9.5</v>
      </c>
      <c r="M166">
        <v>67.19999</v>
      </c>
      <c r="N166">
        <v>2</v>
      </c>
      <c r="U166" s="221" t="s">
        <v>73</v>
      </c>
      <c r="V166">
        <v>7.5</v>
      </c>
      <c r="W166">
        <v>46.7</v>
      </c>
      <c r="X166">
        <v>37.066650000000003</v>
      </c>
      <c r="Y166">
        <v>16</v>
      </c>
      <c r="Z166">
        <v>1</v>
      </c>
      <c r="AA166">
        <v>0</v>
      </c>
      <c r="AB166">
        <v>0</v>
      </c>
      <c r="AC166">
        <v>0</v>
      </c>
      <c r="AD166">
        <v>3.1333199999999999</v>
      </c>
      <c r="AE166">
        <v>0</v>
      </c>
    </row>
    <row r="167" spans="1:34">
      <c r="A167" t="s">
        <v>75</v>
      </c>
      <c r="B167" s="216" t="str">
        <f t="shared" si="2"/>
        <v>May-20</v>
      </c>
      <c r="C167" s="217">
        <v>43952</v>
      </c>
      <c r="D167">
        <v>17997.661970000001</v>
      </c>
      <c r="E167">
        <v>2327.0977499999999</v>
      </c>
      <c r="F167">
        <v>2965.8662800000002</v>
      </c>
      <c r="G167">
        <v>2154.5014500000002</v>
      </c>
      <c r="H167">
        <v>2066.70298</v>
      </c>
      <c r="I167">
        <v>1673.3698899999999</v>
      </c>
      <c r="J167">
        <v>2124.7955900000002</v>
      </c>
      <c r="K167">
        <v>561.85423000000003</v>
      </c>
      <c r="L167">
        <v>989.66600000000005</v>
      </c>
      <c r="M167">
        <v>2570.2072199999998</v>
      </c>
      <c r="N167">
        <v>563.60058000000004</v>
      </c>
      <c r="U167" s="221" t="s">
        <v>74</v>
      </c>
      <c r="V167">
        <v>462.12</v>
      </c>
      <c r="W167">
        <v>678.97542999999996</v>
      </c>
      <c r="X167">
        <v>480.27776999999998</v>
      </c>
      <c r="Y167">
        <v>347.93747000000002</v>
      </c>
      <c r="Z167">
        <v>331.56691999999998</v>
      </c>
      <c r="AA167">
        <v>355.90854000000002</v>
      </c>
      <c r="AB167">
        <v>72.374669999999995</v>
      </c>
      <c r="AC167">
        <v>11.2</v>
      </c>
      <c r="AD167">
        <v>51.406660000000002</v>
      </c>
      <c r="AE167">
        <v>2</v>
      </c>
    </row>
    <row r="168" spans="1:34">
      <c r="A168" t="s">
        <v>75</v>
      </c>
      <c r="B168" s="216" t="str">
        <f t="shared" si="2"/>
        <v>Jun-20</v>
      </c>
      <c r="C168" s="217">
        <v>43983</v>
      </c>
      <c r="D168">
        <v>18049.50014</v>
      </c>
      <c r="E168">
        <v>2335.21893</v>
      </c>
      <c r="F168">
        <v>2985.1244200000001</v>
      </c>
      <c r="G168">
        <v>2153.7281200000002</v>
      </c>
      <c r="H168">
        <v>2076.1528499999999</v>
      </c>
      <c r="I168">
        <v>1693.8965599999999</v>
      </c>
      <c r="J168">
        <v>2126.2995700000001</v>
      </c>
      <c r="K168">
        <v>557.36090000000002</v>
      </c>
      <c r="L168">
        <v>995.99640999999997</v>
      </c>
      <c r="M168">
        <v>2574.5617999999999</v>
      </c>
      <c r="N168">
        <v>551.16057999999998</v>
      </c>
      <c r="U168" s="221" t="s">
        <v>75</v>
      </c>
      <c r="V168">
        <v>2604.6</v>
      </c>
      <c r="W168">
        <v>3350.4129699999999</v>
      </c>
      <c r="X168">
        <v>2533.9542999999999</v>
      </c>
      <c r="Y168">
        <v>2263.3981800000001</v>
      </c>
      <c r="Z168">
        <v>1987.4157700000001</v>
      </c>
      <c r="AA168">
        <v>2379.54286</v>
      </c>
      <c r="AB168">
        <v>659.50053000000003</v>
      </c>
      <c r="AC168">
        <v>1137.5065500000001</v>
      </c>
      <c r="AD168">
        <v>519.95862999999997</v>
      </c>
      <c r="AE168">
        <v>580.86919</v>
      </c>
    </row>
    <row r="169" spans="1:34">
      <c r="A169" t="s">
        <v>75</v>
      </c>
      <c r="B169" s="216" t="str">
        <f t="shared" si="2"/>
        <v>Jul-20</v>
      </c>
      <c r="C169" s="217">
        <v>44013</v>
      </c>
      <c r="D169">
        <v>18094.708480000001</v>
      </c>
      <c r="E169">
        <v>2353.46785</v>
      </c>
      <c r="F169">
        <v>2991.5377600000002</v>
      </c>
      <c r="G169">
        <v>2155.5009599999998</v>
      </c>
      <c r="H169">
        <v>2076.32618</v>
      </c>
      <c r="I169">
        <v>1711.5198800000001</v>
      </c>
      <c r="J169">
        <v>2125.7478900000001</v>
      </c>
      <c r="K169">
        <v>559.95050000000003</v>
      </c>
      <c r="L169">
        <v>996.97640999999999</v>
      </c>
      <c r="M169">
        <v>2579.41381</v>
      </c>
      <c r="N169">
        <v>544.26724000000002</v>
      </c>
      <c r="U169" s="221" t="s">
        <v>76</v>
      </c>
      <c r="V169">
        <v>987.79</v>
      </c>
      <c r="W169">
        <v>1269.79817</v>
      </c>
      <c r="X169">
        <v>1111.2362800000001</v>
      </c>
      <c r="Y169">
        <v>1098.4147399999999</v>
      </c>
      <c r="Z169">
        <v>892.07646999999997</v>
      </c>
      <c r="AA169">
        <v>1006.82529</v>
      </c>
      <c r="AB169">
        <v>181.46239</v>
      </c>
      <c r="AC169">
        <v>0.66666999999999998</v>
      </c>
      <c r="AD169">
        <v>55.7453</v>
      </c>
      <c r="AE169">
        <v>60.053319999999999</v>
      </c>
    </row>
    <row r="170" spans="1:34">
      <c r="A170" t="s">
        <v>75</v>
      </c>
      <c r="B170" s="216" t="str">
        <f t="shared" si="2"/>
        <v>Aug-20</v>
      </c>
      <c r="C170" s="217">
        <v>44044</v>
      </c>
      <c r="D170">
        <v>18133.662950000002</v>
      </c>
      <c r="E170">
        <v>2336.4111800000001</v>
      </c>
      <c r="F170">
        <v>3013.1041399999999</v>
      </c>
      <c r="G170">
        <v>2162.29</v>
      </c>
      <c r="H170">
        <v>2088.5828499999998</v>
      </c>
      <c r="I170">
        <v>1708.10401</v>
      </c>
      <c r="J170">
        <v>2127.9436900000001</v>
      </c>
      <c r="K170">
        <v>559.19467999999995</v>
      </c>
      <c r="L170">
        <v>1000.3830799999999</v>
      </c>
      <c r="M170">
        <v>2590.78208</v>
      </c>
      <c r="N170">
        <v>546.86724000000061</v>
      </c>
      <c r="U170" s="221" t="s">
        <v>77</v>
      </c>
      <c r="V170">
        <v>3788.42</v>
      </c>
      <c r="W170">
        <v>5260.9662399999997</v>
      </c>
      <c r="X170">
        <v>4157.4853400000002</v>
      </c>
      <c r="Y170">
        <v>3589.57305</v>
      </c>
      <c r="Z170">
        <v>2824.80746</v>
      </c>
      <c r="AA170">
        <v>3547.5287899999998</v>
      </c>
      <c r="AB170">
        <v>570.24854000000005</v>
      </c>
      <c r="AC170">
        <v>85.333320000000001</v>
      </c>
      <c r="AD170">
        <v>208.68</v>
      </c>
      <c r="AE170">
        <v>225.804</v>
      </c>
    </row>
    <row r="171" spans="1:34">
      <c r="A171" t="s">
        <v>75</v>
      </c>
      <c r="B171" s="216" t="str">
        <f t="shared" si="2"/>
        <v>Sep-20</v>
      </c>
      <c r="C171" s="217">
        <v>44075</v>
      </c>
      <c r="D171">
        <v>18179.877099999998</v>
      </c>
      <c r="E171">
        <v>2351.1186299999999</v>
      </c>
      <c r="F171">
        <v>3006.1358799999998</v>
      </c>
      <c r="G171">
        <v>2153.69</v>
      </c>
      <c r="H171">
        <v>2100.20084</v>
      </c>
      <c r="I171">
        <v>1699.18497</v>
      </c>
      <c r="J171">
        <v>2149.5071600000001</v>
      </c>
      <c r="K171">
        <v>561.24135000000001</v>
      </c>
      <c r="L171">
        <v>1006.55161</v>
      </c>
      <c r="M171">
        <v>2607.7660799999999</v>
      </c>
      <c r="N171">
        <v>544.48058000000003</v>
      </c>
      <c r="U171" s="221" t="s">
        <v>78</v>
      </c>
      <c r="V171">
        <v>839.61</v>
      </c>
      <c r="W171">
        <v>1223.1985999999999</v>
      </c>
      <c r="X171">
        <v>1081.0171</v>
      </c>
      <c r="Y171">
        <v>835.07812000000001</v>
      </c>
      <c r="Z171">
        <v>624.00153</v>
      </c>
      <c r="AA171">
        <v>875.40222000000006</v>
      </c>
      <c r="AB171">
        <v>32.200119999999998</v>
      </c>
      <c r="AC171">
        <v>97.831819999999993</v>
      </c>
      <c r="AD171">
        <v>79.401820000000001</v>
      </c>
      <c r="AE171">
        <v>0.50666999999999995</v>
      </c>
    </row>
    <row r="172" spans="1:34">
      <c r="A172" t="s">
        <v>75</v>
      </c>
      <c r="B172" s="216" t="str">
        <f t="shared" si="2"/>
        <v>Oct-20</v>
      </c>
      <c r="C172" s="217">
        <v>44105</v>
      </c>
      <c r="D172">
        <v>18144.860200000003</v>
      </c>
      <c r="E172">
        <v>2354.8573000000001</v>
      </c>
      <c r="F172">
        <v>3013.0812000000001</v>
      </c>
      <c r="G172">
        <v>2075.1499800000001</v>
      </c>
      <c r="H172">
        <v>2120.8481200000001</v>
      </c>
      <c r="I172">
        <v>1695.40924</v>
      </c>
      <c r="J172">
        <v>2155.4272799999999</v>
      </c>
      <c r="K172">
        <v>561.36216000000002</v>
      </c>
      <c r="L172">
        <v>1003.67827</v>
      </c>
      <c r="M172">
        <v>2623.39275</v>
      </c>
      <c r="N172">
        <v>541.65390000000002</v>
      </c>
      <c r="U172" s="7" t="s">
        <v>95</v>
      </c>
      <c r="V172">
        <v>12598.613839999998</v>
      </c>
      <c r="W172">
        <v>17511.72984</v>
      </c>
      <c r="X172">
        <v>14498.526609999999</v>
      </c>
      <c r="Y172">
        <v>11174.384750000001</v>
      </c>
      <c r="Z172">
        <v>10052.214690000001</v>
      </c>
      <c r="AA172">
        <v>12084.76167</v>
      </c>
      <c r="AB172">
        <v>2082.41588</v>
      </c>
      <c r="AC172">
        <v>2049.04331</v>
      </c>
      <c r="AD172">
        <v>1474.0533599999999</v>
      </c>
      <c r="AE172">
        <v>4115.0745899999993</v>
      </c>
      <c r="AF172">
        <v>397.96817999999996</v>
      </c>
      <c r="AG172">
        <v>1087.1099999999999</v>
      </c>
      <c r="AH172">
        <v>0</v>
      </c>
    </row>
    <row r="173" spans="1:34">
      <c r="A173" t="s">
        <v>75</v>
      </c>
      <c r="B173" s="216" t="str">
        <f t="shared" si="2"/>
        <v>Nov-20</v>
      </c>
      <c r="C173" s="217">
        <v>44136</v>
      </c>
      <c r="D173">
        <v>18379.962910000002</v>
      </c>
      <c r="E173">
        <v>2378.6840999999999</v>
      </c>
      <c r="F173">
        <v>3041.19454</v>
      </c>
      <c r="G173">
        <v>2187.5166800000002</v>
      </c>
      <c r="H173">
        <v>2133.37745</v>
      </c>
      <c r="I173">
        <v>1717.0413599999999</v>
      </c>
      <c r="J173">
        <v>2160.1769100000001</v>
      </c>
      <c r="K173">
        <v>576.45547999999997</v>
      </c>
      <c r="L173">
        <v>1004.17241</v>
      </c>
      <c r="M173">
        <v>2635.2028700000001</v>
      </c>
      <c r="N173">
        <v>546.14111000000003</v>
      </c>
      <c r="U173" s="221" t="s">
        <v>71</v>
      </c>
      <c r="V173">
        <v>2721.8690200000001</v>
      </c>
      <c r="W173">
        <v>3861.5136299999999</v>
      </c>
      <c r="X173">
        <v>2860.12057</v>
      </c>
      <c r="Y173">
        <v>2099.6078200000002</v>
      </c>
      <c r="Z173">
        <v>2254.67463</v>
      </c>
      <c r="AA173">
        <v>2526.36717</v>
      </c>
      <c r="AB173">
        <v>397.69574999999998</v>
      </c>
      <c r="AC173">
        <v>312.5213</v>
      </c>
      <c r="AD173">
        <v>233.11311000000001</v>
      </c>
      <c r="AE173">
        <v>2119.2440499999998</v>
      </c>
      <c r="AF173">
        <v>1</v>
      </c>
      <c r="AG173">
        <v>0</v>
      </c>
      <c r="AH173">
        <v>0</v>
      </c>
    </row>
    <row r="174" spans="1:34">
      <c r="A174" t="s">
        <v>75</v>
      </c>
      <c r="B174" s="216" t="str">
        <f t="shared" si="2"/>
        <v>Dec-20</v>
      </c>
      <c r="C174" s="217">
        <v>44166</v>
      </c>
      <c r="D174">
        <v>18489.844810000002</v>
      </c>
      <c r="E174">
        <v>2393.7807699999998</v>
      </c>
      <c r="F174">
        <v>3049.9049100000002</v>
      </c>
      <c r="G174">
        <v>2226.67</v>
      </c>
      <c r="H174">
        <v>2131.9587799999999</v>
      </c>
      <c r="I174">
        <v>1718.4013600000001</v>
      </c>
      <c r="J174">
        <v>2170.79027</v>
      </c>
      <c r="K174">
        <v>584.37787000000003</v>
      </c>
      <c r="L174">
        <v>1009.74574</v>
      </c>
      <c r="M174">
        <v>2650.0562100000002</v>
      </c>
      <c r="N174">
        <v>554.15890000000002</v>
      </c>
      <c r="U174" s="221" t="s">
        <v>69</v>
      </c>
      <c r="V174">
        <v>823.71283000000005</v>
      </c>
      <c r="W174">
        <v>1174.61517</v>
      </c>
      <c r="X174">
        <v>1417.0058300000001</v>
      </c>
      <c r="Y174">
        <v>739.57916999999998</v>
      </c>
      <c r="Z174">
        <v>686.52193</v>
      </c>
      <c r="AA174">
        <v>916.50629000000004</v>
      </c>
      <c r="AB174">
        <v>139.28002000000001</v>
      </c>
      <c r="AC174">
        <v>66.951729999999998</v>
      </c>
      <c r="AD174">
        <v>138.64919</v>
      </c>
      <c r="AE174">
        <v>1102.9709</v>
      </c>
      <c r="AF174">
        <v>6</v>
      </c>
      <c r="AG174">
        <v>0</v>
      </c>
      <c r="AH174">
        <v>0</v>
      </c>
    </row>
    <row r="175" spans="1:34">
      <c r="A175" t="s">
        <v>75</v>
      </c>
      <c r="B175" s="216" t="str">
        <f t="shared" si="2"/>
        <v>Jan-21</v>
      </c>
      <c r="C175" s="217">
        <v>44197</v>
      </c>
      <c r="D175">
        <v>18759.316400000003</v>
      </c>
      <c r="E175">
        <v>2421.0783799999999</v>
      </c>
      <c r="F175">
        <v>3090.5076600000002</v>
      </c>
      <c r="G175">
        <v>2302.1724100000001</v>
      </c>
      <c r="H175">
        <v>2166.4715700000002</v>
      </c>
      <c r="I175">
        <v>1745.72468</v>
      </c>
      <c r="J175">
        <v>2179.9490900000001</v>
      </c>
      <c r="K175">
        <v>606.94561999999996</v>
      </c>
      <c r="L175">
        <v>1020.44576</v>
      </c>
      <c r="M175">
        <v>2669.6356599999999</v>
      </c>
      <c r="N175">
        <v>556.38557000000003</v>
      </c>
      <c r="U175" s="221" t="s">
        <v>72</v>
      </c>
      <c r="V175">
        <v>233.84886</v>
      </c>
      <c r="W175">
        <v>276.75733000000002</v>
      </c>
      <c r="X175">
        <v>559.47181</v>
      </c>
      <c r="Y175">
        <v>198.21359000000001</v>
      </c>
      <c r="Z175">
        <v>195.09528</v>
      </c>
      <c r="AA175">
        <v>333.98946000000001</v>
      </c>
      <c r="AB175">
        <v>6.6133300000000004</v>
      </c>
      <c r="AC175">
        <v>388.24891000000002</v>
      </c>
      <c r="AD175">
        <v>169.37599</v>
      </c>
      <c r="AE175">
        <v>0</v>
      </c>
      <c r="AF175">
        <v>1</v>
      </c>
      <c r="AG175">
        <v>0</v>
      </c>
      <c r="AH175">
        <v>0</v>
      </c>
    </row>
    <row r="176" spans="1:34">
      <c r="A176" t="s">
        <v>75</v>
      </c>
      <c r="B176" s="216" t="str">
        <f t="shared" si="2"/>
        <v>Feb-21</v>
      </c>
      <c r="C176" s="217">
        <v>44228</v>
      </c>
      <c r="D176">
        <v>18981.383590000001</v>
      </c>
      <c r="E176">
        <v>2444.3236200000001</v>
      </c>
      <c r="F176">
        <v>3107.55215</v>
      </c>
      <c r="G176">
        <v>2314.3671899999999</v>
      </c>
      <c r="H176">
        <v>2183.09211</v>
      </c>
      <c r="I176">
        <v>1802.95136</v>
      </c>
      <c r="J176">
        <v>2236.8096300000002</v>
      </c>
      <c r="K176">
        <v>613.52723000000003</v>
      </c>
      <c r="L176">
        <v>1028.27242</v>
      </c>
      <c r="M176">
        <v>2688.4356499999999</v>
      </c>
      <c r="N176">
        <v>562.05223000000001</v>
      </c>
      <c r="U176" s="221" t="s">
        <v>73</v>
      </c>
      <c r="V176">
        <v>7.5</v>
      </c>
      <c r="W176">
        <v>20.5</v>
      </c>
      <c r="X176">
        <v>22.066649999999999</v>
      </c>
      <c r="Y176">
        <v>34.33334</v>
      </c>
      <c r="Z176">
        <v>0</v>
      </c>
      <c r="AA176">
        <v>0</v>
      </c>
      <c r="AB176">
        <v>0</v>
      </c>
      <c r="AC176">
        <v>0</v>
      </c>
      <c r="AD176">
        <v>3.0666500000000001</v>
      </c>
      <c r="AE176">
        <v>0</v>
      </c>
      <c r="AF176">
        <v>0</v>
      </c>
      <c r="AG176">
        <v>0</v>
      </c>
      <c r="AH176">
        <v>0</v>
      </c>
    </row>
    <row r="177" spans="1:34">
      <c r="A177" t="s">
        <v>75</v>
      </c>
      <c r="B177" s="216" t="str">
        <f t="shared" si="2"/>
        <v>Mar-21</v>
      </c>
      <c r="C177" s="217">
        <v>44256</v>
      </c>
      <c r="D177">
        <v>19185.864030000001</v>
      </c>
      <c r="E177">
        <v>2440.64401</v>
      </c>
      <c r="F177">
        <v>3138.1476499999999</v>
      </c>
      <c r="G177">
        <v>2334.2071900000001</v>
      </c>
      <c r="H177">
        <v>2201.2721200000001</v>
      </c>
      <c r="I177">
        <v>1873.54711</v>
      </c>
      <c r="J177">
        <v>2261.1264299999998</v>
      </c>
      <c r="K177">
        <v>625.39390000000003</v>
      </c>
      <c r="L177">
        <v>1030.57908</v>
      </c>
      <c r="M177">
        <v>2716.30764</v>
      </c>
      <c r="N177">
        <v>564.63890000000004</v>
      </c>
      <c r="U177" s="221" t="s">
        <v>74</v>
      </c>
      <c r="V177">
        <v>475.94551999999999</v>
      </c>
      <c r="W177">
        <v>738.42435999999998</v>
      </c>
      <c r="X177">
        <v>530.76615000000004</v>
      </c>
      <c r="Y177">
        <v>365.02839999999998</v>
      </c>
      <c r="Z177">
        <v>353.34877</v>
      </c>
      <c r="AA177">
        <v>379.08584999999999</v>
      </c>
      <c r="AB177">
        <v>81.748000000000005</v>
      </c>
      <c r="AC177">
        <v>8.8000000000000007</v>
      </c>
      <c r="AD177">
        <v>55.806660000000001</v>
      </c>
      <c r="AE177">
        <v>4.8</v>
      </c>
      <c r="AF177">
        <v>30.976189999999995</v>
      </c>
      <c r="AG177">
        <v>0</v>
      </c>
      <c r="AH177">
        <v>0</v>
      </c>
    </row>
    <row r="178" spans="1:34">
      <c r="A178" t="s">
        <v>75</v>
      </c>
      <c r="B178" s="216" t="str">
        <f t="shared" si="2"/>
        <v>Apr-21</v>
      </c>
      <c r="C178" s="217">
        <v>44287</v>
      </c>
      <c r="D178">
        <v>18432.809660000003</v>
      </c>
      <c r="E178">
        <v>2459.6824499999998</v>
      </c>
      <c r="F178">
        <v>3132.2922699999999</v>
      </c>
      <c r="G178">
        <v>2333.87</v>
      </c>
      <c r="H178">
        <v>2205.9785299999999</v>
      </c>
      <c r="I178">
        <v>1865.7649799999999</v>
      </c>
      <c r="J178">
        <v>2264.24728</v>
      </c>
      <c r="K178">
        <v>643.18589999999995</v>
      </c>
      <c r="L178">
        <v>1061.9667999999999</v>
      </c>
      <c r="M178">
        <v>1910.1857500000001</v>
      </c>
      <c r="N178">
        <v>555.63570000000004</v>
      </c>
      <c r="U178" s="221" t="s">
        <v>75</v>
      </c>
      <c r="V178">
        <v>2773.9933799999999</v>
      </c>
      <c r="W178">
        <v>3624.6347999999998</v>
      </c>
      <c r="X178">
        <v>2566.2971299999999</v>
      </c>
      <c r="Y178">
        <v>2266.9410800000001</v>
      </c>
      <c r="Z178">
        <v>2168.8931299999999</v>
      </c>
      <c r="AA178">
        <v>2428.3761100000002</v>
      </c>
      <c r="AB178">
        <v>697.13986</v>
      </c>
      <c r="AC178">
        <v>1088.89804</v>
      </c>
      <c r="AD178">
        <v>526.84290999999996</v>
      </c>
      <c r="AE178">
        <v>622.40232000000003</v>
      </c>
      <c r="AF178">
        <v>299.66998999999993</v>
      </c>
      <c r="AG178">
        <v>1085.8499999999999</v>
      </c>
      <c r="AH178">
        <v>0</v>
      </c>
    </row>
    <row r="179" spans="1:34">
      <c r="A179" t="s">
        <v>76</v>
      </c>
      <c r="B179" s="216" t="str">
        <f t="shared" si="2"/>
        <v>May-20</v>
      </c>
      <c r="C179" s="217">
        <v>43952</v>
      </c>
      <c r="D179">
        <v>7073.5994499999997</v>
      </c>
      <c r="E179">
        <v>997.46001999999999</v>
      </c>
      <c r="F179">
        <v>1267.91021</v>
      </c>
      <c r="G179">
        <v>1052.6944900000001</v>
      </c>
      <c r="H179">
        <v>1116.1482900000001</v>
      </c>
      <c r="I179">
        <v>1019.86924</v>
      </c>
      <c r="J179">
        <v>1044.9652100000001</v>
      </c>
      <c r="K179">
        <v>165.85336000000001</v>
      </c>
      <c r="L179">
        <v>0.66666999999999998</v>
      </c>
      <c r="M179">
        <v>349.71195999999998</v>
      </c>
      <c r="N179">
        <v>58.32</v>
      </c>
      <c r="U179" s="221" t="s">
        <v>76</v>
      </c>
      <c r="V179">
        <v>971.83133999999995</v>
      </c>
      <c r="W179">
        <v>1366.02235</v>
      </c>
      <c r="X179">
        <v>1180.06213</v>
      </c>
      <c r="Y179">
        <v>1083.0284099999999</v>
      </c>
      <c r="Z179">
        <v>837.18709000000001</v>
      </c>
      <c r="AA179">
        <v>989.24228000000005</v>
      </c>
      <c r="AB179">
        <v>172.22668999999999</v>
      </c>
      <c r="AC179">
        <v>0.66666999999999998</v>
      </c>
      <c r="AD179">
        <v>53.990360000000003</v>
      </c>
      <c r="AE179">
        <v>62.966650000000001</v>
      </c>
      <c r="AF179">
        <v>0</v>
      </c>
      <c r="AG179">
        <v>0</v>
      </c>
      <c r="AH179">
        <v>0</v>
      </c>
    </row>
    <row r="180" spans="1:34">
      <c r="A180" t="s">
        <v>76</v>
      </c>
      <c r="B180" s="216" t="str">
        <f t="shared" si="2"/>
        <v>Jun-20</v>
      </c>
      <c r="C180" s="217">
        <v>43983</v>
      </c>
      <c r="D180">
        <v>7113.2970300000015</v>
      </c>
      <c r="E180">
        <v>993.40669000000003</v>
      </c>
      <c r="F180">
        <v>1271.40354</v>
      </c>
      <c r="G180">
        <v>1054.8945100000001</v>
      </c>
      <c r="H180">
        <v>1114.02134</v>
      </c>
      <c r="I180">
        <v>1054.0692100000001</v>
      </c>
      <c r="J180">
        <v>1054.3364200000001</v>
      </c>
      <c r="K180">
        <v>166.61336</v>
      </c>
      <c r="L180">
        <v>0.66666999999999998</v>
      </c>
      <c r="M180">
        <v>344.25862999999998</v>
      </c>
      <c r="N180">
        <v>59.626660000000001</v>
      </c>
      <c r="U180" s="221" t="s">
        <v>77</v>
      </c>
      <c r="V180">
        <v>3805.0366399999998</v>
      </c>
      <c r="W180">
        <v>5318.5239700000002</v>
      </c>
      <c r="X180">
        <v>4392.8485799999999</v>
      </c>
      <c r="Y180">
        <v>3638.57215</v>
      </c>
      <c r="Z180">
        <v>2930.4085300000002</v>
      </c>
      <c r="AA180">
        <v>3701.02675</v>
      </c>
      <c r="AB180">
        <v>557.10882000000004</v>
      </c>
      <c r="AC180">
        <v>91.506659999999997</v>
      </c>
      <c r="AD180">
        <v>216.14667</v>
      </c>
      <c r="AE180">
        <v>202.184</v>
      </c>
      <c r="AF180">
        <v>9</v>
      </c>
      <c r="AG180">
        <v>0</v>
      </c>
      <c r="AH180">
        <v>0</v>
      </c>
    </row>
    <row r="181" spans="1:34">
      <c r="A181" t="s">
        <v>76</v>
      </c>
      <c r="B181" s="216" t="str">
        <f t="shared" si="2"/>
        <v>Jul-20</v>
      </c>
      <c r="C181" s="217">
        <v>44013</v>
      </c>
      <c r="D181">
        <v>7117.9959600000002</v>
      </c>
      <c r="E181">
        <v>993.12669000000005</v>
      </c>
      <c r="F181">
        <v>1274.30861</v>
      </c>
      <c r="G181">
        <v>1059.1883399999999</v>
      </c>
      <c r="H181">
        <v>1112.84799</v>
      </c>
      <c r="I181">
        <v>1008.1492</v>
      </c>
      <c r="J181">
        <v>1100.8631399999999</v>
      </c>
      <c r="K181">
        <v>165.76003</v>
      </c>
      <c r="L181">
        <v>0.66666999999999998</v>
      </c>
      <c r="M181">
        <v>344.45863000000003</v>
      </c>
      <c r="N181">
        <v>58.626660000000001</v>
      </c>
      <c r="U181" s="221" t="s">
        <v>78</v>
      </c>
      <c r="V181">
        <v>784.87625000000003</v>
      </c>
      <c r="W181">
        <v>1130.7382299999999</v>
      </c>
      <c r="X181">
        <v>969.88775999999996</v>
      </c>
      <c r="Y181">
        <v>749.08078999999998</v>
      </c>
      <c r="Z181">
        <v>626.08533</v>
      </c>
      <c r="AA181">
        <v>810.16776000000004</v>
      </c>
      <c r="AB181">
        <v>30.60341</v>
      </c>
      <c r="AC181">
        <v>91.45</v>
      </c>
      <c r="AD181">
        <v>77.061819999999997</v>
      </c>
      <c r="AE181">
        <v>0.50666999999999995</v>
      </c>
      <c r="AF181">
        <v>50.322000000000031</v>
      </c>
      <c r="AG181">
        <v>1.26</v>
      </c>
      <c r="AH181">
        <v>0</v>
      </c>
    </row>
    <row r="182" spans="1:34">
      <c r="A182" t="s">
        <v>76</v>
      </c>
      <c r="B182" s="216" t="str">
        <f t="shared" si="2"/>
        <v>Aug-20</v>
      </c>
      <c r="C182" s="217">
        <v>44044</v>
      </c>
      <c r="D182">
        <v>7092.6292399999993</v>
      </c>
      <c r="E182">
        <v>983.57336999999995</v>
      </c>
      <c r="F182">
        <v>1281.52863</v>
      </c>
      <c r="G182">
        <v>1063.3016500000001</v>
      </c>
      <c r="H182">
        <v>1104.4778699999999</v>
      </c>
      <c r="I182">
        <v>988.28587000000005</v>
      </c>
      <c r="J182">
        <v>1101.8365200000001</v>
      </c>
      <c r="K182">
        <v>165.68002999999999</v>
      </c>
      <c r="L182">
        <v>0.66666999999999998</v>
      </c>
      <c r="M182">
        <v>344.65197000000001</v>
      </c>
      <c r="N182">
        <v>58.626659999999994</v>
      </c>
      <c r="U182" s="7" t="s">
        <v>96</v>
      </c>
      <c r="V182">
        <v>11654.182369999999</v>
      </c>
      <c r="W182">
        <v>15586.00396</v>
      </c>
      <c r="X182">
        <v>13230.855670000001</v>
      </c>
      <c r="Y182">
        <v>10497.145780000001</v>
      </c>
      <c r="Z182">
        <v>8573.4715800000013</v>
      </c>
      <c r="AA182">
        <v>11360.070880000001</v>
      </c>
      <c r="AB182">
        <v>1840.0948599999997</v>
      </c>
      <c r="AC182">
        <v>1701.2470700000001</v>
      </c>
      <c r="AD182">
        <v>4114.2150300000003</v>
      </c>
      <c r="AE182">
        <v>3278.4125299999964</v>
      </c>
    </row>
    <row r="183" spans="1:34">
      <c r="A183" t="s">
        <v>76</v>
      </c>
      <c r="B183" s="216" t="str">
        <f t="shared" si="2"/>
        <v>Sep-20</v>
      </c>
      <c r="C183" s="217">
        <v>44075</v>
      </c>
      <c r="D183">
        <v>7039.3199800000002</v>
      </c>
      <c r="E183">
        <v>988.80204000000003</v>
      </c>
      <c r="F183">
        <v>1284.72569</v>
      </c>
      <c r="G183">
        <v>1060.6600000000001</v>
      </c>
      <c r="H183">
        <v>1106.7778599999999</v>
      </c>
      <c r="I183">
        <v>935.97922000000005</v>
      </c>
      <c r="J183">
        <v>1088.8631700000001</v>
      </c>
      <c r="K183">
        <v>165.4667</v>
      </c>
      <c r="L183">
        <v>0.66666999999999998</v>
      </c>
      <c r="M183">
        <v>348.75196999999997</v>
      </c>
      <c r="N183">
        <v>58.626660000000001</v>
      </c>
      <c r="U183" s="221" t="s">
        <v>71</v>
      </c>
      <c r="V183">
        <v>2352.6661199999999</v>
      </c>
      <c r="W183">
        <v>3155.3872000000001</v>
      </c>
      <c r="X183">
        <v>2597.3224700000001</v>
      </c>
      <c r="Y183">
        <v>1937.36339</v>
      </c>
      <c r="Z183">
        <v>1764.3167900000001</v>
      </c>
      <c r="AA183">
        <v>2280.65272</v>
      </c>
      <c r="AB183">
        <v>333.10021</v>
      </c>
      <c r="AC183">
        <v>267.46343999999999</v>
      </c>
      <c r="AD183">
        <v>198.99332000000001</v>
      </c>
      <c r="AE183">
        <v>1447.3017299999965</v>
      </c>
    </row>
    <row r="184" spans="1:34">
      <c r="A184" t="s">
        <v>76</v>
      </c>
      <c r="B184" s="216" t="str">
        <f t="shared" si="2"/>
        <v>Oct-20</v>
      </c>
      <c r="C184" s="217">
        <v>44105</v>
      </c>
      <c r="D184">
        <v>7026.9640899999995</v>
      </c>
      <c r="E184">
        <v>984.97536000000002</v>
      </c>
      <c r="F184">
        <v>1289.78647</v>
      </c>
      <c r="G184">
        <v>1068.0233499999999</v>
      </c>
      <c r="H184">
        <v>1101.69787</v>
      </c>
      <c r="I184">
        <v>924.86587999999995</v>
      </c>
      <c r="J184">
        <v>1085.6365000000001</v>
      </c>
      <c r="K184">
        <v>159.33336</v>
      </c>
      <c r="L184">
        <v>0.66666999999999998</v>
      </c>
      <c r="M184">
        <v>353.35196999999999</v>
      </c>
      <c r="N184">
        <v>58.626660000000001</v>
      </c>
      <c r="U184" s="221" t="s">
        <v>69</v>
      </c>
      <c r="V184">
        <v>754.85681999999997</v>
      </c>
      <c r="W184">
        <v>905.46015999999997</v>
      </c>
      <c r="X184">
        <v>883.25210000000004</v>
      </c>
      <c r="Y184">
        <v>603.24051999999995</v>
      </c>
      <c r="Z184">
        <v>560.78989000000001</v>
      </c>
      <c r="AA184">
        <v>774.77773999999999</v>
      </c>
      <c r="AB184">
        <v>128.19228000000001</v>
      </c>
      <c r="AC184">
        <v>61.287469999999999</v>
      </c>
      <c r="AD184">
        <v>116.05171</v>
      </c>
      <c r="AE184">
        <v>1068.4435599999997</v>
      </c>
    </row>
    <row r="185" spans="1:34">
      <c r="A185" t="s">
        <v>76</v>
      </c>
      <c r="B185" s="216" t="str">
        <f t="shared" si="2"/>
        <v>Nov-20</v>
      </c>
      <c r="C185" s="217">
        <v>44136</v>
      </c>
      <c r="D185">
        <v>7074.669100000001</v>
      </c>
      <c r="E185">
        <v>1003.66659</v>
      </c>
      <c r="F185">
        <v>1294.7717700000001</v>
      </c>
      <c r="G185">
        <v>1100.2317700000001</v>
      </c>
      <c r="H185">
        <v>1100.13123</v>
      </c>
      <c r="I185">
        <v>922.26588000000004</v>
      </c>
      <c r="J185">
        <v>1079.16984</v>
      </c>
      <c r="K185">
        <v>160.20003</v>
      </c>
      <c r="L185">
        <v>0.66666999999999998</v>
      </c>
      <c r="M185">
        <v>352.55196999999998</v>
      </c>
      <c r="N185">
        <v>61.013350000000003</v>
      </c>
      <c r="U185" s="221" t="s">
        <v>72</v>
      </c>
      <c r="V185">
        <v>227.04888</v>
      </c>
      <c r="W185">
        <v>247.14134000000001</v>
      </c>
      <c r="X185">
        <v>486.06025</v>
      </c>
      <c r="Y185">
        <v>194.15761000000001</v>
      </c>
      <c r="Z185">
        <v>176.34620000000001</v>
      </c>
      <c r="AA185">
        <v>299.85744</v>
      </c>
      <c r="AB185">
        <v>2</v>
      </c>
      <c r="AC185">
        <v>233.55599000000001</v>
      </c>
      <c r="AD185">
        <v>132.12</v>
      </c>
      <c r="AE185">
        <v>0</v>
      </c>
    </row>
    <row r="186" spans="1:34">
      <c r="A186" t="s">
        <v>76</v>
      </c>
      <c r="B186" s="216" t="str">
        <f t="shared" si="2"/>
        <v>Dec-20</v>
      </c>
      <c r="C186" s="217">
        <v>44166</v>
      </c>
      <c r="D186">
        <v>7077.0059100000008</v>
      </c>
      <c r="E186">
        <v>1001.6503300000001</v>
      </c>
      <c r="F186">
        <v>1300.27845</v>
      </c>
      <c r="G186">
        <v>1101.97147</v>
      </c>
      <c r="H186">
        <v>1094.4112299999999</v>
      </c>
      <c r="I186">
        <v>917.01255000000003</v>
      </c>
      <c r="J186">
        <v>1073.12986</v>
      </c>
      <c r="K186">
        <v>162.32003</v>
      </c>
      <c r="L186">
        <v>0.66666999999999998</v>
      </c>
      <c r="M186">
        <v>359.55196999999998</v>
      </c>
      <c r="N186">
        <v>66.013350000000003</v>
      </c>
      <c r="U186" s="221" t="s">
        <v>73</v>
      </c>
      <c r="V186">
        <v>3.5</v>
      </c>
      <c r="W186">
        <v>17.86</v>
      </c>
      <c r="X186">
        <v>30.959969999999998</v>
      </c>
      <c r="Y186">
        <v>14.626659999999999</v>
      </c>
      <c r="Z186">
        <v>0.6</v>
      </c>
      <c r="AA186">
        <v>1</v>
      </c>
      <c r="AB186">
        <v>0</v>
      </c>
      <c r="AC186">
        <v>0</v>
      </c>
      <c r="AD186">
        <v>0</v>
      </c>
      <c r="AE186">
        <v>0</v>
      </c>
    </row>
    <row r="187" spans="1:34">
      <c r="A187" t="s">
        <v>76</v>
      </c>
      <c r="B187" s="216" t="str">
        <f t="shared" si="2"/>
        <v>Jan-21</v>
      </c>
      <c r="C187" s="217">
        <v>44197</v>
      </c>
      <c r="D187">
        <v>7149.5097999999998</v>
      </c>
      <c r="E187">
        <v>1013.76363</v>
      </c>
      <c r="F187">
        <v>1303.7691299999999</v>
      </c>
      <c r="G187">
        <v>1137.2314200000001</v>
      </c>
      <c r="H187">
        <v>1105.54457</v>
      </c>
      <c r="I187">
        <v>926.07921999999996</v>
      </c>
      <c r="J187">
        <v>1066.52981</v>
      </c>
      <c r="K187">
        <v>164.86002999999999</v>
      </c>
      <c r="L187">
        <v>0.66666999999999998</v>
      </c>
      <c r="M187">
        <v>365.05196999999998</v>
      </c>
      <c r="N187">
        <v>66.013350000000003</v>
      </c>
      <c r="U187" s="221" t="s">
        <v>74</v>
      </c>
      <c r="V187">
        <v>452.80489</v>
      </c>
      <c r="W187">
        <v>717.26347999999996</v>
      </c>
      <c r="X187">
        <v>710.41084000000001</v>
      </c>
      <c r="Y187">
        <v>355.77611999999999</v>
      </c>
      <c r="Z187">
        <v>329.41777999999999</v>
      </c>
      <c r="AA187">
        <v>368.52159999999998</v>
      </c>
      <c r="AB187">
        <v>61.972009999999997</v>
      </c>
      <c r="AC187">
        <v>7.5</v>
      </c>
      <c r="AD187">
        <v>58.979990000000001</v>
      </c>
      <c r="AE187">
        <v>0.2</v>
      </c>
    </row>
    <row r="188" spans="1:34">
      <c r="A188" t="s">
        <v>76</v>
      </c>
      <c r="B188" s="216" t="str">
        <f t="shared" si="2"/>
        <v>Feb-21</v>
      </c>
      <c r="C188" s="217">
        <v>44228</v>
      </c>
      <c r="D188">
        <v>7213.0055999999995</v>
      </c>
      <c r="E188">
        <v>1029.9794899999999</v>
      </c>
      <c r="F188">
        <v>1304.45579</v>
      </c>
      <c r="G188">
        <v>1158.8113699999999</v>
      </c>
      <c r="H188">
        <v>1114.1578999999999</v>
      </c>
      <c r="I188">
        <v>934.75256000000002</v>
      </c>
      <c r="J188">
        <v>1065.3564699999999</v>
      </c>
      <c r="K188">
        <v>165.86002999999999</v>
      </c>
      <c r="L188">
        <v>0.66666999999999998</v>
      </c>
      <c r="M188">
        <v>372.95197000000002</v>
      </c>
      <c r="N188">
        <v>66.013350000000003</v>
      </c>
      <c r="U188" s="221" t="s">
        <v>75</v>
      </c>
      <c r="V188">
        <v>2322.8001100000001</v>
      </c>
      <c r="W188">
        <v>2964.3809700000002</v>
      </c>
      <c r="X188">
        <v>2152.1928899999998</v>
      </c>
      <c r="Y188">
        <v>2002.3048899999999</v>
      </c>
      <c r="Z188">
        <v>1628.19976</v>
      </c>
      <c r="AA188">
        <v>2111.9555399999999</v>
      </c>
      <c r="AB188">
        <v>565.43065999999999</v>
      </c>
      <c r="AC188">
        <v>978.65935999999999</v>
      </c>
      <c r="AD188">
        <v>2545.6618400000002</v>
      </c>
      <c r="AE188">
        <v>535.69390000000055</v>
      </c>
    </row>
    <row r="189" spans="1:34">
      <c r="A189" t="s">
        <v>76</v>
      </c>
      <c r="B189" s="216" t="str">
        <f t="shared" si="2"/>
        <v>Mar-21</v>
      </c>
      <c r="C189" s="217">
        <v>44256</v>
      </c>
      <c r="D189">
        <v>7237.9756000000007</v>
      </c>
      <c r="E189">
        <v>1037.48281</v>
      </c>
      <c r="F189">
        <v>1303.42912</v>
      </c>
      <c r="G189">
        <v>1166.91805</v>
      </c>
      <c r="H189">
        <v>1115.06457</v>
      </c>
      <c r="I189">
        <v>943.49256000000003</v>
      </c>
      <c r="J189">
        <v>1066.22981</v>
      </c>
      <c r="K189">
        <v>165.72668999999999</v>
      </c>
      <c r="L189">
        <v>0.66666999999999998</v>
      </c>
      <c r="M189">
        <v>372.95197000000002</v>
      </c>
      <c r="N189">
        <v>66.013350000000003</v>
      </c>
      <c r="U189" s="221" t="s">
        <v>76</v>
      </c>
      <c r="V189">
        <v>1023.89804</v>
      </c>
      <c r="W189">
        <v>1269.7128600000001</v>
      </c>
      <c r="X189">
        <v>1049.02783</v>
      </c>
      <c r="Y189">
        <v>1106.5530699999999</v>
      </c>
      <c r="Z189">
        <v>745.32440999999994</v>
      </c>
      <c r="AA189">
        <v>1026.28252</v>
      </c>
      <c r="AB189">
        <v>166.06668999999999</v>
      </c>
      <c r="AC189">
        <v>0.66666999999999998</v>
      </c>
      <c r="AD189">
        <v>347.87862000000001</v>
      </c>
      <c r="AE189">
        <v>58.626660000000001</v>
      </c>
    </row>
    <row r="190" spans="1:34">
      <c r="A190" t="s">
        <v>76</v>
      </c>
      <c r="B190" s="216" t="str">
        <f t="shared" si="2"/>
        <v>Apr-21</v>
      </c>
      <c r="C190" s="217">
        <v>44287</v>
      </c>
      <c r="D190">
        <v>7081.5740099999994</v>
      </c>
      <c r="E190">
        <v>986.51922999999999</v>
      </c>
      <c r="F190">
        <v>1249.3198500000001</v>
      </c>
      <c r="G190">
        <v>1152.51</v>
      </c>
      <c r="H190">
        <v>1114.8645799999999</v>
      </c>
      <c r="I190">
        <v>948.20974999999999</v>
      </c>
      <c r="J190">
        <v>1028.61193</v>
      </c>
      <c r="K190">
        <v>168.56668999999999</v>
      </c>
      <c r="L190">
        <v>0.66666999999999998</v>
      </c>
      <c r="M190">
        <v>369.05196999999998</v>
      </c>
      <c r="N190">
        <v>63.253340000000001</v>
      </c>
      <c r="U190" s="221" t="s">
        <v>77</v>
      </c>
      <c r="V190">
        <v>3505.0792799999999</v>
      </c>
      <c r="W190">
        <v>4964.25209</v>
      </c>
      <c r="X190">
        <v>3956.30611</v>
      </c>
      <c r="Y190">
        <v>3308.8270900000002</v>
      </c>
      <c r="Z190">
        <v>2669.6909900000001</v>
      </c>
      <c r="AA190">
        <v>3453.7899699999998</v>
      </c>
      <c r="AB190">
        <v>548.48031000000003</v>
      </c>
      <c r="AC190">
        <v>60.89331</v>
      </c>
      <c r="AD190">
        <v>190.61332999999999</v>
      </c>
      <c r="AE190">
        <v>167.14667999999998</v>
      </c>
    </row>
    <row r="191" spans="1:34">
      <c r="A191" t="s">
        <v>77</v>
      </c>
      <c r="B191" s="216" t="str">
        <f t="shared" si="2"/>
        <v>May-20</v>
      </c>
      <c r="C191" s="217">
        <v>43952</v>
      </c>
      <c r="D191">
        <v>23105.163009999997</v>
      </c>
      <c r="E191">
        <v>3530.02981</v>
      </c>
      <c r="F191">
        <v>4952.9429799999998</v>
      </c>
      <c r="G191">
        <v>4139.1303500000004</v>
      </c>
      <c r="H191">
        <v>3332.8915999999999</v>
      </c>
      <c r="I191">
        <v>2700.7616200000002</v>
      </c>
      <c r="J191">
        <v>3484.64264</v>
      </c>
      <c r="K191">
        <v>554.23734999999999</v>
      </c>
      <c r="L191">
        <v>59.17998</v>
      </c>
      <c r="M191">
        <v>188.13333</v>
      </c>
      <c r="N191">
        <v>163.21334999999999</v>
      </c>
      <c r="U191" s="221" t="s">
        <v>78</v>
      </c>
      <c r="V191">
        <v>1011.52823</v>
      </c>
      <c r="W191">
        <v>1344.5458599999999</v>
      </c>
      <c r="X191">
        <v>1365.32321</v>
      </c>
      <c r="Y191">
        <v>974.29642999999999</v>
      </c>
      <c r="Z191">
        <v>698.78575999999998</v>
      </c>
      <c r="AA191">
        <v>1043.23335</v>
      </c>
      <c r="AB191">
        <v>34.852699999999999</v>
      </c>
      <c r="AC191">
        <v>91.220830000000007</v>
      </c>
      <c r="AD191">
        <v>523.91621999999995</v>
      </c>
      <c r="AE191">
        <v>1</v>
      </c>
    </row>
    <row r="192" spans="1:34">
      <c r="A192" t="s">
        <v>77</v>
      </c>
      <c r="B192" s="216" t="str">
        <f t="shared" si="2"/>
        <v>Jun-20</v>
      </c>
      <c r="C192" s="217">
        <v>43983</v>
      </c>
      <c r="D192">
        <v>23057.151499999996</v>
      </c>
      <c r="E192">
        <v>3525.7132499999998</v>
      </c>
      <c r="F192">
        <v>4935.1349799999998</v>
      </c>
      <c r="G192">
        <v>4108.6476899999998</v>
      </c>
      <c r="H192">
        <v>3336.9361199999998</v>
      </c>
      <c r="I192">
        <v>2703.5466799999999</v>
      </c>
      <c r="J192">
        <v>3478.5965099999999</v>
      </c>
      <c r="K192">
        <v>556.25629000000004</v>
      </c>
      <c r="L192">
        <v>59.433309999999999</v>
      </c>
      <c r="M192">
        <v>189.57999000000001</v>
      </c>
      <c r="N192">
        <v>163.30668</v>
      </c>
      <c r="U192" s="7" t="s">
        <v>97</v>
      </c>
      <c r="V192">
        <v>12218.216710000001</v>
      </c>
      <c r="W192">
        <v>16229.848899999999</v>
      </c>
      <c r="X192">
        <v>13730.489809999999</v>
      </c>
      <c r="Y192">
        <v>11091.274160000001</v>
      </c>
      <c r="Z192">
        <v>9201.2850199999993</v>
      </c>
      <c r="AA192">
        <v>11716.807259999998</v>
      </c>
      <c r="AB192">
        <v>1947.53694</v>
      </c>
      <c r="AC192">
        <v>1914.4149</v>
      </c>
      <c r="AD192">
        <v>4560.4538499999999</v>
      </c>
      <c r="AE192">
        <v>3804.36499</v>
      </c>
    </row>
    <row r="193" spans="1:31">
      <c r="A193" t="s">
        <v>77</v>
      </c>
      <c r="B193" s="216" t="str">
        <f t="shared" si="2"/>
        <v>Jul-20</v>
      </c>
      <c r="C193" s="217">
        <v>44013</v>
      </c>
      <c r="D193">
        <v>23008.546999999999</v>
      </c>
      <c r="E193">
        <v>3542.8535000000002</v>
      </c>
      <c r="F193">
        <v>4908.8603199999998</v>
      </c>
      <c r="G193">
        <v>4096.5405000000001</v>
      </c>
      <c r="H193">
        <v>3329.4427599999999</v>
      </c>
      <c r="I193">
        <v>2697.26134</v>
      </c>
      <c r="J193">
        <v>3463.2656299999999</v>
      </c>
      <c r="K193">
        <v>558.20295999999996</v>
      </c>
      <c r="L193">
        <v>61.03331</v>
      </c>
      <c r="M193">
        <v>187.97998999999999</v>
      </c>
      <c r="N193">
        <v>163.10668999999999</v>
      </c>
      <c r="U193" s="221" t="s">
        <v>71</v>
      </c>
      <c r="V193">
        <v>2618.4167400000001</v>
      </c>
      <c r="W193">
        <v>3423.9805200000001</v>
      </c>
      <c r="X193">
        <v>2743.7723000000001</v>
      </c>
      <c r="Y193">
        <v>2112.4539100000002</v>
      </c>
      <c r="Z193">
        <v>2004.22855</v>
      </c>
      <c r="AA193">
        <v>2412.0125800000001</v>
      </c>
      <c r="AB193">
        <v>361.05416000000002</v>
      </c>
      <c r="AC193">
        <v>342.47543000000002</v>
      </c>
      <c r="AD193">
        <v>360.25333000000001</v>
      </c>
      <c r="AE193">
        <v>1876.94463</v>
      </c>
    </row>
    <row r="194" spans="1:31">
      <c r="A194" t="s">
        <v>77</v>
      </c>
      <c r="B194" s="216" t="str">
        <f t="shared" si="2"/>
        <v>Aug-20</v>
      </c>
      <c r="C194" s="217">
        <v>44044</v>
      </c>
      <c r="D194">
        <v>23032.696640000002</v>
      </c>
      <c r="E194">
        <v>3549.04072</v>
      </c>
      <c r="F194">
        <v>4939.5002999999997</v>
      </c>
      <c r="G194">
        <v>4089.4026600000002</v>
      </c>
      <c r="H194">
        <v>3321.03343</v>
      </c>
      <c r="I194">
        <v>2704.5869400000001</v>
      </c>
      <c r="J194">
        <v>3458.3962900000001</v>
      </c>
      <c r="K194">
        <v>556.14296999999999</v>
      </c>
      <c r="L194">
        <v>59.433309999999999</v>
      </c>
      <c r="M194">
        <v>188.78666000000001</v>
      </c>
      <c r="N194">
        <v>166.37335999999999</v>
      </c>
      <c r="U194" s="221" t="s">
        <v>69</v>
      </c>
      <c r="V194">
        <v>785.13202000000001</v>
      </c>
      <c r="W194">
        <v>964.41385000000002</v>
      </c>
      <c r="X194">
        <v>951.39031999999997</v>
      </c>
      <c r="Y194">
        <v>646.99945000000002</v>
      </c>
      <c r="Z194">
        <v>595.93584999999996</v>
      </c>
      <c r="AA194">
        <v>808.37131999999997</v>
      </c>
      <c r="AB194">
        <v>137.60321999999999</v>
      </c>
      <c r="AC194">
        <v>62.07414</v>
      </c>
      <c r="AD194">
        <v>124.06224</v>
      </c>
      <c r="AE194">
        <v>1122.1614300000001</v>
      </c>
    </row>
    <row r="195" spans="1:31">
      <c r="A195" t="s">
        <v>77</v>
      </c>
      <c r="B195" s="216" t="str">
        <f t="shared" ref="B195:B258" si="3">TEXT(C195,"mmm-yy")</f>
        <v>Sep-20</v>
      </c>
      <c r="C195" s="217">
        <v>44075</v>
      </c>
      <c r="D195">
        <v>23257.829320000001</v>
      </c>
      <c r="E195">
        <v>3620.8497900000002</v>
      </c>
      <c r="F195">
        <v>4929.9299199999996</v>
      </c>
      <c r="G195">
        <v>4092.29</v>
      </c>
      <c r="H195">
        <v>3369.2891500000001</v>
      </c>
      <c r="I195">
        <v>2767.3602700000001</v>
      </c>
      <c r="J195">
        <v>3491.88724</v>
      </c>
      <c r="K195">
        <v>561.03629000000001</v>
      </c>
      <c r="L195">
        <v>62.166640000000001</v>
      </c>
      <c r="M195">
        <v>193.46665999999999</v>
      </c>
      <c r="N195">
        <v>169.55336</v>
      </c>
      <c r="U195" s="221" t="s">
        <v>72</v>
      </c>
      <c r="V195">
        <v>226.71555000000001</v>
      </c>
      <c r="W195">
        <v>261.40082000000001</v>
      </c>
      <c r="X195">
        <v>491.32292999999999</v>
      </c>
      <c r="Y195">
        <v>207.2576</v>
      </c>
      <c r="Z195">
        <v>180.96619999999999</v>
      </c>
      <c r="AA195">
        <v>303.57611000000003</v>
      </c>
      <c r="AB195">
        <v>4</v>
      </c>
      <c r="AC195">
        <v>320.48959000000002</v>
      </c>
      <c r="AD195">
        <v>144.05332999999999</v>
      </c>
      <c r="AE195">
        <v>0</v>
      </c>
    </row>
    <row r="196" spans="1:31">
      <c r="A196" t="s">
        <v>77</v>
      </c>
      <c r="B196" s="216" t="str">
        <f t="shared" si="3"/>
        <v>Oct-20</v>
      </c>
      <c r="C196" s="217">
        <v>44105</v>
      </c>
      <c r="D196">
        <v>22874.98069</v>
      </c>
      <c r="E196">
        <v>3285.7497899999998</v>
      </c>
      <c r="F196">
        <v>5014.0005700000002</v>
      </c>
      <c r="G196">
        <v>3864.4663300000002</v>
      </c>
      <c r="H196">
        <v>3398.50342</v>
      </c>
      <c r="I196">
        <v>2778.04054</v>
      </c>
      <c r="J196">
        <v>3548.1170900000002</v>
      </c>
      <c r="K196">
        <v>557.51629000000003</v>
      </c>
      <c r="L196">
        <v>64.166640000000001</v>
      </c>
      <c r="M196">
        <v>195.85333</v>
      </c>
      <c r="N196">
        <v>168.56668999999999</v>
      </c>
      <c r="U196" s="221" t="s">
        <v>73</v>
      </c>
      <c r="V196">
        <v>1</v>
      </c>
      <c r="W196">
        <v>65.306669999999997</v>
      </c>
      <c r="X196">
        <v>28.17998</v>
      </c>
      <c r="Y196">
        <v>87.04</v>
      </c>
      <c r="Z196">
        <v>1</v>
      </c>
      <c r="AA196">
        <v>5</v>
      </c>
      <c r="AB196">
        <v>1.4</v>
      </c>
      <c r="AC196">
        <v>0</v>
      </c>
      <c r="AD196">
        <v>1.41333</v>
      </c>
      <c r="AE196">
        <v>0</v>
      </c>
    </row>
    <row r="197" spans="1:31">
      <c r="A197" t="s">
        <v>77</v>
      </c>
      <c r="B197" s="216" t="str">
        <f t="shared" si="3"/>
        <v>Nov-20</v>
      </c>
      <c r="C197" s="217">
        <v>44136</v>
      </c>
      <c r="D197">
        <v>23563.553239999997</v>
      </c>
      <c r="E197">
        <v>3668.3503099999998</v>
      </c>
      <c r="F197">
        <v>5047.4379499999995</v>
      </c>
      <c r="G197">
        <v>4095.7268399999998</v>
      </c>
      <c r="H197">
        <v>3415.7666199999999</v>
      </c>
      <c r="I197">
        <v>2773.9693499999998</v>
      </c>
      <c r="J197">
        <v>3570.5771</v>
      </c>
      <c r="K197">
        <v>558.72508000000005</v>
      </c>
      <c r="L197">
        <v>63.153309999999998</v>
      </c>
      <c r="M197">
        <v>196.47333</v>
      </c>
      <c r="N197">
        <v>173.37334999999999</v>
      </c>
      <c r="U197" s="221" t="s">
        <v>74</v>
      </c>
      <c r="V197">
        <v>457.80302999999998</v>
      </c>
      <c r="W197">
        <v>751.76180999999997</v>
      </c>
      <c r="X197">
        <v>731.04413999999997</v>
      </c>
      <c r="Y197">
        <v>387.50414000000001</v>
      </c>
      <c r="Z197">
        <v>334.63938000000002</v>
      </c>
      <c r="AA197">
        <v>387.32132999999999</v>
      </c>
      <c r="AB197">
        <v>75.042670000000001</v>
      </c>
      <c r="AC197">
        <v>9.5</v>
      </c>
      <c r="AD197">
        <v>68.19999</v>
      </c>
      <c r="AE197">
        <v>1</v>
      </c>
    </row>
    <row r="198" spans="1:31">
      <c r="A198" t="s">
        <v>77</v>
      </c>
      <c r="B198" s="216" t="str">
        <f t="shared" si="3"/>
        <v>Dec-20</v>
      </c>
      <c r="C198" s="217">
        <v>44166</v>
      </c>
      <c r="D198">
        <v>23573.604490000005</v>
      </c>
      <c r="E198">
        <v>3687.7828300000001</v>
      </c>
      <c r="F198">
        <v>5065.8806100000002</v>
      </c>
      <c r="G198">
        <v>4074.9879500000002</v>
      </c>
      <c r="H198">
        <v>3434.6524800000002</v>
      </c>
      <c r="I198">
        <v>2759.1493700000001</v>
      </c>
      <c r="J198">
        <v>3566.07285</v>
      </c>
      <c r="K198">
        <v>554.80507999999998</v>
      </c>
      <c r="L198">
        <v>64.953310000000002</v>
      </c>
      <c r="M198">
        <v>196.51333</v>
      </c>
      <c r="N198">
        <v>168.80668</v>
      </c>
      <c r="U198" s="221" t="s">
        <v>75</v>
      </c>
      <c r="V198">
        <v>2421.0783799999999</v>
      </c>
      <c r="W198">
        <v>3090.5076600000002</v>
      </c>
      <c r="X198">
        <v>2302.1724100000001</v>
      </c>
      <c r="Y198">
        <v>2166.4715700000002</v>
      </c>
      <c r="Z198">
        <v>1745.72468</v>
      </c>
      <c r="AA198">
        <v>2179.9490900000001</v>
      </c>
      <c r="AB198">
        <v>606.94561999999996</v>
      </c>
      <c r="AC198">
        <v>1020.44576</v>
      </c>
      <c r="AD198">
        <v>2669.6356599999999</v>
      </c>
      <c r="AE198">
        <v>556.38557000000003</v>
      </c>
    </row>
    <row r="199" spans="1:31">
      <c r="A199" t="s">
        <v>77</v>
      </c>
      <c r="B199" s="216" t="str">
        <f t="shared" si="3"/>
        <v>Jan-21</v>
      </c>
      <c r="C199" s="217">
        <v>44197</v>
      </c>
      <c r="D199">
        <v>23683.006719999998</v>
      </c>
      <c r="E199">
        <v>3724.3865300000002</v>
      </c>
      <c r="F199">
        <v>5076.5726800000002</v>
      </c>
      <c r="G199">
        <v>4077.7736399999999</v>
      </c>
      <c r="H199">
        <v>3456.6290199999999</v>
      </c>
      <c r="I199">
        <v>2767.6736299999998</v>
      </c>
      <c r="J199">
        <v>3573.19949</v>
      </c>
      <c r="K199">
        <v>560.95840999999996</v>
      </c>
      <c r="L199">
        <v>65.013310000000004</v>
      </c>
      <c r="M199">
        <v>199.94</v>
      </c>
      <c r="N199">
        <v>180.86000999999999</v>
      </c>
      <c r="U199" s="221" t="s">
        <v>76</v>
      </c>
      <c r="V199">
        <v>1013.76363</v>
      </c>
      <c r="W199">
        <v>1303.7691299999999</v>
      </c>
      <c r="X199">
        <v>1137.2314200000001</v>
      </c>
      <c r="Y199">
        <v>1105.54457</v>
      </c>
      <c r="Z199">
        <v>926.07921999999996</v>
      </c>
      <c r="AA199">
        <v>1066.52981</v>
      </c>
      <c r="AB199">
        <v>164.86002999999999</v>
      </c>
      <c r="AC199">
        <v>0.66666999999999998</v>
      </c>
      <c r="AD199">
        <v>365.05196999999998</v>
      </c>
      <c r="AE199">
        <v>66.013350000000003</v>
      </c>
    </row>
    <row r="200" spans="1:31">
      <c r="A200" t="s">
        <v>77</v>
      </c>
      <c r="B200" s="216" t="str">
        <f t="shared" si="3"/>
        <v>Feb-21</v>
      </c>
      <c r="C200" s="217">
        <v>44228</v>
      </c>
      <c r="D200">
        <v>23785.57156</v>
      </c>
      <c r="E200">
        <v>3755.5948600000002</v>
      </c>
      <c r="F200">
        <v>5100.6145500000002</v>
      </c>
      <c r="G200">
        <v>4077.8592400000002</v>
      </c>
      <c r="H200">
        <v>3476.1090100000001</v>
      </c>
      <c r="I200">
        <v>2777.94643</v>
      </c>
      <c r="J200">
        <v>3588.4824100000001</v>
      </c>
      <c r="K200">
        <v>565.77175</v>
      </c>
      <c r="L200">
        <v>64.673310000000001</v>
      </c>
      <c r="M200">
        <v>198.71333000000001</v>
      </c>
      <c r="N200">
        <v>179.80667</v>
      </c>
      <c r="U200" s="221" t="s">
        <v>77</v>
      </c>
      <c r="V200">
        <v>3724.3865300000002</v>
      </c>
      <c r="W200">
        <v>5076.5726800000002</v>
      </c>
      <c r="X200">
        <v>4077.7736399999999</v>
      </c>
      <c r="Y200">
        <v>3456.6290199999999</v>
      </c>
      <c r="Z200">
        <v>2767.6736299999998</v>
      </c>
      <c r="AA200">
        <v>3573.19949</v>
      </c>
      <c r="AB200">
        <v>560.95840999999996</v>
      </c>
      <c r="AC200">
        <v>65.013310000000004</v>
      </c>
      <c r="AD200">
        <v>199.94</v>
      </c>
      <c r="AE200">
        <v>180.86000999999999</v>
      </c>
    </row>
    <row r="201" spans="1:31">
      <c r="A201" t="s">
        <v>77</v>
      </c>
      <c r="B201" s="216" t="str">
        <f t="shared" si="3"/>
        <v>Mar-21</v>
      </c>
      <c r="C201" s="217">
        <v>44256</v>
      </c>
      <c r="D201">
        <v>23912.994880000002</v>
      </c>
      <c r="E201">
        <v>3793.42632</v>
      </c>
      <c r="F201">
        <v>5130.45082</v>
      </c>
      <c r="G201">
        <v>4069.7467299999998</v>
      </c>
      <c r="H201">
        <v>3499.3986100000002</v>
      </c>
      <c r="I201">
        <v>2793.5408200000002</v>
      </c>
      <c r="J201">
        <v>3600.5198599999999</v>
      </c>
      <c r="K201">
        <v>570.49174000000005</v>
      </c>
      <c r="L201">
        <v>66.139979999999994</v>
      </c>
      <c r="M201">
        <v>200.44666000000001</v>
      </c>
      <c r="N201">
        <v>188.83333999999999</v>
      </c>
      <c r="U201" s="221" t="s">
        <v>78</v>
      </c>
      <c r="V201">
        <v>969.92083000000002</v>
      </c>
      <c r="W201">
        <v>1292.1357599999999</v>
      </c>
      <c r="X201">
        <v>1267.60267</v>
      </c>
      <c r="Y201">
        <v>921.37390000000005</v>
      </c>
      <c r="Z201">
        <v>645.03751</v>
      </c>
      <c r="AA201">
        <v>980.84753000000001</v>
      </c>
      <c r="AB201">
        <v>35.672829999999998</v>
      </c>
      <c r="AC201">
        <v>93.75</v>
      </c>
      <c r="AD201">
        <v>627.84400000000005</v>
      </c>
      <c r="AE201">
        <v>1</v>
      </c>
    </row>
    <row r="202" spans="1:31">
      <c r="A202" t="s">
        <v>77</v>
      </c>
      <c r="B202" s="216" t="str">
        <f t="shared" si="3"/>
        <v>Apr-21</v>
      </c>
      <c r="C202" s="217">
        <v>44287</v>
      </c>
      <c r="D202">
        <v>23979.795579999998</v>
      </c>
      <c r="E202">
        <v>3815.9649599999998</v>
      </c>
      <c r="F202">
        <v>5126.5667000000003</v>
      </c>
      <c r="G202">
        <v>4063.69</v>
      </c>
      <c r="H202">
        <v>3539.6231699999998</v>
      </c>
      <c r="I202">
        <v>2785.91687</v>
      </c>
      <c r="J202">
        <v>3604.6624099999999</v>
      </c>
      <c r="K202">
        <v>571.18481999999995</v>
      </c>
      <c r="L202">
        <v>73.399979999999999</v>
      </c>
      <c r="M202">
        <v>200.48666</v>
      </c>
      <c r="N202">
        <v>198.30000999999999</v>
      </c>
      <c r="U202" s="7" t="s">
        <v>98</v>
      </c>
      <c r="V202">
        <v>12363.322070000029</v>
      </c>
      <c r="W202">
        <v>16688.132600000001</v>
      </c>
      <c r="X202">
        <v>14017.0573</v>
      </c>
      <c r="Y202">
        <v>11092.30725</v>
      </c>
      <c r="Z202">
        <v>9578.7198100000005</v>
      </c>
      <c r="AA202">
        <v>11779.777070000002</v>
      </c>
      <c r="AB202">
        <v>2025.10519</v>
      </c>
      <c r="AC202">
        <v>2097.32681</v>
      </c>
      <c r="AD202">
        <v>1441.98</v>
      </c>
      <c r="AE202">
        <v>4049.3532700000005</v>
      </c>
    </row>
    <row r="203" spans="1:31">
      <c r="A203" t="s">
        <v>78</v>
      </c>
      <c r="B203" s="216" t="str">
        <f t="shared" si="3"/>
        <v>May-20</v>
      </c>
      <c r="C203" s="217">
        <v>43952</v>
      </c>
      <c r="D203">
        <v>7373.5629200000003</v>
      </c>
      <c r="E203">
        <v>1027.42823</v>
      </c>
      <c r="F203">
        <v>1415.82601</v>
      </c>
      <c r="G203">
        <v>1408.9201800000001</v>
      </c>
      <c r="H203">
        <v>1053.6817699999999</v>
      </c>
      <c r="I203">
        <v>697.47474999999997</v>
      </c>
      <c r="J203">
        <v>1107.3405600000001</v>
      </c>
      <c r="K203">
        <v>34.652700000000003</v>
      </c>
      <c r="L203">
        <v>90.787499999999994</v>
      </c>
      <c r="M203">
        <v>536.45122000000003</v>
      </c>
      <c r="N203">
        <v>1</v>
      </c>
      <c r="U203" s="221" t="s">
        <v>71</v>
      </c>
      <c r="V203">
        <v>2629.552440000014</v>
      </c>
      <c r="W203">
        <v>3514.2150099999999</v>
      </c>
      <c r="X203">
        <v>2807.8136599999998</v>
      </c>
      <c r="Y203">
        <v>2047.1934000000001</v>
      </c>
      <c r="Z203">
        <v>2087.5228099999999</v>
      </c>
      <c r="AA203">
        <v>2412.3779800000002</v>
      </c>
      <c r="AB203">
        <v>379.54908</v>
      </c>
      <c r="AC203">
        <v>333.68608999999998</v>
      </c>
      <c r="AD203">
        <v>228.86</v>
      </c>
      <c r="AE203">
        <v>2099.6779700000002</v>
      </c>
    </row>
    <row r="204" spans="1:31">
      <c r="A204" t="s">
        <v>78</v>
      </c>
      <c r="B204" s="216" t="str">
        <f t="shared" si="3"/>
        <v>Jun-20</v>
      </c>
      <c r="C204" s="217">
        <v>43983</v>
      </c>
      <c r="D204">
        <v>7282.0633199999993</v>
      </c>
      <c r="E204">
        <v>1027.1549</v>
      </c>
      <c r="F204">
        <v>1421.8378700000001</v>
      </c>
      <c r="G204">
        <v>1398.8029100000001</v>
      </c>
      <c r="H204">
        <v>1000.59366</v>
      </c>
      <c r="I204">
        <v>697.70807000000002</v>
      </c>
      <c r="J204">
        <v>1069.64949</v>
      </c>
      <c r="K204">
        <v>34.402700000000003</v>
      </c>
      <c r="L204">
        <v>95.262500000000003</v>
      </c>
      <c r="M204">
        <v>535.65121999999997</v>
      </c>
      <c r="N204">
        <v>1</v>
      </c>
      <c r="U204" s="221" t="s">
        <v>69</v>
      </c>
      <c r="V204">
        <v>810.98458000000016</v>
      </c>
      <c r="W204">
        <v>1107.7384400000001</v>
      </c>
      <c r="X204">
        <v>1333.8794499999999</v>
      </c>
      <c r="Y204">
        <v>736.44263000000001</v>
      </c>
      <c r="Z204">
        <v>658.07983000000002</v>
      </c>
      <c r="AA204">
        <v>884.85055</v>
      </c>
      <c r="AB204">
        <v>132.04214999999999</v>
      </c>
      <c r="AC204">
        <v>68.934129999999996</v>
      </c>
      <c r="AD204">
        <v>136.1</v>
      </c>
      <c r="AE204">
        <v>1089.2687800000001</v>
      </c>
    </row>
    <row r="205" spans="1:31">
      <c r="A205" t="s">
        <v>78</v>
      </c>
      <c r="B205" s="216" t="str">
        <f t="shared" si="3"/>
        <v>Jul-20</v>
      </c>
      <c r="C205" s="217">
        <v>44013</v>
      </c>
      <c r="D205">
        <v>7189.8093599999993</v>
      </c>
      <c r="E205">
        <v>1011.1982400000001</v>
      </c>
      <c r="F205">
        <v>1401.1261999999999</v>
      </c>
      <c r="G205">
        <v>1389.72874</v>
      </c>
      <c r="H205">
        <v>999.02691000000004</v>
      </c>
      <c r="I205">
        <v>686.91537000000005</v>
      </c>
      <c r="J205">
        <v>1044.5429300000001</v>
      </c>
      <c r="K205">
        <v>33.357250000000001</v>
      </c>
      <c r="L205">
        <v>89.762500000000003</v>
      </c>
      <c r="M205">
        <v>533.15121999999997</v>
      </c>
      <c r="N205">
        <v>1</v>
      </c>
      <c r="U205" s="221" t="s">
        <v>72</v>
      </c>
      <c r="V205">
        <v>226.6355299999999</v>
      </c>
      <c r="W205">
        <v>252.9504</v>
      </c>
      <c r="X205">
        <v>531.89306999999997</v>
      </c>
      <c r="Y205">
        <v>192.31093000000001</v>
      </c>
      <c r="Z205">
        <v>195.32194999999999</v>
      </c>
      <c r="AA205">
        <v>324.98279000000002</v>
      </c>
      <c r="AB205">
        <v>4</v>
      </c>
      <c r="AC205">
        <v>372.46825000000001</v>
      </c>
      <c r="AD205">
        <v>156.61000000000001</v>
      </c>
      <c r="AE205">
        <v>0</v>
      </c>
    </row>
    <row r="206" spans="1:31">
      <c r="A206" t="s">
        <v>78</v>
      </c>
      <c r="B206" s="216" t="str">
        <f t="shared" si="3"/>
        <v>Aug-20</v>
      </c>
      <c r="C206" s="217">
        <v>44044</v>
      </c>
      <c r="D206">
        <v>7130.2557999999999</v>
      </c>
      <c r="E206">
        <v>1001.47407</v>
      </c>
      <c r="F206">
        <v>1396.4003600000001</v>
      </c>
      <c r="G206">
        <v>1349.1642999999999</v>
      </c>
      <c r="H206">
        <v>945.82100000000003</v>
      </c>
      <c r="I206">
        <v>640.32989999999995</v>
      </c>
      <c r="J206">
        <v>1012.1052</v>
      </c>
      <c r="K206">
        <v>33.157249999999998</v>
      </c>
      <c r="L206">
        <v>96.262500000000003</v>
      </c>
      <c r="M206">
        <v>654.54121999999995</v>
      </c>
      <c r="N206">
        <v>1</v>
      </c>
      <c r="U206" s="221" t="s">
        <v>73</v>
      </c>
      <c r="V206">
        <v>7.5</v>
      </c>
      <c r="W206">
        <v>49.3</v>
      </c>
      <c r="X206">
        <v>39.67998</v>
      </c>
      <c r="Y206">
        <v>17</v>
      </c>
      <c r="Z206">
        <v>1</v>
      </c>
      <c r="AA206">
        <v>0</v>
      </c>
      <c r="AB206">
        <v>0</v>
      </c>
      <c r="AC206">
        <v>0</v>
      </c>
      <c r="AD206">
        <v>3.13</v>
      </c>
      <c r="AE206">
        <v>0</v>
      </c>
    </row>
    <row r="207" spans="1:31">
      <c r="A207" t="s">
        <v>78</v>
      </c>
      <c r="B207" s="216" t="str">
        <f t="shared" si="3"/>
        <v>Sep-20</v>
      </c>
      <c r="C207" s="217">
        <v>44075</v>
      </c>
      <c r="D207">
        <v>7036.6141799999996</v>
      </c>
      <c r="E207">
        <v>1015.84407</v>
      </c>
      <c r="F207">
        <v>1316.9349500000001</v>
      </c>
      <c r="G207">
        <v>1320.33</v>
      </c>
      <c r="H207">
        <v>946.56475</v>
      </c>
      <c r="I207">
        <v>645.86841000000004</v>
      </c>
      <c r="J207">
        <v>1015.06095</v>
      </c>
      <c r="K207">
        <v>34.044829999999997</v>
      </c>
      <c r="L207">
        <v>94.224999999999994</v>
      </c>
      <c r="M207">
        <v>646.74122</v>
      </c>
      <c r="N207">
        <v>1</v>
      </c>
      <c r="U207" s="221" t="s">
        <v>74</v>
      </c>
      <c r="V207">
        <v>448.40962000000025</v>
      </c>
      <c r="W207">
        <v>674.60343</v>
      </c>
      <c r="X207">
        <v>478.79457000000002</v>
      </c>
      <c r="Y207">
        <v>340.99745999999999</v>
      </c>
      <c r="Z207">
        <v>334.54025000000001</v>
      </c>
      <c r="AA207">
        <v>356.47521</v>
      </c>
      <c r="AB207">
        <v>74.374669999999995</v>
      </c>
      <c r="AC207">
        <v>13.2</v>
      </c>
      <c r="AD207">
        <v>52.41</v>
      </c>
      <c r="AE207">
        <v>2</v>
      </c>
    </row>
    <row r="208" spans="1:31">
      <c r="A208" t="s">
        <v>78</v>
      </c>
      <c r="B208" s="216" t="str">
        <f t="shared" si="3"/>
        <v>Oct-20</v>
      </c>
      <c r="C208" s="217">
        <v>44105</v>
      </c>
      <c r="D208">
        <v>7063.0185099999999</v>
      </c>
      <c r="E208">
        <v>1020.29991</v>
      </c>
      <c r="F208">
        <v>1317.90877</v>
      </c>
      <c r="G208">
        <v>1343.2094199999999</v>
      </c>
      <c r="H208">
        <v>951.06475</v>
      </c>
      <c r="I208">
        <v>646.28940999999998</v>
      </c>
      <c r="J208">
        <v>1015.3852000000001</v>
      </c>
      <c r="K208">
        <v>35.044829999999997</v>
      </c>
      <c r="L208">
        <v>93.65</v>
      </c>
      <c r="M208">
        <v>639.16621999999995</v>
      </c>
      <c r="N208">
        <v>1</v>
      </c>
      <c r="U208" s="221" t="s">
        <v>75</v>
      </c>
      <c r="V208">
        <v>2578.5364499999964</v>
      </c>
      <c r="W208">
        <v>3334.0093000000002</v>
      </c>
      <c r="X208">
        <v>2502.9342900000001</v>
      </c>
      <c r="Y208">
        <v>2222.4802399999999</v>
      </c>
      <c r="Z208">
        <v>1969.3691100000001</v>
      </c>
      <c r="AA208">
        <v>2365.38616</v>
      </c>
      <c r="AB208">
        <v>655.77148</v>
      </c>
      <c r="AC208">
        <v>1125.6865299999999</v>
      </c>
      <c r="AD208">
        <v>520.37</v>
      </c>
      <c r="AE208">
        <v>576.89585999999997</v>
      </c>
    </row>
    <row r="209" spans="1:34">
      <c r="A209" t="s">
        <v>78</v>
      </c>
      <c r="B209" s="216" t="str">
        <f t="shared" si="3"/>
        <v>Nov-20</v>
      </c>
      <c r="C209" s="217">
        <v>44136</v>
      </c>
      <c r="D209">
        <v>6986.2377299999989</v>
      </c>
      <c r="E209">
        <v>1009.56251</v>
      </c>
      <c r="F209">
        <v>1313.3937699999999</v>
      </c>
      <c r="G209">
        <v>1308.5804499999999</v>
      </c>
      <c r="H209">
        <v>940.75324999999998</v>
      </c>
      <c r="I209">
        <v>650.86983999999995</v>
      </c>
      <c r="J209">
        <v>1000.76686</v>
      </c>
      <c r="K209">
        <v>35.044829999999997</v>
      </c>
      <c r="L209">
        <v>94.65</v>
      </c>
      <c r="M209">
        <v>631.61622</v>
      </c>
      <c r="N209">
        <v>1</v>
      </c>
      <c r="U209" s="221" t="s">
        <v>76</v>
      </c>
      <c r="V209">
        <v>989.10584999999446</v>
      </c>
      <c r="W209">
        <v>1260.80618</v>
      </c>
      <c r="X209">
        <v>1102.5464099999999</v>
      </c>
      <c r="Y209">
        <v>1103.35474</v>
      </c>
      <c r="Z209">
        <v>894.59649000000002</v>
      </c>
      <c r="AA209">
        <v>1012.05862</v>
      </c>
      <c r="AB209">
        <v>181.62906000000001</v>
      </c>
      <c r="AC209">
        <v>0.66666999999999998</v>
      </c>
      <c r="AD209">
        <v>57.65</v>
      </c>
      <c r="AE209">
        <v>62.053319999999999</v>
      </c>
    </row>
    <row r="210" spans="1:34">
      <c r="A210" t="s">
        <v>78</v>
      </c>
      <c r="B210" s="216" t="str">
        <f t="shared" si="3"/>
        <v>Dec-20</v>
      </c>
      <c r="C210" s="217">
        <v>44166</v>
      </c>
      <c r="D210">
        <v>6981.4892099999997</v>
      </c>
      <c r="E210">
        <v>1008.11584</v>
      </c>
      <c r="F210">
        <v>1311.3690999999999</v>
      </c>
      <c r="G210">
        <v>1303.7526700000001</v>
      </c>
      <c r="H210">
        <v>943.15324999999996</v>
      </c>
      <c r="I210">
        <v>650.19484</v>
      </c>
      <c r="J210">
        <v>1005.84446</v>
      </c>
      <c r="K210">
        <v>34.892829999999996</v>
      </c>
      <c r="L210">
        <v>93.65</v>
      </c>
      <c r="M210">
        <v>629.51621999999998</v>
      </c>
      <c r="N210">
        <v>1</v>
      </c>
      <c r="U210" s="221" t="s">
        <v>77</v>
      </c>
      <c r="V210">
        <v>3807.2050000000254</v>
      </c>
      <c r="W210">
        <v>5282.8795700000001</v>
      </c>
      <c r="X210">
        <v>4142.6505399999996</v>
      </c>
      <c r="Y210">
        <v>3594.6330600000001</v>
      </c>
      <c r="Z210">
        <v>2816.8541100000002</v>
      </c>
      <c r="AA210">
        <v>3553.84213</v>
      </c>
      <c r="AB210">
        <v>563.98855000000003</v>
      </c>
      <c r="AC210">
        <v>84.853319999999997</v>
      </c>
      <c r="AD210">
        <v>207.51</v>
      </c>
      <c r="AE210">
        <v>218.95067</v>
      </c>
    </row>
    <row r="211" spans="1:34">
      <c r="A211" t="s">
        <v>78</v>
      </c>
      <c r="B211" s="216" t="str">
        <f t="shared" si="3"/>
        <v>Jan-21</v>
      </c>
      <c r="C211" s="217">
        <v>44197</v>
      </c>
      <c r="D211">
        <v>6835.1850300000006</v>
      </c>
      <c r="E211">
        <v>969.92083000000002</v>
      </c>
      <c r="F211">
        <v>1292.1357599999999</v>
      </c>
      <c r="G211">
        <v>1267.60267</v>
      </c>
      <c r="H211">
        <v>921.37390000000005</v>
      </c>
      <c r="I211">
        <v>645.03751</v>
      </c>
      <c r="J211">
        <v>980.84753000000001</v>
      </c>
      <c r="K211">
        <v>35.672829999999998</v>
      </c>
      <c r="L211">
        <v>93.75</v>
      </c>
      <c r="M211">
        <v>627.84400000000005</v>
      </c>
      <c r="N211">
        <v>1</v>
      </c>
      <c r="U211" s="221" t="s">
        <v>78</v>
      </c>
      <c r="V211">
        <v>865.39259999999922</v>
      </c>
      <c r="W211">
        <v>1211.6302700000001</v>
      </c>
      <c r="X211">
        <v>1076.8653300000001</v>
      </c>
      <c r="Y211">
        <v>837.89478999999994</v>
      </c>
      <c r="Z211">
        <v>621.43525999999997</v>
      </c>
      <c r="AA211">
        <v>869.80363</v>
      </c>
      <c r="AB211">
        <v>33.7502</v>
      </c>
      <c r="AC211">
        <v>97.831819999999993</v>
      </c>
      <c r="AD211">
        <v>79.34</v>
      </c>
      <c r="AE211">
        <v>0.50666999999999995</v>
      </c>
    </row>
    <row r="212" spans="1:34">
      <c r="A212" t="s">
        <v>78</v>
      </c>
      <c r="B212" s="216" t="str">
        <f t="shared" si="3"/>
        <v>Feb-21</v>
      </c>
      <c r="C212" s="217">
        <v>44228</v>
      </c>
      <c r="D212">
        <v>6790.224439999999</v>
      </c>
      <c r="E212">
        <v>960.51417000000004</v>
      </c>
      <c r="F212">
        <v>1279.71569</v>
      </c>
      <c r="G212">
        <v>1255.5676699999999</v>
      </c>
      <c r="H212">
        <v>909.37390000000005</v>
      </c>
      <c r="I212">
        <v>642.23262</v>
      </c>
      <c r="J212">
        <v>966.53405999999995</v>
      </c>
      <c r="K212">
        <v>34.442329999999998</v>
      </c>
      <c r="L212">
        <v>95.75</v>
      </c>
      <c r="M212">
        <v>645.09400000000005</v>
      </c>
      <c r="N212">
        <v>1</v>
      </c>
      <c r="U212" s="7" t="s">
        <v>99</v>
      </c>
      <c r="V212">
        <v>12557.351219999999</v>
      </c>
      <c r="W212">
        <v>17350.14329</v>
      </c>
      <c r="X212">
        <v>14443.905630000001</v>
      </c>
      <c r="Y212">
        <v>11152.737420000001</v>
      </c>
      <c r="Z212">
        <v>9989.5254100000002</v>
      </c>
      <c r="AA212">
        <v>12037.993880000002</v>
      </c>
      <c r="AB212">
        <v>2081.9652200000005</v>
      </c>
      <c r="AC212">
        <v>2031.8094500000002</v>
      </c>
      <c r="AD212">
        <v>1471.3908399999998</v>
      </c>
      <c r="AE212">
        <v>4095.5612500000002</v>
      </c>
      <c r="AF212">
        <v>395.51817999999997</v>
      </c>
      <c r="AG212">
        <v>1080.58</v>
      </c>
      <c r="AH212">
        <v>0</v>
      </c>
    </row>
    <row r="213" spans="1:34">
      <c r="A213" t="s">
        <v>78</v>
      </c>
      <c r="B213" s="216" t="str">
        <f t="shared" si="3"/>
        <v>Mar-21</v>
      </c>
      <c r="C213" s="217">
        <v>44256</v>
      </c>
      <c r="D213">
        <v>6760.9023500000003</v>
      </c>
      <c r="E213">
        <v>964.66499999999996</v>
      </c>
      <c r="F213">
        <v>1282.7977800000001</v>
      </c>
      <c r="G213">
        <v>1230.0876699999999</v>
      </c>
      <c r="H213">
        <v>912.33056999999997</v>
      </c>
      <c r="I213">
        <v>645.98612000000003</v>
      </c>
      <c r="J213">
        <v>957.53088000000002</v>
      </c>
      <c r="K213">
        <v>33.442329999999998</v>
      </c>
      <c r="L213">
        <v>94.65</v>
      </c>
      <c r="M213">
        <v>638.41200000000003</v>
      </c>
      <c r="N213">
        <v>1</v>
      </c>
      <c r="U213" s="221" t="s">
        <v>71</v>
      </c>
      <c r="V213">
        <v>2691.10581</v>
      </c>
      <c r="W213">
        <v>3805.5960399999999</v>
      </c>
      <c r="X213">
        <v>2826.49046</v>
      </c>
      <c r="Y213">
        <v>2091.0139600000002</v>
      </c>
      <c r="Z213">
        <v>2233.8597300000001</v>
      </c>
      <c r="AA213">
        <v>2519.4338200000002</v>
      </c>
      <c r="AB213">
        <v>398.95789000000002</v>
      </c>
      <c r="AC213">
        <v>311.56743999999998</v>
      </c>
      <c r="AD213">
        <v>230.73979</v>
      </c>
      <c r="AE213">
        <v>2112.2395200000001</v>
      </c>
      <c r="AF213">
        <v>1.3</v>
      </c>
      <c r="AG213">
        <v>0</v>
      </c>
      <c r="AH213">
        <v>0</v>
      </c>
    </row>
    <row r="214" spans="1:34">
      <c r="A214" t="s">
        <v>78</v>
      </c>
      <c r="B214" s="216" t="str">
        <f t="shared" si="3"/>
        <v>Apr-21</v>
      </c>
      <c r="C214" s="217">
        <v>44287</v>
      </c>
      <c r="D214">
        <v>6658.7917900000002</v>
      </c>
      <c r="E214">
        <v>950.22184000000004</v>
      </c>
      <c r="F214">
        <v>1245.8447900000001</v>
      </c>
      <c r="G214">
        <v>1208.58</v>
      </c>
      <c r="H214">
        <v>903.53183000000001</v>
      </c>
      <c r="I214">
        <v>642.05611999999996</v>
      </c>
      <c r="J214">
        <v>941.40287999999998</v>
      </c>
      <c r="K214">
        <v>32.642330000000001</v>
      </c>
      <c r="L214">
        <v>98.85</v>
      </c>
      <c r="M214">
        <v>634.66200000000003</v>
      </c>
      <c r="N214">
        <v>1</v>
      </c>
      <c r="U214" s="221" t="s">
        <v>69</v>
      </c>
      <c r="V214">
        <v>822.06615999999997</v>
      </c>
      <c r="W214">
        <v>1170.97516</v>
      </c>
      <c r="X214">
        <v>1418.53916</v>
      </c>
      <c r="Y214">
        <v>744.53917000000001</v>
      </c>
      <c r="Z214">
        <v>685.38192000000004</v>
      </c>
      <c r="AA214">
        <v>914.64629000000002</v>
      </c>
      <c r="AB214">
        <v>140.68908999999999</v>
      </c>
      <c r="AC214">
        <v>65.778400000000005</v>
      </c>
      <c r="AD214">
        <v>139.11999</v>
      </c>
      <c r="AE214">
        <v>1092.90209</v>
      </c>
      <c r="AF214">
        <v>5.2</v>
      </c>
      <c r="AG214">
        <v>0</v>
      </c>
      <c r="AH214">
        <v>0</v>
      </c>
    </row>
    <row r="215" spans="1:34">
      <c r="A215" t="s">
        <v>73</v>
      </c>
      <c r="B215" s="216" t="str">
        <f t="shared" si="3"/>
        <v>May-20</v>
      </c>
      <c r="C215" s="217">
        <v>43952</v>
      </c>
      <c r="D215">
        <v>1359.75992</v>
      </c>
      <c r="E215">
        <v>2</v>
      </c>
      <c r="F215">
        <v>340.66</v>
      </c>
      <c r="G215">
        <v>227.48660000000001</v>
      </c>
      <c r="H215">
        <v>266.06666000000001</v>
      </c>
      <c r="I215">
        <v>193.54666</v>
      </c>
      <c r="J215">
        <v>302.60000000000002</v>
      </c>
      <c r="K215">
        <v>22.8</v>
      </c>
      <c r="L215">
        <v>0</v>
      </c>
      <c r="M215">
        <v>4.5999999999999996</v>
      </c>
      <c r="N215">
        <v>0</v>
      </c>
      <c r="U215" s="221" t="s">
        <v>72</v>
      </c>
      <c r="V215">
        <v>235.12886</v>
      </c>
      <c r="W215">
        <v>273.084</v>
      </c>
      <c r="X215">
        <v>555.19181000000003</v>
      </c>
      <c r="Y215">
        <v>198.40026</v>
      </c>
      <c r="Z215">
        <v>193.69528</v>
      </c>
      <c r="AA215">
        <v>330.84278999999998</v>
      </c>
      <c r="AB215">
        <v>6.6133300000000004</v>
      </c>
      <c r="AC215">
        <v>389.44891000000001</v>
      </c>
      <c r="AD215">
        <v>169.37599</v>
      </c>
      <c r="AE215">
        <v>0</v>
      </c>
      <c r="AF215">
        <v>1</v>
      </c>
      <c r="AG215">
        <v>0</v>
      </c>
      <c r="AH215">
        <v>0</v>
      </c>
    </row>
    <row r="216" spans="1:34">
      <c r="A216" t="s">
        <v>73</v>
      </c>
      <c r="B216" s="216" t="str">
        <f t="shared" si="3"/>
        <v>Jun-20</v>
      </c>
      <c r="C216" s="217">
        <v>43983</v>
      </c>
      <c r="D216">
        <v>1590.9599199999998</v>
      </c>
      <c r="E216">
        <v>2</v>
      </c>
      <c r="F216">
        <v>368.26</v>
      </c>
      <c r="G216">
        <v>242.0866</v>
      </c>
      <c r="H216">
        <v>391.46665999999999</v>
      </c>
      <c r="I216">
        <v>210.74665999999999</v>
      </c>
      <c r="J216">
        <v>349</v>
      </c>
      <c r="K216">
        <v>22.8</v>
      </c>
      <c r="L216">
        <v>0</v>
      </c>
      <c r="M216">
        <v>4.5999999999999996</v>
      </c>
      <c r="N216">
        <v>0</v>
      </c>
      <c r="U216" s="221" t="s">
        <v>73</v>
      </c>
      <c r="V216">
        <v>8.5</v>
      </c>
      <c r="W216">
        <v>21.5</v>
      </c>
      <c r="X216">
        <v>23.066649999999999</v>
      </c>
      <c r="Y216">
        <v>42.33334</v>
      </c>
      <c r="Z216">
        <v>0</v>
      </c>
      <c r="AA216">
        <v>0</v>
      </c>
      <c r="AB216">
        <v>0</v>
      </c>
      <c r="AC216">
        <v>0</v>
      </c>
      <c r="AD216">
        <v>3.0666500000000001</v>
      </c>
      <c r="AE216">
        <v>0</v>
      </c>
      <c r="AF216">
        <v>0</v>
      </c>
      <c r="AG216">
        <v>0</v>
      </c>
      <c r="AH216">
        <v>0</v>
      </c>
    </row>
    <row r="217" spans="1:34">
      <c r="A217" t="s">
        <v>73</v>
      </c>
      <c r="B217" s="216" t="str">
        <f t="shared" si="3"/>
        <v>Jul-20</v>
      </c>
      <c r="C217" s="217">
        <v>44013</v>
      </c>
      <c r="D217">
        <v>825.80662999999993</v>
      </c>
      <c r="E217">
        <v>2</v>
      </c>
      <c r="F217">
        <v>237.06</v>
      </c>
      <c r="G217">
        <v>52.773299999999999</v>
      </c>
      <c r="H217">
        <v>205.64</v>
      </c>
      <c r="I217">
        <v>127.93333</v>
      </c>
      <c r="J217">
        <v>185.4</v>
      </c>
      <c r="K217">
        <v>12.2</v>
      </c>
      <c r="L217">
        <v>0</v>
      </c>
      <c r="M217">
        <v>2.8</v>
      </c>
      <c r="N217">
        <v>0</v>
      </c>
      <c r="U217" s="221" t="s">
        <v>74</v>
      </c>
      <c r="V217">
        <v>479.36552</v>
      </c>
      <c r="W217">
        <v>737.71475999999996</v>
      </c>
      <c r="X217">
        <v>526.87947999999994</v>
      </c>
      <c r="Y217">
        <v>364.98412999999999</v>
      </c>
      <c r="Z217">
        <v>352.64877000000001</v>
      </c>
      <c r="AA217">
        <v>376.68851000000001</v>
      </c>
      <c r="AB217">
        <v>81.548000000000002</v>
      </c>
      <c r="AC217">
        <v>8.8000000000000007</v>
      </c>
      <c r="AD217">
        <v>55.006659999999997</v>
      </c>
      <c r="AE217">
        <v>3.8</v>
      </c>
      <c r="AF217">
        <v>30.676189999999995</v>
      </c>
      <c r="AG217">
        <v>0</v>
      </c>
      <c r="AH217">
        <v>0</v>
      </c>
    </row>
    <row r="218" spans="1:34">
      <c r="A218" t="s">
        <v>73</v>
      </c>
      <c r="B218" s="216" t="str">
        <f t="shared" si="3"/>
        <v>Aug-20</v>
      </c>
      <c r="C218" s="217">
        <v>44044</v>
      </c>
      <c r="D218">
        <v>809.9999499999999</v>
      </c>
      <c r="E218">
        <v>2</v>
      </c>
      <c r="F218">
        <v>359.26</v>
      </c>
      <c r="G218">
        <v>46.353299999999997</v>
      </c>
      <c r="H218">
        <v>185.64</v>
      </c>
      <c r="I218">
        <v>67.533330000000007</v>
      </c>
      <c r="J218">
        <v>137.01331999999999</v>
      </c>
      <c r="K218">
        <v>10.4</v>
      </c>
      <c r="L218">
        <v>0</v>
      </c>
      <c r="M218">
        <v>1.8</v>
      </c>
      <c r="N218">
        <v>0</v>
      </c>
      <c r="U218" s="221" t="s">
        <v>75</v>
      </c>
      <c r="V218">
        <v>2760.2749100000001</v>
      </c>
      <c r="W218">
        <v>3597.8460399999999</v>
      </c>
      <c r="X218">
        <v>2564.9860800000001</v>
      </c>
      <c r="Y218">
        <v>2253.2993000000001</v>
      </c>
      <c r="Z218">
        <v>2154.7264500000001</v>
      </c>
      <c r="AA218">
        <v>2419.47516</v>
      </c>
      <c r="AB218">
        <v>699.17958999999996</v>
      </c>
      <c r="AC218">
        <v>1075.3913700000001</v>
      </c>
      <c r="AD218">
        <v>526.84290999999996</v>
      </c>
      <c r="AE218">
        <v>626.49564999999996</v>
      </c>
      <c r="AF218">
        <v>297.86998999999997</v>
      </c>
      <c r="AG218">
        <v>1080.58</v>
      </c>
      <c r="AH218">
        <v>0</v>
      </c>
    </row>
    <row r="219" spans="1:34">
      <c r="A219" t="s">
        <v>73</v>
      </c>
      <c r="B219" s="216" t="str">
        <f t="shared" si="3"/>
        <v>Sep-20</v>
      </c>
      <c r="C219" s="217">
        <v>44075</v>
      </c>
      <c r="D219">
        <v>505.58997999999997</v>
      </c>
      <c r="E219">
        <v>1</v>
      </c>
      <c r="F219">
        <v>216.06</v>
      </c>
      <c r="G219">
        <v>34.090000000000003</v>
      </c>
      <c r="H219">
        <v>142.63999999999999</v>
      </c>
      <c r="I219">
        <v>15.533329999999999</v>
      </c>
      <c r="J219">
        <v>87.453320000000005</v>
      </c>
      <c r="K219">
        <v>7.4</v>
      </c>
      <c r="L219">
        <v>0</v>
      </c>
      <c r="M219">
        <v>1.41333</v>
      </c>
      <c r="N219">
        <v>0</v>
      </c>
      <c r="U219" s="221" t="s">
        <v>76</v>
      </c>
      <c r="V219">
        <v>969.76800000000003</v>
      </c>
      <c r="W219">
        <v>1353.74234</v>
      </c>
      <c r="X219">
        <v>1167.0888299999999</v>
      </c>
      <c r="Y219">
        <v>1079.38175</v>
      </c>
      <c r="Z219">
        <v>829.26711</v>
      </c>
      <c r="AA219">
        <v>990.09562000000005</v>
      </c>
      <c r="AB219">
        <v>170.14669000000001</v>
      </c>
      <c r="AC219">
        <v>0.66666999999999998</v>
      </c>
      <c r="AD219">
        <v>53.990360000000003</v>
      </c>
      <c r="AE219">
        <v>62.966650000000001</v>
      </c>
      <c r="AF219">
        <v>0</v>
      </c>
      <c r="AG219">
        <v>0</v>
      </c>
      <c r="AH219">
        <v>0</v>
      </c>
    </row>
    <row r="220" spans="1:34">
      <c r="A220" t="s">
        <v>73</v>
      </c>
      <c r="B220" s="216" t="str">
        <f t="shared" si="3"/>
        <v>Oct-20</v>
      </c>
      <c r="C220" s="217">
        <v>44105</v>
      </c>
      <c r="D220">
        <v>290.89330000000001</v>
      </c>
      <c r="E220">
        <v>1</v>
      </c>
      <c r="F220">
        <v>97.76</v>
      </c>
      <c r="G220">
        <v>23.53331</v>
      </c>
      <c r="H220">
        <v>113.84</v>
      </c>
      <c r="I220">
        <v>6.1333299999999999</v>
      </c>
      <c r="J220">
        <v>42.813330000000001</v>
      </c>
      <c r="K220">
        <v>4.4000000000000004</v>
      </c>
      <c r="L220">
        <v>0</v>
      </c>
      <c r="M220">
        <v>1.41333</v>
      </c>
      <c r="N220">
        <v>0</v>
      </c>
      <c r="U220" s="221" t="s">
        <v>77</v>
      </c>
      <c r="V220">
        <v>3801.2790399999999</v>
      </c>
      <c r="W220">
        <v>5279.1658900000002</v>
      </c>
      <c r="X220">
        <v>4388.4022000000004</v>
      </c>
      <c r="Y220">
        <v>3633.9404300000001</v>
      </c>
      <c r="Z220">
        <v>2921.1616100000001</v>
      </c>
      <c r="AA220">
        <v>3690.89129</v>
      </c>
      <c r="AB220">
        <v>554.10215000000005</v>
      </c>
      <c r="AC220">
        <v>91.506659999999997</v>
      </c>
      <c r="AD220">
        <v>216.58667</v>
      </c>
      <c r="AE220">
        <v>196.65066999999999</v>
      </c>
      <c r="AF220">
        <v>9</v>
      </c>
      <c r="AG220">
        <v>0</v>
      </c>
      <c r="AH220">
        <v>0</v>
      </c>
    </row>
    <row r="221" spans="1:34">
      <c r="A221" t="s">
        <v>73</v>
      </c>
      <c r="B221" s="216" t="str">
        <f t="shared" si="3"/>
        <v>Nov-20</v>
      </c>
      <c r="C221" s="217">
        <v>44136</v>
      </c>
      <c r="D221">
        <v>247.35330999999999</v>
      </c>
      <c r="E221">
        <v>1</v>
      </c>
      <c r="F221">
        <v>76.306669999999997</v>
      </c>
      <c r="G221">
        <v>29.793310000000002</v>
      </c>
      <c r="H221">
        <v>126.44</v>
      </c>
      <c r="I221">
        <v>2</v>
      </c>
      <c r="J221">
        <v>8</v>
      </c>
      <c r="K221">
        <v>2.4</v>
      </c>
      <c r="L221">
        <v>0</v>
      </c>
      <c r="M221">
        <v>1.41333</v>
      </c>
      <c r="N221">
        <v>0</v>
      </c>
      <c r="U221" s="221" t="s">
        <v>78</v>
      </c>
      <c r="V221">
        <v>789.86292000000003</v>
      </c>
      <c r="W221">
        <v>1110.5190600000001</v>
      </c>
      <c r="X221">
        <v>973.26095999999995</v>
      </c>
      <c r="Y221">
        <v>744.84508000000005</v>
      </c>
      <c r="Z221">
        <v>618.78453999999999</v>
      </c>
      <c r="AA221">
        <v>795.92039999999997</v>
      </c>
      <c r="AB221">
        <v>30.728480000000001</v>
      </c>
      <c r="AC221">
        <v>88.65</v>
      </c>
      <c r="AD221">
        <v>76.661820000000006</v>
      </c>
      <c r="AE221">
        <v>0.50666999999999995</v>
      </c>
      <c r="AF221">
        <v>50.472000000000023</v>
      </c>
      <c r="AG221">
        <v>0</v>
      </c>
      <c r="AH221">
        <v>0</v>
      </c>
    </row>
    <row r="222" spans="1:34">
      <c r="A222" t="s">
        <v>73</v>
      </c>
      <c r="B222" s="216" t="str">
        <f t="shared" si="3"/>
        <v>Dec-20</v>
      </c>
      <c r="C222" s="217">
        <v>44166</v>
      </c>
      <c r="D222">
        <v>213.33998</v>
      </c>
      <c r="E222">
        <v>1</v>
      </c>
      <c r="F222">
        <v>71.306669999999997</v>
      </c>
      <c r="G222">
        <v>26.17998</v>
      </c>
      <c r="H222">
        <v>104.04</v>
      </c>
      <c r="I222">
        <v>1</v>
      </c>
      <c r="J222">
        <v>7</v>
      </c>
      <c r="K222">
        <v>1.4</v>
      </c>
      <c r="L222">
        <v>0</v>
      </c>
      <c r="M222">
        <v>1.41333</v>
      </c>
      <c r="N222">
        <v>0</v>
      </c>
      <c r="U222" s="7" t="s">
        <v>100</v>
      </c>
      <c r="V222">
        <v>11398.9745</v>
      </c>
      <c r="W222">
        <v>15441.61284</v>
      </c>
      <c r="X222">
        <v>12900.346189999998</v>
      </c>
      <c r="Y222">
        <v>10295.56</v>
      </c>
      <c r="Z222">
        <v>8454.5493499999993</v>
      </c>
      <c r="AA222">
        <v>11209.986000000001</v>
      </c>
      <c r="AB222">
        <v>1775.7400000000002</v>
      </c>
      <c r="AC222">
        <v>1670.8599400000001</v>
      </c>
      <c r="AD222">
        <v>3922.9177400000003</v>
      </c>
      <c r="AE222">
        <v>3223.2936899999995</v>
      </c>
    </row>
    <row r="223" spans="1:34">
      <c r="A223" t="s">
        <v>73</v>
      </c>
      <c r="B223" s="216" t="str">
        <f t="shared" si="3"/>
        <v>Jan-21</v>
      </c>
      <c r="C223" s="217">
        <v>44197</v>
      </c>
      <c r="D223">
        <v>190.33998</v>
      </c>
      <c r="E223">
        <v>1</v>
      </c>
      <c r="F223">
        <v>65.306669999999997</v>
      </c>
      <c r="G223">
        <v>28.17998</v>
      </c>
      <c r="H223">
        <v>87.04</v>
      </c>
      <c r="I223">
        <v>1</v>
      </c>
      <c r="J223">
        <v>5</v>
      </c>
      <c r="K223">
        <v>1.4</v>
      </c>
      <c r="L223">
        <v>0</v>
      </c>
      <c r="M223">
        <v>1.41333</v>
      </c>
      <c r="N223">
        <v>0</v>
      </c>
      <c r="U223" s="221" t="s">
        <v>71</v>
      </c>
      <c r="V223">
        <v>2312.2192300000002</v>
      </c>
      <c r="W223">
        <v>3112.1207300000001</v>
      </c>
      <c r="X223">
        <v>2553.8496799999998</v>
      </c>
      <c r="Y223">
        <v>1909.06</v>
      </c>
      <c r="Z223">
        <v>1745.8517199999999</v>
      </c>
      <c r="AA223">
        <v>2301.3558499999999</v>
      </c>
      <c r="AB223">
        <v>324.13</v>
      </c>
      <c r="AC223">
        <v>254.52074999999999</v>
      </c>
      <c r="AD223">
        <v>199.23331999999999</v>
      </c>
      <c r="AE223">
        <v>1461.1260199999999</v>
      </c>
    </row>
    <row r="224" spans="1:34">
      <c r="A224" t="s">
        <v>73</v>
      </c>
      <c r="B224" s="216" t="str">
        <f t="shared" si="3"/>
        <v>Feb-21</v>
      </c>
      <c r="C224" s="217">
        <v>44228</v>
      </c>
      <c r="D224">
        <v>206.01330000000002</v>
      </c>
      <c r="E224">
        <v>1</v>
      </c>
      <c r="F224">
        <v>62.806669999999997</v>
      </c>
      <c r="G224">
        <v>28.17998</v>
      </c>
      <c r="H224">
        <v>106.04</v>
      </c>
      <c r="I224">
        <v>1</v>
      </c>
      <c r="J224">
        <v>3.92</v>
      </c>
      <c r="K224">
        <v>0</v>
      </c>
      <c r="L224">
        <v>0</v>
      </c>
      <c r="M224">
        <v>3.0666500000000001</v>
      </c>
      <c r="N224">
        <v>0</v>
      </c>
      <c r="U224" s="221" t="s">
        <v>69</v>
      </c>
      <c r="V224">
        <v>726.26056000000005</v>
      </c>
      <c r="W224">
        <v>889.40791000000002</v>
      </c>
      <c r="X224">
        <v>855.40011000000004</v>
      </c>
      <c r="Y224">
        <v>598.09</v>
      </c>
      <c r="Z224">
        <v>538.53368</v>
      </c>
      <c r="AA224">
        <v>745.84388999999999</v>
      </c>
      <c r="AB224">
        <v>122.24</v>
      </c>
      <c r="AC224">
        <v>65.540809999999993</v>
      </c>
      <c r="AD224">
        <v>109.61503999999999</v>
      </c>
      <c r="AE224">
        <v>1029.9523300000001</v>
      </c>
    </row>
    <row r="225" spans="1:31">
      <c r="A225" t="s">
        <v>73</v>
      </c>
      <c r="B225" s="216" t="str">
        <f t="shared" si="3"/>
        <v>Mar-21</v>
      </c>
      <c r="C225" s="217">
        <v>44256</v>
      </c>
      <c r="D225">
        <v>181.4933</v>
      </c>
      <c r="E225">
        <v>1</v>
      </c>
      <c r="F225">
        <v>61.806669999999997</v>
      </c>
      <c r="G225">
        <v>28.17998</v>
      </c>
      <c r="H225">
        <v>82.04</v>
      </c>
      <c r="I225">
        <v>1</v>
      </c>
      <c r="J225">
        <v>3</v>
      </c>
      <c r="K225">
        <v>1.4</v>
      </c>
      <c r="L225">
        <v>0</v>
      </c>
      <c r="M225">
        <v>3.0666500000000001</v>
      </c>
      <c r="N225">
        <v>0</v>
      </c>
      <c r="U225" s="221" t="s">
        <v>72</v>
      </c>
      <c r="V225">
        <v>224.78887</v>
      </c>
      <c r="W225">
        <v>245.82804999999999</v>
      </c>
      <c r="X225">
        <v>462.93946</v>
      </c>
      <c r="Y225">
        <v>189.28</v>
      </c>
      <c r="Z225">
        <v>176.11953</v>
      </c>
      <c r="AA225">
        <v>295.27746000000002</v>
      </c>
      <c r="AB225">
        <v>2.73</v>
      </c>
      <c r="AC225">
        <v>222.22265999999999</v>
      </c>
      <c r="AD225">
        <v>137.95332999999999</v>
      </c>
      <c r="AE225">
        <v>0</v>
      </c>
    </row>
    <row r="226" spans="1:31">
      <c r="A226" t="s">
        <v>73</v>
      </c>
      <c r="B226" s="216" t="str">
        <f t="shared" si="3"/>
        <v>Apr-21</v>
      </c>
      <c r="C226" s="217">
        <v>44287</v>
      </c>
      <c r="D226">
        <v>94.546649999999985</v>
      </c>
      <c r="E226">
        <v>1</v>
      </c>
      <c r="F226">
        <v>17.5</v>
      </c>
      <c r="G226">
        <v>28.18</v>
      </c>
      <c r="H226">
        <v>42.8</v>
      </c>
      <c r="I226">
        <v>1</v>
      </c>
      <c r="J226">
        <v>1</v>
      </c>
      <c r="K226">
        <v>0</v>
      </c>
      <c r="L226">
        <v>0</v>
      </c>
      <c r="M226">
        <v>3.0666500000000001</v>
      </c>
      <c r="N226">
        <v>0</v>
      </c>
      <c r="U226" s="221" t="s">
        <v>73</v>
      </c>
      <c r="V226">
        <v>6.5</v>
      </c>
      <c r="W226">
        <v>15.36</v>
      </c>
      <c r="X226">
        <v>35.626640000000002</v>
      </c>
      <c r="Y226">
        <v>4.63</v>
      </c>
      <c r="Z226">
        <v>5</v>
      </c>
      <c r="AA226">
        <v>2</v>
      </c>
      <c r="AB226">
        <v>0</v>
      </c>
      <c r="AC226">
        <v>0</v>
      </c>
      <c r="AD226">
        <v>0</v>
      </c>
      <c r="AE226">
        <v>0</v>
      </c>
    </row>
    <row r="227" spans="1:31">
      <c r="A227" t="s">
        <v>69</v>
      </c>
      <c r="B227" s="216" t="str">
        <f t="shared" si="3"/>
        <v>May-21</v>
      </c>
      <c r="C227" s="217">
        <v>44317</v>
      </c>
      <c r="D227">
        <v>6240.86078</v>
      </c>
      <c r="E227">
        <v>772.62190999999996</v>
      </c>
      <c r="F227">
        <v>1055.20642</v>
      </c>
      <c r="G227">
        <v>934.8501</v>
      </c>
      <c r="H227">
        <v>714.25144999999998</v>
      </c>
      <c r="I227">
        <v>624.98758999999995</v>
      </c>
      <c r="J227">
        <v>793.33135000000004</v>
      </c>
      <c r="K227">
        <v>132.02562</v>
      </c>
      <c r="L227">
        <v>65.294139999999999</v>
      </c>
      <c r="M227">
        <v>123.59264</v>
      </c>
      <c r="N227">
        <v>1024.69956</v>
      </c>
      <c r="U227" s="221" t="s">
        <v>74</v>
      </c>
      <c r="V227">
        <v>410.76729</v>
      </c>
      <c r="W227">
        <v>729.49014999999997</v>
      </c>
      <c r="X227">
        <v>672.02377999999999</v>
      </c>
      <c r="Y227">
        <v>348.66</v>
      </c>
      <c r="Z227">
        <v>318.67426</v>
      </c>
      <c r="AA227">
        <v>350.00959</v>
      </c>
      <c r="AB227">
        <v>57.65</v>
      </c>
      <c r="AC227">
        <v>6.5</v>
      </c>
      <c r="AD227">
        <v>52.446660000000001</v>
      </c>
      <c r="AE227">
        <v>0</v>
      </c>
    </row>
    <row r="228" spans="1:31">
      <c r="A228" t="s">
        <v>69</v>
      </c>
      <c r="B228" s="216" t="str">
        <f t="shared" si="3"/>
        <v>Jun-21</v>
      </c>
      <c r="C228" s="217">
        <v>44348</v>
      </c>
      <c r="D228">
        <v>6576.2531999999992</v>
      </c>
      <c r="E228">
        <v>771.35523999999998</v>
      </c>
      <c r="F228">
        <v>1059.6966</v>
      </c>
      <c r="G228">
        <v>1225.67795</v>
      </c>
      <c r="H228">
        <v>717.42930999999999</v>
      </c>
      <c r="I228">
        <v>625.22758999999996</v>
      </c>
      <c r="J228">
        <v>845.93800999999996</v>
      </c>
      <c r="K228">
        <v>131.93227999999999</v>
      </c>
      <c r="L228">
        <v>66.254140000000007</v>
      </c>
      <c r="M228">
        <v>121.99263999999999</v>
      </c>
      <c r="N228">
        <v>1010.74944</v>
      </c>
      <c r="U228" s="221" t="s">
        <v>75</v>
      </c>
      <c r="V228">
        <v>2221.4957899999999</v>
      </c>
      <c r="W228">
        <v>2954.49271</v>
      </c>
      <c r="X228">
        <v>2103.52198</v>
      </c>
      <c r="Y228">
        <v>1938.24</v>
      </c>
      <c r="Z228">
        <v>1603.07503</v>
      </c>
      <c r="AA228">
        <v>2090.0198</v>
      </c>
      <c r="AB228">
        <v>539.65</v>
      </c>
      <c r="AC228">
        <v>972.21906999999999</v>
      </c>
      <c r="AD228">
        <v>2444.3362200000001</v>
      </c>
      <c r="AE228">
        <v>508.40865000000002</v>
      </c>
    </row>
    <row r="229" spans="1:31">
      <c r="A229" t="s">
        <v>69</v>
      </c>
      <c r="B229" s="216" t="str">
        <f t="shared" si="3"/>
        <v>Jul-21</v>
      </c>
      <c r="C229" s="217">
        <v>44378</v>
      </c>
      <c r="D229">
        <v>6563.4438699999992</v>
      </c>
      <c r="E229">
        <v>768.12858000000006</v>
      </c>
      <c r="F229">
        <v>1052.0419199999999</v>
      </c>
      <c r="G229">
        <v>1236.69181</v>
      </c>
      <c r="H229">
        <v>713.89598000000001</v>
      </c>
      <c r="I229">
        <v>622.78305999999998</v>
      </c>
      <c r="J229">
        <v>843.07695000000001</v>
      </c>
      <c r="K229">
        <v>131.48561000000001</v>
      </c>
      <c r="L229">
        <v>64.854140000000001</v>
      </c>
      <c r="M229">
        <v>121.76971</v>
      </c>
      <c r="N229">
        <v>1008.71611</v>
      </c>
      <c r="U229" s="221" t="s">
        <v>76</v>
      </c>
      <c r="V229">
        <v>1062.3450600000001</v>
      </c>
      <c r="W229">
        <v>1250.7478699999999</v>
      </c>
      <c r="X229">
        <v>1046.3361199999999</v>
      </c>
      <c r="Y229">
        <v>1099.3399999999999</v>
      </c>
      <c r="Z229">
        <v>757.31772000000001</v>
      </c>
      <c r="AA229">
        <v>1045.7091600000001</v>
      </c>
      <c r="AB229">
        <v>159.27000000000001</v>
      </c>
      <c r="AC229">
        <v>1.33334</v>
      </c>
      <c r="AD229">
        <v>324.86660999999998</v>
      </c>
      <c r="AE229">
        <v>57.626660000000001</v>
      </c>
    </row>
    <row r="230" spans="1:31">
      <c r="A230" t="s">
        <v>69</v>
      </c>
      <c r="B230" s="216" t="str">
        <f t="shared" si="3"/>
        <v>Aug-21</v>
      </c>
      <c r="C230" s="217">
        <v>44409</v>
      </c>
      <c r="D230">
        <v>6627.4445100000003</v>
      </c>
      <c r="E230">
        <v>773.76190999999994</v>
      </c>
      <c r="F230">
        <v>1052.2859100000001</v>
      </c>
      <c r="G230">
        <v>1257.4084800000001</v>
      </c>
      <c r="H230">
        <v>711.59596999999997</v>
      </c>
      <c r="I230">
        <v>624.94971999999996</v>
      </c>
      <c r="J230">
        <v>850.55028000000004</v>
      </c>
      <c r="K230">
        <v>133.24561</v>
      </c>
      <c r="L230">
        <v>64.054140000000004</v>
      </c>
      <c r="M230">
        <v>123.82304999999999</v>
      </c>
      <c r="N230">
        <v>1035.76944</v>
      </c>
      <c r="U230" s="221" t="s">
        <v>77</v>
      </c>
      <c r="V230">
        <v>3463.1576300000002</v>
      </c>
      <c r="W230">
        <v>4924.7700400000003</v>
      </c>
      <c r="X230">
        <v>3854.2277100000001</v>
      </c>
      <c r="Y230">
        <v>3260.95</v>
      </c>
      <c r="Z230">
        <v>2629.3387200000002</v>
      </c>
      <c r="AA230">
        <v>3417.37455</v>
      </c>
      <c r="AB230">
        <v>532.69000000000005</v>
      </c>
      <c r="AC230">
        <v>60.939979999999998</v>
      </c>
      <c r="AD230">
        <v>187.79334</v>
      </c>
      <c r="AE230">
        <v>165.18002999999999</v>
      </c>
    </row>
    <row r="231" spans="1:31">
      <c r="A231" t="s">
        <v>69</v>
      </c>
      <c r="B231" s="216" t="str">
        <f t="shared" si="3"/>
        <v>Sep-21</v>
      </c>
      <c r="C231" s="217">
        <v>44440</v>
      </c>
      <c r="D231">
        <v>6736.7839300000005</v>
      </c>
      <c r="E231">
        <v>787.60190999999998</v>
      </c>
      <c r="F231">
        <v>1078.8704399999999</v>
      </c>
      <c r="G231">
        <v>1280.1372799999999</v>
      </c>
      <c r="H231">
        <v>714.75595999999996</v>
      </c>
      <c r="I231">
        <v>633.48251000000005</v>
      </c>
      <c r="J231">
        <v>857.25693999999999</v>
      </c>
      <c r="K231">
        <v>136.57893999999999</v>
      </c>
      <c r="L231">
        <v>67.320800000000006</v>
      </c>
      <c r="M231">
        <v>123.84971</v>
      </c>
      <c r="N231">
        <v>1056.9294400000001</v>
      </c>
      <c r="U231" s="221" t="s">
        <v>78</v>
      </c>
      <c r="V231">
        <v>971.44006999999999</v>
      </c>
      <c r="W231">
        <v>1319.3953799999999</v>
      </c>
      <c r="X231">
        <v>1316.4207100000001</v>
      </c>
      <c r="Y231">
        <v>947.31</v>
      </c>
      <c r="Z231">
        <v>680.63869</v>
      </c>
      <c r="AA231">
        <v>962.39570000000003</v>
      </c>
      <c r="AB231">
        <v>37.380000000000003</v>
      </c>
      <c r="AC231">
        <v>87.583330000000004</v>
      </c>
      <c r="AD231">
        <v>466.67322000000001</v>
      </c>
      <c r="AE231">
        <v>1</v>
      </c>
    </row>
    <row r="232" spans="1:31">
      <c r="A232" t="s">
        <v>69</v>
      </c>
      <c r="B232" s="216" t="str">
        <f t="shared" si="3"/>
        <v>Oct-21</v>
      </c>
      <c r="C232" s="217">
        <v>44470</v>
      </c>
      <c r="D232">
        <v>6829.36967</v>
      </c>
      <c r="E232">
        <v>809.54192</v>
      </c>
      <c r="F232">
        <v>1084.2771</v>
      </c>
      <c r="G232">
        <v>1296.2727600000001</v>
      </c>
      <c r="H232">
        <v>724.62929999999994</v>
      </c>
      <c r="I232">
        <v>645.40250000000003</v>
      </c>
      <c r="J232">
        <v>859.30574000000001</v>
      </c>
      <c r="K232">
        <v>135.36561</v>
      </c>
      <c r="L232">
        <v>68.834130000000002</v>
      </c>
      <c r="M232">
        <v>131.78304</v>
      </c>
      <c r="N232">
        <v>1073.95757</v>
      </c>
      <c r="U232" s="7" t="s">
        <v>101</v>
      </c>
      <c r="V232">
        <v>11868.994000000001</v>
      </c>
      <c r="W232">
        <v>16060.89615</v>
      </c>
      <c r="X232">
        <v>13496.913570000001</v>
      </c>
      <c r="Y232">
        <v>10859.19788</v>
      </c>
      <c r="Z232">
        <v>9312.5810799999999</v>
      </c>
      <c r="AA232">
        <v>11736.6268</v>
      </c>
      <c r="AB232">
        <v>1866.1102099999998</v>
      </c>
      <c r="AC232">
        <v>1737.1745900000001</v>
      </c>
      <c r="AD232">
        <v>4174.6528099999996</v>
      </c>
      <c r="AE232">
        <v>3459.5650700000001</v>
      </c>
    </row>
    <row r="233" spans="1:31">
      <c r="A233" t="s">
        <v>69</v>
      </c>
      <c r="B233" s="216" t="str">
        <f t="shared" si="3"/>
        <v>Nov-21</v>
      </c>
      <c r="C233" s="217">
        <v>44501</v>
      </c>
      <c r="D233">
        <v>6905.9635600000001</v>
      </c>
      <c r="E233">
        <v>816.93790999999999</v>
      </c>
      <c r="F233">
        <v>1097.1651099999999</v>
      </c>
      <c r="G233">
        <v>1317.4661000000001</v>
      </c>
      <c r="H233">
        <v>744.41597000000002</v>
      </c>
      <c r="I233">
        <v>649.71583999999996</v>
      </c>
      <c r="J233">
        <v>867.56173999999999</v>
      </c>
      <c r="K233">
        <v>137.93227999999999</v>
      </c>
      <c r="L233">
        <v>68.634129999999999</v>
      </c>
      <c r="M233">
        <v>137.72357</v>
      </c>
      <c r="N233">
        <v>1068.4109100000001</v>
      </c>
      <c r="U233" s="221" t="s">
        <v>71</v>
      </c>
      <c r="V233">
        <v>2531.6243300000001</v>
      </c>
      <c r="W233">
        <v>3317.7920300000001</v>
      </c>
      <c r="X233">
        <v>2610.02682</v>
      </c>
      <c r="Y233">
        <v>1944.6147100000001</v>
      </c>
      <c r="Z233">
        <v>2010.86635</v>
      </c>
      <c r="AA233">
        <v>2361.9331299999999</v>
      </c>
      <c r="AB233">
        <v>333.95945</v>
      </c>
      <c r="AC233">
        <v>269.75009999999997</v>
      </c>
      <c r="AD233">
        <v>203.30026000000001</v>
      </c>
      <c r="AE233">
        <v>1609.5382400000001</v>
      </c>
    </row>
    <row r="234" spans="1:31">
      <c r="A234" t="s">
        <v>69</v>
      </c>
      <c r="B234" s="216" t="str">
        <f t="shared" si="3"/>
        <v>Dec-21</v>
      </c>
      <c r="C234" s="217">
        <v>44531</v>
      </c>
      <c r="D234">
        <v>6846.827769999999</v>
      </c>
      <c r="E234">
        <v>814.36458000000005</v>
      </c>
      <c r="F234">
        <v>1099.09843</v>
      </c>
      <c r="G234">
        <v>1235.3593100000001</v>
      </c>
      <c r="H234">
        <v>737.38</v>
      </c>
      <c r="I234">
        <v>649.30650000000003</v>
      </c>
      <c r="J234">
        <v>881.33055000000002</v>
      </c>
      <c r="K234">
        <v>135.52215000000001</v>
      </c>
      <c r="L234">
        <v>67.534130000000005</v>
      </c>
      <c r="M234">
        <v>136.26121000000001</v>
      </c>
      <c r="N234">
        <v>1090.67091</v>
      </c>
      <c r="U234" s="221" t="s">
        <v>69</v>
      </c>
      <c r="V234">
        <v>757.79147999999998</v>
      </c>
      <c r="W234">
        <v>938.91363000000001</v>
      </c>
      <c r="X234">
        <v>924.08916999999997</v>
      </c>
      <c r="Y234">
        <v>619.36558000000002</v>
      </c>
      <c r="Z234">
        <v>554.59348</v>
      </c>
      <c r="AA234">
        <v>778.35798999999997</v>
      </c>
      <c r="AB234">
        <v>130.26908</v>
      </c>
      <c r="AC234">
        <v>62.974139999999998</v>
      </c>
      <c r="AD234">
        <v>123.36891</v>
      </c>
      <c r="AE234">
        <v>1082.0262399999999</v>
      </c>
    </row>
    <row r="235" spans="1:31">
      <c r="A235" t="s">
        <v>69</v>
      </c>
      <c r="B235" s="216" t="str">
        <f t="shared" si="3"/>
        <v>Jan-22</v>
      </c>
      <c r="C235" s="217">
        <v>44562</v>
      </c>
      <c r="D235">
        <v>6958.3205399999997</v>
      </c>
      <c r="E235">
        <v>810.98458000000016</v>
      </c>
      <c r="F235">
        <v>1107.7384400000001</v>
      </c>
      <c r="G235">
        <v>1333.8794499999999</v>
      </c>
      <c r="H235">
        <v>736.44263000000001</v>
      </c>
      <c r="I235">
        <v>658.07983000000002</v>
      </c>
      <c r="J235">
        <v>884.85055</v>
      </c>
      <c r="K235">
        <v>132.04214999999999</v>
      </c>
      <c r="L235">
        <v>68.934129999999996</v>
      </c>
      <c r="M235">
        <v>136.1</v>
      </c>
      <c r="N235">
        <v>1089.2687800000001</v>
      </c>
      <c r="U235" s="221" t="s">
        <v>72</v>
      </c>
      <c r="V235">
        <v>227.34888000000001</v>
      </c>
      <c r="W235">
        <v>252.78747999999999</v>
      </c>
      <c r="X235">
        <v>491.27226000000002</v>
      </c>
      <c r="Y235">
        <v>202.97761</v>
      </c>
      <c r="Z235">
        <v>180.05287000000001</v>
      </c>
      <c r="AA235">
        <v>302.16410000000002</v>
      </c>
      <c r="AB235">
        <v>4</v>
      </c>
      <c r="AC235">
        <v>248.51146</v>
      </c>
      <c r="AD235">
        <v>137.65333000000001</v>
      </c>
      <c r="AE235">
        <v>0</v>
      </c>
    </row>
    <row r="236" spans="1:31">
      <c r="A236" t="s">
        <v>69</v>
      </c>
      <c r="B236" s="216" t="str">
        <f t="shared" si="3"/>
        <v>Feb-22</v>
      </c>
      <c r="C236" s="217">
        <v>44593</v>
      </c>
      <c r="D236">
        <v>6948.8731899999984</v>
      </c>
      <c r="E236">
        <v>811.64</v>
      </c>
      <c r="F236">
        <v>1107.8491200000001</v>
      </c>
      <c r="G236">
        <v>1337.8261199999999</v>
      </c>
      <c r="H236">
        <v>732.76130000000001</v>
      </c>
      <c r="I236">
        <v>659.73316</v>
      </c>
      <c r="J236">
        <v>881.51721999999995</v>
      </c>
      <c r="K236">
        <v>130.98882</v>
      </c>
      <c r="L236">
        <v>68.134129999999999</v>
      </c>
      <c r="M236">
        <v>136.26121000000001</v>
      </c>
      <c r="N236">
        <v>1082.16211</v>
      </c>
      <c r="U236" s="221" t="s">
        <v>73</v>
      </c>
      <c r="V236">
        <v>2</v>
      </c>
      <c r="W236">
        <v>237.06</v>
      </c>
      <c r="X236">
        <v>52.773299999999999</v>
      </c>
      <c r="Y236">
        <v>205.64</v>
      </c>
      <c r="Z236">
        <v>127.93333</v>
      </c>
      <c r="AA236">
        <v>185.4</v>
      </c>
      <c r="AB236">
        <v>12.2</v>
      </c>
      <c r="AC236">
        <v>0</v>
      </c>
      <c r="AD236">
        <v>2.8</v>
      </c>
      <c r="AE236">
        <v>0</v>
      </c>
    </row>
    <row r="237" spans="1:31">
      <c r="A237" t="s">
        <v>69</v>
      </c>
      <c r="B237" s="216" t="str">
        <f t="shared" si="3"/>
        <v>Mar-22</v>
      </c>
      <c r="C237" s="217">
        <v>44621</v>
      </c>
      <c r="D237">
        <v>6941.1501400000006</v>
      </c>
      <c r="E237">
        <v>814.28458000000001</v>
      </c>
      <c r="F237">
        <v>1109.74245</v>
      </c>
      <c r="G237">
        <v>1330.99279</v>
      </c>
      <c r="H237">
        <v>726.63944000000004</v>
      </c>
      <c r="I237">
        <v>661.63049999999998</v>
      </c>
      <c r="J237">
        <v>880.73055999999997</v>
      </c>
      <c r="K237">
        <v>131.07575</v>
      </c>
      <c r="L237">
        <v>66.94426</v>
      </c>
      <c r="M237">
        <v>138.8477</v>
      </c>
      <c r="N237">
        <v>1080.2621099999999</v>
      </c>
      <c r="U237" s="221" t="s">
        <v>74</v>
      </c>
      <c r="V237">
        <v>449.58303000000001</v>
      </c>
      <c r="W237">
        <v>738.51012000000003</v>
      </c>
      <c r="X237">
        <v>717.79348000000005</v>
      </c>
      <c r="Y237">
        <v>368.95614</v>
      </c>
      <c r="Z237">
        <v>335.28926000000001</v>
      </c>
      <c r="AA237">
        <v>374.35199</v>
      </c>
      <c r="AB237">
        <v>68.410939999999997</v>
      </c>
      <c r="AC237">
        <v>7.5</v>
      </c>
      <c r="AD237">
        <v>62.52666</v>
      </c>
      <c r="AE237">
        <v>1</v>
      </c>
    </row>
    <row r="238" spans="1:31">
      <c r="A238" t="s">
        <v>69</v>
      </c>
      <c r="B238" s="216" t="str">
        <f t="shared" si="3"/>
        <v>Apr-22</v>
      </c>
      <c r="C238" s="217">
        <v>44652</v>
      </c>
      <c r="D238">
        <v>6877.3347900000008</v>
      </c>
      <c r="E238">
        <v>795.38484000000005</v>
      </c>
      <c r="F238">
        <v>1100.9227100000001</v>
      </c>
      <c r="G238">
        <v>1334.1693299999999</v>
      </c>
      <c r="H238">
        <v>714.28611000000001</v>
      </c>
      <c r="I238">
        <v>656.44289000000003</v>
      </c>
      <c r="J238">
        <v>869.28335000000004</v>
      </c>
      <c r="K238">
        <v>129.09575000000001</v>
      </c>
      <c r="L238">
        <v>66.644260000000003</v>
      </c>
      <c r="M238">
        <v>139.3981</v>
      </c>
      <c r="N238">
        <v>1071.7074500000001</v>
      </c>
      <c r="U238" s="221" t="s">
        <v>75</v>
      </c>
      <c r="V238">
        <v>2353.46785</v>
      </c>
      <c r="W238">
        <v>2991.5377600000002</v>
      </c>
      <c r="X238">
        <v>2155.5009599999998</v>
      </c>
      <c r="Y238">
        <v>2076.32618</v>
      </c>
      <c r="Z238">
        <v>1711.5198800000001</v>
      </c>
      <c r="AA238">
        <v>2125.7478900000001</v>
      </c>
      <c r="AB238">
        <v>559.95050000000003</v>
      </c>
      <c r="AC238">
        <v>996.97640999999999</v>
      </c>
      <c r="AD238">
        <v>2579.41381</v>
      </c>
      <c r="AE238">
        <v>544.26724000000002</v>
      </c>
    </row>
    <row r="239" spans="1:31">
      <c r="A239" t="s">
        <v>71</v>
      </c>
      <c r="B239" s="216" t="str">
        <f t="shared" si="3"/>
        <v>May-21</v>
      </c>
      <c r="C239" s="217">
        <v>44317</v>
      </c>
      <c r="D239">
        <v>18721.13695</v>
      </c>
      <c r="E239">
        <v>2668.241</v>
      </c>
      <c r="F239">
        <v>3497.78665</v>
      </c>
      <c r="G239">
        <v>2821.2781799999998</v>
      </c>
      <c r="H239">
        <v>2119.8499200000001</v>
      </c>
      <c r="I239">
        <v>2063.27493</v>
      </c>
      <c r="J239">
        <v>2414.1624999999999</v>
      </c>
      <c r="K239">
        <v>384.57202000000001</v>
      </c>
      <c r="L239">
        <v>340.70875999999998</v>
      </c>
      <c r="M239">
        <v>368.82612999999998</v>
      </c>
      <c r="N239">
        <v>2042.43686</v>
      </c>
      <c r="U239" s="221" t="s">
        <v>76</v>
      </c>
      <c r="V239">
        <v>993.12669000000005</v>
      </c>
      <c r="W239">
        <v>1274.30861</v>
      </c>
      <c r="X239">
        <v>1059.1883399999999</v>
      </c>
      <c r="Y239">
        <v>1112.84799</v>
      </c>
      <c r="Z239">
        <v>1008.1492</v>
      </c>
      <c r="AA239">
        <v>1100.8631399999999</v>
      </c>
      <c r="AB239">
        <v>165.76003</v>
      </c>
      <c r="AC239">
        <v>0.66666999999999998</v>
      </c>
      <c r="AD239">
        <v>344.45863000000003</v>
      </c>
      <c r="AE239">
        <v>58.626660000000001</v>
      </c>
    </row>
    <row r="240" spans="1:31">
      <c r="A240" t="s">
        <v>71</v>
      </c>
      <c r="B240" s="216" t="str">
        <f t="shared" si="3"/>
        <v>Jun-21</v>
      </c>
      <c r="C240" s="217">
        <v>44348</v>
      </c>
      <c r="D240">
        <v>18714.409160000003</v>
      </c>
      <c r="E240">
        <v>2653.66527</v>
      </c>
      <c r="F240">
        <v>3508.1293300000002</v>
      </c>
      <c r="G240">
        <v>2812.8336399999998</v>
      </c>
      <c r="H240">
        <v>2096.88996</v>
      </c>
      <c r="I240">
        <v>2096.4385400000001</v>
      </c>
      <c r="J240">
        <v>2407.0033100000001</v>
      </c>
      <c r="K240">
        <v>386.40535999999997</v>
      </c>
      <c r="L240">
        <v>346.40875999999997</v>
      </c>
      <c r="M240">
        <v>365.01279</v>
      </c>
      <c r="N240">
        <v>2041.6222</v>
      </c>
      <c r="U240" s="221" t="s">
        <v>77</v>
      </c>
      <c r="V240">
        <v>3542.8535000000002</v>
      </c>
      <c r="W240">
        <v>4908.8603199999998</v>
      </c>
      <c r="X240">
        <v>4096.5405000000001</v>
      </c>
      <c r="Y240">
        <v>3329.4427599999999</v>
      </c>
      <c r="Z240">
        <v>2697.26134</v>
      </c>
      <c r="AA240">
        <v>3463.2656299999999</v>
      </c>
      <c r="AB240">
        <v>558.20295999999996</v>
      </c>
      <c r="AC240">
        <v>61.03331</v>
      </c>
      <c r="AD240">
        <v>187.97998999999999</v>
      </c>
      <c r="AE240">
        <v>163.10668999999999</v>
      </c>
    </row>
    <row r="241" spans="1:34">
      <c r="A241" t="s">
        <v>71</v>
      </c>
      <c r="B241" s="216" t="str">
        <f t="shared" si="3"/>
        <v>Jul-21</v>
      </c>
      <c r="C241" s="217">
        <v>44378</v>
      </c>
      <c r="D241">
        <v>18651.635140000002</v>
      </c>
      <c r="E241">
        <v>2651.7436699999998</v>
      </c>
      <c r="F241">
        <v>3474.2829499999998</v>
      </c>
      <c r="G241">
        <v>2826.5602899999999</v>
      </c>
      <c r="H241">
        <v>2078.66329</v>
      </c>
      <c r="I241">
        <v>2102.74161</v>
      </c>
      <c r="J241">
        <v>2399.8033</v>
      </c>
      <c r="K241">
        <v>385.15548999999999</v>
      </c>
      <c r="L241">
        <v>343.03541000000001</v>
      </c>
      <c r="M241">
        <v>359.95945999999998</v>
      </c>
      <c r="N241">
        <v>2029.68967</v>
      </c>
      <c r="U241" s="221" t="s">
        <v>78</v>
      </c>
      <c r="V241">
        <v>1011.1982400000001</v>
      </c>
      <c r="W241">
        <v>1401.1261999999999</v>
      </c>
      <c r="X241">
        <v>1389.72874</v>
      </c>
      <c r="Y241">
        <v>999.02691000000004</v>
      </c>
      <c r="Z241">
        <v>686.91537000000005</v>
      </c>
      <c r="AA241">
        <v>1044.5429300000001</v>
      </c>
      <c r="AB241">
        <v>33.357250000000001</v>
      </c>
      <c r="AC241">
        <v>89.762500000000003</v>
      </c>
      <c r="AD241">
        <v>533.15121999999997</v>
      </c>
      <c r="AE241">
        <v>1</v>
      </c>
    </row>
    <row r="242" spans="1:34">
      <c r="A242" t="s">
        <v>71</v>
      </c>
      <c r="B242" s="216" t="str">
        <f t="shared" si="3"/>
        <v>Aug-21</v>
      </c>
      <c r="C242" s="217">
        <v>44409</v>
      </c>
      <c r="D242">
        <v>18391.026329999997</v>
      </c>
      <c r="E242">
        <v>2639.63699</v>
      </c>
      <c r="F242">
        <v>3449.0645300000001</v>
      </c>
      <c r="G242">
        <v>2782.2112099999999</v>
      </c>
      <c r="H242">
        <v>2066.0374400000001</v>
      </c>
      <c r="I242">
        <v>2083.8847900000001</v>
      </c>
      <c r="J242">
        <v>2383.7166400000001</v>
      </c>
      <c r="K242">
        <v>382.04136</v>
      </c>
      <c r="L242">
        <v>337.91061000000002</v>
      </c>
      <c r="M242">
        <v>250.93946</v>
      </c>
      <c r="N242">
        <v>2015.5833</v>
      </c>
      <c r="U242" s="7" t="s">
        <v>102</v>
      </c>
      <c r="V242">
        <v>12264.641869999999</v>
      </c>
      <c r="W242">
        <v>16225.950830000002</v>
      </c>
      <c r="X242">
        <v>13773.067010000001</v>
      </c>
      <c r="Y242">
        <v>11066.722610000001</v>
      </c>
      <c r="Z242">
        <v>9417.0435399999988</v>
      </c>
      <c r="AA242">
        <v>11728.973409999999</v>
      </c>
      <c r="AB242">
        <v>1994.0882399999998</v>
      </c>
      <c r="AC242">
        <v>1991.51486</v>
      </c>
      <c r="AD242">
        <v>1608.2447400000001</v>
      </c>
      <c r="AE242">
        <v>3868.8881299999998</v>
      </c>
    </row>
    <row r="243" spans="1:34">
      <c r="A243" t="s">
        <v>71</v>
      </c>
      <c r="B243" s="216" t="str">
        <f t="shared" si="3"/>
        <v>Sep-21</v>
      </c>
      <c r="C243" s="217">
        <v>44440</v>
      </c>
      <c r="D243">
        <v>18349.398680000002</v>
      </c>
      <c r="E243">
        <v>2641.9849899999999</v>
      </c>
      <c r="F243">
        <v>3434.71279</v>
      </c>
      <c r="G243">
        <v>2788.7437300000001</v>
      </c>
      <c r="H243">
        <v>2055.0878400000001</v>
      </c>
      <c r="I243">
        <v>2092.1229600000001</v>
      </c>
      <c r="J243">
        <v>2369.4102499999999</v>
      </c>
      <c r="K243">
        <v>385.37203</v>
      </c>
      <c r="L243">
        <v>329.21194000000003</v>
      </c>
      <c r="M243">
        <v>243.78668999999999</v>
      </c>
      <c r="N243">
        <v>2008.9654599999999</v>
      </c>
      <c r="U243" s="221" t="s">
        <v>71</v>
      </c>
      <c r="V243">
        <v>2651.7436699999998</v>
      </c>
      <c r="W243">
        <v>3474.2829499999998</v>
      </c>
      <c r="X243">
        <v>2826.5602899999999</v>
      </c>
      <c r="Y243">
        <v>2078.66329</v>
      </c>
      <c r="Z243">
        <v>2102.74161</v>
      </c>
      <c r="AA243">
        <v>2399.8033</v>
      </c>
      <c r="AB243">
        <v>385.15548999999999</v>
      </c>
      <c r="AC243">
        <v>343.03541000000001</v>
      </c>
      <c r="AD243">
        <v>359.95945999999998</v>
      </c>
      <c r="AE243">
        <v>2029.68967</v>
      </c>
    </row>
    <row r="244" spans="1:34">
      <c r="A244" t="s">
        <v>71</v>
      </c>
      <c r="B244" s="216" t="str">
        <f t="shared" si="3"/>
        <v>Oct-21</v>
      </c>
      <c r="C244" s="217">
        <v>44470</v>
      </c>
      <c r="D244">
        <v>18240.25433</v>
      </c>
      <c r="E244">
        <v>2633.3858399999999</v>
      </c>
      <c r="F244">
        <v>3432.5015800000001</v>
      </c>
      <c r="G244">
        <v>2742.8968300000001</v>
      </c>
      <c r="H244">
        <v>2054.7552900000001</v>
      </c>
      <c r="I244">
        <v>2068.1721499999999</v>
      </c>
      <c r="J244">
        <v>2360.1062700000002</v>
      </c>
      <c r="K244">
        <v>374.9787</v>
      </c>
      <c r="L244">
        <v>328.25193999999999</v>
      </c>
      <c r="M244">
        <v>234.90669</v>
      </c>
      <c r="N244">
        <v>2010.2990400000001</v>
      </c>
      <c r="U244" s="221" t="s">
        <v>69</v>
      </c>
      <c r="V244">
        <v>768.12858000000006</v>
      </c>
      <c r="W244">
        <v>1052.0419199999999</v>
      </c>
      <c r="X244">
        <v>1236.69181</v>
      </c>
      <c r="Y244">
        <v>713.89598000000001</v>
      </c>
      <c r="Z244">
        <v>622.78305999999998</v>
      </c>
      <c r="AA244">
        <v>843.07695000000001</v>
      </c>
      <c r="AB244">
        <v>131.48561000000001</v>
      </c>
      <c r="AC244">
        <v>64.854140000000001</v>
      </c>
      <c r="AD244">
        <v>121.76971</v>
      </c>
      <c r="AE244">
        <v>1008.71611</v>
      </c>
    </row>
    <row r="245" spans="1:34">
      <c r="A245" t="s">
        <v>71</v>
      </c>
      <c r="B245" s="216" t="str">
        <f t="shared" si="3"/>
        <v>Nov-21</v>
      </c>
      <c r="C245" s="217">
        <v>44501</v>
      </c>
      <c r="D245">
        <v>18359.255160000001</v>
      </c>
      <c r="E245">
        <v>2636.2104199999999</v>
      </c>
      <c r="F245">
        <v>3444.4290299999998</v>
      </c>
      <c r="G245">
        <v>2744.0552400000001</v>
      </c>
      <c r="H245">
        <v>2056.1046299999998</v>
      </c>
      <c r="I245">
        <v>2071.9572199999998</v>
      </c>
      <c r="J245">
        <v>2373.24253</v>
      </c>
      <c r="K245">
        <v>377.09069</v>
      </c>
      <c r="L245">
        <v>330.29194999999999</v>
      </c>
      <c r="M245">
        <v>229.54669000000001</v>
      </c>
      <c r="N245">
        <v>2096.3267599999999</v>
      </c>
      <c r="U245" s="221" t="s">
        <v>72</v>
      </c>
      <c r="V245">
        <v>222.06219999999999</v>
      </c>
      <c r="W245">
        <v>257.88747999999998</v>
      </c>
      <c r="X245">
        <v>499.0496</v>
      </c>
      <c r="Y245">
        <v>192.99760000000001</v>
      </c>
      <c r="Z245">
        <v>180.92860999999999</v>
      </c>
      <c r="AA245">
        <v>306.97611999999998</v>
      </c>
      <c r="AB245">
        <v>5</v>
      </c>
      <c r="AC245">
        <v>347.96292</v>
      </c>
      <c r="AD245">
        <v>147.35333</v>
      </c>
      <c r="AE245">
        <v>0</v>
      </c>
    </row>
    <row r="246" spans="1:34">
      <c r="A246" t="s">
        <v>71</v>
      </c>
      <c r="B246" s="216" t="str">
        <f t="shared" si="3"/>
        <v>Dec-21</v>
      </c>
      <c r="C246" s="217">
        <v>44531</v>
      </c>
      <c r="D246">
        <v>18422.564629999997</v>
      </c>
      <c r="E246">
        <v>2602.13706</v>
      </c>
      <c r="F246">
        <v>3454.9576900000002</v>
      </c>
      <c r="G246">
        <v>2832.8210800000002</v>
      </c>
      <c r="H246">
        <v>2047.55</v>
      </c>
      <c r="I246">
        <v>2068.3038900000001</v>
      </c>
      <c r="J246">
        <v>2377.9246600000001</v>
      </c>
      <c r="K246">
        <v>373.77069</v>
      </c>
      <c r="L246">
        <v>339.89274999999998</v>
      </c>
      <c r="M246">
        <v>227.84641999999999</v>
      </c>
      <c r="N246">
        <v>2097.3603899999998</v>
      </c>
      <c r="U246" s="221" t="s">
        <v>73</v>
      </c>
      <c r="V246">
        <v>1</v>
      </c>
      <c r="W246">
        <v>50.3</v>
      </c>
      <c r="X246">
        <v>25.67998</v>
      </c>
      <c r="Y246">
        <v>22</v>
      </c>
      <c r="Z246">
        <v>1</v>
      </c>
      <c r="AA246">
        <v>0</v>
      </c>
      <c r="AB246">
        <v>0</v>
      </c>
      <c r="AC246">
        <v>0</v>
      </c>
      <c r="AD246">
        <v>3.1333199999999999</v>
      </c>
      <c r="AE246">
        <v>0</v>
      </c>
    </row>
    <row r="247" spans="1:34">
      <c r="A247" t="s">
        <v>71</v>
      </c>
      <c r="B247" s="216" t="str">
        <f t="shared" si="3"/>
        <v>Jan-22</v>
      </c>
      <c r="C247" s="217">
        <v>44562</v>
      </c>
      <c r="D247">
        <v>18540.448440000015</v>
      </c>
      <c r="E247">
        <v>2629.552440000014</v>
      </c>
      <c r="F247">
        <v>3514.2150099999999</v>
      </c>
      <c r="G247">
        <v>2807.8136599999998</v>
      </c>
      <c r="H247">
        <v>2047.1934000000001</v>
      </c>
      <c r="I247">
        <v>2087.5228099999999</v>
      </c>
      <c r="J247">
        <v>2412.3779800000002</v>
      </c>
      <c r="K247">
        <v>379.54908</v>
      </c>
      <c r="L247">
        <v>333.68608999999998</v>
      </c>
      <c r="M247">
        <v>228.86</v>
      </c>
      <c r="N247">
        <v>2099.6779700000002</v>
      </c>
      <c r="U247" s="221" t="s">
        <v>74</v>
      </c>
      <c r="V247">
        <v>428.21967999999998</v>
      </c>
      <c r="W247">
        <v>623.00207999999998</v>
      </c>
      <c r="X247">
        <v>451.48867999999999</v>
      </c>
      <c r="Y247">
        <v>332.43747000000002</v>
      </c>
      <c r="Z247">
        <v>299.30763999999999</v>
      </c>
      <c r="AA247">
        <v>342.35734000000002</v>
      </c>
      <c r="AB247">
        <v>70.989329999999995</v>
      </c>
      <c r="AC247">
        <v>10.5</v>
      </c>
      <c r="AD247">
        <v>48.206659999999999</v>
      </c>
      <c r="AE247">
        <v>2</v>
      </c>
    </row>
    <row r="248" spans="1:34">
      <c r="A248" t="s">
        <v>71</v>
      </c>
      <c r="B248" s="216" t="str">
        <f t="shared" si="3"/>
        <v>Feb-22</v>
      </c>
      <c r="C248" s="217">
        <v>44593</v>
      </c>
      <c r="D248">
        <v>18708.924910000002</v>
      </c>
      <c r="E248">
        <v>2622.4</v>
      </c>
      <c r="F248">
        <v>3533.30836</v>
      </c>
      <c r="G248">
        <v>2831.0851200000002</v>
      </c>
      <c r="H248">
        <v>2084.1475399999999</v>
      </c>
      <c r="I248">
        <v>2108.1945599999999</v>
      </c>
      <c r="J248">
        <v>2423.8011999999999</v>
      </c>
      <c r="K248">
        <v>385.73975000000002</v>
      </c>
      <c r="L248">
        <v>339.78609</v>
      </c>
      <c r="M248">
        <v>228.22641999999999</v>
      </c>
      <c r="N248">
        <v>2152.23587</v>
      </c>
      <c r="U248" s="221" t="s">
        <v>75</v>
      </c>
      <c r="V248">
        <v>2484.9709600000001</v>
      </c>
      <c r="W248">
        <v>3161.0831499999999</v>
      </c>
      <c r="X248">
        <v>2404.7612300000001</v>
      </c>
      <c r="Y248">
        <v>2186.9916800000001</v>
      </c>
      <c r="Z248">
        <v>1857.9631199999999</v>
      </c>
      <c r="AA248">
        <v>2317.9945699999998</v>
      </c>
      <c r="AB248">
        <v>631.26251999999999</v>
      </c>
      <c r="AC248">
        <v>1055.35241</v>
      </c>
      <c r="AD248">
        <v>506.45863000000003</v>
      </c>
      <c r="AE248">
        <v>557.78903000000003</v>
      </c>
    </row>
    <row r="249" spans="1:34">
      <c r="A249" t="s">
        <v>71</v>
      </c>
      <c r="B249" s="216" t="str">
        <f t="shared" si="3"/>
        <v>Mar-22</v>
      </c>
      <c r="C249" s="217">
        <v>44621</v>
      </c>
      <c r="D249">
        <v>18821.288780000017</v>
      </c>
      <c r="E249">
        <v>2638.6039000000146</v>
      </c>
      <c r="F249">
        <v>3543.9283500000001</v>
      </c>
      <c r="G249">
        <v>2852.9267399999999</v>
      </c>
      <c r="H249">
        <v>2087.94139</v>
      </c>
      <c r="I249">
        <v>2127.78973</v>
      </c>
      <c r="J249">
        <v>2467.5278600000001</v>
      </c>
      <c r="K249">
        <v>397.16055</v>
      </c>
      <c r="L249">
        <v>338.49941999999999</v>
      </c>
      <c r="M249">
        <v>232.60642999999999</v>
      </c>
      <c r="N249">
        <v>2134.3044100000002</v>
      </c>
      <c r="U249" s="221" t="s">
        <v>76</v>
      </c>
      <c r="V249">
        <v>991.61416999999994</v>
      </c>
      <c r="W249">
        <v>1230.43921</v>
      </c>
      <c r="X249">
        <v>1125.2380900000001</v>
      </c>
      <c r="Y249">
        <v>1109.27126</v>
      </c>
      <c r="Z249">
        <v>922.24311</v>
      </c>
      <c r="AA249">
        <v>1025.1186</v>
      </c>
      <c r="AB249">
        <v>171.44668999999999</v>
      </c>
      <c r="AC249">
        <v>0.66666999999999998</v>
      </c>
      <c r="AD249">
        <v>61.891970000000001</v>
      </c>
      <c r="AE249">
        <v>62.973320000000001</v>
      </c>
    </row>
    <row r="250" spans="1:34">
      <c r="A250" t="s">
        <v>71</v>
      </c>
      <c r="B250" s="216" t="str">
        <f t="shared" si="3"/>
        <v>Apr-22</v>
      </c>
      <c r="C250" s="217">
        <v>44652</v>
      </c>
      <c r="D250">
        <v>18762.16647</v>
      </c>
      <c r="E250">
        <v>2631.7542800000001</v>
      </c>
      <c r="F250">
        <v>3562.0550499999999</v>
      </c>
      <c r="G250">
        <v>2837.9277999999999</v>
      </c>
      <c r="H250">
        <v>2072.2885999999999</v>
      </c>
      <c r="I250">
        <v>2126.8298300000001</v>
      </c>
      <c r="J250">
        <v>2469.69425</v>
      </c>
      <c r="K250">
        <v>391.69628</v>
      </c>
      <c r="L250">
        <v>335.73408000000001</v>
      </c>
      <c r="M250">
        <v>229.27977000000001</v>
      </c>
      <c r="N250">
        <v>2104.9065300000002</v>
      </c>
      <c r="U250" s="221" t="s">
        <v>77</v>
      </c>
      <c r="V250">
        <v>3795.9516600000002</v>
      </c>
      <c r="W250">
        <v>5149.4486100000004</v>
      </c>
      <c r="X250">
        <v>4031.0121399999998</v>
      </c>
      <c r="Y250">
        <v>3541.2085000000002</v>
      </c>
      <c r="Z250">
        <v>2785.7547300000001</v>
      </c>
      <c r="AA250">
        <v>3556.11814</v>
      </c>
      <c r="AB250">
        <v>564.48506999999995</v>
      </c>
      <c r="AC250">
        <v>73.293310000000005</v>
      </c>
      <c r="AD250">
        <v>192.42666</v>
      </c>
      <c r="AE250">
        <v>206.72</v>
      </c>
    </row>
    <row r="251" spans="1:34">
      <c r="A251" t="s">
        <v>72</v>
      </c>
      <c r="B251" s="216" t="str">
        <f t="shared" si="3"/>
        <v>May-21</v>
      </c>
      <c r="C251" s="217">
        <v>44317</v>
      </c>
      <c r="D251">
        <v>2156.7045199999993</v>
      </c>
      <c r="E251">
        <v>221.94220999999999</v>
      </c>
      <c r="F251">
        <v>259.35413999999997</v>
      </c>
      <c r="G251">
        <v>495.02292999999997</v>
      </c>
      <c r="H251">
        <v>204.99760000000001</v>
      </c>
      <c r="I251">
        <v>180.40194</v>
      </c>
      <c r="J251">
        <v>304.28944999999999</v>
      </c>
      <c r="K251">
        <v>5</v>
      </c>
      <c r="L251">
        <v>340.34291999999999</v>
      </c>
      <c r="M251">
        <v>145.35333</v>
      </c>
      <c r="N251">
        <v>0</v>
      </c>
      <c r="U251" s="221" t="s">
        <v>78</v>
      </c>
      <c r="V251">
        <v>920.95095000000003</v>
      </c>
      <c r="W251">
        <v>1227.46543</v>
      </c>
      <c r="X251">
        <v>1172.58519</v>
      </c>
      <c r="Y251">
        <v>889.25683000000004</v>
      </c>
      <c r="Z251">
        <v>644.32165999999995</v>
      </c>
      <c r="AA251">
        <v>937.52838999999994</v>
      </c>
      <c r="AB251">
        <v>34.263530000000003</v>
      </c>
      <c r="AC251">
        <v>95.85</v>
      </c>
      <c r="AD251">
        <v>167.04499999999999</v>
      </c>
      <c r="AE251">
        <v>1</v>
      </c>
    </row>
    <row r="252" spans="1:34">
      <c r="A252" t="s">
        <v>72</v>
      </c>
      <c r="B252" s="216" t="str">
        <f t="shared" si="3"/>
        <v>Jun-21</v>
      </c>
      <c r="C252" s="217">
        <v>44348</v>
      </c>
      <c r="D252">
        <v>2156.1778599999998</v>
      </c>
      <c r="E252">
        <v>222.72219999999999</v>
      </c>
      <c r="F252">
        <v>259.04748000000001</v>
      </c>
      <c r="G252">
        <v>494.84960000000001</v>
      </c>
      <c r="H252">
        <v>202.99760000000001</v>
      </c>
      <c r="I252">
        <v>177.92860999999999</v>
      </c>
      <c r="J252">
        <v>307.01612</v>
      </c>
      <c r="K252">
        <v>5</v>
      </c>
      <c r="L252">
        <v>340.26292000000001</v>
      </c>
      <c r="M252">
        <v>146.35333</v>
      </c>
      <c r="N252">
        <v>0</v>
      </c>
      <c r="U252" s="7" t="s">
        <v>103</v>
      </c>
      <c r="V252">
        <v>12413.304690000001</v>
      </c>
      <c r="W252">
        <v>16773.84578</v>
      </c>
      <c r="X252">
        <v>13975.847019999999</v>
      </c>
      <c r="Y252">
        <v>10907.489389999999</v>
      </c>
      <c r="Z252">
        <v>9677.4996100000008</v>
      </c>
      <c r="AA252">
        <v>11670.374519999999</v>
      </c>
      <c r="AB252">
        <v>2017.7955000000002</v>
      </c>
      <c r="AC252">
        <v>2154.6088399999999</v>
      </c>
      <c r="AD252">
        <v>1428.4732300000003</v>
      </c>
      <c r="AE252">
        <v>3945.3177499999997</v>
      </c>
      <c r="AF252">
        <v>376.51674000000003</v>
      </c>
      <c r="AG252">
        <v>970.77</v>
      </c>
      <c r="AH252">
        <v>0</v>
      </c>
    </row>
    <row r="253" spans="1:34">
      <c r="A253" t="s">
        <v>72</v>
      </c>
      <c r="B253" s="216" t="str">
        <f t="shared" si="3"/>
        <v>Jul-21</v>
      </c>
      <c r="C253" s="217">
        <v>44378</v>
      </c>
      <c r="D253">
        <v>2160.2178599999997</v>
      </c>
      <c r="E253">
        <v>222.06219999999999</v>
      </c>
      <c r="F253">
        <v>257.88747999999998</v>
      </c>
      <c r="G253">
        <v>499.0496</v>
      </c>
      <c r="H253">
        <v>192.99760000000001</v>
      </c>
      <c r="I253">
        <v>180.92860999999999</v>
      </c>
      <c r="J253">
        <v>306.97611999999998</v>
      </c>
      <c r="K253">
        <v>5</v>
      </c>
      <c r="L253">
        <v>347.96292</v>
      </c>
      <c r="M253">
        <v>147.35333</v>
      </c>
      <c r="N253">
        <v>0</v>
      </c>
      <c r="U253" s="221" t="s">
        <v>71</v>
      </c>
      <c r="V253">
        <v>2665.6332699999998</v>
      </c>
      <c r="W253">
        <v>3633.4489199999998</v>
      </c>
      <c r="X253">
        <v>2810.96461</v>
      </c>
      <c r="Y253">
        <v>2063.7513199999999</v>
      </c>
      <c r="Z253">
        <v>2200.2020600000001</v>
      </c>
      <c r="AA253">
        <v>2461.3477800000001</v>
      </c>
      <c r="AB253">
        <v>391.21256</v>
      </c>
      <c r="AC253">
        <v>327.68076000000002</v>
      </c>
      <c r="AD253">
        <v>228.88643999999999</v>
      </c>
      <c r="AE253">
        <v>2005.366</v>
      </c>
      <c r="AF253">
        <v>2.5</v>
      </c>
      <c r="AG253">
        <v>0</v>
      </c>
      <c r="AH253">
        <v>0</v>
      </c>
    </row>
    <row r="254" spans="1:34">
      <c r="A254" t="s">
        <v>72</v>
      </c>
      <c r="B254" s="216" t="str">
        <f t="shared" si="3"/>
        <v>Aug-21</v>
      </c>
      <c r="C254" s="217">
        <v>44409</v>
      </c>
      <c r="D254">
        <v>2166.8911900000003</v>
      </c>
      <c r="E254">
        <v>221.82220000000001</v>
      </c>
      <c r="F254">
        <v>257.89413999999999</v>
      </c>
      <c r="G254">
        <v>502.77627000000001</v>
      </c>
      <c r="H254">
        <v>190.99760000000001</v>
      </c>
      <c r="I254">
        <v>180.72861</v>
      </c>
      <c r="J254">
        <v>309.49612000000002</v>
      </c>
      <c r="K254">
        <v>5</v>
      </c>
      <c r="L254">
        <v>351.22291999999999</v>
      </c>
      <c r="M254">
        <v>146.95332999999999</v>
      </c>
      <c r="N254">
        <v>0</v>
      </c>
      <c r="U254" s="221" t="s">
        <v>69</v>
      </c>
      <c r="V254">
        <v>811.94615999999996</v>
      </c>
      <c r="W254">
        <v>1107.71444</v>
      </c>
      <c r="X254">
        <v>1326.8871799999999</v>
      </c>
      <c r="Y254">
        <v>704.36504000000002</v>
      </c>
      <c r="Z254">
        <v>652.62743999999998</v>
      </c>
      <c r="AA254">
        <v>847.79669999999999</v>
      </c>
      <c r="AB254">
        <v>128.98241999999999</v>
      </c>
      <c r="AC254">
        <v>66.44426</v>
      </c>
      <c r="AD254">
        <v>136.58931000000001</v>
      </c>
      <c r="AE254">
        <v>1085.5720899999999</v>
      </c>
      <c r="AF254">
        <v>4.8</v>
      </c>
      <c r="AG254">
        <v>0</v>
      </c>
      <c r="AH254">
        <v>0</v>
      </c>
    </row>
    <row r="255" spans="1:34">
      <c r="A255" t="s">
        <v>72</v>
      </c>
      <c r="B255" s="216" t="str">
        <f t="shared" si="3"/>
        <v>Sep-21</v>
      </c>
      <c r="C255" s="217">
        <v>44440</v>
      </c>
      <c r="D255">
        <v>2201.8231900000001</v>
      </c>
      <c r="E255">
        <v>220.44887</v>
      </c>
      <c r="F255">
        <v>264.28746999999998</v>
      </c>
      <c r="G255">
        <v>511.18293</v>
      </c>
      <c r="H255">
        <v>196.50426999999999</v>
      </c>
      <c r="I255">
        <v>184.82861</v>
      </c>
      <c r="J255">
        <v>310.33611999999999</v>
      </c>
      <c r="K255">
        <v>5</v>
      </c>
      <c r="L255">
        <v>359.28158999999999</v>
      </c>
      <c r="M255">
        <v>149.95332999999999</v>
      </c>
      <c r="N255">
        <v>0</v>
      </c>
      <c r="U255" s="221" t="s">
        <v>72</v>
      </c>
      <c r="V255">
        <v>226.95553000000001</v>
      </c>
      <c r="W255">
        <v>255.26052999999999</v>
      </c>
      <c r="X255">
        <v>533.58721000000003</v>
      </c>
      <c r="Y255">
        <v>194.49493000000001</v>
      </c>
      <c r="Z255">
        <v>189.55528000000001</v>
      </c>
      <c r="AA255">
        <v>320.66946000000002</v>
      </c>
      <c r="AB255">
        <v>4.6133300000000004</v>
      </c>
      <c r="AC255">
        <v>387.13558</v>
      </c>
      <c r="AD255">
        <v>157.02932000000001</v>
      </c>
      <c r="AE255">
        <v>0</v>
      </c>
      <c r="AF255">
        <v>0</v>
      </c>
      <c r="AG255">
        <v>0</v>
      </c>
      <c r="AH255">
        <v>0</v>
      </c>
    </row>
    <row r="256" spans="1:34">
      <c r="A256" t="s">
        <v>72</v>
      </c>
      <c r="B256" s="216" t="str">
        <f t="shared" si="3"/>
        <v>Oct-21</v>
      </c>
      <c r="C256" s="217">
        <v>44470</v>
      </c>
      <c r="D256">
        <v>2218.1026400000001</v>
      </c>
      <c r="E256">
        <v>225.09553</v>
      </c>
      <c r="F256">
        <v>267.32080000000002</v>
      </c>
      <c r="G256">
        <v>510.86905999999999</v>
      </c>
      <c r="H256">
        <v>192.91093000000001</v>
      </c>
      <c r="I256">
        <v>191.49528000000001</v>
      </c>
      <c r="J256">
        <v>315.57612</v>
      </c>
      <c r="K256">
        <v>4</v>
      </c>
      <c r="L256">
        <v>360.08159000000001</v>
      </c>
      <c r="M256">
        <v>150.75333000000001</v>
      </c>
      <c r="N256">
        <v>0</v>
      </c>
      <c r="U256" s="221" t="s">
        <v>73</v>
      </c>
      <c r="V256">
        <v>9.5</v>
      </c>
      <c r="W256">
        <v>23.5</v>
      </c>
      <c r="X256">
        <v>33.566650000000003</v>
      </c>
      <c r="Y256">
        <v>68.733339999999998</v>
      </c>
      <c r="Z256">
        <v>1</v>
      </c>
      <c r="AA256">
        <v>0</v>
      </c>
      <c r="AB256">
        <v>0</v>
      </c>
      <c r="AC256">
        <v>0</v>
      </c>
      <c r="AD256">
        <v>3.0666500000000001</v>
      </c>
      <c r="AE256">
        <v>0</v>
      </c>
      <c r="AF256">
        <v>0</v>
      </c>
      <c r="AG256">
        <v>0</v>
      </c>
      <c r="AH256">
        <v>0</v>
      </c>
    </row>
    <row r="257" spans="1:34">
      <c r="A257" t="s">
        <v>72</v>
      </c>
      <c r="B257" s="216" t="str">
        <f t="shared" si="3"/>
        <v>Nov-21</v>
      </c>
      <c r="C257" s="217">
        <v>44501</v>
      </c>
      <c r="D257">
        <v>2221.6133</v>
      </c>
      <c r="E257">
        <v>224.70219</v>
      </c>
      <c r="F257">
        <v>250.1208</v>
      </c>
      <c r="G257">
        <v>520.62639999999999</v>
      </c>
      <c r="H257">
        <v>193.40425999999999</v>
      </c>
      <c r="I257">
        <v>194.49528000000001</v>
      </c>
      <c r="J257">
        <v>320.08278999999999</v>
      </c>
      <c r="K257">
        <v>4</v>
      </c>
      <c r="L257">
        <v>362.82825000000003</v>
      </c>
      <c r="M257">
        <v>151.35333</v>
      </c>
      <c r="N257">
        <v>0</v>
      </c>
      <c r="U257" s="221" t="s">
        <v>74</v>
      </c>
      <c r="V257">
        <v>471.20884999999998</v>
      </c>
      <c r="W257">
        <v>681.01435000000004</v>
      </c>
      <c r="X257">
        <v>483.92189000000002</v>
      </c>
      <c r="Y257">
        <v>340.46413000000001</v>
      </c>
      <c r="Z257">
        <v>338.78559999999999</v>
      </c>
      <c r="AA257">
        <v>352.89384999999999</v>
      </c>
      <c r="AB257">
        <v>72.988</v>
      </c>
      <c r="AC257">
        <v>9</v>
      </c>
      <c r="AD257">
        <v>53.606659999999998</v>
      </c>
      <c r="AE257">
        <v>3</v>
      </c>
      <c r="AF257">
        <v>28.742859999999993</v>
      </c>
      <c r="AG257">
        <v>0</v>
      </c>
      <c r="AH257">
        <v>0</v>
      </c>
    </row>
    <row r="258" spans="1:34">
      <c r="A258" t="s">
        <v>72</v>
      </c>
      <c r="B258" s="216" t="str">
        <f t="shared" si="3"/>
        <v>Dec-21</v>
      </c>
      <c r="C258" s="217">
        <v>44531</v>
      </c>
      <c r="D258">
        <v>2207.1555599999997</v>
      </c>
      <c r="E258">
        <v>226.80219</v>
      </c>
      <c r="F258">
        <v>250.1208</v>
      </c>
      <c r="G258">
        <v>488.09625999999997</v>
      </c>
      <c r="H258">
        <v>192.31</v>
      </c>
      <c r="I258">
        <v>193.81528</v>
      </c>
      <c r="J258">
        <v>326.08278999999999</v>
      </c>
      <c r="K258">
        <v>4</v>
      </c>
      <c r="L258">
        <v>369.28158000000002</v>
      </c>
      <c r="M258">
        <v>156.64666</v>
      </c>
      <c r="N258">
        <v>0</v>
      </c>
      <c r="U258" s="221" t="s">
        <v>75</v>
      </c>
      <c r="V258">
        <v>2711.19058</v>
      </c>
      <c r="W258">
        <v>3403.22001</v>
      </c>
      <c r="X258">
        <v>2512.3795700000001</v>
      </c>
      <c r="Y258">
        <v>2211.55141</v>
      </c>
      <c r="Z258">
        <v>2044.10121</v>
      </c>
      <c r="AA258">
        <v>2387.0175199999999</v>
      </c>
      <c r="AB258">
        <v>658.87171000000001</v>
      </c>
      <c r="AC258">
        <v>1180.1097600000001</v>
      </c>
      <c r="AD258">
        <v>506.36266000000001</v>
      </c>
      <c r="AE258">
        <v>585.46232999999995</v>
      </c>
      <c r="AF258">
        <v>283.85188000000005</v>
      </c>
      <c r="AG258">
        <v>970.17</v>
      </c>
      <c r="AH258">
        <v>0</v>
      </c>
    </row>
    <row r="259" spans="1:34">
      <c r="A259" t="s">
        <v>72</v>
      </c>
      <c r="B259" s="216" t="str">
        <f t="shared" ref="B259:B322" si="4">TEXT(C259,"mmm-yy")</f>
        <v>Jan-22</v>
      </c>
      <c r="C259" s="217">
        <v>44562</v>
      </c>
      <c r="D259">
        <v>2257.17292</v>
      </c>
      <c r="E259">
        <v>226.6355299999999</v>
      </c>
      <c r="F259">
        <v>252.9504</v>
      </c>
      <c r="G259">
        <v>531.89306999999997</v>
      </c>
      <c r="H259">
        <v>192.31093000000001</v>
      </c>
      <c r="I259">
        <v>195.32194999999999</v>
      </c>
      <c r="J259">
        <v>324.98279000000002</v>
      </c>
      <c r="K259">
        <v>4</v>
      </c>
      <c r="L259">
        <v>372.46825000000001</v>
      </c>
      <c r="M259">
        <v>156.61000000000001</v>
      </c>
      <c r="N259">
        <v>0</v>
      </c>
      <c r="U259" s="221" t="s">
        <v>76</v>
      </c>
      <c r="V259">
        <v>968.44947000000002</v>
      </c>
      <c r="W259">
        <v>1310.3117199999999</v>
      </c>
      <c r="X259">
        <v>1152.1554799999999</v>
      </c>
      <c r="Y259">
        <v>1068.76837</v>
      </c>
      <c r="Z259">
        <v>842.06709999999998</v>
      </c>
      <c r="AA259">
        <v>996.19137000000001</v>
      </c>
      <c r="AB259">
        <v>179.45338000000001</v>
      </c>
      <c r="AC259">
        <v>0.66666999999999998</v>
      </c>
      <c r="AD259">
        <v>55.397030000000001</v>
      </c>
      <c r="AE259">
        <v>61.733319999999999</v>
      </c>
      <c r="AF259">
        <v>0</v>
      </c>
      <c r="AG259">
        <v>0</v>
      </c>
      <c r="AH259">
        <v>0</v>
      </c>
    </row>
    <row r="260" spans="1:34">
      <c r="A260" t="s">
        <v>72</v>
      </c>
      <c r="B260" s="216" t="str">
        <f t="shared" si="4"/>
        <v>Feb-22</v>
      </c>
      <c r="C260" s="217">
        <v>44593</v>
      </c>
      <c r="D260">
        <v>2267.3140600000002</v>
      </c>
      <c r="E260">
        <v>229.98</v>
      </c>
      <c r="F260">
        <v>254.61707000000001</v>
      </c>
      <c r="G260">
        <v>533.07974000000002</v>
      </c>
      <c r="H260">
        <v>196.31093000000001</v>
      </c>
      <c r="I260">
        <v>195.32194999999999</v>
      </c>
      <c r="J260">
        <v>324.08945999999997</v>
      </c>
      <c r="K260">
        <v>4</v>
      </c>
      <c r="L260">
        <v>373.26825000000002</v>
      </c>
      <c r="M260">
        <v>156.64666</v>
      </c>
      <c r="N260">
        <v>0</v>
      </c>
      <c r="U260" s="221" t="s">
        <v>77</v>
      </c>
      <c r="V260">
        <v>3778.0529000000001</v>
      </c>
      <c r="W260">
        <v>5261.8489099999997</v>
      </c>
      <c r="X260">
        <v>4199.5762100000002</v>
      </c>
      <c r="Y260">
        <v>3518.8443400000001</v>
      </c>
      <c r="Z260">
        <v>2800.63465</v>
      </c>
      <c r="AA260">
        <v>3540.4482400000002</v>
      </c>
      <c r="AB260">
        <v>552.75815</v>
      </c>
      <c r="AC260">
        <v>84.639989999999997</v>
      </c>
      <c r="AD260">
        <v>213.91334000000001</v>
      </c>
      <c r="AE260">
        <v>203.67733999999999</v>
      </c>
      <c r="AF260">
        <v>8.4</v>
      </c>
      <c r="AG260">
        <v>0</v>
      </c>
      <c r="AH260">
        <v>0</v>
      </c>
    </row>
    <row r="261" spans="1:34">
      <c r="A261" t="s">
        <v>72</v>
      </c>
      <c r="B261" s="216" t="str">
        <f t="shared" si="4"/>
        <v>Mar-22</v>
      </c>
      <c r="C261" s="217">
        <v>44621</v>
      </c>
      <c r="D261">
        <v>2278.2881099999995</v>
      </c>
      <c r="E261">
        <v>228.78219999999996</v>
      </c>
      <c r="F261">
        <v>260.52373</v>
      </c>
      <c r="G261">
        <v>538.23973999999998</v>
      </c>
      <c r="H261">
        <v>194.91093000000001</v>
      </c>
      <c r="I261">
        <v>196.05528000000001</v>
      </c>
      <c r="J261">
        <v>325.66946000000002</v>
      </c>
      <c r="K261">
        <v>4.6133300000000004</v>
      </c>
      <c r="L261">
        <v>372.71345000000002</v>
      </c>
      <c r="M261">
        <v>156.77999</v>
      </c>
      <c r="N261">
        <v>0</v>
      </c>
      <c r="U261" s="221" t="s">
        <v>78</v>
      </c>
      <c r="V261">
        <v>770.36793</v>
      </c>
      <c r="W261">
        <v>1097.5269000000001</v>
      </c>
      <c r="X261">
        <v>922.80822000000001</v>
      </c>
      <c r="Y261">
        <v>736.51651000000004</v>
      </c>
      <c r="Z261">
        <v>608.52626999999995</v>
      </c>
      <c r="AA261">
        <v>764.00959999999998</v>
      </c>
      <c r="AB261">
        <v>28.915949999999999</v>
      </c>
      <c r="AC261">
        <v>98.931820000000002</v>
      </c>
      <c r="AD261">
        <v>73.62182</v>
      </c>
      <c r="AE261">
        <v>0.50666999999999995</v>
      </c>
      <c r="AF261">
        <v>48.222000000000001</v>
      </c>
      <c r="AG261">
        <v>0.6</v>
      </c>
      <c r="AH261">
        <v>0</v>
      </c>
    </row>
    <row r="262" spans="1:34">
      <c r="A262" t="s">
        <v>72</v>
      </c>
      <c r="B262" s="216" t="str">
        <f t="shared" si="4"/>
        <v>Apr-22</v>
      </c>
      <c r="C262" s="217">
        <v>44652</v>
      </c>
      <c r="D262">
        <v>2268.66545</v>
      </c>
      <c r="E262">
        <v>230.23553000000001</v>
      </c>
      <c r="F262">
        <v>262.06373000000002</v>
      </c>
      <c r="G262">
        <v>537.55974000000003</v>
      </c>
      <c r="H262">
        <v>191.57492999999999</v>
      </c>
      <c r="I262">
        <v>194.65528</v>
      </c>
      <c r="J262">
        <v>318.16278999999997</v>
      </c>
      <c r="K262">
        <v>4.6133300000000004</v>
      </c>
      <c r="L262">
        <v>373.17345999999998</v>
      </c>
      <c r="M262">
        <v>156.62665999999999</v>
      </c>
      <c r="N262">
        <v>0</v>
      </c>
      <c r="U262" s="7" t="s">
        <v>104</v>
      </c>
      <c r="V262">
        <v>12739.041299999999</v>
      </c>
      <c r="W262">
        <v>17785.288269999997</v>
      </c>
      <c r="X262">
        <v>14545.932840000001</v>
      </c>
      <c r="Y262">
        <v>11040.707</v>
      </c>
      <c r="Z262">
        <v>10210.394479999999</v>
      </c>
      <c r="AA262">
        <v>12176.103930000001</v>
      </c>
      <c r="AB262">
        <v>1973.03396</v>
      </c>
      <c r="AC262">
        <v>2135.7023000000004</v>
      </c>
      <c r="AD262">
        <v>1469.8156899999999</v>
      </c>
      <c r="AE262">
        <v>4061.2954100000002</v>
      </c>
      <c r="AF262">
        <v>426.56437000000011</v>
      </c>
      <c r="AG262">
        <v>1112.1399999999999</v>
      </c>
      <c r="AH262">
        <v>5607.3359899999996</v>
      </c>
    </row>
    <row r="263" spans="1:34">
      <c r="A263" t="s">
        <v>74</v>
      </c>
      <c r="B263" s="216" t="str">
        <f t="shared" si="4"/>
        <v>May-21</v>
      </c>
      <c r="C263" s="217">
        <v>44317</v>
      </c>
      <c r="D263">
        <v>2980.8132599999999</v>
      </c>
      <c r="E263">
        <v>423.78302000000002</v>
      </c>
      <c r="F263">
        <v>630.68875000000003</v>
      </c>
      <c r="G263">
        <v>738.32865000000004</v>
      </c>
      <c r="H263">
        <v>339.04414000000003</v>
      </c>
      <c r="I263">
        <v>304.74605000000003</v>
      </c>
      <c r="J263">
        <v>392.06400000000002</v>
      </c>
      <c r="K263">
        <v>74.558660000000003</v>
      </c>
      <c r="L263">
        <v>9.5</v>
      </c>
      <c r="M263">
        <v>66.099990000000005</v>
      </c>
      <c r="N263">
        <v>2</v>
      </c>
      <c r="U263" s="221" t="s">
        <v>71</v>
      </c>
      <c r="V263">
        <v>2868.7490200000002</v>
      </c>
      <c r="W263">
        <v>3960.96695</v>
      </c>
      <c r="X263">
        <v>2887.7122800000002</v>
      </c>
      <c r="Y263">
        <v>2106.3541</v>
      </c>
      <c r="Z263">
        <v>2301.5440199999998</v>
      </c>
      <c r="AA263">
        <v>2627.1606499999998</v>
      </c>
      <c r="AB263">
        <v>389.66534999999999</v>
      </c>
      <c r="AC263">
        <v>302.22505000000001</v>
      </c>
      <c r="AD263">
        <v>229.37338</v>
      </c>
      <c r="AE263">
        <v>2093.46162</v>
      </c>
      <c r="AF263">
        <v>1</v>
      </c>
      <c r="AG263">
        <v>0</v>
      </c>
      <c r="AH263">
        <v>218.7</v>
      </c>
    </row>
    <row r="264" spans="1:34">
      <c r="A264" t="s">
        <v>74</v>
      </c>
      <c r="B264" s="216" t="str">
        <f t="shared" si="4"/>
        <v>Jun-21</v>
      </c>
      <c r="C264" s="217">
        <v>44348</v>
      </c>
      <c r="D264">
        <v>2614.2116799999999</v>
      </c>
      <c r="E264">
        <v>428.23635000000002</v>
      </c>
      <c r="F264">
        <v>626.28875000000005</v>
      </c>
      <c r="G264">
        <v>451.58201000000003</v>
      </c>
      <c r="H264">
        <v>336.31747000000001</v>
      </c>
      <c r="I264">
        <v>300.60444000000001</v>
      </c>
      <c r="J264">
        <v>338.55734000000001</v>
      </c>
      <c r="K264">
        <v>72.918660000000003</v>
      </c>
      <c r="L264">
        <v>10.5</v>
      </c>
      <c r="M264">
        <v>47.206659999999999</v>
      </c>
      <c r="N264">
        <v>2</v>
      </c>
      <c r="U264" s="221" t="s">
        <v>69</v>
      </c>
      <c r="V264">
        <v>806.92642000000001</v>
      </c>
      <c r="W264">
        <v>1185.93995</v>
      </c>
      <c r="X264">
        <v>1295.6164900000001</v>
      </c>
      <c r="Y264">
        <v>720.52450999999996</v>
      </c>
      <c r="Z264">
        <v>687.58258000000001</v>
      </c>
      <c r="AA264">
        <v>886.17602999999997</v>
      </c>
      <c r="AB264">
        <v>134.91627</v>
      </c>
      <c r="AC264">
        <v>66.51173</v>
      </c>
      <c r="AD264">
        <v>140.18919</v>
      </c>
      <c r="AE264">
        <v>1083.94823</v>
      </c>
      <c r="AF264">
        <v>5</v>
      </c>
      <c r="AG264">
        <v>0</v>
      </c>
      <c r="AH264">
        <v>0.6</v>
      </c>
    </row>
    <row r="265" spans="1:34">
      <c r="A265" t="s">
        <v>74</v>
      </c>
      <c r="B265" s="216" t="str">
        <f t="shared" si="4"/>
        <v>Jul-21</v>
      </c>
      <c r="C265" s="217">
        <v>44378</v>
      </c>
      <c r="D265">
        <v>2608.5088799999994</v>
      </c>
      <c r="E265">
        <v>428.21967999999998</v>
      </c>
      <c r="F265">
        <v>623.00207999999998</v>
      </c>
      <c r="G265">
        <v>451.48867999999999</v>
      </c>
      <c r="H265">
        <v>332.43747000000002</v>
      </c>
      <c r="I265">
        <v>299.30763999999999</v>
      </c>
      <c r="J265">
        <v>342.35734000000002</v>
      </c>
      <c r="K265">
        <v>70.989329999999995</v>
      </c>
      <c r="L265">
        <v>10.5</v>
      </c>
      <c r="M265">
        <v>48.206659999999999</v>
      </c>
      <c r="N265">
        <v>2</v>
      </c>
      <c r="U265" s="221" t="s">
        <v>72</v>
      </c>
      <c r="V265">
        <v>241.91551999999999</v>
      </c>
      <c r="W265">
        <v>278.56053000000003</v>
      </c>
      <c r="X265">
        <v>566.40381000000002</v>
      </c>
      <c r="Y265">
        <v>194.33358000000001</v>
      </c>
      <c r="Z265">
        <v>193.77394000000001</v>
      </c>
      <c r="AA265">
        <v>336.34947</v>
      </c>
      <c r="AB265">
        <v>7.6133300000000004</v>
      </c>
      <c r="AC265">
        <v>396.71159</v>
      </c>
      <c r="AD265">
        <v>168.96265</v>
      </c>
      <c r="AE265">
        <v>0</v>
      </c>
      <c r="AF265">
        <v>1.7999999999999998</v>
      </c>
      <c r="AG265">
        <v>0</v>
      </c>
      <c r="AH265">
        <v>0</v>
      </c>
    </row>
    <row r="266" spans="1:34">
      <c r="A266" t="s">
        <v>74</v>
      </c>
      <c r="B266" s="216" t="str">
        <f t="shared" si="4"/>
        <v>Aug-21</v>
      </c>
      <c r="C266" s="217">
        <v>44409</v>
      </c>
      <c r="D266">
        <v>2662.0955300000001</v>
      </c>
      <c r="E266">
        <v>437.04635000000002</v>
      </c>
      <c r="F266">
        <v>639.25540999999998</v>
      </c>
      <c r="G266">
        <v>454.82200999999998</v>
      </c>
      <c r="H266">
        <v>338.87745999999999</v>
      </c>
      <c r="I266">
        <v>312.84097000000003</v>
      </c>
      <c r="J266">
        <v>345.75734</v>
      </c>
      <c r="K266">
        <v>71.789330000000007</v>
      </c>
      <c r="L266">
        <v>10.5</v>
      </c>
      <c r="M266">
        <v>49.206659999999999</v>
      </c>
      <c r="N266">
        <v>2</v>
      </c>
      <c r="U266" s="221" t="s">
        <v>73</v>
      </c>
      <c r="V266">
        <v>11</v>
      </c>
      <c r="W266">
        <v>20.5</v>
      </c>
      <c r="X266">
        <v>22.913329999999998</v>
      </c>
      <c r="Y266">
        <v>15.933339999999999</v>
      </c>
      <c r="Z266">
        <v>0</v>
      </c>
      <c r="AA266">
        <v>0</v>
      </c>
      <c r="AB266">
        <v>0</v>
      </c>
      <c r="AC266">
        <v>0</v>
      </c>
      <c r="AD266">
        <v>3.0666500000000001</v>
      </c>
      <c r="AE266">
        <v>0</v>
      </c>
      <c r="AF266">
        <v>0</v>
      </c>
      <c r="AG266">
        <v>0</v>
      </c>
      <c r="AH266">
        <v>0</v>
      </c>
    </row>
    <row r="267" spans="1:34">
      <c r="A267" t="s">
        <v>74</v>
      </c>
      <c r="B267" s="216" t="str">
        <f t="shared" si="4"/>
        <v>Sep-21</v>
      </c>
      <c r="C267" s="217">
        <v>44440</v>
      </c>
      <c r="D267">
        <v>2704.4142699999998</v>
      </c>
      <c r="E267">
        <v>435.35300999999998</v>
      </c>
      <c r="F267">
        <v>662.33541000000002</v>
      </c>
      <c r="G267">
        <v>459.60201000000001</v>
      </c>
      <c r="H267">
        <v>348.13745999999998</v>
      </c>
      <c r="I267">
        <v>311.03305</v>
      </c>
      <c r="J267">
        <v>348.95733999999999</v>
      </c>
      <c r="K267">
        <v>73.289330000000007</v>
      </c>
      <c r="L267">
        <v>11.5</v>
      </c>
      <c r="M267">
        <v>52.206659999999999</v>
      </c>
      <c r="N267">
        <v>2</v>
      </c>
      <c r="U267" s="221" t="s">
        <v>74</v>
      </c>
      <c r="V267">
        <v>470.09885000000003</v>
      </c>
      <c r="W267">
        <v>744.52392999999995</v>
      </c>
      <c r="X267">
        <v>536.55178000000001</v>
      </c>
      <c r="Y267">
        <v>353.94839999999999</v>
      </c>
      <c r="Z267">
        <v>358.92424999999997</v>
      </c>
      <c r="AA267">
        <v>379.98585000000003</v>
      </c>
      <c r="AB267">
        <v>78.094669999999994</v>
      </c>
      <c r="AC267">
        <v>9.6999999999999993</v>
      </c>
      <c r="AD267">
        <v>52.17333</v>
      </c>
      <c r="AE267">
        <v>3</v>
      </c>
      <c r="AF267">
        <v>36.047619999999995</v>
      </c>
      <c r="AG267">
        <v>0</v>
      </c>
      <c r="AH267">
        <v>30.98</v>
      </c>
    </row>
    <row r="268" spans="1:34">
      <c r="A268" t="s">
        <v>74</v>
      </c>
      <c r="B268" s="216" t="str">
        <f t="shared" si="4"/>
        <v>Oct-21</v>
      </c>
      <c r="C268" s="217">
        <v>44470</v>
      </c>
      <c r="D268">
        <v>2729.1244200000001</v>
      </c>
      <c r="E268">
        <v>444.95301000000001</v>
      </c>
      <c r="F268">
        <v>663.64874999999995</v>
      </c>
      <c r="G268">
        <v>467.48201999999998</v>
      </c>
      <c r="H268">
        <v>350.21746000000002</v>
      </c>
      <c r="I268">
        <v>314.74984999999998</v>
      </c>
      <c r="J268">
        <v>349.87734</v>
      </c>
      <c r="K268">
        <v>72.289330000000007</v>
      </c>
      <c r="L268">
        <v>11.5</v>
      </c>
      <c r="M268">
        <v>51.406660000000002</v>
      </c>
      <c r="N268">
        <v>3</v>
      </c>
      <c r="U268" s="221" t="s">
        <v>75</v>
      </c>
      <c r="V268">
        <v>2799.1117100000001</v>
      </c>
      <c r="W268">
        <v>3673.0046200000002</v>
      </c>
      <c r="X268">
        <v>2583.9418700000001</v>
      </c>
      <c r="Y268">
        <v>2256.5049300000001</v>
      </c>
      <c r="Z268">
        <v>2218.0735100000002</v>
      </c>
      <c r="AA268">
        <v>2340.2424700000001</v>
      </c>
      <c r="AB268">
        <v>619.9117</v>
      </c>
      <c r="AC268">
        <v>1186.17977</v>
      </c>
      <c r="AD268">
        <v>531.47996999999998</v>
      </c>
      <c r="AE268">
        <v>627.59226000000001</v>
      </c>
      <c r="AF268">
        <v>323.0247500000001</v>
      </c>
      <c r="AG268">
        <v>1110.5999999999999</v>
      </c>
      <c r="AH268">
        <v>1580.80349</v>
      </c>
    </row>
    <row r="269" spans="1:34">
      <c r="A269" t="s">
        <v>74</v>
      </c>
      <c r="B269" s="216" t="str">
        <f t="shared" si="4"/>
        <v>Nov-21</v>
      </c>
      <c r="C269" s="217">
        <v>44501</v>
      </c>
      <c r="D269">
        <v>2758.8844300000001</v>
      </c>
      <c r="E269">
        <v>450.92633999999998</v>
      </c>
      <c r="F269">
        <v>665.74875999999995</v>
      </c>
      <c r="G269">
        <v>472.62202000000002</v>
      </c>
      <c r="H269">
        <v>341.77078999999998</v>
      </c>
      <c r="I269">
        <v>327.38985000000002</v>
      </c>
      <c r="J269">
        <v>358.64400999999998</v>
      </c>
      <c r="K269">
        <v>74.876000000000005</v>
      </c>
      <c r="L269">
        <v>12.5</v>
      </c>
      <c r="M269">
        <v>51.406660000000002</v>
      </c>
      <c r="N269">
        <v>3</v>
      </c>
      <c r="U269" s="221" t="s">
        <v>76</v>
      </c>
      <c r="V269">
        <v>987.35825</v>
      </c>
      <c r="W269">
        <v>1367.92238</v>
      </c>
      <c r="X269">
        <v>1204.08968</v>
      </c>
      <c r="Y269">
        <v>1067.9449199999999</v>
      </c>
      <c r="Z269">
        <v>848.59249999999997</v>
      </c>
      <c r="AA269">
        <v>972.47964999999999</v>
      </c>
      <c r="AB269">
        <v>162.92669000000001</v>
      </c>
      <c r="AC269">
        <v>0.66666999999999998</v>
      </c>
      <c r="AD269">
        <v>59.370359999999998</v>
      </c>
      <c r="AE269">
        <v>59.806649999999998</v>
      </c>
      <c r="AF269">
        <v>0</v>
      </c>
      <c r="AG269">
        <v>0</v>
      </c>
      <c r="AH269">
        <v>469.84</v>
      </c>
    </row>
    <row r="270" spans="1:34">
      <c r="A270" t="s">
        <v>74</v>
      </c>
      <c r="B270" s="216" t="str">
        <f t="shared" si="4"/>
        <v>Dec-21</v>
      </c>
      <c r="C270" s="217">
        <v>44531</v>
      </c>
      <c r="D270">
        <v>2729.4466900000002</v>
      </c>
      <c r="E270">
        <v>451.23234000000002</v>
      </c>
      <c r="F270">
        <v>669.80876000000001</v>
      </c>
      <c r="G270">
        <v>447.13880999999998</v>
      </c>
      <c r="H270">
        <v>341.09</v>
      </c>
      <c r="I270">
        <v>327.37358</v>
      </c>
      <c r="J270">
        <v>354.92854</v>
      </c>
      <c r="K270">
        <v>74.268000000000001</v>
      </c>
      <c r="L270">
        <v>11.2</v>
      </c>
      <c r="M270">
        <v>50.406660000000002</v>
      </c>
      <c r="N270">
        <v>2</v>
      </c>
      <c r="U270" s="221" t="s">
        <v>77</v>
      </c>
      <c r="V270">
        <v>3765.80728</v>
      </c>
      <c r="W270">
        <v>5412.6083200000003</v>
      </c>
      <c r="X270">
        <v>4467.88645</v>
      </c>
      <c r="Y270">
        <v>3581.3874599999999</v>
      </c>
      <c r="Z270">
        <v>2961.0102299999999</v>
      </c>
      <c r="AA270">
        <v>3817.4234799999999</v>
      </c>
      <c r="AB270">
        <v>546.87125000000003</v>
      </c>
      <c r="AC270">
        <v>83.939989999999995</v>
      </c>
      <c r="AD270">
        <v>207.41334000000001</v>
      </c>
      <c r="AE270">
        <v>192.97998000000001</v>
      </c>
      <c r="AF270">
        <v>10.199999999999999</v>
      </c>
      <c r="AG270">
        <v>0</v>
      </c>
      <c r="AH270">
        <v>3.1</v>
      </c>
    </row>
    <row r="271" spans="1:34">
      <c r="A271" t="s">
        <v>74</v>
      </c>
      <c r="B271" s="216" t="str">
        <f t="shared" si="4"/>
        <v>Jan-22</v>
      </c>
      <c r="C271" s="217">
        <v>44562</v>
      </c>
      <c r="D271">
        <v>2775.80521</v>
      </c>
      <c r="E271">
        <v>448.40962000000025</v>
      </c>
      <c r="F271">
        <v>674.60343</v>
      </c>
      <c r="G271">
        <v>478.79457000000002</v>
      </c>
      <c r="H271">
        <v>340.99745999999999</v>
      </c>
      <c r="I271">
        <v>334.54025000000001</v>
      </c>
      <c r="J271">
        <v>356.47521</v>
      </c>
      <c r="K271">
        <v>74.374669999999995</v>
      </c>
      <c r="L271">
        <v>13.2</v>
      </c>
      <c r="M271">
        <v>52.41</v>
      </c>
      <c r="N271">
        <v>2</v>
      </c>
      <c r="U271" s="221" t="s">
        <v>78</v>
      </c>
      <c r="V271">
        <v>788.07425000000001</v>
      </c>
      <c r="W271">
        <v>1141.2615900000001</v>
      </c>
      <c r="X271">
        <v>980.81714999999997</v>
      </c>
      <c r="Y271">
        <v>743.77575999999999</v>
      </c>
      <c r="Z271">
        <v>640.89345000000003</v>
      </c>
      <c r="AA271">
        <v>816.28633000000002</v>
      </c>
      <c r="AB271">
        <v>33.034700000000001</v>
      </c>
      <c r="AC271">
        <v>89.767499999999998</v>
      </c>
      <c r="AD271">
        <v>77.786820000000006</v>
      </c>
      <c r="AE271">
        <v>0.50666999999999995</v>
      </c>
      <c r="AF271">
        <v>49.491999999999997</v>
      </c>
      <c r="AG271">
        <v>1.54</v>
      </c>
      <c r="AH271">
        <v>3303.3125</v>
      </c>
    </row>
    <row r="272" spans="1:34">
      <c r="A272" t="s">
        <v>74</v>
      </c>
      <c r="B272" s="216" t="str">
        <f t="shared" si="4"/>
        <v>Feb-22</v>
      </c>
      <c r="C272" s="217">
        <v>44593</v>
      </c>
      <c r="D272">
        <v>2793.7674599999996</v>
      </c>
      <c r="E272">
        <v>462.12</v>
      </c>
      <c r="F272">
        <v>678.97542999999996</v>
      </c>
      <c r="G272">
        <v>480.27776999999998</v>
      </c>
      <c r="H272">
        <v>347.93747000000002</v>
      </c>
      <c r="I272">
        <v>331.56691999999998</v>
      </c>
      <c r="J272">
        <v>355.90854000000002</v>
      </c>
      <c r="K272">
        <v>72.374669999999995</v>
      </c>
      <c r="L272">
        <v>11.2</v>
      </c>
      <c r="M272">
        <v>51.406660000000002</v>
      </c>
      <c r="N272">
        <v>2</v>
      </c>
      <c r="U272" s="7" t="s">
        <v>105</v>
      </c>
      <c r="V272">
        <v>11402.33541</v>
      </c>
      <c r="W272">
        <v>15450.480819999997</v>
      </c>
      <c r="X272">
        <v>12884.66966</v>
      </c>
      <c r="Y272">
        <v>10312.315280000001</v>
      </c>
      <c r="Z272">
        <v>8441.3047399999996</v>
      </c>
      <c r="AA272">
        <v>11221.991890000001</v>
      </c>
      <c r="AB272">
        <v>1774.5750100000002</v>
      </c>
      <c r="AC272">
        <v>1626.2367300000003</v>
      </c>
      <c r="AD272">
        <v>3906.7858400000005</v>
      </c>
      <c r="AE272">
        <v>3223.1410799999999</v>
      </c>
    </row>
    <row r="273" spans="1:31">
      <c r="A273" t="s">
        <v>74</v>
      </c>
      <c r="B273" s="216" t="str">
        <f t="shared" si="4"/>
        <v>Mar-22</v>
      </c>
      <c r="C273" s="217">
        <v>44621</v>
      </c>
      <c r="D273">
        <v>2802.2637300000001</v>
      </c>
      <c r="E273">
        <v>464.68962000000028</v>
      </c>
      <c r="F273">
        <v>681.98208999999997</v>
      </c>
      <c r="G273">
        <v>479.99376000000001</v>
      </c>
      <c r="H273">
        <v>347.74414000000002</v>
      </c>
      <c r="I273">
        <v>333.57891999999998</v>
      </c>
      <c r="J273">
        <v>359.08053999999998</v>
      </c>
      <c r="K273">
        <v>71.587999999999994</v>
      </c>
      <c r="L273">
        <v>10.199999999999999</v>
      </c>
      <c r="M273">
        <v>50.406660000000002</v>
      </c>
      <c r="N273">
        <v>3</v>
      </c>
      <c r="U273" s="221" t="s">
        <v>71</v>
      </c>
      <c r="V273">
        <v>2310.76215</v>
      </c>
      <c r="W273">
        <v>3071.50848</v>
      </c>
      <c r="X273">
        <v>2555.03368</v>
      </c>
      <c r="Y273">
        <v>1908.6092599999999</v>
      </c>
      <c r="Z273">
        <v>1740.6374900000001</v>
      </c>
      <c r="AA273">
        <v>2292.2291799999998</v>
      </c>
      <c r="AB273">
        <v>322.42201</v>
      </c>
      <c r="AC273">
        <v>257.18741999999997</v>
      </c>
      <c r="AD273">
        <v>194.24665999999999</v>
      </c>
      <c r="AE273">
        <v>1464.73269</v>
      </c>
    </row>
    <row r="274" spans="1:31">
      <c r="A274" t="s">
        <v>74</v>
      </c>
      <c r="B274" s="216" t="str">
        <f t="shared" si="4"/>
        <v>Apr-22</v>
      </c>
      <c r="C274" s="217">
        <v>44652</v>
      </c>
      <c r="D274">
        <v>2777.4241100000004</v>
      </c>
      <c r="E274">
        <v>456.56975</v>
      </c>
      <c r="F274">
        <v>672.88234</v>
      </c>
      <c r="G274">
        <v>479.07377000000002</v>
      </c>
      <c r="H274">
        <v>341.80412999999999</v>
      </c>
      <c r="I274">
        <v>334.47892999999999</v>
      </c>
      <c r="J274">
        <v>358.83386000000002</v>
      </c>
      <c r="K274">
        <v>71.574669999999998</v>
      </c>
      <c r="L274">
        <v>10</v>
      </c>
      <c r="M274">
        <v>49.206659999999999</v>
      </c>
      <c r="N274">
        <v>3</v>
      </c>
      <c r="U274" s="221" t="s">
        <v>69</v>
      </c>
      <c r="V274">
        <v>722.39121999999998</v>
      </c>
      <c r="W274">
        <v>878.11270999999999</v>
      </c>
      <c r="X274">
        <v>856.98677999999995</v>
      </c>
      <c r="Y274">
        <v>599.67597999999998</v>
      </c>
      <c r="Z274">
        <v>528.89368000000002</v>
      </c>
      <c r="AA274">
        <v>743.00388999999996</v>
      </c>
      <c r="AB274">
        <v>122.05762</v>
      </c>
      <c r="AC274">
        <v>60.934139999999999</v>
      </c>
      <c r="AD274">
        <v>110.76184000000001</v>
      </c>
      <c r="AE274">
        <v>1028.3389999999999</v>
      </c>
    </row>
    <row r="275" spans="1:31">
      <c r="A275" t="s">
        <v>75</v>
      </c>
      <c r="B275" s="216" t="str">
        <f t="shared" si="4"/>
        <v>May-21</v>
      </c>
      <c r="C275" s="217">
        <v>44317</v>
      </c>
      <c r="D275">
        <v>18421.930230000002</v>
      </c>
      <c r="E275">
        <v>2478.2642900000001</v>
      </c>
      <c r="F275">
        <v>3127.4781699999999</v>
      </c>
      <c r="G275">
        <v>2340.3759100000002</v>
      </c>
      <c r="H275">
        <v>2198.8185199999998</v>
      </c>
      <c r="I275">
        <v>1868.5349799999999</v>
      </c>
      <c r="J275">
        <v>2290.5580500000001</v>
      </c>
      <c r="K275">
        <v>634.96270000000004</v>
      </c>
      <c r="L275">
        <v>1024.59908</v>
      </c>
      <c r="M275">
        <v>1903.1695</v>
      </c>
      <c r="N275">
        <v>555.16903000000002</v>
      </c>
      <c r="U275" s="221" t="s">
        <v>72</v>
      </c>
      <c r="V275">
        <v>220.40219999999999</v>
      </c>
      <c r="W275">
        <v>278.22696999999999</v>
      </c>
      <c r="X275">
        <v>457.60613000000001</v>
      </c>
      <c r="Y275">
        <v>186.64428000000001</v>
      </c>
      <c r="Z275">
        <v>175.6662</v>
      </c>
      <c r="AA275">
        <v>297.29079000000002</v>
      </c>
      <c r="AB275">
        <v>2.7296</v>
      </c>
      <c r="AC275">
        <v>215.82266000000001</v>
      </c>
      <c r="AD275">
        <v>137.26</v>
      </c>
      <c r="AE275">
        <v>0</v>
      </c>
    </row>
    <row r="276" spans="1:31">
      <c r="A276" t="s">
        <v>75</v>
      </c>
      <c r="B276" s="216" t="str">
        <f t="shared" si="4"/>
        <v>Jun-21</v>
      </c>
      <c r="C276" s="217">
        <v>44348</v>
      </c>
      <c r="D276">
        <v>17128.84965</v>
      </c>
      <c r="E276">
        <v>2472.1709500000002</v>
      </c>
      <c r="F276">
        <v>3162.4500600000001</v>
      </c>
      <c r="G276">
        <v>2378.9778799999999</v>
      </c>
      <c r="H276">
        <v>2202.8516800000002</v>
      </c>
      <c r="I276">
        <v>1862.2517800000001</v>
      </c>
      <c r="J276">
        <v>2317.90472</v>
      </c>
      <c r="K276">
        <v>636.67584999999997</v>
      </c>
      <c r="L276">
        <v>1036.59907</v>
      </c>
      <c r="M276">
        <v>507.57862999999998</v>
      </c>
      <c r="N276">
        <v>551.38903000000005</v>
      </c>
      <c r="U276" s="221" t="s">
        <v>73</v>
      </c>
      <c r="V276">
        <v>6.5</v>
      </c>
      <c r="W276">
        <v>15.36</v>
      </c>
      <c r="X276">
        <v>33.266640000000002</v>
      </c>
      <c r="Y276">
        <v>4.6266600000000002</v>
      </c>
      <c r="Z276">
        <v>5</v>
      </c>
      <c r="AA276">
        <v>2</v>
      </c>
      <c r="AB276">
        <v>0</v>
      </c>
      <c r="AC276">
        <v>0</v>
      </c>
      <c r="AD276">
        <v>0</v>
      </c>
      <c r="AE276">
        <v>0</v>
      </c>
    </row>
    <row r="277" spans="1:31">
      <c r="A277" t="s">
        <v>75</v>
      </c>
      <c r="B277" s="216" t="str">
        <f t="shared" si="4"/>
        <v>Jul-21</v>
      </c>
      <c r="C277" s="217">
        <v>44378</v>
      </c>
      <c r="D277">
        <v>17164.6273</v>
      </c>
      <c r="E277">
        <v>2484.9709600000001</v>
      </c>
      <c r="F277">
        <v>3161.0831499999999</v>
      </c>
      <c r="G277">
        <v>2404.7612300000001</v>
      </c>
      <c r="H277">
        <v>2186.9916800000001</v>
      </c>
      <c r="I277">
        <v>1857.9631199999999</v>
      </c>
      <c r="J277">
        <v>2317.9945699999998</v>
      </c>
      <c r="K277">
        <v>631.26251999999999</v>
      </c>
      <c r="L277">
        <v>1055.35241</v>
      </c>
      <c r="M277">
        <v>506.45863000000003</v>
      </c>
      <c r="N277">
        <v>557.78903000000003</v>
      </c>
      <c r="U277" s="221" t="s">
        <v>74</v>
      </c>
      <c r="V277">
        <v>408.96275000000003</v>
      </c>
      <c r="W277">
        <v>737.76347999999996</v>
      </c>
      <c r="X277">
        <v>672.01577999999995</v>
      </c>
      <c r="Y277">
        <v>347.14037000000002</v>
      </c>
      <c r="Z277">
        <v>311.77985999999999</v>
      </c>
      <c r="AA277">
        <v>351.71625999999998</v>
      </c>
      <c r="AB277">
        <v>55.208269999999999</v>
      </c>
      <c r="AC277">
        <v>6.5</v>
      </c>
      <c r="AD277">
        <v>53.446660000000001</v>
      </c>
      <c r="AE277">
        <v>0</v>
      </c>
    </row>
    <row r="278" spans="1:31">
      <c r="A278" t="s">
        <v>75</v>
      </c>
      <c r="B278" s="216" t="str">
        <f t="shared" si="4"/>
        <v>Aug-21</v>
      </c>
      <c r="C278" s="217">
        <v>44409</v>
      </c>
      <c r="D278">
        <v>17238.016820000001</v>
      </c>
      <c r="E278">
        <v>2496.7365300000001</v>
      </c>
      <c r="F278">
        <v>3164.3018200000001</v>
      </c>
      <c r="G278">
        <v>2421.8865900000001</v>
      </c>
      <c r="H278">
        <v>2188.4616799999999</v>
      </c>
      <c r="I278">
        <v>1877.4640099999999</v>
      </c>
      <c r="J278">
        <v>2313.5012200000001</v>
      </c>
      <c r="K278">
        <v>633.94251999999994</v>
      </c>
      <c r="L278">
        <v>1078.5281299999999</v>
      </c>
      <c r="M278">
        <v>507.51195999999999</v>
      </c>
      <c r="N278">
        <v>555.68236000000002</v>
      </c>
      <c r="U278" s="221" t="s">
        <v>75</v>
      </c>
      <c r="V278">
        <v>2214.25792</v>
      </c>
      <c r="W278">
        <v>2941.56149</v>
      </c>
      <c r="X278">
        <v>2087.1729099999998</v>
      </c>
      <c r="Y278">
        <v>1930.6268299999999</v>
      </c>
      <c r="Z278">
        <v>1598.8559299999999</v>
      </c>
      <c r="AA278">
        <v>2095.1597900000002</v>
      </c>
      <c r="AB278">
        <v>537.35784000000001</v>
      </c>
      <c r="AC278">
        <v>941.73586</v>
      </c>
      <c r="AD278">
        <v>2432.1841800000002</v>
      </c>
      <c r="AE278">
        <v>505.2627</v>
      </c>
    </row>
    <row r="279" spans="1:31">
      <c r="A279" t="s">
        <v>75</v>
      </c>
      <c r="B279" s="216" t="str">
        <f t="shared" si="4"/>
        <v>Sep-21</v>
      </c>
      <c r="C279" s="217">
        <v>44440</v>
      </c>
      <c r="D279">
        <v>17365.678339999999</v>
      </c>
      <c r="E279">
        <v>2523.53971</v>
      </c>
      <c r="F279">
        <v>3198.9295099999999</v>
      </c>
      <c r="G279">
        <v>2442.1204499999999</v>
      </c>
      <c r="H279">
        <v>2199.4045999999998</v>
      </c>
      <c r="I279">
        <v>1899.3933400000001</v>
      </c>
      <c r="J279">
        <v>2309.37068</v>
      </c>
      <c r="K279">
        <v>640.62919999999997</v>
      </c>
      <c r="L279">
        <v>1082.9965299999999</v>
      </c>
      <c r="M279">
        <v>508.56529</v>
      </c>
      <c r="N279">
        <v>560.72902999999997</v>
      </c>
      <c r="U279" s="221" t="s">
        <v>76</v>
      </c>
      <c r="V279">
        <v>1062.3783900000001</v>
      </c>
      <c r="W279">
        <v>1257.4012</v>
      </c>
      <c r="X279">
        <v>1052.04276</v>
      </c>
      <c r="Y279">
        <v>1095.9497799999999</v>
      </c>
      <c r="Z279">
        <v>758.27772000000004</v>
      </c>
      <c r="AA279">
        <v>1038.6624999999999</v>
      </c>
      <c r="AB279">
        <v>156.54669000000001</v>
      </c>
      <c r="AC279">
        <v>0.66666999999999998</v>
      </c>
      <c r="AD279">
        <v>325.38661000000002</v>
      </c>
      <c r="AE279">
        <v>57.626660000000001</v>
      </c>
    </row>
    <row r="280" spans="1:31">
      <c r="A280" t="s">
        <v>75</v>
      </c>
      <c r="B280" s="216" t="str">
        <f t="shared" si="4"/>
        <v>Oct-21</v>
      </c>
      <c r="C280" s="217">
        <v>44470</v>
      </c>
      <c r="D280">
        <v>17443.384050000004</v>
      </c>
      <c r="E280">
        <v>2533.29945</v>
      </c>
      <c r="F280">
        <v>3220.7850400000002</v>
      </c>
      <c r="G280">
        <v>2440.0937800000002</v>
      </c>
      <c r="H280">
        <v>2209.90463</v>
      </c>
      <c r="I280">
        <v>1923.2109499999999</v>
      </c>
      <c r="J280">
        <v>2313.6513399999999</v>
      </c>
      <c r="K280">
        <v>637.44136000000003</v>
      </c>
      <c r="L280">
        <v>1094.46318</v>
      </c>
      <c r="M280">
        <v>509.48529000000002</v>
      </c>
      <c r="N280">
        <v>561.04903000000002</v>
      </c>
      <c r="U280" s="221" t="s">
        <v>77</v>
      </c>
      <c r="V280">
        <v>3475.3907100000001</v>
      </c>
      <c r="W280">
        <v>4929.5780699999996</v>
      </c>
      <c r="X280">
        <v>3849.6964899999998</v>
      </c>
      <c r="Y280">
        <v>3287.4625099999998</v>
      </c>
      <c r="Z280">
        <v>2631.4335799999999</v>
      </c>
      <c r="AA280">
        <v>3428.7478700000001</v>
      </c>
      <c r="AB280">
        <v>540.46695</v>
      </c>
      <c r="AC280">
        <v>59.939979999999998</v>
      </c>
      <c r="AD280">
        <v>183.72667000000001</v>
      </c>
      <c r="AE280">
        <v>166.18002999999999</v>
      </c>
    </row>
    <row r="281" spans="1:31">
      <c r="A281" t="s">
        <v>75</v>
      </c>
      <c r="B281" s="216" t="str">
        <f t="shared" si="4"/>
        <v>Nov-21</v>
      </c>
      <c r="C281" s="217">
        <v>44501</v>
      </c>
      <c r="D281">
        <v>17620.031470000002</v>
      </c>
      <c r="E281">
        <v>2565.7477199999998</v>
      </c>
      <c r="F281">
        <v>3259.8879200000001</v>
      </c>
      <c r="G281">
        <v>2454.9272299999998</v>
      </c>
      <c r="H281">
        <v>2213.11463</v>
      </c>
      <c r="I281">
        <v>1971.4427000000001</v>
      </c>
      <c r="J281">
        <v>2330.4189700000002</v>
      </c>
      <c r="K281">
        <v>642.87148000000002</v>
      </c>
      <c r="L281">
        <v>1107.8265100000001</v>
      </c>
      <c r="M281">
        <v>511.14528999999999</v>
      </c>
      <c r="N281">
        <v>562.64901999999995</v>
      </c>
      <c r="U281" s="221" t="s">
        <v>78</v>
      </c>
      <c r="V281">
        <v>981.29007000000001</v>
      </c>
      <c r="W281">
        <v>1340.9684199999999</v>
      </c>
      <c r="X281">
        <v>1320.8484900000001</v>
      </c>
      <c r="Y281">
        <v>951.57961</v>
      </c>
      <c r="Z281">
        <v>690.76027999999997</v>
      </c>
      <c r="AA281">
        <v>973.18160999999998</v>
      </c>
      <c r="AB281">
        <v>37.786029999999997</v>
      </c>
      <c r="AC281">
        <v>83.45</v>
      </c>
      <c r="AD281">
        <v>469.77321999999998</v>
      </c>
      <c r="AE281">
        <v>1</v>
      </c>
    </row>
    <row r="282" spans="1:31">
      <c r="A282" t="s">
        <v>75</v>
      </c>
      <c r="B282" s="216" t="str">
        <f t="shared" si="4"/>
        <v>Dec-21</v>
      </c>
      <c r="C282" s="217">
        <v>44531</v>
      </c>
      <c r="D282">
        <v>17605.385249999999</v>
      </c>
      <c r="E282">
        <v>2559.2306600000002</v>
      </c>
      <c r="F282">
        <v>3288.2551699999999</v>
      </c>
      <c r="G282">
        <v>2338.4671899999998</v>
      </c>
      <c r="H282">
        <v>2221.41</v>
      </c>
      <c r="I282">
        <v>1974.70911</v>
      </c>
      <c r="J282">
        <v>2341.1139199999998</v>
      </c>
      <c r="K282">
        <v>648.81814999999995</v>
      </c>
      <c r="L282">
        <v>1142.08656</v>
      </c>
      <c r="M282">
        <v>514.58529999999996</v>
      </c>
      <c r="N282">
        <v>576.70919000000004</v>
      </c>
      <c r="U282" s="7" t="s">
        <v>106</v>
      </c>
      <c r="V282">
        <v>12027.920969999999</v>
      </c>
      <c r="W282">
        <v>16191.74381</v>
      </c>
      <c r="X282">
        <v>13671.593059999999</v>
      </c>
      <c r="Y282">
        <v>11025.710150000001</v>
      </c>
      <c r="Z282">
        <v>9461.3312800000003</v>
      </c>
      <c r="AA282">
        <v>11884.37377</v>
      </c>
      <c r="AB282">
        <v>1872.3002000000001</v>
      </c>
      <c r="AC282">
        <v>1743.3345899999999</v>
      </c>
      <c r="AD282">
        <v>4173.7771899999998</v>
      </c>
      <c r="AE282">
        <v>3424.7194400000003</v>
      </c>
    </row>
    <row r="283" spans="1:31">
      <c r="A283" t="s">
        <v>75</v>
      </c>
      <c r="B283" s="216" t="str">
        <f t="shared" si="4"/>
        <v>Jan-22</v>
      </c>
      <c r="C283" s="217">
        <v>44562</v>
      </c>
      <c r="D283">
        <v>17851.439419999995</v>
      </c>
      <c r="E283">
        <v>2578.5364499999964</v>
      </c>
      <c r="F283">
        <v>3334.0093000000002</v>
      </c>
      <c r="G283">
        <v>2502.9342900000001</v>
      </c>
      <c r="H283">
        <v>2222.4802399999999</v>
      </c>
      <c r="I283">
        <v>1969.3691100000001</v>
      </c>
      <c r="J283">
        <v>2365.38616</v>
      </c>
      <c r="K283">
        <v>655.77148</v>
      </c>
      <c r="L283">
        <v>1125.6865299999999</v>
      </c>
      <c r="M283">
        <v>520.37</v>
      </c>
      <c r="N283">
        <v>576.89585999999997</v>
      </c>
      <c r="U283" s="221" t="s">
        <v>71</v>
      </c>
      <c r="V283">
        <v>2711.30195</v>
      </c>
      <c r="W283">
        <v>3300.09843</v>
      </c>
      <c r="X283">
        <v>2596.4129800000001</v>
      </c>
      <c r="Y283">
        <v>1924.1668500000001</v>
      </c>
      <c r="Z283">
        <v>2035.4863499999999</v>
      </c>
      <c r="AA283">
        <v>2370.3040999999998</v>
      </c>
      <c r="AB283">
        <v>333.05279000000002</v>
      </c>
      <c r="AC283">
        <v>272.32342999999997</v>
      </c>
      <c r="AD283">
        <v>202.43332000000001</v>
      </c>
      <c r="AE283">
        <v>1566.51261</v>
      </c>
    </row>
    <row r="284" spans="1:31">
      <c r="A284" t="s">
        <v>75</v>
      </c>
      <c r="B284" s="216" t="str">
        <f t="shared" si="4"/>
        <v>Feb-22</v>
      </c>
      <c r="C284" s="217">
        <v>44593</v>
      </c>
      <c r="D284">
        <v>18017.158979999997</v>
      </c>
      <c r="E284">
        <v>2604.6</v>
      </c>
      <c r="F284">
        <v>3350.4129699999999</v>
      </c>
      <c r="G284">
        <v>2533.9542999999999</v>
      </c>
      <c r="H284">
        <v>2263.3981800000001</v>
      </c>
      <c r="I284">
        <v>1987.4157700000001</v>
      </c>
      <c r="J284">
        <v>2379.54286</v>
      </c>
      <c r="K284">
        <v>659.50053000000003</v>
      </c>
      <c r="L284">
        <v>1137.5065500000001</v>
      </c>
      <c r="M284">
        <v>519.95862999999997</v>
      </c>
      <c r="N284">
        <v>580.86919</v>
      </c>
      <c r="U284" s="221" t="s">
        <v>69</v>
      </c>
      <c r="V284">
        <v>754.27814000000001</v>
      </c>
      <c r="W284">
        <v>924.08029999999997</v>
      </c>
      <c r="X284">
        <v>908.04115999999999</v>
      </c>
      <c r="Y284">
        <v>608.78558999999996</v>
      </c>
      <c r="Z284">
        <v>550.94228999999996</v>
      </c>
      <c r="AA284">
        <v>765.53799000000004</v>
      </c>
      <c r="AB284">
        <v>128.56908000000001</v>
      </c>
      <c r="AC284">
        <v>62.974139999999998</v>
      </c>
      <c r="AD284">
        <v>123.51224000000001</v>
      </c>
      <c r="AE284">
        <v>1082.1129100000001</v>
      </c>
    </row>
    <row r="285" spans="1:31">
      <c r="A285" t="s">
        <v>75</v>
      </c>
      <c r="B285" s="216" t="str">
        <f t="shared" si="4"/>
        <v>Mar-22</v>
      </c>
      <c r="C285" s="217">
        <v>44621</v>
      </c>
      <c r="D285">
        <v>18111.879809999999</v>
      </c>
      <c r="E285">
        <v>2628.0496799999987</v>
      </c>
      <c r="F285">
        <v>3364.0993199999998</v>
      </c>
      <c r="G285">
        <v>2537.2543300000002</v>
      </c>
      <c r="H285">
        <v>2270.7703299999998</v>
      </c>
      <c r="I285">
        <v>2011.87736</v>
      </c>
      <c r="J285">
        <v>2394.1361900000002</v>
      </c>
      <c r="K285">
        <v>664.29837999999995</v>
      </c>
      <c r="L285">
        <v>1137.9532400000001</v>
      </c>
      <c r="M285">
        <v>515.85197000000005</v>
      </c>
      <c r="N285">
        <v>587.58901000000003</v>
      </c>
      <c r="U285" s="221" t="s">
        <v>72</v>
      </c>
      <c r="V285">
        <v>227.72220999999999</v>
      </c>
      <c r="W285">
        <v>250.38748000000001</v>
      </c>
      <c r="X285">
        <v>491.84559000000002</v>
      </c>
      <c r="Y285">
        <v>202.61761000000001</v>
      </c>
      <c r="Z285">
        <v>178.05287000000001</v>
      </c>
      <c r="AA285">
        <v>300.23077000000001</v>
      </c>
      <c r="AB285">
        <v>3</v>
      </c>
      <c r="AC285">
        <v>249.17813000000001</v>
      </c>
      <c r="AD285">
        <v>137.65333000000001</v>
      </c>
      <c r="AE285">
        <v>0</v>
      </c>
    </row>
    <row r="286" spans="1:31">
      <c r="A286" t="s">
        <v>75</v>
      </c>
      <c r="B286" s="216" t="str">
        <f t="shared" si="4"/>
        <v>Apr-22</v>
      </c>
      <c r="C286" s="217">
        <v>44652</v>
      </c>
      <c r="D286">
        <v>18052.855589999999</v>
      </c>
      <c r="E286">
        <v>2627.4830299999999</v>
      </c>
      <c r="F286">
        <v>3364.6540100000002</v>
      </c>
      <c r="G286">
        <v>2539.9924000000001</v>
      </c>
      <c r="H286">
        <v>2251.6711500000001</v>
      </c>
      <c r="I286">
        <v>2002.3679299999999</v>
      </c>
      <c r="J286">
        <v>2365.3723300000001</v>
      </c>
      <c r="K286">
        <v>663.75171</v>
      </c>
      <c r="L286">
        <v>1144.2353700000001</v>
      </c>
      <c r="M286">
        <v>508.18531999999999</v>
      </c>
      <c r="N286">
        <v>585.14233999999999</v>
      </c>
      <c r="U286" s="221" t="s">
        <v>73</v>
      </c>
      <c r="V286">
        <v>2</v>
      </c>
      <c r="W286">
        <v>368.26</v>
      </c>
      <c r="X286">
        <v>242.0866</v>
      </c>
      <c r="Y286">
        <v>391.46665999999999</v>
      </c>
      <c r="Z286">
        <v>210.74665999999999</v>
      </c>
      <c r="AA286">
        <v>349</v>
      </c>
      <c r="AB286">
        <v>22.8</v>
      </c>
      <c r="AC286">
        <v>0</v>
      </c>
      <c r="AD286">
        <v>4.5999999999999996</v>
      </c>
      <c r="AE286">
        <v>0</v>
      </c>
    </row>
    <row r="287" spans="1:31">
      <c r="A287" t="s">
        <v>76</v>
      </c>
      <c r="B287" s="216" t="str">
        <f t="shared" si="4"/>
        <v>May-21</v>
      </c>
      <c r="C287" s="217">
        <v>44317</v>
      </c>
      <c r="D287">
        <v>7084.6639300000015</v>
      </c>
      <c r="E287">
        <v>995.71443999999997</v>
      </c>
      <c r="F287">
        <v>1252.93986</v>
      </c>
      <c r="G287">
        <v>1141.0780600000001</v>
      </c>
      <c r="H287">
        <v>1110.4645599999999</v>
      </c>
      <c r="I287">
        <v>946.82308</v>
      </c>
      <c r="J287">
        <v>1026.63194</v>
      </c>
      <c r="K287">
        <v>169.64669000000001</v>
      </c>
      <c r="L287">
        <v>0.66666999999999998</v>
      </c>
      <c r="M287">
        <v>376.55196999999998</v>
      </c>
      <c r="N287">
        <v>64.146659999999997</v>
      </c>
      <c r="U287" s="221" t="s">
        <v>74</v>
      </c>
      <c r="V287">
        <v>451.12490000000003</v>
      </c>
      <c r="W287">
        <v>735.41678999999999</v>
      </c>
      <c r="X287">
        <v>717.13350000000003</v>
      </c>
      <c r="Y287">
        <v>370.96947</v>
      </c>
      <c r="Z287">
        <v>336.88258999999999</v>
      </c>
      <c r="AA287">
        <v>370.41892000000001</v>
      </c>
      <c r="AB287">
        <v>70.245080000000002</v>
      </c>
      <c r="AC287">
        <v>7.5</v>
      </c>
      <c r="AD287">
        <v>61.52666</v>
      </c>
      <c r="AE287">
        <v>1</v>
      </c>
    </row>
    <row r="288" spans="1:31">
      <c r="A288" t="s">
        <v>76</v>
      </c>
      <c r="B288" s="216" t="str">
        <f t="shared" si="4"/>
        <v>Jun-21</v>
      </c>
      <c r="C288" s="217">
        <v>44348</v>
      </c>
      <c r="D288">
        <v>6738.0267400000002</v>
      </c>
      <c r="E288">
        <v>997.61443999999995</v>
      </c>
      <c r="F288">
        <v>1238.53253</v>
      </c>
      <c r="G288">
        <v>1117.1847700000001</v>
      </c>
      <c r="H288">
        <v>1115.6613400000001</v>
      </c>
      <c r="I288">
        <v>946.50976000000003</v>
      </c>
      <c r="J288">
        <v>1023.65859</v>
      </c>
      <c r="K288">
        <v>171.96669</v>
      </c>
      <c r="L288">
        <v>0.66666999999999998</v>
      </c>
      <c r="M288">
        <v>62.258629999999997</v>
      </c>
      <c r="N288">
        <v>63.973320000000001</v>
      </c>
      <c r="U288" s="221" t="s">
        <v>75</v>
      </c>
      <c r="V288">
        <v>2335.21893</v>
      </c>
      <c r="W288">
        <v>2985.1244200000001</v>
      </c>
      <c r="X288">
        <v>2153.7281200000002</v>
      </c>
      <c r="Y288">
        <v>2076.1528499999999</v>
      </c>
      <c r="Z288">
        <v>1693.8965599999999</v>
      </c>
      <c r="AA288">
        <v>2126.2995700000001</v>
      </c>
      <c r="AB288">
        <v>557.36090000000002</v>
      </c>
      <c r="AC288">
        <v>995.99640999999997</v>
      </c>
      <c r="AD288">
        <v>2574.5617999999999</v>
      </c>
      <c r="AE288">
        <v>551.16057999999998</v>
      </c>
    </row>
    <row r="289" spans="1:34">
      <c r="A289" t="s">
        <v>76</v>
      </c>
      <c r="B289" s="216" t="str">
        <f t="shared" si="4"/>
        <v>Jul-21</v>
      </c>
      <c r="C289" s="217">
        <v>44378</v>
      </c>
      <c r="D289">
        <v>6700.9030900000007</v>
      </c>
      <c r="E289">
        <v>991.61416999999994</v>
      </c>
      <c r="F289">
        <v>1230.43921</v>
      </c>
      <c r="G289">
        <v>1125.2380900000001</v>
      </c>
      <c r="H289">
        <v>1109.27126</v>
      </c>
      <c r="I289">
        <v>922.24311</v>
      </c>
      <c r="J289">
        <v>1025.1186</v>
      </c>
      <c r="K289">
        <v>171.44668999999999</v>
      </c>
      <c r="L289">
        <v>0.66666999999999998</v>
      </c>
      <c r="M289">
        <v>61.891970000000001</v>
      </c>
      <c r="N289">
        <v>62.973320000000001</v>
      </c>
      <c r="U289" s="221" t="s">
        <v>76</v>
      </c>
      <c r="V289">
        <v>993.40669000000003</v>
      </c>
      <c r="W289">
        <v>1271.40354</v>
      </c>
      <c r="X289">
        <v>1054.8945100000001</v>
      </c>
      <c r="Y289">
        <v>1114.02134</v>
      </c>
      <c r="Z289">
        <v>1054.0692100000001</v>
      </c>
      <c r="AA289">
        <v>1054.3364200000001</v>
      </c>
      <c r="AB289">
        <v>166.61336</v>
      </c>
      <c r="AC289">
        <v>0.66666999999999998</v>
      </c>
      <c r="AD289">
        <v>344.25862999999998</v>
      </c>
      <c r="AE289">
        <v>59.626660000000001</v>
      </c>
    </row>
    <row r="290" spans="1:34">
      <c r="A290" t="s">
        <v>76</v>
      </c>
      <c r="B290" s="216" t="str">
        <f t="shared" si="4"/>
        <v>Aug-21</v>
      </c>
      <c r="C290" s="217">
        <v>44409</v>
      </c>
      <c r="D290">
        <v>6660.3147499999995</v>
      </c>
      <c r="E290">
        <v>987.80586000000005</v>
      </c>
      <c r="F290">
        <v>1223.3458700000001</v>
      </c>
      <c r="G290">
        <v>1113.99809</v>
      </c>
      <c r="H290">
        <v>1099.1045999999999</v>
      </c>
      <c r="I290">
        <v>917.52309000000002</v>
      </c>
      <c r="J290">
        <v>1025.2185899999999</v>
      </c>
      <c r="K290">
        <v>170.44668999999999</v>
      </c>
      <c r="L290">
        <v>0.66666999999999998</v>
      </c>
      <c r="M290">
        <v>60.231969999999997</v>
      </c>
      <c r="N290">
        <v>61.973320000000001</v>
      </c>
      <c r="U290" s="221" t="s">
        <v>77</v>
      </c>
      <c r="V290">
        <v>3525.7132499999998</v>
      </c>
      <c r="W290">
        <v>4935.1349799999998</v>
      </c>
      <c r="X290">
        <v>4108.6476899999998</v>
      </c>
      <c r="Y290">
        <v>3336.9361199999998</v>
      </c>
      <c r="Z290">
        <v>2703.5466799999999</v>
      </c>
      <c r="AA290">
        <v>3478.5965099999999</v>
      </c>
      <c r="AB290">
        <v>556.25629000000004</v>
      </c>
      <c r="AC290">
        <v>59.433309999999999</v>
      </c>
      <c r="AD290">
        <v>189.57999000000001</v>
      </c>
      <c r="AE290">
        <v>163.30668</v>
      </c>
    </row>
    <row r="291" spans="1:34">
      <c r="A291" t="s">
        <v>76</v>
      </c>
      <c r="B291" s="216" t="str">
        <f t="shared" si="4"/>
        <v>Sep-21</v>
      </c>
      <c r="C291" s="217">
        <v>44440</v>
      </c>
      <c r="D291">
        <v>6639.3683700000001</v>
      </c>
      <c r="E291">
        <v>990.46933000000001</v>
      </c>
      <c r="F291">
        <v>1221.3191899999999</v>
      </c>
      <c r="G291">
        <v>1102.6114600000001</v>
      </c>
      <c r="H291">
        <v>1094.1814099999999</v>
      </c>
      <c r="I291">
        <v>913.72308999999996</v>
      </c>
      <c r="J291">
        <v>1025.3385699999999</v>
      </c>
      <c r="K291">
        <v>171.18002999999999</v>
      </c>
      <c r="L291">
        <v>0.66666999999999998</v>
      </c>
      <c r="M291">
        <v>57.905299999999997</v>
      </c>
      <c r="N291">
        <v>61.973320000000001</v>
      </c>
      <c r="U291" s="221" t="s">
        <v>78</v>
      </c>
      <c r="V291">
        <v>1027.1549</v>
      </c>
      <c r="W291">
        <v>1421.8378700000001</v>
      </c>
      <c r="X291">
        <v>1398.8029100000001</v>
      </c>
      <c r="Y291">
        <v>1000.59366</v>
      </c>
      <c r="Z291">
        <v>697.70807000000002</v>
      </c>
      <c r="AA291">
        <v>1069.64949</v>
      </c>
      <c r="AB291">
        <v>34.402700000000003</v>
      </c>
      <c r="AC291">
        <v>95.262500000000003</v>
      </c>
      <c r="AD291">
        <v>535.65121999999997</v>
      </c>
      <c r="AE291">
        <v>1</v>
      </c>
    </row>
    <row r="292" spans="1:34">
      <c r="A292" t="s">
        <v>76</v>
      </c>
      <c r="B292" s="216" t="str">
        <f t="shared" si="4"/>
        <v>Oct-21</v>
      </c>
      <c r="C292" s="217">
        <v>44470</v>
      </c>
      <c r="D292">
        <v>6600.8670400000001</v>
      </c>
      <c r="E292">
        <v>984.88265999999999</v>
      </c>
      <c r="F292">
        <v>1221.0151699999999</v>
      </c>
      <c r="G292">
        <v>1091.80747</v>
      </c>
      <c r="H292">
        <v>1093.2080599999999</v>
      </c>
      <c r="I292">
        <v>896.10974999999996</v>
      </c>
      <c r="J292">
        <v>1019.50526</v>
      </c>
      <c r="K292">
        <v>174.04670999999999</v>
      </c>
      <c r="L292">
        <v>0.66666999999999998</v>
      </c>
      <c r="M292">
        <v>57.651969999999999</v>
      </c>
      <c r="N292">
        <v>61.973320000000001</v>
      </c>
      <c r="U292" s="7" t="s">
        <v>107</v>
      </c>
      <c r="V292">
        <v>12299.29062</v>
      </c>
      <c r="W292">
        <v>16278.704530000001</v>
      </c>
      <c r="X292">
        <v>13739.93075</v>
      </c>
      <c r="Y292">
        <v>11143.406950000001</v>
      </c>
      <c r="Z292">
        <v>9447.2574999999997</v>
      </c>
      <c r="AA292">
        <v>11773.27693</v>
      </c>
      <c r="AB292">
        <v>2009.58745</v>
      </c>
      <c r="AC292">
        <v>1969.3748699999999</v>
      </c>
      <c r="AD292">
        <v>1624.1876600000001</v>
      </c>
      <c r="AE292">
        <v>3879.3339800000008</v>
      </c>
    </row>
    <row r="293" spans="1:34">
      <c r="A293" t="s">
        <v>76</v>
      </c>
      <c r="B293" s="216" t="str">
        <f t="shared" si="4"/>
        <v>Nov-21</v>
      </c>
      <c r="C293" s="217">
        <v>44501</v>
      </c>
      <c r="D293">
        <v>6609.1483699999999</v>
      </c>
      <c r="E293">
        <v>986.75599999999997</v>
      </c>
      <c r="F293">
        <v>1224.81755</v>
      </c>
      <c r="G293">
        <v>1091.34638</v>
      </c>
      <c r="H293">
        <v>1099.0214100000001</v>
      </c>
      <c r="I293">
        <v>891.32975999999996</v>
      </c>
      <c r="J293">
        <v>1017.4986</v>
      </c>
      <c r="K293">
        <v>176.68671000000001</v>
      </c>
      <c r="L293">
        <v>0.66666999999999998</v>
      </c>
      <c r="M293">
        <v>58.651969999999999</v>
      </c>
      <c r="N293">
        <v>62.37332</v>
      </c>
      <c r="U293" s="221" t="s">
        <v>71</v>
      </c>
      <c r="V293">
        <v>2653.66527</v>
      </c>
      <c r="W293">
        <v>3508.1293300000002</v>
      </c>
      <c r="X293">
        <v>2812.8336399999998</v>
      </c>
      <c r="Y293">
        <v>2096.88996</v>
      </c>
      <c r="Z293">
        <v>2096.4385400000001</v>
      </c>
      <c r="AA293">
        <v>2407.0033100000001</v>
      </c>
      <c r="AB293">
        <v>386.40535999999997</v>
      </c>
      <c r="AC293">
        <v>346.40875999999997</v>
      </c>
      <c r="AD293">
        <v>365.01279</v>
      </c>
      <c r="AE293">
        <v>2041.6222</v>
      </c>
    </row>
    <row r="294" spans="1:34">
      <c r="A294" t="s">
        <v>76</v>
      </c>
      <c r="B294" s="216" t="str">
        <f t="shared" si="4"/>
        <v>Dec-21</v>
      </c>
      <c r="C294" s="217">
        <v>44531</v>
      </c>
      <c r="D294">
        <v>6694.9184800000012</v>
      </c>
      <c r="E294">
        <v>984.70586000000003</v>
      </c>
      <c r="F294">
        <v>1237.6908699999999</v>
      </c>
      <c r="G294">
        <v>1166.6647</v>
      </c>
      <c r="H294">
        <v>1103.27</v>
      </c>
      <c r="I294">
        <v>892.60979999999995</v>
      </c>
      <c r="J294">
        <v>1013.57192</v>
      </c>
      <c r="K294">
        <v>177.88670999999999</v>
      </c>
      <c r="L294">
        <v>0.66666999999999998</v>
      </c>
      <c r="M294">
        <v>57.798630000000003</v>
      </c>
      <c r="N294">
        <v>60.053319999999999</v>
      </c>
      <c r="U294" s="221" t="s">
        <v>69</v>
      </c>
      <c r="V294">
        <v>771.35523999999998</v>
      </c>
      <c r="W294">
        <v>1059.6966</v>
      </c>
      <c r="X294">
        <v>1225.67795</v>
      </c>
      <c r="Y294">
        <v>717.42930999999999</v>
      </c>
      <c r="Z294">
        <v>625.22758999999996</v>
      </c>
      <c r="AA294">
        <v>845.93800999999996</v>
      </c>
      <c r="AB294">
        <v>131.93227999999999</v>
      </c>
      <c r="AC294">
        <v>66.254140000000007</v>
      </c>
      <c r="AD294">
        <v>121.99263999999999</v>
      </c>
      <c r="AE294">
        <v>1010.74944</v>
      </c>
    </row>
    <row r="295" spans="1:34">
      <c r="A295" t="s">
        <v>76</v>
      </c>
      <c r="B295" s="216" t="str">
        <f t="shared" si="4"/>
        <v>Jan-22</v>
      </c>
      <c r="C295" s="217">
        <v>44562</v>
      </c>
      <c r="D295">
        <v>6664.4673399999938</v>
      </c>
      <c r="E295">
        <v>989.10584999999446</v>
      </c>
      <c r="F295">
        <v>1260.80618</v>
      </c>
      <c r="G295">
        <v>1102.5464099999999</v>
      </c>
      <c r="H295">
        <v>1103.35474</v>
      </c>
      <c r="I295">
        <v>894.59649000000002</v>
      </c>
      <c r="J295">
        <v>1012.05862</v>
      </c>
      <c r="K295">
        <v>181.62906000000001</v>
      </c>
      <c r="L295">
        <v>0.66666999999999998</v>
      </c>
      <c r="M295">
        <v>57.65</v>
      </c>
      <c r="N295">
        <v>62.053319999999999</v>
      </c>
      <c r="U295" s="221" t="s">
        <v>72</v>
      </c>
      <c r="V295">
        <v>222.72219999999999</v>
      </c>
      <c r="W295">
        <v>259.04748000000001</v>
      </c>
      <c r="X295">
        <v>494.84960000000001</v>
      </c>
      <c r="Y295">
        <v>202.99760000000001</v>
      </c>
      <c r="Z295">
        <v>177.92860999999999</v>
      </c>
      <c r="AA295">
        <v>307.01612</v>
      </c>
      <c r="AB295">
        <v>5</v>
      </c>
      <c r="AC295">
        <v>340.26292000000001</v>
      </c>
      <c r="AD295">
        <v>146.35333</v>
      </c>
      <c r="AE295">
        <v>0</v>
      </c>
    </row>
    <row r="296" spans="1:34">
      <c r="A296" t="s">
        <v>76</v>
      </c>
      <c r="B296" s="216" t="str">
        <f t="shared" si="4"/>
        <v>Feb-22</v>
      </c>
      <c r="C296" s="217">
        <v>44593</v>
      </c>
      <c r="D296">
        <v>6664.0686299999998</v>
      </c>
      <c r="E296">
        <v>987.79</v>
      </c>
      <c r="F296">
        <v>1269.79817</v>
      </c>
      <c r="G296">
        <v>1111.2362800000001</v>
      </c>
      <c r="H296">
        <v>1098.4147399999999</v>
      </c>
      <c r="I296">
        <v>892.07646999999997</v>
      </c>
      <c r="J296">
        <v>1006.82529</v>
      </c>
      <c r="K296">
        <v>181.46239</v>
      </c>
      <c r="L296">
        <v>0.66666999999999998</v>
      </c>
      <c r="M296">
        <v>55.7453</v>
      </c>
      <c r="N296">
        <v>60.053319999999999</v>
      </c>
      <c r="U296" s="221" t="s">
        <v>73</v>
      </c>
      <c r="V296">
        <v>1</v>
      </c>
      <c r="W296">
        <v>51.3</v>
      </c>
      <c r="X296">
        <v>29.67998</v>
      </c>
      <c r="Y296">
        <v>23.8</v>
      </c>
      <c r="Z296">
        <v>1</v>
      </c>
      <c r="AA296">
        <v>1</v>
      </c>
      <c r="AB296">
        <v>0</v>
      </c>
      <c r="AC296">
        <v>0</v>
      </c>
      <c r="AD296">
        <v>3.1333199999999999</v>
      </c>
      <c r="AE296">
        <v>0</v>
      </c>
    </row>
    <row r="297" spans="1:34">
      <c r="A297" t="s">
        <v>76</v>
      </c>
      <c r="B297" s="216" t="str">
        <f t="shared" si="4"/>
        <v>Mar-22</v>
      </c>
      <c r="C297" s="217">
        <v>44621</v>
      </c>
      <c r="D297">
        <v>6686.7461099999937</v>
      </c>
      <c r="E297">
        <v>984.20637999999417</v>
      </c>
      <c r="F297">
        <v>1297.7248300000001</v>
      </c>
      <c r="G297">
        <v>1124.6096199999999</v>
      </c>
      <c r="H297">
        <v>1096.5848800000001</v>
      </c>
      <c r="I297">
        <v>887.20979</v>
      </c>
      <c r="J297">
        <v>999.03860999999995</v>
      </c>
      <c r="K297">
        <v>179.58672000000001</v>
      </c>
      <c r="L297">
        <v>0.66666999999999998</v>
      </c>
      <c r="M297">
        <v>56.131959999999999</v>
      </c>
      <c r="N297">
        <v>60.986649999999997</v>
      </c>
      <c r="U297" s="221" t="s">
        <v>74</v>
      </c>
      <c r="V297">
        <v>428.23635000000002</v>
      </c>
      <c r="W297">
        <v>626.28875000000005</v>
      </c>
      <c r="X297">
        <v>451.58201000000003</v>
      </c>
      <c r="Y297">
        <v>336.31747000000001</v>
      </c>
      <c r="Z297">
        <v>300.60444000000001</v>
      </c>
      <c r="AA297">
        <v>338.55734000000001</v>
      </c>
      <c r="AB297">
        <v>72.918660000000003</v>
      </c>
      <c r="AC297">
        <v>10.5</v>
      </c>
      <c r="AD297">
        <v>47.206659999999999</v>
      </c>
      <c r="AE297">
        <v>2</v>
      </c>
    </row>
    <row r="298" spans="1:34">
      <c r="A298" t="s">
        <v>76</v>
      </c>
      <c r="B298" s="216" t="str">
        <f t="shared" si="4"/>
        <v>Apr-22</v>
      </c>
      <c r="C298" s="217">
        <v>44652</v>
      </c>
      <c r="D298">
        <v>6676.7458899999992</v>
      </c>
      <c r="E298">
        <v>984.29971999999998</v>
      </c>
      <c r="F298">
        <v>1298.62003</v>
      </c>
      <c r="G298">
        <v>1144.5688399999999</v>
      </c>
      <c r="H298">
        <v>1090.0883799999999</v>
      </c>
      <c r="I298">
        <v>867.79376000000002</v>
      </c>
      <c r="J298">
        <v>994.58475999999996</v>
      </c>
      <c r="K298">
        <v>180.98671999999999</v>
      </c>
      <c r="L298">
        <v>0.66666999999999998</v>
      </c>
      <c r="M298">
        <v>55.923690000000001</v>
      </c>
      <c r="N298">
        <v>59.213320000000003</v>
      </c>
      <c r="U298" s="221" t="s">
        <v>75</v>
      </c>
      <c r="V298">
        <v>2472.1709500000002</v>
      </c>
      <c r="W298">
        <v>3162.4500600000001</v>
      </c>
      <c r="X298">
        <v>2378.9778799999999</v>
      </c>
      <c r="Y298">
        <v>2202.8516800000002</v>
      </c>
      <c r="Z298">
        <v>1862.2517800000001</v>
      </c>
      <c r="AA298">
        <v>2317.90472</v>
      </c>
      <c r="AB298">
        <v>636.67584999999997</v>
      </c>
      <c r="AC298">
        <v>1036.59907</v>
      </c>
      <c r="AD298">
        <v>507.57862999999998</v>
      </c>
      <c r="AE298">
        <v>551.38903000000005</v>
      </c>
    </row>
    <row r="299" spans="1:34">
      <c r="A299" t="s">
        <v>77</v>
      </c>
      <c r="B299" s="216" t="str">
        <f t="shared" si="4"/>
        <v>May-21</v>
      </c>
      <c r="C299" s="217">
        <v>44317</v>
      </c>
      <c r="D299">
        <v>23963.775380000003</v>
      </c>
      <c r="E299">
        <v>3825.1871099999998</v>
      </c>
      <c r="F299">
        <v>5121.8922599999996</v>
      </c>
      <c r="G299">
        <v>4045.81068</v>
      </c>
      <c r="H299">
        <v>3553.2812899999999</v>
      </c>
      <c r="I299">
        <v>2788.5704599999999</v>
      </c>
      <c r="J299">
        <v>3584.90879</v>
      </c>
      <c r="K299">
        <v>568.69147999999996</v>
      </c>
      <c r="L299">
        <v>67.833309999999997</v>
      </c>
      <c r="M299">
        <v>199.39999</v>
      </c>
      <c r="N299">
        <v>208.20000999999999</v>
      </c>
      <c r="U299" s="221" t="s">
        <v>76</v>
      </c>
      <c r="V299">
        <v>997.61443999999995</v>
      </c>
      <c r="W299">
        <v>1238.53253</v>
      </c>
      <c r="X299">
        <v>1117.1847700000001</v>
      </c>
      <c r="Y299">
        <v>1115.6613400000001</v>
      </c>
      <c r="Z299">
        <v>946.50976000000003</v>
      </c>
      <c r="AA299">
        <v>1023.65859</v>
      </c>
      <c r="AB299">
        <v>171.96669</v>
      </c>
      <c r="AC299">
        <v>0.66666999999999998</v>
      </c>
      <c r="AD299">
        <v>62.258629999999997</v>
      </c>
      <c r="AE299">
        <v>63.973320000000001</v>
      </c>
    </row>
    <row r="300" spans="1:34">
      <c r="A300" t="s">
        <v>77</v>
      </c>
      <c r="B300" s="216" t="str">
        <f t="shared" si="4"/>
        <v>Jun-21</v>
      </c>
      <c r="C300" s="217">
        <v>44348</v>
      </c>
      <c r="D300">
        <v>23977.043280000005</v>
      </c>
      <c r="E300">
        <v>3821.5705800000001</v>
      </c>
      <c r="F300">
        <v>5131.4899299999997</v>
      </c>
      <c r="G300">
        <v>4047.1097300000001</v>
      </c>
      <c r="H300">
        <v>3551.3527600000002</v>
      </c>
      <c r="I300">
        <v>2790.5331200000001</v>
      </c>
      <c r="J300">
        <v>3587.0221200000001</v>
      </c>
      <c r="K300">
        <v>570.42507999999998</v>
      </c>
      <c r="L300">
        <v>71.833309999999997</v>
      </c>
      <c r="M300">
        <v>197.10666000000001</v>
      </c>
      <c r="N300">
        <v>208.59998999999999</v>
      </c>
      <c r="U300" s="221" t="s">
        <v>77</v>
      </c>
      <c r="V300">
        <v>3821.5705800000001</v>
      </c>
      <c r="W300">
        <v>5131.4899299999997</v>
      </c>
      <c r="X300">
        <v>4047.1097300000001</v>
      </c>
      <c r="Y300">
        <v>3551.3527600000002</v>
      </c>
      <c r="Z300">
        <v>2790.5331200000001</v>
      </c>
      <c r="AA300">
        <v>3587.0221200000001</v>
      </c>
      <c r="AB300">
        <v>570.42507999999998</v>
      </c>
      <c r="AC300">
        <v>71.833309999999997</v>
      </c>
      <c r="AD300">
        <v>197.10666000000001</v>
      </c>
      <c r="AE300">
        <v>208.59998999999999</v>
      </c>
    </row>
    <row r="301" spans="1:34">
      <c r="A301" t="s">
        <v>77</v>
      </c>
      <c r="B301" s="216" t="str">
        <f t="shared" si="4"/>
        <v>Jul-21</v>
      </c>
      <c r="C301" s="217">
        <v>44378</v>
      </c>
      <c r="D301">
        <v>23896.418819999999</v>
      </c>
      <c r="E301">
        <v>3795.9516600000002</v>
      </c>
      <c r="F301">
        <v>5149.4486100000004</v>
      </c>
      <c r="G301">
        <v>4031.0121399999998</v>
      </c>
      <c r="H301">
        <v>3541.2085000000002</v>
      </c>
      <c r="I301">
        <v>2785.7547300000001</v>
      </c>
      <c r="J301">
        <v>3556.11814</v>
      </c>
      <c r="K301">
        <v>564.48506999999995</v>
      </c>
      <c r="L301">
        <v>73.293310000000005</v>
      </c>
      <c r="M301">
        <v>192.42666</v>
      </c>
      <c r="N301">
        <v>206.72</v>
      </c>
      <c r="U301" s="221" t="s">
        <v>78</v>
      </c>
      <c r="V301">
        <v>930.95559000000003</v>
      </c>
      <c r="W301">
        <v>1241.7698499999999</v>
      </c>
      <c r="X301">
        <v>1182.0351900000001</v>
      </c>
      <c r="Y301">
        <v>896.10682999999995</v>
      </c>
      <c r="Z301">
        <v>646.76365999999996</v>
      </c>
      <c r="AA301">
        <v>945.17672000000005</v>
      </c>
      <c r="AB301">
        <v>34.263530000000003</v>
      </c>
      <c r="AC301">
        <v>96.85</v>
      </c>
      <c r="AD301">
        <v>173.54499999999999</v>
      </c>
      <c r="AE301">
        <v>1</v>
      </c>
    </row>
    <row r="302" spans="1:34">
      <c r="A302" t="s">
        <v>77</v>
      </c>
      <c r="B302" s="216" t="str">
        <f t="shared" si="4"/>
        <v>Aug-21</v>
      </c>
      <c r="C302" s="217">
        <v>44409</v>
      </c>
      <c r="D302">
        <v>23804.238169999997</v>
      </c>
      <c r="E302">
        <v>3771.6055200000001</v>
      </c>
      <c r="F302">
        <v>5145.9286700000002</v>
      </c>
      <c r="G302">
        <v>4021.2382899999998</v>
      </c>
      <c r="H302">
        <v>3520.0127499999999</v>
      </c>
      <c r="I302">
        <v>2788.8414299999999</v>
      </c>
      <c r="J302">
        <v>3530.9781600000001</v>
      </c>
      <c r="K302">
        <v>554.83601999999996</v>
      </c>
      <c r="L302">
        <v>73.786649999999995</v>
      </c>
      <c r="M302">
        <v>192.21333000000001</v>
      </c>
      <c r="N302">
        <v>204.79734999999999</v>
      </c>
      <c r="U302" s="7" t="s">
        <v>108</v>
      </c>
      <c r="V302">
        <v>12232.034640000002</v>
      </c>
      <c r="W302">
        <v>16783.419100000003</v>
      </c>
      <c r="X302">
        <v>13966.57539</v>
      </c>
      <c r="Y302">
        <v>10956.108339999999</v>
      </c>
      <c r="Z302">
        <v>9706.514000000001</v>
      </c>
      <c r="AA302">
        <v>11718.423299999999</v>
      </c>
      <c r="AB302">
        <v>2029.2968400000002</v>
      </c>
      <c r="AC302">
        <v>2135.44218</v>
      </c>
      <c r="AD302">
        <v>1417.4812300000001</v>
      </c>
      <c r="AE302">
        <v>3981.3718899999999</v>
      </c>
      <c r="AF302">
        <v>362.62030999999996</v>
      </c>
      <c r="AG302">
        <v>970.26</v>
      </c>
      <c r="AH302">
        <v>0</v>
      </c>
    </row>
    <row r="303" spans="1:34">
      <c r="A303" t="s">
        <v>77</v>
      </c>
      <c r="B303" s="216" t="str">
        <f t="shared" si="4"/>
        <v>Sep-21</v>
      </c>
      <c r="C303" s="217">
        <v>44440</v>
      </c>
      <c r="D303">
        <v>23924.497950000001</v>
      </c>
      <c r="E303">
        <v>3770.3121900000001</v>
      </c>
      <c r="F303">
        <v>5174.6798799999997</v>
      </c>
      <c r="G303">
        <v>4040.0774900000001</v>
      </c>
      <c r="H303">
        <v>3545.7199300000002</v>
      </c>
      <c r="I303">
        <v>2832.1169399999999</v>
      </c>
      <c r="J303">
        <v>3521.87815</v>
      </c>
      <c r="K303">
        <v>558.36270000000002</v>
      </c>
      <c r="L303">
        <v>73.786649999999995</v>
      </c>
      <c r="M303">
        <v>198.18</v>
      </c>
      <c r="N303">
        <v>209.38401999999999</v>
      </c>
      <c r="U303" s="221" t="s">
        <v>71</v>
      </c>
      <c r="V303">
        <v>2656.2068199999999</v>
      </c>
      <c r="W303">
        <v>3621.2222400000001</v>
      </c>
      <c r="X303">
        <v>2815.6435499999998</v>
      </c>
      <c r="Y303">
        <v>2073.7179799999999</v>
      </c>
      <c r="Z303">
        <v>2189.6777900000002</v>
      </c>
      <c r="AA303">
        <v>2492.2622000000001</v>
      </c>
      <c r="AB303">
        <v>394.30056000000002</v>
      </c>
      <c r="AC303">
        <v>333.03408999999999</v>
      </c>
      <c r="AD303">
        <v>225.31310999999999</v>
      </c>
      <c r="AE303">
        <v>2045.28413</v>
      </c>
      <c r="AF303">
        <v>2.5</v>
      </c>
      <c r="AG303">
        <v>0</v>
      </c>
      <c r="AH303">
        <v>0</v>
      </c>
    </row>
    <row r="304" spans="1:34">
      <c r="A304" t="s">
        <v>77</v>
      </c>
      <c r="B304" s="216" t="str">
        <f t="shared" si="4"/>
        <v>Oct-21</v>
      </c>
      <c r="C304" s="217">
        <v>44470</v>
      </c>
      <c r="D304">
        <v>24276.802170000003</v>
      </c>
      <c r="E304">
        <v>3819.8183600000002</v>
      </c>
      <c r="F304">
        <v>5259.5622899999998</v>
      </c>
      <c r="G304">
        <v>4126.9390800000001</v>
      </c>
      <c r="H304">
        <v>3604.4079499999998</v>
      </c>
      <c r="I304">
        <v>2832.6203399999999</v>
      </c>
      <c r="J304">
        <v>3580.24746</v>
      </c>
      <c r="K304">
        <v>564.36269000000004</v>
      </c>
      <c r="L304">
        <v>76.18665</v>
      </c>
      <c r="M304">
        <v>203.54</v>
      </c>
      <c r="N304">
        <v>209.11734999999999</v>
      </c>
      <c r="U304" s="221" t="s">
        <v>69</v>
      </c>
      <c r="V304">
        <v>790.09816999999998</v>
      </c>
      <c r="W304">
        <v>1099.4131299999999</v>
      </c>
      <c r="X304">
        <v>1331.83385</v>
      </c>
      <c r="Y304">
        <v>708.48504000000003</v>
      </c>
      <c r="Z304">
        <v>659.15410999999995</v>
      </c>
      <c r="AA304">
        <v>851.83001999999999</v>
      </c>
      <c r="AB304">
        <v>131.70241999999999</v>
      </c>
      <c r="AC304">
        <v>65.844260000000006</v>
      </c>
      <c r="AD304">
        <v>138.24930000000001</v>
      </c>
      <c r="AE304">
        <v>1084.57476</v>
      </c>
      <c r="AF304">
        <v>4.8</v>
      </c>
      <c r="AG304">
        <v>0</v>
      </c>
      <c r="AH304">
        <v>0</v>
      </c>
    </row>
    <row r="305" spans="1:34">
      <c r="A305" t="s">
        <v>77</v>
      </c>
      <c r="B305" s="216" t="str">
        <f t="shared" si="4"/>
        <v>Nov-21</v>
      </c>
      <c r="C305" s="217">
        <v>44501</v>
      </c>
      <c r="D305">
        <v>24352.816420000003</v>
      </c>
      <c r="E305">
        <v>3830.5050299999998</v>
      </c>
      <c r="F305">
        <v>5258.45424</v>
      </c>
      <c r="G305">
        <v>4166.2633299999998</v>
      </c>
      <c r="H305">
        <v>3617.9994299999998</v>
      </c>
      <c r="I305">
        <v>2833.6333100000002</v>
      </c>
      <c r="J305">
        <v>3586.1205300000001</v>
      </c>
      <c r="K305">
        <v>565.80989</v>
      </c>
      <c r="L305">
        <v>83.239980000000003</v>
      </c>
      <c r="M305">
        <v>202.82</v>
      </c>
      <c r="N305">
        <v>207.97067999999999</v>
      </c>
      <c r="U305" s="221" t="s">
        <v>72</v>
      </c>
      <c r="V305">
        <v>228.19552999999999</v>
      </c>
      <c r="W305">
        <v>255.59386000000001</v>
      </c>
      <c r="X305">
        <v>533.44054000000006</v>
      </c>
      <c r="Y305">
        <v>192.82693</v>
      </c>
      <c r="Z305">
        <v>191.55528000000001</v>
      </c>
      <c r="AA305">
        <v>317.46946000000003</v>
      </c>
      <c r="AB305">
        <v>4.6133300000000004</v>
      </c>
      <c r="AC305">
        <v>375.53557999999998</v>
      </c>
      <c r="AD305">
        <v>156.62799000000001</v>
      </c>
      <c r="AE305">
        <v>0</v>
      </c>
      <c r="AF305">
        <v>0</v>
      </c>
      <c r="AG305">
        <v>0</v>
      </c>
      <c r="AH305">
        <v>0</v>
      </c>
    </row>
    <row r="306" spans="1:34">
      <c r="A306" t="s">
        <v>77</v>
      </c>
      <c r="B306" s="216" t="str">
        <f t="shared" si="4"/>
        <v>Dec-21</v>
      </c>
      <c r="C306" s="217">
        <v>44531</v>
      </c>
      <c r="D306">
        <v>24176.396509999999</v>
      </c>
      <c r="E306">
        <v>3804.2450199999998</v>
      </c>
      <c r="F306">
        <v>5241.25558</v>
      </c>
      <c r="G306">
        <v>4077.91617</v>
      </c>
      <c r="H306">
        <v>3593.82</v>
      </c>
      <c r="I306">
        <v>2813.8719900000001</v>
      </c>
      <c r="J306">
        <v>3570.9138699999999</v>
      </c>
      <c r="K306">
        <v>563.12989000000005</v>
      </c>
      <c r="L306">
        <v>86.866650000000007</v>
      </c>
      <c r="M306">
        <v>208.44</v>
      </c>
      <c r="N306">
        <v>215.93734000000001</v>
      </c>
      <c r="U306" s="221" t="s">
        <v>73</v>
      </c>
      <c r="V306">
        <v>11.5</v>
      </c>
      <c r="W306">
        <v>23.5</v>
      </c>
      <c r="X306">
        <v>37.566650000000003</v>
      </c>
      <c r="Y306">
        <v>49.933340000000001</v>
      </c>
      <c r="Z306">
        <v>1</v>
      </c>
      <c r="AA306">
        <v>0</v>
      </c>
      <c r="AB306">
        <v>0</v>
      </c>
      <c r="AC306">
        <v>0</v>
      </c>
      <c r="AD306">
        <v>3.0666500000000001</v>
      </c>
      <c r="AE306">
        <v>0</v>
      </c>
      <c r="AF306">
        <v>0</v>
      </c>
      <c r="AG306">
        <v>0</v>
      </c>
      <c r="AH306">
        <v>0</v>
      </c>
    </row>
    <row r="307" spans="1:34">
      <c r="A307" t="s">
        <v>77</v>
      </c>
      <c r="B307" s="216" t="str">
        <f t="shared" si="4"/>
        <v>Jan-22</v>
      </c>
      <c r="C307" s="217">
        <v>44562</v>
      </c>
      <c r="D307">
        <v>24273.366950000025</v>
      </c>
      <c r="E307">
        <v>3807.2050000000254</v>
      </c>
      <c r="F307">
        <v>5282.8795700000001</v>
      </c>
      <c r="G307">
        <v>4142.6505399999996</v>
      </c>
      <c r="H307">
        <v>3594.6330600000001</v>
      </c>
      <c r="I307">
        <v>2816.8541100000002</v>
      </c>
      <c r="J307">
        <v>3553.84213</v>
      </c>
      <c r="K307">
        <v>563.98855000000003</v>
      </c>
      <c r="L307">
        <v>84.853319999999997</v>
      </c>
      <c r="M307">
        <v>207.51</v>
      </c>
      <c r="N307">
        <v>218.95067</v>
      </c>
      <c r="U307" s="221" t="s">
        <v>74</v>
      </c>
      <c r="V307">
        <v>455.11041</v>
      </c>
      <c r="W307">
        <v>689.25435000000004</v>
      </c>
      <c r="X307">
        <v>484.74856</v>
      </c>
      <c r="Y307">
        <v>340.75745999999998</v>
      </c>
      <c r="Z307">
        <v>342.78559000000001</v>
      </c>
      <c r="AA307">
        <v>354.84052000000003</v>
      </c>
      <c r="AB307">
        <v>72.888000000000005</v>
      </c>
      <c r="AC307">
        <v>8</v>
      </c>
      <c r="AD307">
        <v>51.606659999999998</v>
      </c>
      <c r="AE307">
        <v>3</v>
      </c>
      <c r="AF307">
        <v>28.742859999999993</v>
      </c>
      <c r="AG307">
        <v>0</v>
      </c>
      <c r="AH307">
        <v>0</v>
      </c>
    </row>
    <row r="308" spans="1:34">
      <c r="A308" t="s">
        <v>77</v>
      </c>
      <c r="B308" s="216" t="str">
        <f t="shared" si="4"/>
        <v>Feb-22</v>
      </c>
      <c r="C308" s="217">
        <v>44593</v>
      </c>
      <c r="D308">
        <v>24258.846739999997</v>
      </c>
      <c r="E308">
        <v>3788.42</v>
      </c>
      <c r="F308">
        <v>5260.9662399999997</v>
      </c>
      <c r="G308">
        <v>4157.4853400000002</v>
      </c>
      <c r="H308">
        <v>3589.57305</v>
      </c>
      <c r="I308">
        <v>2824.80746</v>
      </c>
      <c r="J308">
        <v>3547.5287899999998</v>
      </c>
      <c r="K308">
        <v>570.24854000000005</v>
      </c>
      <c r="L308">
        <v>85.333320000000001</v>
      </c>
      <c r="M308">
        <v>208.68</v>
      </c>
      <c r="N308">
        <v>225.804</v>
      </c>
      <c r="U308" s="221" t="s">
        <v>75</v>
      </c>
      <c r="V308">
        <v>2657.9105800000002</v>
      </c>
      <c r="W308">
        <v>3404.22001</v>
      </c>
      <c r="X308">
        <v>2512.9177100000002</v>
      </c>
      <c r="Y308">
        <v>2228.74476</v>
      </c>
      <c r="Z308">
        <v>2038.09456</v>
      </c>
      <c r="AA308">
        <v>2397.5498299999999</v>
      </c>
      <c r="AB308">
        <v>662.24504999999999</v>
      </c>
      <c r="AC308">
        <v>1167.2897700000001</v>
      </c>
      <c r="AD308">
        <v>503.75200000000001</v>
      </c>
      <c r="AE308">
        <v>589.03566999999998</v>
      </c>
      <c r="AF308">
        <v>270.28044999999997</v>
      </c>
      <c r="AG308">
        <v>969.66</v>
      </c>
      <c r="AH308">
        <v>0</v>
      </c>
    </row>
    <row r="309" spans="1:34">
      <c r="A309" t="s">
        <v>77</v>
      </c>
      <c r="B309" s="216" t="str">
        <f t="shared" si="4"/>
        <v>Mar-22</v>
      </c>
      <c r="C309" s="217">
        <v>44621</v>
      </c>
      <c r="D309">
        <v>24222.651480000026</v>
      </c>
      <c r="E309">
        <v>3747.3900600000229</v>
      </c>
      <c r="F309">
        <v>5249.4928900000004</v>
      </c>
      <c r="G309">
        <v>4155.4370500000005</v>
      </c>
      <c r="H309">
        <v>3598.7146600000001</v>
      </c>
      <c r="I309">
        <v>2835.5525400000001</v>
      </c>
      <c r="J309">
        <v>3562.3754899999999</v>
      </c>
      <c r="K309">
        <v>556.76480000000004</v>
      </c>
      <c r="L309">
        <v>87.366650000000007</v>
      </c>
      <c r="M309">
        <v>209.68</v>
      </c>
      <c r="N309">
        <v>219.87734</v>
      </c>
      <c r="U309" s="221" t="s">
        <v>76</v>
      </c>
      <c r="V309">
        <v>972.42960000000005</v>
      </c>
      <c r="W309">
        <v>1303.6997100000001</v>
      </c>
      <c r="X309">
        <v>1159.76217</v>
      </c>
      <c r="Y309">
        <v>1078.5550499999999</v>
      </c>
      <c r="Z309">
        <v>856.72042999999996</v>
      </c>
      <c r="AA309">
        <v>997.08470999999997</v>
      </c>
      <c r="AB309">
        <v>181.24005</v>
      </c>
      <c r="AC309">
        <v>0.66666999999999998</v>
      </c>
      <c r="AD309">
        <v>56.157029999999999</v>
      </c>
      <c r="AE309">
        <v>59.786650000000002</v>
      </c>
      <c r="AF309">
        <v>0</v>
      </c>
      <c r="AG309">
        <v>0</v>
      </c>
      <c r="AH309">
        <v>0</v>
      </c>
    </row>
    <row r="310" spans="1:34">
      <c r="A310" t="s">
        <v>77</v>
      </c>
      <c r="B310" s="216" t="str">
        <f t="shared" si="4"/>
        <v>Apr-22</v>
      </c>
      <c r="C310" s="217">
        <v>44652</v>
      </c>
      <c r="D310">
        <v>24098.558929999999</v>
      </c>
      <c r="E310">
        <v>3715.9892199999999</v>
      </c>
      <c r="F310">
        <v>5260.36895</v>
      </c>
      <c r="G310">
        <v>4136.8591900000001</v>
      </c>
      <c r="H310">
        <v>3571.9133400000001</v>
      </c>
      <c r="I310">
        <v>2814.9823500000002</v>
      </c>
      <c r="J310">
        <v>3542.4237499999999</v>
      </c>
      <c r="K310">
        <v>557.63813000000005</v>
      </c>
      <c r="L310">
        <v>85.233320000000006</v>
      </c>
      <c r="M310">
        <v>210.98667</v>
      </c>
      <c r="N310">
        <v>202.16400999999999</v>
      </c>
      <c r="U310" s="221" t="s">
        <v>77</v>
      </c>
      <c r="V310">
        <v>3727.65427</v>
      </c>
      <c r="W310">
        <v>5262.5689000000002</v>
      </c>
      <c r="X310">
        <v>4165.5263699999996</v>
      </c>
      <c r="Y310">
        <v>3546.6046000000001</v>
      </c>
      <c r="Z310">
        <v>2813.85997</v>
      </c>
      <c r="AA310">
        <v>3532.8127899999999</v>
      </c>
      <c r="AB310">
        <v>553.39148</v>
      </c>
      <c r="AC310">
        <v>85.83999</v>
      </c>
      <c r="AD310">
        <v>209.08667</v>
      </c>
      <c r="AE310">
        <v>199.18401</v>
      </c>
      <c r="AF310">
        <v>8.4</v>
      </c>
      <c r="AG310">
        <v>0</v>
      </c>
      <c r="AH310">
        <v>0</v>
      </c>
    </row>
    <row r="311" spans="1:34">
      <c r="A311" t="s">
        <v>78</v>
      </c>
      <c r="B311" s="216" t="str">
        <f t="shared" si="4"/>
        <v>May-21</v>
      </c>
      <c r="C311" s="217">
        <v>44317</v>
      </c>
      <c r="D311">
        <v>6595.5045800000007</v>
      </c>
      <c r="E311">
        <v>935.48059000000001</v>
      </c>
      <c r="F311">
        <v>1238.3314600000001</v>
      </c>
      <c r="G311">
        <v>1183.72963</v>
      </c>
      <c r="H311">
        <v>897.00683000000004</v>
      </c>
      <c r="I311">
        <v>642.78866000000005</v>
      </c>
      <c r="J311">
        <v>940.57187999999996</v>
      </c>
      <c r="K311">
        <v>33.233530000000002</v>
      </c>
      <c r="L311">
        <v>95.45</v>
      </c>
      <c r="M311">
        <v>627.91200000000003</v>
      </c>
      <c r="N311">
        <v>1</v>
      </c>
      <c r="U311" s="221" t="s">
        <v>78</v>
      </c>
      <c r="V311">
        <v>732.92926</v>
      </c>
      <c r="W311">
        <v>1123.9468999999999</v>
      </c>
      <c r="X311">
        <v>925.13598999999999</v>
      </c>
      <c r="Y311">
        <v>736.48317999999995</v>
      </c>
      <c r="Z311">
        <v>613.66627000000005</v>
      </c>
      <c r="AA311">
        <v>774.57376999999997</v>
      </c>
      <c r="AB311">
        <v>28.915949999999999</v>
      </c>
      <c r="AC311">
        <v>99.231819999999999</v>
      </c>
      <c r="AD311">
        <v>73.62182</v>
      </c>
      <c r="AE311">
        <v>0.50666999999999995</v>
      </c>
      <c r="AF311">
        <v>47.896999999999998</v>
      </c>
      <c r="AG311">
        <v>0.6</v>
      </c>
      <c r="AH311">
        <v>0</v>
      </c>
    </row>
    <row r="312" spans="1:34">
      <c r="A312" t="s">
        <v>78</v>
      </c>
      <c r="B312" s="216" t="str">
        <f t="shared" si="4"/>
        <v>Jun-21</v>
      </c>
      <c r="C312" s="217">
        <v>44348</v>
      </c>
      <c r="D312">
        <v>6148.4663700000001</v>
      </c>
      <c r="E312">
        <v>930.95559000000003</v>
      </c>
      <c r="F312">
        <v>1241.7698499999999</v>
      </c>
      <c r="G312">
        <v>1182.0351900000001</v>
      </c>
      <c r="H312">
        <v>896.10682999999995</v>
      </c>
      <c r="I312">
        <v>646.76365999999996</v>
      </c>
      <c r="J312">
        <v>945.17672000000005</v>
      </c>
      <c r="K312">
        <v>34.263530000000003</v>
      </c>
      <c r="L312">
        <v>96.85</v>
      </c>
      <c r="M312">
        <v>173.54499999999999</v>
      </c>
      <c r="N312">
        <v>1</v>
      </c>
      <c r="U312" s="7" t="s">
        <v>109</v>
      </c>
      <c r="V312">
        <v>12718.012919999999</v>
      </c>
      <c r="W312">
        <v>17757.446809999998</v>
      </c>
      <c r="X312">
        <v>14529.39745</v>
      </c>
      <c r="Y312">
        <v>11065.861569999999</v>
      </c>
      <c r="Z312">
        <v>10184.20169</v>
      </c>
      <c r="AA312">
        <v>12156.78204</v>
      </c>
      <c r="AB312">
        <v>1986.5576899999999</v>
      </c>
      <c r="AC312">
        <v>2128.77547</v>
      </c>
      <c r="AD312">
        <v>1476.5049999999999</v>
      </c>
      <c r="AE312">
        <v>4088.4775599999998</v>
      </c>
      <c r="AF312">
        <v>415.1505600000001</v>
      </c>
      <c r="AG312">
        <v>1121.44</v>
      </c>
      <c r="AH312">
        <v>5132.4213199999995</v>
      </c>
    </row>
    <row r="313" spans="1:34">
      <c r="A313" t="s">
        <v>78</v>
      </c>
      <c r="B313" s="216" t="str">
        <f t="shared" si="4"/>
        <v>Jul-21</v>
      </c>
      <c r="C313" s="217">
        <v>44378</v>
      </c>
      <c r="D313">
        <v>6090.2669800000003</v>
      </c>
      <c r="E313">
        <v>920.95095000000003</v>
      </c>
      <c r="F313">
        <v>1227.46543</v>
      </c>
      <c r="G313">
        <v>1172.58519</v>
      </c>
      <c r="H313">
        <v>889.25683000000004</v>
      </c>
      <c r="I313">
        <v>644.32165999999995</v>
      </c>
      <c r="J313">
        <v>937.52838999999994</v>
      </c>
      <c r="K313">
        <v>34.263530000000003</v>
      </c>
      <c r="L313">
        <v>95.85</v>
      </c>
      <c r="M313">
        <v>167.04499999999999</v>
      </c>
      <c r="N313">
        <v>1</v>
      </c>
      <c r="U313" s="221" t="s">
        <v>71</v>
      </c>
      <c r="V313">
        <v>2847.2802099999999</v>
      </c>
      <c r="W313">
        <v>3944.0936299999998</v>
      </c>
      <c r="X313">
        <v>2889.33628</v>
      </c>
      <c r="Y313">
        <v>2108.7946299999999</v>
      </c>
      <c r="Z313">
        <v>2281.11418</v>
      </c>
      <c r="AA313">
        <v>2611.7118799999998</v>
      </c>
      <c r="AB313">
        <v>392.97203000000002</v>
      </c>
      <c r="AC313">
        <v>302.47358000000003</v>
      </c>
      <c r="AD313">
        <v>232.17310000000001</v>
      </c>
      <c r="AE313">
        <v>2119.2970999999998</v>
      </c>
      <c r="AF313">
        <v>1</v>
      </c>
      <c r="AG313">
        <v>0</v>
      </c>
      <c r="AH313">
        <v>119.7</v>
      </c>
    </row>
    <row r="314" spans="1:34">
      <c r="A314" t="s">
        <v>78</v>
      </c>
      <c r="B314" s="216" t="str">
        <f t="shared" si="4"/>
        <v>Aug-21</v>
      </c>
      <c r="C314" s="217">
        <v>44409</v>
      </c>
      <c r="D314">
        <v>5815.0389800000003</v>
      </c>
      <c r="E314">
        <v>895.44844999999998</v>
      </c>
      <c r="F314">
        <v>1182.17293</v>
      </c>
      <c r="G314">
        <v>1148.4851900000001</v>
      </c>
      <c r="H314">
        <v>849.27350000000001</v>
      </c>
      <c r="I314">
        <v>587.59672999999998</v>
      </c>
      <c r="J314">
        <v>898.07365000000004</v>
      </c>
      <c r="K314">
        <v>33.943530000000003</v>
      </c>
      <c r="L314">
        <v>99.25</v>
      </c>
      <c r="M314">
        <v>119.795</v>
      </c>
      <c r="N314">
        <v>1</v>
      </c>
      <c r="U314" s="221" t="s">
        <v>69</v>
      </c>
      <c r="V314">
        <v>806.49229000000003</v>
      </c>
      <c r="W314">
        <v>1171.31879</v>
      </c>
      <c r="X314">
        <v>1306.25116</v>
      </c>
      <c r="Y314">
        <v>724.12130999999999</v>
      </c>
      <c r="Z314">
        <v>681.54345000000001</v>
      </c>
      <c r="AA314">
        <v>890.87936999999999</v>
      </c>
      <c r="AB314">
        <v>135.30960999999999</v>
      </c>
      <c r="AC314">
        <v>67.251729999999995</v>
      </c>
      <c r="AD314">
        <v>141.82919000000001</v>
      </c>
      <c r="AE314">
        <v>1084.62823</v>
      </c>
      <c r="AF314">
        <v>5</v>
      </c>
      <c r="AG314">
        <v>0</v>
      </c>
      <c r="AH314">
        <v>0.6</v>
      </c>
    </row>
    <row r="315" spans="1:34">
      <c r="A315" t="s">
        <v>78</v>
      </c>
      <c r="B315" s="216" t="str">
        <f t="shared" si="4"/>
        <v>Sep-21</v>
      </c>
      <c r="C315" s="217">
        <v>44440</v>
      </c>
      <c r="D315">
        <v>5814.2737299999999</v>
      </c>
      <c r="E315">
        <v>893.84844999999996</v>
      </c>
      <c r="F315">
        <v>1205.7999500000001</v>
      </c>
      <c r="G315">
        <v>1124.17986</v>
      </c>
      <c r="H315">
        <v>843.30475000000001</v>
      </c>
      <c r="I315">
        <v>598.25968999999998</v>
      </c>
      <c r="J315">
        <v>896.69583</v>
      </c>
      <c r="K315">
        <v>33.490200000000002</v>
      </c>
      <c r="L315">
        <v>98.35</v>
      </c>
      <c r="M315">
        <v>119.345</v>
      </c>
      <c r="N315">
        <v>1</v>
      </c>
      <c r="U315" s="221" t="s">
        <v>72</v>
      </c>
      <c r="V315">
        <v>240.86885000000001</v>
      </c>
      <c r="W315">
        <v>277.45386000000002</v>
      </c>
      <c r="X315">
        <v>560.05713000000003</v>
      </c>
      <c r="Y315">
        <v>192.12025</v>
      </c>
      <c r="Z315">
        <v>192.02860999999999</v>
      </c>
      <c r="AA315">
        <v>339.55613</v>
      </c>
      <c r="AB315">
        <v>7.6133300000000004</v>
      </c>
      <c r="AC315">
        <v>398.52492000000001</v>
      </c>
      <c r="AD315">
        <v>170.16265000000001</v>
      </c>
      <c r="AE315">
        <v>0</v>
      </c>
      <c r="AF315">
        <v>1.8</v>
      </c>
      <c r="AG315">
        <v>0</v>
      </c>
      <c r="AH315">
        <v>0</v>
      </c>
    </row>
    <row r="316" spans="1:34">
      <c r="A316" t="s">
        <v>78</v>
      </c>
      <c r="B316" s="216" t="str">
        <f t="shared" si="4"/>
        <v>Oct-21</v>
      </c>
      <c r="C316" s="217">
        <v>44470</v>
      </c>
      <c r="D316">
        <v>5767.3527299999996</v>
      </c>
      <c r="E316">
        <v>878.60379</v>
      </c>
      <c r="F316">
        <v>1213.87571</v>
      </c>
      <c r="G316">
        <v>1104.4392</v>
      </c>
      <c r="H316">
        <v>836.13765000000001</v>
      </c>
      <c r="I316">
        <v>604.22047999999995</v>
      </c>
      <c r="J316">
        <v>900.07069999999999</v>
      </c>
      <c r="K316">
        <v>34.310200000000002</v>
      </c>
      <c r="L316">
        <v>95.65</v>
      </c>
      <c r="M316">
        <v>99.045000000000002</v>
      </c>
      <c r="N316">
        <v>1</v>
      </c>
      <c r="U316" s="221" t="s">
        <v>73</v>
      </c>
      <c r="V316">
        <v>11</v>
      </c>
      <c r="W316">
        <v>20.5</v>
      </c>
      <c r="X316">
        <v>25.98</v>
      </c>
      <c r="Y316">
        <v>16.933340000000001</v>
      </c>
      <c r="Z316">
        <v>0</v>
      </c>
      <c r="AA316">
        <v>0</v>
      </c>
      <c r="AB316">
        <v>0</v>
      </c>
      <c r="AC316">
        <v>0</v>
      </c>
      <c r="AD316">
        <v>3.0666500000000001</v>
      </c>
      <c r="AE316">
        <v>0</v>
      </c>
      <c r="AF316">
        <v>0</v>
      </c>
      <c r="AG316">
        <v>0</v>
      </c>
      <c r="AH316">
        <v>0</v>
      </c>
    </row>
    <row r="317" spans="1:34">
      <c r="A317" t="s">
        <v>78</v>
      </c>
      <c r="B317" s="216" t="str">
        <f t="shared" si="4"/>
        <v>Nov-21</v>
      </c>
      <c r="C317" s="217">
        <v>44501</v>
      </c>
      <c r="D317">
        <v>5635.4017999999996</v>
      </c>
      <c r="E317">
        <v>866.35775000000001</v>
      </c>
      <c r="F317">
        <v>1173.91805</v>
      </c>
      <c r="G317">
        <v>1065.2792099999999</v>
      </c>
      <c r="H317">
        <v>833.63765000000001</v>
      </c>
      <c r="I317">
        <v>613.68634999999995</v>
      </c>
      <c r="J317">
        <v>870.81759</v>
      </c>
      <c r="K317">
        <v>34.910200000000003</v>
      </c>
      <c r="L317">
        <v>96.55</v>
      </c>
      <c r="M317">
        <v>79.245000000000005</v>
      </c>
      <c r="N317">
        <v>1</v>
      </c>
      <c r="U317" s="221" t="s">
        <v>74</v>
      </c>
      <c r="V317">
        <v>466.79219000000001</v>
      </c>
      <c r="W317">
        <v>747.68739000000005</v>
      </c>
      <c r="X317">
        <v>536.03845000000001</v>
      </c>
      <c r="Y317">
        <v>355.50839999999999</v>
      </c>
      <c r="Z317">
        <v>354.93090999999998</v>
      </c>
      <c r="AA317">
        <v>380.94585000000001</v>
      </c>
      <c r="AB317">
        <v>78.294669999999996</v>
      </c>
      <c r="AC317">
        <v>9.6999999999999993</v>
      </c>
      <c r="AD317">
        <v>52.573329999999999</v>
      </c>
      <c r="AE317">
        <v>3</v>
      </c>
      <c r="AF317">
        <v>34.447620000000001</v>
      </c>
      <c r="AG317">
        <v>0</v>
      </c>
      <c r="AH317">
        <v>30.793330000000001</v>
      </c>
    </row>
    <row r="318" spans="1:34">
      <c r="A318" t="s">
        <v>78</v>
      </c>
      <c r="B318" s="216" t="str">
        <f t="shared" si="4"/>
        <v>Dec-21</v>
      </c>
      <c r="C318" s="217">
        <v>44531</v>
      </c>
      <c r="D318">
        <v>5804.9694300000001</v>
      </c>
      <c r="E318">
        <v>864.50593000000003</v>
      </c>
      <c r="F318">
        <v>1178.5780500000001</v>
      </c>
      <c r="G318">
        <v>1228.99767</v>
      </c>
      <c r="H318">
        <v>837.39</v>
      </c>
      <c r="I318">
        <v>614.38634000000002</v>
      </c>
      <c r="J318">
        <v>874.10092999999995</v>
      </c>
      <c r="K318">
        <v>33.910200000000003</v>
      </c>
      <c r="L318">
        <v>98.931820000000002</v>
      </c>
      <c r="M318">
        <v>73.661820000000006</v>
      </c>
      <c r="N318">
        <v>0.50666999999999995</v>
      </c>
      <c r="U318" s="221" t="s">
        <v>75</v>
      </c>
      <c r="V318">
        <v>2781.0823799999998</v>
      </c>
      <c r="W318">
        <v>3664.8763199999999</v>
      </c>
      <c r="X318">
        <v>2574.2218699999999</v>
      </c>
      <c r="Y318">
        <v>2255.4216200000001</v>
      </c>
      <c r="Z318">
        <v>2204.9101799999999</v>
      </c>
      <c r="AA318">
        <v>2344.6326399999998</v>
      </c>
      <c r="AB318">
        <v>621.42430999999999</v>
      </c>
      <c r="AC318">
        <v>1175.5219099999999</v>
      </c>
      <c r="AD318">
        <v>527.78957000000003</v>
      </c>
      <c r="AE318">
        <v>623.88558999999998</v>
      </c>
      <c r="AF318">
        <v>312.96094000000011</v>
      </c>
      <c r="AG318">
        <v>1120.2</v>
      </c>
      <c r="AH318">
        <v>1575.27549</v>
      </c>
    </row>
    <row r="319" spans="1:34">
      <c r="A319" t="s">
        <v>78</v>
      </c>
      <c r="B319" s="216" t="str">
        <f t="shared" si="4"/>
        <v>Jan-22</v>
      </c>
      <c r="C319" s="217">
        <v>44562</v>
      </c>
      <c r="D319">
        <v>5694.45057</v>
      </c>
      <c r="E319">
        <v>865.39259999999922</v>
      </c>
      <c r="F319">
        <v>1211.6302700000001</v>
      </c>
      <c r="G319">
        <v>1076.8653300000001</v>
      </c>
      <c r="H319">
        <v>837.89478999999994</v>
      </c>
      <c r="I319">
        <v>621.43525999999997</v>
      </c>
      <c r="J319">
        <v>869.80363</v>
      </c>
      <c r="K319">
        <v>33.7502</v>
      </c>
      <c r="L319">
        <v>97.831819999999993</v>
      </c>
      <c r="M319">
        <v>79.34</v>
      </c>
      <c r="N319">
        <v>0.50666999999999995</v>
      </c>
      <c r="U319" s="221" t="s">
        <v>76</v>
      </c>
      <c r="V319">
        <v>990.62158999999997</v>
      </c>
      <c r="W319">
        <v>1375.60238</v>
      </c>
      <c r="X319">
        <v>1199.0371500000001</v>
      </c>
      <c r="Y319">
        <v>1070.2449300000001</v>
      </c>
      <c r="Z319">
        <v>850.77914999999996</v>
      </c>
      <c r="AA319">
        <v>972.16632000000004</v>
      </c>
      <c r="AB319">
        <v>163.68669</v>
      </c>
      <c r="AC319">
        <v>0.66666999999999998</v>
      </c>
      <c r="AD319">
        <v>59.857019999999999</v>
      </c>
      <c r="AE319">
        <v>61.739980000000003</v>
      </c>
      <c r="AF319">
        <v>0</v>
      </c>
      <c r="AG319">
        <v>0</v>
      </c>
      <c r="AH319">
        <v>468.84</v>
      </c>
    </row>
    <row r="320" spans="1:34">
      <c r="A320" t="s">
        <v>78</v>
      </c>
      <c r="B320" s="216" t="str">
        <f t="shared" si="4"/>
        <v>Feb-22</v>
      </c>
      <c r="C320" s="217">
        <v>44593</v>
      </c>
      <c r="D320">
        <v>5688.2480000000005</v>
      </c>
      <c r="E320">
        <v>839.61</v>
      </c>
      <c r="F320">
        <v>1223.1985999999999</v>
      </c>
      <c r="G320">
        <v>1081.0171</v>
      </c>
      <c r="H320">
        <v>835.07812000000001</v>
      </c>
      <c r="I320">
        <v>624.00153</v>
      </c>
      <c r="J320">
        <v>875.40222000000006</v>
      </c>
      <c r="K320">
        <v>32.200119999999998</v>
      </c>
      <c r="L320">
        <v>97.831819999999993</v>
      </c>
      <c r="M320">
        <v>79.401820000000001</v>
      </c>
      <c r="N320">
        <v>0.50666999999999995</v>
      </c>
      <c r="U320" s="221" t="s">
        <v>77</v>
      </c>
      <c r="V320">
        <v>3778.04916</v>
      </c>
      <c r="W320">
        <v>5401.6507199999996</v>
      </c>
      <c r="X320">
        <v>4451.93048</v>
      </c>
      <c r="Y320">
        <v>3592.04133</v>
      </c>
      <c r="Z320">
        <v>2969.826</v>
      </c>
      <c r="AA320">
        <v>3792.7925799999998</v>
      </c>
      <c r="AB320">
        <v>553.57790999999997</v>
      </c>
      <c r="AC320">
        <v>84.806659999999994</v>
      </c>
      <c r="AD320">
        <v>211.66667000000001</v>
      </c>
      <c r="AE320">
        <v>195.41999000000001</v>
      </c>
      <c r="AF320">
        <v>10.199999999999999</v>
      </c>
      <c r="AG320">
        <v>0</v>
      </c>
      <c r="AH320">
        <v>3.1</v>
      </c>
    </row>
    <row r="321" spans="1:34">
      <c r="A321" t="s">
        <v>78</v>
      </c>
      <c r="B321" s="216" t="str">
        <f t="shared" si="4"/>
        <v>Mar-22</v>
      </c>
      <c r="C321" s="217">
        <v>44621</v>
      </c>
      <c r="D321">
        <v>5529.5290099999993</v>
      </c>
      <c r="E321">
        <v>812.0592699999994</v>
      </c>
      <c r="F321">
        <v>1190.12094</v>
      </c>
      <c r="G321">
        <v>1048.9302299999999</v>
      </c>
      <c r="H321">
        <v>809.29477999999995</v>
      </c>
      <c r="I321">
        <v>615.75962000000004</v>
      </c>
      <c r="J321">
        <v>852.52040999999997</v>
      </c>
      <c r="K321">
        <v>29.653449999999999</v>
      </c>
      <c r="L321">
        <v>98.931820000000002</v>
      </c>
      <c r="M321">
        <v>71.751819999999995</v>
      </c>
      <c r="N321">
        <v>0.50666999999999995</v>
      </c>
      <c r="U321" s="221" t="s">
        <v>78</v>
      </c>
      <c r="V321">
        <v>795.82624999999996</v>
      </c>
      <c r="W321">
        <v>1154.2637199999999</v>
      </c>
      <c r="X321">
        <v>986.54493000000002</v>
      </c>
      <c r="Y321">
        <v>750.67575999999997</v>
      </c>
      <c r="Z321">
        <v>649.06921</v>
      </c>
      <c r="AA321">
        <v>824.09726999999998</v>
      </c>
      <c r="AB321">
        <v>33.679139999999997</v>
      </c>
      <c r="AC321">
        <v>89.83</v>
      </c>
      <c r="AD321">
        <v>77.38682</v>
      </c>
      <c r="AE321">
        <v>0.50666999999999995</v>
      </c>
      <c r="AF321">
        <v>49.742000000000004</v>
      </c>
      <c r="AG321">
        <v>1.24</v>
      </c>
      <c r="AH321">
        <v>2934.1125000000002</v>
      </c>
    </row>
    <row r="322" spans="1:34">
      <c r="A322" t="s">
        <v>78</v>
      </c>
      <c r="B322" s="216" t="str">
        <f t="shared" si="4"/>
        <v>Apr-22</v>
      </c>
      <c r="C322" s="217">
        <v>44652</v>
      </c>
      <c r="D322">
        <v>5177.4143400000003</v>
      </c>
      <c r="E322">
        <v>746.64859999999999</v>
      </c>
      <c r="F322">
        <v>1134.0891300000001</v>
      </c>
      <c r="G322">
        <v>948.39710000000002</v>
      </c>
      <c r="H322">
        <v>757.78318000000002</v>
      </c>
      <c r="I322">
        <v>603.00201000000004</v>
      </c>
      <c r="J322">
        <v>786.87055999999995</v>
      </c>
      <c r="K322">
        <v>28.533449999999998</v>
      </c>
      <c r="L322">
        <v>99.531819999999996</v>
      </c>
      <c r="M322">
        <v>72.051820000000006</v>
      </c>
      <c r="N322">
        <v>0.50666999999999995</v>
      </c>
      <c r="U322" s="7" t="s">
        <v>110</v>
      </c>
      <c r="V322">
        <v>11737.271000000002</v>
      </c>
      <c r="W322">
        <v>15659.10399</v>
      </c>
      <c r="X322">
        <v>13292.233179999999</v>
      </c>
      <c r="Y322">
        <v>10617.701249999998</v>
      </c>
      <c r="Z322">
        <v>8807.8944800000008</v>
      </c>
      <c r="AA322">
        <v>11375.596289999999</v>
      </c>
      <c r="AB322">
        <v>1844.1930199999999</v>
      </c>
      <c r="AC322">
        <v>1706.8313400000002</v>
      </c>
      <c r="AD322">
        <v>4161.9140499999994</v>
      </c>
      <c r="AE322">
        <v>3360.7304200000003</v>
      </c>
    </row>
    <row r="323" spans="1:34">
      <c r="A323" t="s">
        <v>73</v>
      </c>
      <c r="B323" s="216" t="str">
        <f t="shared" ref="B323:B386" si="5">TEXT(C323,"mmm-yy")</f>
        <v>May-21</v>
      </c>
      <c r="C323" s="217">
        <v>44317</v>
      </c>
      <c r="D323">
        <v>84.546629999999993</v>
      </c>
      <c r="E323">
        <v>1</v>
      </c>
      <c r="F323">
        <v>17.5</v>
      </c>
      <c r="G323">
        <v>31.17998</v>
      </c>
      <c r="H323">
        <v>29.8</v>
      </c>
      <c r="I323">
        <v>1</v>
      </c>
      <c r="J323">
        <v>1</v>
      </c>
      <c r="K323">
        <v>0</v>
      </c>
      <c r="L323">
        <v>0</v>
      </c>
      <c r="M323">
        <v>3.0666500000000001</v>
      </c>
      <c r="N323">
        <v>0</v>
      </c>
      <c r="U323" s="221" t="s">
        <v>71</v>
      </c>
      <c r="V323">
        <v>2421.42767</v>
      </c>
      <c r="W323">
        <v>3205.8655699999999</v>
      </c>
      <c r="X323">
        <v>2605.16192</v>
      </c>
      <c r="Y323">
        <v>1953.4092599999999</v>
      </c>
      <c r="Z323">
        <v>1853.8169399999999</v>
      </c>
      <c r="AA323">
        <v>2288.5712800000001</v>
      </c>
      <c r="AB323">
        <v>328.27355</v>
      </c>
      <c r="AC323">
        <v>264.14344</v>
      </c>
      <c r="AD323">
        <v>203.21997999999999</v>
      </c>
      <c r="AE323">
        <v>1517.14013</v>
      </c>
    </row>
    <row r="324" spans="1:34">
      <c r="A324" t="s">
        <v>73</v>
      </c>
      <c r="B324" s="216" t="str">
        <f t="shared" si="5"/>
        <v>Jun-21</v>
      </c>
      <c r="C324" s="217">
        <v>44348</v>
      </c>
      <c r="D324">
        <v>110.91329999999999</v>
      </c>
      <c r="E324">
        <v>1</v>
      </c>
      <c r="F324">
        <v>51.3</v>
      </c>
      <c r="G324">
        <v>29.67998</v>
      </c>
      <c r="H324">
        <v>23.8</v>
      </c>
      <c r="I324">
        <v>1</v>
      </c>
      <c r="J324">
        <v>1</v>
      </c>
      <c r="K324">
        <v>0</v>
      </c>
      <c r="L324">
        <v>0</v>
      </c>
      <c r="M324">
        <v>3.1333199999999999</v>
      </c>
      <c r="N324">
        <v>0</v>
      </c>
      <c r="U324" s="221" t="s">
        <v>69</v>
      </c>
      <c r="V324">
        <v>759.55681000000004</v>
      </c>
      <c r="W324">
        <v>901.06016</v>
      </c>
      <c r="X324">
        <v>888.73450000000003</v>
      </c>
      <c r="Y324">
        <v>601.68479000000002</v>
      </c>
      <c r="Z324">
        <v>552.08549000000005</v>
      </c>
      <c r="AA324">
        <v>761.57320000000004</v>
      </c>
      <c r="AB324">
        <v>125.59228</v>
      </c>
      <c r="AC324">
        <v>60.587470000000003</v>
      </c>
      <c r="AD324">
        <v>116.30904</v>
      </c>
      <c r="AE324">
        <v>1067.2163700000001</v>
      </c>
    </row>
    <row r="325" spans="1:34">
      <c r="A325" t="s">
        <v>73</v>
      </c>
      <c r="B325" s="216" t="str">
        <f t="shared" si="5"/>
        <v>Jul-21</v>
      </c>
      <c r="C325" s="217">
        <v>44378</v>
      </c>
      <c r="D325">
        <v>103.1133</v>
      </c>
      <c r="E325">
        <v>1</v>
      </c>
      <c r="F325">
        <v>50.3</v>
      </c>
      <c r="G325">
        <v>25.67998</v>
      </c>
      <c r="H325">
        <v>22</v>
      </c>
      <c r="I325">
        <v>1</v>
      </c>
      <c r="J325">
        <v>0</v>
      </c>
      <c r="K325">
        <v>0</v>
      </c>
      <c r="L325">
        <v>0</v>
      </c>
      <c r="M325">
        <v>3.1333199999999999</v>
      </c>
      <c r="N325">
        <v>0</v>
      </c>
      <c r="U325" s="221" t="s">
        <v>72</v>
      </c>
      <c r="V325">
        <v>225.94220999999999</v>
      </c>
      <c r="W325">
        <v>255.30748</v>
      </c>
      <c r="X325">
        <v>486.80559</v>
      </c>
      <c r="Y325">
        <v>197.00427999999999</v>
      </c>
      <c r="Z325">
        <v>178.77287000000001</v>
      </c>
      <c r="AA325">
        <v>299.85744</v>
      </c>
      <c r="AB325">
        <v>2</v>
      </c>
      <c r="AC325">
        <v>237.87599</v>
      </c>
      <c r="AD325">
        <v>133.6</v>
      </c>
      <c r="AE325">
        <v>0</v>
      </c>
    </row>
    <row r="326" spans="1:34">
      <c r="A326" t="s">
        <v>73</v>
      </c>
      <c r="B326" s="216" t="str">
        <f t="shared" si="5"/>
        <v>Aug-21</v>
      </c>
      <c r="C326" s="217">
        <v>44409</v>
      </c>
      <c r="D326">
        <v>102.7133</v>
      </c>
      <c r="E326">
        <v>1</v>
      </c>
      <c r="F326">
        <v>49.9</v>
      </c>
      <c r="G326">
        <v>24.67998</v>
      </c>
      <c r="H326">
        <v>22</v>
      </c>
      <c r="I326">
        <v>1</v>
      </c>
      <c r="J326">
        <v>0</v>
      </c>
      <c r="K326">
        <v>1</v>
      </c>
      <c r="L326">
        <v>0</v>
      </c>
      <c r="M326">
        <v>3.1333199999999999</v>
      </c>
      <c r="N326">
        <v>0</v>
      </c>
      <c r="U326" s="221" t="s">
        <v>73</v>
      </c>
      <c r="V326">
        <v>2</v>
      </c>
      <c r="W326">
        <v>18.86</v>
      </c>
      <c r="X326">
        <v>25.459969999999998</v>
      </c>
      <c r="Y326">
        <v>18.626660000000001</v>
      </c>
      <c r="Z326">
        <v>0.6</v>
      </c>
      <c r="AA326">
        <v>1</v>
      </c>
      <c r="AB326">
        <v>0</v>
      </c>
      <c r="AC326">
        <v>0</v>
      </c>
      <c r="AD326">
        <v>0</v>
      </c>
      <c r="AE326">
        <v>0</v>
      </c>
    </row>
    <row r="327" spans="1:34">
      <c r="A327" t="s">
        <v>73</v>
      </c>
      <c r="B327" s="216" t="str">
        <f t="shared" si="5"/>
        <v>Sep-21</v>
      </c>
      <c r="C327" s="217">
        <v>44440</v>
      </c>
      <c r="D327">
        <v>117.72663</v>
      </c>
      <c r="E327">
        <v>6.5</v>
      </c>
      <c r="F327">
        <v>59.5</v>
      </c>
      <c r="G327">
        <v>24.979980000000001</v>
      </c>
      <c r="H327">
        <v>22</v>
      </c>
      <c r="I327">
        <v>1</v>
      </c>
      <c r="J327">
        <v>0</v>
      </c>
      <c r="K327">
        <v>0</v>
      </c>
      <c r="L327">
        <v>0</v>
      </c>
      <c r="M327">
        <v>3.7466499999999998</v>
      </c>
      <c r="N327">
        <v>0</v>
      </c>
      <c r="U327" s="221" t="s">
        <v>74</v>
      </c>
      <c r="V327">
        <v>452.99157000000002</v>
      </c>
      <c r="W327">
        <v>719.89679999999998</v>
      </c>
      <c r="X327">
        <v>711.09938</v>
      </c>
      <c r="Y327">
        <v>361.14278000000002</v>
      </c>
      <c r="Z327">
        <v>333.45778000000001</v>
      </c>
      <c r="AA327">
        <v>374.70826</v>
      </c>
      <c r="AB327">
        <v>65.772009999999995</v>
      </c>
      <c r="AC327">
        <v>7.5</v>
      </c>
      <c r="AD327">
        <v>59.979990000000001</v>
      </c>
      <c r="AE327">
        <v>1</v>
      </c>
    </row>
    <row r="328" spans="1:34">
      <c r="A328" t="s">
        <v>73</v>
      </c>
      <c r="B328" s="216" t="str">
        <f t="shared" si="5"/>
        <v>Oct-21</v>
      </c>
      <c r="C328" s="217">
        <v>44470</v>
      </c>
      <c r="D328">
        <v>123.14663</v>
      </c>
      <c r="E328">
        <v>6.5</v>
      </c>
      <c r="F328">
        <v>55.9</v>
      </c>
      <c r="G328">
        <v>35.67998</v>
      </c>
      <c r="H328">
        <v>21</v>
      </c>
      <c r="I328">
        <v>1</v>
      </c>
      <c r="J328">
        <v>0</v>
      </c>
      <c r="K328">
        <v>0</v>
      </c>
      <c r="L328">
        <v>0</v>
      </c>
      <c r="M328">
        <v>3.0666500000000001</v>
      </c>
      <c r="N328">
        <v>0</v>
      </c>
      <c r="U328" s="221" t="s">
        <v>75</v>
      </c>
      <c r="V328">
        <v>2330.4957800000002</v>
      </c>
      <c r="W328">
        <v>2972.9846600000001</v>
      </c>
      <c r="X328">
        <v>2161.5608699999998</v>
      </c>
      <c r="Y328">
        <v>2056.7815399999999</v>
      </c>
      <c r="Z328">
        <v>1675.2437</v>
      </c>
      <c r="AA328">
        <v>2115.68093</v>
      </c>
      <c r="AB328">
        <v>565.24427000000003</v>
      </c>
      <c r="AC328">
        <v>988.40363000000002</v>
      </c>
      <c r="AD328">
        <v>2565.06187</v>
      </c>
      <c r="AE328">
        <v>554.96056999999996</v>
      </c>
    </row>
    <row r="329" spans="1:34">
      <c r="A329" t="s">
        <v>73</v>
      </c>
      <c r="B329" s="216" t="str">
        <f t="shared" si="5"/>
        <v>Nov-21</v>
      </c>
      <c r="C329" s="217">
        <v>44501</v>
      </c>
      <c r="D329">
        <v>94.34662999999999</v>
      </c>
      <c r="E329">
        <v>7.5</v>
      </c>
      <c r="F329">
        <v>24.5</v>
      </c>
      <c r="G329">
        <v>40.67998</v>
      </c>
      <c r="H329">
        <v>17.600000000000001</v>
      </c>
      <c r="I329">
        <v>1</v>
      </c>
      <c r="J329">
        <v>0</v>
      </c>
      <c r="K329">
        <v>0</v>
      </c>
      <c r="L329">
        <v>0</v>
      </c>
      <c r="M329">
        <v>3.0666500000000001</v>
      </c>
      <c r="N329">
        <v>0</v>
      </c>
      <c r="U329" s="221" t="s">
        <v>76</v>
      </c>
      <c r="V329">
        <v>1012.30673</v>
      </c>
      <c r="W329">
        <v>1263.02702</v>
      </c>
      <c r="X329">
        <v>1053.56114</v>
      </c>
      <c r="Y329">
        <v>1109.73975</v>
      </c>
      <c r="Z329">
        <v>806.01774999999998</v>
      </c>
      <c r="AA329">
        <v>1029.1492000000001</v>
      </c>
      <c r="AB329">
        <v>166.36002999999999</v>
      </c>
      <c r="AC329">
        <v>0.66666999999999998</v>
      </c>
      <c r="AD329">
        <v>351.01195999999999</v>
      </c>
      <c r="AE329">
        <v>56.32</v>
      </c>
    </row>
    <row r="330" spans="1:34">
      <c r="A330" t="s">
        <v>73</v>
      </c>
      <c r="B330" s="216" t="str">
        <f t="shared" si="5"/>
        <v>Dec-21</v>
      </c>
      <c r="C330" s="217">
        <v>44531</v>
      </c>
      <c r="D330">
        <v>80.699970000000008</v>
      </c>
      <c r="E330">
        <v>7.5</v>
      </c>
      <c r="F330">
        <v>24.5</v>
      </c>
      <c r="G330">
        <v>28.17998</v>
      </c>
      <c r="H330">
        <v>17</v>
      </c>
      <c r="I330">
        <v>1</v>
      </c>
      <c r="J330">
        <v>0</v>
      </c>
      <c r="K330">
        <v>0</v>
      </c>
      <c r="L330">
        <v>0</v>
      </c>
      <c r="M330">
        <v>2.51999</v>
      </c>
      <c r="N330">
        <v>0</v>
      </c>
      <c r="U330" s="221" t="s">
        <v>77</v>
      </c>
      <c r="V330">
        <v>3520.6636699999999</v>
      </c>
      <c r="W330">
        <v>4944.0512900000003</v>
      </c>
      <c r="X330">
        <v>3980.1140999999998</v>
      </c>
      <c r="Y330">
        <v>3340.59429</v>
      </c>
      <c r="Z330">
        <v>2706.8075100000001</v>
      </c>
      <c r="AA330">
        <v>3464.7669000000001</v>
      </c>
      <c r="AB330">
        <v>555.59817999999996</v>
      </c>
      <c r="AC330">
        <v>57.233310000000003</v>
      </c>
      <c r="AD330">
        <v>193.37998999999999</v>
      </c>
      <c r="AE330">
        <v>163.09334999999999</v>
      </c>
    </row>
    <row r="331" spans="1:34">
      <c r="A331" t="s">
        <v>73</v>
      </c>
      <c r="B331" s="216" t="str">
        <f t="shared" si="5"/>
        <v>Jan-22</v>
      </c>
      <c r="C331" s="217">
        <v>44562</v>
      </c>
      <c r="D331">
        <v>117.60997999999999</v>
      </c>
      <c r="E331">
        <v>7.5</v>
      </c>
      <c r="F331">
        <v>49.3</v>
      </c>
      <c r="G331">
        <v>39.67998</v>
      </c>
      <c r="H331">
        <v>17</v>
      </c>
      <c r="I331">
        <v>1</v>
      </c>
      <c r="J331">
        <v>0</v>
      </c>
      <c r="K331">
        <v>0</v>
      </c>
      <c r="L331">
        <v>0</v>
      </c>
      <c r="M331">
        <v>3.13</v>
      </c>
      <c r="N331">
        <v>0</v>
      </c>
      <c r="U331" s="221" t="s">
        <v>78</v>
      </c>
      <c r="V331">
        <v>1011.88656</v>
      </c>
      <c r="W331">
        <v>1378.0510099999999</v>
      </c>
      <c r="X331">
        <v>1379.7357099999999</v>
      </c>
      <c r="Y331">
        <v>978.71789999999999</v>
      </c>
      <c r="Z331">
        <v>701.09244000000001</v>
      </c>
      <c r="AA331">
        <v>1040.28908</v>
      </c>
      <c r="AB331">
        <v>35.352699999999999</v>
      </c>
      <c r="AC331">
        <v>90.420829999999995</v>
      </c>
      <c r="AD331">
        <v>539.35122000000001</v>
      </c>
      <c r="AE331">
        <v>1</v>
      </c>
    </row>
    <row r="332" spans="1:34">
      <c r="A332" t="s">
        <v>73</v>
      </c>
      <c r="B332" s="216" t="str">
        <f t="shared" si="5"/>
        <v>Feb-22</v>
      </c>
      <c r="C332" s="217">
        <v>44593</v>
      </c>
      <c r="D332">
        <v>111.39997</v>
      </c>
      <c r="E332">
        <v>7.5</v>
      </c>
      <c r="F332">
        <v>46.7</v>
      </c>
      <c r="G332">
        <v>37.066650000000003</v>
      </c>
      <c r="H332">
        <v>16</v>
      </c>
      <c r="I332">
        <v>1</v>
      </c>
      <c r="J332">
        <v>0</v>
      </c>
      <c r="K332">
        <v>0</v>
      </c>
      <c r="L332">
        <v>0</v>
      </c>
      <c r="M332">
        <v>3.1333199999999999</v>
      </c>
      <c r="N332">
        <v>0</v>
      </c>
      <c r="U332" s="7" t="s">
        <v>111</v>
      </c>
      <c r="V332">
        <v>12364.572240000001</v>
      </c>
      <c r="W332">
        <v>16369.78001</v>
      </c>
      <c r="X332">
        <v>13845.70507</v>
      </c>
      <c r="Y332">
        <v>11218.97509</v>
      </c>
      <c r="Z332">
        <v>9445.8605599999992</v>
      </c>
      <c r="AA332">
        <v>11830.380659999999</v>
      </c>
      <c r="AB332">
        <v>1987.9448399999999</v>
      </c>
      <c r="AC332">
        <v>1944.5882100000001</v>
      </c>
      <c r="AD332">
        <v>4632.0535499999996</v>
      </c>
      <c r="AE332">
        <v>3839.3009500000003</v>
      </c>
    </row>
    <row r="333" spans="1:34">
      <c r="A333" t="s">
        <v>73</v>
      </c>
      <c r="B333" s="216" t="str">
        <f t="shared" si="5"/>
        <v>Mar-22</v>
      </c>
      <c r="C333" s="217">
        <v>44621</v>
      </c>
      <c r="D333">
        <v>108.06663999999999</v>
      </c>
      <c r="E333">
        <v>7.5</v>
      </c>
      <c r="F333">
        <v>46.9</v>
      </c>
      <c r="G333">
        <v>34.066650000000003</v>
      </c>
      <c r="H333">
        <v>16.533339999999999</v>
      </c>
      <c r="I333">
        <v>0</v>
      </c>
      <c r="J333">
        <v>0</v>
      </c>
      <c r="K333">
        <v>0</v>
      </c>
      <c r="L333">
        <v>0</v>
      </c>
      <c r="M333">
        <v>3.0666500000000001</v>
      </c>
      <c r="N333">
        <v>0</v>
      </c>
      <c r="U333" s="221" t="s">
        <v>71</v>
      </c>
      <c r="V333">
        <v>2674.6160399999999</v>
      </c>
      <c r="W333">
        <v>3482.9085399999999</v>
      </c>
      <c r="X333">
        <v>2848.65895</v>
      </c>
      <c r="Y333">
        <v>2152.8546999999999</v>
      </c>
      <c r="Z333">
        <v>2077.00693</v>
      </c>
      <c r="AA333">
        <v>2434.0094399999998</v>
      </c>
      <c r="AB333">
        <v>375.33416</v>
      </c>
      <c r="AC333">
        <v>344.70209</v>
      </c>
      <c r="AD333">
        <v>369.85307</v>
      </c>
      <c r="AE333">
        <v>1990.12247</v>
      </c>
    </row>
    <row r="334" spans="1:34">
      <c r="A334" t="s">
        <v>73</v>
      </c>
      <c r="B334" s="216" t="str">
        <f t="shared" si="5"/>
        <v>Apr-22</v>
      </c>
      <c r="C334" s="217">
        <v>44652</v>
      </c>
      <c r="D334">
        <v>115.56663999999999</v>
      </c>
      <c r="E334">
        <v>11.5</v>
      </c>
      <c r="F334">
        <v>44.9</v>
      </c>
      <c r="G334">
        <v>39.566650000000003</v>
      </c>
      <c r="H334">
        <v>15.533340000000001</v>
      </c>
      <c r="I334">
        <v>1</v>
      </c>
      <c r="J334">
        <v>0</v>
      </c>
      <c r="K334">
        <v>0</v>
      </c>
      <c r="L334">
        <v>0</v>
      </c>
      <c r="M334">
        <v>3.0666500000000001</v>
      </c>
      <c r="N334">
        <v>0</v>
      </c>
      <c r="U334" s="221" t="s">
        <v>69</v>
      </c>
      <c r="V334">
        <v>780.15949000000001</v>
      </c>
      <c r="W334">
        <v>960.42318999999998</v>
      </c>
      <c r="X334">
        <v>947.81142999999997</v>
      </c>
      <c r="Y334">
        <v>714.63278000000003</v>
      </c>
      <c r="Z334">
        <v>591.38144</v>
      </c>
      <c r="AA334">
        <v>807.85212999999999</v>
      </c>
      <c r="AB334">
        <v>137.49655000000001</v>
      </c>
      <c r="AC334">
        <v>64.087469999999996</v>
      </c>
      <c r="AD334">
        <v>125.06224</v>
      </c>
      <c r="AE334">
        <v>1026.69289</v>
      </c>
    </row>
    <row r="335" spans="1:34">
      <c r="A335" t="s">
        <v>69</v>
      </c>
      <c r="B335" s="216" t="str">
        <f t="shared" si="5"/>
        <v>Aug-22</v>
      </c>
      <c r="C335" s="217">
        <v>44774</v>
      </c>
      <c r="D335">
        <v>6917.48801</v>
      </c>
      <c r="E335">
        <v>792.12615000000005</v>
      </c>
      <c r="F335">
        <v>1124.8664200000001</v>
      </c>
      <c r="G335">
        <v>1354.2258400000001</v>
      </c>
      <c r="H335">
        <v>707.62103999999999</v>
      </c>
      <c r="I335">
        <v>651.35951</v>
      </c>
      <c r="J335">
        <v>853.04150000000004</v>
      </c>
      <c r="K335">
        <v>134.88242</v>
      </c>
      <c r="L335">
        <v>67.844260000000006</v>
      </c>
      <c r="M335">
        <v>137.76265000000001</v>
      </c>
      <c r="N335">
        <v>1088.95822</v>
      </c>
      <c r="O335">
        <v>4.8</v>
      </c>
      <c r="P335">
        <v>0</v>
      </c>
      <c r="Q335">
        <v>0</v>
      </c>
      <c r="U335" s="221" t="s">
        <v>72</v>
      </c>
      <c r="V335">
        <v>228.12888000000001</v>
      </c>
      <c r="W335">
        <v>263.23415</v>
      </c>
      <c r="X335">
        <v>488.52958999999998</v>
      </c>
      <c r="Y335">
        <v>210.61760000000001</v>
      </c>
      <c r="Z335">
        <v>180.06620000000001</v>
      </c>
      <c r="AA335">
        <v>306.92277999999999</v>
      </c>
      <c r="AB335">
        <v>5</v>
      </c>
      <c r="AC335">
        <v>334.26292000000001</v>
      </c>
      <c r="AD335">
        <v>140.75333000000001</v>
      </c>
      <c r="AE335">
        <v>0</v>
      </c>
    </row>
    <row r="336" spans="1:34">
      <c r="A336" t="s">
        <v>69</v>
      </c>
      <c r="B336" s="216" t="str">
        <f t="shared" si="5"/>
        <v>Sep-22</v>
      </c>
      <c r="C336" s="217">
        <v>44805</v>
      </c>
      <c r="D336">
        <v>7081.4063100000003</v>
      </c>
      <c r="E336">
        <v>810.24616000000003</v>
      </c>
      <c r="F336">
        <v>1156.83509</v>
      </c>
      <c r="G336">
        <v>1397.0925099999999</v>
      </c>
      <c r="H336">
        <v>732.92103999999995</v>
      </c>
      <c r="I336">
        <v>665.10617999999999</v>
      </c>
      <c r="J336">
        <v>881.60150999999996</v>
      </c>
      <c r="K336">
        <v>132.98241999999999</v>
      </c>
      <c r="L336">
        <v>68.733860000000007</v>
      </c>
      <c r="M336">
        <v>140.45598000000001</v>
      </c>
      <c r="N336">
        <v>1090.5248899999999</v>
      </c>
      <c r="O336">
        <v>4.9066700000000001</v>
      </c>
      <c r="P336">
        <v>0</v>
      </c>
      <c r="Q336">
        <v>0</v>
      </c>
      <c r="U336" s="221" t="s">
        <v>73</v>
      </c>
      <c r="V336">
        <v>1</v>
      </c>
      <c r="W336">
        <v>61.806669999999997</v>
      </c>
      <c r="X336">
        <v>28.17998</v>
      </c>
      <c r="Y336">
        <v>82.04</v>
      </c>
      <c r="Z336">
        <v>1</v>
      </c>
      <c r="AA336">
        <v>3</v>
      </c>
      <c r="AB336">
        <v>1.4</v>
      </c>
      <c r="AC336">
        <v>0</v>
      </c>
      <c r="AD336">
        <v>3.0666500000000001</v>
      </c>
      <c r="AE336">
        <v>0</v>
      </c>
    </row>
    <row r="337" spans="1:34">
      <c r="A337" t="s">
        <v>69</v>
      </c>
      <c r="B337" s="216" t="str">
        <f t="shared" si="5"/>
        <v>Oct-22</v>
      </c>
      <c r="C337" s="217">
        <v>44835</v>
      </c>
      <c r="D337">
        <v>7153.9019200000002</v>
      </c>
      <c r="E337">
        <v>815.84616000000005</v>
      </c>
      <c r="F337">
        <v>1157.7217499999999</v>
      </c>
      <c r="G337">
        <v>1405.53918</v>
      </c>
      <c r="H337">
        <v>748.60770000000002</v>
      </c>
      <c r="I337">
        <v>678.11951999999997</v>
      </c>
      <c r="J337">
        <v>899.71618000000001</v>
      </c>
      <c r="K337">
        <v>134.38242</v>
      </c>
      <c r="L337">
        <v>67.760530000000003</v>
      </c>
      <c r="M337">
        <v>142.61304999999999</v>
      </c>
      <c r="N337">
        <v>1099.39543</v>
      </c>
      <c r="O337">
        <v>4.2</v>
      </c>
      <c r="P337">
        <v>0</v>
      </c>
      <c r="Q337">
        <v>0</v>
      </c>
      <c r="U337" s="221" t="s">
        <v>74</v>
      </c>
      <c r="V337">
        <v>444.44968999999998</v>
      </c>
      <c r="W337">
        <v>746.58208999999999</v>
      </c>
      <c r="X337">
        <v>731.56547999999998</v>
      </c>
      <c r="Y337">
        <v>330.76414</v>
      </c>
      <c r="Z337">
        <v>339.83938000000001</v>
      </c>
      <c r="AA337">
        <v>393.18932999999998</v>
      </c>
      <c r="AB337">
        <v>73.659469999999999</v>
      </c>
      <c r="AC337">
        <v>9.5</v>
      </c>
      <c r="AD337">
        <v>65.19999</v>
      </c>
      <c r="AE337">
        <v>2</v>
      </c>
    </row>
    <row r="338" spans="1:34">
      <c r="A338" t="s">
        <v>69</v>
      </c>
      <c r="B338" s="216" t="str">
        <f t="shared" si="5"/>
        <v>Nov-22</v>
      </c>
      <c r="C338" s="217">
        <v>44866</v>
      </c>
      <c r="D338">
        <v>7198.061380000001</v>
      </c>
      <c r="E338">
        <v>821.33282999999994</v>
      </c>
      <c r="F338">
        <v>1166.22174</v>
      </c>
      <c r="G338">
        <v>1398.4325200000001</v>
      </c>
      <c r="H338">
        <v>747.37917000000004</v>
      </c>
      <c r="I338">
        <v>687.57285000000002</v>
      </c>
      <c r="J338">
        <v>915.67723999999998</v>
      </c>
      <c r="K338">
        <v>140.98909</v>
      </c>
      <c r="L338">
        <v>67.800529999999995</v>
      </c>
      <c r="M338">
        <v>142.11331999999999</v>
      </c>
      <c r="N338">
        <v>1105.3420900000001</v>
      </c>
      <c r="O338">
        <v>5.2</v>
      </c>
      <c r="P338">
        <v>0</v>
      </c>
      <c r="Q338">
        <v>0</v>
      </c>
      <c r="U338" s="221" t="s">
        <v>75</v>
      </c>
      <c r="V338">
        <v>2440.64401</v>
      </c>
      <c r="W338">
        <v>3138.1476499999999</v>
      </c>
      <c r="X338">
        <v>2334.2071900000001</v>
      </c>
      <c r="Y338">
        <v>2201.2721200000001</v>
      </c>
      <c r="Z338">
        <v>1873.54711</v>
      </c>
      <c r="AA338">
        <v>2261.1264299999998</v>
      </c>
      <c r="AB338">
        <v>625.39390000000003</v>
      </c>
      <c r="AC338">
        <v>1030.57908</v>
      </c>
      <c r="AD338">
        <v>2716.30764</v>
      </c>
      <c r="AE338">
        <v>564.63890000000004</v>
      </c>
    </row>
    <row r="339" spans="1:34">
      <c r="A339" t="s">
        <v>69</v>
      </c>
      <c r="B339" s="216" t="str">
        <f t="shared" si="5"/>
        <v>Dec-22</v>
      </c>
      <c r="C339" s="217">
        <v>44896</v>
      </c>
      <c r="D339">
        <v>7173.9216500000002</v>
      </c>
      <c r="E339">
        <v>817.83950000000004</v>
      </c>
      <c r="F339">
        <v>1163.18868</v>
      </c>
      <c r="G339">
        <v>1399.1258499999999</v>
      </c>
      <c r="H339">
        <v>746.84583999999995</v>
      </c>
      <c r="I339">
        <v>682.97951</v>
      </c>
      <c r="J339">
        <v>916.87057000000004</v>
      </c>
      <c r="K339">
        <v>138.48909</v>
      </c>
      <c r="L339">
        <v>67.200530000000001</v>
      </c>
      <c r="M339">
        <v>139.91999000000001</v>
      </c>
      <c r="N339">
        <v>1096.2620899999999</v>
      </c>
      <c r="O339">
        <v>5.2</v>
      </c>
      <c r="P339">
        <v>0</v>
      </c>
      <c r="Q339">
        <v>0</v>
      </c>
      <c r="U339" s="221" t="s">
        <v>76</v>
      </c>
      <c r="V339">
        <v>1037.48281</v>
      </c>
      <c r="W339">
        <v>1303.42912</v>
      </c>
      <c r="X339">
        <v>1166.91805</v>
      </c>
      <c r="Y339">
        <v>1115.06457</v>
      </c>
      <c r="Z339">
        <v>943.49256000000003</v>
      </c>
      <c r="AA339">
        <v>1066.22981</v>
      </c>
      <c r="AB339">
        <v>165.72668999999999</v>
      </c>
      <c r="AC339">
        <v>0.66666999999999998</v>
      </c>
      <c r="AD339">
        <v>372.95197000000002</v>
      </c>
      <c r="AE339">
        <v>66.013350000000003</v>
      </c>
    </row>
    <row r="340" spans="1:34">
      <c r="A340" t="s">
        <v>69</v>
      </c>
      <c r="B340" s="216" t="str">
        <f t="shared" si="5"/>
        <v>Jan-23</v>
      </c>
      <c r="C340" s="217">
        <v>44927</v>
      </c>
      <c r="D340">
        <v>7199.8374299999987</v>
      </c>
      <c r="E340">
        <v>822.06615999999997</v>
      </c>
      <c r="F340">
        <v>1170.97516</v>
      </c>
      <c r="G340">
        <v>1418.53916</v>
      </c>
      <c r="H340">
        <v>744.53917000000001</v>
      </c>
      <c r="I340">
        <v>685.38192000000004</v>
      </c>
      <c r="J340">
        <v>914.64629000000002</v>
      </c>
      <c r="K340">
        <v>140.68908999999999</v>
      </c>
      <c r="L340">
        <v>65.778400000000005</v>
      </c>
      <c r="M340">
        <v>139.11999</v>
      </c>
      <c r="N340">
        <v>1092.90209</v>
      </c>
      <c r="O340">
        <v>5.2</v>
      </c>
      <c r="P340">
        <v>0</v>
      </c>
      <c r="Q340">
        <v>0</v>
      </c>
      <c r="U340" s="221" t="s">
        <v>77</v>
      </c>
      <c r="V340">
        <v>3793.42632</v>
      </c>
      <c r="W340">
        <v>5130.45082</v>
      </c>
      <c r="X340">
        <v>4069.7467299999998</v>
      </c>
      <c r="Y340">
        <v>3499.3986100000002</v>
      </c>
      <c r="Z340">
        <v>2793.5408200000002</v>
      </c>
      <c r="AA340">
        <v>3600.5198599999999</v>
      </c>
      <c r="AB340">
        <v>570.49174000000005</v>
      </c>
      <c r="AC340">
        <v>66.139979999999994</v>
      </c>
      <c r="AD340">
        <v>200.44666000000001</v>
      </c>
      <c r="AE340">
        <v>188.83333999999999</v>
      </c>
    </row>
    <row r="341" spans="1:34">
      <c r="A341" t="s">
        <v>69</v>
      </c>
      <c r="B341" s="216" t="str">
        <f t="shared" si="5"/>
        <v>Feb-23</v>
      </c>
      <c r="C341" s="217">
        <v>44958</v>
      </c>
      <c r="D341">
        <v>7211.7930600000009</v>
      </c>
      <c r="E341">
        <v>823.71283000000005</v>
      </c>
      <c r="F341">
        <v>1174.61517</v>
      </c>
      <c r="G341">
        <v>1417.0058300000001</v>
      </c>
      <c r="H341">
        <v>739.57916999999998</v>
      </c>
      <c r="I341">
        <v>686.52193</v>
      </c>
      <c r="J341">
        <v>916.50629000000004</v>
      </c>
      <c r="K341">
        <v>139.28002000000001</v>
      </c>
      <c r="L341">
        <v>66.951729999999998</v>
      </c>
      <c r="M341">
        <v>138.64919</v>
      </c>
      <c r="N341">
        <v>1102.9709</v>
      </c>
      <c r="O341">
        <v>6</v>
      </c>
      <c r="P341">
        <v>0</v>
      </c>
      <c r="Q341">
        <v>0</v>
      </c>
      <c r="U341" s="221" t="s">
        <v>78</v>
      </c>
      <c r="V341">
        <v>964.66499999999996</v>
      </c>
      <c r="W341">
        <v>1282.7977800000001</v>
      </c>
      <c r="X341">
        <v>1230.0876699999999</v>
      </c>
      <c r="Y341">
        <v>912.33056999999997</v>
      </c>
      <c r="Z341">
        <v>645.98612000000003</v>
      </c>
      <c r="AA341">
        <v>957.53088000000002</v>
      </c>
      <c r="AB341">
        <v>33.442329999999998</v>
      </c>
      <c r="AC341">
        <v>94.65</v>
      </c>
      <c r="AD341">
        <v>638.41200000000003</v>
      </c>
      <c r="AE341">
        <v>1</v>
      </c>
    </row>
    <row r="342" spans="1:34">
      <c r="A342" t="s">
        <v>69</v>
      </c>
      <c r="B342" s="216" t="str">
        <f t="shared" si="5"/>
        <v>Mar-23</v>
      </c>
      <c r="C342" s="217">
        <v>44986</v>
      </c>
      <c r="D342">
        <v>7196.3772500000005</v>
      </c>
      <c r="E342">
        <v>823.27282000000002</v>
      </c>
      <c r="F342">
        <v>1180.7415699999999</v>
      </c>
      <c r="G342">
        <v>1411.4391700000001</v>
      </c>
      <c r="H342">
        <v>734.40584000000001</v>
      </c>
      <c r="I342">
        <v>685.27571999999998</v>
      </c>
      <c r="J342">
        <v>912.92628999999999</v>
      </c>
      <c r="K342">
        <v>137.45335</v>
      </c>
      <c r="L342">
        <v>68.051730000000006</v>
      </c>
      <c r="M342">
        <v>137.64919</v>
      </c>
      <c r="N342">
        <v>1099.16157</v>
      </c>
      <c r="O342">
        <v>6</v>
      </c>
      <c r="P342">
        <v>0</v>
      </c>
      <c r="Q342">
        <v>0</v>
      </c>
      <c r="U342" s="7" t="s">
        <v>112</v>
      </c>
      <c r="V342">
        <v>12325.56569000003</v>
      </c>
      <c r="W342">
        <v>16744.514600000002</v>
      </c>
      <c r="X342">
        <v>14102.45091</v>
      </c>
      <c r="Y342">
        <v>11149.133889999999</v>
      </c>
      <c r="Z342">
        <v>9669.4537400000008</v>
      </c>
      <c r="AA342">
        <v>11841.079119999999</v>
      </c>
      <c r="AB342">
        <v>2034.7409800000003</v>
      </c>
      <c r="AC342">
        <v>2113.2755099999999</v>
      </c>
      <c r="AD342">
        <v>1435.12318</v>
      </c>
      <c r="AE342">
        <v>4086.5261900000005</v>
      </c>
    </row>
    <row r="343" spans="1:34">
      <c r="A343" t="s">
        <v>69</v>
      </c>
      <c r="B343" s="216" t="str">
        <f t="shared" si="5"/>
        <v>Apr-23</v>
      </c>
      <c r="C343" s="217">
        <v>45017</v>
      </c>
      <c r="D343">
        <v>7140.7399100000002</v>
      </c>
      <c r="E343">
        <v>806.58615999999995</v>
      </c>
      <c r="F343">
        <v>1172.7517</v>
      </c>
      <c r="G343">
        <v>1402.4258299999999</v>
      </c>
      <c r="H343">
        <v>732.22131000000002</v>
      </c>
      <c r="I343">
        <v>682.11680000000001</v>
      </c>
      <c r="J343">
        <v>899.24602000000004</v>
      </c>
      <c r="K343">
        <v>137.74960999999999</v>
      </c>
      <c r="L343">
        <v>67.851730000000003</v>
      </c>
      <c r="M343">
        <v>138.84252000000001</v>
      </c>
      <c r="N343">
        <v>1094.3482300000001</v>
      </c>
      <c r="O343">
        <v>6</v>
      </c>
      <c r="P343">
        <v>0</v>
      </c>
      <c r="Q343">
        <v>0.6</v>
      </c>
      <c r="U343" s="221" t="s">
        <v>71</v>
      </c>
      <c r="V343">
        <v>2638.6039000000146</v>
      </c>
      <c r="W343">
        <v>3543.9283500000001</v>
      </c>
      <c r="X343">
        <v>2852.9267399999999</v>
      </c>
      <c r="Y343">
        <v>2087.94139</v>
      </c>
      <c r="Z343">
        <v>2127.78973</v>
      </c>
      <c r="AA343">
        <v>2467.5278600000001</v>
      </c>
      <c r="AB343">
        <v>397.16055</v>
      </c>
      <c r="AC343">
        <v>338.49941999999999</v>
      </c>
      <c r="AD343">
        <v>232.60642999999999</v>
      </c>
      <c r="AE343">
        <v>2134.3044100000002</v>
      </c>
    </row>
    <row r="344" spans="1:34">
      <c r="A344" t="s">
        <v>69</v>
      </c>
      <c r="B344" s="216" t="str">
        <f t="shared" si="5"/>
        <v>May-23</v>
      </c>
      <c r="C344" s="217">
        <v>45047</v>
      </c>
      <c r="D344">
        <v>7113.152180000001</v>
      </c>
      <c r="E344">
        <v>808.55948999999998</v>
      </c>
      <c r="F344">
        <v>1167.34529</v>
      </c>
      <c r="G344">
        <v>1391.1445100000001</v>
      </c>
      <c r="H344">
        <v>726.51463999999999</v>
      </c>
      <c r="I344">
        <v>683.78346999999997</v>
      </c>
      <c r="J344">
        <v>893.57935999999995</v>
      </c>
      <c r="K344">
        <v>138.15628000000001</v>
      </c>
      <c r="L344">
        <v>67.251729999999995</v>
      </c>
      <c r="M344">
        <v>141.70251999999999</v>
      </c>
      <c r="N344">
        <v>1088.5148899999999</v>
      </c>
      <c r="O344">
        <v>6</v>
      </c>
      <c r="P344">
        <v>0</v>
      </c>
      <c r="Q344">
        <v>0.6</v>
      </c>
      <c r="U344" s="221" t="s">
        <v>69</v>
      </c>
      <c r="V344">
        <v>814.28458000000001</v>
      </c>
      <c r="W344">
        <v>1109.74245</v>
      </c>
      <c r="X344">
        <v>1330.99279</v>
      </c>
      <c r="Y344">
        <v>726.63944000000004</v>
      </c>
      <c r="Z344">
        <v>661.63049999999998</v>
      </c>
      <c r="AA344">
        <v>880.73055999999997</v>
      </c>
      <c r="AB344">
        <v>131.07575</v>
      </c>
      <c r="AC344">
        <v>66.94426</v>
      </c>
      <c r="AD344">
        <v>138.8477</v>
      </c>
      <c r="AE344">
        <v>1080.2621099999999</v>
      </c>
    </row>
    <row r="345" spans="1:34">
      <c r="A345" t="s">
        <v>69</v>
      </c>
      <c r="B345" s="216" t="str">
        <f t="shared" si="5"/>
        <v>Jun-23</v>
      </c>
      <c r="C345" s="217">
        <v>45078</v>
      </c>
      <c r="D345">
        <v>7015.2251300000016</v>
      </c>
      <c r="E345">
        <v>806.49229000000003</v>
      </c>
      <c r="F345">
        <v>1171.31879</v>
      </c>
      <c r="G345">
        <v>1306.25116</v>
      </c>
      <c r="H345">
        <v>724.12130999999999</v>
      </c>
      <c r="I345">
        <v>681.54345000000001</v>
      </c>
      <c r="J345">
        <v>890.87936999999999</v>
      </c>
      <c r="K345">
        <v>135.30960999999999</v>
      </c>
      <c r="L345">
        <v>67.251729999999995</v>
      </c>
      <c r="M345">
        <v>141.82919000000001</v>
      </c>
      <c r="N345">
        <v>1084.62823</v>
      </c>
      <c r="O345">
        <v>5</v>
      </c>
      <c r="P345">
        <v>0</v>
      </c>
      <c r="Q345">
        <v>0.6</v>
      </c>
      <c r="U345" s="221" t="s">
        <v>72</v>
      </c>
      <c r="V345">
        <v>228.78219999999996</v>
      </c>
      <c r="W345">
        <v>260.52373</v>
      </c>
      <c r="X345">
        <v>538.23973999999998</v>
      </c>
      <c r="Y345">
        <v>194.91093000000001</v>
      </c>
      <c r="Z345">
        <v>196.05528000000001</v>
      </c>
      <c r="AA345">
        <v>325.66946000000002</v>
      </c>
      <c r="AB345">
        <v>4.6133300000000004</v>
      </c>
      <c r="AC345">
        <v>372.71345000000002</v>
      </c>
      <c r="AD345">
        <v>156.77999</v>
      </c>
      <c r="AE345">
        <v>0</v>
      </c>
    </row>
    <row r="346" spans="1:34">
      <c r="A346" t="s">
        <v>69</v>
      </c>
      <c r="B346" s="216" t="str">
        <f t="shared" si="5"/>
        <v>Jul-23</v>
      </c>
      <c r="C346" s="217">
        <v>45108</v>
      </c>
      <c r="D346">
        <v>7013.9314000000004</v>
      </c>
      <c r="E346">
        <v>806.92642000000001</v>
      </c>
      <c r="F346">
        <v>1185.93995</v>
      </c>
      <c r="G346">
        <v>1295.6164900000001</v>
      </c>
      <c r="H346">
        <v>720.52450999999996</v>
      </c>
      <c r="I346">
        <v>687.58258000000001</v>
      </c>
      <c r="J346">
        <v>886.17602999999997</v>
      </c>
      <c r="K346">
        <v>134.91627</v>
      </c>
      <c r="L346">
        <v>66.51173</v>
      </c>
      <c r="M346">
        <v>140.18919</v>
      </c>
      <c r="N346">
        <v>1083.94823</v>
      </c>
      <c r="O346">
        <v>5</v>
      </c>
      <c r="P346">
        <v>0</v>
      </c>
      <c r="Q346">
        <v>0.6</v>
      </c>
      <c r="U346" s="221" t="s">
        <v>73</v>
      </c>
      <c r="V346">
        <v>7.5</v>
      </c>
      <c r="W346">
        <v>46.9</v>
      </c>
      <c r="X346">
        <v>34.066650000000003</v>
      </c>
      <c r="Y346">
        <v>16.533339999999999</v>
      </c>
      <c r="Z346">
        <v>0</v>
      </c>
      <c r="AA346">
        <v>0</v>
      </c>
      <c r="AB346">
        <v>0</v>
      </c>
      <c r="AC346">
        <v>0</v>
      </c>
      <c r="AD346">
        <v>3.0666500000000001</v>
      </c>
      <c r="AE346">
        <v>0</v>
      </c>
    </row>
    <row r="347" spans="1:34">
      <c r="A347" t="s">
        <v>69</v>
      </c>
      <c r="B347" s="216" t="str">
        <f t="shared" si="5"/>
        <v>Aug-23</v>
      </c>
      <c r="C347" s="217">
        <v>45139</v>
      </c>
      <c r="D347">
        <v>7061.9279200000001</v>
      </c>
      <c r="E347">
        <v>806.26642000000004</v>
      </c>
      <c r="F347">
        <v>1193.6898200000001</v>
      </c>
      <c r="G347">
        <v>1298.3964800000001</v>
      </c>
      <c r="H347">
        <v>714.02450999999996</v>
      </c>
      <c r="I347">
        <v>687.14257999999995</v>
      </c>
      <c r="J347">
        <v>910.00936000000002</v>
      </c>
      <c r="K347">
        <v>139.91627</v>
      </c>
      <c r="L347">
        <v>67.045060000000007</v>
      </c>
      <c r="M347">
        <v>144.03586000000001</v>
      </c>
      <c r="N347">
        <v>1095.8015600000001</v>
      </c>
      <c r="O347">
        <v>5</v>
      </c>
      <c r="P347">
        <v>0</v>
      </c>
      <c r="Q347">
        <v>0.6</v>
      </c>
      <c r="U347" s="221" t="s">
        <v>74</v>
      </c>
      <c r="V347">
        <v>464.68962000000028</v>
      </c>
      <c r="W347">
        <v>681.98208999999997</v>
      </c>
      <c r="X347">
        <v>479.99376000000001</v>
      </c>
      <c r="Y347">
        <v>347.74414000000002</v>
      </c>
      <c r="Z347">
        <v>333.57891999999998</v>
      </c>
      <c r="AA347">
        <v>359.08053999999998</v>
      </c>
      <c r="AB347">
        <v>71.587999999999994</v>
      </c>
      <c r="AC347">
        <v>10.199999999999999</v>
      </c>
      <c r="AD347">
        <v>50.406660000000002</v>
      </c>
      <c r="AE347">
        <v>3</v>
      </c>
    </row>
    <row r="348" spans="1:34">
      <c r="A348" t="s">
        <v>71</v>
      </c>
      <c r="B348" s="216" t="str">
        <f t="shared" si="5"/>
        <v>Aug-22</v>
      </c>
      <c r="C348" s="217">
        <v>44774</v>
      </c>
      <c r="D348">
        <v>18758.687239999999</v>
      </c>
      <c r="E348">
        <v>2650.3301299999998</v>
      </c>
      <c r="F348">
        <v>3658.8949400000001</v>
      </c>
      <c r="G348">
        <v>2785.61796</v>
      </c>
      <c r="H348">
        <v>2058.1435999999999</v>
      </c>
      <c r="I348">
        <v>2182.81538</v>
      </c>
      <c r="J348">
        <v>2453.5410499999998</v>
      </c>
      <c r="K348">
        <v>390.59922999999998</v>
      </c>
      <c r="L348">
        <v>324.30077</v>
      </c>
      <c r="M348">
        <v>226.83312000000001</v>
      </c>
      <c r="N348">
        <v>2025.11106</v>
      </c>
      <c r="O348">
        <v>2.5</v>
      </c>
      <c r="P348">
        <v>0</v>
      </c>
      <c r="Q348">
        <v>0</v>
      </c>
      <c r="U348" s="221" t="s">
        <v>75</v>
      </c>
      <c r="V348">
        <v>2628.0496799999987</v>
      </c>
      <c r="W348">
        <v>3364.0993199999998</v>
      </c>
      <c r="X348">
        <v>2537.2543300000002</v>
      </c>
      <c r="Y348">
        <v>2270.7703299999998</v>
      </c>
      <c r="Z348">
        <v>2011.87736</v>
      </c>
      <c r="AA348">
        <v>2394.1361900000002</v>
      </c>
      <c r="AB348">
        <v>664.29837999999995</v>
      </c>
      <c r="AC348">
        <v>1137.9532400000001</v>
      </c>
      <c r="AD348">
        <v>515.85197000000005</v>
      </c>
      <c r="AE348">
        <v>587.58901000000003</v>
      </c>
    </row>
    <row r="349" spans="1:34">
      <c r="A349" t="s">
        <v>71</v>
      </c>
      <c r="B349" s="216" t="str">
        <f t="shared" si="5"/>
        <v>Sep-22</v>
      </c>
      <c r="C349" s="217">
        <v>44805</v>
      </c>
      <c r="D349">
        <v>18688.97248</v>
      </c>
      <c r="E349">
        <v>2645.09969</v>
      </c>
      <c r="F349">
        <v>3642.9834500000002</v>
      </c>
      <c r="G349">
        <v>2757.9131499999999</v>
      </c>
      <c r="H349">
        <v>2050.3006399999999</v>
      </c>
      <c r="I349">
        <v>2187.83698</v>
      </c>
      <c r="J349">
        <v>2449.5354600000001</v>
      </c>
      <c r="K349">
        <v>397.65922999999998</v>
      </c>
      <c r="L349">
        <v>318.98743000000002</v>
      </c>
      <c r="M349">
        <v>223.82646</v>
      </c>
      <c r="N349">
        <v>2012.32999</v>
      </c>
      <c r="O349">
        <v>2.5</v>
      </c>
      <c r="P349">
        <v>0</v>
      </c>
      <c r="Q349">
        <v>0</v>
      </c>
      <c r="U349" s="221" t="s">
        <v>76</v>
      </c>
      <c r="V349">
        <v>984.20637999999417</v>
      </c>
      <c r="W349">
        <v>1297.7248300000001</v>
      </c>
      <c r="X349">
        <v>1124.6096199999999</v>
      </c>
      <c r="Y349">
        <v>1096.5848800000001</v>
      </c>
      <c r="Z349">
        <v>887.20979</v>
      </c>
      <c r="AA349">
        <v>999.03860999999995</v>
      </c>
      <c r="AB349">
        <v>179.58672000000001</v>
      </c>
      <c r="AC349">
        <v>0.66666999999999998</v>
      </c>
      <c r="AD349">
        <v>56.131959999999999</v>
      </c>
      <c r="AE349">
        <v>60.986649999999997</v>
      </c>
    </row>
    <row r="350" spans="1:34">
      <c r="A350" t="s">
        <v>71</v>
      </c>
      <c r="B350" s="216" t="str">
        <f t="shared" si="5"/>
        <v>Oct-22</v>
      </c>
      <c r="C350" s="217">
        <v>44835</v>
      </c>
      <c r="D350">
        <v>18839.163889999996</v>
      </c>
      <c r="E350">
        <v>2660.69803</v>
      </c>
      <c r="F350">
        <v>3708.3869199999999</v>
      </c>
      <c r="G350">
        <v>2761.0240899999999</v>
      </c>
      <c r="H350">
        <v>2061.7134500000002</v>
      </c>
      <c r="I350">
        <v>2221.0716499999999</v>
      </c>
      <c r="J350">
        <v>2462.0111700000002</v>
      </c>
      <c r="K350">
        <v>399.01922999999999</v>
      </c>
      <c r="L350">
        <v>315.18076000000002</v>
      </c>
      <c r="M350">
        <v>225.29311999999999</v>
      </c>
      <c r="N350">
        <v>2022.6654699999999</v>
      </c>
      <c r="O350">
        <v>2.1</v>
      </c>
      <c r="P350">
        <v>0</v>
      </c>
      <c r="Q350">
        <v>0</v>
      </c>
      <c r="U350" s="221" t="s">
        <v>77</v>
      </c>
      <c r="V350">
        <v>3747.3900600000229</v>
      </c>
      <c r="W350">
        <v>5249.4928900000004</v>
      </c>
      <c r="X350">
        <v>4155.4370500000005</v>
      </c>
      <c r="Y350">
        <v>3598.7146600000001</v>
      </c>
      <c r="Z350">
        <v>2835.5525400000001</v>
      </c>
      <c r="AA350">
        <v>3562.3754899999999</v>
      </c>
      <c r="AB350">
        <v>556.76480000000004</v>
      </c>
      <c r="AC350">
        <v>87.366650000000007</v>
      </c>
      <c r="AD350">
        <v>209.68</v>
      </c>
      <c r="AE350">
        <v>219.87734</v>
      </c>
    </row>
    <row r="351" spans="1:34">
      <c r="A351" t="s">
        <v>71</v>
      </c>
      <c r="B351" s="216" t="str">
        <f t="shared" si="5"/>
        <v>Nov-22</v>
      </c>
      <c r="C351" s="217">
        <v>44866</v>
      </c>
      <c r="D351">
        <v>18963.27709</v>
      </c>
      <c r="E351">
        <v>2666.6681800000001</v>
      </c>
      <c r="F351">
        <v>3739.74323</v>
      </c>
      <c r="G351">
        <v>2782.2387399999998</v>
      </c>
      <c r="H351">
        <v>2066.3814400000001</v>
      </c>
      <c r="I351">
        <v>2214.7397299999998</v>
      </c>
      <c r="J351">
        <v>2463.0671499999999</v>
      </c>
      <c r="K351">
        <v>402.43923000000001</v>
      </c>
      <c r="L351">
        <v>309.92743000000002</v>
      </c>
      <c r="M351">
        <v>224.89312000000001</v>
      </c>
      <c r="N351">
        <v>2091.2788399999999</v>
      </c>
      <c r="O351">
        <v>1.9000000000000001</v>
      </c>
      <c r="P351">
        <v>0</v>
      </c>
      <c r="Q351">
        <v>0</v>
      </c>
      <c r="U351" s="221" t="s">
        <v>78</v>
      </c>
      <c r="V351">
        <v>812.0592699999994</v>
      </c>
      <c r="W351">
        <v>1190.12094</v>
      </c>
      <c r="X351">
        <v>1048.9302299999999</v>
      </c>
      <c r="Y351">
        <v>809.29477999999995</v>
      </c>
      <c r="Z351">
        <v>615.75962000000004</v>
      </c>
      <c r="AA351">
        <v>852.52040999999997</v>
      </c>
      <c r="AB351">
        <v>29.653449999999999</v>
      </c>
      <c r="AC351">
        <v>98.931820000000002</v>
      </c>
      <c r="AD351">
        <v>71.751819999999995</v>
      </c>
      <c r="AE351">
        <v>0.50666999999999995</v>
      </c>
    </row>
    <row r="352" spans="1:34">
      <c r="A352" t="s">
        <v>71</v>
      </c>
      <c r="B352" s="216" t="str">
        <f t="shared" si="5"/>
        <v>Dec-22</v>
      </c>
      <c r="C352" s="217">
        <v>44896</v>
      </c>
      <c r="D352">
        <v>18982.435369999996</v>
      </c>
      <c r="E352">
        <v>2657.2740699999999</v>
      </c>
      <c r="F352">
        <v>3755.0040399999998</v>
      </c>
      <c r="G352">
        <v>2768.7110200000002</v>
      </c>
      <c r="H352">
        <v>2072.6811899999998</v>
      </c>
      <c r="I352">
        <v>2199.51791</v>
      </c>
      <c r="J352">
        <v>2488.60718</v>
      </c>
      <c r="K352">
        <v>402.49923000000001</v>
      </c>
      <c r="L352">
        <v>309.65410000000003</v>
      </c>
      <c r="M352">
        <v>224.79311999999999</v>
      </c>
      <c r="N352">
        <v>2102.3935099999999</v>
      </c>
      <c r="O352">
        <v>1.3</v>
      </c>
      <c r="P352">
        <v>0</v>
      </c>
      <c r="Q352">
        <v>0</v>
      </c>
      <c r="U352" s="7" t="s">
        <v>113</v>
      </c>
      <c r="V352">
        <v>12685.239960000001</v>
      </c>
      <c r="W352">
        <v>17588.750329999999</v>
      </c>
      <c r="X352">
        <v>14529.94519</v>
      </c>
      <c r="Y352">
        <v>11183.96608</v>
      </c>
      <c r="Z352">
        <v>10116.76096</v>
      </c>
      <c r="AA352">
        <v>12121.31719</v>
      </c>
      <c r="AB352">
        <v>2091.0849400000002</v>
      </c>
      <c r="AC352">
        <v>2130.6754500000002</v>
      </c>
      <c r="AD352">
        <v>1470.0933599999998</v>
      </c>
      <c r="AE352">
        <v>4099.7522600000002</v>
      </c>
      <c r="AF352">
        <v>405.42999999999995</v>
      </c>
      <c r="AG352">
        <v>1091.58</v>
      </c>
      <c r="AH352">
        <v>0</v>
      </c>
    </row>
    <row r="353" spans="1:34">
      <c r="A353" t="s">
        <v>71</v>
      </c>
      <c r="B353" s="216" t="str">
        <f t="shared" si="5"/>
        <v>Jan-23</v>
      </c>
      <c r="C353" s="217">
        <v>44927</v>
      </c>
      <c r="D353">
        <v>19222.304459999996</v>
      </c>
      <c r="E353">
        <v>2691.10581</v>
      </c>
      <c r="F353">
        <v>3805.5960399999999</v>
      </c>
      <c r="G353">
        <v>2826.49046</v>
      </c>
      <c r="H353">
        <v>2091.0139600000002</v>
      </c>
      <c r="I353">
        <v>2233.8597300000001</v>
      </c>
      <c r="J353">
        <v>2519.4338200000002</v>
      </c>
      <c r="K353">
        <v>398.95789000000002</v>
      </c>
      <c r="L353">
        <v>311.56743999999998</v>
      </c>
      <c r="M353">
        <v>230.73979</v>
      </c>
      <c r="N353">
        <v>2112.2395200000001</v>
      </c>
      <c r="O353">
        <v>1.3</v>
      </c>
      <c r="P353">
        <v>0</v>
      </c>
      <c r="Q353">
        <v>0</v>
      </c>
      <c r="U353" s="221" t="s">
        <v>71</v>
      </c>
      <c r="V353">
        <v>2786.5892699999999</v>
      </c>
      <c r="W353">
        <v>3899.2579000000001</v>
      </c>
      <c r="X353">
        <v>2876.5231600000002</v>
      </c>
      <c r="Y353">
        <v>2101.8556899999999</v>
      </c>
      <c r="Z353">
        <v>2269.40931</v>
      </c>
      <c r="AA353">
        <v>2534.31142</v>
      </c>
      <c r="AB353">
        <v>402.68907999999999</v>
      </c>
      <c r="AC353">
        <v>310.86210999999997</v>
      </c>
      <c r="AD353">
        <v>232.94644</v>
      </c>
      <c r="AE353">
        <v>2106.0077700000002</v>
      </c>
      <c r="AF353">
        <v>1</v>
      </c>
      <c r="AG353">
        <v>0</v>
      </c>
      <c r="AH353">
        <v>0</v>
      </c>
    </row>
    <row r="354" spans="1:34">
      <c r="A354" t="s">
        <v>71</v>
      </c>
      <c r="B354" s="216" t="str">
        <f t="shared" si="5"/>
        <v>Feb-23</v>
      </c>
      <c r="C354" s="217">
        <v>44958</v>
      </c>
      <c r="D354">
        <v>19387.727050000001</v>
      </c>
      <c r="E354">
        <v>2721.8690200000001</v>
      </c>
      <c r="F354">
        <v>3861.5136299999999</v>
      </c>
      <c r="G354">
        <v>2860.12057</v>
      </c>
      <c r="H354">
        <v>2099.6078200000002</v>
      </c>
      <c r="I354">
        <v>2254.67463</v>
      </c>
      <c r="J354">
        <v>2526.36717</v>
      </c>
      <c r="K354">
        <v>397.69574999999998</v>
      </c>
      <c r="L354">
        <v>312.5213</v>
      </c>
      <c r="M354">
        <v>233.11311000000001</v>
      </c>
      <c r="N354">
        <v>2119.2440499999998</v>
      </c>
      <c r="O354">
        <v>1</v>
      </c>
      <c r="P354">
        <v>0</v>
      </c>
      <c r="Q354">
        <v>0</v>
      </c>
      <c r="U354" s="221" t="s">
        <v>69</v>
      </c>
      <c r="V354">
        <v>823.27282000000002</v>
      </c>
      <c r="W354">
        <v>1180.7415699999999</v>
      </c>
      <c r="X354">
        <v>1411.4391700000001</v>
      </c>
      <c r="Y354">
        <v>734.40584000000001</v>
      </c>
      <c r="Z354">
        <v>685.27571999999998</v>
      </c>
      <c r="AA354">
        <v>912.92628999999999</v>
      </c>
      <c r="AB354">
        <v>137.45335</v>
      </c>
      <c r="AC354">
        <v>68.051730000000006</v>
      </c>
      <c r="AD354">
        <v>137.64919</v>
      </c>
      <c r="AE354">
        <v>1099.16157</v>
      </c>
      <c r="AF354">
        <v>6</v>
      </c>
      <c r="AG354">
        <v>0</v>
      </c>
      <c r="AH354">
        <v>0</v>
      </c>
    </row>
    <row r="355" spans="1:34">
      <c r="A355" t="s">
        <v>71</v>
      </c>
      <c r="B355" s="216" t="str">
        <f t="shared" si="5"/>
        <v>Mar-23</v>
      </c>
      <c r="C355" s="217">
        <v>44986</v>
      </c>
      <c r="D355">
        <v>19521.452150000005</v>
      </c>
      <c r="E355">
        <v>2786.5892699999999</v>
      </c>
      <c r="F355">
        <v>3899.2579000000001</v>
      </c>
      <c r="G355">
        <v>2876.5231600000002</v>
      </c>
      <c r="H355">
        <v>2101.8556899999999</v>
      </c>
      <c r="I355">
        <v>2269.40931</v>
      </c>
      <c r="J355">
        <v>2534.31142</v>
      </c>
      <c r="K355">
        <v>402.68907999999999</v>
      </c>
      <c r="L355">
        <v>310.86210999999997</v>
      </c>
      <c r="M355">
        <v>232.94644</v>
      </c>
      <c r="N355">
        <v>2106.0077700000002</v>
      </c>
      <c r="O355">
        <v>1</v>
      </c>
      <c r="P355">
        <v>0</v>
      </c>
      <c r="Q355">
        <v>0</v>
      </c>
      <c r="U355" s="221" t="s">
        <v>72</v>
      </c>
      <c r="V355">
        <v>233.71552</v>
      </c>
      <c r="W355">
        <v>277.75733000000002</v>
      </c>
      <c r="X355">
        <v>559.05847000000006</v>
      </c>
      <c r="Y355">
        <v>199.21359000000001</v>
      </c>
      <c r="Z355">
        <v>194.09528</v>
      </c>
      <c r="AA355">
        <v>335.89613000000003</v>
      </c>
      <c r="AB355">
        <v>7.6133300000000004</v>
      </c>
      <c r="AC355">
        <v>394.53158000000002</v>
      </c>
      <c r="AD355">
        <v>169.37599</v>
      </c>
      <c r="AE355">
        <v>0</v>
      </c>
      <c r="AF355">
        <v>0</v>
      </c>
      <c r="AG355">
        <v>0</v>
      </c>
      <c r="AH355">
        <v>0</v>
      </c>
    </row>
    <row r="356" spans="1:34">
      <c r="A356" t="s">
        <v>71</v>
      </c>
      <c r="B356" s="216" t="str">
        <f t="shared" si="5"/>
        <v>Apr-23</v>
      </c>
      <c r="C356" s="217">
        <v>45017</v>
      </c>
      <c r="D356">
        <v>19673.858250000001</v>
      </c>
      <c r="E356">
        <v>2820.21783</v>
      </c>
      <c r="F356">
        <v>3928.0421700000002</v>
      </c>
      <c r="G356">
        <v>2882.3360600000001</v>
      </c>
      <c r="H356">
        <v>2083.1090600000002</v>
      </c>
      <c r="I356">
        <v>2243.9219400000002</v>
      </c>
      <c r="J356">
        <v>2558.0833699999998</v>
      </c>
      <c r="K356">
        <v>394.84535</v>
      </c>
      <c r="L356">
        <v>308.26211000000001</v>
      </c>
      <c r="M356">
        <v>235.73311000000001</v>
      </c>
      <c r="N356">
        <v>2095.60725</v>
      </c>
      <c r="O356">
        <v>1</v>
      </c>
      <c r="P356">
        <v>0</v>
      </c>
      <c r="Q356">
        <v>122.7</v>
      </c>
      <c r="U356" s="221" t="s">
        <v>73</v>
      </c>
      <c r="V356">
        <v>7.5</v>
      </c>
      <c r="W356">
        <v>20.5</v>
      </c>
      <c r="X356">
        <v>22.066649999999999</v>
      </c>
      <c r="Y356">
        <v>22.33334</v>
      </c>
      <c r="Z356">
        <v>0</v>
      </c>
      <c r="AA356">
        <v>0</v>
      </c>
      <c r="AB356">
        <v>0</v>
      </c>
      <c r="AC356">
        <v>0</v>
      </c>
      <c r="AD356">
        <v>3.0666500000000001</v>
      </c>
      <c r="AE356">
        <v>0</v>
      </c>
      <c r="AF356">
        <v>0</v>
      </c>
      <c r="AG356">
        <v>0</v>
      </c>
      <c r="AH356">
        <v>0</v>
      </c>
    </row>
    <row r="357" spans="1:34">
      <c r="A357" t="s">
        <v>71</v>
      </c>
      <c r="B357" s="216" t="str">
        <f t="shared" si="5"/>
        <v>May-23</v>
      </c>
      <c r="C357" s="217">
        <v>45047</v>
      </c>
      <c r="D357">
        <v>19769.966720000004</v>
      </c>
      <c r="E357">
        <v>2824.21783</v>
      </c>
      <c r="F357">
        <v>3944.4168300000001</v>
      </c>
      <c r="G357">
        <v>2884.1427100000001</v>
      </c>
      <c r="H357">
        <v>2086.64957</v>
      </c>
      <c r="I357">
        <v>2286.1472800000001</v>
      </c>
      <c r="J357">
        <v>2586.83536</v>
      </c>
      <c r="K357">
        <v>387.78536000000003</v>
      </c>
      <c r="L357">
        <v>304.52024</v>
      </c>
      <c r="M357">
        <v>233.64644000000001</v>
      </c>
      <c r="N357">
        <v>2107.9050999999999</v>
      </c>
      <c r="O357">
        <v>1</v>
      </c>
      <c r="P357">
        <v>0</v>
      </c>
      <c r="Q357">
        <v>122.7</v>
      </c>
      <c r="U357" s="221" t="s">
        <v>74</v>
      </c>
      <c r="V357">
        <v>472.92552000000001</v>
      </c>
      <c r="W357">
        <v>739.54782</v>
      </c>
      <c r="X357">
        <v>537.71948999999995</v>
      </c>
      <c r="Y357">
        <v>364.60172999999998</v>
      </c>
      <c r="Z357">
        <v>356.74876999999998</v>
      </c>
      <c r="AA357">
        <v>375.43918000000002</v>
      </c>
      <c r="AB357">
        <v>80.241339999999994</v>
      </c>
      <c r="AC357">
        <v>8.6999999999999993</v>
      </c>
      <c r="AD357">
        <v>55.806660000000001</v>
      </c>
      <c r="AE357">
        <v>3.8</v>
      </c>
      <c r="AF357">
        <v>33.08</v>
      </c>
      <c r="AG357">
        <v>0</v>
      </c>
      <c r="AH357">
        <v>0</v>
      </c>
    </row>
    <row r="358" spans="1:34">
      <c r="A358" t="s">
        <v>71</v>
      </c>
      <c r="B358" s="216" t="str">
        <f t="shared" si="5"/>
        <v>Jun-23</v>
      </c>
      <c r="C358" s="217">
        <v>45078</v>
      </c>
      <c r="D358">
        <v>19849.946619999999</v>
      </c>
      <c r="E358">
        <v>2847.2802099999999</v>
      </c>
      <c r="F358">
        <v>3944.0936299999998</v>
      </c>
      <c r="G358">
        <v>2889.33628</v>
      </c>
      <c r="H358">
        <v>2108.7946299999999</v>
      </c>
      <c r="I358">
        <v>2281.11418</v>
      </c>
      <c r="J358">
        <v>2611.7118799999998</v>
      </c>
      <c r="K358">
        <v>392.97203000000002</v>
      </c>
      <c r="L358">
        <v>302.47358000000003</v>
      </c>
      <c r="M358">
        <v>232.17310000000001</v>
      </c>
      <c r="N358">
        <v>2119.2970999999998</v>
      </c>
      <c r="O358">
        <v>1</v>
      </c>
      <c r="P358">
        <v>0</v>
      </c>
      <c r="Q358">
        <v>119.7</v>
      </c>
      <c r="U358" s="221" t="s">
        <v>75</v>
      </c>
      <c r="V358">
        <v>2784.8600499999998</v>
      </c>
      <c r="W358">
        <v>3633.22363</v>
      </c>
      <c r="X358">
        <v>2575.5810999999999</v>
      </c>
      <c r="Y358">
        <v>2272.0544300000001</v>
      </c>
      <c r="Z358">
        <v>2174.9541300000001</v>
      </c>
      <c r="AA358">
        <v>2437.1673799999999</v>
      </c>
      <c r="AB358">
        <v>700.71559000000002</v>
      </c>
      <c r="AC358">
        <v>1168.7067</v>
      </c>
      <c r="AD358">
        <v>520.98290999999995</v>
      </c>
      <c r="AE358">
        <v>626.55893000000003</v>
      </c>
      <c r="AF358">
        <v>305.2</v>
      </c>
      <c r="AG358">
        <v>1090.3399999999999</v>
      </c>
      <c r="AH358">
        <v>0</v>
      </c>
    </row>
    <row r="359" spans="1:34">
      <c r="A359" t="s">
        <v>71</v>
      </c>
      <c r="B359" s="216" t="str">
        <f t="shared" si="5"/>
        <v>Jul-23</v>
      </c>
      <c r="C359" s="217">
        <v>45108</v>
      </c>
      <c r="D359">
        <v>19986.912419999997</v>
      </c>
      <c r="E359">
        <v>2868.7490200000002</v>
      </c>
      <c r="F359">
        <v>3960.96695</v>
      </c>
      <c r="G359">
        <v>2887.7122800000002</v>
      </c>
      <c r="H359">
        <v>2106.3541</v>
      </c>
      <c r="I359">
        <v>2301.5440199999998</v>
      </c>
      <c r="J359">
        <v>2627.1606499999998</v>
      </c>
      <c r="K359">
        <v>389.66534999999999</v>
      </c>
      <c r="L359">
        <v>302.22505000000001</v>
      </c>
      <c r="M359">
        <v>229.37338</v>
      </c>
      <c r="N359">
        <v>2093.46162</v>
      </c>
      <c r="O359">
        <v>1</v>
      </c>
      <c r="P359">
        <v>0</v>
      </c>
      <c r="Q359">
        <v>218.7</v>
      </c>
      <c r="U359" s="221" t="s">
        <v>76</v>
      </c>
      <c r="V359">
        <v>975.45456000000001</v>
      </c>
      <c r="W359">
        <v>1368.72236</v>
      </c>
      <c r="X359">
        <v>1179.26215</v>
      </c>
      <c r="Y359">
        <v>1083.8150900000001</v>
      </c>
      <c r="Z359">
        <v>836.66709000000003</v>
      </c>
      <c r="AA359">
        <v>981.94893999999999</v>
      </c>
      <c r="AB359">
        <v>168.89335</v>
      </c>
      <c r="AC359">
        <v>0.66666999999999998</v>
      </c>
      <c r="AD359">
        <v>54.190359999999998</v>
      </c>
      <c r="AE359">
        <v>64.466650000000001</v>
      </c>
      <c r="AF359">
        <v>1</v>
      </c>
      <c r="AG359">
        <v>0</v>
      </c>
      <c r="AH359">
        <v>0</v>
      </c>
    </row>
    <row r="360" spans="1:34">
      <c r="A360" t="s">
        <v>71</v>
      </c>
      <c r="B360" s="216" t="str">
        <f t="shared" si="5"/>
        <v>Aug-23</v>
      </c>
      <c r="C360" s="217">
        <v>45139</v>
      </c>
      <c r="D360">
        <v>19842.985049999996</v>
      </c>
      <c r="E360">
        <v>2869.9156800000001</v>
      </c>
      <c r="F360">
        <v>3979.44695</v>
      </c>
      <c r="G360">
        <v>2893.7040099999999</v>
      </c>
      <c r="H360">
        <v>2103.0643599999999</v>
      </c>
      <c r="I360">
        <v>2281.9173300000002</v>
      </c>
      <c r="J360">
        <v>2608.8318599999998</v>
      </c>
      <c r="K360">
        <v>387.95868000000002</v>
      </c>
      <c r="L360">
        <v>298.65172000000001</v>
      </c>
      <c r="M360">
        <v>225.59338</v>
      </c>
      <c r="N360">
        <v>2076.9010800000001</v>
      </c>
      <c r="O360">
        <v>1</v>
      </c>
      <c r="P360">
        <v>0</v>
      </c>
      <c r="Q360">
        <v>116</v>
      </c>
      <c r="U360" s="221" t="s">
        <v>77</v>
      </c>
      <c r="V360">
        <v>3808.9859700000002</v>
      </c>
      <c r="W360">
        <v>5325.4314400000003</v>
      </c>
      <c r="X360">
        <v>4391.41633</v>
      </c>
      <c r="Y360">
        <v>3651.93415</v>
      </c>
      <c r="Z360">
        <v>2961.9149699999998</v>
      </c>
      <c r="AA360">
        <v>3725.29342</v>
      </c>
      <c r="AB360">
        <v>561.87549000000001</v>
      </c>
      <c r="AC360">
        <v>87.906660000000002</v>
      </c>
      <c r="AD360">
        <v>218.01334</v>
      </c>
      <c r="AE360">
        <v>199.25067000000001</v>
      </c>
      <c r="AF360">
        <v>9</v>
      </c>
      <c r="AG360">
        <v>0</v>
      </c>
      <c r="AH360">
        <v>0</v>
      </c>
    </row>
    <row r="361" spans="1:34">
      <c r="A361" t="s">
        <v>72</v>
      </c>
      <c r="B361" s="216" t="str">
        <f t="shared" si="5"/>
        <v>Aug-22</v>
      </c>
      <c r="C361" s="217">
        <v>44774</v>
      </c>
      <c r="D361">
        <v>2289.1745100000003</v>
      </c>
      <c r="E361">
        <v>229.38220000000001</v>
      </c>
      <c r="F361">
        <v>259.42720000000003</v>
      </c>
      <c r="G361">
        <v>536.74721</v>
      </c>
      <c r="H361">
        <v>196.69493</v>
      </c>
      <c r="I361">
        <v>188.05528000000001</v>
      </c>
      <c r="J361">
        <v>323.58945999999997</v>
      </c>
      <c r="K361">
        <v>4.6133300000000004</v>
      </c>
      <c r="L361">
        <v>389.43558000000002</v>
      </c>
      <c r="M361">
        <v>161.22932</v>
      </c>
      <c r="N361">
        <v>0</v>
      </c>
      <c r="O361">
        <v>0</v>
      </c>
      <c r="P361">
        <v>0</v>
      </c>
      <c r="Q361">
        <v>0</v>
      </c>
      <c r="U361" s="221" t="s">
        <v>78</v>
      </c>
      <c r="V361">
        <v>791.93624999999997</v>
      </c>
      <c r="W361">
        <v>1143.56828</v>
      </c>
      <c r="X361">
        <v>976.87867000000006</v>
      </c>
      <c r="Y361">
        <v>753.75221999999997</v>
      </c>
      <c r="Z361">
        <v>637.69569000000001</v>
      </c>
      <c r="AA361">
        <v>818.33443</v>
      </c>
      <c r="AB361">
        <v>31.60341</v>
      </c>
      <c r="AC361">
        <v>91.25</v>
      </c>
      <c r="AD361">
        <v>78.061819999999997</v>
      </c>
      <c r="AE361">
        <v>0.50666999999999995</v>
      </c>
      <c r="AF361">
        <v>50.15</v>
      </c>
      <c r="AG361">
        <v>1.2400000000000091</v>
      </c>
      <c r="AH361">
        <v>0</v>
      </c>
    </row>
    <row r="362" spans="1:34">
      <c r="A362" t="s">
        <v>72</v>
      </c>
      <c r="B362" s="216" t="str">
        <f t="shared" si="5"/>
        <v>Sep-22</v>
      </c>
      <c r="C362" s="217">
        <v>44805</v>
      </c>
      <c r="D362">
        <v>2309.71902</v>
      </c>
      <c r="E362">
        <v>229.70885999999999</v>
      </c>
      <c r="F362">
        <v>264.93385999999998</v>
      </c>
      <c r="G362">
        <v>538.54507000000001</v>
      </c>
      <c r="H362">
        <v>196.73492999999999</v>
      </c>
      <c r="I362">
        <v>188.72194999999999</v>
      </c>
      <c r="J362">
        <v>327.38279</v>
      </c>
      <c r="K362">
        <v>6.6133300000000004</v>
      </c>
      <c r="L362">
        <v>389.04890999999998</v>
      </c>
      <c r="M362">
        <v>168.02932000000001</v>
      </c>
      <c r="N362">
        <v>0</v>
      </c>
      <c r="O362">
        <v>0</v>
      </c>
      <c r="P362">
        <v>0</v>
      </c>
      <c r="Q362">
        <v>0</v>
      </c>
      <c r="U362" s="7" t="s">
        <v>114</v>
      </c>
      <c r="V362">
        <v>11388.353419999999</v>
      </c>
      <c r="W362">
        <v>15504.863159999997</v>
      </c>
      <c r="X362">
        <v>12859.206180000001</v>
      </c>
      <c r="Y362">
        <v>10304.28644</v>
      </c>
      <c r="Z362">
        <v>8442.8682100000005</v>
      </c>
      <c r="AA362">
        <v>11234.52751</v>
      </c>
      <c r="AB362">
        <v>1775.07313</v>
      </c>
      <c r="AC362">
        <v>1631.2834</v>
      </c>
      <c r="AD362">
        <v>3904.90263</v>
      </c>
      <c r="AE362">
        <v>3215.2960899999998</v>
      </c>
    </row>
    <row r="363" spans="1:34">
      <c r="A363" t="s">
        <v>72</v>
      </c>
      <c r="B363" s="216" t="str">
        <f t="shared" si="5"/>
        <v>Oct-22</v>
      </c>
      <c r="C363" s="217">
        <v>44835</v>
      </c>
      <c r="D363">
        <v>2320.5961600000001</v>
      </c>
      <c r="E363">
        <v>226.95553000000001</v>
      </c>
      <c r="F363">
        <v>266.63386000000003</v>
      </c>
      <c r="G363">
        <v>541.22221000000002</v>
      </c>
      <c r="H363">
        <v>199.83493000000001</v>
      </c>
      <c r="I363">
        <v>190.97528</v>
      </c>
      <c r="J363">
        <v>326.73612000000003</v>
      </c>
      <c r="K363">
        <v>6.6133300000000004</v>
      </c>
      <c r="L363">
        <v>391.24891000000002</v>
      </c>
      <c r="M363">
        <v>170.37599</v>
      </c>
      <c r="N363">
        <v>0</v>
      </c>
      <c r="O363">
        <v>0</v>
      </c>
      <c r="P363">
        <v>0</v>
      </c>
      <c r="Q363">
        <v>0</v>
      </c>
      <c r="U363" s="221" t="s">
        <v>71</v>
      </c>
      <c r="V363">
        <v>2285.5872399999998</v>
      </c>
      <c r="W363">
        <v>3081.8551299999999</v>
      </c>
      <c r="X363">
        <v>2547.2393000000002</v>
      </c>
      <c r="Y363">
        <v>1900.9159199999999</v>
      </c>
      <c r="Z363">
        <v>1733.6313700000001</v>
      </c>
      <c r="AA363">
        <v>2287.59584</v>
      </c>
      <c r="AB363">
        <v>321.89533</v>
      </c>
      <c r="AC363">
        <v>258.18741999999997</v>
      </c>
      <c r="AD363">
        <v>197.79333</v>
      </c>
      <c r="AE363">
        <v>1461.1371999999999</v>
      </c>
    </row>
    <row r="364" spans="1:34">
      <c r="A364" t="s">
        <v>72</v>
      </c>
      <c r="B364" s="216" t="str">
        <f t="shared" si="5"/>
        <v>Nov-22</v>
      </c>
      <c r="C364" s="217">
        <v>44866</v>
      </c>
      <c r="D364">
        <v>2355.0753599999998</v>
      </c>
      <c r="E364">
        <v>229.80886000000001</v>
      </c>
      <c r="F364">
        <v>270.29386</v>
      </c>
      <c r="G364">
        <v>555.58941000000004</v>
      </c>
      <c r="H364">
        <v>201.54693</v>
      </c>
      <c r="I364">
        <v>195.69528</v>
      </c>
      <c r="J364">
        <v>333.73612000000003</v>
      </c>
      <c r="K364">
        <v>6.6133300000000004</v>
      </c>
      <c r="L364">
        <v>390.41557999999998</v>
      </c>
      <c r="M364">
        <v>170.37599</v>
      </c>
      <c r="N364">
        <v>0</v>
      </c>
      <c r="O364">
        <v>1</v>
      </c>
      <c r="P364">
        <v>0</v>
      </c>
      <c r="Q364">
        <v>0</v>
      </c>
      <c r="U364" s="221" t="s">
        <v>69</v>
      </c>
      <c r="V364">
        <v>727.76217999999994</v>
      </c>
      <c r="W364">
        <v>891.19938999999999</v>
      </c>
      <c r="X364">
        <v>850.31344999999999</v>
      </c>
      <c r="Y364">
        <v>594.34397999999999</v>
      </c>
      <c r="Z364">
        <v>534.13314000000003</v>
      </c>
      <c r="AA364">
        <v>749.92841999999996</v>
      </c>
      <c r="AB364">
        <v>123.65761999999999</v>
      </c>
      <c r="AC364">
        <v>60.834139999999998</v>
      </c>
      <c r="AD364">
        <v>111.01197000000001</v>
      </c>
      <c r="AE364">
        <v>1031.4702199999999</v>
      </c>
    </row>
    <row r="365" spans="1:34">
      <c r="A365" t="s">
        <v>72</v>
      </c>
      <c r="B365" s="216" t="str">
        <f t="shared" si="5"/>
        <v>Dec-22</v>
      </c>
      <c r="C365" s="217">
        <v>44896</v>
      </c>
      <c r="D365">
        <v>2349.8436299999998</v>
      </c>
      <c r="E365">
        <v>230.80886000000001</v>
      </c>
      <c r="F365">
        <v>271.73066</v>
      </c>
      <c r="G365">
        <v>551.67421000000002</v>
      </c>
      <c r="H365">
        <v>200.54693</v>
      </c>
      <c r="I365">
        <v>193.19528</v>
      </c>
      <c r="J365">
        <v>334.80279000000002</v>
      </c>
      <c r="K365">
        <v>6.6133300000000004</v>
      </c>
      <c r="L365">
        <v>390.09557999999998</v>
      </c>
      <c r="M365">
        <v>169.37599</v>
      </c>
      <c r="N365">
        <v>0</v>
      </c>
      <c r="O365">
        <v>1</v>
      </c>
      <c r="P365">
        <v>0</v>
      </c>
      <c r="Q365">
        <v>0</v>
      </c>
      <c r="U365" s="221" t="s">
        <v>72</v>
      </c>
      <c r="V365">
        <v>221.18887000000001</v>
      </c>
      <c r="W365">
        <v>281.44029999999998</v>
      </c>
      <c r="X365">
        <v>454.65280000000001</v>
      </c>
      <c r="Y365">
        <v>185.99761000000001</v>
      </c>
      <c r="Z365">
        <v>174.7662</v>
      </c>
      <c r="AA365">
        <v>295.09079000000003</v>
      </c>
      <c r="AB365">
        <v>3.1295999999999999</v>
      </c>
      <c r="AC365">
        <v>216.82266000000001</v>
      </c>
      <c r="AD365">
        <v>137.26</v>
      </c>
      <c r="AE365">
        <v>0</v>
      </c>
    </row>
    <row r="366" spans="1:34">
      <c r="A366" t="s">
        <v>72</v>
      </c>
      <c r="B366" s="216" t="str">
        <f t="shared" si="5"/>
        <v>Jan-23</v>
      </c>
      <c r="C366" s="217">
        <v>44927</v>
      </c>
      <c r="D366">
        <v>2352.7812300000001</v>
      </c>
      <c r="E366">
        <v>235.12886</v>
      </c>
      <c r="F366">
        <v>273.084</v>
      </c>
      <c r="G366">
        <v>555.19181000000003</v>
      </c>
      <c r="H366">
        <v>198.40026</v>
      </c>
      <c r="I366">
        <v>193.69528</v>
      </c>
      <c r="J366">
        <v>330.84278999999998</v>
      </c>
      <c r="K366">
        <v>6.6133300000000004</v>
      </c>
      <c r="L366">
        <v>389.44891000000001</v>
      </c>
      <c r="M366">
        <v>169.37599</v>
      </c>
      <c r="N366">
        <v>0</v>
      </c>
      <c r="O366">
        <v>1</v>
      </c>
      <c r="P366">
        <v>0</v>
      </c>
      <c r="Q366">
        <v>0</v>
      </c>
      <c r="U366" s="221" t="s">
        <v>73</v>
      </c>
      <c r="V366">
        <v>6.5</v>
      </c>
      <c r="W366">
        <v>15.36</v>
      </c>
      <c r="X366">
        <v>23.653310000000001</v>
      </c>
      <c r="Y366">
        <v>5.0133299999999998</v>
      </c>
      <c r="Z366">
        <v>5</v>
      </c>
      <c r="AA366">
        <v>2</v>
      </c>
      <c r="AB366">
        <v>0</v>
      </c>
      <c r="AC366">
        <v>0</v>
      </c>
      <c r="AD366">
        <v>0</v>
      </c>
      <c r="AE366">
        <v>0</v>
      </c>
    </row>
    <row r="367" spans="1:34">
      <c r="A367" t="s">
        <v>72</v>
      </c>
      <c r="B367" s="216" t="str">
        <f t="shared" si="5"/>
        <v>Feb-23</v>
      </c>
      <c r="C367" s="217">
        <v>44958</v>
      </c>
      <c r="D367">
        <v>2362.61456</v>
      </c>
      <c r="E367">
        <v>233.84886</v>
      </c>
      <c r="F367">
        <v>276.75733000000002</v>
      </c>
      <c r="G367">
        <v>559.47181</v>
      </c>
      <c r="H367">
        <v>198.21359000000001</v>
      </c>
      <c r="I367">
        <v>195.09528</v>
      </c>
      <c r="J367">
        <v>333.98946000000001</v>
      </c>
      <c r="K367">
        <v>6.6133300000000004</v>
      </c>
      <c r="L367">
        <v>388.24891000000002</v>
      </c>
      <c r="M367">
        <v>169.37599</v>
      </c>
      <c r="N367">
        <v>0</v>
      </c>
      <c r="O367">
        <v>1</v>
      </c>
      <c r="P367">
        <v>0</v>
      </c>
      <c r="Q367">
        <v>0</v>
      </c>
      <c r="U367" s="221" t="s">
        <v>74</v>
      </c>
      <c r="V367">
        <v>410.15069999999997</v>
      </c>
      <c r="W367">
        <v>733.45681000000002</v>
      </c>
      <c r="X367">
        <v>667.37165000000005</v>
      </c>
      <c r="Y367">
        <v>348.72037</v>
      </c>
      <c r="Z367">
        <v>315.13986</v>
      </c>
      <c r="AA367">
        <v>351.91624999999999</v>
      </c>
      <c r="AB367">
        <v>53.908270000000002</v>
      </c>
      <c r="AC367">
        <v>6.5</v>
      </c>
      <c r="AD367">
        <v>55.52666</v>
      </c>
      <c r="AE367">
        <v>0</v>
      </c>
    </row>
    <row r="368" spans="1:34">
      <c r="A368" t="s">
        <v>72</v>
      </c>
      <c r="B368" s="216" t="str">
        <f t="shared" si="5"/>
        <v>Mar-23</v>
      </c>
      <c r="C368" s="217">
        <v>44986</v>
      </c>
      <c r="D368">
        <v>2371.25722</v>
      </c>
      <c r="E368">
        <v>233.71552</v>
      </c>
      <c r="F368">
        <v>277.75733000000002</v>
      </c>
      <c r="G368">
        <v>559.05847000000006</v>
      </c>
      <c r="H368">
        <v>199.21359000000001</v>
      </c>
      <c r="I368">
        <v>194.09528</v>
      </c>
      <c r="J368">
        <v>335.89613000000003</v>
      </c>
      <c r="K368">
        <v>7.6133300000000004</v>
      </c>
      <c r="L368">
        <v>394.53158000000002</v>
      </c>
      <c r="M368">
        <v>169.37599</v>
      </c>
      <c r="N368">
        <v>0</v>
      </c>
      <c r="O368">
        <v>0</v>
      </c>
      <c r="P368">
        <v>0</v>
      </c>
      <c r="Q368">
        <v>0</v>
      </c>
      <c r="U368" s="221" t="s">
        <v>75</v>
      </c>
      <c r="V368">
        <v>2211.14005</v>
      </c>
      <c r="W368">
        <v>2950.41374</v>
      </c>
      <c r="X368">
        <v>2076.5502200000001</v>
      </c>
      <c r="Y368">
        <v>1922.8173300000001</v>
      </c>
      <c r="Z368">
        <v>1591.95804</v>
      </c>
      <c r="AA368">
        <v>2078.1918099999998</v>
      </c>
      <c r="AB368">
        <v>535.23784999999998</v>
      </c>
      <c r="AC368">
        <v>944.14919999999995</v>
      </c>
      <c r="AD368">
        <v>2415.6041799999998</v>
      </c>
      <c r="AE368">
        <v>495.89532000000003</v>
      </c>
    </row>
    <row r="369" spans="1:31">
      <c r="A369" t="s">
        <v>72</v>
      </c>
      <c r="B369" s="216" t="str">
        <f t="shared" si="5"/>
        <v>Apr-23</v>
      </c>
      <c r="C369" s="217">
        <v>45017</v>
      </c>
      <c r="D369">
        <v>2371.2971999999995</v>
      </c>
      <c r="E369">
        <v>236.52217999999999</v>
      </c>
      <c r="F369">
        <v>273.25065999999998</v>
      </c>
      <c r="G369">
        <v>556.64512999999999</v>
      </c>
      <c r="H369">
        <v>195.90692000000001</v>
      </c>
      <c r="I369">
        <v>192.89528000000001</v>
      </c>
      <c r="J369">
        <v>340.9228</v>
      </c>
      <c r="K369">
        <v>7.6133300000000004</v>
      </c>
      <c r="L369">
        <v>397.03158000000002</v>
      </c>
      <c r="M369">
        <v>169.50932</v>
      </c>
      <c r="N369">
        <v>0</v>
      </c>
      <c r="O369">
        <v>1</v>
      </c>
      <c r="P369">
        <v>0</v>
      </c>
      <c r="Q369">
        <v>0</v>
      </c>
      <c r="U369" s="221" t="s">
        <v>76</v>
      </c>
      <c r="V369">
        <v>1067.4183800000001</v>
      </c>
      <c r="W369">
        <v>1253.6153300000001</v>
      </c>
      <c r="X369">
        <v>1053.6094000000001</v>
      </c>
      <c r="Y369">
        <v>1095.8964699999999</v>
      </c>
      <c r="Z369">
        <v>757.30799999999999</v>
      </c>
      <c r="AA369">
        <v>1039.80916</v>
      </c>
      <c r="AB369">
        <v>156.10668999999999</v>
      </c>
      <c r="AC369">
        <v>0.66666999999999998</v>
      </c>
      <c r="AD369">
        <v>330.07326999999998</v>
      </c>
      <c r="AE369">
        <v>57.159990000000001</v>
      </c>
    </row>
    <row r="370" spans="1:31">
      <c r="A370" t="s">
        <v>72</v>
      </c>
      <c r="B370" s="216" t="str">
        <f t="shared" si="5"/>
        <v>May-23</v>
      </c>
      <c r="C370" s="217">
        <v>45047</v>
      </c>
      <c r="D370">
        <v>2372.7923900000001</v>
      </c>
      <c r="E370">
        <v>239.72218000000001</v>
      </c>
      <c r="F370">
        <v>273.05385999999999</v>
      </c>
      <c r="G370">
        <v>557.43713000000002</v>
      </c>
      <c r="H370">
        <v>194.32024999999999</v>
      </c>
      <c r="I370">
        <v>191.02860999999999</v>
      </c>
      <c r="J370">
        <v>341.02280000000002</v>
      </c>
      <c r="K370">
        <v>7.6133300000000004</v>
      </c>
      <c r="L370">
        <v>398.03158000000002</v>
      </c>
      <c r="M370">
        <v>169.56264999999999</v>
      </c>
      <c r="N370">
        <v>0</v>
      </c>
      <c r="O370">
        <v>1</v>
      </c>
      <c r="P370">
        <v>0</v>
      </c>
      <c r="Q370">
        <v>0</v>
      </c>
      <c r="U370" s="221" t="s">
        <v>77</v>
      </c>
      <c r="V370">
        <v>3467.3659299999999</v>
      </c>
      <c r="W370">
        <v>4958.8287499999997</v>
      </c>
      <c r="X370">
        <v>3858.01755</v>
      </c>
      <c r="Y370">
        <v>3297.6294499999999</v>
      </c>
      <c r="Z370">
        <v>2644.4069100000002</v>
      </c>
      <c r="AA370">
        <v>3450.42121</v>
      </c>
      <c r="AB370">
        <v>543.65174000000002</v>
      </c>
      <c r="AC370">
        <v>59.939979999999998</v>
      </c>
      <c r="AD370">
        <v>185.86</v>
      </c>
      <c r="AE370">
        <v>168.63336000000001</v>
      </c>
    </row>
    <row r="371" spans="1:31">
      <c r="A371" t="s">
        <v>72</v>
      </c>
      <c r="B371" s="216" t="str">
        <f t="shared" si="5"/>
        <v>Jun-23</v>
      </c>
      <c r="C371" s="217">
        <v>45078</v>
      </c>
      <c r="D371">
        <v>2380.1857300000001</v>
      </c>
      <c r="E371">
        <v>240.86885000000001</v>
      </c>
      <c r="F371">
        <v>277.45386000000002</v>
      </c>
      <c r="G371">
        <v>560.05713000000003</v>
      </c>
      <c r="H371">
        <v>192.12025</v>
      </c>
      <c r="I371">
        <v>192.02860999999999</v>
      </c>
      <c r="J371">
        <v>339.55613</v>
      </c>
      <c r="K371">
        <v>7.6133300000000004</v>
      </c>
      <c r="L371">
        <v>398.52492000000001</v>
      </c>
      <c r="M371">
        <v>170.16265000000001</v>
      </c>
      <c r="N371">
        <v>0</v>
      </c>
      <c r="O371">
        <v>1.8</v>
      </c>
      <c r="P371">
        <v>0</v>
      </c>
      <c r="Q371">
        <v>0</v>
      </c>
      <c r="U371" s="221" t="s">
        <v>78</v>
      </c>
      <c r="V371">
        <v>991.24006999999995</v>
      </c>
      <c r="W371">
        <v>1338.69371</v>
      </c>
      <c r="X371">
        <v>1327.7985000000001</v>
      </c>
      <c r="Y371">
        <v>952.95198000000005</v>
      </c>
      <c r="Z371">
        <v>686.52468999999996</v>
      </c>
      <c r="AA371">
        <v>979.57402999999999</v>
      </c>
      <c r="AB371">
        <v>37.48603</v>
      </c>
      <c r="AC371">
        <v>84.183329999999998</v>
      </c>
      <c r="AD371">
        <v>471.77321999999998</v>
      </c>
      <c r="AE371">
        <v>1</v>
      </c>
    </row>
    <row r="372" spans="1:31">
      <c r="A372" t="s">
        <v>72</v>
      </c>
      <c r="B372" s="216" t="str">
        <f t="shared" si="5"/>
        <v>Jul-23</v>
      </c>
      <c r="C372" s="217">
        <v>45108</v>
      </c>
      <c r="D372">
        <v>2386.4244200000003</v>
      </c>
      <c r="E372">
        <v>241.91551999999999</v>
      </c>
      <c r="F372">
        <v>278.56053000000003</v>
      </c>
      <c r="G372">
        <v>566.40381000000002</v>
      </c>
      <c r="H372">
        <v>194.33358000000001</v>
      </c>
      <c r="I372">
        <v>193.77394000000001</v>
      </c>
      <c r="J372">
        <v>336.34947</v>
      </c>
      <c r="K372">
        <v>7.6133300000000004</v>
      </c>
      <c r="L372">
        <v>396.71159</v>
      </c>
      <c r="M372">
        <v>168.96265</v>
      </c>
      <c r="N372">
        <v>0</v>
      </c>
      <c r="O372">
        <v>1.7999999999999998</v>
      </c>
      <c r="P372">
        <v>0</v>
      </c>
      <c r="Q372">
        <v>0</v>
      </c>
      <c r="U372" s="7" t="s">
        <v>115</v>
      </c>
      <c r="V372">
        <v>12000.192069999999</v>
      </c>
      <c r="W372">
        <v>16088.85965</v>
      </c>
      <c r="X372">
        <v>13648.947320000003</v>
      </c>
      <c r="Y372">
        <v>10912.128149999999</v>
      </c>
      <c r="Z372">
        <v>9377.9825299999993</v>
      </c>
      <c r="AA372">
        <v>11846.47205</v>
      </c>
      <c r="AB372">
        <v>1873.3612600000001</v>
      </c>
      <c r="AC372">
        <v>1713.3625200000001</v>
      </c>
      <c r="AD372">
        <v>4166.6226100000003</v>
      </c>
      <c r="AE372">
        <v>3404.0829200000003</v>
      </c>
    </row>
    <row r="373" spans="1:31">
      <c r="A373" t="s">
        <v>72</v>
      </c>
      <c r="B373" s="216" t="str">
        <f t="shared" si="5"/>
        <v>Aug-23</v>
      </c>
      <c r="C373" s="217">
        <v>45139</v>
      </c>
      <c r="D373">
        <v>2390.3644300000005</v>
      </c>
      <c r="E373">
        <v>242.91551999999999</v>
      </c>
      <c r="F373">
        <v>280.96053000000001</v>
      </c>
      <c r="G373">
        <v>568.31047999999998</v>
      </c>
      <c r="H373">
        <v>194.69358</v>
      </c>
      <c r="I373">
        <v>195.56728000000001</v>
      </c>
      <c r="J373">
        <v>336.34947</v>
      </c>
      <c r="K373">
        <v>7.6133300000000004</v>
      </c>
      <c r="L373">
        <v>395.39159000000001</v>
      </c>
      <c r="M373">
        <v>166.76265000000001</v>
      </c>
      <c r="N373">
        <v>0</v>
      </c>
      <c r="O373">
        <v>1.7999999999999998</v>
      </c>
      <c r="P373">
        <v>0</v>
      </c>
      <c r="Q373">
        <v>0</v>
      </c>
      <c r="U373" s="221" t="s">
        <v>71</v>
      </c>
      <c r="V373">
        <v>2700.0710100000001</v>
      </c>
      <c r="W373">
        <v>3258.7856000000002</v>
      </c>
      <c r="X373">
        <v>2572.1819799999998</v>
      </c>
      <c r="Y373">
        <v>1906.7175199999999</v>
      </c>
      <c r="Z373">
        <v>2033.2063499999999</v>
      </c>
      <c r="AA373">
        <v>2350.9747699999998</v>
      </c>
      <c r="AB373">
        <v>333.28278999999998</v>
      </c>
      <c r="AC373">
        <v>264.87677000000002</v>
      </c>
      <c r="AD373">
        <v>201.32665</v>
      </c>
      <c r="AE373">
        <v>1541.7160799999999</v>
      </c>
    </row>
    <row r="374" spans="1:31">
      <c r="A374" t="s">
        <v>74</v>
      </c>
      <c r="B374" s="216" t="str">
        <f t="shared" si="5"/>
        <v>Aug-22</v>
      </c>
      <c r="C374" s="217">
        <v>44774</v>
      </c>
      <c r="D374">
        <v>2868.4504400000001</v>
      </c>
      <c r="E374">
        <v>468.24376999999998</v>
      </c>
      <c r="F374">
        <v>692.96100999999999</v>
      </c>
      <c r="G374">
        <v>487.05122999999998</v>
      </c>
      <c r="H374">
        <v>346.41746000000001</v>
      </c>
      <c r="I374">
        <v>349.67892999999998</v>
      </c>
      <c r="J374">
        <v>353.18718000000001</v>
      </c>
      <c r="K374">
        <v>74.961340000000007</v>
      </c>
      <c r="L374">
        <v>9</v>
      </c>
      <c r="M374">
        <v>54.606659999999998</v>
      </c>
      <c r="N374">
        <v>3</v>
      </c>
      <c r="O374">
        <v>29.342859999999995</v>
      </c>
      <c r="P374">
        <v>0</v>
      </c>
      <c r="Q374">
        <v>0</v>
      </c>
      <c r="U374" s="221" t="s">
        <v>69</v>
      </c>
      <c r="V374">
        <v>740.59146999999996</v>
      </c>
      <c r="W374">
        <v>900.92430000000002</v>
      </c>
      <c r="X374">
        <v>896.18116999999995</v>
      </c>
      <c r="Y374">
        <v>602.05226000000005</v>
      </c>
      <c r="Z374">
        <v>546.03855999999996</v>
      </c>
      <c r="AA374">
        <v>757.88759000000005</v>
      </c>
      <c r="AB374">
        <v>129.23575</v>
      </c>
      <c r="AC374">
        <v>61.174140000000001</v>
      </c>
      <c r="AD374">
        <v>118.51224000000001</v>
      </c>
      <c r="AE374">
        <v>1075.2329099999999</v>
      </c>
    </row>
    <row r="375" spans="1:31">
      <c r="A375" t="s">
        <v>74</v>
      </c>
      <c r="B375" s="216" t="str">
        <f t="shared" si="5"/>
        <v>Sep-22</v>
      </c>
      <c r="C375" s="217">
        <v>44805</v>
      </c>
      <c r="D375">
        <v>2900.1357899999998</v>
      </c>
      <c r="E375">
        <v>467.00218000000001</v>
      </c>
      <c r="F375">
        <v>708.31142</v>
      </c>
      <c r="G375">
        <v>501.84111000000001</v>
      </c>
      <c r="H375">
        <v>346.55745999999999</v>
      </c>
      <c r="I375">
        <v>349.49225999999999</v>
      </c>
      <c r="J375">
        <v>353.32051000000001</v>
      </c>
      <c r="K375">
        <v>75.328000000000003</v>
      </c>
      <c r="L375">
        <v>9</v>
      </c>
      <c r="M375">
        <v>55.406660000000002</v>
      </c>
      <c r="N375">
        <v>3.4</v>
      </c>
      <c r="O375">
        <v>30.476189999999995</v>
      </c>
      <c r="P375">
        <v>0</v>
      </c>
      <c r="Q375">
        <v>0</v>
      </c>
      <c r="U375" s="221" t="s">
        <v>72</v>
      </c>
      <c r="V375">
        <v>227.26888</v>
      </c>
      <c r="W375">
        <v>252.24081000000001</v>
      </c>
      <c r="X375">
        <v>486.55225999999999</v>
      </c>
      <c r="Y375">
        <v>201.61761000000001</v>
      </c>
      <c r="Z375">
        <v>178.03287</v>
      </c>
      <c r="AA375">
        <v>299.03077000000002</v>
      </c>
      <c r="AB375">
        <v>3</v>
      </c>
      <c r="AC375">
        <v>239.51146</v>
      </c>
      <c r="AD375">
        <v>137.15333000000001</v>
      </c>
      <c r="AE375">
        <v>0</v>
      </c>
    </row>
    <row r="376" spans="1:31">
      <c r="A376" t="s">
        <v>74</v>
      </c>
      <c r="B376" s="216" t="str">
        <f t="shared" si="5"/>
        <v>Oct-22</v>
      </c>
      <c r="C376" s="217">
        <v>44835</v>
      </c>
      <c r="D376">
        <v>2940.6391299999996</v>
      </c>
      <c r="E376">
        <v>473.10885000000002</v>
      </c>
      <c r="F376">
        <v>726.40809000000002</v>
      </c>
      <c r="G376">
        <v>502.34111000000001</v>
      </c>
      <c r="H376">
        <v>350.79746</v>
      </c>
      <c r="I376">
        <v>354.69225999999998</v>
      </c>
      <c r="J376">
        <v>355.68051000000003</v>
      </c>
      <c r="K376">
        <v>79.828000000000003</v>
      </c>
      <c r="L376">
        <v>8.5</v>
      </c>
      <c r="M376">
        <v>55.406660000000002</v>
      </c>
      <c r="N376">
        <v>3.4</v>
      </c>
      <c r="O376">
        <v>30.476189999999995</v>
      </c>
      <c r="P376">
        <v>0</v>
      </c>
      <c r="Q376">
        <v>0</v>
      </c>
      <c r="U376" s="221" t="s">
        <v>73</v>
      </c>
      <c r="V376">
        <v>2</v>
      </c>
      <c r="W376">
        <v>340.66</v>
      </c>
      <c r="X376">
        <v>227.48660000000001</v>
      </c>
      <c r="Y376">
        <v>266.06666000000001</v>
      </c>
      <c r="Z376">
        <v>193.54666</v>
      </c>
      <c r="AA376">
        <v>302.60000000000002</v>
      </c>
      <c r="AB376">
        <v>22.8</v>
      </c>
      <c r="AC376">
        <v>0</v>
      </c>
      <c r="AD376">
        <v>4.5999999999999996</v>
      </c>
      <c r="AE376">
        <v>0</v>
      </c>
    </row>
    <row r="377" spans="1:31">
      <c r="A377" t="s">
        <v>74</v>
      </c>
      <c r="B377" s="216" t="str">
        <f t="shared" si="5"/>
        <v>Nov-22</v>
      </c>
      <c r="C377" s="217">
        <v>44866</v>
      </c>
      <c r="D377">
        <v>2972.0612000000001</v>
      </c>
      <c r="E377">
        <v>476.52551999999997</v>
      </c>
      <c r="F377">
        <v>739.38809000000003</v>
      </c>
      <c r="G377">
        <v>506.37317999999999</v>
      </c>
      <c r="H377">
        <v>354.29746</v>
      </c>
      <c r="I377">
        <v>354.80558000000002</v>
      </c>
      <c r="J377">
        <v>364.39384999999999</v>
      </c>
      <c r="K377">
        <v>78.094669999999994</v>
      </c>
      <c r="L377">
        <v>8.5</v>
      </c>
      <c r="M377">
        <v>56.606659999999998</v>
      </c>
      <c r="N377">
        <v>3.4</v>
      </c>
      <c r="O377">
        <v>29.676189999999995</v>
      </c>
      <c r="P377">
        <v>0</v>
      </c>
      <c r="Q377">
        <v>0</v>
      </c>
      <c r="U377" s="221" t="s">
        <v>74</v>
      </c>
      <c r="V377">
        <v>448.24489999999997</v>
      </c>
      <c r="W377">
        <v>733.70345999999995</v>
      </c>
      <c r="X377">
        <v>711.29884000000004</v>
      </c>
      <c r="Y377">
        <v>366.24946</v>
      </c>
      <c r="Z377">
        <v>335.68259</v>
      </c>
      <c r="AA377">
        <v>374.23491999999999</v>
      </c>
      <c r="AB377">
        <v>68.445080000000004</v>
      </c>
      <c r="AC377">
        <v>7.5</v>
      </c>
      <c r="AD377">
        <v>60.52666</v>
      </c>
      <c r="AE377">
        <v>1</v>
      </c>
    </row>
    <row r="378" spans="1:31">
      <c r="A378" t="s">
        <v>74</v>
      </c>
      <c r="B378" s="216" t="str">
        <f t="shared" si="5"/>
        <v>Dec-22</v>
      </c>
      <c r="C378" s="217">
        <v>44896</v>
      </c>
      <c r="D378">
        <v>2991.2678599999999</v>
      </c>
      <c r="E378">
        <v>472.87218999999999</v>
      </c>
      <c r="F378">
        <v>734.22808999999995</v>
      </c>
      <c r="G378">
        <v>515.21983999999998</v>
      </c>
      <c r="H378">
        <v>365.39746000000002</v>
      </c>
      <c r="I378">
        <v>353.11225000000002</v>
      </c>
      <c r="J378">
        <v>374.70717999999999</v>
      </c>
      <c r="K378">
        <v>78.347999999999999</v>
      </c>
      <c r="L378">
        <v>8.6999999999999993</v>
      </c>
      <c r="M378">
        <v>55.606659999999998</v>
      </c>
      <c r="N378">
        <v>3.4</v>
      </c>
      <c r="O378">
        <v>29.676189999999995</v>
      </c>
      <c r="P378">
        <v>0</v>
      </c>
      <c r="Q378">
        <v>0</v>
      </c>
      <c r="U378" s="221" t="s">
        <v>75</v>
      </c>
      <c r="V378">
        <v>2327.0977499999999</v>
      </c>
      <c r="W378">
        <v>2965.8662800000002</v>
      </c>
      <c r="X378">
        <v>2154.5014500000002</v>
      </c>
      <c r="Y378">
        <v>2066.70298</v>
      </c>
      <c r="Z378">
        <v>1673.3698899999999</v>
      </c>
      <c r="AA378">
        <v>2124.7955900000002</v>
      </c>
      <c r="AB378">
        <v>561.85423000000003</v>
      </c>
      <c r="AC378">
        <v>989.66600000000005</v>
      </c>
      <c r="AD378">
        <v>2570.2072199999998</v>
      </c>
      <c r="AE378">
        <v>563.60058000000004</v>
      </c>
    </row>
    <row r="379" spans="1:31">
      <c r="A379" t="s">
        <v>74</v>
      </c>
      <c r="B379" s="216" t="str">
        <f t="shared" si="5"/>
        <v>Jan-23</v>
      </c>
      <c r="C379" s="217">
        <v>44927</v>
      </c>
      <c r="D379">
        <v>3018.1120199999996</v>
      </c>
      <c r="E379">
        <v>479.36552</v>
      </c>
      <c r="F379">
        <v>737.71475999999996</v>
      </c>
      <c r="G379">
        <v>526.87947999999994</v>
      </c>
      <c r="H379">
        <v>364.98412999999999</v>
      </c>
      <c r="I379">
        <v>352.64877000000001</v>
      </c>
      <c r="J379">
        <v>376.68851000000001</v>
      </c>
      <c r="K379">
        <v>81.548000000000002</v>
      </c>
      <c r="L379">
        <v>8.8000000000000007</v>
      </c>
      <c r="M379">
        <v>55.006659999999997</v>
      </c>
      <c r="N379">
        <v>3.8</v>
      </c>
      <c r="O379">
        <v>30.676189999999995</v>
      </c>
      <c r="P379">
        <v>0</v>
      </c>
      <c r="Q379">
        <v>0</v>
      </c>
      <c r="U379" s="221" t="s">
        <v>76</v>
      </c>
      <c r="V379">
        <v>997.46001999999999</v>
      </c>
      <c r="W379">
        <v>1267.91021</v>
      </c>
      <c r="X379">
        <v>1052.6944900000001</v>
      </c>
      <c r="Y379">
        <v>1116.1482900000001</v>
      </c>
      <c r="Z379">
        <v>1019.86924</v>
      </c>
      <c r="AA379">
        <v>1044.9652100000001</v>
      </c>
      <c r="AB379">
        <v>165.85336000000001</v>
      </c>
      <c r="AC379">
        <v>0.66666999999999998</v>
      </c>
      <c r="AD379">
        <v>349.71195999999998</v>
      </c>
      <c r="AE379">
        <v>58.32</v>
      </c>
    </row>
    <row r="380" spans="1:31">
      <c r="A380" t="s">
        <v>74</v>
      </c>
      <c r="B380" s="216" t="str">
        <f t="shared" si="5"/>
        <v>Feb-23</v>
      </c>
      <c r="C380" s="217">
        <v>44958</v>
      </c>
      <c r="D380">
        <v>3024.7299000000003</v>
      </c>
      <c r="E380">
        <v>475.94551999999999</v>
      </c>
      <c r="F380">
        <v>738.42435999999998</v>
      </c>
      <c r="G380">
        <v>530.76615000000004</v>
      </c>
      <c r="H380">
        <v>365.02839999999998</v>
      </c>
      <c r="I380">
        <v>353.34877</v>
      </c>
      <c r="J380">
        <v>379.08584999999999</v>
      </c>
      <c r="K380">
        <v>81.748000000000005</v>
      </c>
      <c r="L380">
        <v>8.8000000000000007</v>
      </c>
      <c r="M380">
        <v>55.806660000000001</v>
      </c>
      <c r="N380">
        <v>4.8</v>
      </c>
      <c r="O380">
        <v>30.976189999999995</v>
      </c>
      <c r="P380">
        <v>0</v>
      </c>
      <c r="Q380">
        <v>0</v>
      </c>
      <c r="U380" s="221" t="s">
        <v>77</v>
      </c>
      <c r="V380">
        <v>3530.02981</v>
      </c>
      <c r="W380">
        <v>4952.9429799999998</v>
      </c>
      <c r="X380">
        <v>4139.1303500000004</v>
      </c>
      <c r="Y380">
        <v>3332.8915999999999</v>
      </c>
      <c r="Z380">
        <v>2700.7616200000002</v>
      </c>
      <c r="AA380">
        <v>3484.64264</v>
      </c>
      <c r="AB380">
        <v>554.23734999999999</v>
      </c>
      <c r="AC380">
        <v>59.17998</v>
      </c>
      <c r="AD380">
        <v>188.13333</v>
      </c>
      <c r="AE380">
        <v>163.21334999999999</v>
      </c>
    </row>
    <row r="381" spans="1:31">
      <c r="A381" t="s">
        <v>74</v>
      </c>
      <c r="B381" s="216" t="str">
        <f t="shared" si="5"/>
        <v>Mar-23</v>
      </c>
      <c r="C381" s="217">
        <v>44986</v>
      </c>
      <c r="D381">
        <v>3028.61051</v>
      </c>
      <c r="E381">
        <v>472.92552000000001</v>
      </c>
      <c r="F381">
        <v>739.54782</v>
      </c>
      <c r="G381">
        <v>537.71948999999995</v>
      </c>
      <c r="H381">
        <v>364.60172999999998</v>
      </c>
      <c r="I381">
        <v>356.74876999999998</v>
      </c>
      <c r="J381">
        <v>375.43918000000002</v>
      </c>
      <c r="K381">
        <v>80.241339999999994</v>
      </c>
      <c r="L381">
        <v>8.6999999999999993</v>
      </c>
      <c r="M381">
        <v>55.806660000000001</v>
      </c>
      <c r="N381">
        <v>3.8</v>
      </c>
      <c r="O381">
        <v>33.08</v>
      </c>
      <c r="P381">
        <v>0</v>
      </c>
      <c r="Q381">
        <v>0</v>
      </c>
      <c r="U381" s="221" t="s">
        <v>78</v>
      </c>
      <c r="V381">
        <v>1027.42823</v>
      </c>
      <c r="W381">
        <v>1415.82601</v>
      </c>
      <c r="X381">
        <v>1408.9201800000001</v>
      </c>
      <c r="Y381">
        <v>1053.6817699999999</v>
      </c>
      <c r="Z381">
        <v>697.47474999999997</v>
      </c>
      <c r="AA381">
        <v>1107.3405600000001</v>
      </c>
      <c r="AB381">
        <v>34.652700000000003</v>
      </c>
      <c r="AC381">
        <v>90.787499999999994</v>
      </c>
      <c r="AD381">
        <v>536.45122000000003</v>
      </c>
      <c r="AE381">
        <v>1</v>
      </c>
    </row>
    <row r="382" spans="1:31">
      <c r="A382" t="s">
        <v>74</v>
      </c>
      <c r="B382" s="216" t="str">
        <f t="shared" si="5"/>
        <v>Apr-23</v>
      </c>
      <c r="C382" s="217">
        <v>45017</v>
      </c>
      <c r="D382">
        <v>3041.6015899999998</v>
      </c>
      <c r="E382">
        <v>465.85219999999998</v>
      </c>
      <c r="F382">
        <v>738.83447000000001</v>
      </c>
      <c r="G382">
        <v>539.28511000000003</v>
      </c>
      <c r="H382">
        <v>354.84838999999999</v>
      </c>
      <c r="I382">
        <v>354.71758</v>
      </c>
      <c r="J382">
        <v>384.21917999999999</v>
      </c>
      <c r="K382">
        <v>77.594669999999994</v>
      </c>
      <c r="L382">
        <v>8.6999999999999993</v>
      </c>
      <c r="M382">
        <v>54.206659999999999</v>
      </c>
      <c r="N382">
        <v>3.8</v>
      </c>
      <c r="O382">
        <v>35.450000000000003</v>
      </c>
      <c r="P382">
        <v>0</v>
      </c>
      <c r="Q382">
        <v>24.093330000000002</v>
      </c>
      <c r="U382" s="7" t="s">
        <v>116</v>
      </c>
      <c r="V382">
        <v>12322.234569999999</v>
      </c>
      <c r="W382">
        <v>16201.177710000002</v>
      </c>
      <c r="X382">
        <v>13731.654120000001</v>
      </c>
      <c r="Y382">
        <v>11167.51431</v>
      </c>
      <c r="Z382">
        <v>9421.1276899999993</v>
      </c>
      <c r="AA382">
        <v>11747.517959999999</v>
      </c>
      <c r="AB382">
        <v>2002.6907000000001</v>
      </c>
      <c r="AC382">
        <v>1944.3948800000001</v>
      </c>
      <c r="AD382">
        <v>3813.9722000000002</v>
      </c>
      <c r="AE382">
        <v>3897.6521199999997</v>
      </c>
    </row>
    <row r="383" spans="1:31">
      <c r="A383" t="s">
        <v>74</v>
      </c>
      <c r="B383" s="216" t="str">
        <f t="shared" si="5"/>
        <v>May-23</v>
      </c>
      <c r="C383" s="217">
        <v>45047</v>
      </c>
      <c r="D383">
        <v>3044.2215899999997</v>
      </c>
      <c r="E383">
        <v>467.39886000000001</v>
      </c>
      <c r="F383">
        <v>746.45447000000001</v>
      </c>
      <c r="G383">
        <v>537.61177999999995</v>
      </c>
      <c r="H383">
        <v>353.56173000000001</v>
      </c>
      <c r="I383">
        <v>354.87090999999998</v>
      </c>
      <c r="J383">
        <v>381.87918000000002</v>
      </c>
      <c r="K383">
        <v>78.594669999999994</v>
      </c>
      <c r="L383">
        <v>7.7</v>
      </c>
      <c r="M383">
        <v>52.606659999999998</v>
      </c>
      <c r="N383">
        <v>3</v>
      </c>
      <c r="O383">
        <v>35.450000000000003</v>
      </c>
      <c r="P383">
        <v>0</v>
      </c>
      <c r="Q383">
        <v>25.093330000000002</v>
      </c>
      <c r="U383" s="221" t="s">
        <v>71</v>
      </c>
      <c r="V383">
        <v>2668.241</v>
      </c>
      <c r="W383">
        <v>3497.78665</v>
      </c>
      <c r="X383">
        <v>2821.2781799999998</v>
      </c>
      <c r="Y383">
        <v>2119.8499200000001</v>
      </c>
      <c r="Z383">
        <v>2063.27493</v>
      </c>
      <c r="AA383">
        <v>2414.1624999999999</v>
      </c>
      <c r="AB383">
        <v>384.57202000000001</v>
      </c>
      <c r="AC383">
        <v>340.70875999999998</v>
      </c>
      <c r="AD383">
        <v>368.82612999999998</v>
      </c>
      <c r="AE383">
        <v>2042.43686</v>
      </c>
    </row>
    <row r="384" spans="1:31">
      <c r="A384" t="s">
        <v>74</v>
      </c>
      <c r="B384" s="216" t="str">
        <f t="shared" si="5"/>
        <v>Jun-23</v>
      </c>
      <c r="C384" s="217">
        <v>45078</v>
      </c>
      <c r="D384">
        <v>3050.7121400000001</v>
      </c>
      <c r="E384">
        <v>466.79219000000001</v>
      </c>
      <c r="F384">
        <v>747.68739000000005</v>
      </c>
      <c r="G384">
        <v>536.03845000000001</v>
      </c>
      <c r="H384">
        <v>355.50839999999999</v>
      </c>
      <c r="I384">
        <v>354.93090999999998</v>
      </c>
      <c r="J384">
        <v>380.94585000000001</v>
      </c>
      <c r="K384">
        <v>78.294669999999996</v>
      </c>
      <c r="L384">
        <v>9.6999999999999993</v>
      </c>
      <c r="M384">
        <v>52.573329999999999</v>
      </c>
      <c r="N384">
        <v>3</v>
      </c>
      <c r="O384">
        <v>34.447620000000001</v>
      </c>
      <c r="P384">
        <v>0</v>
      </c>
      <c r="Q384">
        <v>30.793330000000001</v>
      </c>
      <c r="U384" s="221" t="s">
        <v>69</v>
      </c>
      <c r="V384">
        <v>772.62190999999996</v>
      </c>
      <c r="W384">
        <v>1055.20642</v>
      </c>
      <c r="X384">
        <v>934.8501</v>
      </c>
      <c r="Y384">
        <v>714.25144999999998</v>
      </c>
      <c r="Z384">
        <v>624.98758999999995</v>
      </c>
      <c r="AA384">
        <v>793.33135000000004</v>
      </c>
      <c r="AB384">
        <v>132.02562</v>
      </c>
      <c r="AC384">
        <v>65.294139999999999</v>
      </c>
      <c r="AD384">
        <v>123.59264</v>
      </c>
      <c r="AE384">
        <v>1024.69956</v>
      </c>
    </row>
    <row r="385" spans="1:34">
      <c r="A385" t="s">
        <v>74</v>
      </c>
      <c r="B385" s="216" t="str">
        <f t="shared" si="5"/>
        <v>Jul-23</v>
      </c>
      <c r="C385" s="217">
        <v>45108</v>
      </c>
      <c r="D385">
        <v>3054.0286799999999</v>
      </c>
      <c r="E385">
        <v>470.09885000000003</v>
      </c>
      <c r="F385">
        <v>744.52392999999995</v>
      </c>
      <c r="G385">
        <v>536.55178000000001</v>
      </c>
      <c r="H385">
        <v>353.94839999999999</v>
      </c>
      <c r="I385">
        <v>358.92424999999997</v>
      </c>
      <c r="J385">
        <v>379.98585000000003</v>
      </c>
      <c r="K385">
        <v>78.094669999999994</v>
      </c>
      <c r="L385">
        <v>9.6999999999999993</v>
      </c>
      <c r="M385">
        <v>52.17333</v>
      </c>
      <c r="N385">
        <v>3</v>
      </c>
      <c r="O385">
        <v>36.047619999999995</v>
      </c>
      <c r="P385">
        <v>0</v>
      </c>
      <c r="Q385">
        <v>30.98</v>
      </c>
      <c r="U385" s="221" t="s">
        <v>72</v>
      </c>
      <c r="V385">
        <v>221.94220999999999</v>
      </c>
      <c r="W385">
        <v>259.35413999999997</v>
      </c>
      <c r="X385">
        <v>495.02292999999997</v>
      </c>
      <c r="Y385">
        <v>204.99760000000001</v>
      </c>
      <c r="Z385">
        <v>180.40194</v>
      </c>
      <c r="AA385">
        <v>304.28944999999999</v>
      </c>
      <c r="AB385">
        <v>5</v>
      </c>
      <c r="AC385">
        <v>340.34291999999999</v>
      </c>
      <c r="AD385">
        <v>145.35333</v>
      </c>
      <c r="AE385">
        <v>0</v>
      </c>
    </row>
    <row r="386" spans="1:34">
      <c r="A386" t="s">
        <v>74</v>
      </c>
      <c r="B386" s="216" t="str">
        <f t="shared" si="5"/>
        <v>Aug-23</v>
      </c>
      <c r="C386" s="217">
        <v>45139</v>
      </c>
      <c r="D386">
        <v>3081.3052400000001</v>
      </c>
      <c r="E386">
        <v>479.79219000000001</v>
      </c>
      <c r="F386">
        <v>738.90392999999995</v>
      </c>
      <c r="G386">
        <v>537.30777999999998</v>
      </c>
      <c r="H386">
        <v>366.46174000000002</v>
      </c>
      <c r="I386">
        <v>358.79545999999999</v>
      </c>
      <c r="J386">
        <v>389.84852000000001</v>
      </c>
      <c r="K386">
        <v>77.294669999999996</v>
      </c>
      <c r="L386">
        <v>9.6999999999999993</v>
      </c>
      <c r="M386">
        <v>52.17333</v>
      </c>
      <c r="N386">
        <v>3</v>
      </c>
      <c r="O386">
        <v>36.047619999999995</v>
      </c>
      <c r="P386">
        <v>0</v>
      </c>
      <c r="Q386">
        <v>31.98</v>
      </c>
      <c r="U386" s="221" t="s">
        <v>73</v>
      </c>
      <c r="V386">
        <v>1</v>
      </c>
      <c r="W386">
        <v>17.5</v>
      </c>
      <c r="X386">
        <v>31.17998</v>
      </c>
      <c r="Y386">
        <v>29.8</v>
      </c>
      <c r="Z386">
        <v>1</v>
      </c>
      <c r="AA386">
        <v>1</v>
      </c>
      <c r="AB386">
        <v>0</v>
      </c>
      <c r="AC386">
        <v>0</v>
      </c>
      <c r="AD386">
        <v>3.0666500000000001</v>
      </c>
      <c r="AE386">
        <v>0</v>
      </c>
    </row>
    <row r="387" spans="1:34">
      <c r="A387" t="s">
        <v>75</v>
      </c>
      <c r="B387" s="216" t="str">
        <f t="shared" ref="B387:B450" si="6">TEXT(C387,"mmm-yy")</f>
        <v>Aug-22</v>
      </c>
      <c r="C387" s="217">
        <v>44774</v>
      </c>
      <c r="D387">
        <v>19447.898859999998</v>
      </c>
      <c r="E387">
        <v>2671.2932000000001</v>
      </c>
      <c r="F387">
        <v>3430.6457099999998</v>
      </c>
      <c r="G387">
        <v>2508.8928900000001</v>
      </c>
      <c r="H387">
        <v>2187.2494799999999</v>
      </c>
      <c r="I387">
        <v>2047.5211999999999</v>
      </c>
      <c r="J387">
        <v>2390.0975100000001</v>
      </c>
      <c r="K387">
        <v>663.28558999999996</v>
      </c>
      <c r="L387">
        <v>1189.8230799999999</v>
      </c>
      <c r="M387">
        <v>504.68266</v>
      </c>
      <c r="N387">
        <v>593.07565999999997</v>
      </c>
      <c r="O387">
        <v>277.35187999999999</v>
      </c>
      <c r="P387">
        <v>983.98</v>
      </c>
      <c r="Q387">
        <v>0</v>
      </c>
      <c r="U387" s="221" t="s">
        <v>74</v>
      </c>
      <c r="V387">
        <v>423.78302000000002</v>
      </c>
      <c r="W387">
        <v>630.68875000000003</v>
      </c>
      <c r="X387">
        <v>738.32865000000004</v>
      </c>
      <c r="Y387">
        <v>339.04414000000003</v>
      </c>
      <c r="Z387">
        <v>304.74605000000003</v>
      </c>
      <c r="AA387">
        <v>392.06400000000002</v>
      </c>
      <c r="AB387">
        <v>74.558660000000003</v>
      </c>
      <c r="AC387">
        <v>9.5</v>
      </c>
      <c r="AD387">
        <v>66.099990000000005</v>
      </c>
      <c r="AE387">
        <v>2</v>
      </c>
    </row>
    <row r="388" spans="1:34">
      <c r="A388" t="s">
        <v>75</v>
      </c>
      <c r="B388" s="216" t="str">
        <f t="shared" si="6"/>
        <v>Sep-22</v>
      </c>
      <c r="C388" s="217">
        <v>44805</v>
      </c>
      <c r="D388">
        <v>19518.933270000001</v>
      </c>
      <c r="E388">
        <v>2677.5903400000002</v>
      </c>
      <c r="F388">
        <v>3445.6336900000001</v>
      </c>
      <c r="G388">
        <v>2492.0569799999998</v>
      </c>
      <c r="H388">
        <v>2184.1161400000001</v>
      </c>
      <c r="I388">
        <v>2067.3886699999998</v>
      </c>
      <c r="J388">
        <v>2387.9306000000001</v>
      </c>
      <c r="K388">
        <v>673.63466000000005</v>
      </c>
      <c r="L388">
        <v>1199.7486699999999</v>
      </c>
      <c r="M388">
        <v>502.76265000000001</v>
      </c>
      <c r="N388">
        <v>602.26232000000005</v>
      </c>
      <c r="O388">
        <v>279.13855000000007</v>
      </c>
      <c r="P388">
        <v>1006.67</v>
      </c>
      <c r="Q388">
        <v>0</v>
      </c>
      <c r="U388" s="221" t="s">
        <v>75</v>
      </c>
      <c r="V388">
        <v>2478.2642900000001</v>
      </c>
      <c r="W388">
        <v>3127.4781699999999</v>
      </c>
      <c r="X388">
        <v>2340.3759100000002</v>
      </c>
      <c r="Y388">
        <v>2198.8185199999998</v>
      </c>
      <c r="Z388">
        <v>1868.5349799999999</v>
      </c>
      <c r="AA388">
        <v>2290.5580500000001</v>
      </c>
      <c r="AB388">
        <v>634.96270000000004</v>
      </c>
      <c r="AC388">
        <v>1024.59908</v>
      </c>
      <c r="AD388">
        <v>1903.1695</v>
      </c>
      <c r="AE388">
        <v>555.16903000000002</v>
      </c>
    </row>
    <row r="389" spans="1:34">
      <c r="A389" t="s">
        <v>75</v>
      </c>
      <c r="B389" s="216" t="str">
        <f t="shared" si="6"/>
        <v>Oct-22</v>
      </c>
      <c r="C389" s="217">
        <v>44835</v>
      </c>
      <c r="D389">
        <v>19600.731019999999</v>
      </c>
      <c r="E389">
        <v>2711.2471599999999</v>
      </c>
      <c r="F389">
        <v>3489.9218099999998</v>
      </c>
      <c r="G389">
        <v>2510.3703</v>
      </c>
      <c r="H389">
        <v>2212.2827600000001</v>
      </c>
      <c r="I389">
        <v>2104.9187099999999</v>
      </c>
      <c r="J389">
        <v>2405.7588999999998</v>
      </c>
      <c r="K389">
        <v>679.84411999999998</v>
      </c>
      <c r="L389">
        <v>1063.3513499999999</v>
      </c>
      <c r="M389">
        <v>507.93597999999997</v>
      </c>
      <c r="N389">
        <v>604.84898999999996</v>
      </c>
      <c r="O389">
        <v>286.33094</v>
      </c>
      <c r="P389">
        <v>1023.92</v>
      </c>
      <c r="Q389">
        <v>0</v>
      </c>
      <c r="U389" s="221" t="s">
        <v>76</v>
      </c>
      <c r="V389">
        <v>995.71443999999997</v>
      </c>
      <c r="W389">
        <v>1252.93986</v>
      </c>
      <c r="X389">
        <v>1141.0780600000001</v>
      </c>
      <c r="Y389">
        <v>1110.4645599999999</v>
      </c>
      <c r="Z389">
        <v>946.82308</v>
      </c>
      <c r="AA389">
        <v>1026.63194</v>
      </c>
      <c r="AB389">
        <v>169.64669000000001</v>
      </c>
      <c r="AC389">
        <v>0.66666999999999998</v>
      </c>
      <c r="AD389">
        <v>376.55196999999998</v>
      </c>
      <c r="AE389">
        <v>64.146659999999997</v>
      </c>
    </row>
    <row r="390" spans="1:34">
      <c r="A390" t="s">
        <v>75</v>
      </c>
      <c r="B390" s="216" t="str">
        <f t="shared" si="6"/>
        <v>Nov-22</v>
      </c>
      <c r="C390" s="217">
        <v>44866</v>
      </c>
      <c r="D390">
        <v>19761.582870000002</v>
      </c>
      <c r="E390">
        <v>2735.2338300000001</v>
      </c>
      <c r="F390">
        <v>3528.9084899999998</v>
      </c>
      <c r="G390">
        <v>2539.2503000000002</v>
      </c>
      <c r="H390">
        <v>2229.4760799999999</v>
      </c>
      <c r="I390">
        <v>2120.6208000000001</v>
      </c>
      <c r="J390">
        <v>2408.86319</v>
      </c>
      <c r="K390">
        <v>679.08624999999995</v>
      </c>
      <c r="L390">
        <v>1078.6380200000001</v>
      </c>
      <c r="M390">
        <v>509.52265</v>
      </c>
      <c r="N390">
        <v>609.06232</v>
      </c>
      <c r="O390">
        <v>283.73094000000003</v>
      </c>
      <c r="P390">
        <v>1039.19</v>
      </c>
      <c r="Q390">
        <v>0</v>
      </c>
      <c r="U390" s="221" t="s">
        <v>77</v>
      </c>
      <c r="V390">
        <v>3825.1871099999998</v>
      </c>
      <c r="W390">
        <v>5121.8922599999996</v>
      </c>
      <c r="X390">
        <v>4045.81068</v>
      </c>
      <c r="Y390">
        <v>3553.2812899999999</v>
      </c>
      <c r="Z390">
        <v>2788.5704599999999</v>
      </c>
      <c r="AA390">
        <v>3584.90879</v>
      </c>
      <c r="AB390">
        <v>568.69147999999996</v>
      </c>
      <c r="AC390">
        <v>67.833309999999997</v>
      </c>
      <c r="AD390">
        <v>199.39999</v>
      </c>
      <c r="AE390">
        <v>208.20000999999999</v>
      </c>
    </row>
    <row r="391" spans="1:34">
      <c r="A391" t="s">
        <v>75</v>
      </c>
      <c r="B391" s="216" t="str">
        <f t="shared" si="6"/>
        <v>Dec-22</v>
      </c>
      <c r="C391" s="217">
        <v>44896</v>
      </c>
      <c r="D391">
        <v>19822.11823</v>
      </c>
      <c r="E391">
        <v>2731.7838400000001</v>
      </c>
      <c r="F391">
        <v>3544.6097500000001</v>
      </c>
      <c r="G391">
        <v>2542.2969699999999</v>
      </c>
      <c r="H391">
        <v>2241.9059600000001</v>
      </c>
      <c r="I391">
        <v>2133.2260000000001</v>
      </c>
      <c r="J391">
        <v>2411.06315</v>
      </c>
      <c r="K391">
        <v>681.43958999999995</v>
      </c>
      <c r="L391">
        <v>1082.03802</v>
      </c>
      <c r="M391">
        <v>515.06930999999997</v>
      </c>
      <c r="N391">
        <v>613.77565000000004</v>
      </c>
      <c r="O391">
        <v>285.46999</v>
      </c>
      <c r="P391">
        <v>1039.44</v>
      </c>
      <c r="Q391">
        <v>0</v>
      </c>
      <c r="U391" s="221" t="s">
        <v>78</v>
      </c>
      <c r="V391">
        <v>935.48059000000001</v>
      </c>
      <c r="W391">
        <v>1238.3314600000001</v>
      </c>
      <c r="X391">
        <v>1183.72963</v>
      </c>
      <c r="Y391">
        <v>897.00683000000004</v>
      </c>
      <c r="Z391">
        <v>642.78866000000005</v>
      </c>
      <c r="AA391">
        <v>940.57187999999996</v>
      </c>
      <c r="AB391">
        <v>33.233530000000002</v>
      </c>
      <c r="AC391">
        <v>95.45</v>
      </c>
      <c r="AD391">
        <v>627.91200000000003</v>
      </c>
      <c r="AE391">
        <v>1</v>
      </c>
    </row>
    <row r="392" spans="1:34">
      <c r="A392" t="s">
        <v>75</v>
      </c>
      <c r="B392" s="216" t="str">
        <f t="shared" si="6"/>
        <v>Jan-23</v>
      </c>
      <c r="C392" s="217">
        <v>44927</v>
      </c>
      <c r="D392">
        <v>20056.967449999996</v>
      </c>
      <c r="E392">
        <v>2760.2749100000001</v>
      </c>
      <c r="F392">
        <v>3597.8460399999999</v>
      </c>
      <c r="G392">
        <v>2564.9860800000001</v>
      </c>
      <c r="H392">
        <v>2253.2993000000001</v>
      </c>
      <c r="I392">
        <v>2154.7264500000001</v>
      </c>
      <c r="J392">
        <v>2419.47516</v>
      </c>
      <c r="K392">
        <v>699.17958999999996</v>
      </c>
      <c r="L392">
        <v>1075.3913700000001</v>
      </c>
      <c r="M392">
        <v>526.84290999999996</v>
      </c>
      <c r="N392">
        <v>626.49564999999996</v>
      </c>
      <c r="O392">
        <v>297.86998999999997</v>
      </c>
      <c r="P392">
        <v>1080.58</v>
      </c>
      <c r="Q392">
        <v>0</v>
      </c>
      <c r="U392" s="7" t="s">
        <v>117</v>
      </c>
      <c r="V392">
        <v>12205.371640000001</v>
      </c>
      <c r="W392">
        <v>16731.330900000001</v>
      </c>
      <c r="X392">
        <v>14015.0833</v>
      </c>
      <c r="Y392">
        <v>10972.2358</v>
      </c>
      <c r="Z392">
        <v>9659.2380100000009</v>
      </c>
      <c r="AA392">
        <v>11694.540730000001</v>
      </c>
      <c r="AB392">
        <v>2038.3943200000001</v>
      </c>
      <c r="AC392">
        <v>2138.8605600000001</v>
      </c>
      <c r="AD392">
        <v>1418.57375</v>
      </c>
      <c r="AE392">
        <v>4020.0436300000006</v>
      </c>
      <c r="AF392">
        <v>358.88102000000003</v>
      </c>
      <c r="AG392">
        <v>973.08</v>
      </c>
      <c r="AH392">
        <v>0</v>
      </c>
    </row>
    <row r="393" spans="1:34">
      <c r="A393" t="s">
        <v>75</v>
      </c>
      <c r="B393" s="216" t="str">
        <f t="shared" si="6"/>
        <v>Feb-23</v>
      </c>
      <c r="C393" s="217">
        <v>44958</v>
      </c>
      <c r="D393">
        <v>20149.938749999998</v>
      </c>
      <c r="E393">
        <v>2773.9933799999999</v>
      </c>
      <c r="F393">
        <v>3624.6347999999998</v>
      </c>
      <c r="G393">
        <v>2566.2971299999999</v>
      </c>
      <c r="H393">
        <v>2266.9410800000001</v>
      </c>
      <c r="I393">
        <v>2168.8931299999999</v>
      </c>
      <c r="J393">
        <v>2428.3761100000002</v>
      </c>
      <c r="K393">
        <v>697.13986</v>
      </c>
      <c r="L393">
        <v>1088.89804</v>
      </c>
      <c r="M393">
        <v>526.84290999999996</v>
      </c>
      <c r="N393">
        <v>622.40232000000003</v>
      </c>
      <c r="O393">
        <v>299.66998999999993</v>
      </c>
      <c r="P393">
        <v>1085.8499999999999</v>
      </c>
      <c r="Q393">
        <v>0</v>
      </c>
      <c r="U393" s="221" t="s">
        <v>71</v>
      </c>
      <c r="V393">
        <v>2639.1209600000002</v>
      </c>
      <c r="W393">
        <v>3582.97903</v>
      </c>
      <c r="X393">
        <v>2833.3304800000001</v>
      </c>
      <c r="Y393">
        <v>2071.7897200000002</v>
      </c>
      <c r="Z393">
        <v>2165.9769900000001</v>
      </c>
      <c r="AA393">
        <v>2470.6075500000002</v>
      </c>
      <c r="AB393">
        <v>396.26722000000001</v>
      </c>
      <c r="AC393">
        <v>337.40742</v>
      </c>
      <c r="AD393">
        <v>228.81978000000001</v>
      </c>
      <c r="AE393">
        <v>2080.1598600000002</v>
      </c>
      <c r="AF393">
        <v>2.5</v>
      </c>
      <c r="AG393">
        <v>0</v>
      </c>
      <c r="AH393">
        <v>0</v>
      </c>
    </row>
    <row r="394" spans="1:34">
      <c r="A394" t="s">
        <v>75</v>
      </c>
      <c r="B394" s="216" t="str">
        <f t="shared" si="6"/>
        <v>Mar-23</v>
      </c>
      <c r="C394" s="217">
        <v>44986</v>
      </c>
      <c r="D394">
        <v>20290.344850000001</v>
      </c>
      <c r="E394">
        <v>2784.8600499999998</v>
      </c>
      <c r="F394">
        <v>3633.22363</v>
      </c>
      <c r="G394">
        <v>2575.5810999999999</v>
      </c>
      <c r="H394">
        <v>2272.0544300000001</v>
      </c>
      <c r="I394">
        <v>2174.9541300000001</v>
      </c>
      <c r="J394">
        <v>2437.1673799999999</v>
      </c>
      <c r="K394">
        <v>700.71559000000002</v>
      </c>
      <c r="L394">
        <v>1168.7067</v>
      </c>
      <c r="M394">
        <v>520.98290999999995</v>
      </c>
      <c r="N394">
        <v>626.55893000000003</v>
      </c>
      <c r="O394">
        <v>305.2</v>
      </c>
      <c r="P394">
        <v>1090.3399999999999</v>
      </c>
      <c r="Q394">
        <v>0</v>
      </c>
      <c r="U394" s="221" t="s">
        <v>69</v>
      </c>
      <c r="V394">
        <v>793.76482999999996</v>
      </c>
      <c r="W394">
        <v>1103.7264500000001</v>
      </c>
      <c r="X394">
        <v>1338.71387</v>
      </c>
      <c r="Y394">
        <v>713.65944000000002</v>
      </c>
      <c r="Z394">
        <v>657.26076</v>
      </c>
      <c r="AA394">
        <v>858.49001999999996</v>
      </c>
      <c r="AB394">
        <v>131.99574999999999</v>
      </c>
      <c r="AC394">
        <v>65.844260000000006</v>
      </c>
      <c r="AD394">
        <v>139.24850000000001</v>
      </c>
      <c r="AE394">
        <v>1084.39077</v>
      </c>
      <c r="AF394">
        <v>3.8</v>
      </c>
      <c r="AG394">
        <v>0</v>
      </c>
      <c r="AH394">
        <v>0</v>
      </c>
    </row>
    <row r="395" spans="1:34">
      <c r="A395" t="s">
        <v>75</v>
      </c>
      <c r="B395" s="216" t="str">
        <f t="shared" si="6"/>
        <v>Apr-23</v>
      </c>
      <c r="C395" s="217">
        <v>45017</v>
      </c>
      <c r="D395">
        <v>21659.531369999997</v>
      </c>
      <c r="E395">
        <v>2770.1130499999999</v>
      </c>
      <c r="F395">
        <v>3633.0513700000001</v>
      </c>
      <c r="G395">
        <v>2568.5378999999998</v>
      </c>
      <c r="H395">
        <v>2248.16815</v>
      </c>
      <c r="I395">
        <v>2182.26352</v>
      </c>
      <c r="J395">
        <v>2353.9452999999999</v>
      </c>
      <c r="K395">
        <v>620.51504999999997</v>
      </c>
      <c r="L395">
        <v>1165.8567</v>
      </c>
      <c r="M395">
        <v>519.85623999999996</v>
      </c>
      <c r="N395">
        <v>630.34559000000002</v>
      </c>
      <c r="O395">
        <v>301.20999999999998</v>
      </c>
      <c r="P395">
        <v>1104.78368</v>
      </c>
      <c r="Q395">
        <v>1560.88482</v>
      </c>
      <c r="U395" s="221" t="s">
        <v>72</v>
      </c>
      <c r="V395">
        <v>229.43553</v>
      </c>
      <c r="W395">
        <v>257.66372999999999</v>
      </c>
      <c r="X395">
        <v>535.45654000000002</v>
      </c>
      <c r="Y395">
        <v>190.60826</v>
      </c>
      <c r="Z395">
        <v>192.95527999999999</v>
      </c>
      <c r="AA395">
        <v>316.46946000000003</v>
      </c>
      <c r="AB395">
        <v>4.6133300000000004</v>
      </c>
      <c r="AC395">
        <v>374.78492</v>
      </c>
      <c r="AD395">
        <v>155.52798999999999</v>
      </c>
      <c r="AE395">
        <v>0</v>
      </c>
      <c r="AF395">
        <v>0</v>
      </c>
      <c r="AG395">
        <v>0</v>
      </c>
      <c r="AH395">
        <v>0</v>
      </c>
    </row>
    <row r="396" spans="1:34">
      <c r="A396" t="s">
        <v>75</v>
      </c>
      <c r="B396" s="216" t="str">
        <f t="shared" si="6"/>
        <v>May-23</v>
      </c>
      <c r="C396" s="217">
        <v>45047</v>
      </c>
      <c r="D396">
        <v>21754.736850000001</v>
      </c>
      <c r="E396">
        <v>2783.79304</v>
      </c>
      <c r="F396">
        <v>3667.4476500000001</v>
      </c>
      <c r="G396">
        <v>2565.4426699999999</v>
      </c>
      <c r="H396">
        <v>2251.0149500000002</v>
      </c>
      <c r="I396">
        <v>2196.5035200000002</v>
      </c>
      <c r="J396">
        <v>2346.57116</v>
      </c>
      <c r="K396">
        <v>625.40412000000003</v>
      </c>
      <c r="L396">
        <v>1170.0030899999999</v>
      </c>
      <c r="M396">
        <v>521.18957</v>
      </c>
      <c r="N396">
        <v>632.24558999999999</v>
      </c>
      <c r="O396">
        <v>309.64</v>
      </c>
      <c r="P396">
        <v>1113.95</v>
      </c>
      <c r="Q396">
        <v>1571.5314900000001</v>
      </c>
      <c r="U396" s="221" t="s">
        <v>73</v>
      </c>
      <c r="V396">
        <v>11.5</v>
      </c>
      <c r="W396">
        <v>26.1</v>
      </c>
      <c r="X396">
        <v>38.566650000000003</v>
      </c>
      <c r="Y396">
        <v>32.533340000000003</v>
      </c>
      <c r="Z396">
        <v>1</v>
      </c>
      <c r="AA396">
        <v>0</v>
      </c>
      <c r="AB396">
        <v>0</v>
      </c>
      <c r="AC396">
        <v>0</v>
      </c>
      <c r="AD396">
        <v>3.0666500000000001</v>
      </c>
      <c r="AE396">
        <v>0</v>
      </c>
      <c r="AF396">
        <v>0</v>
      </c>
      <c r="AG396">
        <v>0</v>
      </c>
      <c r="AH396">
        <v>0</v>
      </c>
    </row>
    <row r="397" spans="1:34">
      <c r="A397" t="s">
        <v>75</v>
      </c>
      <c r="B397" s="216" t="str">
        <f t="shared" si="6"/>
        <v>Jun-23</v>
      </c>
      <c r="C397" s="217">
        <v>45078</v>
      </c>
      <c r="D397">
        <v>21782.202820000002</v>
      </c>
      <c r="E397">
        <v>2781.0823799999998</v>
      </c>
      <c r="F397">
        <v>3664.8763199999999</v>
      </c>
      <c r="G397">
        <v>2574.2218699999999</v>
      </c>
      <c r="H397">
        <v>2255.4216200000001</v>
      </c>
      <c r="I397">
        <v>2204.9101799999999</v>
      </c>
      <c r="J397">
        <v>2344.6326399999998</v>
      </c>
      <c r="K397">
        <v>621.42430999999999</v>
      </c>
      <c r="L397">
        <v>1175.5219099999999</v>
      </c>
      <c r="M397">
        <v>527.78957000000003</v>
      </c>
      <c r="N397">
        <v>623.88558999999998</v>
      </c>
      <c r="O397">
        <v>312.96094000000011</v>
      </c>
      <c r="P397">
        <v>1120.2</v>
      </c>
      <c r="Q397">
        <v>1575.27549</v>
      </c>
      <c r="U397" s="221" t="s">
        <v>74</v>
      </c>
      <c r="V397">
        <v>457.26974000000001</v>
      </c>
      <c r="W397">
        <v>689.66101000000003</v>
      </c>
      <c r="X397">
        <v>480.29442999999998</v>
      </c>
      <c r="Y397">
        <v>346.45746000000003</v>
      </c>
      <c r="Z397">
        <v>340.86559</v>
      </c>
      <c r="AA397">
        <v>354.60052000000002</v>
      </c>
      <c r="AB397">
        <v>74.587999999999994</v>
      </c>
      <c r="AC397">
        <v>9</v>
      </c>
      <c r="AD397">
        <v>49.206659999999999</v>
      </c>
      <c r="AE397">
        <v>3</v>
      </c>
      <c r="AF397">
        <v>28.828569999999996</v>
      </c>
      <c r="AG397">
        <v>0</v>
      </c>
      <c r="AH397">
        <v>0</v>
      </c>
    </row>
    <row r="398" spans="1:34">
      <c r="A398" t="s">
        <v>75</v>
      </c>
      <c r="B398" s="216" t="str">
        <f t="shared" si="6"/>
        <v>Jul-23</v>
      </c>
      <c r="C398" s="217">
        <v>45108</v>
      </c>
      <c r="D398">
        <v>21850.47105</v>
      </c>
      <c r="E398">
        <v>2799.1117100000001</v>
      </c>
      <c r="F398">
        <v>3673.0046200000002</v>
      </c>
      <c r="G398">
        <v>2583.9418700000001</v>
      </c>
      <c r="H398">
        <v>2256.5049300000001</v>
      </c>
      <c r="I398">
        <v>2218.0735100000002</v>
      </c>
      <c r="J398">
        <v>2340.2424700000001</v>
      </c>
      <c r="K398">
        <v>619.9117</v>
      </c>
      <c r="L398">
        <v>1186.17977</v>
      </c>
      <c r="M398">
        <v>531.47996999999998</v>
      </c>
      <c r="N398">
        <v>627.59226000000001</v>
      </c>
      <c r="O398">
        <v>323.0247500000001</v>
      </c>
      <c r="P398">
        <v>1110.5999999999999</v>
      </c>
      <c r="Q398">
        <v>1580.80349</v>
      </c>
      <c r="U398" s="221" t="s">
        <v>75</v>
      </c>
      <c r="V398">
        <v>2639.7970500000001</v>
      </c>
      <c r="W398">
        <v>3384.1148899999998</v>
      </c>
      <c r="X398">
        <v>2536.10572</v>
      </c>
      <c r="Y398">
        <v>2242.1647600000001</v>
      </c>
      <c r="Z398">
        <v>2019.4278999999999</v>
      </c>
      <c r="AA398">
        <v>2383.3898300000001</v>
      </c>
      <c r="AB398">
        <v>662.93170999999995</v>
      </c>
      <c r="AC398">
        <v>1167.3921499999999</v>
      </c>
      <c r="AD398">
        <v>504.26531999999997</v>
      </c>
      <c r="AE398">
        <v>587.94233999999994</v>
      </c>
      <c r="AF398">
        <v>266.28045000000003</v>
      </c>
      <c r="AG398">
        <v>972.48</v>
      </c>
      <c r="AH398">
        <v>0</v>
      </c>
    </row>
    <row r="399" spans="1:34">
      <c r="A399" t="s">
        <v>75</v>
      </c>
      <c r="B399" s="216" t="str">
        <f t="shared" si="6"/>
        <v>Aug-23</v>
      </c>
      <c r="C399" s="217">
        <v>45139</v>
      </c>
      <c r="D399">
        <v>21882.282210000001</v>
      </c>
      <c r="E399">
        <v>2802.6477199999999</v>
      </c>
      <c r="F399">
        <v>3677.44301</v>
      </c>
      <c r="G399">
        <v>2588.9539599999998</v>
      </c>
      <c r="H399">
        <v>2259.1847699999998</v>
      </c>
      <c r="I399">
        <v>2209.8334799999998</v>
      </c>
      <c r="J399">
        <v>2347.4408100000001</v>
      </c>
      <c r="K399">
        <v>618.24504999999999</v>
      </c>
      <c r="L399">
        <v>1191.79294</v>
      </c>
      <c r="M399">
        <v>528.66664000000003</v>
      </c>
      <c r="N399">
        <v>625.96559000000002</v>
      </c>
      <c r="O399">
        <v>323.0247500000001</v>
      </c>
      <c r="P399">
        <v>1121.4000000000001</v>
      </c>
      <c r="Q399">
        <v>1587.6834899999999</v>
      </c>
      <c r="U399" s="221" t="s">
        <v>76</v>
      </c>
      <c r="V399">
        <v>976.17305999999996</v>
      </c>
      <c r="W399">
        <v>1298.3933400000001</v>
      </c>
      <c r="X399">
        <v>1150.1221700000001</v>
      </c>
      <c r="Y399">
        <v>1082.75505</v>
      </c>
      <c r="Z399">
        <v>859.38043000000005</v>
      </c>
      <c r="AA399">
        <v>999.46472000000006</v>
      </c>
      <c r="AB399">
        <v>179.97338999999999</v>
      </c>
      <c r="AC399">
        <v>0.66666999999999998</v>
      </c>
      <c r="AD399">
        <v>57.090359999999997</v>
      </c>
      <c r="AE399">
        <v>59.786650000000002</v>
      </c>
      <c r="AF399">
        <v>0</v>
      </c>
      <c r="AG399">
        <v>0</v>
      </c>
      <c r="AH399">
        <v>0</v>
      </c>
    </row>
    <row r="400" spans="1:34">
      <c r="A400" t="s">
        <v>76</v>
      </c>
      <c r="B400" s="216" t="str">
        <f t="shared" si="6"/>
        <v>Aug-22</v>
      </c>
      <c r="C400" s="217">
        <v>44774</v>
      </c>
      <c r="D400">
        <v>6627.6872800000001</v>
      </c>
      <c r="E400">
        <v>973.38948000000005</v>
      </c>
      <c r="F400">
        <v>1308.21173</v>
      </c>
      <c r="G400">
        <v>1157.3288399999999</v>
      </c>
      <c r="H400">
        <v>1066.1950400000001</v>
      </c>
      <c r="I400">
        <v>836.45375999999999</v>
      </c>
      <c r="J400">
        <v>990.13802999999996</v>
      </c>
      <c r="K400">
        <v>178.12671</v>
      </c>
      <c r="L400">
        <v>0.66666999999999998</v>
      </c>
      <c r="M400">
        <v>55.363700000000001</v>
      </c>
      <c r="N400">
        <v>61.813319999999997</v>
      </c>
      <c r="O400">
        <v>0</v>
      </c>
      <c r="P400">
        <v>0</v>
      </c>
      <c r="Q400">
        <v>0</v>
      </c>
      <c r="U400" s="221" t="s">
        <v>77</v>
      </c>
      <c r="V400">
        <v>3724.7878700000001</v>
      </c>
      <c r="W400">
        <v>5260.6822099999999</v>
      </c>
      <c r="X400">
        <v>4170.0074500000001</v>
      </c>
      <c r="Y400">
        <v>3553.98459</v>
      </c>
      <c r="Z400">
        <v>2815.4956999999999</v>
      </c>
      <c r="AA400">
        <v>3540.81439</v>
      </c>
      <c r="AB400">
        <v>558.37147000000004</v>
      </c>
      <c r="AC400">
        <v>84.233320000000006</v>
      </c>
      <c r="AD400">
        <v>207.74666999999999</v>
      </c>
      <c r="AE400">
        <v>204.25734</v>
      </c>
      <c r="AF400">
        <v>9.4</v>
      </c>
      <c r="AG400">
        <v>0</v>
      </c>
      <c r="AH400">
        <v>0</v>
      </c>
    </row>
    <row r="401" spans="1:34">
      <c r="A401" t="s">
        <v>76</v>
      </c>
      <c r="B401" s="216" t="str">
        <f t="shared" si="6"/>
        <v>Sep-22</v>
      </c>
      <c r="C401" s="217">
        <v>44805</v>
      </c>
      <c r="D401">
        <v>6620.0852599999998</v>
      </c>
      <c r="E401">
        <v>970.37279000000001</v>
      </c>
      <c r="F401">
        <v>1313.9396999999999</v>
      </c>
      <c r="G401">
        <v>1158.5688399999999</v>
      </c>
      <c r="H401">
        <v>1065.3417300000001</v>
      </c>
      <c r="I401">
        <v>831.54710999999998</v>
      </c>
      <c r="J401">
        <v>987.67136000000005</v>
      </c>
      <c r="K401">
        <v>172.80004</v>
      </c>
      <c r="L401">
        <v>0.66666999999999998</v>
      </c>
      <c r="M401">
        <v>57.363700000000001</v>
      </c>
      <c r="N401">
        <v>61.813319999999997</v>
      </c>
      <c r="O401">
        <v>0</v>
      </c>
      <c r="P401">
        <v>0</v>
      </c>
      <c r="Q401">
        <v>0</v>
      </c>
      <c r="U401" s="221" t="s">
        <v>78</v>
      </c>
      <c r="V401">
        <v>733.52260000000001</v>
      </c>
      <c r="W401">
        <v>1128.0102400000001</v>
      </c>
      <c r="X401">
        <v>932.48599000000002</v>
      </c>
      <c r="Y401">
        <v>738.28318000000002</v>
      </c>
      <c r="Z401">
        <v>606.87536</v>
      </c>
      <c r="AA401">
        <v>770.70424000000003</v>
      </c>
      <c r="AB401">
        <v>29.653449999999999</v>
      </c>
      <c r="AC401">
        <v>99.531819999999996</v>
      </c>
      <c r="AD401">
        <v>73.601820000000004</v>
      </c>
      <c r="AE401">
        <v>0.50666999999999995</v>
      </c>
      <c r="AF401">
        <v>48.071999999999996</v>
      </c>
      <c r="AG401">
        <v>0.6</v>
      </c>
      <c r="AH401">
        <v>0</v>
      </c>
    </row>
    <row r="402" spans="1:34">
      <c r="A402" t="s">
        <v>76</v>
      </c>
      <c r="B402" s="216" t="str">
        <f t="shared" si="6"/>
        <v>Oct-22</v>
      </c>
      <c r="C402" s="217">
        <v>44835</v>
      </c>
      <c r="D402">
        <v>6617.8194899999999</v>
      </c>
      <c r="E402">
        <v>967.79612999999995</v>
      </c>
      <c r="F402">
        <v>1320.0263500000001</v>
      </c>
      <c r="G402">
        <v>1151.8088499999999</v>
      </c>
      <c r="H402">
        <v>1073.8617300000001</v>
      </c>
      <c r="I402">
        <v>822.96708000000001</v>
      </c>
      <c r="J402">
        <v>990.75562000000002</v>
      </c>
      <c r="K402">
        <v>171.44004000000001</v>
      </c>
      <c r="L402">
        <v>0.66666999999999998</v>
      </c>
      <c r="M402">
        <v>55.683700000000002</v>
      </c>
      <c r="N402">
        <v>62.813319999999997</v>
      </c>
      <c r="O402">
        <v>0</v>
      </c>
      <c r="P402">
        <v>0</v>
      </c>
      <c r="Q402">
        <v>0</v>
      </c>
      <c r="U402" s="7" t="s">
        <v>118</v>
      </c>
      <c r="V402">
        <v>12700.44845</v>
      </c>
      <c r="W402">
        <v>17737.818950000001</v>
      </c>
      <c r="X402">
        <v>14511.462539999999</v>
      </c>
      <c r="Y402">
        <v>11070.882279999998</v>
      </c>
      <c r="Z402">
        <v>10178.292390000001</v>
      </c>
      <c r="AA402">
        <v>12118.682330000001</v>
      </c>
      <c r="AB402">
        <v>1991.8871000000001</v>
      </c>
      <c r="AC402">
        <v>2124.4099700000002</v>
      </c>
      <c r="AD402">
        <v>1470.4266699999998</v>
      </c>
      <c r="AE402">
        <v>4091.9629</v>
      </c>
      <c r="AF402">
        <v>412.83</v>
      </c>
      <c r="AG402">
        <v>1115.19</v>
      </c>
      <c r="AH402">
        <v>5140.0773200000003</v>
      </c>
    </row>
    <row r="403" spans="1:34">
      <c r="A403" t="s">
        <v>76</v>
      </c>
      <c r="B403" s="216" t="str">
        <f t="shared" si="6"/>
        <v>Nov-22</v>
      </c>
      <c r="C403" s="217">
        <v>44866</v>
      </c>
      <c r="D403">
        <v>6661.6894799999991</v>
      </c>
      <c r="E403">
        <v>975.65611000000001</v>
      </c>
      <c r="F403">
        <v>1340.62634</v>
      </c>
      <c r="G403">
        <v>1153.7888600000001</v>
      </c>
      <c r="H403">
        <v>1079.2817399999999</v>
      </c>
      <c r="I403">
        <v>824.45042999999998</v>
      </c>
      <c r="J403">
        <v>997.42894999999999</v>
      </c>
      <c r="K403">
        <v>169.64003</v>
      </c>
      <c r="L403">
        <v>0.66666999999999998</v>
      </c>
      <c r="M403">
        <v>56.683700000000002</v>
      </c>
      <c r="N403">
        <v>63.466650000000001</v>
      </c>
      <c r="O403">
        <v>0</v>
      </c>
      <c r="P403">
        <v>0</v>
      </c>
      <c r="Q403">
        <v>0</v>
      </c>
      <c r="U403" s="221" t="s">
        <v>71</v>
      </c>
      <c r="V403">
        <v>2824.21783</v>
      </c>
      <c r="W403">
        <v>3944.4168300000001</v>
      </c>
      <c r="X403">
        <v>2884.1427100000001</v>
      </c>
      <c r="Y403">
        <v>2086.64957</v>
      </c>
      <c r="Z403">
        <v>2286.1472800000001</v>
      </c>
      <c r="AA403">
        <v>2586.83536</v>
      </c>
      <c r="AB403">
        <v>387.78536000000003</v>
      </c>
      <c r="AC403">
        <v>304.52024</v>
      </c>
      <c r="AD403">
        <v>233.64644000000001</v>
      </c>
      <c r="AE403">
        <v>2107.9050999999999</v>
      </c>
      <c r="AF403">
        <v>1</v>
      </c>
      <c r="AG403">
        <v>0</v>
      </c>
      <c r="AH403">
        <v>122.7</v>
      </c>
    </row>
    <row r="404" spans="1:34">
      <c r="A404" t="s">
        <v>76</v>
      </c>
      <c r="B404" s="216" t="str">
        <f t="shared" si="6"/>
        <v>Dec-22</v>
      </c>
      <c r="C404" s="217">
        <v>44896</v>
      </c>
      <c r="D404">
        <v>6644.5813699999999</v>
      </c>
      <c r="E404">
        <v>969.31133</v>
      </c>
      <c r="F404">
        <v>1339.893</v>
      </c>
      <c r="G404">
        <v>1158.38885</v>
      </c>
      <c r="H404">
        <v>1075.1284000000001</v>
      </c>
      <c r="I404">
        <v>822.44045000000006</v>
      </c>
      <c r="J404">
        <v>991.08228999999994</v>
      </c>
      <c r="K404">
        <v>168.38669999999999</v>
      </c>
      <c r="L404">
        <v>0.66666999999999998</v>
      </c>
      <c r="M404">
        <v>55.817030000000003</v>
      </c>
      <c r="N404">
        <v>63.466650000000001</v>
      </c>
      <c r="O404">
        <v>0</v>
      </c>
      <c r="P404">
        <v>0</v>
      </c>
      <c r="Q404">
        <v>0</v>
      </c>
      <c r="U404" s="221" t="s">
        <v>69</v>
      </c>
      <c r="V404">
        <v>808.55948999999998</v>
      </c>
      <c r="W404">
        <v>1167.34529</v>
      </c>
      <c r="X404">
        <v>1391.1445100000001</v>
      </c>
      <c r="Y404">
        <v>726.51463999999999</v>
      </c>
      <c r="Z404">
        <v>683.78346999999997</v>
      </c>
      <c r="AA404">
        <v>893.57935999999995</v>
      </c>
      <c r="AB404">
        <v>138.15628000000001</v>
      </c>
      <c r="AC404">
        <v>67.251729999999995</v>
      </c>
      <c r="AD404">
        <v>141.70251999999999</v>
      </c>
      <c r="AE404">
        <v>1088.5148899999999</v>
      </c>
      <c r="AF404">
        <v>6</v>
      </c>
      <c r="AG404">
        <v>0</v>
      </c>
      <c r="AH404">
        <v>0.6</v>
      </c>
    </row>
    <row r="405" spans="1:34">
      <c r="A405" t="s">
        <v>76</v>
      </c>
      <c r="B405" s="216" t="str">
        <f t="shared" si="6"/>
        <v>Jan-23</v>
      </c>
      <c r="C405" s="217">
        <v>44927</v>
      </c>
      <c r="D405">
        <v>6677.1140200000009</v>
      </c>
      <c r="E405">
        <v>969.76800000000003</v>
      </c>
      <c r="F405">
        <v>1353.74234</v>
      </c>
      <c r="G405">
        <v>1167.0888299999999</v>
      </c>
      <c r="H405">
        <v>1079.38175</v>
      </c>
      <c r="I405">
        <v>829.26711</v>
      </c>
      <c r="J405">
        <v>990.09562000000005</v>
      </c>
      <c r="K405">
        <v>170.14669000000001</v>
      </c>
      <c r="L405">
        <v>0.66666999999999998</v>
      </c>
      <c r="M405">
        <v>53.990360000000003</v>
      </c>
      <c r="N405">
        <v>62.966650000000001</v>
      </c>
      <c r="O405">
        <v>0</v>
      </c>
      <c r="P405">
        <v>0</v>
      </c>
      <c r="Q405">
        <v>0</v>
      </c>
      <c r="U405" s="221" t="s">
        <v>72</v>
      </c>
      <c r="V405">
        <v>239.72218000000001</v>
      </c>
      <c r="W405">
        <v>273.05385999999999</v>
      </c>
      <c r="X405">
        <v>557.43713000000002</v>
      </c>
      <c r="Y405">
        <v>194.32024999999999</v>
      </c>
      <c r="Z405">
        <v>191.02860999999999</v>
      </c>
      <c r="AA405">
        <v>341.02280000000002</v>
      </c>
      <c r="AB405">
        <v>7.6133300000000004</v>
      </c>
      <c r="AC405">
        <v>398.03158000000002</v>
      </c>
      <c r="AD405">
        <v>169.56264999999999</v>
      </c>
      <c r="AE405">
        <v>0</v>
      </c>
      <c r="AF405">
        <v>1</v>
      </c>
      <c r="AG405">
        <v>0</v>
      </c>
      <c r="AH405">
        <v>0</v>
      </c>
    </row>
    <row r="406" spans="1:34">
      <c r="A406" t="s">
        <v>76</v>
      </c>
      <c r="B406" s="216" t="str">
        <f t="shared" si="6"/>
        <v>Feb-23</v>
      </c>
      <c r="C406" s="217">
        <v>44958</v>
      </c>
      <c r="D406">
        <v>6717.22397</v>
      </c>
      <c r="E406">
        <v>971.83133999999995</v>
      </c>
      <c r="F406">
        <v>1366.02235</v>
      </c>
      <c r="G406">
        <v>1180.06213</v>
      </c>
      <c r="H406">
        <v>1083.0284099999999</v>
      </c>
      <c r="I406">
        <v>837.18709000000001</v>
      </c>
      <c r="J406">
        <v>989.24228000000005</v>
      </c>
      <c r="K406">
        <v>172.22668999999999</v>
      </c>
      <c r="L406">
        <v>0.66666999999999998</v>
      </c>
      <c r="M406">
        <v>53.990360000000003</v>
      </c>
      <c r="N406">
        <v>62.966650000000001</v>
      </c>
      <c r="O406">
        <v>0</v>
      </c>
      <c r="P406">
        <v>0</v>
      </c>
      <c r="Q406">
        <v>0</v>
      </c>
      <c r="U406" s="221" t="s">
        <v>73</v>
      </c>
      <c r="V406">
        <v>11</v>
      </c>
      <c r="W406">
        <v>21.5</v>
      </c>
      <c r="X406">
        <v>24.613330000000001</v>
      </c>
      <c r="Y406">
        <v>15.933339999999999</v>
      </c>
      <c r="Z406">
        <v>0</v>
      </c>
      <c r="AA406">
        <v>0</v>
      </c>
      <c r="AB406">
        <v>0</v>
      </c>
      <c r="AC406">
        <v>0</v>
      </c>
      <c r="AD406">
        <v>3.0666500000000001</v>
      </c>
      <c r="AE406">
        <v>0</v>
      </c>
      <c r="AF406">
        <v>0</v>
      </c>
      <c r="AG406">
        <v>0</v>
      </c>
      <c r="AH406">
        <v>0</v>
      </c>
    </row>
    <row r="407" spans="1:34">
      <c r="A407" t="s">
        <v>76</v>
      </c>
      <c r="B407" s="216" t="str">
        <f t="shared" si="6"/>
        <v>Mar-23</v>
      </c>
      <c r="C407" s="217">
        <v>44986</v>
      </c>
      <c r="D407">
        <v>6715.0872200000003</v>
      </c>
      <c r="E407">
        <v>975.45456000000001</v>
      </c>
      <c r="F407">
        <v>1368.72236</v>
      </c>
      <c r="G407">
        <v>1179.26215</v>
      </c>
      <c r="H407">
        <v>1083.8150900000001</v>
      </c>
      <c r="I407">
        <v>836.66709000000003</v>
      </c>
      <c r="J407">
        <v>981.94893999999999</v>
      </c>
      <c r="K407">
        <v>168.89335</v>
      </c>
      <c r="L407">
        <v>0.66666999999999998</v>
      </c>
      <c r="M407">
        <v>54.190359999999998</v>
      </c>
      <c r="N407">
        <v>64.466650000000001</v>
      </c>
      <c r="O407">
        <v>1</v>
      </c>
      <c r="P407">
        <v>0</v>
      </c>
      <c r="Q407">
        <v>0</v>
      </c>
      <c r="U407" s="221" t="s">
        <v>74</v>
      </c>
      <c r="V407">
        <v>467.39886000000001</v>
      </c>
      <c r="W407">
        <v>746.45447000000001</v>
      </c>
      <c r="X407">
        <v>537.61177999999995</v>
      </c>
      <c r="Y407">
        <v>353.56173000000001</v>
      </c>
      <c r="Z407">
        <v>354.87090999999998</v>
      </c>
      <c r="AA407">
        <v>381.87918000000002</v>
      </c>
      <c r="AB407">
        <v>78.594669999999994</v>
      </c>
      <c r="AC407">
        <v>7.7</v>
      </c>
      <c r="AD407">
        <v>52.606659999999998</v>
      </c>
      <c r="AE407">
        <v>3</v>
      </c>
      <c r="AF407">
        <v>35.450000000000003</v>
      </c>
      <c r="AG407">
        <v>0</v>
      </c>
      <c r="AH407">
        <v>25.093330000000002</v>
      </c>
    </row>
    <row r="408" spans="1:34">
      <c r="A408" t="s">
        <v>76</v>
      </c>
      <c r="B408" s="216" t="str">
        <f t="shared" si="6"/>
        <v>Apr-23</v>
      </c>
      <c r="C408" s="217">
        <v>45017</v>
      </c>
      <c r="D408">
        <v>7191.6083799999997</v>
      </c>
      <c r="E408">
        <v>983.44840999999997</v>
      </c>
      <c r="F408">
        <v>1368.6157000000001</v>
      </c>
      <c r="G408">
        <v>1176.5568499999999</v>
      </c>
      <c r="H408">
        <v>1083.6982700000001</v>
      </c>
      <c r="I408">
        <v>851.99248</v>
      </c>
      <c r="J408">
        <v>973.53962999999999</v>
      </c>
      <c r="K408">
        <v>169.94668999999999</v>
      </c>
      <c r="L408">
        <v>0.66666999999999998</v>
      </c>
      <c r="M408">
        <v>54.990360000000003</v>
      </c>
      <c r="N408">
        <v>63.466650000000001</v>
      </c>
      <c r="O408">
        <v>0</v>
      </c>
      <c r="P408">
        <v>0</v>
      </c>
      <c r="Q408">
        <v>464.68666999999999</v>
      </c>
      <c r="U408" s="221" t="s">
        <v>75</v>
      </c>
      <c r="V408">
        <v>2783.79304</v>
      </c>
      <c r="W408">
        <v>3667.4476500000001</v>
      </c>
      <c r="X408">
        <v>2565.4426699999999</v>
      </c>
      <c r="Y408">
        <v>2251.0149500000002</v>
      </c>
      <c r="Z408">
        <v>2196.5035200000002</v>
      </c>
      <c r="AA408">
        <v>2346.57116</v>
      </c>
      <c r="AB408">
        <v>625.40412000000003</v>
      </c>
      <c r="AC408">
        <v>1170.0030899999999</v>
      </c>
      <c r="AD408">
        <v>521.18957</v>
      </c>
      <c r="AE408">
        <v>632.24558999999999</v>
      </c>
      <c r="AF408">
        <v>309.64</v>
      </c>
      <c r="AG408">
        <v>1113.95</v>
      </c>
      <c r="AH408">
        <v>1571.5314900000001</v>
      </c>
    </row>
    <row r="409" spans="1:34">
      <c r="A409" t="s">
        <v>76</v>
      </c>
      <c r="B409" s="216" t="str">
        <f t="shared" si="6"/>
        <v>May-23</v>
      </c>
      <c r="C409" s="217">
        <v>45047</v>
      </c>
      <c r="D409">
        <v>7206.3551700000007</v>
      </c>
      <c r="E409">
        <v>982.78162999999995</v>
      </c>
      <c r="F409">
        <v>1377.72234</v>
      </c>
      <c r="G409">
        <v>1186.3437799999999</v>
      </c>
      <c r="H409">
        <v>1080.4449300000001</v>
      </c>
      <c r="I409">
        <v>849.13914999999997</v>
      </c>
      <c r="J409">
        <v>973.52630999999997</v>
      </c>
      <c r="K409">
        <v>164.10002</v>
      </c>
      <c r="L409">
        <v>0.66666999999999998</v>
      </c>
      <c r="M409">
        <v>59.123690000000003</v>
      </c>
      <c r="N409">
        <v>62.466650000000001</v>
      </c>
      <c r="O409">
        <v>0</v>
      </c>
      <c r="P409">
        <v>0</v>
      </c>
      <c r="Q409">
        <v>470.04</v>
      </c>
      <c r="U409" s="221" t="s">
        <v>76</v>
      </c>
      <c r="V409">
        <v>982.78162999999995</v>
      </c>
      <c r="W409">
        <v>1377.72234</v>
      </c>
      <c r="X409">
        <v>1186.3437799999999</v>
      </c>
      <c r="Y409">
        <v>1080.4449300000001</v>
      </c>
      <c r="Z409">
        <v>849.13914999999997</v>
      </c>
      <c r="AA409">
        <v>973.52630999999997</v>
      </c>
      <c r="AB409">
        <v>164.10002</v>
      </c>
      <c r="AC409">
        <v>0.66666999999999998</v>
      </c>
      <c r="AD409">
        <v>59.123690000000003</v>
      </c>
      <c r="AE409">
        <v>62.466650000000001</v>
      </c>
      <c r="AF409">
        <v>0</v>
      </c>
      <c r="AG409">
        <v>0</v>
      </c>
      <c r="AH409">
        <v>470.04</v>
      </c>
    </row>
    <row r="410" spans="1:34">
      <c r="A410" t="s">
        <v>76</v>
      </c>
      <c r="B410" s="216" t="str">
        <f t="shared" si="6"/>
        <v>Jun-23</v>
      </c>
      <c r="C410" s="217">
        <v>45078</v>
      </c>
      <c r="D410">
        <v>7213.2418800000005</v>
      </c>
      <c r="E410">
        <v>990.62158999999997</v>
      </c>
      <c r="F410">
        <v>1375.60238</v>
      </c>
      <c r="G410">
        <v>1199.0371500000001</v>
      </c>
      <c r="H410">
        <v>1070.2449300000001</v>
      </c>
      <c r="I410">
        <v>850.77914999999996</v>
      </c>
      <c r="J410">
        <v>972.16632000000004</v>
      </c>
      <c r="K410">
        <v>163.68669</v>
      </c>
      <c r="L410">
        <v>0.66666999999999998</v>
      </c>
      <c r="M410">
        <v>59.857019999999999</v>
      </c>
      <c r="N410">
        <v>61.739980000000003</v>
      </c>
      <c r="O410">
        <v>0</v>
      </c>
      <c r="P410">
        <v>0</v>
      </c>
      <c r="Q410">
        <v>468.84</v>
      </c>
      <c r="U410" s="221" t="s">
        <v>77</v>
      </c>
      <c r="V410">
        <v>3779.1491700000001</v>
      </c>
      <c r="W410">
        <v>5383.0844800000004</v>
      </c>
      <c r="X410">
        <v>4382.1678099999999</v>
      </c>
      <c r="Y410">
        <v>3610.6885400000001</v>
      </c>
      <c r="Z410">
        <v>2974.5259999999998</v>
      </c>
      <c r="AA410">
        <v>3772.5989800000002</v>
      </c>
      <c r="AB410">
        <v>557.00990999999999</v>
      </c>
      <c r="AC410">
        <v>85.906660000000002</v>
      </c>
      <c r="AD410">
        <v>212.26667</v>
      </c>
      <c r="AE410">
        <v>197.32400000000001</v>
      </c>
      <c r="AF410">
        <v>10.199999999999999</v>
      </c>
      <c r="AG410">
        <v>0</v>
      </c>
      <c r="AH410">
        <v>3.1</v>
      </c>
    </row>
    <row r="411" spans="1:34">
      <c r="A411" t="s">
        <v>76</v>
      </c>
      <c r="B411" s="216" t="str">
        <f t="shared" si="6"/>
        <v>Jul-23</v>
      </c>
      <c r="C411" s="217">
        <v>45108</v>
      </c>
      <c r="D411">
        <v>7200.9977500000005</v>
      </c>
      <c r="E411">
        <v>987.35825</v>
      </c>
      <c r="F411">
        <v>1367.92238</v>
      </c>
      <c r="G411">
        <v>1204.08968</v>
      </c>
      <c r="H411">
        <v>1067.9449199999999</v>
      </c>
      <c r="I411">
        <v>848.59249999999997</v>
      </c>
      <c r="J411">
        <v>972.47964999999999</v>
      </c>
      <c r="K411">
        <v>162.92669000000001</v>
      </c>
      <c r="L411">
        <v>0.66666999999999998</v>
      </c>
      <c r="M411">
        <v>59.370359999999998</v>
      </c>
      <c r="N411">
        <v>59.806649999999998</v>
      </c>
      <c r="O411">
        <v>0</v>
      </c>
      <c r="P411">
        <v>0</v>
      </c>
      <c r="Q411">
        <v>469.84</v>
      </c>
      <c r="U411" s="221" t="s">
        <v>78</v>
      </c>
      <c r="V411">
        <v>803.82624999999996</v>
      </c>
      <c r="W411">
        <v>1156.79403</v>
      </c>
      <c r="X411">
        <v>982.55881999999997</v>
      </c>
      <c r="Y411">
        <v>751.75432999999998</v>
      </c>
      <c r="Z411">
        <v>642.29345000000001</v>
      </c>
      <c r="AA411">
        <v>822.66917999999998</v>
      </c>
      <c r="AB411">
        <v>33.223410000000001</v>
      </c>
      <c r="AC411">
        <v>90.33</v>
      </c>
      <c r="AD411">
        <v>77.26182</v>
      </c>
      <c r="AE411">
        <v>0.50666999999999995</v>
      </c>
      <c r="AF411">
        <v>49.54</v>
      </c>
      <c r="AG411">
        <v>1.24</v>
      </c>
      <c r="AH411">
        <v>2947.0124999999998</v>
      </c>
    </row>
    <row r="412" spans="1:34">
      <c r="A412" t="s">
        <v>76</v>
      </c>
      <c r="B412" s="216" t="str">
        <f t="shared" si="6"/>
        <v>Aug-23</v>
      </c>
      <c r="C412" s="217">
        <v>45139</v>
      </c>
      <c r="D412">
        <v>7179.8211099999999</v>
      </c>
      <c r="E412">
        <v>982.93493000000001</v>
      </c>
      <c r="F412">
        <v>1364.66905</v>
      </c>
      <c r="G412">
        <v>1204.61635</v>
      </c>
      <c r="H412">
        <v>1059.35826</v>
      </c>
      <c r="I412">
        <v>852.47248999999999</v>
      </c>
      <c r="J412">
        <v>967.59965</v>
      </c>
      <c r="K412">
        <v>162.12669</v>
      </c>
      <c r="L412">
        <v>0.66666999999999998</v>
      </c>
      <c r="M412">
        <v>59.370370000000001</v>
      </c>
      <c r="N412">
        <v>57.806649999999998</v>
      </c>
      <c r="O412">
        <v>0</v>
      </c>
      <c r="P412">
        <v>0</v>
      </c>
      <c r="Q412">
        <v>468.2</v>
      </c>
      <c r="U412" s="7" t="s">
        <v>119</v>
      </c>
      <c r="V412">
        <v>11585.72155</v>
      </c>
      <c r="W412">
        <v>15632.07475</v>
      </c>
      <c r="X412">
        <v>13168.59806</v>
      </c>
      <c r="Y412">
        <v>10290.30142</v>
      </c>
      <c r="Z412">
        <v>8648.8439699999999</v>
      </c>
      <c r="AA412">
        <v>11426.0214</v>
      </c>
      <c r="AB412">
        <v>1813.8745699999997</v>
      </c>
      <c r="AC412">
        <v>1690.4585200000001</v>
      </c>
      <c r="AD412">
        <v>4068.5603299999998</v>
      </c>
      <c r="AE412">
        <v>3287.9074599999999</v>
      </c>
    </row>
    <row r="413" spans="1:34">
      <c r="A413" t="s">
        <v>77</v>
      </c>
      <c r="B413" s="216" t="str">
        <f t="shared" si="6"/>
        <v>Aug-22</v>
      </c>
      <c r="C413" s="217">
        <v>44774</v>
      </c>
      <c r="D413">
        <v>24056.810320000001</v>
      </c>
      <c r="E413">
        <v>3675.6395900000002</v>
      </c>
      <c r="F413">
        <v>5237.1000800000002</v>
      </c>
      <c r="G413">
        <v>4234.5295599999999</v>
      </c>
      <c r="H413">
        <v>3518.78755</v>
      </c>
      <c r="I413">
        <v>2792.42796</v>
      </c>
      <c r="J413">
        <v>3549.6634300000001</v>
      </c>
      <c r="K413">
        <v>545.93814999999995</v>
      </c>
      <c r="L413">
        <v>82.33999</v>
      </c>
      <c r="M413">
        <v>214.32667000000001</v>
      </c>
      <c r="N413">
        <v>197.65734</v>
      </c>
      <c r="O413">
        <v>8.4</v>
      </c>
      <c r="P413">
        <v>0</v>
      </c>
      <c r="Q413">
        <v>0</v>
      </c>
      <c r="U413" s="221" t="s">
        <v>71</v>
      </c>
      <c r="V413">
        <v>2320.4061099999999</v>
      </c>
      <c r="W413">
        <v>3154.62</v>
      </c>
      <c r="X413">
        <v>2567.4622100000001</v>
      </c>
      <c r="Y413">
        <v>1908.2825800000001</v>
      </c>
      <c r="Z413">
        <v>1802.6398999999999</v>
      </c>
      <c r="AA413">
        <v>2313.5873499999998</v>
      </c>
      <c r="AB413">
        <v>332.51276999999999</v>
      </c>
      <c r="AC413">
        <v>265.69009999999997</v>
      </c>
      <c r="AD413">
        <v>200.00666000000001</v>
      </c>
      <c r="AE413">
        <v>1451.8452</v>
      </c>
    </row>
    <row r="414" spans="1:34">
      <c r="A414" t="s">
        <v>77</v>
      </c>
      <c r="B414" s="216" t="str">
        <f t="shared" si="6"/>
        <v>Sep-22</v>
      </c>
      <c r="C414" s="217">
        <v>44805</v>
      </c>
      <c r="D414">
        <v>24284.246909999998</v>
      </c>
      <c r="E414">
        <v>3702.4627700000001</v>
      </c>
      <c r="F414">
        <v>5254.6157999999996</v>
      </c>
      <c r="G414">
        <v>4346.0315099999998</v>
      </c>
      <c r="H414">
        <v>3518.8371200000001</v>
      </c>
      <c r="I414">
        <v>2835.5140900000001</v>
      </c>
      <c r="J414">
        <v>3564.9138600000001</v>
      </c>
      <c r="K414">
        <v>554.38775999999996</v>
      </c>
      <c r="L414">
        <v>83.33999</v>
      </c>
      <c r="M414">
        <v>212.00667000000001</v>
      </c>
      <c r="N414">
        <v>203.73733999999999</v>
      </c>
      <c r="O414">
        <v>8.4</v>
      </c>
      <c r="P414">
        <v>0</v>
      </c>
      <c r="Q414">
        <v>0</v>
      </c>
      <c r="U414" s="221" t="s">
        <v>69</v>
      </c>
      <c r="V414">
        <v>743.03895</v>
      </c>
      <c r="W414">
        <v>915.64016000000004</v>
      </c>
      <c r="X414">
        <v>874.04677000000004</v>
      </c>
      <c r="Y414">
        <v>597.58717999999999</v>
      </c>
      <c r="Z414">
        <v>563.90989000000002</v>
      </c>
      <c r="AA414">
        <v>776.85987</v>
      </c>
      <c r="AB414">
        <v>124.87094999999999</v>
      </c>
      <c r="AC414">
        <v>63.034140000000001</v>
      </c>
      <c r="AD414">
        <v>114.98504</v>
      </c>
      <c r="AE414">
        <v>1080.75955</v>
      </c>
    </row>
    <row r="415" spans="1:34">
      <c r="A415" t="s">
        <v>77</v>
      </c>
      <c r="B415" s="216" t="str">
        <f t="shared" si="6"/>
        <v>Oct-22</v>
      </c>
      <c r="C415" s="217">
        <v>44835</v>
      </c>
      <c r="D415">
        <v>24581.205570000006</v>
      </c>
      <c r="E415">
        <v>3775.3049000000001</v>
      </c>
      <c r="F415">
        <v>5263.3325800000002</v>
      </c>
      <c r="G415">
        <v>4380.6931100000002</v>
      </c>
      <c r="H415">
        <v>3578.7280599999999</v>
      </c>
      <c r="I415">
        <v>2877.3373099999999</v>
      </c>
      <c r="J415">
        <v>3648.3725199999999</v>
      </c>
      <c r="K415">
        <v>559.26642000000004</v>
      </c>
      <c r="L415">
        <v>84.239990000000006</v>
      </c>
      <c r="M415">
        <v>210.61333999999999</v>
      </c>
      <c r="N415">
        <v>194.91734</v>
      </c>
      <c r="O415">
        <v>8.4</v>
      </c>
      <c r="P415">
        <v>0</v>
      </c>
      <c r="Q415">
        <v>0</v>
      </c>
      <c r="U415" s="221" t="s">
        <v>72</v>
      </c>
      <c r="V415">
        <v>225.52887999999999</v>
      </c>
      <c r="W415">
        <v>247.58802</v>
      </c>
      <c r="X415">
        <v>479.37358</v>
      </c>
      <c r="Y415">
        <v>189.28428</v>
      </c>
      <c r="Z415">
        <v>181.14619999999999</v>
      </c>
      <c r="AA415">
        <v>301.87745000000001</v>
      </c>
      <c r="AB415">
        <v>2</v>
      </c>
      <c r="AC415">
        <v>233.70266000000001</v>
      </c>
      <c r="AD415">
        <v>132.22</v>
      </c>
      <c r="AE415">
        <v>0</v>
      </c>
    </row>
    <row r="416" spans="1:34">
      <c r="A416" t="s">
        <v>77</v>
      </c>
      <c r="B416" s="216" t="str">
        <f t="shared" si="6"/>
        <v>Nov-22</v>
      </c>
      <c r="C416" s="217">
        <v>44866</v>
      </c>
      <c r="D416">
        <v>24701.893500000002</v>
      </c>
      <c r="E416">
        <v>3781.0219699999998</v>
      </c>
      <c r="F416">
        <v>5259.9792699999998</v>
      </c>
      <c r="G416">
        <v>4409.2120400000003</v>
      </c>
      <c r="H416">
        <v>3592.4824699999999</v>
      </c>
      <c r="I416">
        <v>2894.5061799999999</v>
      </c>
      <c r="J416">
        <v>3697.5744599999998</v>
      </c>
      <c r="K416">
        <v>557.53309000000002</v>
      </c>
      <c r="L416">
        <v>89.213329999999999</v>
      </c>
      <c r="M416">
        <v>211.98668000000001</v>
      </c>
      <c r="N416">
        <v>199.98401000000001</v>
      </c>
      <c r="O416">
        <v>8.4</v>
      </c>
      <c r="P416">
        <v>0</v>
      </c>
      <c r="Q416">
        <v>0</v>
      </c>
      <c r="U416" s="221" t="s">
        <v>73</v>
      </c>
      <c r="V416">
        <v>5.5</v>
      </c>
      <c r="W416">
        <v>18.36</v>
      </c>
      <c r="X416">
        <v>43.259970000000003</v>
      </c>
      <c r="Y416">
        <v>4.6266600000000002</v>
      </c>
      <c r="Z416">
        <v>7</v>
      </c>
      <c r="AA416">
        <v>1</v>
      </c>
      <c r="AB416">
        <v>0</v>
      </c>
      <c r="AC416">
        <v>0</v>
      </c>
      <c r="AD416">
        <v>0</v>
      </c>
      <c r="AE416">
        <v>0</v>
      </c>
    </row>
    <row r="417" spans="1:31">
      <c r="A417" t="s">
        <v>77</v>
      </c>
      <c r="B417" s="216" t="str">
        <f t="shared" si="6"/>
        <v>Dec-22</v>
      </c>
      <c r="C417" s="217">
        <v>44896</v>
      </c>
      <c r="D417">
        <v>24679.264810000004</v>
      </c>
      <c r="E417">
        <v>3775.4688999999998</v>
      </c>
      <c r="F417">
        <v>5252.9059200000002</v>
      </c>
      <c r="G417">
        <v>4389.1475099999998</v>
      </c>
      <c r="H417">
        <v>3614.3668699999998</v>
      </c>
      <c r="I417">
        <v>2898.7320399999999</v>
      </c>
      <c r="J417">
        <v>3686.7707300000002</v>
      </c>
      <c r="K417">
        <v>555.67548999999997</v>
      </c>
      <c r="L417">
        <v>91.213329999999999</v>
      </c>
      <c r="M417">
        <v>211.86668</v>
      </c>
      <c r="N417">
        <v>194.71734000000001</v>
      </c>
      <c r="O417">
        <v>8.4</v>
      </c>
      <c r="P417">
        <v>0</v>
      </c>
      <c r="Q417">
        <v>0</v>
      </c>
      <c r="U417" s="221" t="s">
        <v>74</v>
      </c>
      <c r="V417">
        <v>438.39823000000001</v>
      </c>
      <c r="W417">
        <v>714.69681000000003</v>
      </c>
      <c r="X417">
        <v>698.47457999999995</v>
      </c>
      <c r="Y417">
        <v>348.67371000000003</v>
      </c>
      <c r="Z417">
        <v>336.52445</v>
      </c>
      <c r="AA417">
        <v>362.21492999999998</v>
      </c>
      <c r="AB417">
        <v>62.354140000000001</v>
      </c>
      <c r="AC417">
        <v>7.5</v>
      </c>
      <c r="AD417">
        <v>54.979990000000001</v>
      </c>
      <c r="AE417">
        <v>0</v>
      </c>
    </row>
    <row r="418" spans="1:31">
      <c r="A418" t="s">
        <v>77</v>
      </c>
      <c r="B418" s="216" t="str">
        <f t="shared" si="6"/>
        <v>Jan-23</v>
      </c>
      <c r="C418" s="217">
        <v>44927</v>
      </c>
      <c r="D418">
        <v>24782.686610000001</v>
      </c>
      <c r="E418">
        <v>3801.2790399999999</v>
      </c>
      <c r="F418">
        <v>5279.1658900000002</v>
      </c>
      <c r="G418">
        <v>4388.4022000000004</v>
      </c>
      <c r="H418">
        <v>3633.9404300000001</v>
      </c>
      <c r="I418">
        <v>2921.1616100000001</v>
      </c>
      <c r="J418">
        <v>3690.89129</v>
      </c>
      <c r="K418">
        <v>554.10215000000005</v>
      </c>
      <c r="L418">
        <v>91.506659999999997</v>
      </c>
      <c r="M418">
        <v>216.58667</v>
      </c>
      <c r="N418">
        <v>196.65066999999999</v>
      </c>
      <c r="O418">
        <v>9</v>
      </c>
      <c r="P418">
        <v>0</v>
      </c>
      <c r="Q418">
        <v>0</v>
      </c>
      <c r="U418" s="221" t="s">
        <v>75</v>
      </c>
      <c r="V418">
        <v>2286.12581</v>
      </c>
      <c r="W418">
        <v>2958.8049900000001</v>
      </c>
      <c r="X418">
        <v>2141.6792999999998</v>
      </c>
      <c r="Y418">
        <v>1936.4404400000001</v>
      </c>
      <c r="Z418">
        <v>1635.4559300000001</v>
      </c>
      <c r="AA418">
        <v>2130.49197</v>
      </c>
      <c r="AB418">
        <v>549.94581000000005</v>
      </c>
      <c r="AC418">
        <v>967.90413999999998</v>
      </c>
      <c r="AD418">
        <v>2501.1253099999999</v>
      </c>
      <c r="AE418">
        <v>529.15602999999999</v>
      </c>
    </row>
    <row r="419" spans="1:31">
      <c r="A419" t="s">
        <v>77</v>
      </c>
      <c r="B419" s="216" t="str">
        <f t="shared" si="6"/>
        <v>Feb-23</v>
      </c>
      <c r="C419" s="217">
        <v>44958</v>
      </c>
      <c r="D419">
        <v>24862.36277</v>
      </c>
      <c r="E419">
        <v>3805.0366399999998</v>
      </c>
      <c r="F419">
        <v>5318.5239700000002</v>
      </c>
      <c r="G419">
        <v>4392.8485799999999</v>
      </c>
      <c r="H419">
        <v>3638.57215</v>
      </c>
      <c r="I419">
        <v>2930.4085300000002</v>
      </c>
      <c r="J419">
        <v>3701.02675</v>
      </c>
      <c r="K419">
        <v>557.10882000000004</v>
      </c>
      <c r="L419">
        <v>91.506659999999997</v>
      </c>
      <c r="M419">
        <v>216.14667</v>
      </c>
      <c r="N419">
        <v>202.184</v>
      </c>
      <c r="O419">
        <v>9</v>
      </c>
      <c r="P419">
        <v>0</v>
      </c>
      <c r="Q419">
        <v>0</v>
      </c>
      <c r="U419" s="221" t="s">
        <v>76</v>
      </c>
      <c r="V419">
        <v>1034.3446799999999</v>
      </c>
      <c r="W419">
        <v>1268.7862</v>
      </c>
      <c r="X419">
        <v>1042.4598599999999</v>
      </c>
      <c r="Y419">
        <v>1099.65644</v>
      </c>
      <c r="Z419">
        <v>751.70439999999996</v>
      </c>
      <c r="AA419">
        <v>1029.2891500000001</v>
      </c>
      <c r="AB419">
        <v>166.44002</v>
      </c>
      <c r="AC419">
        <v>0.66666999999999998</v>
      </c>
      <c r="AD419">
        <v>339.78528999999997</v>
      </c>
      <c r="AE419">
        <v>58.626660000000001</v>
      </c>
    </row>
    <row r="420" spans="1:31">
      <c r="A420" t="s">
        <v>77</v>
      </c>
      <c r="B420" s="216" t="str">
        <f t="shared" si="6"/>
        <v>Mar-23</v>
      </c>
      <c r="C420" s="217">
        <v>44986</v>
      </c>
      <c r="D420">
        <v>24941.022440000001</v>
      </c>
      <c r="E420">
        <v>3808.9859700000002</v>
      </c>
      <c r="F420">
        <v>5325.4314400000003</v>
      </c>
      <c r="G420">
        <v>4391.41633</v>
      </c>
      <c r="H420">
        <v>3651.93415</v>
      </c>
      <c r="I420">
        <v>2961.9149699999998</v>
      </c>
      <c r="J420">
        <v>3725.29342</v>
      </c>
      <c r="K420">
        <v>561.87549000000001</v>
      </c>
      <c r="L420">
        <v>87.906660000000002</v>
      </c>
      <c r="M420">
        <v>218.01334</v>
      </c>
      <c r="N420">
        <v>199.25067000000001</v>
      </c>
      <c r="O420">
        <v>9</v>
      </c>
      <c r="P420">
        <v>0</v>
      </c>
      <c r="Q420">
        <v>0</v>
      </c>
      <c r="U420" s="221" t="s">
        <v>77</v>
      </c>
      <c r="V420">
        <v>3519.7706600000001</v>
      </c>
      <c r="W420">
        <v>4990.2753599999996</v>
      </c>
      <c r="X420">
        <v>3962.53386</v>
      </c>
      <c r="Y420">
        <v>3257.4438500000001</v>
      </c>
      <c r="Z420">
        <v>2679.5506700000001</v>
      </c>
      <c r="AA420">
        <v>3477.6099599999998</v>
      </c>
      <c r="AB420">
        <v>539.52030999999999</v>
      </c>
      <c r="AC420">
        <v>60.939979999999998</v>
      </c>
      <c r="AD420">
        <v>191.96</v>
      </c>
      <c r="AE420">
        <v>166.52001999999999</v>
      </c>
    </row>
    <row r="421" spans="1:31">
      <c r="A421" t="s">
        <v>77</v>
      </c>
      <c r="B421" s="216" t="str">
        <f t="shared" si="6"/>
        <v>Apr-23</v>
      </c>
      <c r="C421" s="217">
        <v>45017</v>
      </c>
      <c r="D421">
        <v>24901.319450000003</v>
      </c>
      <c r="E421">
        <v>3772.1641199999999</v>
      </c>
      <c r="F421">
        <v>5355.1402600000001</v>
      </c>
      <c r="G421">
        <v>4378.2493999999997</v>
      </c>
      <c r="H421">
        <v>3604.0714600000001</v>
      </c>
      <c r="I421">
        <v>2976.6967800000002</v>
      </c>
      <c r="J421">
        <v>3751.9544599999999</v>
      </c>
      <c r="K421">
        <v>555.44564000000003</v>
      </c>
      <c r="L421">
        <v>86.906660000000002</v>
      </c>
      <c r="M421">
        <v>214.58667</v>
      </c>
      <c r="N421">
        <v>193.404</v>
      </c>
      <c r="O421">
        <v>10.199999999999999</v>
      </c>
      <c r="P421">
        <v>0</v>
      </c>
      <c r="Q421">
        <v>2.5</v>
      </c>
      <c r="U421" s="221" t="s">
        <v>78</v>
      </c>
      <c r="V421">
        <v>1012.60823</v>
      </c>
      <c r="W421">
        <v>1363.30321</v>
      </c>
      <c r="X421">
        <v>1359.3079299999999</v>
      </c>
      <c r="Y421">
        <v>948.30628000000002</v>
      </c>
      <c r="Z421">
        <v>690.91252999999995</v>
      </c>
      <c r="AA421">
        <v>1033.0907199999999</v>
      </c>
      <c r="AB421">
        <v>36.23057</v>
      </c>
      <c r="AC421">
        <v>91.020830000000004</v>
      </c>
      <c r="AD421">
        <v>533.49803999999995</v>
      </c>
      <c r="AE421">
        <v>1</v>
      </c>
    </row>
    <row r="422" spans="1:31">
      <c r="A422" t="s">
        <v>77</v>
      </c>
      <c r="B422" s="216" t="str">
        <f t="shared" si="6"/>
        <v>May-23</v>
      </c>
      <c r="C422" s="217">
        <v>45047</v>
      </c>
      <c r="D422">
        <v>24968.022219999999</v>
      </c>
      <c r="E422">
        <v>3779.1491700000001</v>
      </c>
      <c r="F422">
        <v>5383.0844800000004</v>
      </c>
      <c r="G422">
        <v>4382.1678099999999</v>
      </c>
      <c r="H422">
        <v>3610.6885400000001</v>
      </c>
      <c r="I422">
        <v>2974.5259999999998</v>
      </c>
      <c r="J422">
        <v>3772.5989800000002</v>
      </c>
      <c r="K422">
        <v>557.00990999999999</v>
      </c>
      <c r="L422">
        <v>85.906660000000002</v>
      </c>
      <c r="M422">
        <v>212.26667</v>
      </c>
      <c r="N422">
        <v>197.32400000000001</v>
      </c>
      <c r="O422">
        <v>10.199999999999999</v>
      </c>
      <c r="P422">
        <v>0</v>
      </c>
      <c r="Q422">
        <v>3.1</v>
      </c>
      <c r="U422" s="7" t="s">
        <v>120</v>
      </c>
      <c r="V422">
        <v>12022.37356</v>
      </c>
      <c r="W422">
        <v>16089.72977</v>
      </c>
      <c r="X422">
        <v>13503.065279999999</v>
      </c>
      <c r="Y422">
        <v>11004.3647</v>
      </c>
      <c r="Z422">
        <v>9106.9867299999987</v>
      </c>
      <c r="AA422">
        <v>11699.63314</v>
      </c>
      <c r="AB422">
        <v>1897.5014600000002</v>
      </c>
      <c r="AC422">
        <v>1855.9047600000001</v>
      </c>
      <c r="AD422">
        <v>4510.0799500000003</v>
      </c>
      <c r="AE422">
        <v>3784.48801</v>
      </c>
    </row>
    <row r="423" spans="1:31">
      <c r="A423" t="s">
        <v>77</v>
      </c>
      <c r="B423" s="216" t="str">
        <f t="shared" si="6"/>
        <v>Jun-23</v>
      </c>
      <c r="C423" s="217">
        <v>45078</v>
      </c>
      <c r="D423">
        <v>25045.0615</v>
      </c>
      <c r="E423">
        <v>3778.04916</v>
      </c>
      <c r="F423">
        <v>5401.6507199999996</v>
      </c>
      <c r="G423">
        <v>4451.93048</v>
      </c>
      <c r="H423">
        <v>3592.04133</v>
      </c>
      <c r="I423">
        <v>2969.826</v>
      </c>
      <c r="J423">
        <v>3792.7925799999998</v>
      </c>
      <c r="K423">
        <v>553.57790999999997</v>
      </c>
      <c r="L423">
        <v>84.806659999999994</v>
      </c>
      <c r="M423">
        <v>211.66667000000001</v>
      </c>
      <c r="N423">
        <v>195.41999000000001</v>
      </c>
      <c r="O423">
        <v>10.199999999999999</v>
      </c>
      <c r="P423">
        <v>0</v>
      </c>
      <c r="Q423">
        <v>3.1</v>
      </c>
      <c r="U423" s="221" t="s">
        <v>71</v>
      </c>
      <c r="V423">
        <v>2490.0461100000002</v>
      </c>
      <c r="W423">
        <v>3338.0877500000001</v>
      </c>
      <c r="X423">
        <v>2624.4834300000002</v>
      </c>
      <c r="Y423">
        <v>2056.2989600000001</v>
      </c>
      <c r="Z423">
        <v>1943.6756499999999</v>
      </c>
      <c r="AA423">
        <v>2382.1190099999999</v>
      </c>
      <c r="AB423">
        <v>354.11282</v>
      </c>
      <c r="AC423">
        <v>326.9101</v>
      </c>
      <c r="AD423">
        <v>357.88</v>
      </c>
      <c r="AE423">
        <v>1877.23876</v>
      </c>
    </row>
    <row r="424" spans="1:31">
      <c r="A424" t="s">
        <v>77</v>
      </c>
      <c r="B424" s="216" t="str">
        <f t="shared" si="6"/>
        <v>Jul-23</v>
      </c>
      <c r="C424" s="217">
        <v>45108</v>
      </c>
      <c r="D424">
        <v>25050.627780000003</v>
      </c>
      <c r="E424">
        <v>3765.80728</v>
      </c>
      <c r="F424">
        <v>5412.6083200000003</v>
      </c>
      <c r="G424">
        <v>4467.88645</v>
      </c>
      <c r="H424">
        <v>3581.3874599999999</v>
      </c>
      <c r="I424">
        <v>2961.0102299999999</v>
      </c>
      <c r="J424">
        <v>3817.4234799999999</v>
      </c>
      <c r="K424">
        <v>546.87125000000003</v>
      </c>
      <c r="L424">
        <v>83.939989999999995</v>
      </c>
      <c r="M424">
        <v>207.41334000000001</v>
      </c>
      <c r="N424">
        <v>192.97998000000001</v>
      </c>
      <c r="O424">
        <v>10.199999999999999</v>
      </c>
      <c r="P424">
        <v>0</v>
      </c>
      <c r="Q424">
        <v>3.1</v>
      </c>
      <c r="U424" s="221" t="s">
        <v>69</v>
      </c>
      <c r="V424">
        <v>783.09869000000003</v>
      </c>
      <c r="W424">
        <v>964.78666999999996</v>
      </c>
      <c r="X424">
        <v>939.17585999999994</v>
      </c>
      <c r="Y424">
        <v>642.19545000000005</v>
      </c>
      <c r="Z424">
        <v>588.65587000000005</v>
      </c>
      <c r="AA424">
        <v>805.63130999999998</v>
      </c>
      <c r="AB424">
        <v>132.60055</v>
      </c>
      <c r="AC424">
        <v>62.474139999999998</v>
      </c>
      <c r="AD424">
        <v>125.46223999999999</v>
      </c>
      <c r="AE424">
        <v>1124.72144</v>
      </c>
    </row>
    <row r="425" spans="1:31">
      <c r="A425" t="s">
        <v>77</v>
      </c>
      <c r="B425" s="216" t="str">
        <f t="shared" si="6"/>
        <v>Aug-23</v>
      </c>
      <c r="C425" s="217">
        <v>45139</v>
      </c>
      <c r="D425">
        <v>25098.388049999998</v>
      </c>
      <c r="E425">
        <v>3767.6006200000002</v>
      </c>
      <c r="F425">
        <v>5424.2373900000002</v>
      </c>
      <c r="G425">
        <v>4477.1110099999996</v>
      </c>
      <c r="H425">
        <v>3577.5607799999998</v>
      </c>
      <c r="I425">
        <v>2983.3835600000002</v>
      </c>
      <c r="J425">
        <v>3824.66347</v>
      </c>
      <c r="K425">
        <v>543.56457999999998</v>
      </c>
      <c r="L425">
        <v>85.746660000000006</v>
      </c>
      <c r="M425">
        <v>206.97333</v>
      </c>
      <c r="N425">
        <v>194.24664999999999</v>
      </c>
      <c r="O425">
        <v>10.199999999999999</v>
      </c>
      <c r="P425">
        <v>0</v>
      </c>
      <c r="Q425">
        <v>3.1</v>
      </c>
      <c r="U425" s="221" t="s">
        <v>72</v>
      </c>
      <c r="V425">
        <v>227.10888</v>
      </c>
      <c r="W425">
        <v>259.45416</v>
      </c>
      <c r="X425">
        <v>492.63225999999997</v>
      </c>
      <c r="Y425">
        <v>206.66426999999999</v>
      </c>
      <c r="Z425">
        <v>174.83287000000001</v>
      </c>
      <c r="AA425">
        <v>304.77611000000002</v>
      </c>
      <c r="AB425">
        <v>4</v>
      </c>
      <c r="AC425">
        <v>294.37813</v>
      </c>
      <c r="AD425">
        <v>140.45332999999999</v>
      </c>
      <c r="AE425">
        <v>0</v>
      </c>
    </row>
    <row r="426" spans="1:31">
      <c r="A426" t="s">
        <v>78</v>
      </c>
      <c r="B426" s="216" t="str">
        <f t="shared" si="6"/>
        <v>Aug-22</v>
      </c>
      <c r="C426" s="217">
        <v>44774</v>
      </c>
      <c r="D426">
        <v>5079.7101300000013</v>
      </c>
      <c r="E426">
        <v>742.27926000000002</v>
      </c>
      <c r="F426">
        <v>1085.42857</v>
      </c>
      <c r="G426">
        <v>923.04155000000003</v>
      </c>
      <c r="H426">
        <v>729.61650999999995</v>
      </c>
      <c r="I426">
        <v>590.77626999999995</v>
      </c>
      <c r="J426">
        <v>756.45294000000001</v>
      </c>
      <c r="K426">
        <v>27.96022</v>
      </c>
      <c r="L426">
        <v>102.26931999999999</v>
      </c>
      <c r="M426">
        <v>74.781819999999996</v>
      </c>
      <c r="N426">
        <v>0.50666999999999995</v>
      </c>
      <c r="O426">
        <v>45.997</v>
      </c>
      <c r="P426">
        <v>0.6</v>
      </c>
      <c r="Q426">
        <v>0</v>
      </c>
      <c r="U426" s="221" t="s">
        <v>73</v>
      </c>
      <c r="V426">
        <v>1</v>
      </c>
      <c r="W426">
        <v>76.306669999999997</v>
      </c>
      <c r="X426">
        <v>29.793310000000002</v>
      </c>
      <c r="Y426">
        <v>126.44</v>
      </c>
      <c r="Z426">
        <v>2</v>
      </c>
      <c r="AA426">
        <v>8</v>
      </c>
      <c r="AB426">
        <v>2.4</v>
      </c>
      <c r="AC426">
        <v>0</v>
      </c>
      <c r="AD426">
        <v>1.41333</v>
      </c>
      <c r="AE426">
        <v>0</v>
      </c>
    </row>
    <row r="427" spans="1:31">
      <c r="A427" t="s">
        <v>78</v>
      </c>
      <c r="B427" s="216" t="str">
        <f t="shared" si="6"/>
        <v>Sep-22</v>
      </c>
      <c r="C427" s="217">
        <v>44805</v>
      </c>
      <c r="D427">
        <v>5136.6929700000001</v>
      </c>
      <c r="E427">
        <v>755.75260000000003</v>
      </c>
      <c r="F427">
        <v>1084.06106</v>
      </c>
      <c r="G427">
        <v>948.90596000000005</v>
      </c>
      <c r="H427">
        <v>731.41651000000002</v>
      </c>
      <c r="I427">
        <v>602.06294000000003</v>
      </c>
      <c r="J427">
        <v>760.99136999999996</v>
      </c>
      <c r="K427">
        <v>29.160219999999999</v>
      </c>
      <c r="L427">
        <v>101.73182</v>
      </c>
      <c r="M427">
        <v>74.831819999999993</v>
      </c>
      <c r="N427">
        <v>0.50666999999999995</v>
      </c>
      <c r="O427">
        <v>46.67199999999999</v>
      </c>
      <c r="P427">
        <v>0.6</v>
      </c>
      <c r="Q427">
        <v>0</v>
      </c>
      <c r="U427" s="221" t="s">
        <v>74</v>
      </c>
      <c r="V427">
        <v>460.85637000000003</v>
      </c>
      <c r="W427">
        <v>754.29648999999995</v>
      </c>
      <c r="X427">
        <v>724.92467999999997</v>
      </c>
      <c r="Y427">
        <v>382.73746999999997</v>
      </c>
      <c r="Z427">
        <v>333.67590999999999</v>
      </c>
      <c r="AA427">
        <v>388.416</v>
      </c>
      <c r="AB427">
        <v>73.962670000000003</v>
      </c>
      <c r="AC427">
        <v>9.5</v>
      </c>
      <c r="AD427">
        <v>69.026660000000007</v>
      </c>
      <c r="AE427">
        <v>1</v>
      </c>
    </row>
    <row r="428" spans="1:31">
      <c r="A428" t="s">
        <v>78</v>
      </c>
      <c r="B428" s="216" t="str">
        <f t="shared" si="6"/>
        <v>Oct-22</v>
      </c>
      <c r="C428" s="217">
        <v>44835</v>
      </c>
      <c r="D428">
        <v>5186.5978000000005</v>
      </c>
      <c r="E428">
        <v>773.11793</v>
      </c>
      <c r="F428">
        <v>1094.48406</v>
      </c>
      <c r="G428">
        <v>955.03071</v>
      </c>
      <c r="H428">
        <v>734.96650999999997</v>
      </c>
      <c r="I428">
        <v>610.59893999999997</v>
      </c>
      <c r="J428">
        <v>775.83280999999999</v>
      </c>
      <c r="K428">
        <v>31.90635</v>
      </c>
      <c r="L428">
        <v>90.35</v>
      </c>
      <c r="M428">
        <v>73.731819999999999</v>
      </c>
      <c r="N428">
        <v>0.50666999999999995</v>
      </c>
      <c r="O428">
        <v>46.07200000000001</v>
      </c>
      <c r="P428">
        <v>0</v>
      </c>
      <c r="Q428">
        <v>0</v>
      </c>
      <c r="U428" s="221" t="s">
        <v>75</v>
      </c>
      <c r="V428">
        <v>2378.6840999999999</v>
      </c>
      <c r="W428">
        <v>3041.19454</v>
      </c>
      <c r="X428">
        <v>2187.5166800000002</v>
      </c>
      <c r="Y428">
        <v>2133.37745</v>
      </c>
      <c r="Z428">
        <v>1717.0413599999999</v>
      </c>
      <c r="AA428">
        <v>2160.1769100000001</v>
      </c>
      <c r="AB428">
        <v>576.45547999999997</v>
      </c>
      <c r="AC428">
        <v>1004.17241</v>
      </c>
      <c r="AD428">
        <v>2635.2028700000001</v>
      </c>
      <c r="AE428">
        <v>546.14111000000003</v>
      </c>
    </row>
    <row r="429" spans="1:31">
      <c r="A429" t="s">
        <v>78</v>
      </c>
      <c r="B429" s="216" t="str">
        <f t="shared" si="6"/>
        <v>Nov-22</v>
      </c>
      <c r="C429" s="217">
        <v>44866</v>
      </c>
      <c r="D429">
        <v>5249.2521699999998</v>
      </c>
      <c r="E429">
        <v>789.11793</v>
      </c>
      <c r="F429">
        <v>1107.5307299999999</v>
      </c>
      <c r="G429">
        <v>965.75626</v>
      </c>
      <c r="H429">
        <v>735.16651000000002</v>
      </c>
      <c r="I429">
        <v>619.14439000000004</v>
      </c>
      <c r="J429">
        <v>787.06951000000004</v>
      </c>
      <c r="K429">
        <v>32.106349999999999</v>
      </c>
      <c r="L429">
        <v>87.45</v>
      </c>
      <c r="M429">
        <v>76.131820000000005</v>
      </c>
      <c r="N429">
        <v>0.50666999999999995</v>
      </c>
      <c r="O429">
        <v>49.272000000000034</v>
      </c>
      <c r="P429">
        <v>0</v>
      </c>
      <c r="Q429">
        <v>0</v>
      </c>
      <c r="U429" s="221" t="s">
        <v>76</v>
      </c>
      <c r="V429">
        <v>1003.66659</v>
      </c>
      <c r="W429">
        <v>1294.7717700000001</v>
      </c>
      <c r="X429">
        <v>1100.2317700000001</v>
      </c>
      <c r="Y429">
        <v>1100.13123</v>
      </c>
      <c r="Z429">
        <v>922.26588000000004</v>
      </c>
      <c r="AA429">
        <v>1079.16984</v>
      </c>
      <c r="AB429">
        <v>160.20003</v>
      </c>
      <c r="AC429">
        <v>0.66666999999999998</v>
      </c>
      <c r="AD429">
        <v>352.55196999999998</v>
      </c>
      <c r="AE429">
        <v>61.013350000000003</v>
      </c>
    </row>
    <row r="430" spans="1:31">
      <c r="A430" t="s">
        <v>78</v>
      </c>
      <c r="B430" s="216" t="str">
        <f t="shared" si="6"/>
        <v>Dec-22</v>
      </c>
      <c r="C430" s="217">
        <v>44896</v>
      </c>
      <c r="D430">
        <v>5249.3092999999999</v>
      </c>
      <c r="E430">
        <v>792.54292999999996</v>
      </c>
      <c r="F430">
        <v>1104.9750300000001</v>
      </c>
      <c r="G430">
        <v>964.18151</v>
      </c>
      <c r="H430">
        <v>733.93079999999998</v>
      </c>
      <c r="I430">
        <v>615.29439000000002</v>
      </c>
      <c r="J430">
        <v>793.09280000000001</v>
      </c>
      <c r="K430">
        <v>32.106349999999999</v>
      </c>
      <c r="L430">
        <v>87.45</v>
      </c>
      <c r="M430">
        <v>75.931820000000002</v>
      </c>
      <c r="N430">
        <v>0.50666999999999995</v>
      </c>
      <c r="O430">
        <v>49.097000000000037</v>
      </c>
      <c r="P430">
        <v>0.2</v>
      </c>
      <c r="Q430">
        <v>0</v>
      </c>
      <c r="U430" s="221" t="s">
        <v>77</v>
      </c>
      <c r="V430">
        <v>3668.3503099999998</v>
      </c>
      <c r="W430">
        <v>5047.4379499999995</v>
      </c>
      <c r="X430">
        <v>4095.7268399999998</v>
      </c>
      <c r="Y430">
        <v>3415.7666199999999</v>
      </c>
      <c r="Z430">
        <v>2773.9693499999998</v>
      </c>
      <c r="AA430">
        <v>3570.5771</v>
      </c>
      <c r="AB430">
        <v>558.72508000000005</v>
      </c>
      <c r="AC430">
        <v>63.153309999999998</v>
      </c>
      <c r="AD430">
        <v>196.47333</v>
      </c>
      <c r="AE430">
        <v>173.37334999999999</v>
      </c>
    </row>
    <row r="431" spans="1:31">
      <c r="A431" t="s">
        <v>78</v>
      </c>
      <c r="B431" s="216" t="str">
        <f t="shared" si="6"/>
        <v>Jan-23</v>
      </c>
      <c r="C431" s="217">
        <v>44927</v>
      </c>
      <c r="D431">
        <v>5280.2119300000004</v>
      </c>
      <c r="E431">
        <v>789.86292000000003</v>
      </c>
      <c r="F431">
        <v>1110.5190600000001</v>
      </c>
      <c r="G431">
        <v>973.26095999999995</v>
      </c>
      <c r="H431">
        <v>744.84508000000005</v>
      </c>
      <c r="I431">
        <v>618.78453999999999</v>
      </c>
      <c r="J431">
        <v>795.92039999999997</v>
      </c>
      <c r="K431">
        <v>30.728480000000001</v>
      </c>
      <c r="L431">
        <v>88.65</v>
      </c>
      <c r="M431">
        <v>76.661820000000006</v>
      </c>
      <c r="N431">
        <v>0.50666999999999995</v>
      </c>
      <c r="O431">
        <v>50.472000000000023</v>
      </c>
      <c r="P431">
        <v>0</v>
      </c>
      <c r="Q431">
        <v>0</v>
      </c>
      <c r="U431" s="221" t="s">
        <v>78</v>
      </c>
      <c r="V431">
        <v>1009.56251</v>
      </c>
      <c r="W431">
        <v>1313.3937699999999</v>
      </c>
      <c r="X431">
        <v>1308.5804499999999</v>
      </c>
      <c r="Y431">
        <v>940.75324999999998</v>
      </c>
      <c r="Z431">
        <v>650.86983999999995</v>
      </c>
      <c r="AA431">
        <v>1000.76686</v>
      </c>
      <c r="AB431">
        <v>35.044829999999997</v>
      </c>
      <c r="AC431">
        <v>94.65</v>
      </c>
      <c r="AD431">
        <v>631.61622</v>
      </c>
      <c r="AE431">
        <v>1</v>
      </c>
    </row>
    <row r="432" spans="1:31">
      <c r="A432" t="s">
        <v>78</v>
      </c>
      <c r="B432" s="216" t="str">
        <f t="shared" si="6"/>
        <v>Feb-23</v>
      </c>
      <c r="C432" s="217">
        <v>44958</v>
      </c>
      <c r="D432">
        <v>5322.0400200000004</v>
      </c>
      <c r="E432">
        <v>784.87625000000003</v>
      </c>
      <c r="F432">
        <v>1130.7382299999999</v>
      </c>
      <c r="G432">
        <v>969.88775999999996</v>
      </c>
      <c r="H432">
        <v>749.08078999999998</v>
      </c>
      <c r="I432">
        <v>626.08533</v>
      </c>
      <c r="J432">
        <v>810.16776000000004</v>
      </c>
      <c r="K432">
        <v>30.60341</v>
      </c>
      <c r="L432">
        <v>91.45</v>
      </c>
      <c r="M432">
        <v>77.061819999999997</v>
      </c>
      <c r="N432">
        <v>0.50666999999999995</v>
      </c>
      <c r="O432">
        <v>50.322000000000031</v>
      </c>
      <c r="P432">
        <v>1.26</v>
      </c>
      <c r="Q432">
        <v>0</v>
      </c>
      <c r="U432" s="7" t="s">
        <v>121</v>
      </c>
      <c r="V432">
        <v>12385.643359999998</v>
      </c>
      <c r="W432">
        <v>16399.041459999997</v>
      </c>
      <c r="X432">
        <v>13873.265890000001</v>
      </c>
      <c r="Y432">
        <v>11117.068770000002</v>
      </c>
      <c r="Z432">
        <v>9554.6503099999991</v>
      </c>
      <c r="AA432">
        <v>11724.386759999999</v>
      </c>
      <c r="AB432">
        <v>2014.17725</v>
      </c>
      <c r="AC432">
        <v>2062.5374900000002</v>
      </c>
      <c r="AD432">
        <v>1424.9591599999999</v>
      </c>
      <c r="AE432">
        <v>4001.7306899999999</v>
      </c>
    </row>
    <row r="433" spans="1:34">
      <c r="A433" t="s">
        <v>78</v>
      </c>
      <c r="B433" s="216" t="str">
        <f t="shared" si="6"/>
        <v>Mar-23</v>
      </c>
      <c r="C433" s="217">
        <v>44986</v>
      </c>
      <c r="D433">
        <v>5374.9774399999997</v>
      </c>
      <c r="E433">
        <v>791.93624999999997</v>
      </c>
      <c r="F433">
        <v>1143.56828</v>
      </c>
      <c r="G433">
        <v>976.87867000000006</v>
      </c>
      <c r="H433">
        <v>753.75221999999997</v>
      </c>
      <c r="I433">
        <v>637.69569000000001</v>
      </c>
      <c r="J433">
        <v>818.33443</v>
      </c>
      <c r="K433">
        <v>31.60341</v>
      </c>
      <c r="L433">
        <v>91.25</v>
      </c>
      <c r="M433">
        <v>78.061819999999997</v>
      </c>
      <c r="N433">
        <v>0.50666999999999995</v>
      </c>
      <c r="O433">
        <v>50.15</v>
      </c>
      <c r="P433">
        <v>1.2400000000000091</v>
      </c>
      <c r="Q433">
        <v>0</v>
      </c>
      <c r="U433" s="221" t="s">
        <v>71</v>
      </c>
      <c r="V433">
        <v>2636.2104199999999</v>
      </c>
      <c r="W433">
        <v>3444.4290299999998</v>
      </c>
      <c r="X433">
        <v>2744.0552400000001</v>
      </c>
      <c r="Y433">
        <v>2056.1046299999998</v>
      </c>
      <c r="Z433">
        <v>2071.9572199999998</v>
      </c>
      <c r="AA433">
        <v>2373.24253</v>
      </c>
      <c r="AB433">
        <v>377.09069</v>
      </c>
      <c r="AC433">
        <v>330.29194999999999</v>
      </c>
      <c r="AD433">
        <v>229.54669000000001</v>
      </c>
      <c r="AE433">
        <v>2096.3267599999999</v>
      </c>
    </row>
    <row r="434" spans="1:34">
      <c r="A434" t="s">
        <v>78</v>
      </c>
      <c r="B434" s="216" t="str">
        <f t="shared" si="6"/>
        <v>Apr-23</v>
      </c>
      <c r="C434" s="217">
        <v>45017</v>
      </c>
      <c r="D434">
        <v>8350.3873499999991</v>
      </c>
      <c r="E434">
        <v>798.52625</v>
      </c>
      <c r="F434">
        <v>1150.23404</v>
      </c>
      <c r="G434">
        <v>975.43812000000003</v>
      </c>
      <c r="H434">
        <v>747.80433000000005</v>
      </c>
      <c r="I434">
        <v>634.80178999999998</v>
      </c>
      <c r="J434">
        <v>824.85091999999997</v>
      </c>
      <c r="K434">
        <v>33.723410000000001</v>
      </c>
      <c r="L434">
        <v>90.33</v>
      </c>
      <c r="M434">
        <v>78.061819999999997</v>
      </c>
      <c r="N434">
        <v>0.50666999999999995</v>
      </c>
      <c r="O434">
        <v>50.52</v>
      </c>
      <c r="P434">
        <v>1.24</v>
      </c>
      <c r="Q434">
        <v>2964.35</v>
      </c>
      <c r="U434" s="221" t="s">
        <v>69</v>
      </c>
      <c r="V434">
        <v>816.93790999999999</v>
      </c>
      <c r="W434">
        <v>1097.1651099999999</v>
      </c>
      <c r="X434">
        <v>1317.4661000000001</v>
      </c>
      <c r="Y434">
        <v>744.41597000000002</v>
      </c>
      <c r="Z434">
        <v>649.71583999999996</v>
      </c>
      <c r="AA434">
        <v>867.56173999999999</v>
      </c>
      <c r="AB434">
        <v>137.93227999999999</v>
      </c>
      <c r="AC434">
        <v>68.634129999999999</v>
      </c>
      <c r="AD434">
        <v>137.72357</v>
      </c>
      <c r="AE434">
        <v>1068.4109100000001</v>
      </c>
    </row>
    <row r="435" spans="1:34">
      <c r="A435" t="s">
        <v>78</v>
      </c>
      <c r="B435" s="216" t="str">
        <f t="shared" si="6"/>
        <v>May-23</v>
      </c>
      <c r="C435" s="217">
        <v>45047</v>
      </c>
      <c r="D435">
        <v>8359.0104599999995</v>
      </c>
      <c r="E435">
        <v>803.82624999999996</v>
      </c>
      <c r="F435">
        <v>1156.79403</v>
      </c>
      <c r="G435">
        <v>982.55881999999997</v>
      </c>
      <c r="H435">
        <v>751.75432999999998</v>
      </c>
      <c r="I435">
        <v>642.29345000000001</v>
      </c>
      <c r="J435">
        <v>822.66917999999998</v>
      </c>
      <c r="K435">
        <v>33.223410000000001</v>
      </c>
      <c r="L435">
        <v>90.33</v>
      </c>
      <c r="M435">
        <v>77.26182</v>
      </c>
      <c r="N435">
        <v>0.50666999999999995</v>
      </c>
      <c r="O435">
        <v>49.54</v>
      </c>
      <c r="P435">
        <v>1.24</v>
      </c>
      <c r="Q435">
        <v>2947.0124999999998</v>
      </c>
      <c r="U435" s="221" t="s">
        <v>72</v>
      </c>
      <c r="V435">
        <v>224.70219</v>
      </c>
      <c r="W435">
        <v>250.1208</v>
      </c>
      <c r="X435">
        <v>520.62639999999999</v>
      </c>
      <c r="Y435">
        <v>193.40425999999999</v>
      </c>
      <c r="Z435">
        <v>194.49528000000001</v>
      </c>
      <c r="AA435">
        <v>320.08278999999999</v>
      </c>
      <c r="AB435">
        <v>4</v>
      </c>
      <c r="AC435">
        <v>362.82825000000003</v>
      </c>
      <c r="AD435">
        <v>151.35333</v>
      </c>
      <c r="AE435">
        <v>0</v>
      </c>
    </row>
    <row r="436" spans="1:34">
      <c r="A436" t="s">
        <v>78</v>
      </c>
      <c r="B436" s="216" t="str">
        <f t="shared" si="6"/>
        <v>Jun-23</v>
      </c>
      <c r="C436" s="217">
        <v>45078</v>
      </c>
      <c r="D436">
        <v>8346.9742699999988</v>
      </c>
      <c r="E436">
        <v>795.82624999999996</v>
      </c>
      <c r="F436">
        <v>1154.2637199999999</v>
      </c>
      <c r="G436">
        <v>986.54493000000002</v>
      </c>
      <c r="H436">
        <v>750.67575999999997</v>
      </c>
      <c r="I436">
        <v>649.06921</v>
      </c>
      <c r="J436">
        <v>824.09726999999998</v>
      </c>
      <c r="K436">
        <v>33.679139999999997</v>
      </c>
      <c r="L436">
        <v>89.83</v>
      </c>
      <c r="M436">
        <v>77.38682</v>
      </c>
      <c r="N436">
        <v>0.50666999999999995</v>
      </c>
      <c r="O436">
        <v>49.742000000000004</v>
      </c>
      <c r="P436">
        <v>1.24</v>
      </c>
      <c r="Q436">
        <v>2934.1125000000002</v>
      </c>
      <c r="U436" s="221" t="s">
        <v>73</v>
      </c>
      <c r="V436">
        <v>7.5</v>
      </c>
      <c r="W436">
        <v>24.5</v>
      </c>
      <c r="X436">
        <v>40.67998</v>
      </c>
      <c r="Y436">
        <v>17.600000000000001</v>
      </c>
      <c r="Z436">
        <v>1</v>
      </c>
      <c r="AA436">
        <v>0</v>
      </c>
      <c r="AB436">
        <v>0</v>
      </c>
      <c r="AC436">
        <v>0</v>
      </c>
      <c r="AD436">
        <v>3.0666500000000001</v>
      </c>
      <c r="AE436">
        <v>0</v>
      </c>
    </row>
    <row r="437" spans="1:34">
      <c r="A437" t="s">
        <v>78</v>
      </c>
      <c r="B437" s="216" t="str">
        <f t="shared" si="6"/>
        <v>Jul-23</v>
      </c>
      <c r="C437" s="217">
        <v>45108</v>
      </c>
      <c r="D437">
        <v>8666.5487200000007</v>
      </c>
      <c r="E437">
        <v>788.07425000000001</v>
      </c>
      <c r="F437">
        <v>1141.2615900000001</v>
      </c>
      <c r="G437">
        <v>980.81714999999997</v>
      </c>
      <c r="H437">
        <v>743.77575999999999</v>
      </c>
      <c r="I437">
        <v>640.89345000000003</v>
      </c>
      <c r="J437">
        <v>816.28633000000002</v>
      </c>
      <c r="K437">
        <v>33.034700000000001</v>
      </c>
      <c r="L437">
        <v>89.767499999999998</v>
      </c>
      <c r="M437">
        <v>77.786820000000006</v>
      </c>
      <c r="N437">
        <v>0.50666999999999995</v>
      </c>
      <c r="O437">
        <v>49.491999999999997</v>
      </c>
      <c r="P437">
        <v>1.54</v>
      </c>
      <c r="Q437">
        <v>3303.3125</v>
      </c>
      <c r="U437" s="221" t="s">
        <v>74</v>
      </c>
      <c r="V437">
        <v>450.92633999999998</v>
      </c>
      <c r="W437">
        <v>665.74875999999995</v>
      </c>
      <c r="X437">
        <v>472.62202000000002</v>
      </c>
      <c r="Y437">
        <v>341.77078999999998</v>
      </c>
      <c r="Z437">
        <v>327.38985000000002</v>
      </c>
      <c r="AA437">
        <v>358.64400999999998</v>
      </c>
      <c r="AB437">
        <v>74.876000000000005</v>
      </c>
      <c r="AC437">
        <v>12.5</v>
      </c>
      <c r="AD437">
        <v>51.406660000000002</v>
      </c>
      <c r="AE437">
        <v>3</v>
      </c>
    </row>
    <row r="438" spans="1:34">
      <c r="A438" t="s">
        <v>78</v>
      </c>
      <c r="B438" s="216" t="str">
        <f t="shared" si="6"/>
        <v>Aug-23</v>
      </c>
      <c r="C438" s="217">
        <v>45139</v>
      </c>
      <c r="D438">
        <v>8568.057710000001</v>
      </c>
      <c r="E438">
        <v>797.89175</v>
      </c>
      <c r="F438">
        <v>1127.89742</v>
      </c>
      <c r="G438">
        <v>992.23533999999995</v>
      </c>
      <c r="H438">
        <v>745.93205</v>
      </c>
      <c r="I438">
        <v>629.33803999999998</v>
      </c>
      <c r="J438">
        <v>805.99792000000002</v>
      </c>
      <c r="K438">
        <v>32.434699999999999</v>
      </c>
      <c r="L438">
        <v>88.567499999999995</v>
      </c>
      <c r="M438">
        <v>75.724320000000006</v>
      </c>
      <c r="N438">
        <v>0.50666999999999995</v>
      </c>
      <c r="O438">
        <v>49.491999999999997</v>
      </c>
      <c r="P438">
        <v>1.54</v>
      </c>
      <c r="Q438">
        <v>3220.5</v>
      </c>
      <c r="U438" s="221" t="s">
        <v>75</v>
      </c>
      <c r="V438">
        <v>2565.7477199999998</v>
      </c>
      <c r="W438">
        <v>3259.8879200000001</v>
      </c>
      <c r="X438">
        <v>2454.9272299999998</v>
      </c>
      <c r="Y438">
        <v>2213.11463</v>
      </c>
      <c r="Z438">
        <v>1971.4427000000001</v>
      </c>
      <c r="AA438">
        <v>2330.4189700000002</v>
      </c>
      <c r="AB438">
        <v>642.87148000000002</v>
      </c>
      <c r="AC438">
        <v>1107.8265100000001</v>
      </c>
      <c r="AD438">
        <v>511.14528999999999</v>
      </c>
      <c r="AE438">
        <v>562.64901999999995</v>
      </c>
    </row>
    <row r="439" spans="1:34">
      <c r="A439" t="s">
        <v>73</v>
      </c>
      <c r="B439" s="216" t="str">
        <f t="shared" si="6"/>
        <v>Aug-22</v>
      </c>
      <c r="C439" s="217">
        <v>44774</v>
      </c>
      <c r="D439">
        <v>129.36663999999999</v>
      </c>
      <c r="E439">
        <v>10.5</v>
      </c>
      <c r="F439">
        <v>23.5</v>
      </c>
      <c r="G439">
        <v>27.566649999999999</v>
      </c>
      <c r="H439">
        <v>63.733339999999998</v>
      </c>
      <c r="I439">
        <v>1</v>
      </c>
      <c r="J439">
        <v>0</v>
      </c>
      <c r="K439">
        <v>0</v>
      </c>
      <c r="L439">
        <v>0</v>
      </c>
      <c r="M439">
        <v>3.0666500000000001</v>
      </c>
      <c r="N439">
        <v>0</v>
      </c>
      <c r="O439">
        <v>0</v>
      </c>
      <c r="P439">
        <v>0</v>
      </c>
      <c r="Q439">
        <v>0</v>
      </c>
      <c r="U439" s="221" t="s">
        <v>76</v>
      </c>
      <c r="V439">
        <v>986.75599999999997</v>
      </c>
      <c r="W439">
        <v>1224.81755</v>
      </c>
      <c r="X439">
        <v>1091.34638</v>
      </c>
      <c r="Y439">
        <v>1099.0214100000001</v>
      </c>
      <c r="Z439">
        <v>891.32975999999996</v>
      </c>
      <c r="AA439">
        <v>1017.4986</v>
      </c>
      <c r="AB439">
        <v>176.68671000000001</v>
      </c>
      <c r="AC439">
        <v>0.66666999999999998</v>
      </c>
      <c r="AD439">
        <v>58.651969999999999</v>
      </c>
      <c r="AE439">
        <v>62.37332</v>
      </c>
    </row>
    <row r="440" spans="1:34">
      <c r="A440" t="s">
        <v>73</v>
      </c>
      <c r="B440" s="216" t="str">
        <f t="shared" si="6"/>
        <v>Sep-22</v>
      </c>
      <c r="C440" s="217">
        <v>44805</v>
      </c>
      <c r="D440">
        <v>127.51997</v>
      </c>
      <c r="E440">
        <v>9.5</v>
      </c>
      <c r="F440">
        <v>15.34</v>
      </c>
      <c r="G440">
        <v>25.86665</v>
      </c>
      <c r="H440">
        <v>72.133340000000004</v>
      </c>
      <c r="I440">
        <v>1</v>
      </c>
      <c r="J440">
        <v>0</v>
      </c>
      <c r="K440">
        <v>0</v>
      </c>
      <c r="L440">
        <v>0</v>
      </c>
      <c r="M440">
        <v>3.67998</v>
      </c>
      <c r="N440">
        <v>0</v>
      </c>
      <c r="O440">
        <v>0</v>
      </c>
      <c r="P440">
        <v>0</v>
      </c>
      <c r="Q440">
        <v>0</v>
      </c>
      <c r="U440" s="221" t="s">
        <v>77</v>
      </c>
      <c r="V440">
        <v>3830.5050299999998</v>
      </c>
      <c r="W440">
        <v>5258.45424</v>
      </c>
      <c r="X440">
        <v>4166.2633299999998</v>
      </c>
      <c r="Y440">
        <v>3617.9994299999998</v>
      </c>
      <c r="Z440">
        <v>2833.6333100000002</v>
      </c>
      <c r="AA440">
        <v>3586.1205300000001</v>
      </c>
      <c r="AB440">
        <v>565.80989</v>
      </c>
      <c r="AC440">
        <v>83.239980000000003</v>
      </c>
      <c r="AD440">
        <v>202.82</v>
      </c>
      <c r="AE440">
        <v>207.97067999999999</v>
      </c>
    </row>
    <row r="441" spans="1:34">
      <c r="A441" t="s">
        <v>73</v>
      </c>
      <c r="B441" s="216" t="str">
        <f t="shared" si="6"/>
        <v>Oct-22</v>
      </c>
      <c r="C441" s="217">
        <v>44835</v>
      </c>
      <c r="D441">
        <v>135.86664000000002</v>
      </c>
      <c r="E441">
        <v>9.5</v>
      </c>
      <c r="F441">
        <v>15.5</v>
      </c>
      <c r="G441">
        <v>25.666650000000001</v>
      </c>
      <c r="H441">
        <v>81.133340000000004</v>
      </c>
      <c r="I441">
        <v>1</v>
      </c>
      <c r="J441">
        <v>0</v>
      </c>
      <c r="K441">
        <v>0</v>
      </c>
      <c r="L441">
        <v>0</v>
      </c>
      <c r="M441">
        <v>3.0666500000000001</v>
      </c>
      <c r="N441">
        <v>0</v>
      </c>
      <c r="O441">
        <v>0</v>
      </c>
      <c r="P441">
        <v>0</v>
      </c>
      <c r="Q441">
        <v>0</v>
      </c>
      <c r="U441" s="221" t="s">
        <v>78</v>
      </c>
      <c r="V441">
        <v>866.35775000000001</v>
      </c>
      <c r="W441">
        <v>1173.91805</v>
      </c>
      <c r="X441">
        <v>1065.2792099999999</v>
      </c>
      <c r="Y441">
        <v>833.63765000000001</v>
      </c>
      <c r="Z441">
        <v>613.68634999999995</v>
      </c>
      <c r="AA441">
        <v>870.81759</v>
      </c>
      <c r="AB441">
        <v>34.910200000000003</v>
      </c>
      <c r="AC441">
        <v>96.55</v>
      </c>
      <c r="AD441">
        <v>79.245000000000005</v>
      </c>
      <c r="AE441">
        <v>1</v>
      </c>
    </row>
    <row r="442" spans="1:34">
      <c r="A442" t="s">
        <v>73</v>
      </c>
      <c r="B442" s="216" t="str">
        <f t="shared" si="6"/>
        <v>Nov-22</v>
      </c>
      <c r="C442" s="217">
        <v>44866</v>
      </c>
      <c r="D442">
        <v>127.06664000000001</v>
      </c>
      <c r="E442">
        <v>8.5</v>
      </c>
      <c r="F442">
        <v>15.5</v>
      </c>
      <c r="G442">
        <v>24.666650000000001</v>
      </c>
      <c r="H442">
        <v>75.333340000000007</v>
      </c>
      <c r="I442">
        <v>0</v>
      </c>
      <c r="J442">
        <v>0</v>
      </c>
      <c r="K442">
        <v>0</v>
      </c>
      <c r="L442">
        <v>0</v>
      </c>
      <c r="M442">
        <v>3.0666500000000001</v>
      </c>
      <c r="N442">
        <v>0</v>
      </c>
      <c r="O442">
        <v>0</v>
      </c>
      <c r="P442">
        <v>0</v>
      </c>
      <c r="Q442">
        <v>0</v>
      </c>
      <c r="U442" s="7" t="s">
        <v>122</v>
      </c>
      <c r="V442">
        <v>12483.865229999999</v>
      </c>
      <c r="W442">
        <v>17168.191750000002</v>
      </c>
      <c r="X442">
        <v>14335.30796</v>
      </c>
      <c r="Y442">
        <v>11081.345140000001</v>
      </c>
      <c r="Z442">
        <v>9911.5352399999992</v>
      </c>
      <c r="AA442">
        <v>11967.810469999999</v>
      </c>
      <c r="AB442">
        <v>2066.5020399999999</v>
      </c>
      <c r="AC442">
        <v>2032.6115600000003</v>
      </c>
      <c r="AD442">
        <v>1451.3805900000002</v>
      </c>
      <c r="AE442">
        <v>4073.0405800000003</v>
      </c>
      <c r="AF442">
        <v>379.17913000000004</v>
      </c>
      <c r="AG442">
        <v>1039.19</v>
      </c>
      <c r="AH442">
        <v>0</v>
      </c>
    </row>
    <row r="443" spans="1:34">
      <c r="A443" t="s">
        <v>73</v>
      </c>
      <c r="B443" s="216" t="str">
        <f t="shared" si="6"/>
        <v>Dec-22</v>
      </c>
      <c r="C443" s="217">
        <v>44896</v>
      </c>
      <c r="D443">
        <v>116.06664000000001</v>
      </c>
      <c r="E443">
        <v>8.5</v>
      </c>
      <c r="F443">
        <v>14.5</v>
      </c>
      <c r="G443">
        <v>24.666650000000001</v>
      </c>
      <c r="H443">
        <v>65.333340000000007</v>
      </c>
      <c r="I443">
        <v>0</v>
      </c>
      <c r="J443">
        <v>0</v>
      </c>
      <c r="K443">
        <v>0</v>
      </c>
      <c r="L443">
        <v>0</v>
      </c>
      <c r="M443">
        <v>3.0666500000000001</v>
      </c>
      <c r="N443">
        <v>0</v>
      </c>
      <c r="O443">
        <v>0</v>
      </c>
      <c r="P443">
        <v>0</v>
      </c>
      <c r="Q443">
        <v>0</v>
      </c>
      <c r="U443" s="221" t="s">
        <v>71</v>
      </c>
      <c r="V443">
        <v>2666.6681800000001</v>
      </c>
      <c r="W443">
        <v>3739.74323</v>
      </c>
      <c r="X443">
        <v>2782.2387399999998</v>
      </c>
      <c r="Y443">
        <v>2066.3814400000001</v>
      </c>
      <c r="Z443">
        <v>2214.7397299999998</v>
      </c>
      <c r="AA443">
        <v>2463.0671499999999</v>
      </c>
      <c r="AB443">
        <v>402.43923000000001</v>
      </c>
      <c r="AC443">
        <v>309.92743000000002</v>
      </c>
      <c r="AD443">
        <v>224.89312000000001</v>
      </c>
      <c r="AE443">
        <v>2091.2788399999999</v>
      </c>
      <c r="AF443">
        <v>1.9000000000000001</v>
      </c>
      <c r="AG443">
        <v>0</v>
      </c>
      <c r="AH443">
        <v>0</v>
      </c>
    </row>
    <row r="444" spans="1:34">
      <c r="A444" t="s">
        <v>73</v>
      </c>
      <c r="B444" s="216" t="str">
        <f t="shared" si="6"/>
        <v>Jan-23</v>
      </c>
      <c r="C444" s="217">
        <v>44927</v>
      </c>
      <c r="D444">
        <v>98.466639999999998</v>
      </c>
      <c r="E444">
        <v>8.5</v>
      </c>
      <c r="F444">
        <v>21.5</v>
      </c>
      <c r="G444">
        <v>23.066649999999999</v>
      </c>
      <c r="H444">
        <v>42.33334</v>
      </c>
      <c r="I444">
        <v>0</v>
      </c>
      <c r="J444">
        <v>0</v>
      </c>
      <c r="K444">
        <v>0</v>
      </c>
      <c r="L444">
        <v>0</v>
      </c>
      <c r="M444">
        <v>3.0666500000000001</v>
      </c>
      <c r="N444">
        <v>0</v>
      </c>
      <c r="O444">
        <v>0</v>
      </c>
      <c r="P444">
        <v>0</v>
      </c>
      <c r="Q444">
        <v>0</v>
      </c>
      <c r="U444" s="221" t="s">
        <v>69</v>
      </c>
      <c r="V444">
        <v>821.33282999999994</v>
      </c>
      <c r="W444">
        <v>1166.22174</v>
      </c>
      <c r="X444">
        <v>1398.4325200000001</v>
      </c>
      <c r="Y444">
        <v>747.37917000000004</v>
      </c>
      <c r="Z444">
        <v>687.57285000000002</v>
      </c>
      <c r="AA444">
        <v>915.67723999999998</v>
      </c>
      <c r="AB444">
        <v>140.98909</v>
      </c>
      <c r="AC444">
        <v>67.800529999999995</v>
      </c>
      <c r="AD444">
        <v>142.11331999999999</v>
      </c>
      <c r="AE444">
        <v>1105.3420900000001</v>
      </c>
      <c r="AF444">
        <v>5.2</v>
      </c>
      <c r="AG444">
        <v>0</v>
      </c>
      <c r="AH444">
        <v>0</v>
      </c>
    </row>
    <row r="445" spans="1:34">
      <c r="A445" t="s">
        <v>73</v>
      </c>
      <c r="B445" s="216" t="str">
        <f t="shared" si="6"/>
        <v>Feb-23</v>
      </c>
      <c r="C445" s="217">
        <v>44958</v>
      </c>
      <c r="D445">
        <v>87.466639999999998</v>
      </c>
      <c r="E445">
        <v>7.5</v>
      </c>
      <c r="F445">
        <v>20.5</v>
      </c>
      <c r="G445">
        <v>22.066649999999999</v>
      </c>
      <c r="H445">
        <v>34.33334</v>
      </c>
      <c r="I445">
        <v>0</v>
      </c>
      <c r="J445">
        <v>0</v>
      </c>
      <c r="K445">
        <v>0</v>
      </c>
      <c r="L445">
        <v>0</v>
      </c>
      <c r="M445">
        <v>3.0666500000000001</v>
      </c>
      <c r="N445">
        <v>0</v>
      </c>
      <c r="O445">
        <v>0</v>
      </c>
      <c r="P445">
        <v>0</v>
      </c>
      <c r="Q445">
        <v>0</v>
      </c>
      <c r="U445" s="221" t="s">
        <v>72</v>
      </c>
      <c r="V445">
        <v>229.80886000000001</v>
      </c>
      <c r="W445">
        <v>270.29386</v>
      </c>
      <c r="X445">
        <v>555.58941000000004</v>
      </c>
      <c r="Y445">
        <v>201.54693</v>
      </c>
      <c r="Z445">
        <v>195.69528</v>
      </c>
      <c r="AA445">
        <v>333.73612000000003</v>
      </c>
      <c r="AB445">
        <v>6.6133300000000004</v>
      </c>
      <c r="AC445">
        <v>390.41557999999998</v>
      </c>
      <c r="AD445">
        <v>170.37599</v>
      </c>
      <c r="AE445">
        <v>0</v>
      </c>
      <c r="AF445">
        <v>1</v>
      </c>
      <c r="AG445">
        <v>0</v>
      </c>
      <c r="AH445">
        <v>0</v>
      </c>
    </row>
    <row r="446" spans="1:34">
      <c r="A446" t="s">
        <v>73</v>
      </c>
      <c r="B446" s="216" t="str">
        <f t="shared" si="6"/>
        <v>Mar-23</v>
      </c>
      <c r="C446" s="217">
        <v>44986</v>
      </c>
      <c r="D446">
        <v>75.466639999999998</v>
      </c>
      <c r="E446">
        <v>7.5</v>
      </c>
      <c r="F446">
        <v>20.5</v>
      </c>
      <c r="G446">
        <v>22.066649999999999</v>
      </c>
      <c r="H446">
        <v>22.33334</v>
      </c>
      <c r="I446">
        <v>0</v>
      </c>
      <c r="J446">
        <v>0</v>
      </c>
      <c r="K446">
        <v>0</v>
      </c>
      <c r="L446">
        <v>0</v>
      </c>
      <c r="M446">
        <v>3.0666500000000001</v>
      </c>
      <c r="N446">
        <v>0</v>
      </c>
      <c r="O446">
        <v>0</v>
      </c>
      <c r="P446">
        <v>0</v>
      </c>
      <c r="Q446">
        <v>0</v>
      </c>
      <c r="U446" s="221" t="s">
        <v>73</v>
      </c>
      <c r="V446">
        <v>8.5</v>
      </c>
      <c r="W446">
        <v>15.5</v>
      </c>
      <c r="X446">
        <v>24.666650000000001</v>
      </c>
      <c r="Y446">
        <v>75.333340000000007</v>
      </c>
      <c r="Z446">
        <v>0</v>
      </c>
      <c r="AA446">
        <v>0</v>
      </c>
      <c r="AB446">
        <v>0</v>
      </c>
      <c r="AC446">
        <v>0</v>
      </c>
      <c r="AD446">
        <v>3.0666500000000001</v>
      </c>
      <c r="AE446">
        <v>0</v>
      </c>
      <c r="AF446">
        <v>0</v>
      </c>
      <c r="AG446">
        <v>0</v>
      </c>
      <c r="AH446">
        <v>0</v>
      </c>
    </row>
    <row r="447" spans="1:34">
      <c r="A447" t="s">
        <v>73</v>
      </c>
      <c r="B447" s="216" t="str">
        <f t="shared" si="6"/>
        <v>Apr-23</v>
      </c>
      <c r="C447" s="217">
        <v>45017</v>
      </c>
      <c r="D447">
        <v>79.726649999999992</v>
      </c>
      <c r="E447">
        <v>12</v>
      </c>
      <c r="F447">
        <v>21.5</v>
      </c>
      <c r="G447">
        <v>25.226659999999999</v>
      </c>
      <c r="H447">
        <v>17.933340000000001</v>
      </c>
      <c r="I447">
        <v>0</v>
      </c>
      <c r="J447">
        <v>0</v>
      </c>
      <c r="K447">
        <v>0</v>
      </c>
      <c r="L447">
        <v>0</v>
      </c>
      <c r="M447">
        <v>3.0666500000000001</v>
      </c>
      <c r="N447">
        <v>0</v>
      </c>
      <c r="O447">
        <v>0</v>
      </c>
      <c r="P447">
        <v>0</v>
      </c>
      <c r="Q447">
        <v>0</v>
      </c>
      <c r="U447" s="221" t="s">
        <v>74</v>
      </c>
      <c r="V447">
        <v>476.52551999999997</v>
      </c>
      <c r="W447">
        <v>739.38809000000003</v>
      </c>
      <c r="X447">
        <v>506.37317999999999</v>
      </c>
      <c r="Y447">
        <v>354.29746</v>
      </c>
      <c r="Z447">
        <v>354.80558000000002</v>
      </c>
      <c r="AA447">
        <v>364.39384999999999</v>
      </c>
      <c r="AB447">
        <v>78.094669999999994</v>
      </c>
      <c r="AC447">
        <v>8.5</v>
      </c>
      <c r="AD447">
        <v>56.606659999999998</v>
      </c>
      <c r="AE447">
        <v>3.4</v>
      </c>
      <c r="AF447">
        <v>29.676189999999995</v>
      </c>
      <c r="AG447">
        <v>0</v>
      </c>
      <c r="AH447">
        <v>0</v>
      </c>
    </row>
    <row r="448" spans="1:34">
      <c r="A448" t="s">
        <v>73</v>
      </c>
      <c r="B448" s="216" t="str">
        <f t="shared" si="6"/>
        <v>May-23</v>
      </c>
      <c r="C448" s="217">
        <v>45047</v>
      </c>
      <c r="D448">
        <v>76.113320000000002</v>
      </c>
      <c r="E448">
        <v>11</v>
      </c>
      <c r="F448">
        <v>21.5</v>
      </c>
      <c r="G448">
        <v>24.613330000000001</v>
      </c>
      <c r="H448">
        <v>15.933339999999999</v>
      </c>
      <c r="I448">
        <v>0</v>
      </c>
      <c r="J448">
        <v>0</v>
      </c>
      <c r="K448">
        <v>0</v>
      </c>
      <c r="L448">
        <v>0</v>
      </c>
      <c r="M448">
        <v>3.0666500000000001</v>
      </c>
      <c r="N448">
        <v>0</v>
      </c>
      <c r="O448">
        <v>0</v>
      </c>
      <c r="P448">
        <v>0</v>
      </c>
      <c r="Q448">
        <v>0</v>
      </c>
      <c r="U448" s="221" t="s">
        <v>75</v>
      </c>
      <c r="V448">
        <v>2735.2338300000001</v>
      </c>
      <c r="W448">
        <v>3528.9084899999998</v>
      </c>
      <c r="X448">
        <v>2539.2503000000002</v>
      </c>
      <c r="Y448">
        <v>2229.4760799999999</v>
      </c>
      <c r="Z448">
        <v>2120.6208000000001</v>
      </c>
      <c r="AA448">
        <v>2408.86319</v>
      </c>
      <c r="AB448">
        <v>679.08624999999995</v>
      </c>
      <c r="AC448">
        <v>1078.6380200000001</v>
      </c>
      <c r="AD448">
        <v>509.52265</v>
      </c>
      <c r="AE448">
        <v>609.06232</v>
      </c>
      <c r="AF448">
        <v>283.73094000000003</v>
      </c>
      <c r="AG448">
        <v>1039.19</v>
      </c>
      <c r="AH448">
        <v>0</v>
      </c>
    </row>
    <row r="449" spans="1:34">
      <c r="A449" t="s">
        <v>73</v>
      </c>
      <c r="B449" s="216" t="str">
        <f t="shared" si="6"/>
        <v>Jun-23</v>
      </c>
      <c r="C449" s="217">
        <v>45078</v>
      </c>
      <c r="D449">
        <v>77.479990000000001</v>
      </c>
      <c r="E449">
        <v>11</v>
      </c>
      <c r="F449">
        <v>20.5</v>
      </c>
      <c r="G449">
        <v>25.98</v>
      </c>
      <c r="H449">
        <v>16.933340000000001</v>
      </c>
      <c r="I449">
        <v>0</v>
      </c>
      <c r="J449">
        <v>0</v>
      </c>
      <c r="K449">
        <v>0</v>
      </c>
      <c r="L449">
        <v>0</v>
      </c>
      <c r="M449">
        <v>3.0666500000000001</v>
      </c>
      <c r="N449">
        <v>0</v>
      </c>
      <c r="O449">
        <v>0</v>
      </c>
      <c r="P449">
        <v>0</v>
      </c>
      <c r="Q449">
        <v>0</v>
      </c>
      <c r="U449" s="221" t="s">
        <v>76</v>
      </c>
      <c r="V449">
        <v>975.65611000000001</v>
      </c>
      <c r="W449">
        <v>1340.62634</v>
      </c>
      <c r="X449">
        <v>1153.7888600000001</v>
      </c>
      <c r="Y449">
        <v>1079.2817399999999</v>
      </c>
      <c r="Z449">
        <v>824.45042999999998</v>
      </c>
      <c r="AA449">
        <v>997.42894999999999</v>
      </c>
      <c r="AB449">
        <v>169.64003</v>
      </c>
      <c r="AC449">
        <v>0.66666999999999998</v>
      </c>
      <c r="AD449">
        <v>56.683700000000002</v>
      </c>
      <c r="AE449">
        <v>63.466650000000001</v>
      </c>
      <c r="AF449">
        <v>0</v>
      </c>
      <c r="AG449">
        <v>0</v>
      </c>
      <c r="AH449">
        <v>0</v>
      </c>
    </row>
    <row r="450" spans="1:34">
      <c r="A450" t="s">
        <v>73</v>
      </c>
      <c r="B450" s="216" t="str">
        <f t="shared" si="6"/>
        <v>Jul-23</v>
      </c>
      <c r="C450" s="217">
        <v>45108</v>
      </c>
      <c r="D450">
        <v>73.413319999999999</v>
      </c>
      <c r="E450">
        <v>11</v>
      </c>
      <c r="F450">
        <v>20.5</v>
      </c>
      <c r="G450">
        <v>22.913329999999998</v>
      </c>
      <c r="H450">
        <v>15.933339999999999</v>
      </c>
      <c r="I450">
        <v>0</v>
      </c>
      <c r="J450">
        <v>0</v>
      </c>
      <c r="K450">
        <v>0</v>
      </c>
      <c r="L450">
        <v>0</v>
      </c>
      <c r="M450">
        <v>3.0666500000000001</v>
      </c>
      <c r="N450">
        <v>0</v>
      </c>
      <c r="O450">
        <v>0</v>
      </c>
      <c r="P450">
        <v>0</v>
      </c>
      <c r="Q450">
        <v>0</v>
      </c>
      <c r="U450" s="221" t="s">
        <v>77</v>
      </c>
      <c r="V450">
        <v>3781.0219699999998</v>
      </c>
      <c r="W450">
        <v>5259.9792699999998</v>
      </c>
      <c r="X450">
        <v>4409.2120400000003</v>
      </c>
      <c r="Y450">
        <v>3592.4824699999999</v>
      </c>
      <c r="Z450">
        <v>2894.5061799999999</v>
      </c>
      <c r="AA450">
        <v>3697.5744599999998</v>
      </c>
      <c r="AB450">
        <v>557.53309000000002</v>
      </c>
      <c r="AC450">
        <v>89.213329999999999</v>
      </c>
      <c r="AD450">
        <v>211.98668000000001</v>
      </c>
      <c r="AE450">
        <v>199.98401000000001</v>
      </c>
      <c r="AF450">
        <v>8.4</v>
      </c>
      <c r="AG450">
        <v>0</v>
      </c>
      <c r="AH450">
        <v>0</v>
      </c>
    </row>
    <row r="451" spans="1:34">
      <c r="A451" t="s">
        <v>73</v>
      </c>
      <c r="B451" s="216" t="str">
        <f t="shared" ref="B451:B478" si="7">TEXT(C451,"mmm-yy")</f>
        <v>Aug-23</v>
      </c>
      <c r="C451" s="217">
        <v>45139</v>
      </c>
      <c r="D451">
        <v>73.413319999999999</v>
      </c>
      <c r="E451">
        <v>11</v>
      </c>
      <c r="F451">
        <v>20.5</v>
      </c>
      <c r="G451">
        <v>23.913329999999998</v>
      </c>
      <c r="H451">
        <v>14.933339999999999</v>
      </c>
      <c r="I451">
        <v>0</v>
      </c>
      <c r="J451">
        <v>0</v>
      </c>
      <c r="K451">
        <v>0</v>
      </c>
      <c r="L451">
        <v>0</v>
      </c>
      <c r="M451">
        <v>3.0666500000000001</v>
      </c>
      <c r="N451">
        <v>0</v>
      </c>
      <c r="O451">
        <v>0</v>
      </c>
      <c r="P451">
        <v>0</v>
      </c>
      <c r="Q451">
        <v>0</v>
      </c>
      <c r="U451" s="221" t="s">
        <v>78</v>
      </c>
      <c r="V451">
        <v>789.11793</v>
      </c>
      <c r="W451">
        <v>1107.5307299999999</v>
      </c>
      <c r="X451">
        <v>965.75626</v>
      </c>
      <c r="Y451">
        <v>735.16651000000002</v>
      </c>
      <c r="Z451">
        <v>619.14439000000004</v>
      </c>
      <c r="AA451">
        <v>787.06951000000004</v>
      </c>
      <c r="AB451">
        <v>32.106349999999999</v>
      </c>
      <c r="AC451">
        <v>87.45</v>
      </c>
      <c r="AD451">
        <v>76.131820000000005</v>
      </c>
      <c r="AE451">
        <v>0.50666999999999995</v>
      </c>
      <c r="AF451">
        <v>49.272000000000034</v>
      </c>
      <c r="AG451">
        <v>0</v>
      </c>
      <c r="AH451">
        <v>0</v>
      </c>
    </row>
    <row r="452" spans="1:34">
      <c r="A452" s="217" t="s">
        <v>69</v>
      </c>
      <c r="B452" s="216" t="str">
        <f t="shared" si="7"/>
        <v>May-22</v>
      </c>
      <c r="C452" s="217">
        <v>44682</v>
      </c>
      <c r="D452">
        <v>6890.8946500000002</v>
      </c>
      <c r="E452">
        <v>793.76482999999996</v>
      </c>
      <c r="F452">
        <v>1103.7264500000001</v>
      </c>
      <c r="G452">
        <v>1338.71387</v>
      </c>
      <c r="H452">
        <v>713.65944000000002</v>
      </c>
      <c r="I452">
        <v>657.26076</v>
      </c>
      <c r="J452">
        <v>858.49001999999996</v>
      </c>
      <c r="K452">
        <v>131.99574999999999</v>
      </c>
      <c r="L452">
        <v>65.844260000000006</v>
      </c>
      <c r="M452">
        <v>139.24850000000001</v>
      </c>
      <c r="N452">
        <v>1084.39077</v>
      </c>
      <c r="O452">
        <v>3.8</v>
      </c>
      <c r="P452">
        <v>0</v>
      </c>
      <c r="Q452">
        <v>0</v>
      </c>
      <c r="U452" s="7" t="s">
        <v>123</v>
      </c>
      <c r="V452">
        <v>11532.779180000001</v>
      </c>
      <c r="W452">
        <v>15582.090849999999</v>
      </c>
      <c r="X452">
        <v>13126.574570000001</v>
      </c>
      <c r="Y452">
        <v>10441.32445</v>
      </c>
      <c r="Z452">
        <v>8631.8180799999991</v>
      </c>
      <c r="AA452">
        <v>11397.637699999999</v>
      </c>
      <c r="AB452">
        <v>1803.0298099999998</v>
      </c>
      <c r="AC452">
        <v>1674.2915800000001</v>
      </c>
      <c r="AD452">
        <v>4041.4836600000003</v>
      </c>
      <c r="AE452">
        <v>3267.9674599999998</v>
      </c>
    </row>
    <row r="453" spans="1:34">
      <c r="A453" s="217" t="s">
        <v>69</v>
      </c>
      <c r="B453" s="216" t="str">
        <f t="shared" si="7"/>
        <v>Jun-22</v>
      </c>
      <c r="C453" s="217">
        <v>44713</v>
      </c>
      <c r="D453">
        <v>6865.98506</v>
      </c>
      <c r="E453">
        <v>790.09816999999998</v>
      </c>
      <c r="F453">
        <v>1099.4131299999999</v>
      </c>
      <c r="G453">
        <v>1331.83385</v>
      </c>
      <c r="H453">
        <v>708.48504000000003</v>
      </c>
      <c r="I453">
        <v>659.15410999999995</v>
      </c>
      <c r="J453">
        <v>851.83001999999999</v>
      </c>
      <c r="K453">
        <v>131.70241999999999</v>
      </c>
      <c r="L453">
        <v>65.844260000000006</v>
      </c>
      <c r="M453">
        <v>138.24930000000001</v>
      </c>
      <c r="N453">
        <v>1084.57476</v>
      </c>
      <c r="O453">
        <v>4.8</v>
      </c>
      <c r="P453">
        <v>0</v>
      </c>
      <c r="Q453">
        <v>0</v>
      </c>
      <c r="U453" s="221" t="s">
        <v>71</v>
      </c>
      <c r="V453">
        <v>2300.9274399999999</v>
      </c>
      <c r="W453">
        <v>3141.74413</v>
      </c>
      <c r="X453">
        <v>2545.5320200000001</v>
      </c>
      <c r="Y453">
        <v>1939.6700599999999</v>
      </c>
      <c r="Z453">
        <v>1792.9501299999999</v>
      </c>
      <c r="AA453">
        <v>2321.0393199999999</v>
      </c>
      <c r="AB453">
        <v>335.04613000000001</v>
      </c>
      <c r="AC453">
        <v>259.42343</v>
      </c>
      <c r="AD453">
        <v>195.35999000000001</v>
      </c>
      <c r="AE453">
        <v>1450.6851999999999</v>
      </c>
    </row>
    <row r="454" spans="1:34">
      <c r="A454" s="217" t="s">
        <v>69</v>
      </c>
      <c r="B454" s="216" t="str">
        <f t="shared" si="7"/>
        <v>Jul-22</v>
      </c>
      <c r="C454" s="217">
        <v>44743</v>
      </c>
      <c r="D454">
        <v>6873.7250400000003</v>
      </c>
      <c r="E454">
        <v>811.94615999999996</v>
      </c>
      <c r="F454">
        <v>1107.71444</v>
      </c>
      <c r="G454">
        <v>1326.8871799999999</v>
      </c>
      <c r="H454">
        <v>704.36504000000002</v>
      </c>
      <c r="I454">
        <v>652.62743999999998</v>
      </c>
      <c r="J454">
        <v>847.79669999999999</v>
      </c>
      <c r="K454">
        <v>128.98241999999999</v>
      </c>
      <c r="L454">
        <v>66.44426</v>
      </c>
      <c r="M454">
        <v>136.58931000000001</v>
      </c>
      <c r="N454">
        <v>1085.5720899999999</v>
      </c>
      <c r="O454">
        <v>4.8</v>
      </c>
      <c r="P454">
        <v>0</v>
      </c>
      <c r="Q454">
        <v>0</v>
      </c>
      <c r="U454" s="221" t="s">
        <v>69</v>
      </c>
      <c r="V454">
        <v>746.13229000000001</v>
      </c>
      <c r="W454">
        <v>910.76683000000003</v>
      </c>
      <c r="X454">
        <v>874.47343000000001</v>
      </c>
      <c r="Y454">
        <v>608.92718000000002</v>
      </c>
      <c r="Z454">
        <v>564.34460999999999</v>
      </c>
      <c r="AA454">
        <v>766.82654000000002</v>
      </c>
      <c r="AB454">
        <v>122.60429000000001</v>
      </c>
      <c r="AC454">
        <v>62.434139999999999</v>
      </c>
      <c r="AD454">
        <v>113.85171</v>
      </c>
      <c r="AE454">
        <v>1071.48621</v>
      </c>
    </row>
    <row r="455" spans="1:34">
      <c r="A455" s="217" t="s">
        <v>71</v>
      </c>
      <c r="B455" s="216" t="str">
        <f t="shared" si="7"/>
        <v>May-22</v>
      </c>
      <c r="C455" s="217">
        <v>44682</v>
      </c>
      <c r="D455">
        <v>18808.959009999999</v>
      </c>
      <c r="E455">
        <v>2639.1209600000002</v>
      </c>
      <c r="F455">
        <v>3582.97903</v>
      </c>
      <c r="G455">
        <v>2833.3304800000001</v>
      </c>
      <c r="H455">
        <v>2071.7897200000002</v>
      </c>
      <c r="I455">
        <v>2165.9769900000001</v>
      </c>
      <c r="J455">
        <v>2470.6075500000002</v>
      </c>
      <c r="K455">
        <v>396.26722000000001</v>
      </c>
      <c r="L455">
        <v>337.40742</v>
      </c>
      <c r="M455">
        <v>228.81978000000001</v>
      </c>
      <c r="N455">
        <v>2080.1598600000002</v>
      </c>
      <c r="O455">
        <v>2.5</v>
      </c>
      <c r="P455">
        <v>0</v>
      </c>
      <c r="Q455">
        <v>0</v>
      </c>
      <c r="U455" s="221" t="s">
        <v>72</v>
      </c>
      <c r="V455">
        <v>225.92221000000001</v>
      </c>
      <c r="W455">
        <v>247.78801999999999</v>
      </c>
      <c r="X455">
        <v>472.53359</v>
      </c>
      <c r="Y455">
        <v>196.25761</v>
      </c>
      <c r="Z455">
        <v>178.14619999999999</v>
      </c>
      <c r="AA455">
        <v>298.87745000000001</v>
      </c>
      <c r="AB455">
        <v>2</v>
      </c>
      <c r="AC455">
        <v>233.10265999999999</v>
      </c>
      <c r="AD455">
        <v>134.15333000000001</v>
      </c>
      <c r="AE455">
        <v>0</v>
      </c>
    </row>
    <row r="456" spans="1:34">
      <c r="A456" s="217" t="s">
        <v>71</v>
      </c>
      <c r="B456" s="216" t="str">
        <f t="shared" si="7"/>
        <v>Jun-22</v>
      </c>
      <c r="C456" s="217">
        <v>44713</v>
      </c>
      <c r="D456">
        <v>18849.162469999999</v>
      </c>
      <c r="E456">
        <v>2656.2068199999999</v>
      </c>
      <c r="F456">
        <v>3621.2222400000001</v>
      </c>
      <c r="G456">
        <v>2815.6435499999998</v>
      </c>
      <c r="H456">
        <v>2073.7179799999999</v>
      </c>
      <c r="I456">
        <v>2189.6777900000002</v>
      </c>
      <c r="J456">
        <v>2492.2622000000001</v>
      </c>
      <c r="K456">
        <v>394.30056000000002</v>
      </c>
      <c r="L456">
        <v>333.03408999999999</v>
      </c>
      <c r="M456">
        <v>225.31310999999999</v>
      </c>
      <c r="N456">
        <v>2045.28413</v>
      </c>
      <c r="O456">
        <v>2.5</v>
      </c>
      <c r="P456">
        <v>0</v>
      </c>
      <c r="Q456">
        <v>0</v>
      </c>
      <c r="U456" s="221" t="s">
        <v>73</v>
      </c>
      <c r="V456">
        <v>6.5</v>
      </c>
      <c r="W456">
        <v>18.36</v>
      </c>
      <c r="X456">
        <v>44.259970000000003</v>
      </c>
      <c r="Y456">
        <v>5.6266600000000002</v>
      </c>
      <c r="Z456">
        <v>7</v>
      </c>
      <c r="AA456">
        <v>2</v>
      </c>
      <c r="AB456">
        <v>0</v>
      </c>
      <c r="AC456">
        <v>0</v>
      </c>
      <c r="AD456">
        <v>0</v>
      </c>
      <c r="AE456">
        <v>0</v>
      </c>
    </row>
    <row r="457" spans="1:34">
      <c r="A457" s="217" t="s">
        <v>71</v>
      </c>
      <c r="B457" s="216" t="str">
        <f t="shared" si="7"/>
        <v>Jul-22</v>
      </c>
      <c r="C457" s="217">
        <v>44743</v>
      </c>
      <c r="D457">
        <v>18790.993719999999</v>
      </c>
      <c r="E457">
        <v>2665.6332699999998</v>
      </c>
      <c r="F457">
        <v>3633.4489199999998</v>
      </c>
      <c r="G457">
        <v>2810.96461</v>
      </c>
      <c r="H457">
        <v>2063.7513199999999</v>
      </c>
      <c r="I457">
        <v>2200.2020600000001</v>
      </c>
      <c r="J457">
        <v>2461.3477800000001</v>
      </c>
      <c r="K457">
        <v>391.21256</v>
      </c>
      <c r="L457">
        <v>327.68076000000002</v>
      </c>
      <c r="M457">
        <v>228.88643999999999</v>
      </c>
      <c r="N457">
        <v>2005.366</v>
      </c>
      <c r="O457">
        <v>2.5</v>
      </c>
      <c r="P457">
        <v>0</v>
      </c>
      <c r="Q457">
        <v>0</v>
      </c>
      <c r="U457" s="221" t="s">
        <v>74</v>
      </c>
      <c r="V457">
        <v>421.31823000000003</v>
      </c>
      <c r="W457">
        <v>714.91015000000004</v>
      </c>
      <c r="X457">
        <v>688.89458000000002</v>
      </c>
      <c r="Y457">
        <v>352.42705000000001</v>
      </c>
      <c r="Z457">
        <v>330.56493999999998</v>
      </c>
      <c r="AA457">
        <v>360.17493000000002</v>
      </c>
      <c r="AB457">
        <v>62.354140000000001</v>
      </c>
      <c r="AC457">
        <v>6.5</v>
      </c>
      <c r="AD457">
        <v>53.539990000000003</v>
      </c>
      <c r="AE457">
        <v>0</v>
      </c>
    </row>
    <row r="458" spans="1:34">
      <c r="A458" s="217" t="s">
        <v>72</v>
      </c>
      <c r="B458" s="216" t="str">
        <f t="shared" si="7"/>
        <v>May-22</v>
      </c>
      <c r="C458" s="217">
        <v>44682</v>
      </c>
      <c r="D458">
        <v>2257.5150399999998</v>
      </c>
      <c r="E458">
        <v>229.43553</v>
      </c>
      <c r="F458">
        <v>257.66372999999999</v>
      </c>
      <c r="G458">
        <v>535.45654000000002</v>
      </c>
      <c r="H458">
        <v>190.60826</v>
      </c>
      <c r="I458">
        <v>192.95527999999999</v>
      </c>
      <c r="J458">
        <v>316.46946000000003</v>
      </c>
      <c r="K458">
        <v>4.6133300000000004</v>
      </c>
      <c r="L458">
        <v>374.78492</v>
      </c>
      <c r="M458">
        <v>155.52798999999999</v>
      </c>
      <c r="N458">
        <v>0</v>
      </c>
      <c r="O458">
        <v>0</v>
      </c>
      <c r="P458">
        <v>0</v>
      </c>
      <c r="Q458">
        <v>0</v>
      </c>
      <c r="U458" s="221" t="s">
        <v>75</v>
      </c>
      <c r="V458">
        <v>2270.0831600000001</v>
      </c>
      <c r="W458">
        <v>2952.3240099999998</v>
      </c>
      <c r="X458">
        <v>2131.8187699999999</v>
      </c>
      <c r="Y458">
        <v>1979.05152</v>
      </c>
      <c r="Z458">
        <v>1628.00261</v>
      </c>
      <c r="AA458">
        <v>2120.8253100000002</v>
      </c>
      <c r="AB458">
        <v>544.80101999999999</v>
      </c>
      <c r="AC458">
        <v>956.70387000000005</v>
      </c>
      <c r="AD458">
        <v>2487.8253100000002</v>
      </c>
      <c r="AE458">
        <v>522.04935999999998</v>
      </c>
    </row>
    <row r="459" spans="1:34">
      <c r="A459" s="217" t="s">
        <v>72</v>
      </c>
      <c r="B459" s="216" t="str">
        <f t="shared" si="7"/>
        <v>Jun-22</v>
      </c>
      <c r="C459" s="217">
        <v>44713</v>
      </c>
      <c r="D459">
        <v>2255.8584999999998</v>
      </c>
      <c r="E459">
        <v>228.19552999999999</v>
      </c>
      <c r="F459">
        <v>255.59386000000001</v>
      </c>
      <c r="G459">
        <v>533.44054000000006</v>
      </c>
      <c r="H459">
        <v>192.82693</v>
      </c>
      <c r="I459">
        <v>191.55528000000001</v>
      </c>
      <c r="J459">
        <v>317.46946000000003</v>
      </c>
      <c r="K459">
        <v>4.6133300000000004</v>
      </c>
      <c r="L459">
        <v>375.53557999999998</v>
      </c>
      <c r="M459">
        <v>156.62799000000001</v>
      </c>
      <c r="N459">
        <v>0</v>
      </c>
      <c r="O459">
        <v>0</v>
      </c>
      <c r="P459">
        <v>0</v>
      </c>
      <c r="Q459">
        <v>0</v>
      </c>
      <c r="U459" s="221" t="s">
        <v>76</v>
      </c>
      <c r="V459">
        <v>1037.9340199999999</v>
      </c>
      <c r="W459">
        <v>1265.1195299999999</v>
      </c>
      <c r="X459">
        <v>1038.9598800000001</v>
      </c>
      <c r="Y459">
        <v>1097.43643</v>
      </c>
      <c r="Z459">
        <v>751.86437999999998</v>
      </c>
      <c r="AA459">
        <v>1037.34916</v>
      </c>
      <c r="AB459">
        <v>162.70669000000001</v>
      </c>
      <c r="AC459">
        <v>0.66666999999999998</v>
      </c>
      <c r="AD459">
        <v>333.78528999999997</v>
      </c>
      <c r="AE459">
        <v>58.626660000000001</v>
      </c>
    </row>
    <row r="460" spans="1:34">
      <c r="A460" s="217" t="s">
        <v>72</v>
      </c>
      <c r="B460" s="216" t="str">
        <f t="shared" si="7"/>
        <v>Jul-22</v>
      </c>
      <c r="C460" s="217">
        <v>44743</v>
      </c>
      <c r="D460">
        <v>2269.3011700000002</v>
      </c>
      <c r="E460">
        <v>226.95553000000001</v>
      </c>
      <c r="F460">
        <v>255.26052999999999</v>
      </c>
      <c r="G460">
        <v>533.58721000000003</v>
      </c>
      <c r="H460">
        <v>194.49493000000001</v>
      </c>
      <c r="I460">
        <v>189.55528000000001</v>
      </c>
      <c r="J460">
        <v>320.66946000000002</v>
      </c>
      <c r="K460">
        <v>4.6133300000000004</v>
      </c>
      <c r="L460">
        <v>387.13558</v>
      </c>
      <c r="M460">
        <v>157.02932000000001</v>
      </c>
      <c r="N460">
        <v>0</v>
      </c>
      <c r="O460">
        <v>0</v>
      </c>
      <c r="P460">
        <v>0</v>
      </c>
      <c r="Q460">
        <v>0</v>
      </c>
      <c r="U460" s="221" t="s">
        <v>77</v>
      </c>
      <c r="V460">
        <v>3518.7325999999998</v>
      </c>
      <c r="W460">
        <v>4986.49269</v>
      </c>
      <c r="X460">
        <v>3972.8944000000001</v>
      </c>
      <c r="Y460">
        <v>3301.7368000000001</v>
      </c>
      <c r="Z460">
        <v>2690.3773500000002</v>
      </c>
      <c r="AA460">
        <v>3466.20462</v>
      </c>
      <c r="AB460">
        <v>536.28697</v>
      </c>
      <c r="AC460">
        <v>63.03998</v>
      </c>
      <c r="AD460">
        <v>187.32</v>
      </c>
      <c r="AE460">
        <v>164.12003000000001</v>
      </c>
    </row>
    <row r="461" spans="1:34">
      <c r="A461" t="s">
        <v>74</v>
      </c>
      <c r="B461" s="216" t="str">
        <f t="shared" si="7"/>
        <v>May-22</v>
      </c>
      <c r="C461" s="217">
        <v>44682</v>
      </c>
      <c r="D461">
        <v>2833.77198</v>
      </c>
      <c r="E461">
        <v>457.26974000000001</v>
      </c>
      <c r="F461">
        <v>689.66101000000003</v>
      </c>
      <c r="G461">
        <v>480.29442999999998</v>
      </c>
      <c r="H461">
        <v>346.45746000000003</v>
      </c>
      <c r="I461">
        <v>340.86559</v>
      </c>
      <c r="J461">
        <v>354.60052000000002</v>
      </c>
      <c r="K461">
        <v>74.587999999999994</v>
      </c>
      <c r="L461">
        <v>9</v>
      </c>
      <c r="M461">
        <v>49.206659999999999</v>
      </c>
      <c r="N461">
        <v>3</v>
      </c>
      <c r="O461">
        <v>28.828569999999996</v>
      </c>
      <c r="P461">
        <v>0</v>
      </c>
      <c r="Q461">
        <v>0</v>
      </c>
      <c r="U461" s="221" t="s">
        <v>78</v>
      </c>
      <c r="V461">
        <v>1005.22923</v>
      </c>
      <c r="W461">
        <v>1344.5854899999999</v>
      </c>
      <c r="X461">
        <v>1357.20793</v>
      </c>
      <c r="Y461">
        <v>960.19114000000002</v>
      </c>
      <c r="Z461">
        <v>688.56786</v>
      </c>
      <c r="AA461">
        <v>1024.3403699999999</v>
      </c>
      <c r="AB461">
        <v>37.23057</v>
      </c>
      <c r="AC461">
        <v>92.420829999999995</v>
      </c>
      <c r="AD461">
        <v>535.64804000000004</v>
      </c>
      <c r="AE461">
        <v>1</v>
      </c>
    </row>
    <row r="462" spans="1:34">
      <c r="A462" t="s">
        <v>74</v>
      </c>
      <c r="B462" s="216" t="str">
        <f t="shared" si="7"/>
        <v>Jun-22</v>
      </c>
      <c r="C462" s="217">
        <v>44713</v>
      </c>
      <c r="D462">
        <v>2831.7344099999996</v>
      </c>
      <c r="E462">
        <v>455.11041</v>
      </c>
      <c r="F462">
        <v>689.25435000000004</v>
      </c>
      <c r="G462">
        <v>484.74856</v>
      </c>
      <c r="H462">
        <v>340.75745999999998</v>
      </c>
      <c r="I462">
        <v>342.78559000000001</v>
      </c>
      <c r="J462">
        <v>354.84052000000003</v>
      </c>
      <c r="K462">
        <v>72.888000000000005</v>
      </c>
      <c r="L462">
        <v>8</v>
      </c>
      <c r="M462">
        <v>51.606659999999998</v>
      </c>
      <c r="N462">
        <v>3</v>
      </c>
      <c r="O462">
        <v>28.742859999999993</v>
      </c>
      <c r="P462">
        <v>0</v>
      </c>
      <c r="Q462">
        <v>0</v>
      </c>
      <c r="U462" s="7" t="s">
        <v>124</v>
      </c>
      <c r="V462">
        <v>11347.47241</v>
      </c>
      <c r="W462">
        <v>16009.0568</v>
      </c>
      <c r="X462">
        <v>12929.302759999999</v>
      </c>
      <c r="Y462">
        <v>10926.500979999999</v>
      </c>
      <c r="Z462">
        <v>9070.728079999999</v>
      </c>
      <c r="AA462">
        <v>11704.606360000002</v>
      </c>
      <c r="AB462">
        <v>1865.9380000000003</v>
      </c>
      <c r="AC462">
        <v>1788.5839500000002</v>
      </c>
      <c r="AD462">
        <v>4498.3998299999994</v>
      </c>
      <c r="AE462">
        <v>3698.5429200000003</v>
      </c>
    </row>
    <row r="463" spans="1:34">
      <c r="A463" t="s">
        <v>74</v>
      </c>
      <c r="B463" s="216" t="str">
        <f t="shared" si="7"/>
        <v>Jul-22</v>
      </c>
      <c r="C463" s="217">
        <v>44743</v>
      </c>
      <c r="D463">
        <v>2835.6261899999995</v>
      </c>
      <c r="E463">
        <v>471.20884999999998</v>
      </c>
      <c r="F463">
        <v>681.01435000000004</v>
      </c>
      <c r="G463">
        <v>483.92189000000002</v>
      </c>
      <c r="H463">
        <v>340.46413000000001</v>
      </c>
      <c r="I463">
        <v>338.78559999999999</v>
      </c>
      <c r="J463">
        <v>352.89384999999999</v>
      </c>
      <c r="K463">
        <v>72.988</v>
      </c>
      <c r="L463">
        <v>9</v>
      </c>
      <c r="M463">
        <v>53.606659999999998</v>
      </c>
      <c r="N463">
        <v>3</v>
      </c>
      <c r="O463">
        <v>28.742859999999993</v>
      </c>
      <c r="P463">
        <v>0</v>
      </c>
      <c r="Q463">
        <v>0</v>
      </c>
      <c r="U463" s="221" t="s">
        <v>71</v>
      </c>
      <c r="V463">
        <v>2224.1300999999999</v>
      </c>
      <c r="W463">
        <v>3304.7491100000002</v>
      </c>
      <c r="X463">
        <v>2577.2043399999998</v>
      </c>
      <c r="Y463">
        <v>2002.62429</v>
      </c>
      <c r="Z463">
        <v>1925.48342</v>
      </c>
      <c r="AA463">
        <v>2369.92355</v>
      </c>
      <c r="AB463">
        <v>338.25281000000001</v>
      </c>
      <c r="AC463">
        <v>298.45010000000002</v>
      </c>
      <c r="AD463">
        <v>357.04</v>
      </c>
      <c r="AE463">
        <v>1799.3875599999999</v>
      </c>
    </row>
    <row r="464" spans="1:34">
      <c r="A464" t="s">
        <v>75</v>
      </c>
      <c r="B464" s="216" t="str">
        <f t="shared" si="7"/>
        <v>May-22</v>
      </c>
      <c r="C464" s="217">
        <v>44682</v>
      </c>
      <c r="D464">
        <v>19366.292119999998</v>
      </c>
      <c r="E464">
        <v>2639.7970500000001</v>
      </c>
      <c r="F464">
        <v>3384.1148899999998</v>
      </c>
      <c r="G464">
        <v>2536.10572</v>
      </c>
      <c r="H464">
        <v>2242.1647600000001</v>
      </c>
      <c r="I464">
        <v>2019.4278999999999</v>
      </c>
      <c r="J464">
        <v>2383.3898300000001</v>
      </c>
      <c r="K464">
        <v>662.93170999999995</v>
      </c>
      <c r="L464">
        <v>1167.3921499999999</v>
      </c>
      <c r="M464">
        <v>504.26531999999997</v>
      </c>
      <c r="N464">
        <v>587.94233999999994</v>
      </c>
      <c r="O464">
        <v>266.28045000000003</v>
      </c>
      <c r="P464">
        <v>972.48</v>
      </c>
      <c r="Q464">
        <v>0</v>
      </c>
      <c r="U464" s="221" t="s">
        <v>69</v>
      </c>
      <c r="V464">
        <v>782.85469999999998</v>
      </c>
      <c r="W464">
        <v>964.30668000000003</v>
      </c>
      <c r="X464">
        <v>856.70919000000004</v>
      </c>
      <c r="Y464">
        <v>647.01544999999999</v>
      </c>
      <c r="Z464">
        <v>580.23081000000002</v>
      </c>
      <c r="AA464">
        <v>799.46464000000003</v>
      </c>
      <c r="AB464">
        <v>134.36588</v>
      </c>
      <c r="AC464">
        <v>62.57414</v>
      </c>
      <c r="AD464">
        <v>121.50224</v>
      </c>
      <c r="AE464">
        <v>1128.3081099999999</v>
      </c>
    </row>
    <row r="465" spans="1:31">
      <c r="A465" t="s">
        <v>75</v>
      </c>
      <c r="B465" s="216" t="str">
        <f t="shared" si="7"/>
        <v>Jun-22</v>
      </c>
      <c r="C465" s="217">
        <v>44713</v>
      </c>
      <c r="D465">
        <v>19401.700389999995</v>
      </c>
      <c r="E465">
        <v>2657.9105800000002</v>
      </c>
      <c r="F465">
        <v>3404.22001</v>
      </c>
      <c r="G465">
        <v>2512.9177100000002</v>
      </c>
      <c r="H465">
        <v>2228.74476</v>
      </c>
      <c r="I465">
        <v>2038.09456</v>
      </c>
      <c r="J465">
        <v>2397.5498299999999</v>
      </c>
      <c r="K465">
        <v>662.24504999999999</v>
      </c>
      <c r="L465">
        <v>1167.2897700000001</v>
      </c>
      <c r="M465">
        <v>503.75200000000001</v>
      </c>
      <c r="N465">
        <v>589.03566999999998</v>
      </c>
      <c r="O465">
        <v>270.28044999999997</v>
      </c>
      <c r="P465">
        <v>969.66</v>
      </c>
      <c r="Q465">
        <v>0</v>
      </c>
      <c r="U465" s="221" t="s">
        <v>72</v>
      </c>
      <c r="V465">
        <v>231.05555000000001</v>
      </c>
      <c r="W465">
        <v>259.54750000000001</v>
      </c>
      <c r="X465">
        <v>462.88348000000002</v>
      </c>
      <c r="Y465">
        <v>209.77761000000001</v>
      </c>
      <c r="Z465">
        <v>177.5462</v>
      </c>
      <c r="AA465">
        <v>303.18943999999999</v>
      </c>
      <c r="AB465">
        <v>4</v>
      </c>
      <c r="AC465">
        <v>256.89812999999998</v>
      </c>
      <c r="AD465">
        <v>139.65333000000001</v>
      </c>
      <c r="AE465">
        <v>0</v>
      </c>
    </row>
    <row r="466" spans="1:31">
      <c r="A466" t="s">
        <v>75</v>
      </c>
      <c r="B466" s="216" t="str">
        <f t="shared" si="7"/>
        <v>Jul-22</v>
      </c>
      <c r="C466" s="217">
        <v>44743</v>
      </c>
      <c r="D466">
        <v>19454.288639999995</v>
      </c>
      <c r="E466">
        <v>2711.19058</v>
      </c>
      <c r="F466">
        <v>3403.22001</v>
      </c>
      <c r="G466">
        <v>2512.3795700000001</v>
      </c>
      <c r="H466">
        <v>2211.55141</v>
      </c>
      <c r="I466">
        <v>2044.10121</v>
      </c>
      <c r="J466">
        <v>2387.0175199999999</v>
      </c>
      <c r="K466">
        <v>658.87171000000001</v>
      </c>
      <c r="L466">
        <v>1180.1097600000001</v>
      </c>
      <c r="M466">
        <v>506.36266000000001</v>
      </c>
      <c r="N466">
        <v>585.46232999999995</v>
      </c>
      <c r="O466">
        <v>283.85188000000005</v>
      </c>
      <c r="P466">
        <v>970.17</v>
      </c>
      <c r="Q466">
        <v>0</v>
      </c>
      <c r="U466" s="221" t="s">
        <v>73</v>
      </c>
      <c r="V466">
        <v>1</v>
      </c>
      <c r="W466">
        <v>97.76</v>
      </c>
      <c r="X466">
        <v>23.53331</v>
      </c>
      <c r="Y466">
        <v>113.84</v>
      </c>
      <c r="Z466">
        <v>6.1333299999999999</v>
      </c>
      <c r="AA466">
        <v>42.813330000000001</v>
      </c>
      <c r="AB466">
        <v>4.4000000000000004</v>
      </c>
      <c r="AC466">
        <v>0</v>
      </c>
      <c r="AD466">
        <v>1.41333</v>
      </c>
      <c r="AE466">
        <v>0</v>
      </c>
    </row>
    <row r="467" spans="1:31">
      <c r="A467" t="s">
        <v>76</v>
      </c>
      <c r="B467" s="216" t="str">
        <f t="shared" si="7"/>
        <v>May-22</v>
      </c>
      <c r="C467" s="217">
        <v>44682</v>
      </c>
      <c r="D467">
        <v>6663.80584</v>
      </c>
      <c r="E467">
        <v>976.17305999999996</v>
      </c>
      <c r="F467">
        <v>1298.3933400000001</v>
      </c>
      <c r="G467">
        <v>1150.1221700000001</v>
      </c>
      <c r="H467">
        <v>1082.75505</v>
      </c>
      <c r="I467">
        <v>859.38043000000005</v>
      </c>
      <c r="J467">
        <v>999.46472000000006</v>
      </c>
      <c r="K467">
        <v>179.97338999999999</v>
      </c>
      <c r="L467">
        <v>0.66666999999999998</v>
      </c>
      <c r="M467">
        <v>57.090359999999997</v>
      </c>
      <c r="N467">
        <v>59.786650000000002</v>
      </c>
      <c r="O467">
        <v>0</v>
      </c>
      <c r="P467">
        <v>0</v>
      </c>
      <c r="Q467">
        <v>0</v>
      </c>
      <c r="U467" s="221" t="s">
        <v>74</v>
      </c>
      <c r="V467">
        <v>462.54969999999997</v>
      </c>
      <c r="W467">
        <v>747.91650000000004</v>
      </c>
      <c r="X467">
        <v>658.12336000000005</v>
      </c>
      <c r="Y467">
        <v>381.12947000000003</v>
      </c>
      <c r="Z467">
        <v>336.72924999999998</v>
      </c>
      <c r="AA467">
        <v>384.64933000000002</v>
      </c>
      <c r="AB467">
        <v>71.662670000000006</v>
      </c>
      <c r="AC467">
        <v>8.5</v>
      </c>
      <c r="AD467">
        <v>67.026660000000007</v>
      </c>
      <c r="AE467">
        <v>1</v>
      </c>
    </row>
    <row r="468" spans="1:31">
      <c r="A468" t="s">
        <v>76</v>
      </c>
      <c r="B468" s="216" t="str">
        <f t="shared" si="7"/>
        <v>Jun-22</v>
      </c>
      <c r="C468" s="217">
        <v>44713</v>
      </c>
      <c r="D468">
        <v>6666.1020699999999</v>
      </c>
      <c r="E468">
        <v>972.42960000000005</v>
      </c>
      <c r="F468">
        <v>1303.6997100000001</v>
      </c>
      <c r="G468">
        <v>1159.76217</v>
      </c>
      <c r="H468">
        <v>1078.5550499999999</v>
      </c>
      <c r="I468">
        <v>856.72042999999996</v>
      </c>
      <c r="J468">
        <v>997.08470999999997</v>
      </c>
      <c r="K468">
        <v>181.24005</v>
      </c>
      <c r="L468">
        <v>0.66666999999999998</v>
      </c>
      <c r="M468">
        <v>56.157029999999999</v>
      </c>
      <c r="N468">
        <v>59.786650000000002</v>
      </c>
      <c r="O468">
        <v>0</v>
      </c>
      <c r="P468">
        <v>0</v>
      </c>
      <c r="Q468">
        <v>0</v>
      </c>
      <c r="U468" s="221" t="s">
        <v>75</v>
      </c>
      <c r="V468">
        <v>2354.8573000000001</v>
      </c>
      <c r="W468">
        <v>3013.0812000000001</v>
      </c>
      <c r="X468">
        <v>2075.1499800000001</v>
      </c>
      <c r="Y468">
        <v>2120.8481200000001</v>
      </c>
      <c r="Z468">
        <v>1695.40924</v>
      </c>
      <c r="AA468">
        <v>2155.4272799999999</v>
      </c>
      <c r="AB468">
        <v>561.36216000000002</v>
      </c>
      <c r="AC468">
        <v>1003.67827</v>
      </c>
      <c r="AD468">
        <v>2623.39275</v>
      </c>
      <c r="AE468">
        <v>541.65390000000002</v>
      </c>
    </row>
    <row r="469" spans="1:31">
      <c r="A469" t="s">
        <v>76</v>
      </c>
      <c r="B469" s="216" t="str">
        <f t="shared" si="7"/>
        <v>Jul-22</v>
      </c>
      <c r="C469" s="217">
        <v>44743</v>
      </c>
      <c r="D469">
        <v>6635.19391</v>
      </c>
      <c r="E469">
        <v>968.44947000000002</v>
      </c>
      <c r="F469">
        <v>1310.3117199999999</v>
      </c>
      <c r="G469">
        <v>1152.1554799999999</v>
      </c>
      <c r="H469">
        <v>1068.76837</v>
      </c>
      <c r="I469">
        <v>842.06709999999998</v>
      </c>
      <c r="J469">
        <v>996.19137000000001</v>
      </c>
      <c r="K469">
        <v>179.45338000000001</v>
      </c>
      <c r="L469">
        <v>0.66666999999999998</v>
      </c>
      <c r="M469">
        <v>55.397030000000001</v>
      </c>
      <c r="N469">
        <v>61.733319999999999</v>
      </c>
      <c r="O469">
        <v>0</v>
      </c>
      <c r="P469">
        <v>0</v>
      </c>
      <c r="Q469">
        <v>0</v>
      </c>
      <c r="U469" s="221" t="s">
        <v>76</v>
      </c>
      <c r="V469">
        <v>984.97536000000002</v>
      </c>
      <c r="W469">
        <v>1289.78647</v>
      </c>
      <c r="X469">
        <v>1068.0233499999999</v>
      </c>
      <c r="Y469">
        <v>1101.69787</v>
      </c>
      <c r="Z469">
        <v>924.86587999999995</v>
      </c>
      <c r="AA469">
        <v>1085.6365000000001</v>
      </c>
      <c r="AB469">
        <v>159.33336</v>
      </c>
      <c r="AC469">
        <v>0.66666999999999998</v>
      </c>
      <c r="AD469">
        <v>353.35196999999999</v>
      </c>
      <c r="AE469">
        <v>58.626660000000001</v>
      </c>
    </row>
    <row r="470" spans="1:31">
      <c r="A470" t="s">
        <v>77</v>
      </c>
      <c r="B470" s="216" t="str">
        <f t="shared" si="7"/>
        <v>May-22</v>
      </c>
      <c r="C470" s="217">
        <v>44682</v>
      </c>
      <c r="D470">
        <v>24129.781010000002</v>
      </c>
      <c r="E470">
        <v>3724.7878700000001</v>
      </c>
      <c r="F470">
        <v>5260.6822099999999</v>
      </c>
      <c r="G470">
        <v>4170.0074500000001</v>
      </c>
      <c r="H470">
        <v>3553.98459</v>
      </c>
      <c r="I470">
        <v>2815.4956999999999</v>
      </c>
      <c r="J470">
        <v>3540.81439</v>
      </c>
      <c r="K470">
        <v>558.37147000000004</v>
      </c>
      <c r="L470">
        <v>84.233320000000006</v>
      </c>
      <c r="M470">
        <v>207.74666999999999</v>
      </c>
      <c r="N470">
        <v>204.25734</v>
      </c>
      <c r="O470">
        <v>9.4</v>
      </c>
      <c r="P470">
        <v>0</v>
      </c>
      <c r="Q470">
        <v>0</v>
      </c>
      <c r="U470" s="221" t="s">
        <v>77</v>
      </c>
      <c r="V470">
        <v>3285.7497899999998</v>
      </c>
      <c r="W470">
        <v>5014.0005700000002</v>
      </c>
      <c r="X470">
        <v>3864.4663300000002</v>
      </c>
      <c r="Y470">
        <v>3398.50342</v>
      </c>
      <c r="Z470">
        <v>2778.04054</v>
      </c>
      <c r="AA470">
        <v>3548.1170900000002</v>
      </c>
      <c r="AB470">
        <v>557.51629000000003</v>
      </c>
      <c r="AC470">
        <v>64.166640000000001</v>
      </c>
      <c r="AD470">
        <v>195.85333</v>
      </c>
      <c r="AE470">
        <v>168.56668999999999</v>
      </c>
    </row>
    <row r="471" spans="1:31">
      <c r="A471" t="s">
        <v>77</v>
      </c>
      <c r="B471" s="216" t="str">
        <f t="shared" si="7"/>
        <v>Jun-22</v>
      </c>
      <c r="C471" s="217">
        <v>44713</v>
      </c>
      <c r="D471">
        <v>24104.929050000002</v>
      </c>
      <c r="E471">
        <v>3727.65427</v>
      </c>
      <c r="F471">
        <v>5262.5689000000002</v>
      </c>
      <c r="G471">
        <v>4165.5263699999996</v>
      </c>
      <c r="H471">
        <v>3546.6046000000001</v>
      </c>
      <c r="I471">
        <v>2813.85997</v>
      </c>
      <c r="J471">
        <v>3532.8127899999999</v>
      </c>
      <c r="K471">
        <v>553.39148</v>
      </c>
      <c r="L471">
        <v>85.83999</v>
      </c>
      <c r="M471">
        <v>209.08667</v>
      </c>
      <c r="N471">
        <v>199.18401</v>
      </c>
      <c r="O471">
        <v>8.4</v>
      </c>
      <c r="P471">
        <v>0</v>
      </c>
      <c r="Q471">
        <v>0</v>
      </c>
      <c r="U471" s="221" t="s">
        <v>78</v>
      </c>
      <c r="V471">
        <v>1020.29991</v>
      </c>
      <c r="W471">
        <v>1317.90877</v>
      </c>
      <c r="X471">
        <v>1343.2094199999999</v>
      </c>
      <c r="Y471">
        <v>951.06475</v>
      </c>
      <c r="Z471">
        <v>646.28940999999998</v>
      </c>
      <c r="AA471">
        <v>1015.3852000000001</v>
      </c>
      <c r="AB471">
        <v>35.044829999999997</v>
      </c>
      <c r="AC471">
        <v>93.65</v>
      </c>
      <c r="AD471">
        <v>639.16621999999995</v>
      </c>
      <c r="AE471">
        <v>1</v>
      </c>
    </row>
    <row r="472" spans="1:31">
      <c r="A472" t="s">
        <v>77</v>
      </c>
      <c r="B472" s="216" t="str">
        <f t="shared" si="7"/>
        <v>Jul-22</v>
      </c>
      <c r="C472" s="217">
        <v>44743</v>
      </c>
      <c r="D472">
        <v>24162.794070000004</v>
      </c>
      <c r="E472">
        <v>3778.0529000000001</v>
      </c>
      <c r="F472">
        <v>5261.8489099999997</v>
      </c>
      <c r="G472">
        <v>4199.5762100000002</v>
      </c>
      <c r="H472">
        <v>3518.8443400000001</v>
      </c>
      <c r="I472">
        <v>2800.63465</v>
      </c>
      <c r="J472">
        <v>3540.4482400000002</v>
      </c>
      <c r="K472">
        <v>552.75815</v>
      </c>
      <c r="L472">
        <v>84.639989999999997</v>
      </c>
      <c r="M472">
        <v>213.91334000000001</v>
      </c>
      <c r="N472">
        <v>203.67733999999999</v>
      </c>
      <c r="O472">
        <v>8.4</v>
      </c>
      <c r="P472">
        <v>0</v>
      </c>
      <c r="Q472">
        <v>0</v>
      </c>
      <c r="U472" s="7" t="s">
        <v>125</v>
      </c>
      <c r="V472">
        <v>12336.08056</v>
      </c>
      <c r="W472">
        <v>16418.886440000002</v>
      </c>
      <c r="X472">
        <v>13816.480180000002</v>
      </c>
      <c r="Y472">
        <v>11087.171270000001</v>
      </c>
      <c r="Z472">
        <v>9476.9812999999995</v>
      </c>
      <c r="AA472">
        <v>11698.34023</v>
      </c>
      <c r="AB472">
        <v>1996.7946000000002</v>
      </c>
      <c r="AC472">
        <v>2035.6341600000003</v>
      </c>
      <c r="AD472">
        <v>1441.6386299999999</v>
      </c>
      <c r="AE472">
        <v>3920.3963100000005</v>
      </c>
    </row>
    <row r="473" spans="1:31">
      <c r="A473" t="s">
        <v>78</v>
      </c>
      <c r="B473" s="216" t="str">
        <f t="shared" si="7"/>
        <v>May-22</v>
      </c>
      <c r="C473" s="217">
        <v>44682</v>
      </c>
      <c r="D473">
        <v>5161.8473700000004</v>
      </c>
      <c r="E473">
        <v>733.52260000000001</v>
      </c>
      <c r="F473">
        <v>1128.0102400000001</v>
      </c>
      <c r="G473">
        <v>932.48599000000002</v>
      </c>
      <c r="H473">
        <v>738.28318000000002</v>
      </c>
      <c r="I473">
        <v>606.87536</v>
      </c>
      <c r="J473">
        <v>770.70424000000003</v>
      </c>
      <c r="K473">
        <v>29.653449999999999</v>
      </c>
      <c r="L473">
        <v>99.531819999999996</v>
      </c>
      <c r="M473">
        <v>73.601820000000004</v>
      </c>
      <c r="N473">
        <v>0.50666999999999995</v>
      </c>
      <c r="O473">
        <v>48.071999999999996</v>
      </c>
      <c r="P473">
        <v>0.6</v>
      </c>
      <c r="Q473">
        <v>0</v>
      </c>
      <c r="U473" s="221" t="s">
        <v>71</v>
      </c>
      <c r="V473">
        <v>2633.3858399999999</v>
      </c>
      <c r="W473">
        <v>3432.5015800000001</v>
      </c>
      <c r="X473">
        <v>2742.8968300000001</v>
      </c>
      <c r="Y473">
        <v>2054.7552900000001</v>
      </c>
      <c r="Z473">
        <v>2068.1721499999999</v>
      </c>
      <c r="AA473">
        <v>2360.1062700000002</v>
      </c>
      <c r="AB473">
        <v>374.9787</v>
      </c>
      <c r="AC473">
        <v>328.25193999999999</v>
      </c>
      <c r="AD473">
        <v>234.90669</v>
      </c>
      <c r="AE473">
        <v>2010.2990400000001</v>
      </c>
    </row>
    <row r="474" spans="1:31">
      <c r="A474" t="s">
        <v>78</v>
      </c>
      <c r="B474" s="216" t="str">
        <f t="shared" si="7"/>
        <v>Jun-22</v>
      </c>
      <c r="C474" s="217">
        <v>44713</v>
      </c>
      <c r="D474">
        <v>5157.5086300000003</v>
      </c>
      <c r="E474">
        <v>732.92926</v>
      </c>
      <c r="F474">
        <v>1123.9468999999999</v>
      </c>
      <c r="G474">
        <v>925.13598999999999</v>
      </c>
      <c r="H474">
        <v>736.48317999999995</v>
      </c>
      <c r="I474">
        <v>613.66627000000005</v>
      </c>
      <c r="J474">
        <v>774.57376999999997</v>
      </c>
      <c r="K474">
        <v>28.915949999999999</v>
      </c>
      <c r="L474">
        <v>99.231819999999999</v>
      </c>
      <c r="M474">
        <v>73.62182</v>
      </c>
      <c r="N474">
        <v>0.50666999999999995</v>
      </c>
      <c r="O474">
        <v>47.896999999999998</v>
      </c>
      <c r="P474">
        <v>0.6</v>
      </c>
      <c r="Q474">
        <v>0</v>
      </c>
      <c r="U474" s="221" t="s">
        <v>69</v>
      </c>
      <c r="V474">
        <v>809.54192</v>
      </c>
      <c r="W474">
        <v>1084.2771</v>
      </c>
      <c r="X474">
        <v>1296.2727600000001</v>
      </c>
      <c r="Y474">
        <v>724.62929999999994</v>
      </c>
      <c r="Z474">
        <v>645.40250000000003</v>
      </c>
      <c r="AA474">
        <v>859.30574000000001</v>
      </c>
      <c r="AB474">
        <v>135.36561</v>
      </c>
      <c r="AC474">
        <v>68.834130000000002</v>
      </c>
      <c r="AD474">
        <v>131.78304</v>
      </c>
      <c r="AE474">
        <v>1073.95757</v>
      </c>
    </row>
    <row r="475" spans="1:31">
      <c r="A475" t="s">
        <v>78</v>
      </c>
      <c r="B475" s="216" t="str">
        <f t="shared" si="7"/>
        <v>Jul-22</v>
      </c>
      <c r="C475" s="217">
        <v>44743</v>
      </c>
      <c r="D475">
        <v>5150.5536900000006</v>
      </c>
      <c r="E475">
        <v>770.36793</v>
      </c>
      <c r="F475">
        <v>1097.5269000000001</v>
      </c>
      <c r="G475">
        <v>922.80822000000001</v>
      </c>
      <c r="H475">
        <v>736.51651000000004</v>
      </c>
      <c r="I475">
        <v>608.52626999999995</v>
      </c>
      <c r="J475">
        <v>764.00959999999998</v>
      </c>
      <c r="K475">
        <v>28.915949999999999</v>
      </c>
      <c r="L475">
        <v>98.931820000000002</v>
      </c>
      <c r="M475">
        <v>73.62182</v>
      </c>
      <c r="N475">
        <v>0.50666999999999995</v>
      </c>
      <c r="O475">
        <v>48.222000000000001</v>
      </c>
      <c r="P475">
        <v>0.6</v>
      </c>
      <c r="Q475">
        <v>0</v>
      </c>
      <c r="U475" s="221" t="s">
        <v>72</v>
      </c>
      <c r="V475">
        <v>225.09553</v>
      </c>
      <c r="W475">
        <v>267.32080000000002</v>
      </c>
      <c r="X475">
        <v>510.86905999999999</v>
      </c>
      <c r="Y475">
        <v>192.91093000000001</v>
      </c>
      <c r="Z475">
        <v>191.49528000000001</v>
      </c>
      <c r="AA475">
        <v>315.57612</v>
      </c>
      <c r="AB475">
        <v>4</v>
      </c>
      <c r="AC475">
        <v>360.08159000000001</v>
      </c>
      <c r="AD475">
        <v>150.75333000000001</v>
      </c>
      <c r="AE475">
        <v>0</v>
      </c>
    </row>
    <row r="476" spans="1:31">
      <c r="A476" s="217" t="s">
        <v>73</v>
      </c>
      <c r="B476" s="216" t="str">
        <f t="shared" si="7"/>
        <v>May-22</v>
      </c>
      <c r="C476" s="217">
        <v>44682</v>
      </c>
      <c r="D476">
        <v>112.76664000000001</v>
      </c>
      <c r="E476">
        <v>11.5</v>
      </c>
      <c r="F476">
        <v>26.1</v>
      </c>
      <c r="G476">
        <v>38.566650000000003</v>
      </c>
      <c r="H476">
        <v>32.533340000000003</v>
      </c>
      <c r="I476">
        <v>1</v>
      </c>
      <c r="J476">
        <v>0</v>
      </c>
      <c r="K476">
        <v>0</v>
      </c>
      <c r="L476">
        <v>0</v>
      </c>
      <c r="M476">
        <v>3.0666500000000001</v>
      </c>
      <c r="N476">
        <v>0</v>
      </c>
      <c r="O476">
        <v>0</v>
      </c>
      <c r="P476">
        <v>0</v>
      </c>
      <c r="Q476">
        <v>0</v>
      </c>
      <c r="U476" s="221" t="s">
        <v>73</v>
      </c>
      <c r="V476">
        <v>6.5</v>
      </c>
      <c r="W476">
        <v>55.9</v>
      </c>
      <c r="X476">
        <v>35.67998</v>
      </c>
      <c r="Y476">
        <v>21</v>
      </c>
      <c r="Z476">
        <v>1</v>
      </c>
      <c r="AA476">
        <v>0</v>
      </c>
      <c r="AB476">
        <v>0</v>
      </c>
      <c r="AC476">
        <v>0</v>
      </c>
      <c r="AD476">
        <v>3.0666500000000001</v>
      </c>
      <c r="AE476">
        <v>0</v>
      </c>
    </row>
    <row r="477" spans="1:31">
      <c r="A477" s="217" t="s">
        <v>73</v>
      </c>
      <c r="B477" s="216" t="str">
        <f t="shared" si="7"/>
        <v>Jun-22</v>
      </c>
      <c r="C477" s="217">
        <v>44713</v>
      </c>
      <c r="D477">
        <v>126.56664000000001</v>
      </c>
      <c r="E477">
        <v>11.5</v>
      </c>
      <c r="F477">
        <v>23.5</v>
      </c>
      <c r="G477">
        <v>37.566650000000003</v>
      </c>
      <c r="H477">
        <v>49.933340000000001</v>
      </c>
      <c r="I477">
        <v>1</v>
      </c>
      <c r="J477">
        <v>0</v>
      </c>
      <c r="K477">
        <v>0</v>
      </c>
      <c r="L477">
        <v>0</v>
      </c>
      <c r="M477">
        <v>3.0666500000000001</v>
      </c>
      <c r="N477">
        <v>0</v>
      </c>
      <c r="O477">
        <v>0</v>
      </c>
      <c r="P477">
        <v>0</v>
      </c>
      <c r="Q477">
        <v>0</v>
      </c>
      <c r="U477" s="221" t="s">
        <v>74</v>
      </c>
      <c r="V477">
        <v>444.95301000000001</v>
      </c>
      <c r="W477">
        <v>663.64874999999995</v>
      </c>
      <c r="X477">
        <v>467.48201999999998</v>
      </c>
      <c r="Y477">
        <v>350.21746000000002</v>
      </c>
      <c r="Z477">
        <v>314.74984999999998</v>
      </c>
      <c r="AA477">
        <v>349.87734</v>
      </c>
      <c r="AB477">
        <v>72.289330000000007</v>
      </c>
      <c r="AC477">
        <v>11.5</v>
      </c>
      <c r="AD477">
        <v>51.406660000000002</v>
      </c>
      <c r="AE477">
        <v>3</v>
      </c>
    </row>
    <row r="478" spans="1:31">
      <c r="A478" s="217" t="s">
        <v>73</v>
      </c>
      <c r="B478" s="216" t="str">
        <f t="shared" si="7"/>
        <v>Jul-22</v>
      </c>
      <c r="C478" s="217">
        <v>44743</v>
      </c>
      <c r="D478">
        <v>139.36664000000002</v>
      </c>
      <c r="E478">
        <v>9.5</v>
      </c>
      <c r="F478">
        <v>23.5</v>
      </c>
      <c r="G478">
        <v>33.566650000000003</v>
      </c>
      <c r="H478">
        <v>68.733339999999998</v>
      </c>
      <c r="I478">
        <v>1</v>
      </c>
      <c r="J478">
        <v>0</v>
      </c>
      <c r="K478">
        <v>0</v>
      </c>
      <c r="L478">
        <v>0</v>
      </c>
      <c r="M478">
        <v>3.0666500000000001</v>
      </c>
      <c r="N478">
        <v>0</v>
      </c>
      <c r="O478">
        <v>0</v>
      </c>
      <c r="P478">
        <v>0</v>
      </c>
      <c r="Q478">
        <v>0</v>
      </c>
      <c r="U478" s="221" t="s">
        <v>75</v>
      </c>
      <c r="V478">
        <v>2533.29945</v>
      </c>
      <c r="W478">
        <v>3220.7850400000002</v>
      </c>
      <c r="X478">
        <v>2440.0937800000002</v>
      </c>
      <c r="Y478">
        <v>2209.90463</v>
      </c>
      <c r="Z478">
        <v>1923.2109499999999</v>
      </c>
      <c r="AA478">
        <v>2313.6513399999999</v>
      </c>
      <c r="AB478">
        <v>637.44136000000003</v>
      </c>
      <c r="AC478">
        <v>1094.46318</v>
      </c>
      <c r="AD478">
        <v>509.48529000000002</v>
      </c>
      <c r="AE478">
        <v>561.04903000000002</v>
      </c>
    </row>
    <row r="479" spans="1:31">
      <c r="U479" s="221" t="s">
        <v>76</v>
      </c>
      <c r="V479">
        <v>984.88265999999999</v>
      </c>
      <c r="W479">
        <v>1221.0151699999999</v>
      </c>
      <c r="X479">
        <v>1091.80747</v>
      </c>
      <c r="Y479">
        <v>1093.2080599999999</v>
      </c>
      <c r="Z479">
        <v>896.10974999999996</v>
      </c>
      <c r="AA479">
        <v>1019.50526</v>
      </c>
      <c r="AB479">
        <v>174.04670999999999</v>
      </c>
      <c r="AC479">
        <v>0.66666999999999998</v>
      </c>
      <c r="AD479">
        <v>57.651969999999999</v>
      </c>
      <c r="AE479">
        <v>61.973320000000001</v>
      </c>
    </row>
    <row r="480" spans="1:31">
      <c r="U480" s="221" t="s">
        <v>77</v>
      </c>
      <c r="V480">
        <v>3819.8183600000002</v>
      </c>
      <c r="W480">
        <v>5259.5622899999998</v>
      </c>
      <c r="X480">
        <v>4126.9390800000001</v>
      </c>
      <c r="Y480">
        <v>3604.4079499999998</v>
      </c>
      <c r="Z480">
        <v>2832.6203399999999</v>
      </c>
      <c r="AA480">
        <v>3580.24746</v>
      </c>
      <c r="AB480">
        <v>564.36269000000004</v>
      </c>
      <c r="AC480">
        <v>76.18665</v>
      </c>
      <c r="AD480">
        <v>203.54</v>
      </c>
      <c r="AE480">
        <v>209.11734999999999</v>
      </c>
    </row>
    <row r="481" spans="21:34">
      <c r="U481" s="221" t="s">
        <v>78</v>
      </c>
      <c r="V481">
        <v>878.60379</v>
      </c>
      <c r="W481">
        <v>1213.87571</v>
      </c>
      <c r="X481">
        <v>1104.4392</v>
      </c>
      <c r="Y481">
        <v>836.13765000000001</v>
      </c>
      <c r="Z481">
        <v>604.22047999999995</v>
      </c>
      <c r="AA481">
        <v>900.07069999999999</v>
      </c>
      <c r="AB481">
        <v>34.310200000000002</v>
      </c>
      <c r="AC481">
        <v>95.65</v>
      </c>
      <c r="AD481">
        <v>99.045000000000002</v>
      </c>
      <c r="AE481">
        <v>1</v>
      </c>
    </row>
    <row r="482" spans="21:34">
      <c r="U482" s="7" t="s">
        <v>126</v>
      </c>
      <c r="V482">
        <v>12413.574690000001</v>
      </c>
      <c r="W482">
        <v>17042.415420000001</v>
      </c>
      <c r="X482">
        <v>14233.696209999998</v>
      </c>
      <c r="Y482">
        <v>11041.925939999999</v>
      </c>
      <c r="Z482">
        <v>9861.6807499999995</v>
      </c>
      <c r="AA482">
        <v>11864.863829999998</v>
      </c>
      <c r="AB482">
        <v>2062.2999100000002</v>
      </c>
      <c r="AC482">
        <v>2021.2982099999999</v>
      </c>
      <c r="AD482">
        <v>1444.7203099999997</v>
      </c>
      <c r="AE482">
        <v>3988.5472200000004</v>
      </c>
      <c r="AF482">
        <v>377.57912999999996</v>
      </c>
      <c r="AG482">
        <v>1023.92</v>
      </c>
      <c r="AH482">
        <v>0</v>
      </c>
    </row>
    <row r="483" spans="21:34">
      <c r="U483" s="221" t="s">
        <v>71</v>
      </c>
      <c r="V483">
        <v>2660.69803</v>
      </c>
      <c r="W483">
        <v>3708.3869199999999</v>
      </c>
      <c r="X483">
        <v>2761.0240899999999</v>
      </c>
      <c r="Y483">
        <v>2061.7134500000002</v>
      </c>
      <c r="Z483">
        <v>2221.0716499999999</v>
      </c>
      <c r="AA483">
        <v>2462.0111700000002</v>
      </c>
      <c r="AB483">
        <v>399.01922999999999</v>
      </c>
      <c r="AC483">
        <v>315.18076000000002</v>
      </c>
      <c r="AD483">
        <v>225.29311999999999</v>
      </c>
      <c r="AE483">
        <v>2022.6654699999999</v>
      </c>
      <c r="AF483">
        <v>2.1</v>
      </c>
      <c r="AG483">
        <v>0</v>
      </c>
      <c r="AH483">
        <v>0</v>
      </c>
    </row>
    <row r="484" spans="21:34">
      <c r="U484" s="221" t="s">
        <v>69</v>
      </c>
      <c r="V484">
        <v>815.84616000000005</v>
      </c>
      <c r="W484">
        <v>1157.7217499999999</v>
      </c>
      <c r="X484">
        <v>1405.53918</v>
      </c>
      <c r="Y484">
        <v>748.60770000000002</v>
      </c>
      <c r="Z484">
        <v>678.11951999999997</v>
      </c>
      <c r="AA484">
        <v>899.71618000000001</v>
      </c>
      <c r="AB484">
        <v>134.38242</v>
      </c>
      <c r="AC484">
        <v>67.760530000000003</v>
      </c>
      <c r="AD484">
        <v>142.61304999999999</v>
      </c>
      <c r="AE484">
        <v>1099.39543</v>
      </c>
      <c r="AF484">
        <v>4.2</v>
      </c>
      <c r="AG484">
        <v>0</v>
      </c>
      <c r="AH484">
        <v>0</v>
      </c>
    </row>
    <row r="485" spans="21:34">
      <c r="U485" s="221" t="s">
        <v>72</v>
      </c>
      <c r="V485">
        <v>226.95553000000001</v>
      </c>
      <c r="W485">
        <v>266.63386000000003</v>
      </c>
      <c r="X485">
        <v>541.22221000000002</v>
      </c>
      <c r="Y485">
        <v>199.83493000000001</v>
      </c>
      <c r="Z485">
        <v>190.97528</v>
      </c>
      <c r="AA485">
        <v>326.73612000000003</v>
      </c>
      <c r="AB485">
        <v>6.6133300000000004</v>
      </c>
      <c r="AC485">
        <v>391.24891000000002</v>
      </c>
      <c r="AD485">
        <v>170.37599</v>
      </c>
      <c r="AE485">
        <v>0</v>
      </c>
      <c r="AF485">
        <v>0</v>
      </c>
      <c r="AG485">
        <v>0</v>
      </c>
      <c r="AH485">
        <v>0</v>
      </c>
    </row>
    <row r="486" spans="21:34">
      <c r="U486" s="221" t="s">
        <v>73</v>
      </c>
      <c r="V486">
        <v>9.5</v>
      </c>
      <c r="W486">
        <v>15.5</v>
      </c>
      <c r="X486">
        <v>25.666650000000001</v>
      </c>
      <c r="Y486">
        <v>81.133340000000004</v>
      </c>
      <c r="Z486">
        <v>1</v>
      </c>
      <c r="AA486">
        <v>0</v>
      </c>
      <c r="AB486">
        <v>0</v>
      </c>
      <c r="AC486">
        <v>0</v>
      </c>
      <c r="AD486">
        <v>3.0666500000000001</v>
      </c>
      <c r="AE486">
        <v>0</v>
      </c>
      <c r="AF486">
        <v>0</v>
      </c>
      <c r="AG486">
        <v>0</v>
      </c>
      <c r="AH486">
        <v>0</v>
      </c>
    </row>
    <row r="487" spans="21:34">
      <c r="U487" s="221" t="s">
        <v>74</v>
      </c>
      <c r="V487">
        <v>473.10885000000002</v>
      </c>
      <c r="W487">
        <v>726.40809000000002</v>
      </c>
      <c r="X487">
        <v>502.34111000000001</v>
      </c>
      <c r="Y487">
        <v>350.79746</v>
      </c>
      <c r="Z487">
        <v>354.69225999999998</v>
      </c>
      <c r="AA487">
        <v>355.68051000000003</v>
      </c>
      <c r="AB487">
        <v>79.828000000000003</v>
      </c>
      <c r="AC487">
        <v>8.5</v>
      </c>
      <c r="AD487">
        <v>55.406660000000002</v>
      </c>
      <c r="AE487">
        <v>3.4</v>
      </c>
      <c r="AF487">
        <v>30.476189999999995</v>
      </c>
      <c r="AG487">
        <v>0</v>
      </c>
      <c r="AH487">
        <v>0</v>
      </c>
    </row>
    <row r="488" spans="21:34">
      <c r="U488" s="221" t="s">
        <v>75</v>
      </c>
      <c r="V488">
        <v>2711.2471599999999</v>
      </c>
      <c r="W488">
        <v>3489.9218099999998</v>
      </c>
      <c r="X488">
        <v>2510.3703</v>
      </c>
      <c r="Y488">
        <v>2212.2827600000001</v>
      </c>
      <c r="Z488">
        <v>2104.9187099999999</v>
      </c>
      <c r="AA488">
        <v>2405.7588999999998</v>
      </c>
      <c r="AB488">
        <v>679.84411999999998</v>
      </c>
      <c r="AC488">
        <v>1063.3513499999999</v>
      </c>
      <c r="AD488">
        <v>507.93597999999997</v>
      </c>
      <c r="AE488">
        <v>604.84898999999996</v>
      </c>
      <c r="AF488">
        <v>286.33094</v>
      </c>
      <c r="AG488">
        <v>1023.92</v>
      </c>
      <c r="AH488">
        <v>0</v>
      </c>
    </row>
    <row r="489" spans="21:34">
      <c r="U489" s="221" t="s">
        <v>76</v>
      </c>
      <c r="V489">
        <v>967.79612999999995</v>
      </c>
      <c r="W489">
        <v>1320.0263500000001</v>
      </c>
      <c r="X489">
        <v>1151.8088499999999</v>
      </c>
      <c r="Y489">
        <v>1073.8617300000001</v>
      </c>
      <c r="Z489">
        <v>822.96708000000001</v>
      </c>
      <c r="AA489">
        <v>990.75562000000002</v>
      </c>
      <c r="AB489">
        <v>171.44004000000001</v>
      </c>
      <c r="AC489">
        <v>0.66666999999999998</v>
      </c>
      <c r="AD489">
        <v>55.683700000000002</v>
      </c>
      <c r="AE489">
        <v>62.813319999999997</v>
      </c>
      <c r="AF489">
        <v>0</v>
      </c>
      <c r="AG489">
        <v>0</v>
      </c>
      <c r="AH489">
        <v>0</v>
      </c>
    </row>
    <row r="490" spans="21:34">
      <c r="U490" s="221" t="s">
        <v>77</v>
      </c>
      <c r="V490">
        <v>3775.3049000000001</v>
      </c>
      <c r="W490">
        <v>5263.3325800000002</v>
      </c>
      <c r="X490">
        <v>4380.6931100000002</v>
      </c>
      <c r="Y490">
        <v>3578.7280599999999</v>
      </c>
      <c r="Z490">
        <v>2877.3373099999999</v>
      </c>
      <c r="AA490">
        <v>3648.3725199999999</v>
      </c>
      <c r="AB490">
        <v>559.26642000000004</v>
      </c>
      <c r="AC490">
        <v>84.239990000000006</v>
      </c>
      <c r="AD490">
        <v>210.61333999999999</v>
      </c>
      <c r="AE490">
        <v>194.91734</v>
      </c>
      <c r="AF490">
        <v>8.4</v>
      </c>
      <c r="AG490">
        <v>0</v>
      </c>
      <c r="AH490">
        <v>0</v>
      </c>
    </row>
    <row r="491" spans="21:34">
      <c r="U491" s="221" t="s">
        <v>78</v>
      </c>
      <c r="V491">
        <v>773.11793</v>
      </c>
      <c r="W491">
        <v>1094.48406</v>
      </c>
      <c r="X491">
        <v>955.03071</v>
      </c>
      <c r="Y491">
        <v>734.96650999999997</v>
      </c>
      <c r="Z491">
        <v>610.59893999999997</v>
      </c>
      <c r="AA491">
        <v>775.83280999999999</v>
      </c>
      <c r="AB491">
        <v>31.90635</v>
      </c>
      <c r="AC491">
        <v>90.35</v>
      </c>
      <c r="AD491">
        <v>73.731819999999999</v>
      </c>
      <c r="AE491">
        <v>0.50666999999999995</v>
      </c>
      <c r="AF491">
        <v>46.07200000000001</v>
      </c>
      <c r="AG491">
        <v>0</v>
      </c>
      <c r="AH491">
        <v>0</v>
      </c>
    </row>
    <row r="492" spans="21:34">
      <c r="U492" s="7" t="s">
        <v>127</v>
      </c>
      <c r="V492">
        <v>11488.816269999999</v>
      </c>
      <c r="W492">
        <v>15531.396769999999</v>
      </c>
      <c r="X492">
        <v>13082.18046</v>
      </c>
      <c r="Y492">
        <v>10392.883540000001</v>
      </c>
      <c r="Z492">
        <v>8585.8437099999992</v>
      </c>
      <c r="AA492">
        <v>11246.29731</v>
      </c>
      <c r="AB492">
        <v>1804.39366</v>
      </c>
      <c r="AC492">
        <v>1683.83087</v>
      </c>
      <c r="AD492">
        <v>4026.6291100000003</v>
      </c>
      <c r="AE492">
        <v>3265.9496099999997</v>
      </c>
    </row>
    <row r="493" spans="21:34">
      <c r="U493" s="221" t="s">
        <v>71</v>
      </c>
      <c r="V493">
        <v>2300.8205400000002</v>
      </c>
      <c r="W493">
        <v>3169.8244500000001</v>
      </c>
      <c r="X493">
        <v>2547.7838200000001</v>
      </c>
      <c r="Y493">
        <v>1922.36258</v>
      </c>
      <c r="Z493">
        <v>1778.9434699999999</v>
      </c>
      <c r="AA493">
        <v>2287.5326599999999</v>
      </c>
      <c r="AB493">
        <v>333.59280000000001</v>
      </c>
      <c r="AC493">
        <v>259.67410000000001</v>
      </c>
      <c r="AD493">
        <v>196.03998999999999</v>
      </c>
      <c r="AE493">
        <v>1455.5153499999999</v>
      </c>
    </row>
    <row r="494" spans="21:34">
      <c r="U494" s="221" t="s">
        <v>69</v>
      </c>
      <c r="V494">
        <v>751.82510000000002</v>
      </c>
      <c r="W494">
        <v>913.70551</v>
      </c>
      <c r="X494">
        <v>870.10676999999998</v>
      </c>
      <c r="Y494">
        <v>607.84717999999998</v>
      </c>
      <c r="Z494">
        <v>555.29795000000001</v>
      </c>
      <c r="AA494">
        <v>758.68840999999998</v>
      </c>
      <c r="AB494">
        <v>125.29761999999999</v>
      </c>
      <c r="AC494">
        <v>63.634140000000002</v>
      </c>
      <c r="AD494">
        <v>114.89503999999999</v>
      </c>
      <c r="AE494">
        <v>1071.7848799999999</v>
      </c>
    </row>
    <row r="495" spans="21:34">
      <c r="U495" s="221" t="s">
        <v>72</v>
      </c>
      <c r="V495">
        <v>222.52221</v>
      </c>
      <c r="W495">
        <v>248.68805</v>
      </c>
      <c r="X495">
        <v>469.93599999999998</v>
      </c>
      <c r="Y495">
        <v>196.64428000000001</v>
      </c>
      <c r="Z495">
        <v>176.79953</v>
      </c>
      <c r="AA495">
        <v>295.77078999999998</v>
      </c>
      <c r="AB495">
        <v>2.7296</v>
      </c>
      <c r="AC495">
        <v>226.10265999999999</v>
      </c>
      <c r="AD495">
        <v>135.35333</v>
      </c>
      <c r="AE495">
        <v>0</v>
      </c>
    </row>
    <row r="496" spans="21:34">
      <c r="U496" s="221" t="s">
        <v>73</v>
      </c>
      <c r="V496">
        <v>6.5</v>
      </c>
      <c r="W496">
        <v>18.36</v>
      </c>
      <c r="X496">
        <v>45.646639999999998</v>
      </c>
      <c r="Y496">
        <v>9.2266600000000007</v>
      </c>
      <c r="Z496">
        <v>7</v>
      </c>
      <c r="AA496">
        <v>3</v>
      </c>
      <c r="AB496">
        <v>0</v>
      </c>
      <c r="AC496">
        <v>0</v>
      </c>
      <c r="AD496">
        <v>0</v>
      </c>
      <c r="AE496">
        <v>0</v>
      </c>
    </row>
    <row r="497" spans="21:31">
      <c r="U497" s="221" t="s">
        <v>74</v>
      </c>
      <c r="V497">
        <v>416.39156000000003</v>
      </c>
      <c r="W497">
        <v>724.33681000000001</v>
      </c>
      <c r="X497">
        <v>684.66791999999998</v>
      </c>
      <c r="Y497">
        <v>356.01371</v>
      </c>
      <c r="Z497">
        <v>332.96494000000001</v>
      </c>
      <c r="AA497">
        <v>356.80959000000001</v>
      </c>
      <c r="AB497">
        <v>61.75414</v>
      </c>
      <c r="AC497">
        <v>5.5</v>
      </c>
      <c r="AD497">
        <v>53.406660000000002</v>
      </c>
      <c r="AE497">
        <v>0</v>
      </c>
    </row>
    <row r="498" spans="21:31">
      <c r="U498" s="221" t="s">
        <v>75</v>
      </c>
      <c r="V498">
        <v>2233.5481100000002</v>
      </c>
      <c r="W498">
        <v>2938.9642399999998</v>
      </c>
      <c r="X498">
        <v>2121.6886300000001</v>
      </c>
      <c r="Y498">
        <v>1968.4192700000001</v>
      </c>
      <c r="Z498">
        <v>1617.70595</v>
      </c>
      <c r="AA498">
        <v>2101.07197</v>
      </c>
      <c r="AB498">
        <v>545.26769000000002</v>
      </c>
      <c r="AC498">
        <v>974.20331999999996</v>
      </c>
      <c r="AD498">
        <v>2467.7341000000001</v>
      </c>
      <c r="AE498">
        <v>511.18268999999998</v>
      </c>
    </row>
    <row r="499" spans="21:31">
      <c r="U499" s="221" t="s">
        <v>76</v>
      </c>
      <c r="V499">
        <v>1049.41039</v>
      </c>
      <c r="W499">
        <v>1252.1995099999999</v>
      </c>
      <c r="X499">
        <v>1038.3798899999999</v>
      </c>
      <c r="Y499">
        <v>1101.44975</v>
      </c>
      <c r="Z499">
        <v>753.68439000000001</v>
      </c>
      <c r="AA499">
        <v>1034.56915</v>
      </c>
      <c r="AB499">
        <v>161.49336</v>
      </c>
      <c r="AC499">
        <v>0.66666999999999998</v>
      </c>
      <c r="AD499">
        <v>333.53194999999999</v>
      </c>
      <c r="AE499">
        <v>58.626660000000001</v>
      </c>
    </row>
    <row r="500" spans="21:31">
      <c r="U500" s="221" t="s">
        <v>77</v>
      </c>
      <c r="V500">
        <v>3509.3824599999998</v>
      </c>
      <c r="W500">
        <v>4915.5366999999997</v>
      </c>
      <c r="X500">
        <v>3952.5378599999999</v>
      </c>
      <c r="Y500">
        <v>3273.34186</v>
      </c>
      <c r="Z500">
        <v>2681.6296200000002</v>
      </c>
      <c r="AA500">
        <v>3394.14464</v>
      </c>
      <c r="AB500">
        <v>536.96696999999995</v>
      </c>
      <c r="AC500">
        <v>63.03998</v>
      </c>
      <c r="AD500">
        <v>185.62</v>
      </c>
      <c r="AE500">
        <v>167.84003000000001</v>
      </c>
    </row>
    <row r="501" spans="21:31">
      <c r="U501" s="221" t="s">
        <v>78</v>
      </c>
      <c r="V501">
        <v>998.41589999999997</v>
      </c>
      <c r="W501">
        <v>1349.7815000000001</v>
      </c>
      <c r="X501">
        <v>1351.4329299999999</v>
      </c>
      <c r="Y501">
        <v>957.57825000000003</v>
      </c>
      <c r="Z501">
        <v>681.81786</v>
      </c>
      <c r="AA501">
        <v>1014.7101</v>
      </c>
      <c r="AB501">
        <v>37.29148</v>
      </c>
      <c r="AC501">
        <v>91.01</v>
      </c>
      <c r="AD501">
        <v>540.04804000000001</v>
      </c>
      <c r="AE501">
        <v>1</v>
      </c>
    </row>
    <row r="502" spans="21:31">
      <c r="U502" s="7" t="s">
        <v>128</v>
      </c>
      <c r="V502">
        <v>11921.162129999999</v>
      </c>
      <c r="W502">
        <v>16020.406199999999</v>
      </c>
      <c r="X502">
        <v>13420.269999999999</v>
      </c>
      <c r="Y502">
        <v>10867.99142</v>
      </c>
      <c r="Z502">
        <v>9112.4915099999998</v>
      </c>
      <c r="AA502">
        <v>11677.099620000001</v>
      </c>
      <c r="AB502">
        <v>1867.60679</v>
      </c>
      <c r="AC502">
        <v>1768.7256199999997</v>
      </c>
      <c r="AD502">
        <v>4482.6614799999998</v>
      </c>
      <c r="AE502">
        <v>3631.3786699999996</v>
      </c>
    </row>
    <row r="503" spans="21:31">
      <c r="U503" s="221" t="s">
        <v>71</v>
      </c>
      <c r="V503">
        <v>2475.10419</v>
      </c>
      <c r="W503">
        <v>3295.9290900000001</v>
      </c>
      <c r="X503">
        <v>2614.2199999999998</v>
      </c>
      <c r="Y503">
        <v>1971.0896299999999</v>
      </c>
      <c r="Z503">
        <v>1957.8681099999999</v>
      </c>
      <c r="AA503">
        <v>2363.6475700000001</v>
      </c>
      <c r="AB503">
        <v>331.29946999999999</v>
      </c>
      <c r="AC503">
        <v>279.95675999999997</v>
      </c>
      <c r="AD503">
        <v>355.03998999999999</v>
      </c>
      <c r="AE503">
        <v>1740.59663</v>
      </c>
    </row>
    <row r="504" spans="21:31">
      <c r="U504" s="221" t="s">
        <v>69</v>
      </c>
      <c r="V504">
        <v>781.39815999999996</v>
      </c>
      <c r="W504">
        <v>962.86000999999999</v>
      </c>
      <c r="X504">
        <v>934.96</v>
      </c>
      <c r="Y504">
        <v>644.20878000000005</v>
      </c>
      <c r="Z504">
        <v>577.40841</v>
      </c>
      <c r="AA504">
        <v>793.18277999999998</v>
      </c>
      <c r="AB504">
        <v>133.56587999999999</v>
      </c>
      <c r="AC504">
        <v>62.57414</v>
      </c>
      <c r="AD504">
        <v>122.00224</v>
      </c>
      <c r="AE504">
        <v>1116.1214399999999</v>
      </c>
    </row>
    <row r="505" spans="21:31">
      <c r="U505" s="221" t="s">
        <v>72</v>
      </c>
      <c r="V505">
        <v>227.65555000000001</v>
      </c>
      <c r="W505">
        <v>254.94748999999999</v>
      </c>
      <c r="X505">
        <v>492.26</v>
      </c>
      <c r="Y505">
        <v>208.77761000000001</v>
      </c>
      <c r="Z505">
        <v>177.87953999999999</v>
      </c>
      <c r="AA505">
        <v>303.68277</v>
      </c>
      <c r="AB505">
        <v>4</v>
      </c>
      <c r="AC505">
        <v>255.0848</v>
      </c>
      <c r="AD505">
        <v>140.45332999999999</v>
      </c>
      <c r="AE505">
        <v>0</v>
      </c>
    </row>
    <row r="506" spans="21:31">
      <c r="U506" s="221" t="s">
        <v>73</v>
      </c>
      <c r="V506">
        <v>1</v>
      </c>
      <c r="W506">
        <v>216.06</v>
      </c>
      <c r="X506">
        <v>34.090000000000003</v>
      </c>
      <c r="Y506">
        <v>142.63999999999999</v>
      </c>
      <c r="Z506">
        <v>15.533329999999999</v>
      </c>
      <c r="AA506">
        <v>87.453320000000005</v>
      </c>
      <c r="AB506">
        <v>7.4</v>
      </c>
      <c r="AC506">
        <v>0</v>
      </c>
      <c r="AD506">
        <v>1.41333</v>
      </c>
      <c r="AE506">
        <v>0</v>
      </c>
    </row>
    <row r="507" spans="21:31">
      <c r="U507" s="221" t="s">
        <v>74</v>
      </c>
      <c r="V507">
        <v>459.3897</v>
      </c>
      <c r="W507">
        <v>752.88316999999995</v>
      </c>
      <c r="X507">
        <v>717.77</v>
      </c>
      <c r="Y507">
        <v>378.44279999999998</v>
      </c>
      <c r="Z507">
        <v>335.40924999999999</v>
      </c>
      <c r="AA507">
        <v>383.81466</v>
      </c>
      <c r="AB507">
        <v>69.552269999999993</v>
      </c>
      <c r="AC507">
        <v>7.5</v>
      </c>
      <c r="AD507">
        <v>67.026660000000007</v>
      </c>
      <c r="AE507">
        <v>1</v>
      </c>
    </row>
    <row r="508" spans="21:31">
      <c r="U508" s="221" t="s">
        <v>75</v>
      </c>
      <c r="V508">
        <v>2351.1186299999999</v>
      </c>
      <c r="W508">
        <v>3006.1358799999998</v>
      </c>
      <c r="X508">
        <v>2153.69</v>
      </c>
      <c r="Y508">
        <v>2100.20084</v>
      </c>
      <c r="Z508">
        <v>1699.18497</v>
      </c>
      <c r="AA508">
        <v>2149.5071600000001</v>
      </c>
      <c r="AB508">
        <v>561.24135000000001</v>
      </c>
      <c r="AC508">
        <v>1006.55161</v>
      </c>
      <c r="AD508">
        <v>2607.7660799999999</v>
      </c>
      <c r="AE508">
        <v>544.48058000000003</v>
      </c>
    </row>
    <row r="509" spans="21:31">
      <c r="U509" s="221" t="s">
        <v>76</v>
      </c>
      <c r="V509">
        <v>988.80204000000003</v>
      </c>
      <c r="W509">
        <v>1284.72569</v>
      </c>
      <c r="X509">
        <v>1060.6600000000001</v>
      </c>
      <c r="Y509">
        <v>1106.7778599999999</v>
      </c>
      <c r="Z509">
        <v>935.97922000000005</v>
      </c>
      <c r="AA509">
        <v>1088.8631700000001</v>
      </c>
      <c r="AB509">
        <v>165.4667</v>
      </c>
      <c r="AC509">
        <v>0.66666999999999998</v>
      </c>
      <c r="AD509">
        <v>348.75196999999997</v>
      </c>
      <c r="AE509">
        <v>58.626660000000001</v>
      </c>
    </row>
    <row r="510" spans="21:31">
      <c r="U510" s="221" t="s">
        <v>77</v>
      </c>
      <c r="V510">
        <v>3620.8497900000002</v>
      </c>
      <c r="W510">
        <v>4929.9299199999996</v>
      </c>
      <c r="X510">
        <v>4092.29</v>
      </c>
      <c r="Y510">
        <v>3369.2891500000001</v>
      </c>
      <c r="Z510">
        <v>2767.3602700000001</v>
      </c>
      <c r="AA510">
        <v>3491.88724</v>
      </c>
      <c r="AB510">
        <v>561.03629000000001</v>
      </c>
      <c r="AC510">
        <v>62.166640000000001</v>
      </c>
      <c r="AD510">
        <v>193.46665999999999</v>
      </c>
      <c r="AE510">
        <v>169.55336</v>
      </c>
    </row>
    <row r="511" spans="21:31">
      <c r="U511" s="221" t="s">
        <v>78</v>
      </c>
      <c r="V511">
        <v>1015.84407</v>
      </c>
      <c r="W511">
        <v>1316.9349500000001</v>
      </c>
      <c r="X511">
        <v>1320.33</v>
      </c>
      <c r="Y511">
        <v>946.56475</v>
      </c>
      <c r="Z511">
        <v>645.86841000000004</v>
      </c>
      <c r="AA511">
        <v>1015.06095</v>
      </c>
      <c r="AB511">
        <v>34.044829999999997</v>
      </c>
      <c r="AC511">
        <v>94.224999999999994</v>
      </c>
      <c r="AD511">
        <v>646.74122</v>
      </c>
      <c r="AE511">
        <v>1</v>
      </c>
    </row>
    <row r="512" spans="21:31">
      <c r="U512" s="7" t="s">
        <v>129</v>
      </c>
      <c r="V512">
        <v>12270.05846</v>
      </c>
      <c r="W512">
        <v>16300.434640000001</v>
      </c>
      <c r="X512">
        <v>13773.635189999999</v>
      </c>
      <c r="Y512">
        <v>11019.096219999999</v>
      </c>
      <c r="Z512">
        <v>9465.9601900000016</v>
      </c>
      <c r="AA512">
        <v>11639.24388</v>
      </c>
      <c r="AB512">
        <v>2003.9024299999999</v>
      </c>
      <c r="AC512">
        <v>2023.11418</v>
      </c>
      <c r="AD512">
        <v>1457.53863</v>
      </c>
      <c r="AE512">
        <v>3900.9812700000002</v>
      </c>
    </row>
    <row r="513" spans="21:34">
      <c r="U513" s="221" t="s">
        <v>71</v>
      </c>
      <c r="V513">
        <v>2641.9849899999999</v>
      </c>
      <c r="W513">
        <v>3434.71279</v>
      </c>
      <c r="X513">
        <v>2788.7437300000001</v>
      </c>
      <c r="Y513">
        <v>2055.0878400000001</v>
      </c>
      <c r="Z513">
        <v>2092.1229600000001</v>
      </c>
      <c r="AA513">
        <v>2369.4102499999999</v>
      </c>
      <c r="AB513">
        <v>385.37203</v>
      </c>
      <c r="AC513">
        <v>329.21194000000003</v>
      </c>
      <c r="AD513">
        <v>243.78668999999999</v>
      </c>
      <c r="AE513">
        <v>2008.9654599999999</v>
      </c>
    </row>
    <row r="514" spans="21:34">
      <c r="U514" s="221" t="s">
        <v>69</v>
      </c>
      <c r="V514">
        <v>787.60190999999998</v>
      </c>
      <c r="W514">
        <v>1078.8704399999999</v>
      </c>
      <c r="X514">
        <v>1280.1372799999999</v>
      </c>
      <c r="Y514">
        <v>714.75595999999996</v>
      </c>
      <c r="Z514">
        <v>633.48251000000005</v>
      </c>
      <c r="AA514">
        <v>857.25693999999999</v>
      </c>
      <c r="AB514">
        <v>136.57893999999999</v>
      </c>
      <c r="AC514">
        <v>67.320800000000006</v>
      </c>
      <c r="AD514">
        <v>123.84971</v>
      </c>
      <c r="AE514">
        <v>1056.9294400000001</v>
      </c>
    </row>
    <row r="515" spans="21:34">
      <c r="U515" s="221" t="s">
        <v>72</v>
      </c>
      <c r="V515">
        <v>220.44887</v>
      </c>
      <c r="W515">
        <v>264.28746999999998</v>
      </c>
      <c r="X515">
        <v>511.18293</v>
      </c>
      <c r="Y515">
        <v>196.50426999999999</v>
      </c>
      <c r="Z515">
        <v>184.82861</v>
      </c>
      <c r="AA515">
        <v>310.33611999999999</v>
      </c>
      <c r="AB515">
        <v>5</v>
      </c>
      <c r="AC515">
        <v>359.28158999999999</v>
      </c>
      <c r="AD515">
        <v>149.95332999999999</v>
      </c>
      <c r="AE515">
        <v>0</v>
      </c>
    </row>
    <row r="516" spans="21:34">
      <c r="U516" s="221" t="s">
        <v>73</v>
      </c>
      <c r="V516">
        <v>6.5</v>
      </c>
      <c r="W516">
        <v>59.5</v>
      </c>
      <c r="X516">
        <v>24.979980000000001</v>
      </c>
      <c r="Y516">
        <v>22</v>
      </c>
      <c r="Z516">
        <v>1</v>
      </c>
      <c r="AA516">
        <v>0</v>
      </c>
      <c r="AB516">
        <v>0</v>
      </c>
      <c r="AC516">
        <v>0</v>
      </c>
      <c r="AD516">
        <v>3.7466499999999998</v>
      </c>
      <c r="AE516">
        <v>0</v>
      </c>
    </row>
    <row r="517" spans="21:34">
      <c r="U517" s="221" t="s">
        <v>74</v>
      </c>
      <c r="V517">
        <v>435.35300999999998</v>
      </c>
      <c r="W517">
        <v>662.33541000000002</v>
      </c>
      <c r="X517">
        <v>459.60201000000001</v>
      </c>
      <c r="Y517">
        <v>348.13745999999998</v>
      </c>
      <c r="Z517">
        <v>311.03305</v>
      </c>
      <c r="AA517">
        <v>348.95733999999999</v>
      </c>
      <c r="AB517">
        <v>73.289330000000007</v>
      </c>
      <c r="AC517">
        <v>11.5</v>
      </c>
      <c r="AD517">
        <v>52.206659999999999</v>
      </c>
      <c r="AE517">
        <v>2</v>
      </c>
    </row>
    <row r="518" spans="21:34">
      <c r="U518" s="221" t="s">
        <v>75</v>
      </c>
      <c r="V518">
        <v>2523.53971</v>
      </c>
      <c r="W518">
        <v>3198.9295099999999</v>
      </c>
      <c r="X518">
        <v>2442.1204499999999</v>
      </c>
      <c r="Y518">
        <v>2199.4045999999998</v>
      </c>
      <c r="Z518">
        <v>1899.3933400000001</v>
      </c>
      <c r="AA518">
        <v>2309.37068</v>
      </c>
      <c r="AB518">
        <v>640.62919999999997</v>
      </c>
      <c r="AC518">
        <v>1082.9965299999999</v>
      </c>
      <c r="AD518">
        <v>508.56529</v>
      </c>
      <c r="AE518">
        <v>560.72902999999997</v>
      </c>
    </row>
    <row r="519" spans="21:34">
      <c r="U519" s="221" t="s">
        <v>76</v>
      </c>
      <c r="V519">
        <v>990.46933000000001</v>
      </c>
      <c r="W519">
        <v>1221.3191899999999</v>
      </c>
      <c r="X519">
        <v>1102.6114600000001</v>
      </c>
      <c r="Y519">
        <v>1094.1814099999999</v>
      </c>
      <c r="Z519">
        <v>913.72308999999996</v>
      </c>
      <c r="AA519">
        <v>1025.3385699999999</v>
      </c>
      <c r="AB519">
        <v>171.18002999999999</v>
      </c>
      <c r="AC519">
        <v>0.66666999999999998</v>
      </c>
      <c r="AD519">
        <v>57.905299999999997</v>
      </c>
      <c r="AE519">
        <v>61.973320000000001</v>
      </c>
    </row>
    <row r="520" spans="21:34">
      <c r="U520" s="221" t="s">
        <v>77</v>
      </c>
      <c r="V520">
        <v>3770.3121900000001</v>
      </c>
      <c r="W520">
        <v>5174.6798799999997</v>
      </c>
      <c r="X520">
        <v>4040.0774900000001</v>
      </c>
      <c r="Y520">
        <v>3545.7199300000002</v>
      </c>
      <c r="Z520">
        <v>2832.1169399999999</v>
      </c>
      <c r="AA520">
        <v>3521.87815</v>
      </c>
      <c r="AB520">
        <v>558.36270000000002</v>
      </c>
      <c r="AC520">
        <v>73.786649999999995</v>
      </c>
      <c r="AD520">
        <v>198.18</v>
      </c>
      <c r="AE520">
        <v>209.38401999999999</v>
      </c>
    </row>
    <row r="521" spans="21:34">
      <c r="U521" s="221" t="s">
        <v>78</v>
      </c>
      <c r="V521">
        <v>893.84844999999996</v>
      </c>
      <c r="W521">
        <v>1205.7999500000001</v>
      </c>
      <c r="X521">
        <v>1124.17986</v>
      </c>
      <c r="Y521">
        <v>843.30475000000001</v>
      </c>
      <c r="Z521">
        <v>598.25968999999998</v>
      </c>
      <c r="AA521">
        <v>896.69583</v>
      </c>
      <c r="AB521">
        <v>33.490200000000002</v>
      </c>
      <c r="AC521">
        <v>98.35</v>
      </c>
      <c r="AD521">
        <v>119.345</v>
      </c>
      <c r="AE521">
        <v>1</v>
      </c>
    </row>
    <row r="522" spans="21:34">
      <c r="U522" s="7" t="s">
        <v>130</v>
      </c>
      <c r="V522">
        <v>12267.735390000002</v>
      </c>
      <c r="W522">
        <v>16886.654070000001</v>
      </c>
      <c r="X522">
        <v>14166.821779999998</v>
      </c>
      <c r="Y522">
        <v>10898.358909999999</v>
      </c>
      <c r="Z522">
        <v>9728.6701799999992</v>
      </c>
      <c r="AA522">
        <v>11713.347460000001</v>
      </c>
      <c r="AB522">
        <v>2042.56566</v>
      </c>
      <c r="AC522">
        <v>2171.2573499999999</v>
      </c>
      <c r="AD522">
        <v>1438.3632400000001</v>
      </c>
      <c r="AE522">
        <v>3974.5745300000008</v>
      </c>
      <c r="AF522">
        <v>372.09341000000001</v>
      </c>
      <c r="AG522">
        <v>1007.27</v>
      </c>
      <c r="AH522">
        <v>0</v>
      </c>
    </row>
    <row r="523" spans="21:34">
      <c r="U523" s="221" t="s">
        <v>71</v>
      </c>
      <c r="V523">
        <v>2645.09969</v>
      </c>
      <c r="W523">
        <v>3642.9834500000002</v>
      </c>
      <c r="X523">
        <v>2757.9131499999999</v>
      </c>
      <c r="Y523">
        <v>2050.3006399999999</v>
      </c>
      <c r="Z523">
        <v>2187.83698</v>
      </c>
      <c r="AA523">
        <v>2449.5354600000001</v>
      </c>
      <c r="AB523">
        <v>397.65922999999998</v>
      </c>
      <c r="AC523">
        <v>318.98743000000002</v>
      </c>
      <c r="AD523">
        <v>223.82646</v>
      </c>
      <c r="AE523">
        <v>2012.32999</v>
      </c>
      <c r="AF523">
        <v>2.5</v>
      </c>
      <c r="AG523">
        <v>0</v>
      </c>
      <c r="AH523">
        <v>0</v>
      </c>
    </row>
    <row r="524" spans="21:34">
      <c r="U524" s="221" t="s">
        <v>69</v>
      </c>
      <c r="V524">
        <v>810.24616000000003</v>
      </c>
      <c r="W524">
        <v>1156.83509</v>
      </c>
      <c r="X524">
        <v>1397.0925099999999</v>
      </c>
      <c r="Y524">
        <v>732.92103999999995</v>
      </c>
      <c r="Z524">
        <v>665.10617999999999</v>
      </c>
      <c r="AA524">
        <v>881.60150999999996</v>
      </c>
      <c r="AB524">
        <v>132.98241999999999</v>
      </c>
      <c r="AC524">
        <v>68.733860000000007</v>
      </c>
      <c r="AD524">
        <v>140.45598000000001</v>
      </c>
      <c r="AE524">
        <v>1090.5248899999999</v>
      </c>
      <c r="AF524">
        <v>4.9066700000000001</v>
      </c>
      <c r="AG524">
        <v>0</v>
      </c>
      <c r="AH524">
        <v>0</v>
      </c>
    </row>
    <row r="525" spans="21:34">
      <c r="U525" s="221" t="s">
        <v>72</v>
      </c>
      <c r="V525">
        <v>229.70885999999999</v>
      </c>
      <c r="W525">
        <v>264.93385999999998</v>
      </c>
      <c r="X525">
        <v>538.54507000000001</v>
      </c>
      <c r="Y525">
        <v>196.73492999999999</v>
      </c>
      <c r="Z525">
        <v>188.72194999999999</v>
      </c>
      <c r="AA525">
        <v>327.38279</v>
      </c>
      <c r="AB525">
        <v>6.6133300000000004</v>
      </c>
      <c r="AC525">
        <v>389.04890999999998</v>
      </c>
      <c r="AD525">
        <v>168.02932000000001</v>
      </c>
      <c r="AE525">
        <v>0</v>
      </c>
      <c r="AF525">
        <v>0</v>
      </c>
      <c r="AG525">
        <v>0</v>
      </c>
      <c r="AH525">
        <v>0</v>
      </c>
    </row>
    <row r="526" spans="21:34">
      <c r="U526" s="221" t="s">
        <v>73</v>
      </c>
      <c r="V526">
        <v>9.5</v>
      </c>
      <c r="W526">
        <v>15.34</v>
      </c>
      <c r="X526">
        <v>25.86665</v>
      </c>
      <c r="Y526">
        <v>72.133340000000004</v>
      </c>
      <c r="Z526">
        <v>1</v>
      </c>
      <c r="AA526">
        <v>0</v>
      </c>
      <c r="AB526">
        <v>0</v>
      </c>
      <c r="AC526">
        <v>0</v>
      </c>
      <c r="AD526">
        <v>3.67998</v>
      </c>
      <c r="AE526">
        <v>0</v>
      </c>
      <c r="AF526">
        <v>0</v>
      </c>
      <c r="AG526">
        <v>0</v>
      </c>
      <c r="AH526">
        <v>0</v>
      </c>
    </row>
    <row r="527" spans="21:34">
      <c r="U527" s="221" t="s">
        <v>74</v>
      </c>
      <c r="V527">
        <v>467.00218000000001</v>
      </c>
      <c r="W527">
        <v>708.31142</v>
      </c>
      <c r="X527">
        <v>501.84111000000001</v>
      </c>
      <c r="Y527">
        <v>346.55745999999999</v>
      </c>
      <c r="Z527">
        <v>349.49225999999999</v>
      </c>
      <c r="AA527">
        <v>353.32051000000001</v>
      </c>
      <c r="AB527">
        <v>75.328000000000003</v>
      </c>
      <c r="AC527">
        <v>9</v>
      </c>
      <c r="AD527">
        <v>55.406660000000002</v>
      </c>
      <c r="AE527">
        <v>3.4</v>
      </c>
      <c r="AF527">
        <v>30.476189999999995</v>
      </c>
      <c r="AG527">
        <v>0</v>
      </c>
      <c r="AH527">
        <v>0</v>
      </c>
    </row>
    <row r="528" spans="21:34">
      <c r="U528" s="221" t="s">
        <v>75</v>
      </c>
      <c r="V528">
        <v>2677.5903400000002</v>
      </c>
      <c r="W528">
        <v>3445.6336900000001</v>
      </c>
      <c r="X528">
        <v>2492.0569799999998</v>
      </c>
      <c r="Y528">
        <v>2184.1161400000001</v>
      </c>
      <c r="Z528">
        <v>2067.3886699999998</v>
      </c>
      <c r="AA528">
        <v>2387.9306000000001</v>
      </c>
      <c r="AB528">
        <v>673.63466000000005</v>
      </c>
      <c r="AC528">
        <v>1199.7486699999999</v>
      </c>
      <c r="AD528">
        <v>502.76265000000001</v>
      </c>
      <c r="AE528">
        <v>602.26232000000005</v>
      </c>
      <c r="AF528">
        <v>279.13855000000007</v>
      </c>
      <c r="AG528">
        <v>1006.67</v>
      </c>
      <c r="AH528">
        <v>0</v>
      </c>
    </row>
    <row r="529" spans="21:34">
      <c r="U529" s="221" t="s">
        <v>76</v>
      </c>
      <c r="V529">
        <v>970.37279000000001</v>
      </c>
      <c r="W529">
        <v>1313.9396999999999</v>
      </c>
      <c r="X529">
        <v>1158.5688399999999</v>
      </c>
      <c r="Y529">
        <v>1065.3417300000001</v>
      </c>
      <c r="Z529">
        <v>831.54710999999998</v>
      </c>
      <c r="AA529">
        <v>987.67136000000005</v>
      </c>
      <c r="AB529">
        <v>172.80004</v>
      </c>
      <c r="AC529">
        <v>0.66666999999999998</v>
      </c>
      <c r="AD529">
        <v>57.363700000000001</v>
      </c>
      <c r="AE529">
        <v>61.813319999999997</v>
      </c>
      <c r="AF529">
        <v>0</v>
      </c>
      <c r="AG529">
        <v>0</v>
      </c>
      <c r="AH529">
        <v>0</v>
      </c>
    </row>
    <row r="530" spans="21:34">
      <c r="U530" s="221" t="s">
        <v>77</v>
      </c>
      <c r="V530">
        <v>3702.4627700000001</v>
      </c>
      <c r="W530">
        <v>5254.6157999999996</v>
      </c>
      <c r="X530">
        <v>4346.0315099999998</v>
      </c>
      <c r="Y530">
        <v>3518.8371200000001</v>
      </c>
      <c r="Z530">
        <v>2835.5140900000001</v>
      </c>
      <c r="AA530">
        <v>3564.9138600000001</v>
      </c>
      <c r="AB530">
        <v>554.38775999999996</v>
      </c>
      <c r="AC530">
        <v>83.33999</v>
      </c>
      <c r="AD530">
        <v>212.00667000000001</v>
      </c>
      <c r="AE530">
        <v>203.73733999999999</v>
      </c>
      <c r="AF530">
        <v>8.4</v>
      </c>
      <c r="AG530">
        <v>0</v>
      </c>
      <c r="AH530">
        <v>0</v>
      </c>
    </row>
    <row r="531" spans="21:34">
      <c r="U531" s="221" t="s">
        <v>78</v>
      </c>
      <c r="V531">
        <v>755.75260000000003</v>
      </c>
      <c r="W531">
        <v>1084.06106</v>
      </c>
      <c r="X531">
        <v>948.90596000000005</v>
      </c>
      <c r="Y531">
        <v>731.41651000000002</v>
      </c>
      <c r="Z531">
        <v>602.06294000000003</v>
      </c>
      <c r="AA531">
        <v>760.99136999999996</v>
      </c>
      <c r="AB531">
        <v>29.160219999999999</v>
      </c>
      <c r="AC531">
        <v>101.73182</v>
      </c>
      <c r="AD531">
        <v>74.831819999999993</v>
      </c>
      <c r="AE531">
        <v>0.50666999999999995</v>
      </c>
      <c r="AF531">
        <v>46.67199999999999</v>
      </c>
      <c r="AG531">
        <v>0.6</v>
      </c>
      <c r="AH531">
        <v>0</v>
      </c>
    </row>
    <row r="532" spans="21:34">
      <c r="U532" s="7" t="s">
        <v>131</v>
      </c>
      <c r="V532">
        <v>642313.51944000029</v>
      </c>
      <c r="W532">
        <v>870269.46473999973</v>
      </c>
      <c r="X532">
        <v>728942.75618000014</v>
      </c>
      <c r="Y532">
        <v>577193.49837000039</v>
      </c>
      <c r="Z532">
        <v>496511.95846000005</v>
      </c>
      <c r="AA532">
        <v>620407.99308999919</v>
      </c>
      <c r="AB532">
        <v>103068.12928999997</v>
      </c>
      <c r="AC532">
        <v>102130.39824000004</v>
      </c>
      <c r="AD532">
        <v>148312.37899</v>
      </c>
      <c r="AE532">
        <v>198869.95089000001</v>
      </c>
      <c r="AF532">
        <v>6260.8103199999996</v>
      </c>
      <c r="AG532">
        <v>16845.713680000001</v>
      </c>
      <c r="AH532">
        <v>26447.712940000001</v>
      </c>
    </row>
  </sheetData>
  <pageMargins left="0.7" right="0.7" top="0.75" bottom="0.75" header="0.3" footer="0.3"/>
  <legacy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79998168889431442"/>
    <pageSetUpPr fitToPage="1"/>
  </sheetPr>
  <dimension ref="A2:V44"/>
  <sheetViews>
    <sheetView showGridLines="0" zoomScale="60" zoomScaleNormal="60" workbookViewId="0">
      <pane xSplit="2" ySplit="4" topLeftCell="D5" activePane="bottomRight" state="frozenSplit"/>
      <selection pane="topRight"/>
      <selection pane="bottomLeft"/>
      <selection pane="bottomRight" activeCell="D10" sqref="D10"/>
    </sheetView>
  </sheetViews>
  <sheetFormatPr defaultColWidth="8.84375" defaultRowHeight="13"/>
  <cols>
    <col min="1" max="1" width="2.765625" style="113" customWidth="1"/>
    <col min="2" max="2" width="42.4609375" style="113" customWidth="1"/>
    <col min="3" max="3" width="15" style="113" hidden="1" customWidth="1"/>
    <col min="4" max="4" width="14.23046875" style="113" customWidth="1"/>
    <col min="5" max="6" width="14.23046875" style="113" hidden="1" customWidth="1"/>
    <col min="7" max="7" width="2.23046875" style="113" customWidth="1"/>
    <col min="8" max="19" width="12.3046875" style="113" customWidth="1"/>
    <col min="20" max="41" width="10.3046875" style="113" customWidth="1"/>
    <col min="42" max="16384" width="8.84375" style="113"/>
  </cols>
  <sheetData>
    <row r="2" spans="1:22" ht="20.149999999999999" customHeight="1">
      <c r="A2" s="4"/>
      <c r="B2" s="144" t="s">
        <v>891</v>
      </c>
      <c r="C2" s="186"/>
      <c r="D2" s="143"/>
      <c r="E2" s="143"/>
      <c r="F2" s="143"/>
      <c r="G2" s="128"/>
      <c r="H2" s="45" t="s">
        <v>892</v>
      </c>
      <c r="I2" s="143"/>
      <c r="J2" s="143"/>
      <c r="K2" s="143"/>
      <c r="L2" s="143"/>
      <c r="M2" s="143"/>
      <c r="N2" s="143"/>
      <c r="O2" s="143"/>
      <c r="P2" s="143"/>
      <c r="Q2" s="143"/>
      <c r="R2" s="143"/>
      <c r="S2" s="143"/>
    </row>
    <row r="3" spans="1:22" ht="72" customHeight="1">
      <c r="A3" s="4"/>
      <c r="B3" s="67"/>
      <c r="C3" s="125" t="s">
        <v>893</v>
      </c>
      <c r="D3" s="125" t="s">
        <v>471</v>
      </c>
      <c r="E3" s="125" t="s">
        <v>472</v>
      </c>
      <c r="F3" s="125" t="s">
        <v>473</v>
      </c>
      <c r="G3" s="126"/>
      <c r="H3" s="125" t="s">
        <v>251</v>
      </c>
      <c r="I3" s="125" t="s">
        <v>252</v>
      </c>
      <c r="J3" s="125" t="s">
        <v>253</v>
      </c>
      <c r="K3" s="125" t="s">
        <v>254</v>
      </c>
      <c r="L3" s="125" t="s">
        <v>255</v>
      </c>
      <c r="M3" s="125" t="s">
        <v>256</v>
      </c>
      <c r="N3" s="127" t="s">
        <v>257</v>
      </c>
      <c r="O3" s="127" t="s">
        <v>258</v>
      </c>
      <c r="P3" s="127" t="s">
        <v>259</v>
      </c>
      <c r="Q3" s="127" t="s">
        <v>260</v>
      </c>
      <c r="R3" s="127" t="s">
        <v>261</v>
      </c>
      <c r="S3" s="127" t="s">
        <v>262</v>
      </c>
    </row>
    <row r="4" spans="1:22" ht="20.149999999999999" customHeight="1">
      <c r="A4" s="4"/>
      <c r="B4" s="16" t="s">
        <v>266</v>
      </c>
      <c r="C4" s="16" t="s">
        <v>398</v>
      </c>
      <c r="D4" s="16" t="s">
        <v>398</v>
      </c>
      <c r="E4" s="16" t="s">
        <v>398</v>
      </c>
      <c r="F4" s="16" t="s">
        <v>398</v>
      </c>
      <c r="G4" s="58"/>
      <c r="H4" s="137" t="s">
        <v>398</v>
      </c>
      <c r="I4" s="138"/>
      <c r="J4" s="138"/>
      <c r="K4" s="138"/>
      <c r="L4" s="138"/>
      <c r="M4" s="138"/>
      <c r="N4" s="138"/>
      <c r="O4" s="138"/>
      <c r="P4" s="138"/>
      <c r="Q4" s="138"/>
      <c r="R4" s="138"/>
      <c r="S4" s="139"/>
    </row>
    <row r="5" spans="1:22" ht="20.149999999999999" customHeight="1">
      <c r="A5" s="4"/>
      <c r="B5" s="4"/>
      <c r="C5" s="4"/>
      <c r="D5" s="4"/>
    </row>
    <row r="6" spans="1:22" ht="20.149999999999999" customHeight="1">
      <c r="A6" s="4"/>
      <c r="B6" s="49" t="s">
        <v>894</v>
      </c>
      <c r="C6" s="50"/>
      <c r="D6" s="140"/>
      <c r="E6" s="140"/>
      <c r="F6" s="140"/>
      <c r="G6" s="250"/>
      <c r="H6" s="140"/>
      <c r="I6" s="140"/>
      <c r="J6" s="140"/>
      <c r="K6" s="140"/>
      <c r="L6" s="140"/>
      <c r="M6" s="140"/>
      <c r="N6" s="140"/>
      <c r="O6" s="140"/>
      <c r="P6" s="140"/>
      <c r="Q6" s="140"/>
      <c r="R6" s="140"/>
      <c r="S6" s="247"/>
    </row>
    <row r="7" spans="1:22" ht="20.149999999999999" customHeight="1">
      <c r="A7" s="4"/>
      <c r="B7" s="248" t="s">
        <v>895</v>
      </c>
      <c r="C7" s="248"/>
      <c r="D7" s="249">
        <f>SUM(H7:S7)</f>
        <v>0</v>
      </c>
      <c r="E7" s="246"/>
      <c r="F7" s="246"/>
      <c r="G7" s="126"/>
      <c r="H7" s="246"/>
      <c r="I7" s="246"/>
      <c r="J7" s="246"/>
      <c r="K7" s="246"/>
      <c r="L7" s="246"/>
      <c r="M7" s="246"/>
      <c r="N7" s="246"/>
      <c r="O7" s="246"/>
      <c r="P7" s="246"/>
      <c r="Q7" s="246"/>
      <c r="R7" s="246"/>
      <c r="S7" s="246"/>
      <c r="V7" s="4" t="str">
        <f>IF(COUNTA(H7:S7)&lt;&gt;COUNT(H7:S7),"Please remove any text entries, enter numeric values only","")</f>
        <v/>
      </c>
    </row>
    <row r="8" spans="1:22" ht="20.149999999999999" customHeight="1">
      <c r="A8" s="4"/>
      <c r="B8" s="141" t="s">
        <v>896</v>
      </c>
      <c r="C8" s="141"/>
      <c r="D8" s="22">
        <f t="shared" ref="D8:D27" si="0">SUM(H8:S8)</f>
        <v>0</v>
      </c>
      <c r="E8" s="215"/>
      <c r="F8" s="215"/>
      <c r="G8" s="58"/>
      <c r="H8" s="215"/>
      <c r="I8" s="215"/>
      <c r="J8" s="215"/>
      <c r="K8" s="215"/>
      <c r="L8" s="215"/>
      <c r="M8" s="215"/>
      <c r="N8" s="215"/>
      <c r="O8" s="215"/>
      <c r="P8" s="215"/>
      <c r="Q8" s="215"/>
      <c r="R8" s="215"/>
      <c r="S8" s="215"/>
      <c r="V8" s="4" t="str">
        <f t="shared" ref="V8:V27" si="1">IF(COUNTA(H8:S8)&lt;&gt;COUNT(H8:S8),"Please remove any text entries, enter numeric values only","")</f>
        <v/>
      </c>
    </row>
    <row r="9" spans="1:22" ht="20.149999999999999" customHeight="1">
      <c r="A9" s="4"/>
      <c r="B9" s="141" t="s">
        <v>897</v>
      </c>
      <c r="C9" s="141"/>
      <c r="D9" s="22">
        <f t="shared" si="0"/>
        <v>437.00000000000006</v>
      </c>
      <c r="E9" s="215"/>
      <c r="F9" s="215"/>
      <c r="G9" s="58"/>
      <c r="H9" s="215">
        <f>437/12</f>
        <v>36.416666666666664</v>
      </c>
      <c r="I9" s="215">
        <f t="shared" ref="I9:S9" si="2">437/12</f>
        <v>36.416666666666664</v>
      </c>
      <c r="J9" s="215">
        <f t="shared" si="2"/>
        <v>36.416666666666664</v>
      </c>
      <c r="K9" s="215">
        <f t="shared" si="2"/>
        <v>36.416666666666664</v>
      </c>
      <c r="L9" s="215">
        <f t="shared" si="2"/>
        <v>36.416666666666664</v>
      </c>
      <c r="M9" s="215">
        <f t="shared" si="2"/>
        <v>36.416666666666664</v>
      </c>
      <c r="N9" s="215">
        <f t="shared" si="2"/>
        <v>36.416666666666664</v>
      </c>
      <c r="O9" s="215">
        <f t="shared" si="2"/>
        <v>36.416666666666664</v>
      </c>
      <c r="P9" s="215">
        <f t="shared" si="2"/>
        <v>36.416666666666664</v>
      </c>
      <c r="Q9" s="215">
        <f t="shared" si="2"/>
        <v>36.416666666666664</v>
      </c>
      <c r="R9" s="215">
        <f t="shared" si="2"/>
        <v>36.416666666666664</v>
      </c>
      <c r="S9" s="215">
        <f t="shared" si="2"/>
        <v>36.416666666666664</v>
      </c>
      <c r="V9" s="4" t="str">
        <f t="shared" si="1"/>
        <v/>
      </c>
    </row>
    <row r="10" spans="1:22" ht="20.149999999999999" customHeight="1">
      <c r="A10" s="4"/>
      <c r="B10" s="141" t="s">
        <v>898</v>
      </c>
      <c r="C10" s="141"/>
      <c r="D10" s="22">
        <f t="shared" si="0"/>
        <v>1229</v>
      </c>
      <c r="E10" s="215"/>
      <c r="F10" s="215"/>
      <c r="G10" s="58"/>
      <c r="H10" s="215">
        <f>1229/12</f>
        <v>102.41666666666667</v>
      </c>
      <c r="I10" s="215">
        <f t="shared" ref="I10:S10" si="3">1229/12</f>
        <v>102.41666666666667</v>
      </c>
      <c r="J10" s="215">
        <f t="shared" si="3"/>
        <v>102.41666666666667</v>
      </c>
      <c r="K10" s="215">
        <f t="shared" si="3"/>
        <v>102.41666666666667</v>
      </c>
      <c r="L10" s="215">
        <f t="shared" si="3"/>
        <v>102.41666666666667</v>
      </c>
      <c r="M10" s="215">
        <f t="shared" si="3"/>
        <v>102.41666666666667</v>
      </c>
      <c r="N10" s="215">
        <f t="shared" si="3"/>
        <v>102.41666666666667</v>
      </c>
      <c r="O10" s="215">
        <f t="shared" si="3"/>
        <v>102.41666666666667</v>
      </c>
      <c r="P10" s="215">
        <f t="shared" si="3"/>
        <v>102.41666666666667</v>
      </c>
      <c r="Q10" s="215">
        <f t="shared" si="3"/>
        <v>102.41666666666667</v>
      </c>
      <c r="R10" s="215">
        <f t="shared" si="3"/>
        <v>102.41666666666667</v>
      </c>
      <c r="S10" s="215">
        <f t="shared" si="3"/>
        <v>102.41666666666667</v>
      </c>
      <c r="V10" s="4" t="str">
        <f t="shared" si="1"/>
        <v/>
      </c>
    </row>
    <row r="11" spans="1:22" ht="20.149999999999999" customHeight="1">
      <c r="A11" s="4"/>
      <c r="B11" s="141" t="s">
        <v>899</v>
      </c>
      <c r="C11" s="141"/>
      <c r="D11" s="22">
        <f t="shared" si="0"/>
        <v>2166.9999999999995</v>
      </c>
      <c r="E11" s="215"/>
      <c r="F11" s="215"/>
      <c r="G11" s="58"/>
      <c r="H11" s="215">
        <f>2167/12</f>
        <v>180.58333333333334</v>
      </c>
      <c r="I11" s="215">
        <f t="shared" ref="I11:S11" si="4">2167/12</f>
        <v>180.58333333333334</v>
      </c>
      <c r="J11" s="215">
        <f t="shared" si="4"/>
        <v>180.58333333333334</v>
      </c>
      <c r="K11" s="215">
        <f t="shared" si="4"/>
        <v>180.58333333333334</v>
      </c>
      <c r="L11" s="215">
        <f t="shared" si="4"/>
        <v>180.58333333333334</v>
      </c>
      <c r="M11" s="215">
        <f t="shared" si="4"/>
        <v>180.58333333333334</v>
      </c>
      <c r="N11" s="215">
        <f t="shared" si="4"/>
        <v>180.58333333333334</v>
      </c>
      <c r="O11" s="215">
        <f t="shared" si="4"/>
        <v>180.58333333333334</v>
      </c>
      <c r="P11" s="215">
        <f t="shared" si="4"/>
        <v>180.58333333333334</v>
      </c>
      <c r="Q11" s="215">
        <f t="shared" si="4"/>
        <v>180.58333333333334</v>
      </c>
      <c r="R11" s="215">
        <f t="shared" si="4"/>
        <v>180.58333333333334</v>
      </c>
      <c r="S11" s="215">
        <f t="shared" si="4"/>
        <v>180.58333333333334</v>
      </c>
      <c r="V11" s="4" t="str">
        <f t="shared" si="1"/>
        <v/>
      </c>
    </row>
    <row r="12" spans="1:22" ht="20.149999999999999" customHeight="1">
      <c r="A12" s="4"/>
      <c r="B12" s="141" t="s">
        <v>900</v>
      </c>
      <c r="C12" s="141"/>
      <c r="D12" s="22">
        <f t="shared" si="0"/>
        <v>34748.000000000007</v>
      </c>
      <c r="E12" s="215"/>
      <c r="F12" s="215"/>
      <c r="G12" s="58"/>
      <c r="H12" s="215">
        <f>(15248+19500)/12</f>
        <v>2895.6666666666665</v>
      </c>
      <c r="I12" s="215">
        <f t="shared" ref="I12:S12" si="5">(15248+19500)/12</f>
        <v>2895.6666666666665</v>
      </c>
      <c r="J12" s="215">
        <f t="shared" si="5"/>
        <v>2895.6666666666665</v>
      </c>
      <c r="K12" s="215">
        <f t="shared" si="5"/>
        <v>2895.6666666666665</v>
      </c>
      <c r="L12" s="215">
        <f t="shared" si="5"/>
        <v>2895.6666666666665</v>
      </c>
      <c r="M12" s="215">
        <f t="shared" si="5"/>
        <v>2895.6666666666665</v>
      </c>
      <c r="N12" s="215">
        <f t="shared" si="5"/>
        <v>2895.6666666666665</v>
      </c>
      <c r="O12" s="215">
        <f t="shared" si="5"/>
        <v>2895.6666666666665</v>
      </c>
      <c r="P12" s="215">
        <f t="shared" si="5"/>
        <v>2895.6666666666665</v>
      </c>
      <c r="Q12" s="215">
        <f t="shared" si="5"/>
        <v>2895.6666666666665</v>
      </c>
      <c r="R12" s="215">
        <f t="shared" si="5"/>
        <v>2895.6666666666665</v>
      </c>
      <c r="S12" s="215">
        <f t="shared" si="5"/>
        <v>2895.6666666666665</v>
      </c>
      <c r="V12" s="4" t="str">
        <f t="shared" si="1"/>
        <v/>
      </c>
    </row>
    <row r="13" spans="1:22" ht="20.149999999999999" customHeight="1">
      <c r="A13" s="4"/>
      <c r="B13" s="141" t="s">
        <v>901</v>
      </c>
      <c r="C13" s="141"/>
      <c r="D13" s="22">
        <f t="shared" si="0"/>
        <v>1827.9999999999998</v>
      </c>
      <c r="E13" s="215"/>
      <c r="F13" s="215"/>
      <c r="G13" s="58"/>
      <c r="H13" s="215">
        <f>1828/12</f>
        <v>152.33333333333334</v>
      </c>
      <c r="I13" s="215">
        <f t="shared" ref="I13:S13" si="6">1828/12</f>
        <v>152.33333333333334</v>
      </c>
      <c r="J13" s="215">
        <f t="shared" si="6"/>
        <v>152.33333333333334</v>
      </c>
      <c r="K13" s="215">
        <f t="shared" si="6"/>
        <v>152.33333333333334</v>
      </c>
      <c r="L13" s="215">
        <f t="shared" si="6"/>
        <v>152.33333333333334</v>
      </c>
      <c r="M13" s="215">
        <f t="shared" si="6"/>
        <v>152.33333333333334</v>
      </c>
      <c r="N13" s="215">
        <f t="shared" si="6"/>
        <v>152.33333333333334</v>
      </c>
      <c r="O13" s="215">
        <f t="shared" si="6"/>
        <v>152.33333333333334</v>
      </c>
      <c r="P13" s="215">
        <f t="shared" si="6"/>
        <v>152.33333333333334</v>
      </c>
      <c r="Q13" s="215">
        <f t="shared" si="6"/>
        <v>152.33333333333334</v>
      </c>
      <c r="R13" s="215">
        <f t="shared" si="6"/>
        <v>152.33333333333334</v>
      </c>
      <c r="S13" s="215">
        <f t="shared" si="6"/>
        <v>152.33333333333334</v>
      </c>
      <c r="V13" s="4" t="str">
        <f t="shared" si="1"/>
        <v/>
      </c>
    </row>
    <row r="14" spans="1:22" ht="20.149999999999999" customHeight="1">
      <c r="A14" s="4"/>
      <c r="B14" s="141" t="s">
        <v>523</v>
      </c>
      <c r="C14" s="141"/>
      <c r="D14" s="22">
        <f t="shared" si="0"/>
        <v>16924.999999999996</v>
      </c>
      <c r="E14" s="215"/>
      <c r="F14" s="215"/>
      <c r="G14" s="58"/>
      <c r="H14" s="215">
        <f>16925/12</f>
        <v>1410.4166666666667</v>
      </c>
      <c r="I14" s="215">
        <f t="shared" ref="I14:S14" si="7">16925/12</f>
        <v>1410.4166666666667</v>
      </c>
      <c r="J14" s="215">
        <f t="shared" si="7"/>
        <v>1410.4166666666667</v>
      </c>
      <c r="K14" s="215">
        <f t="shared" si="7"/>
        <v>1410.4166666666667</v>
      </c>
      <c r="L14" s="215">
        <f t="shared" si="7"/>
        <v>1410.4166666666667</v>
      </c>
      <c r="M14" s="215">
        <f t="shared" si="7"/>
        <v>1410.4166666666667</v>
      </c>
      <c r="N14" s="215">
        <f t="shared" si="7"/>
        <v>1410.4166666666667</v>
      </c>
      <c r="O14" s="215">
        <f t="shared" si="7"/>
        <v>1410.4166666666667</v>
      </c>
      <c r="P14" s="215">
        <f t="shared" si="7"/>
        <v>1410.4166666666667</v>
      </c>
      <c r="Q14" s="215">
        <f t="shared" si="7"/>
        <v>1410.4166666666667</v>
      </c>
      <c r="R14" s="215">
        <f t="shared" si="7"/>
        <v>1410.4166666666667</v>
      </c>
      <c r="S14" s="215">
        <f t="shared" si="7"/>
        <v>1410.4166666666667</v>
      </c>
      <c r="V14" s="4" t="str">
        <f t="shared" si="1"/>
        <v/>
      </c>
    </row>
    <row r="15" spans="1:22" ht="20.149999999999999" customHeight="1">
      <c r="A15" s="4"/>
      <c r="B15" s="141" t="s">
        <v>902</v>
      </c>
      <c r="C15" s="141"/>
      <c r="D15" s="22">
        <f t="shared" si="0"/>
        <v>1539</v>
      </c>
      <c r="E15" s="215"/>
      <c r="F15" s="215"/>
      <c r="G15" s="58"/>
      <c r="H15" s="215">
        <f>1539/12</f>
        <v>128.25</v>
      </c>
      <c r="I15" s="215">
        <f t="shared" ref="I15:S15" si="8">1539/12</f>
        <v>128.25</v>
      </c>
      <c r="J15" s="215">
        <f t="shared" si="8"/>
        <v>128.25</v>
      </c>
      <c r="K15" s="215">
        <f t="shared" si="8"/>
        <v>128.25</v>
      </c>
      <c r="L15" s="215">
        <f t="shared" si="8"/>
        <v>128.25</v>
      </c>
      <c r="M15" s="215">
        <f t="shared" si="8"/>
        <v>128.25</v>
      </c>
      <c r="N15" s="215">
        <f t="shared" si="8"/>
        <v>128.25</v>
      </c>
      <c r="O15" s="215">
        <f t="shared" si="8"/>
        <v>128.25</v>
      </c>
      <c r="P15" s="215">
        <f t="shared" si="8"/>
        <v>128.25</v>
      </c>
      <c r="Q15" s="215">
        <f t="shared" si="8"/>
        <v>128.25</v>
      </c>
      <c r="R15" s="215">
        <f t="shared" si="8"/>
        <v>128.25</v>
      </c>
      <c r="S15" s="215">
        <f t="shared" si="8"/>
        <v>128.25</v>
      </c>
      <c r="V15" s="4" t="str">
        <f t="shared" si="1"/>
        <v/>
      </c>
    </row>
    <row r="16" spans="1:22" ht="20.149999999999999" customHeight="1">
      <c r="A16" s="4"/>
      <c r="B16" s="141" t="s">
        <v>903</v>
      </c>
      <c r="C16" s="141"/>
      <c r="D16" s="22">
        <f t="shared" si="0"/>
        <v>8394</v>
      </c>
      <c r="E16" s="215"/>
      <c r="F16" s="215"/>
      <c r="G16" s="58"/>
      <c r="H16" s="215">
        <f>8394/12</f>
        <v>699.5</v>
      </c>
      <c r="I16" s="215">
        <f t="shared" ref="I16:S16" si="9">8394/12</f>
        <v>699.5</v>
      </c>
      <c r="J16" s="215">
        <f t="shared" si="9"/>
        <v>699.5</v>
      </c>
      <c r="K16" s="215">
        <f t="shared" si="9"/>
        <v>699.5</v>
      </c>
      <c r="L16" s="215">
        <f t="shared" si="9"/>
        <v>699.5</v>
      </c>
      <c r="M16" s="215">
        <f t="shared" si="9"/>
        <v>699.5</v>
      </c>
      <c r="N16" s="215">
        <f t="shared" si="9"/>
        <v>699.5</v>
      </c>
      <c r="O16" s="215">
        <f t="shared" si="9"/>
        <v>699.5</v>
      </c>
      <c r="P16" s="215">
        <f t="shared" si="9"/>
        <v>699.5</v>
      </c>
      <c r="Q16" s="215">
        <f t="shared" si="9"/>
        <v>699.5</v>
      </c>
      <c r="R16" s="215">
        <f t="shared" si="9"/>
        <v>699.5</v>
      </c>
      <c r="S16" s="215">
        <f t="shared" si="9"/>
        <v>699.5</v>
      </c>
      <c r="V16" s="4" t="str">
        <f t="shared" si="1"/>
        <v/>
      </c>
    </row>
    <row r="17" spans="1:22" ht="20.149999999999999" customHeight="1">
      <c r="A17" s="4"/>
      <c r="B17" s="141" t="s">
        <v>904</v>
      </c>
      <c r="C17" s="141"/>
      <c r="D17" s="22">
        <f t="shared" si="0"/>
        <v>2959.9999999999995</v>
      </c>
      <c r="E17" s="215"/>
      <c r="F17" s="215"/>
      <c r="G17" s="58"/>
      <c r="H17" s="215">
        <f>2960/12</f>
        <v>246.66666666666666</v>
      </c>
      <c r="I17" s="215">
        <f t="shared" ref="I17:S17" si="10">2960/12</f>
        <v>246.66666666666666</v>
      </c>
      <c r="J17" s="215">
        <f t="shared" si="10"/>
        <v>246.66666666666666</v>
      </c>
      <c r="K17" s="215">
        <f t="shared" si="10"/>
        <v>246.66666666666666</v>
      </c>
      <c r="L17" s="215">
        <f t="shared" si="10"/>
        <v>246.66666666666666</v>
      </c>
      <c r="M17" s="215">
        <f t="shared" si="10"/>
        <v>246.66666666666666</v>
      </c>
      <c r="N17" s="215">
        <f t="shared" si="10"/>
        <v>246.66666666666666</v>
      </c>
      <c r="O17" s="215">
        <f t="shared" si="10"/>
        <v>246.66666666666666</v>
      </c>
      <c r="P17" s="215">
        <f t="shared" si="10"/>
        <v>246.66666666666666</v>
      </c>
      <c r="Q17" s="215">
        <f t="shared" si="10"/>
        <v>246.66666666666666</v>
      </c>
      <c r="R17" s="215">
        <f t="shared" si="10"/>
        <v>246.66666666666666</v>
      </c>
      <c r="S17" s="215">
        <f t="shared" si="10"/>
        <v>246.66666666666666</v>
      </c>
      <c r="V17" s="4" t="str">
        <f t="shared" si="1"/>
        <v/>
      </c>
    </row>
    <row r="18" spans="1:22" ht="20.149999999999999" customHeight="1">
      <c r="A18" s="4"/>
      <c r="B18" s="141" t="s">
        <v>905</v>
      </c>
      <c r="C18" s="141"/>
      <c r="D18" s="22">
        <f t="shared" si="0"/>
        <v>2731.9999999999995</v>
      </c>
      <c r="E18" s="215"/>
      <c r="F18" s="215"/>
      <c r="G18" s="58"/>
      <c r="H18" s="215">
        <f>2732/12</f>
        <v>227.66666666666666</v>
      </c>
      <c r="I18" s="215">
        <f t="shared" ref="I18:S18" si="11">2732/12</f>
        <v>227.66666666666666</v>
      </c>
      <c r="J18" s="215">
        <f t="shared" si="11"/>
        <v>227.66666666666666</v>
      </c>
      <c r="K18" s="215">
        <f t="shared" si="11"/>
        <v>227.66666666666666</v>
      </c>
      <c r="L18" s="215">
        <f t="shared" si="11"/>
        <v>227.66666666666666</v>
      </c>
      <c r="M18" s="215">
        <f t="shared" si="11"/>
        <v>227.66666666666666</v>
      </c>
      <c r="N18" s="215">
        <f t="shared" si="11"/>
        <v>227.66666666666666</v>
      </c>
      <c r="O18" s="215">
        <f t="shared" si="11"/>
        <v>227.66666666666666</v>
      </c>
      <c r="P18" s="215">
        <f t="shared" si="11"/>
        <v>227.66666666666666</v>
      </c>
      <c r="Q18" s="215">
        <f t="shared" si="11"/>
        <v>227.66666666666666</v>
      </c>
      <c r="R18" s="215">
        <f t="shared" si="11"/>
        <v>227.66666666666666</v>
      </c>
      <c r="S18" s="215">
        <f t="shared" si="11"/>
        <v>227.66666666666666</v>
      </c>
      <c r="U18" s="113" t="str">
        <f>IF(AND(D18&lt;&gt;0,B18=""),"Please give a title for each item of value","")</f>
        <v/>
      </c>
      <c r="V18" s="4" t="str">
        <f t="shared" si="1"/>
        <v/>
      </c>
    </row>
    <row r="19" spans="1:22" ht="20.149999999999999" customHeight="1">
      <c r="A19" s="4"/>
      <c r="B19" s="215" t="s">
        <v>1169</v>
      </c>
      <c r="C19" s="141"/>
      <c r="D19" s="22">
        <f t="shared" si="0"/>
        <v>1470.9999999999998</v>
      </c>
      <c r="E19" s="215"/>
      <c r="F19" s="215"/>
      <c r="G19" s="58"/>
      <c r="H19" s="215">
        <f>1471/12</f>
        <v>122.58333333333333</v>
      </c>
      <c r="I19" s="215">
        <f t="shared" ref="I19:S19" si="12">1471/12</f>
        <v>122.58333333333333</v>
      </c>
      <c r="J19" s="215">
        <f t="shared" si="12"/>
        <v>122.58333333333333</v>
      </c>
      <c r="K19" s="215">
        <f t="shared" si="12"/>
        <v>122.58333333333333</v>
      </c>
      <c r="L19" s="215">
        <f t="shared" si="12"/>
        <v>122.58333333333333</v>
      </c>
      <c r="M19" s="215">
        <f t="shared" si="12"/>
        <v>122.58333333333333</v>
      </c>
      <c r="N19" s="215">
        <f t="shared" si="12"/>
        <v>122.58333333333333</v>
      </c>
      <c r="O19" s="215">
        <f t="shared" si="12"/>
        <v>122.58333333333333</v>
      </c>
      <c r="P19" s="215">
        <f t="shared" si="12"/>
        <v>122.58333333333333</v>
      </c>
      <c r="Q19" s="215">
        <f t="shared" si="12"/>
        <v>122.58333333333333</v>
      </c>
      <c r="R19" s="215">
        <f t="shared" si="12"/>
        <v>122.58333333333333</v>
      </c>
      <c r="S19" s="215">
        <f t="shared" si="12"/>
        <v>122.58333333333333</v>
      </c>
      <c r="U19" s="8" t="str">
        <f t="shared" ref="U19:U27" si="13">IF(AND(D19&lt;&gt;0,B19=""),"Please give a title for each item of value","")</f>
        <v/>
      </c>
      <c r="V19" s="4" t="str">
        <f t="shared" si="1"/>
        <v/>
      </c>
    </row>
    <row r="20" spans="1:22" ht="20.149999999999999" customHeight="1">
      <c r="A20" s="4"/>
      <c r="B20" s="215"/>
      <c r="C20" s="141"/>
      <c r="D20" s="22">
        <f t="shared" si="0"/>
        <v>0</v>
      </c>
      <c r="E20" s="215"/>
      <c r="F20" s="215"/>
      <c r="G20" s="58"/>
      <c r="H20" s="215"/>
      <c r="I20" s="215"/>
      <c r="J20" s="215"/>
      <c r="K20" s="215"/>
      <c r="L20" s="215"/>
      <c r="M20" s="215"/>
      <c r="N20" s="215"/>
      <c r="O20" s="215"/>
      <c r="P20" s="215"/>
      <c r="Q20" s="215"/>
      <c r="R20" s="215"/>
      <c r="S20" s="215"/>
      <c r="U20" s="8" t="str">
        <f t="shared" si="13"/>
        <v/>
      </c>
      <c r="V20" s="4" t="str">
        <f t="shared" si="1"/>
        <v/>
      </c>
    </row>
    <row r="21" spans="1:22" ht="20.149999999999999" customHeight="1">
      <c r="A21" s="4"/>
      <c r="B21" s="215"/>
      <c r="C21" s="141"/>
      <c r="D21" s="22">
        <f t="shared" si="0"/>
        <v>0</v>
      </c>
      <c r="E21" s="215"/>
      <c r="F21" s="215"/>
      <c r="G21" s="58"/>
      <c r="H21" s="215"/>
      <c r="I21" s="215"/>
      <c r="J21" s="215"/>
      <c r="K21" s="215"/>
      <c r="L21" s="215"/>
      <c r="M21" s="215"/>
      <c r="N21" s="215"/>
      <c r="O21" s="215"/>
      <c r="P21" s="215"/>
      <c r="Q21" s="215"/>
      <c r="R21" s="215"/>
      <c r="S21" s="215"/>
      <c r="U21" s="8" t="str">
        <f t="shared" si="13"/>
        <v/>
      </c>
      <c r="V21" s="4" t="str">
        <f t="shared" si="1"/>
        <v/>
      </c>
    </row>
    <row r="22" spans="1:22" ht="20.149999999999999" customHeight="1">
      <c r="A22" s="4"/>
      <c r="B22" s="215"/>
      <c r="C22" s="141"/>
      <c r="D22" s="22">
        <f t="shared" si="0"/>
        <v>0</v>
      </c>
      <c r="E22" s="215"/>
      <c r="F22" s="215"/>
      <c r="G22" s="58"/>
      <c r="H22" s="215"/>
      <c r="I22" s="215"/>
      <c r="J22" s="215"/>
      <c r="K22" s="215"/>
      <c r="L22" s="215"/>
      <c r="M22" s="215"/>
      <c r="N22" s="215"/>
      <c r="O22" s="215"/>
      <c r="P22" s="215"/>
      <c r="Q22" s="215"/>
      <c r="R22" s="215"/>
      <c r="S22" s="215"/>
      <c r="U22" s="8" t="str">
        <f t="shared" si="13"/>
        <v/>
      </c>
      <c r="V22" s="4" t="str">
        <f t="shared" si="1"/>
        <v/>
      </c>
    </row>
    <row r="23" spans="1:22" ht="20.149999999999999" customHeight="1">
      <c r="A23" s="4"/>
      <c r="B23" s="215"/>
      <c r="C23" s="141"/>
      <c r="D23" s="22">
        <f t="shared" si="0"/>
        <v>0</v>
      </c>
      <c r="E23" s="215"/>
      <c r="F23" s="215"/>
      <c r="G23" s="58"/>
      <c r="H23" s="215"/>
      <c r="I23" s="215"/>
      <c r="J23" s="215"/>
      <c r="K23" s="215"/>
      <c r="L23" s="215"/>
      <c r="M23" s="215"/>
      <c r="N23" s="215"/>
      <c r="O23" s="215"/>
      <c r="P23" s="215"/>
      <c r="Q23" s="215"/>
      <c r="R23" s="215"/>
      <c r="S23" s="215"/>
      <c r="U23" s="8" t="str">
        <f t="shared" si="13"/>
        <v/>
      </c>
      <c r="V23" s="4" t="str">
        <f t="shared" si="1"/>
        <v/>
      </c>
    </row>
    <row r="24" spans="1:22" ht="20.149999999999999" customHeight="1">
      <c r="A24" s="4"/>
      <c r="B24" s="215"/>
      <c r="C24" s="141"/>
      <c r="D24" s="22">
        <f t="shared" si="0"/>
        <v>0</v>
      </c>
      <c r="E24" s="215"/>
      <c r="F24" s="215"/>
      <c r="G24" s="58"/>
      <c r="H24" s="215"/>
      <c r="I24" s="215"/>
      <c r="J24" s="215"/>
      <c r="K24" s="215"/>
      <c r="L24" s="215"/>
      <c r="M24" s="215"/>
      <c r="N24" s="215"/>
      <c r="O24" s="215"/>
      <c r="P24" s="215"/>
      <c r="Q24" s="215"/>
      <c r="R24" s="215"/>
      <c r="S24" s="215"/>
      <c r="U24" s="8" t="str">
        <f t="shared" si="13"/>
        <v/>
      </c>
      <c r="V24" s="4" t="str">
        <f t="shared" si="1"/>
        <v/>
      </c>
    </row>
    <row r="25" spans="1:22" ht="20.149999999999999" customHeight="1">
      <c r="A25" s="4"/>
      <c r="B25" s="215"/>
      <c r="C25" s="141"/>
      <c r="D25" s="22">
        <f t="shared" si="0"/>
        <v>0</v>
      </c>
      <c r="E25" s="215"/>
      <c r="F25" s="215"/>
      <c r="G25" s="58"/>
      <c r="H25" s="215"/>
      <c r="I25" s="215"/>
      <c r="J25" s="215"/>
      <c r="K25" s="215"/>
      <c r="L25" s="215"/>
      <c r="M25" s="215"/>
      <c r="N25" s="215"/>
      <c r="O25" s="215"/>
      <c r="P25" s="215"/>
      <c r="Q25" s="215"/>
      <c r="R25" s="215"/>
      <c r="S25" s="215"/>
      <c r="U25" s="8" t="str">
        <f t="shared" si="13"/>
        <v/>
      </c>
      <c r="V25" s="4" t="str">
        <f t="shared" si="1"/>
        <v/>
      </c>
    </row>
    <row r="26" spans="1:22" ht="20.149999999999999" customHeight="1">
      <c r="A26" s="4"/>
      <c r="B26" s="215"/>
      <c r="C26" s="141"/>
      <c r="D26" s="22">
        <f t="shared" si="0"/>
        <v>0</v>
      </c>
      <c r="E26" s="215"/>
      <c r="F26" s="215"/>
      <c r="G26" s="58"/>
      <c r="H26" s="215"/>
      <c r="I26" s="215"/>
      <c r="J26" s="215"/>
      <c r="K26" s="215"/>
      <c r="L26" s="215"/>
      <c r="M26" s="215"/>
      <c r="N26" s="215"/>
      <c r="O26" s="215"/>
      <c r="P26" s="215"/>
      <c r="Q26" s="215"/>
      <c r="R26" s="215"/>
      <c r="S26" s="215"/>
      <c r="U26" s="8" t="str">
        <f t="shared" si="13"/>
        <v/>
      </c>
      <c r="V26" s="4" t="str">
        <f t="shared" si="1"/>
        <v/>
      </c>
    </row>
    <row r="27" spans="1:22" ht="20.149999999999999" customHeight="1">
      <c r="A27" s="4"/>
      <c r="B27" s="145"/>
      <c r="C27" s="141"/>
      <c r="D27" s="22">
        <f t="shared" si="0"/>
        <v>0</v>
      </c>
      <c r="E27" s="215"/>
      <c r="F27" s="215"/>
      <c r="G27" s="58"/>
      <c r="H27" s="215"/>
      <c r="I27" s="215"/>
      <c r="J27" s="215"/>
      <c r="K27" s="215"/>
      <c r="L27" s="215"/>
      <c r="M27" s="215"/>
      <c r="N27" s="215"/>
      <c r="O27" s="215"/>
      <c r="P27" s="215"/>
      <c r="Q27" s="215"/>
      <c r="R27" s="215"/>
      <c r="S27" s="215"/>
      <c r="U27" s="8" t="str">
        <f t="shared" si="13"/>
        <v/>
      </c>
      <c r="V27" s="4" t="str">
        <f t="shared" si="1"/>
        <v/>
      </c>
    </row>
    <row r="29" spans="1:22" ht="20.149999999999999" hidden="1" customHeight="1">
      <c r="A29" s="4"/>
      <c r="B29" s="49" t="s">
        <v>906</v>
      </c>
      <c r="C29" s="50"/>
      <c r="D29" s="247"/>
    </row>
    <row r="30" spans="1:22" ht="20.149999999999999" hidden="1" customHeight="1">
      <c r="A30" s="4"/>
      <c r="B30" s="108" t="s">
        <v>907</v>
      </c>
      <c r="C30" s="246">
        <v>123</v>
      </c>
      <c r="D30" s="246">
        <v>123</v>
      </c>
    </row>
    <row r="31" spans="1:22" ht="20.149999999999999" hidden="1" customHeight="1">
      <c r="A31" s="4"/>
      <c r="B31" s="108" t="s">
        <v>908</v>
      </c>
      <c r="C31" s="215">
        <v>123</v>
      </c>
      <c r="D31" s="215">
        <v>123</v>
      </c>
    </row>
    <row r="32" spans="1:22" ht="20.149999999999999" hidden="1" customHeight="1">
      <c r="A32" s="4"/>
      <c r="B32" s="108" t="s">
        <v>909</v>
      </c>
      <c r="C32" s="215">
        <v>123</v>
      </c>
      <c r="D32" s="215">
        <v>123</v>
      </c>
    </row>
    <row r="33" spans="1:22" ht="20.149999999999999" hidden="1" customHeight="1">
      <c r="A33" s="4"/>
      <c r="B33" s="108" t="s">
        <v>910</v>
      </c>
      <c r="C33" s="215">
        <v>123</v>
      </c>
      <c r="D33" s="215">
        <v>123</v>
      </c>
    </row>
    <row r="34" spans="1:22" ht="20.149999999999999" hidden="1" customHeight="1">
      <c r="A34" s="4"/>
      <c r="B34" s="108" t="s">
        <v>911</v>
      </c>
      <c r="C34" s="215">
        <v>123</v>
      </c>
      <c r="D34" s="215">
        <v>123</v>
      </c>
    </row>
    <row r="35" spans="1:22" ht="20.149999999999999" hidden="1" customHeight="1">
      <c r="A35" s="4"/>
      <c r="B35" s="245" t="s">
        <v>912</v>
      </c>
      <c r="C35" s="215">
        <v>123</v>
      </c>
      <c r="D35" s="215">
        <v>123</v>
      </c>
    </row>
    <row r="36" spans="1:22" ht="20.149999999999999" hidden="1" customHeight="1">
      <c r="A36" s="4"/>
      <c r="B36" s="108" t="s">
        <v>913</v>
      </c>
      <c r="C36" s="215">
        <v>123</v>
      </c>
      <c r="D36" s="215">
        <v>123</v>
      </c>
    </row>
    <row r="37" spans="1:22" ht="20.149999999999999" hidden="1" customHeight="1">
      <c r="A37" s="4"/>
      <c r="B37" s="108" t="s">
        <v>914</v>
      </c>
      <c r="C37" s="215">
        <v>123</v>
      </c>
      <c r="D37" s="215">
        <v>123</v>
      </c>
    </row>
    <row r="38" spans="1:22" ht="20.149999999999999" hidden="1" customHeight="1">
      <c r="A38" s="4"/>
      <c r="B38" s="145"/>
      <c r="C38" s="215">
        <v>123</v>
      </c>
      <c r="D38" s="215">
        <v>123</v>
      </c>
    </row>
    <row r="39" spans="1:22" ht="20.149999999999999" hidden="1" customHeight="1">
      <c r="A39" s="4"/>
      <c r="B39" s="145"/>
      <c r="C39" s="215">
        <v>123</v>
      </c>
      <c r="D39" s="215">
        <v>123</v>
      </c>
    </row>
    <row r="40" spans="1:22" ht="20.149999999999999" hidden="1" customHeight="1">
      <c r="A40" s="4"/>
      <c r="B40" s="145"/>
      <c r="C40" s="215">
        <v>123</v>
      </c>
      <c r="D40" s="215">
        <v>123</v>
      </c>
    </row>
    <row r="41" spans="1:22" ht="20.149999999999999" hidden="1" customHeight="1">
      <c r="A41" s="4"/>
      <c r="B41" s="145"/>
      <c r="C41" s="215">
        <v>123</v>
      </c>
      <c r="D41" s="215">
        <v>123</v>
      </c>
    </row>
    <row r="42" spans="1:22" ht="20.149999999999999" hidden="1" customHeight="1">
      <c r="A42" s="4"/>
      <c r="B42" s="145"/>
      <c r="C42" s="215">
        <v>123</v>
      </c>
      <c r="D42" s="215">
        <v>123</v>
      </c>
    </row>
    <row r="43" spans="1:22" customFormat="1" ht="20.149999999999999" hidden="1" customHeight="1"/>
    <row r="44" spans="1:22">
      <c r="U44" s="401">
        <f>COUNTIFS(U3:U27,"Please*")</f>
        <v>0</v>
      </c>
      <c r="V44" s="401">
        <f>COUNTIFS(V3:V27,"Please*")</f>
        <v>0</v>
      </c>
    </row>
  </sheetData>
  <sheetProtection sheet="1" objects="1" scenarios="1"/>
  <customSheetViews>
    <customSheetView guid="{95B84344-25FE-4A71-9083-825DAB5E8F01}" scale="60" showGridLines="0">
      <selection activeCell="E17" sqref="E17"/>
      <pageMargins left="0" right="0" top="0" bottom="0" header="0" footer="0"/>
      <pageSetup paperSize="9" scale="21" orientation="portrait" r:id="rId1"/>
    </customSheetView>
  </customSheetViews>
  <pageMargins left="0.70866141732283472" right="0.70866141732283472" top="0.74803149606299213" bottom="0.74803149606299213" header="0.31496062992125984" footer="0.31496062992125984"/>
  <pageSetup paperSize="9" scale="45" fitToHeight="0"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tabColor theme="0" tint="-0.499984740745262"/>
    <pageSetUpPr fitToPage="1"/>
  </sheetPr>
  <dimension ref="A1:AT1156"/>
  <sheetViews>
    <sheetView tabSelected="1" zoomScaleNormal="70" workbookViewId="0">
      <pane ySplit="1" topLeftCell="A1103" activePane="bottomLeft" state="frozen"/>
      <selection pane="bottomLeft" activeCell="P1113" sqref="P1113"/>
    </sheetView>
  </sheetViews>
  <sheetFormatPr defaultColWidth="6.23046875" defaultRowHeight="14"/>
  <cols>
    <col min="1" max="1" width="4" style="234" customWidth="1"/>
    <col min="2" max="2" width="11.23046875" style="234" customWidth="1"/>
    <col min="3" max="3" width="20.53515625" style="235" customWidth="1"/>
    <col min="4" max="4" width="13.765625" style="234" customWidth="1"/>
    <col min="5" max="5" width="11.53515625" style="234" customWidth="1"/>
    <col min="6" max="6" width="26.765625" style="234" customWidth="1"/>
    <col min="7" max="18" width="4.69140625" style="233" customWidth="1"/>
    <col min="19" max="19" width="7.4609375" style="233" bestFit="1" customWidth="1"/>
    <col min="20" max="31" width="0.4609375" style="233" customWidth="1"/>
    <col min="32" max="32" width="7.84375" style="233" customWidth="1"/>
    <col min="33" max="36" width="8.765625" style="233" customWidth="1"/>
    <col min="37" max="37" width="7.765625" style="233" customWidth="1"/>
    <col min="38" max="38" width="2.07421875" style="233" customWidth="1"/>
    <col min="39" max="39" width="8" style="233" customWidth="1"/>
    <col min="40" max="40" width="10.07421875" style="233" bestFit="1" customWidth="1"/>
    <col min="41" max="43" width="10.07421875" style="233" customWidth="1"/>
    <col min="44" max="44" width="7.4609375" style="233" bestFit="1" customWidth="1"/>
    <col min="45" max="45" width="7.4609375" style="233" customWidth="1"/>
    <col min="46" max="46" width="7.4609375" style="233" bestFit="1" customWidth="1"/>
    <col min="47" max="16384" width="6.23046875" style="233"/>
  </cols>
  <sheetData>
    <row r="1" spans="1:46" s="237" customFormat="1" ht="27.75" customHeight="1">
      <c r="A1" s="236" t="s">
        <v>176</v>
      </c>
      <c r="B1" s="236" t="s">
        <v>177</v>
      </c>
      <c r="C1" s="238" t="s">
        <v>178</v>
      </c>
      <c r="D1" s="236" t="s">
        <v>179</v>
      </c>
      <c r="E1" s="236" t="s">
        <v>180</v>
      </c>
      <c r="F1" s="236" t="s">
        <v>181</v>
      </c>
      <c r="G1" s="237" t="s">
        <v>182</v>
      </c>
      <c r="H1" s="237" t="s">
        <v>183</v>
      </c>
      <c r="I1" s="237" t="s">
        <v>184</v>
      </c>
      <c r="J1" s="237" t="s">
        <v>185</v>
      </c>
      <c r="K1" s="237" t="s">
        <v>186</v>
      </c>
      <c r="L1" s="237" t="s">
        <v>187</v>
      </c>
      <c r="M1" s="237" t="s">
        <v>188</v>
      </c>
      <c r="N1" s="237" t="s">
        <v>189</v>
      </c>
      <c r="O1" s="237" t="s">
        <v>190</v>
      </c>
      <c r="P1" s="237" t="s">
        <v>191</v>
      </c>
      <c r="Q1" s="237" t="s">
        <v>192</v>
      </c>
      <c r="R1" s="237" t="s">
        <v>193</v>
      </c>
      <c r="S1" s="237" t="s">
        <v>194</v>
      </c>
      <c r="T1" s="237" t="s">
        <v>195</v>
      </c>
      <c r="U1" s="237" t="s">
        <v>196</v>
      </c>
      <c r="V1" s="237" t="s">
        <v>197</v>
      </c>
      <c r="W1" s="237" t="s">
        <v>198</v>
      </c>
      <c r="X1" s="237" t="s">
        <v>199</v>
      </c>
      <c r="Y1" s="237" t="s">
        <v>200</v>
      </c>
      <c r="Z1" s="237" t="s">
        <v>201</v>
      </c>
      <c r="AA1" s="237" t="s">
        <v>202</v>
      </c>
      <c r="AB1" s="237" t="s">
        <v>203</v>
      </c>
      <c r="AC1" s="237" t="s">
        <v>204</v>
      </c>
      <c r="AD1" s="237" t="s">
        <v>205</v>
      </c>
      <c r="AE1" s="237" t="s">
        <v>206</v>
      </c>
      <c r="AF1" s="237" t="s">
        <v>207</v>
      </c>
      <c r="AG1" s="237" t="s">
        <v>210</v>
      </c>
      <c r="AH1" s="237" t="s">
        <v>357</v>
      </c>
      <c r="AI1" s="237" t="s">
        <v>358</v>
      </c>
      <c r="AJ1" s="237" t="s">
        <v>359</v>
      </c>
      <c r="AK1" s="237" t="s">
        <v>267</v>
      </c>
      <c r="AL1" s="237" t="s">
        <v>360</v>
      </c>
      <c r="AM1" s="237" t="s">
        <v>361</v>
      </c>
      <c r="AN1" s="237" t="s">
        <v>362</v>
      </c>
      <c r="AO1" s="237" t="s">
        <v>363</v>
      </c>
      <c r="AP1" s="237" t="s">
        <v>364</v>
      </c>
      <c r="AQ1" s="237" t="s">
        <v>365</v>
      </c>
      <c r="AR1" s="237" t="s">
        <v>366</v>
      </c>
      <c r="AS1" s="237" t="s">
        <v>367</v>
      </c>
      <c r="AT1" s="237" t="s">
        <v>368</v>
      </c>
    </row>
    <row r="2" spans="1:46" ht="15" customHeight="1">
      <c r="A2" s="234" t="str">
        <f>'Front Sheet and Checklist'!$C$5</f>
        <v>Swansea Bay UHB</v>
      </c>
      <c r="B2" s="234" t="str">
        <f>"F1 Revenue Plan"</f>
        <v>F1 Revenue Plan</v>
      </c>
      <c r="F2" s="234" t="str">
        <f>'F1 - Revenue Plan'!A8</f>
        <v>Total: B/F ULD from Previous Year</v>
      </c>
      <c r="AM2" s="233">
        <f>'F1 - Revenue Plan'!B8</f>
        <v>-54893.521179999807</v>
      </c>
      <c r="AN2" s="233">
        <f>'F1 - Revenue Plan'!C8</f>
        <v>-54893.521179999807</v>
      </c>
      <c r="AR2" s="233">
        <f>'F1 - Revenue Plan'!E8</f>
        <v>-50100.11716871924</v>
      </c>
      <c r="AS2" s="233">
        <f>'F1 - Revenue Plan'!F8</f>
        <v>-50100.11716871924</v>
      </c>
      <c r="AT2" s="233">
        <f>'F1 - Revenue Plan'!H8</f>
        <v>-51891.889179577629</v>
      </c>
    </row>
    <row r="3" spans="1:46" ht="15" customHeight="1">
      <c r="A3" s="234" t="str">
        <f>'Front Sheet and Checklist'!$C$5</f>
        <v>Swansea Bay UHB</v>
      </c>
      <c r="B3" s="234" t="str">
        <f t="shared" ref="B3:B21" si="0">"F1 Revenue Plan"</f>
        <v>F1 Revenue Plan</v>
      </c>
      <c r="F3" s="234">
        <f>'F1 - Revenue Plan'!A9</f>
        <v>0</v>
      </c>
      <c r="AM3" s="233">
        <f>'F1 - Revenue Plan'!B9</f>
        <v>0</v>
      </c>
      <c r="AN3" s="233">
        <f>'F1 - Revenue Plan'!C9</f>
        <v>0</v>
      </c>
      <c r="AR3" s="233">
        <f>'F1 - Revenue Plan'!E9</f>
        <v>0</v>
      </c>
      <c r="AS3" s="233">
        <f>'F1 - Revenue Plan'!F9</f>
        <v>0</v>
      </c>
      <c r="AT3" s="233">
        <f>'F1 - Revenue Plan'!H9</f>
        <v>0</v>
      </c>
    </row>
    <row r="4" spans="1:46" ht="15" customHeight="1">
      <c r="A4" s="234" t="str">
        <f>'Front Sheet and Checklist'!$C$5</f>
        <v>Swansea Bay UHB</v>
      </c>
      <c r="B4" s="234" t="str">
        <f t="shared" si="0"/>
        <v>F1 Revenue Plan</v>
      </c>
      <c r="F4" s="234" t="str">
        <f>'F1 - Revenue Plan'!A10</f>
        <v>Income Assumptions</v>
      </c>
      <c r="AM4" s="233">
        <f>'F1 - Revenue Plan'!B10</f>
        <v>0</v>
      </c>
      <c r="AN4" s="233">
        <f>'F1 - Revenue Plan'!C10</f>
        <v>0</v>
      </c>
      <c r="AR4" s="233">
        <f>'F1 - Revenue Plan'!E10</f>
        <v>0</v>
      </c>
      <c r="AS4" s="233">
        <f>'F1 - Revenue Plan'!F10</f>
        <v>0</v>
      </c>
      <c r="AT4" s="233">
        <f>'F1 - Revenue Plan'!H10</f>
        <v>0</v>
      </c>
    </row>
    <row r="5" spans="1:46" ht="15" customHeight="1">
      <c r="A5" s="234" t="str">
        <f>'Front Sheet and Checklist'!$C$5</f>
        <v>Swansea Bay UHB</v>
      </c>
      <c r="B5" s="234" t="str">
        <f t="shared" si="0"/>
        <v>F1 Revenue Plan</v>
      </c>
      <c r="F5" s="234" t="str">
        <f>'F1 - Revenue Plan'!A11</f>
        <v>Allocation Letter Revenue Funding Uplift / (Reduction)</v>
      </c>
      <c r="AM5" s="233">
        <f>'F1 - Revenue Plan'!B11</f>
        <v>42426</v>
      </c>
      <c r="AN5" s="233">
        <f>'F1 - Revenue Plan'!C11</f>
        <v>42426</v>
      </c>
      <c r="AR5" s="233">
        <f>'F1 - Revenue Plan'!E11</f>
        <v>28321.798365122613</v>
      </c>
      <c r="AS5" s="233">
        <f>'F1 - Revenue Plan'!F11</f>
        <v>28321.798365122613</v>
      </c>
      <c r="AT5" s="233">
        <f>'F1 - Revenue Plan'!H11</f>
        <v>28321.798365122613</v>
      </c>
    </row>
    <row r="6" spans="1:46" ht="15" customHeight="1">
      <c r="A6" s="234" t="str">
        <f>'Front Sheet and Checklist'!$C$5</f>
        <v>Swansea Bay UHB</v>
      </c>
      <c r="B6" s="234" t="str">
        <f t="shared" si="0"/>
        <v>F1 Revenue Plan</v>
      </c>
      <c r="F6" s="234" t="str">
        <f>'F1 - Revenue Plan'!A12</f>
        <v>WG RRL / WG Income Uplift / (Reduction)</v>
      </c>
      <c r="AM6" s="233">
        <f>'F1 - Revenue Plan'!B12</f>
        <v>3187</v>
      </c>
      <c r="AN6" s="233">
        <f>'F1 - Revenue Plan'!C12</f>
        <v>3187</v>
      </c>
      <c r="AR6" s="233">
        <f>'F1 - Revenue Plan'!E12</f>
        <v>0</v>
      </c>
      <c r="AS6" s="233">
        <f>'F1 - Revenue Plan'!F12</f>
        <v>0</v>
      </c>
      <c r="AT6" s="233">
        <f>'F1 - Revenue Plan'!H12</f>
        <v>0</v>
      </c>
    </row>
    <row r="7" spans="1:46" ht="15" customHeight="1">
      <c r="A7" s="234" t="str">
        <f>'Front Sheet and Checklist'!$C$5</f>
        <v>Swansea Bay UHB</v>
      </c>
      <c r="B7" s="234" t="str">
        <f t="shared" si="0"/>
        <v>F1 Revenue Plan</v>
      </c>
      <c r="F7" s="234" t="str">
        <f>'F1 - Revenue Plan'!A13</f>
        <v>Other Income Uplift / (Reduction)</v>
      </c>
      <c r="AM7" s="233">
        <f>'F1 - Revenue Plan'!B13</f>
        <v>0</v>
      </c>
      <c r="AN7" s="233">
        <f>'F1 - Revenue Plan'!C13</f>
        <v>0</v>
      </c>
      <c r="AR7" s="233">
        <f>'F1 - Revenue Plan'!E13</f>
        <v>0</v>
      </c>
      <c r="AS7" s="233">
        <f>'F1 - Revenue Plan'!F13</f>
        <v>0</v>
      </c>
      <c r="AT7" s="233">
        <f>'F1 - Revenue Plan'!H13</f>
        <v>0</v>
      </c>
    </row>
    <row r="8" spans="1:46" ht="15" customHeight="1">
      <c r="A8" s="234" t="str">
        <f>'Front Sheet and Checklist'!$C$5</f>
        <v>Swansea Bay UHB</v>
      </c>
      <c r="B8" s="234" t="str">
        <f t="shared" si="0"/>
        <v>F1 Revenue Plan</v>
      </c>
      <c r="E8" s="234" t="s">
        <v>263</v>
      </c>
      <c r="F8" s="234" t="str">
        <f>'F1 - Revenue Plan'!A14</f>
        <v>Total Revenue Uplift / (Reduction)</v>
      </c>
      <c r="AM8" s="233">
        <f>'F1 - Revenue Plan'!B14</f>
        <v>45613</v>
      </c>
      <c r="AN8" s="233">
        <f>'F1 - Revenue Plan'!C14</f>
        <v>45613</v>
      </c>
      <c r="AR8" s="233">
        <f>'F1 - Revenue Plan'!E14</f>
        <v>28321.798365122613</v>
      </c>
      <c r="AS8" s="233">
        <f>'F1 - Revenue Plan'!F14</f>
        <v>28321.798365122613</v>
      </c>
      <c r="AT8" s="233">
        <f>'F1 - Revenue Plan'!H14</f>
        <v>28321.798365122613</v>
      </c>
    </row>
    <row r="9" spans="1:46" ht="15" customHeight="1">
      <c r="A9" s="234" t="str">
        <f>'Front Sheet and Checklist'!$C$5</f>
        <v>Swansea Bay UHB</v>
      </c>
      <c r="B9" s="234" t="str">
        <f t="shared" si="0"/>
        <v>F1 Revenue Plan</v>
      </c>
      <c r="F9" s="234">
        <f>'F1 - Revenue Plan'!A15</f>
        <v>0</v>
      </c>
      <c r="AM9" s="233">
        <f>'F1 - Revenue Plan'!B15</f>
        <v>0</v>
      </c>
      <c r="AN9" s="233">
        <f>'F1 - Revenue Plan'!C15</f>
        <v>0</v>
      </c>
      <c r="AR9" s="233">
        <f>'F1 - Revenue Plan'!E15</f>
        <v>0</v>
      </c>
      <c r="AS9" s="233">
        <f>'F1 - Revenue Plan'!F15</f>
        <v>0</v>
      </c>
      <c r="AT9" s="233">
        <f>'F1 - Revenue Plan'!H15</f>
        <v>0</v>
      </c>
    </row>
    <row r="10" spans="1:46" ht="15" customHeight="1">
      <c r="A10" s="234" t="str">
        <f>'Front Sheet and Checklist'!$C$5</f>
        <v>Swansea Bay UHB</v>
      </c>
      <c r="B10" s="234" t="str">
        <f t="shared" si="0"/>
        <v>F1 Revenue Plan</v>
      </c>
      <c r="F10" s="234" t="str">
        <f>'F1 - Revenue Plan'!A16</f>
        <v>Cost Pressures (Populated from F5 - Cost Pressures)</v>
      </c>
      <c r="AM10" s="233">
        <f>'F1 - Revenue Plan'!B16</f>
        <v>0</v>
      </c>
      <c r="AN10" s="233">
        <f>'F1 - Revenue Plan'!C16</f>
        <v>0</v>
      </c>
      <c r="AR10" s="233">
        <f>'F1 - Revenue Plan'!E16</f>
        <v>0</v>
      </c>
      <c r="AS10" s="233">
        <f>'F1 - Revenue Plan'!F16</f>
        <v>0</v>
      </c>
      <c r="AT10" s="233">
        <f>'F1 - Revenue Plan'!H16</f>
        <v>0</v>
      </c>
    </row>
    <row r="11" spans="1:46" ht="15" customHeight="1">
      <c r="A11" s="234" t="str">
        <f>'Front Sheet and Checklist'!$C$5</f>
        <v>Swansea Bay UHB</v>
      </c>
      <c r="B11" s="234" t="str">
        <f t="shared" si="0"/>
        <v>F1 Revenue Plan</v>
      </c>
      <c r="F11" s="234" t="str">
        <f>'F1 - Revenue Plan'!A17</f>
        <v>Macro Economic Inflation</v>
      </c>
      <c r="AM11" s="233">
        <f>'F1 - Revenue Plan'!B17</f>
        <v>-43907.332988719427</v>
      </c>
      <c r="AN11" s="233">
        <f>'F1 - Revenue Plan'!C17</f>
        <v>-43907.332988719427</v>
      </c>
      <c r="AR11" s="233">
        <f>'F1 - Revenue Plan'!E17</f>
        <v>-36213.570375981006</v>
      </c>
      <c r="AS11" s="233">
        <f>'F1 - Revenue Plan'!F17</f>
        <v>-36213.570375981006</v>
      </c>
      <c r="AT11" s="233">
        <f>'F1 - Revenue Plan'!H17</f>
        <v>-35992.720500981006</v>
      </c>
    </row>
    <row r="12" spans="1:46" ht="15" customHeight="1">
      <c r="A12" s="234" t="str">
        <f>'Front Sheet and Checklist'!$C$5</f>
        <v>Swansea Bay UHB</v>
      </c>
      <c r="B12" s="234" t="str">
        <f t="shared" si="0"/>
        <v>F1 Revenue Plan</v>
      </c>
      <c r="F12" s="234" t="str">
        <f>'F1 - Revenue Plan'!A18</f>
        <v>Pay award</v>
      </c>
      <c r="AM12" s="233">
        <f>'F1 - Revenue Plan'!B18</f>
        <v>0</v>
      </c>
      <c r="AN12" s="233">
        <f>'F1 - Revenue Plan'!C18</f>
        <v>0</v>
      </c>
      <c r="AR12" s="233">
        <f>'F1 - Revenue Plan'!E18</f>
        <v>0</v>
      </c>
      <c r="AS12" s="233">
        <f>'F1 - Revenue Plan'!F18</f>
        <v>0</v>
      </c>
      <c r="AT12" s="233">
        <f>'F1 - Revenue Plan'!H18</f>
        <v>0</v>
      </c>
    </row>
    <row r="13" spans="1:46" ht="15" customHeight="1">
      <c r="A13" s="234" t="str">
        <f>'Front Sheet and Checklist'!$C$5</f>
        <v>Swansea Bay UHB</v>
      </c>
      <c r="B13" s="234" t="str">
        <f t="shared" si="0"/>
        <v>F1 Revenue Plan</v>
      </c>
      <c r="F13" s="234" t="str">
        <f>'F1 - Revenue Plan'!A19</f>
        <v>Contractual or unavoidable</v>
      </c>
      <c r="AM13" s="233">
        <f>'F1 - Revenue Plan'!B19</f>
        <v>-3425</v>
      </c>
      <c r="AN13" s="233">
        <f>'F1 - Revenue Plan'!C19</f>
        <v>-3425</v>
      </c>
      <c r="AR13" s="233">
        <f>'F1 - Revenue Plan'!E19</f>
        <v>0</v>
      </c>
      <c r="AS13" s="233">
        <f>'F1 - Revenue Plan'!F19</f>
        <v>0</v>
      </c>
      <c r="AT13" s="233">
        <f>'F1 - Revenue Plan'!H19</f>
        <v>0</v>
      </c>
    </row>
    <row r="14" spans="1:46" ht="15" customHeight="1">
      <c r="A14" s="234" t="str">
        <f>'Front Sheet and Checklist'!$C$5</f>
        <v>Swansea Bay UHB</v>
      </c>
      <c r="B14" s="234" t="str">
        <f t="shared" si="0"/>
        <v>F1 Revenue Plan</v>
      </c>
      <c r="F14" s="234" t="str">
        <f>'F1 - Revenue Plan'!A20</f>
        <v>National Investment Decisions</v>
      </c>
      <c r="AM14" s="233">
        <f>'F1 - Revenue Plan'!B20</f>
        <v>-2447.2629999999999</v>
      </c>
      <c r="AN14" s="233">
        <f>'F1 - Revenue Plan'!C20</f>
        <v>-2447.2629999999999</v>
      </c>
      <c r="AR14" s="233">
        <f>'F1 - Revenue Plan'!E20</f>
        <v>0</v>
      </c>
      <c r="AS14" s="233">
        <f>'F1 - Revenue Plan'!F20</f>
        <v>0</v>
      </c>
      <c r="AT14" s="233">
        <f>'F1 - Revenue Plan'!H20</f>
        <v>0</v>
      </c>
    </row>
    <row r="15" spans="1:46" ht="15" customHeight="1">
      <c r="A15" s="234" t="str">
        <f>'Front Sheet and Checklist'!$C$5</f>
        <v>Swansea Bay UHB</v>
      </c>
      <c r="B15" s="234" t="str">
        <f t="shared" si="0"/>
        <v>F1 Revenue Plan</v>
      </c>
      <c r="F15" s="234" t="str">
        <f>'F1 - Revenue Plan'!A21</f>
        <v>Local Investment Decisions</v>
      </c>
      <c r="AM15" s="233">
        <f>'F1 - Revenue Plan'!B21</f>
        <v>-25540</v>
      </c>
      <c r="AN15" s="233">
        <f>'F1 - Revenue Plan'!C21</f>
        <v>-25540</v>
      </c>
      <c r="AR15" s="233">
        <f>'F1 - Revenue Plan'!E21</f>
        <v>-20000</v>
      </c>
      <c r="AS15" s="233">
        <f>'F1 - Revenue Plan'!F21</f>
        <v>-20000</v>
      </c>
      <c r="AT15" s="233">
        <f>'F1 - Revenue Plan'!H21</f>
        <v>-20000</v>
      </c>
    </row>
    <row r="16" spans="1:46" ht="15" customHeight="1">
      <c r="A16" s="234" t="str">
        <f>'Front Sheet and Checklist'!$C$5</f>
        <v>Swansea Bay UHB</v>
      </c>
      <c r="B16" s="234" t="str">
        <f t="shared" si="0"/>
        <v>F1 Revenue Plan</v>
      </c>
      <c r="F16" s="234" t="str">
        <f>'F1 - Revenue Plan'!A22</f>
        <v>Ringfence Funded</v>
      </c>
      <c r="AM16" s="233">
        <f>'F1 - Revenue Plan'!B22</f>
        <v>0</v>
      </c>
      <c r="AN16" s="233">
        <f>'F1 - Revenue Plan'!C22</f>
        <v>0</v>
      </c>
      <c r="AR16" s="233">
        <f>'F1 - Revenue Plan'!E22</f>
        <v>0</v>
      </c>
      <c r="AS16" s="233">
        <f>'F1 - Revenue Plan'!F22</f>
        <v>0</v>
      </c>
      <c r="AT16" s="233">
        <f>'F1 - Revenue Plan'!H22</f>
        <v>0</v>
      </c>
    </row>
    <row r="17" spans="1:46" ht="15" customHeight="1">
      <c r="A17" s="234" t="str">
        <f>'Front Sheet and Checklist'!$C$5</f>
        <v>Swansea Bay UHB</v>
      </c>
      <c r="B17" s="234" t="str">
        <f t="shared" si="0"/>
        <v>F1 Revenue Plan</v>
      </c>
      <c r="F17" s="234" t="str">
        <f>'F1 - Revenue Plan'!A23</f>
        <v>AME &amp; Non-Cash Depreciation</v>
      </c>
      <c r="AM17" s="233">
        <f>'F1 - Revenue Plan'!B23</f>
        <v>0</v>
      </c>
      <c r="AN17" s="233">
        <f>'F1 - Revenue Plan'!C23</f>
        <v>0</v>
      </c>
      <c r="AR17" s="233">
        <f>'F1 - Revenue Plan'!E23</f>
        <v>0</v>
      </c>
      <c r="AS17" s="233">
        <f>'F1 - Revenue Plan'!F23</f>
        <v>0</v>
      </c>
      <c r="AT17" s="233">
        <f>'F1 - Revenue Plan'!H23</f>
        <v>0</v>
      </c>
    </row>
    <row r="18" spans="1:46" ht="15" customHeight="1">
      <c r="A18" s="234" t="str">
        <f>'Front Sheet and Checklist'!$C$5</f>
        <v>Swansea Bay UHB</v>
      </c>
      <c r="B18" s="234" t="str">
        <f t="shared" si="0"/>
        <v>F1 Revenue Plan</v>
      </c>
      <c r="E18" s="234" t="s">
        <v>263</v>
      </c>
      <c r="F18" s="234" t="str">
        <f>'F1 - Revenue Plan'!A24</f>
        <v>Total Cost Pressures</v>
      </c>
      <c r="AM18" s="233">
        <f>'F1 - Revenue Plan'!B24</f>
        <v>-75319.595988719433</v>
      </c>
      <c r="AN18" s="233">
        <f>'F1 - Revenue Plan'!C24</f>
        <v>-75319.595988719433</v>
      </c>
      <c r="AR18" s="233">
        <f>'F1 - Revenue Plan'!E24</f>
        <v>-56213.570375981006</v>
      </c>
      <c r="AS18" s="233">
        <f>'F1 - Revenue Plan'!F24</f>
        <v>-56213.570375981006</v>
      </c>
      <c r="AT18" s="233">
        <f>'F1 - Revenue Plan'!H24</f>
        <v>-55992.720500981006</v>
      </c>
    </row>
    <row r="19" spans="1:46" ht="15" customHeight="1">
      <c r="A19" s="234" t="str">
        <f>'Front Sheet and Checklist'!$C$5</f>
        <v>Swansea Bay UHB</v>
      </c>
      <c r="B19" s="234" t="str">
        <f t="shared" si="0"/>
        <v>F1 Revenue Plan</v>
      </c>
      <c r="F19" s="234">
        <f>'F1 - Revenue Plan'!A25</f>
        <v>0</v>
      </c>
      <c r="AM19" s="233">
        <f>'F1 - Revenue Plan'!B25</f>
        <v>0</v>
      </c>
      <c r="AN19" s="233">
        <f>'F1 - Revenue Plan'!C25</f>
        <v>0</v>
      </c>
      <c r="AR19" s="233">
        <f>'F1 - Revenue Plan'!E25</f>
        <v>0</v>
      </c>
      <c r="AS19" s="233">
        <f>'F1 - Revenue Plan'!F25</f>
        <v>0</v>
      </c>
      <c r="AT19" s="233">
        <f>'F1 - Revenue Plan'!H25</f>
        <v>0</v>
      </c>
    </row>
    <row r="20" spans="1:46" ht="15" customHeight="1">
      <c r="A20" s="234" t="str">
        <f>'Front Sheet and Checklist'!$C$5</f>
        <v>Swansea Bay UHB</v>
      </c>
      <c r="B20" s="234" t="str">
        <f t="shared" si="0"/>
        <v>F1 Revenue Plan</v>
      </c>
      <c r="F20" s="234" t="str">
        <f>'F1 - Revenue Plan'!A26</f>
        <v>Pressure before savings applied</v>
      </c>
      <c r="AM20" s="233">
        <f>'F1 - Revenue Plan'!B26</f>
        <v>-84600.11716871924</v>
      </c>
      <c r="AN20" s="233">
        <f>'F1 - Revenue Plan'!C26</f>
        <v>-84600.11716871924</v>
      </c>
      <c r="AR20" s="233">
        <f>'F1 - Revenue Plan'!E26</f>
        <v>-77991.889179577629</v>
      </c>
      <c r="AS20" s="233">
        <f>'F1 - Revenue Plan'!F26</f>
        <v>-77991.889179577629</v>
      </c>
      <c r="AT20" s="233">
        <f>'F1 - Revenue Plan'!H26</f>
        <v>-79562.811315436018</v>
      </c>
    </row>
    <row r="21" spans="1:46" ht="15" customHeight="1">
      <c r="A21" s="234" t="str">
        <f>'Front Sheet and Checklist'!$C$5</f>
        <v>Swansea Bay UHB</v>
      </c>
      <c r="B21" s="234" t="str">
        <f t="shared" si="0"/>
        <v>F1 Revenue Plan</v>
      </c>
      <c r="F21" s="234">
        <f>'F1 - Revenue Plan'!A27</f>
        <v>0</v>
      </c>
      <c r="AM21" s="233">
        <f>'F1 - Revenue Plan'!B27</f>
        <v>0</v>
      </c>
      <c r="AN21" s="233">
        <f>'F1 - Revenue Plan'!C27</f>
        <v>0</v>
      </c>
      <c r="AR21" s="233">
        <f>'F1 - Revenue Plan'!E27</f>
        <v>0</v>
      </c>
      <c r="AS21" s="233">
        <f>'F1 - Revenue Plan'!F27</f>
        <v>0</v>
      </c>
      <c r="AT21" s="233">
        <f>'F1 - Revenue Plan'!H27</f>
        <v>0</v>
      </c>
    </row>
    <row r="22" spans="1:46" ht="15" customHeight="1">
      <c r="A22" s="234" t="str">
        <f>'Front Sheet and Checklist'!$C$5</f>
        <v>Swansea Bay UHB</v>
      </c>
      <c r="B22" s="234" t="str">
        <f t="shared" ref="B22:B30" si="1">"F1 Revenue Plan"</f>
        <v>F1 Revenue Plan</v>
      </c>
      <c r="F22" s="234" t="str">
        <f>'F1 - Revenue Plan'!A28</f>
        <v>Savings (Populated from Savings Tracker)</v>
      </c>
      <c r="AM22" s="233">
        <f>'F1 - Revenue Plan'!B28</f>
        <v>0</v>
      </c>
      <c r="AN22" s="233">
        <f>'F1 - Revenue Plan'!C28</f>
        <v>0</v>
      </c>
      <c r="AR22" s="233">
        <f>'F1 - Revenue Plan'!E28</f>
        <v>0</v>
      </c>
      <c r="AS22" s="233">
        <f>'F1 - Revenue Plan'!F28</f>
        <v>0</v>
      </c>
      <c r="AT22" s="233">
        <f>'F1 - Revenue Plan'!H28</f>
        <v>0</v>
      </c>
    </row>
    <row r="23" spans="1:46" ht="15" customHeight="1">
      <c r="A23" s="234" t="str">
        <f>'Front Sheet and Checklist'!$C$5</f>
        <v>Swansea Bay UHB</v>
      </c>
      <c r="B23" s="234" t="str">
        <f t="shared" si="1"/>
        <v>F1 Revenue Plan</v>
      </c>
      <c r="F23" s="234" t="str">
        <f>'F1 - Revenue Plan'!A29</f>
        <v>Saving Schemes (Green and Amber)</v>
      </c>
      <c r="AM23" s="233">
        <f>'F1 - Revenue Plan'!B29</f>
        <v>8400</v>
      </c>
      <c r="AN23" s="233">
        <f>'F1 - Revenue Plan'!C29</f>
        <v>8400</v>
      </c>
      <c r="AR23" s="233">
        <f>'F1 - Revenue Plan'!E29</f>
        <v>0</v>
      </c>
      <c r="AS23" s="233">
        <f>'F1 - Revenue Plan'!F29</f>
        <v>0</v>
      </c>
      <c r="AT23" s="233">
        <f>'F1 - Revenue Plan'!H29</f>
        <v>0</v>
      </c>
    </row>
    <row r="24" spans="1:46" ht="15" customHeight="1">
      <c r="A24" s="234" t="str">
        <f>'Front Sheet and Checklist'!$C$5</f>
        <v>Swansea Bay UHB</v>
      </c>
      <c r="B24" s="234" t="str">
        <f t="shared" si="1"/>
        <v>F1 Revenue Plan</v>
      </c>
      <c r="F24" s="234" t="str">
        <f>'F1 - Revenue Plan'!A30</f>
        <v>Saving Schemes (Red)</v>
      </c>
      <c r="AM24" s="233">
        <f>'F1 - Revenue Plan'!B30</f>
        <v>13380</v>
      </c>
      <c r="AN24" s="233">
        <f>'F1 - Revenue Plan'!C30</f>
        <v>13380</v>
      </c>
      <c r="AR24" s="233">
        <f>'F1 - Revenue Plan'!E30</f>
        <v>0</v>
      </c>
      <c r="AS24" s="233">
        <f>'F1 - Revenue Plan'!F30</f>
        <v>0</v>
      </c>
      <c r="AT24" s="233">
        <f>'F1 - Revenue Plan'!H30</f>
        <v>0</v>
      </c>
    </row>
    <row r="25" spans="1:46" ht="15" customHeight="1">
      <c r="A25" s="234" t="str">
        <f>'Front Sheet and Checklist'!$C$5</f>
        <v>Swansea Bay UHB</v>
      </c>
      <c r="B25" s="234" t="str">
        <f t="shared" si="1"/>
        <v>F1 Revenue Plan</v>
      </c>
      <c r="F25" s="234" t="str">
        <f>'F1 - Revenue Plan'!A31</f>
        <v>Pipeline and Planning Assumptions</v>
      </c>
      <c r="AM25" s="233">
        <f>'F1 - Revenue Plan'!B31</f>
        <v>12719.999999999998</v>
      </c>
      <c r="AN25" s="233">
        <f>'F1 - Revenue Plan'!C31</f>
        <v>12719.999999999998</v>
      </c>
      <c r="AR25" s="233">
        <f>'F1 - Revenue Plan'!E31</f>
        <v>26100</v>
      </c>
      <c r="AS25" s="233">
        <f>'F1 - Revenue Plan'!F31</f>
        <v>26100</v>
      </c>
      <c r="AT25" s="233">
        <f>'F1 - Revenue Plan'!H31</f>
        <v>26100</v>
      </c>
    </row>
    <row r="26" spans="1:46" ht="15" customHeight="1">
      <c r="A26" s="234" t="str">
        <f>'Front Sheet and Checklist'!$C$5</f>
        <v>Swansea Bay UHB</v>
      </c>
      <c r="B26" s="234" t="str">
        <f t="shared" si="1"/>
        <v>F1 Revenue Plan</v>
      </c>
      <c r="F26" s="234" t="str">
        <f>'F1 - Revenue Plan'!A32</f>
        <v>Net Income Generation (Profit Element Only)</v>
      </c>
      <c r="AM26" s="233">
        <f>'F1 - Revenue Plan'!B32</f>
        <v>0</v>
      </c>
      <c r="AN26" s="233">
        <f>'F1 - Revenue Plan'!C32</f>
        <v>0</v>
      </c>
      <c r="AR26" s="233">
        <f>'F1 - Revenue Plan'!E32</f>
        <v>0</v>
      </c>
      <c r="AS26" s="233">
        <f>'F1 - Revenue Plan'!F32</f>
        <v>0</v>
      </c>
      <c r="AT26" s="233">
        <f>'F1 - Revenue Plan'!H32</f>
        <v>0</v>
      </c>
    </row>
    <row r="27" spans="1:46" ht="15" customHeight="1">
      <c r="A27" s="234" t="str">
        <f>'Front Sheet and Checklist'!$C$5</f>
        <v>Swansea Bay UHB</v>
      </c>
      <c r="B27" s="234" t="str">
        <f t="shared" si="1"/>
        <v>F1 Revenue Plan</v>
      </c>
      <c r="F27" s="234" t="str">
        <f>'F1 - Revenue Plan'!A33</f>
        <v>Non-Saving Cost Reduction</v>
      </c>
      <c r="AM27" s="233">
        <f>'F1 - Revenue Plan'!B33</f>
        <v>0</v>
      </c>
      <c r="AN27" s="233">
        <f>'F1 - Revenue Plan'!C33</f>
        <v>0</v>
      </c>
      <c r="AR27" s="233">
        <f>'F1 - Revenue Plan'!E33</f>
        <v>0</v>
      </c>
      <c r="AS27" s="233">
        <f>'F1 - Revenue Plan'!F33</f>
        <v>0</v>
      </c>
      <c r="AT27" s="233">
        <f>'F1 - Revenue Plan'!H33</f>
        <v>0</v>
      </c>
    </row>
    <row r="28" spans="1:46" ht="15" customHeight="1">
      <c r="A28" s="234" t="str">
        <f>'Front Sheet and Checklist'!$C$5</f>
        <v>Swansea Bay UHB</v>
      </c>
      <c r="B28" s="234" t="str">
        <f t="shared" si="1"/>
        <v>F1 Revenue Plan</v>
      </c>
      <c r="E28" s="234" t="s">
        <v>263</v>
      </c>
      <c r="F28" s="234" t="str">
        <f>'F1 - Revenue Plan'!A34</f>
        <v>Total Savings</v>
      </c>
      <c r="AM28" s="233">
        <f>'F1 - Revenue Plan'!B34</f>
        <v>34500</v>
      </c>
      <c r="AN28" s="233">
        <f>'F1 - Revenue Plan'!C34</f>
        <v>34500</v>
      </c>
      <c r="AR28" s="233">
        <f>'F1 - Revenue Plan'!E34</f>
        <v>26100</v>
      </c>
      <c r="AS28" s="233">
        <f>'F1 - Revenue Plan'!F34</f>
        <v>26100</v>
      </c>
      <c r="AT28" s="233">
        <f>'F1 - Revenue Plan'!H34</f>
        <v>26100</v>
      </c>
    </row>
    <row r="29" spans="1:46" ht="15" customHeight="1">
      <c r="A29" s="234" t="str">
        <f>'Front Sheet and Checklist'!$C$5</f>
        <v>Swansea Bay UHB</v>
      </c>
      <c r="B29" s="234" t="str">
        <f t="shared" si="1"/>
        <v>F1 Revenue Plan</v>
      </c>
      <c r="F29" s="234">
        <f>'F1 - Revenue Plan'!A35</f>
        <v>0</v>
      </c>
      <c r="AM29" s="233">
        <f>'F1 - Revenue Plan'!B35</f>
        <v>0</v>
      </c>
      <c r="AN29" s="233">
        <f>'F1 - Revenue Plan'!C35</f>
        <v>0</v>
      </c>
      <c r="AR29" s="233">
        <f>'F1 - Revenue Plan'!E35</f>
        <v>0</v>
      </c>
      <c r="AS29" s="233">
        <f>'F1 - Revenue Plan'!F35</f>
        <v>0</v>
      </c>
      <c r="AT29" s="233">
        <f>'F1 - Revenue Plan'!H35</f>
        <v>0</v>
      </c>
    </row>
    <row r="30" spans="1:46" ht="15" customHeight="1">
      <c r="A30" s="234" t="str">
        <f>'Front Sheet and Checklist'!$C$5</f>
        <v>Swansea Bay UHB</v>
      </c>
      <c r="B30" s="234" t="str">
        <f t="shared" si="1"/>
        <v>F1 Revenue Plan</v>
      </c>
      <c r="F30" s="234" t="str">
        <f>'F1 - Revenue Plan'!A36</f>
        <v>Net Revenue Financial Plan</v>
      </c>
      <c r="AM30" s="233">
        <f>'F1 - Revenue Plan'!B36</f>
        <v>-50100.11716871924</v>
      </c>
      <c r="AN30" s="233">
        <f>'F1 - Revenue Plan'!C36</f>
        <v>-50100.11716871924</v>
      </c>
      <c r="AR30" s="233">
        <f>'F1 - Revenue Plan'!E36</f>
        <v>-51891.889179577629</v>
      </c>
      <c r="AS30" s="233">
        <f>'F1 - Revenue Plan'!F36</f>
        <v>-51891.889179577629</v>
      </c>
      <c r="AT30" s="233">
        <f>'F1 - Revenue Plan'!H36</f>
        <v>-53462.811315436018</v>
      </c>
    </row>
    <row r="31" spans="1:46" ht="15" customHeight="1">
      <c r="A31" s="234" t="str">
        <f>'Front Sheet and Checklist'!$C$5</f>
        <v>Swansea Bay UHB</v>
      </c>
      <c r="B31" s="234" t="str">
        <f>"F2 Net Expenditure"</f>
        <v>F2 Net Expenditure</v>
      </c>
      <c r="C31" s="235" t="str">
        <f>'F2 - Net Expenditure'!$B$4</f>
        <v>SUMMARISED STATEMENT OF COMPREHENSIVE NET EXPENDITURE/INCOME</v>
      </c>
      <c r="D31" s="234" t="s">
        <v>369</v>
      </c>
      <c r="F31" s="234" t="str">
        <f>'F2 - Net Expenditure'!B5</f>
        <v>Revenue Resource Limit</v>
      </c>
      <c r="G31" s="233">
        <f>'F2 - Net Expenditure'!U5</f>
        <v>101638.09259259258</v>
      </c>
      <c r="H31" s="233">
        <f>'F2 - Net Expenditure'!V5</f>
        <v>101638.09259259258</v>
      </c>
      <c r="I31" s="233">
        <f>'F2 - Net Expenditure'!W5</f>
        <v>101638.09259259258</v>
      </c>
      <c r="J31" s="233">
        <f>'F2 - Net Expenditure'!X5</f>
        <v>101638.09259259258</v>
      </c>
      <c r="K31" s="233">
        <f>'F2 - Net Expenditure'!Y5</f>
        <v>101638.09259259258</v>
      </c>
      <c r="L31" s="233">
        <f>'F2 - Net Expenditure'!Z5</f>
        <v>101638.09259259258</v>
      </c>
      <c r="M31" s="233">
        <f>'F2 - Net Expenditure'!AA5</f>
        <v>101638.09259259258</v>
      </c>
      <c r="N31" s="233">
        <f>'F2 - Net Expenditure'!AB5</f>
        <v>101638.09259259258</v>
      </c>
      <c r="O31" s="233">
        <f>'F2 - Net Expenditure'!AC5</f>
        <v>101638.09259259258</v>
      </c>
      <c r="P31" s="233">
        <f>'F2 - Net Expenditure'!AD5</f>
        <v>101638.09259259258</v>
      </c>
      <c r="Q31" s="233">
        <f>'F2 - Net Expenditure'!AE5</f>
        <v>101638.09259259258</v>
      </c>
      <c r="R31" s="233">
        <f>'F2 - Net Expenditure'!AF5</f>
        <v>101638.09259259258</v>
      </c>
      <c r="S31" s="233">
        <f>'F2 - Net Expenditure'!AG5</f>
        <v>1219657.111111111</v>
      </c>
      <c r="T31" s="233">
        <f>'F2 - Net Expenditure'!H5</f>
        <v>77088.445999999996</v>
      </c>
      <c r="U31" s="233">
        <f>'F2 - Net Expenditure'!I5</f>
        <v>82064.765000000014</v>
      </c>
      <c r="V31" s="233">
        <f>'F2 - Net Expenditure'!J5</f>
        <v>100287.12199999997</v>
      </c>
      <c r="W31" s="233">
        <f>'F2 - Net Expenditure'!K5</f>
        <v>98342.580000000016</v>
      </c>
      <c r="X31" s="233">
        <f>'F2 - Net Expenditure'!L5</f>
        <v>89992.332999999984</v>
      </c>
      <c r="Y31" s="233">
        <f>'F2 - Net Expenditure'!M5</f>
        <v>88998.823000000033</v>
      </c>
      <c r="Z31" s="233">
        <f>'F2 - Net Expenditure'!N5</f>
        <v>131382.90500000003</v>
      </c>
      <c r="AA31" s="233">
        <f>'F2 - Net Expenditure'!O5</f>
        <v>102390.68199999991</v>
      </c>
      <c r="AB31" s="233">
        <f>'F2 - Net Expenditure'!P5</f>
        <v>100593.40700000001</v>
      </c>
      <c r="AC31" s="233">
        <f>'F2 - Net Expenditure'!Q5</f>
        <v>109624.723</v>
      </c>
      <c r="AD31" s="233">
        <f>'F2 - Net Expenditure'!R5</f>
        <v>108503.08200000005</v>
      </c>
      <c r="AE31" s="233">
        <f>'F2 - Net Expenditure'!S5</f>
        <v>133436.12912000006</v>
      </c>
      <c r="AG31" s="233">
        <f>'F2 - Net Expenditure'!C5</f>
        <v>1222704.99712</v>
      </c>
      <c r="AH31" s="233">
        <f>'F2 - Net Expenditure'!D5</f>
        <v>1219657.111111111</v>
      </c>
      <c r="AI31" s="233">
        <f>'F2 - Net Expenditure'!E5</f>
        <v>0</v>
      </c>
      <c r="AJ31" s="233">
        <f>'F2 - Net Expenditure'!F5</f>
        <v>0</v>
      </c>
    </row>
    <row r="32" spans="1:46" ht="15" customHeight="1">
      <c r="A32" s="234" t="str">
        <f>'Front Sheet and Checklist'!$C$5</f>
        <v>Swansea Bay UHB</v>
      </c>
      <c r="B32" s="234" t="str">
        <f t="shared" ref="B32:B68" si="2">"F2 Net Expenditure"</f>
        <v>F2 Net Expenditure</v>
      </c>
      <c r="C32" s="235" t="str">
        <f>'F2 - Net Expenditure'!$B$4</f>
        <v>SUMMARISED STATEMENT OF COMPREHENSIVE NET EXPENDITURE/INCOME</v>
      </c>
      <c r="D32" s="234" t="s">
        <v>369</v>
      </c>
      <c r="F32" s="234" t="str">
        <f>'F2 - Net Expenditure'!B6</f>
        <v>Capital Donation / Government Grant Income (Health Board only)</v>
      </c>
      <c r="G32" s="233">
        <f>'F2 - Net Expenditure'!U6</f>
        <v>0</v>
      </c>
      <c r="H32" s="233">
        <f>'F2 - Net Expenditure'!V6</f>
        <v>0</v>
      </c>
      <c r="I32" s="233">
        <f>'F2 - Net Expenditure'!W6</f>
        <v>0</v>
      </c>
      <c r="J32" s="233">
        <f>'F2 - Net Expenditure'!X6</f>
        <v>0</v>
      </c>
      <c r="K32" s="233">
        <f>'F2 - Net Expenditure'!Y6</f>
        <v>0</v>
      </c>
      <c r="L32" s="233">
        <f>'F2 - Net Expenditure'!Z6</f>
        <v>0</v>
      </c>
      <c r="M32" s="233">
        <f>'F2 - Net Expenditure'!AA6</f>
        <v>0</v>
      </c>
      <c r="N32" s="233">
        <f>'F2 - Net Expenditure'!AB6</f>
        <v>0</v>
      </c>
      <c r="O32" s="233">
        <f>'F2 - Net Expenditure'!AC6</f>
        <v>0</v>
      </c>
      <c r="P32" s="233">
        <f>'F2 - Net Expenditure'!AD6</f>
        <v>0</v>
      </c>
      <c r="Q32" s="233">
        <f>'F2 - Net Expenditure'!AE6</f>
        <v>0</v>
      </c>
      <c r="R32" s="233">
        <f>'F2 - Net Expenditure'!AF6</f>
        <v>284</v>
      </c>
      <c r="S32" s="233">
        <f>'F2 - Net Expenditure'!AG6</f>
        <v>284</v>
      </c>
      <c r="T32" s="233">
        <f>'F2 - Net Expenditure'!H6</f>
        <v>0</v>
      </c>
      <c r="U32" s="233">
        <f>'F2 - Net Expenditure'!I6</f>
        <v>0</v>
      </c>
      <c r="V32" s="233">
        <f>'F2 - Net Expenditure'!J6</f>
        <v>0</v>
      </c>
      <c r="W32" s="233">
        <f>'F2 - Net Expenditure'!K6</f>
        <v>0</v>
      </c>
      <c r="X32" s="233">
        <f>'F2 - Net Expenditure'!L6</f>
        <v>0</v>
      </c>
      <c r="Y32" s="233">
        <f>'F2 - Net Expenditure'!M6</f>
        <v>0</v>
      </c>
      <c r="Z32" s="233">
        <f>'F2 - Net Expenditure'!N6</f>
        <v>0</v>
      </c>
      <c r="AA32" s="233">
        <f>'F2 - Net Expenditure'!O6</f>
        <v>0</v>
      </c>
      <c r="AB32" s="233">
        <f>'F2 - Net Expenditure'!P6</f>
        <v>0</v>
      </c>
      <c r="AC32" s="233">
        <f>'F2 - Net Expenditure'!Q6</f>
        <v>0</v>
      </c>
      <c r="AD32" s="233">
        <f>'F2 - Net Expenditure'!R6</f>
        <v>0</v>
      </c>
      <c r="AE32" s="233">
        <f>'F2 - Net Expenditure'!S6</f>
        <v>284</v>
      </c>
      <c r="AG32" s="233">
        <f>'F2 - Net Expenditure'!C6</f>
        <v>284</v>
      </c>
      <c r="AH32" s="233">
        <f>'F2 - Net Expenditure'!D6</f>
        <v>284</v>
      </c>
      <c r="AI32" s="233">
        <f>'F2 - Net Expenditure'!E6</f>
        <v>0</v>
      </c>
      <c r="AJ32" s="233">
        <f>'F2 - Net Expenditure'!F6</f>
        <v>0</v>
      </c>
    </row>
    <row r="33" spans="1:36" ht="15" customHeight="1">
      <c r="A33" s="234" t="str">
        <f>'Front Sheet and Checklist'!$C$5</f>
        <v>Swansea Bay UHB</v>
      </c>
      <c r="B33" s="234" t="str">
        <f t="shared" si="2"/>
        <v>F2 Net Expenditure</v>
      </c>
      <c r="C33" s="235" t="str">
        <f>'F2 - Net Expenditure'!$B$4</f>
        <v>SUMMARISED STATEMENT OF COMPREHENSIVE NET EXPENDITURE/INCOME</v>
      </c>
      <c r="D33" s="234" t="s">
        <v>369</v>
      </c>
      <c r="F33" s="234" t="str">
        <f>'F2 - Net Expenditure'!B7</f>
        <v>Welsh NHS Local Health Boards &amp; Trusts Income</v>
      </c>
      <c r="G33" s="233">
        <f>'F2 - Net Expenditure'!U7</f>
        <v>9328.2104333333336</v>
      </c>
      <c r="H33" s="233">
        <f>'F2 - Net Expenditure'!V7</f>
        <v>9328.2104333333336</v>
      </c>
      <c r="I33" s="233">
        <f>'F2 - Net Expenditure'!W7</f>
        <v>9328.2104333333336</v>
      </c>
      <c r="J33" s="233">
        <f>'F2 - Net Expenditure'!X7</f>
        <v>9328.2104333333336</v>
      </c>
      <c r="K33" s="233">
        <f>'F2 - Net Expenditure'!Y7</f>
        <v>9328.2104333333336</v>
      </c>
      <c r="L33" s="233">
        <f>'F2 - Net Expenditure'!Z7</f>
        <v>9328.2104333333336</v>
      </c>
      <c r="M33" s="233">
        <f>'F2 - Net Expenditure'!AA7</f>
        <v>9328.2104333333336</v>
      </c>
      <c r="N33" s="233">
        <f>'F2 - Net Expenditure'!AB7</f>
        <v>9328.2104333333336</v>
      </c>
      <c r="O33" s="233">
        <f>'F2 - Net Expenditure'!AC7</f>
        <v>9328.2104333333336</v>
      </c>
      <c r="P33" s="233">
        <f>'F2 - Net Expenditure'!AD7</f>
        <v>9328.2104333333336</v>
      </c>
      <c r="Q33" s="233">
        <f>'F2 - Net Expenditure'!AE7</f>
        <v>9328.2104333333336</v>
      </c>
      <c r="R33" s="233">
        <f>'F2 - Net Expenditure'!AF7</f>
        <v>9328.2104333333336</v>
      </c>
      <c r="S33" s="233">
        <f>'F2 - Net Expenditure'!AG7</f>
        <v>111938.52519999997</v>
      </c>
      <c r="T33" s="233">
        <f>'F2 - Net Expenditure'!H7</f>
        <v>8549.2340000000004</v>
      </c>
      <c r="U33" s="233">
        <f>'F2 - Net Expenditure'!I7</f>
        <v>8928.1039999999994</v>
      </c>
      <c r="V33" s="233">
        <f>'F2 - Net Expenditure'!J7</f>
        <v>9295.4200000000019</v>
      </c>
      <c r="W33" s="233">
        <f>'F2 - Net Expenditure'!K7</f>
        <v>9331.7189999999973</v>
      </c>
      <c r="X33" s="233">
        <f>'F2 - Net Expenditure'!L7</f>
        <v>9272.512999999999</v>
      </c>
      <c r="Y33" s="233">
        <f>'F2 - Net Expenditure'!M7</f>
        <v>8759.9320000000007</v>
      </c>
      <c r="Z33" s="233">
        <f>'F2 - Net Expenditure'!N7</f>
        <v>9047.775999999998</v>
      </c>
      <c r="AA33" s="233">
        <f>'F2 - Net Expenditure'!O7</f>
        <v>9123.8930000000037</v>
      </c>
      <c r="AB33" s="233">
        <f>'F2 - Net Expenditure'!P7</f>
        <v>9157.7090000000026</v>
      </c>
      <c r="AC33" s="233">
        <f>'F2 - Net Expenditure'!Q7</f>
        <v>7776.6070000000036</v>
      </c>
      <c r="AD33" s="233">
        <f>'F2 - Net Expenditure'!R7</f>
        <v>10010.205999999991</v>
      </c>
      <c r="AE33" s="233">
        <f>'F2 - Net Expenditure'!S7</f>
        <v>9733.7780000000002</v>
      </c>
      <c r="AG33" s="233">
        <f>'F2 - Net Expenditure'!C7</f>
        <v>108986.891</v>
      </c>
      <c r="AH33" s="233">
        <f>'F2 - Net Expenditure'!D7</f>
        <v>111938.52519999997</v>
      </c>
      <c r="AI33" s="233">
        <f>'F2 - Net Expenditure'!E7</f>
        <v>0</v>
      </c>
      <c r="AJ33" s="233">
        <f>'F2 - Net Expenditure'!F7</f>
        <v>0</v>
      </c>
    </row>
    <row r="34" spans="1:36" ht="15" customHeight="1">
      <c r="A34" s="234" t="str">
        <f>'Front Sheet and Checklist'!$C$5</f>
        <v>Swansea Bay UHB</v>
      </c>
      <c r="B34" s="234" t="str">
        <f t="shared" si="2"/>
        <v>F2 Net Expenditure</v>
      </c>
      <c r="C34" s="235" t="str">
        <f>'F2 - Net Expenditure'!$B$4</f>
        <v>SUMMARISED STATEMENT OF COMPREHENSIVE NET EXPENDITURE/INCOME</v>
      </c>
      <c r="D34" s="234" t="s">
        <v>369</v>
      </c>
      <c r="F34" s="234" t="str">
        <f>'F2 - Net Expenditure'!B8</f>
        <v>WHSSC Income</v>
      </c>
      <c r="G34" s="233">
        <f>'F2 - Net Expenditure'!U8</f>
        <v>11678.793120000002</v>
      </c>
      <c r="H34" s="233">
        <f>'F2 - Net Expenditure'!V8</f>
        <v>11678.793120000002</v>
      </c>
      <c r="I34" s="233">
        <f>'F2 - Net Expenditure'!W8</f>
        <v>11678.793120000002</v>
      </c>
      <c r="J34" s="233">
        <f>'F2 - Net Expenditure'!X8</f>
        <v>11678.793120000002</v>
      </c>
      <c r="K34" s="233">
        <f>'F2 - Net Expenditure'!Y8</f>
        <v>11678.793120000002</v>
      </c>
      <c r="L34" s="233">
        <f>'F2 - Net Expenditure'!Z8</f>
        <v>11678.793120000002</v>
      </c>
      <c r="M34" s="233">
        <f>'F2 - Net Expenditure'!AA8</f>
        <v>11678.793120000002</v>
      </c>
      <c r="N34" s="233">
        <f>'F2 - Net Expenditure'!AB8</f>
        <v>11678.793120000002</v>
      </c>
      <c r="O34" s="233">
        <f>'F2 - Net Expenditure'!AC8</f>
        <v>11678.793120000002</v>
      </c>
      <c r="P34" s="233">
        <f>'F2 - Net Expenditure'!AD8</f>
        <v>11678.793120000002</v>
      </c>
      <c r="Q34" s="233">
        <f>'F2 - Net Expenditure'!AE8</f>
        <v>11678.793120000002</v>
      </c>
      <c r="R34" s="233">
        <f>'F2 - Net Expenditure'!AF8</f>
        <v>11678.793120000002</v>
      </c>
      <c r="S34" s="233">
        <f>'F2 - Net Expenditure'!AG8</f>
        <v>140145.51744000003</v>
      </c>
      <c r="T34" s="233">
        <f>'F2 - Net Expenditure'!H8</f>
        <v>10852.953</v>
      </c>
      <c r="U34" s="233">
        <f>'F2 - Net Expenditure'!I8</f>
        <v>10912.662000000002</v>
      </c>
      <c r="V34" s="233">
        <f>'F2 - Net Expenditure'!J8</f>
        <v>10813.690999999999</v>
      </c>
      <c r="W34" s="233">
        <f>'F2 - Net Expenditure'!K8</f>
        <v>12855.73</v>
      </c>
      <c r="X34" s="233">
        <f>'F2 - Net Expenditure'!L8</f>
        <v>11094.652000000002</v>
      </c>
      <c r="Y34" s="233">
        <f>'F2 - Net Expenditure'!M8</f>
        <v>11326.329000000005</v>
      </c>
      <c r="Z34" s="233">
        <f>'F2 - Net Expenditure'!N8</f>
        <v>11563.574999999997</v>
      </c>
      <c r="AA34" s="233">
        <f>'F2 - Net Expenditure'!O8</f>
        <v>11254.805999999997</v>
      </c>
      <c r="AB34" s="233">
        <f>'F2 - Net Expenditure'!P8</f>
        <v>10533.584000000003</v>
      </c>
      <c r="AC34" s="233">
        <f>'F2 - Net Expenditure'!Q8</f>
        <v>11511.467999999993</v>
      </c>
      <c r="AD34" s="233">
        <f>'F2 - Net Expenditure'!R8</f>
        <v>11556.938000000009</v>
      </c>
      <c r="AE34" s="233">
        <f>'F2 - Net Expenditure'!S8</f>
        <v>11523.531999999999</v>
      </c>
      <c r="AG34" s="233">
        <f>'F2 - Net Expenditure'!C8</f>
        <v>135799.92000000001</v>
      </c>
      <c r="AH34" s="233">
        <f>'F2 - Net Expenditure'!D8</f>
        <v>140145.51744000003</v>
      </c>
      <c r="AI34" s="233">
        <f>'F2 - Net Expenditure'!E8</f>
        <v>0</v>
      </c>
      <c r="AJ34" s="233">
        <f>'F2 - Net Expenditure'!F8</f>
        <v>0</v>
      </c>
    </row>
    <row r="35" spans="1:36" ht="15" customHeight="1">
      <c r="A35" s="234" t="str">
        <f>'Front Sheet and Checklist'!$C$5</f>
        <v>Swansea Bay UHB</v>
      </c>
      <c r="B35" s="234" t="str">
        <f t="shared" si="2"/>
        <v>F2 Net Expenditure</v>
      </c>
      <c r="C35" s="235" t="str">
        <f>'F2 - Net Expenditure'!$B$4</f>
        <v>SUMMARISED STATEMENT OF COMPREHENSIVE NET EXPENDITURE/INCOME</v>
      </c>
      <c r="D35" s="234" t="s">
        <v>369</v>
      </c>
      <c r="F35" s="234" t="str">
        <f>'F2 - Net Expenditure'!B9</f>
        <v>Welsh Government Income (Non RRL)</v>
      </c>
      <c r="G35" s="233">
        <f>'F2 - Net Expenditure'!U9</f>
        <v>170.19008333333332</v>
      </c>
      <c r="H35" s="233">
        <f>'F2 - Net Expenditure'!V9</f>
        <v>170.19008333333332</v>
      </c>
      <c r="I35" s="233">
        <f>'F2 - Net Expenditure'!W9</f>
        <v>170.19008333333332</v>
      </c>
      <c r="J35" s="233">
        <f>'F2 - Net Expenditure'!X9</f>
        <v>170.19008333333332</v>
      </c>
      <c r="K35" s="233">
        <f>'F2 - Net Expenditure'!Y9</f>
        <v>170.19008333333332</v>
      </c>
      <c r="L35" s="233">
        <f>'F2 - Net Expenditure'!Z9</f>
        <v>170.19008333333332</v>
      </c>
      <c r="M35" s="233">
        <f>'F2 - Net Expenditure'!AA9</f>
        <v>170.19008333333332</v>
      </c>
      <c r="N35" s="233">
        <f>'F2 - Net Expenditure'!AB9</f>
        <v>170.19008333333332</v>
      </c>
      <c r="O35" s="233">
        <f>'F2 - Net Expenditure'!AC9</f>
        <v>170.19008333333332</v>
      </c>
      <c r="P35" s="233">
        <f>'F2 - Net Expenditure'!AD9</f>
        <v>170.19008333333332</v>
      </c>
      <c r="Q35" s="233">
        <f>'F2 - Net Expenditure'!AE9</f>
        <v>170.19008333333332</v>
      </c>
      <c r="R35" s="233">
        <f>'F2 - Net Expenditure'!AF9</f>
        <v>170.19008333333332</v>
      </c>
      <c r="S35" s="233">
        <f>'F2 - Net Expenditure'!AG9</f>
        <v>2042.2810000000002</v>
      </c>
      <c r="T35" s="233">
        <f>'F2 - Net Expenditure'!H9</f>
        <v>37.262</v>
      </c>
      <c r="U35" s="233">
        <f>'F2 - Net Expenditure'!I9</f>
        <v>66.459000000000003</v>
      </c>
      <c r="V35" s="233">
        <f>'F2 - Net Expenditure'!J9</f>
        <v>66.381</v>
      </c>
      <c r="W35" s="233">
        <f>'F2 - Net Expenditure'!K9</f>
        <v>63.152999999999992</v>
      </c>
      <c r="X35" s="233">
        <f>'F2 - Net Expenditure'!L9</f>
        <v>76.48599999999999</v>
      </c>
      <c r="Y35" s="233">
        <f>'F2 - Net Expenditure'!M9</f>
        <v>68.122000000000014</v>
      </c>
      <c r="Z35" s="233">
        <f>'F2 - Net Expenditure'!N9</f>
        <v>274.78000000000003</v>
      </c>
      <c r="AA35" s="233">
        <f>'F2 - Net Expenditure'!O9</f>
        <v>62.347999999999956</v>
      </c>
      <c r="AB35" s="233">
        <f>'F2 - Net Expenditure'!P9</f>
        <v>733.74800000000005</v>
      </c>
      <c r="AC35" s="233">
        <f>'F2 - Net Expenditure'!Q9</f>
        <v>70.216999999999871</v>
      </c>
      <c r="AD35" s="233">
        <f>'F2 - Net Expenditure'!R9</f>
        <v>53.294000000000096</v>
      </c>
      <c r="AE35" s="233">
        <f>'F2 - Net Expenditure'!S9</f>
        <v>470.03100000000001</v>
      </c>
      <c r="AG35" s="233">
        <f>'F2 - Net Expenditure'!C9</f>
        <v>2042.2809999999999</v>
      </c>
      <c r="AH35" s="233">
        <f>'F2 - Net Expenditure'!D9</f>
        <v>2042.2810000000002</v>
      </c>
      <c r="AI35" s="233">
        <f>'F2 - Net Expenditure'!E9</f>
        <v>0</v>
      </c>
      <c r="AJ35" s="233">
        <f>'F2 - Net Expenditure'!F9</f>
        <v>0</v>
      </c>
    </row>
    <row r="36" spans="1:36" ht="15" customHeight="1">
      <c r="A36" s="234" t="str">
        <f>'Front Sheet and Checklist'!$C$5</f>
        <v>Swansea Bay UHB</v>
      </c>
      <c r="B36" s="234" t="str">
        <f t="shared" si="2"/>
        <v>F2 Net Expenditure</v>
      </c>
      <c r="C36" s="235" t="str">
        <f>'F2 - Net Expenditure'!$B$4</f>
        <v>SUMMARISED STATEMENT OF COMPREHENSIVE NET EXPENDITURE/INCOME</v>
      </c>
      <c r="D36" s="234" t="s">
        <v>369</v>
      </c>
      <c r="F36" s="234" t="str">
        <f>'F2 - Net Expenditure'!B10</f>
        <v>Other Income</v>
      </c>
      <c r="G36" s="233">
        <f>'F2 - Net Expenditure'!U10</f>
        <v>3709.3532766666667</v>
      </c>
      <c r="H36" s="233">
        <f>'F2 - Net Expenditure'!V10</f>
        <v>3709.3532766666667</v>
      </c>
      <c r="I36" s="233">
        <f>'F2 - Net Expenditure'!W10</f>
        <v>3709.3532766666667</v>
      </c>
      <c r="J36" s="233">
        <f>'F2 - Net Expenditure'!X10</f>
        <v>3709.3532766666667</v>
      </c>
      <c r="K36" s="233">
        <f>'F2 - Net Expenditure'!Y10</f>
        <v>3709.3532766666667</v>
      </c>
      <c r="L36" s="233">
        <f>'F2 - Net Expenditure'!Z10</f>
        <v>3709.3532766666667</v>
      </c>
      <c r="M36" s="233">
        <f>'F2 - Net Expenditure'!AA10</f>
        <v>3709.3532766666667</v>
      </c>
      <c r="N36" s="233">
        <f>'F2 - Net Expenditure'!AB10</f>
        <v>3709.3532766666667</v>
      </c>
      <c r="O36" s="233">
        <f>'F2 - Net Expenditure'!AC10</f>
        <v>3709.3532766666667</v>
      </c>
      <c r="P36" s="233">
        <f>'F2 - Net Expenditure'!AD10</f>
        <v>3709.3532766666667</v>
      </c>
      <c r="Q36" s="233">
        <f>'F2 - Net Expenditure'!AE10</f>
        <v>3709.3532766666667</v>
      </c>
      <c r="R36" s="233">
        <f>'F2 - Net Expenditure'!AF10</f>
        <v>3709.3532766666667</v>
      </c>
      <c r="S36" s="233">
        <f>'F2 - Net Expenditure'!AG10</f>
        <v>44512.239320000015</v>
      </c>
      <c r="T36" s="233">
        <f>'F2 - Net Expenditure'!H10</f>
        <v>3215.85</v>
      </c>
      <c r="U36" s="233">
        <f>'F2 - Net Expenditure'!I10</f>
        <v>3647.3679999999999</v>
      </c>
      <c r="V36" s="233">
        <f>'F2 - Net Expenditure'!J10</f>
        <v>3689.9489999999996</v>
      </c>
      <c r="W36" s="233">
        <f>'F2 - Net Expenditure'!K10</f>
        <v>3635.2210000000014</v>
      </c>
      <c r="X36" s="233">
        <f>'F2 - Net Expenditure'!L10</f>
        <v>3385.0539999999983</v>
      </c>
      <c r="Y36" s="233">
        <f>'F2 - Net Expenditure'!M10</f>
        <v>4005.4320000000007</v>
      </c>
      <c r="Z36" s="233">
        <f>'F2 - Net Expenditure'!N10</f>
        <v>3646.5070000000014</v>
      </c>
      <c r="AA36" s="233">
        <f>'F2 - Net Expenditure'!O10</f>
        <v>4230.6519999999982</v>
      </c>
      <c r="AB36" s="233">
        <f>'F2 - Net Expenditure'!P10</f>
        <v>4056.8500000000022</v>
      </c>
      <c r="AC36" s="233">
        <f>'F2 - Net Expenditure'!Q10</f>
        <v>4418.0499999999956</v>
      </c>
      <c r="AD36" s="233">
        <f>'F2 - Net Expenditure'!R10</f>
        <v>4229.4470000000001</v>
      </c>
      <c r="AE36" s="233">
        <f>'F2 - Net Expenditure'!S10</f>
        <v>2351.8593200000005</v>
      </c>
      <c r="AG36" s="233">
        <f>'F2 - Net Expenditure'!C10</f>
        <v>44512.239320000001</v>
      </c>
      <c r="AH36" s="233">
        <f>'F2 - Net Expenditure'!D10</f>
        <v>44512.239320000015</v>
      </c>
      <c r="AI36" s="233">
        <f>'F2 - Net Expenditure'!E10</f>
        <v>0</v>
      </c>
      <c r="AJ36" s="233">
        <f>'F2 - Net Expenditure'!F10</f>
        <v>0</v>
      </c>
    </row>
    <row r="37" spans="1:36" ht="15" customHeight="1">
      <c r="A37" s="234" t="str">
        <f>'Front Sheet and Checklist'!$C$5</f>
        <v>Swansea Bay UHB</v>
      </c>
      <c r="B37" s="234" t="str">
        <f t="shared" si="2"/>
        <v>F2 Net Expenditure</v>
      </c>
      <c r="C37" s="235" t="str">
        <f>'F2 - Net Expenditure'!$B$4</f>
        <v>SUMMARISED STATEMENT OF COMPREHENSIVE NET EXPENDITURE/INCOME</v>
      </c>
      <c r="D37" s="234" t="s">
        <v>369</v>
      </c>
      <c r="E37" s="234" t="s">
        <v>263</v>
      </c>
      <c r="F37" s="234" t="str">
        <f>'F2 - Net Expenditure'!B11</f>
        <v>SUB TOTAL INCOME</v>
      </c>
      <c r="G37" s="233">
        <f>'F2 - Net Expenditure'!U11</f>
        <v>126524.63950592591</v>
      </c>
      <c r="H37" s="233">
        <f>'F2 - Net Expenditure'!V11</f>
        <v>126524.63950592591</v>
      </c>
      <c r="I37" s="233">
        <f>'F2 - Net Expenditure'!W11</f>
        <v>126524.63950592591</v>
      </c>
      <c r="J37" s="233">
        <f>'F2 - Net Expenditure'!X11</f>
        <v>126524.63950592591</v>
      </c>
      <c r="K37" s="233">
        <f>'F2 - Net Expenditure'!Y11</f>
        <v>126524.63950592591</v>
      </c>
      <c r="L37" s="233">
        <f>'F2 - Net Expenditure'!Z11</f>
        <v>126524.63950592591</v>
      </c>
      <c r="M37" s="233">
        <f>'F2 - Net Expenditure'!AA11</f>
        <v>126524.63950592591</v>
      </c>
      <c r="N37" s="233">
        <f>'F2 - Net Expenditure'!AB11</f>
        <v>126524.63950592591</v>
      </c>
      <c r="O37" s="233">
        <f>'F2 - Net Expenditure'!AC11</f>
        <v>126524.63950592591</v>
      </c>
      <c r="P37" s="233">
        <f>'F2 - Net Expenditure'!AD11</f>
        <v>126524.63950592591</v>
      </c>
      <c r="Q37" s="233">
        <f>'F2 - Net Expenditure'!AE11</f>
        <v>126524.63950592591</v>
      </c>
      <c r="R37" s="233">
        <f>'F2 - Net Expenditure'!AF11</f>
        <v>126808.63950592591</v>
      </c>
      <c r="S37" s="233">
        <f>'F2 - Net Expenditure'!AG11</f>
        <v>1518579.6740711108</v>
      </c>
      <c r="T37" s="233">
        <f>'F2 - Net Expenditure'!H11</f>
        <v>99743.744999999995</v>
      </c>
      <c r="U37" s="233">
        <f>'F2 - Net Expenditure'!I11</f>
        <v>105619.35800000001</v>
      </c>
      <c r="V37" s="233">
        <f>'F2 - Net Expenditure'!J11</f>
        <v>124152.56299999997</v>
      </c>
      <c r="W37" s="233">
        <f>'F2 - Net Expenditure'!K11</f>
        <v>124228.40300000002</v>
      </c>
      <c r="X37" s="233">
        <f>'F2 - Net Expenditure'!L11</f>
        <v>113821.038</v>
      </c>
      <c r="Y37" s="233">
        <f>'F2 - Net Expenditure'!M11</f>
        <v>113158.63800000004</v>
      </c>
      <c r="Z37" s="233">
        <f>'F2 - Net Expenditure'!N11</f>
        <v>155915.54300000006</v>
      </c>
      <c r="AA37" s="233">
        <f>'F2 - Net Expenditure'!O11</f>
        <v>127062.38099999992</v>
      </c>
      <c r="AB37" s="233">
        <f>'F2 - Net Expenditure'!P11</f>
        <v>125075.29800000002</v>
      </c>
      <c r="AC37" s="233">
        <f>'F2 - Net Expenditure'!Q11</f>
        <v>133401.065</v>
      </c>
      <c r="AD37" s="233">
        <f>'F2 - Net Expenditure'!R11</f>
        <v>134352.96700000006</v>
      </c>
      <c r="AE37" s="233">
        <f>'F2 - Net Expenditure'!S11</f>
        <v>157799.32944000003</v>
      </c>
      <c r="AG37" s="233">
        <f>'F2 - Net Expenditure'!C11</f>
        <v>1514330.3284400003</v>
      </c>
      <c r="AH37" s="233">
        <f>'F2 - Net Expenditure'!D11</f>
        <v>1518579.6740711108</v>
      </c>
      <c r="AI37" s="233">
        <f>'F2 - Net Expenditure'!E11</f>
        <v>0</v>
      </c>
      <c r="AJ37" s="233">
        <f>'F2 - Net Expenditure'!F11</f>
        <v>0</v>
      </c>
    </row>
    <row r="38" spans="1:36" ht="15" customHeight="1">
      <c r="A38" s="234" t="str">
        <f>'Front Sheet and Checklist'!$C$5</f>
        <v>Swansea Bay UHB</v>
      </c>
      <c r="B38" s="234" t="str">
        <f t="shared" si="2"/>
        <v>F2 Net Expenditure</v>
      </c>
      <c r="C38" s="235" t="str">
        <f>'F2 - Net Expenditure'!$B$4</f>
        <v>SUMMARISED STATEMENT OF COMPREHENSIVE NET EXPENDITURE/INCOME</v>
      </c>
      <c r="D38" s="234" t="s">
        <v>370</v>
      </c>
      <c r="F38" s="234" t="str">
        <f>'F2 - Net Expenditure'!B12</f>
        <v>Primary Care Contractor (excluding drugs, including non resource limited expenditure)</v>
      </c>
      <c r="G38" s="233">
        <f>'F2 - Net Expenditure'!U12</f>
        <v>9864.3369999999995</v>
      </c>
      <c r="H38" s="233">
        <f>'F2 - Net Expenditure'!V12</f>
        <v>10014.778000000002</v>
      </c>
      <c r="I38" s="233">
        <f>'F2 - Net Expenditure'!W12</f>
        <v>10108.806999999997</v>
      </c>
      <c r="J38" s="233">
        <f>'F2 - Net Expenditure'!X12</f>
        <v>9742.0460000000021</v>
      </c>
      <c r="K38" s="233">
        <f>'F2 - Net Expenditure'!Y12</f>
        <v>9531.2430000000022</v>
      </c>
      <c r="L38" s="233">
        <f>'F2 - Net Expenditure'!Z12</f>
        <v>9827.1749999999956</v>
      </c>
      <c r="M38" s="233">
        <f>'F2 - Net Expenditure'!AA12</f>
        <v>9612.0880000000034</v>
      </c>
      <c r="N38" s="233">
        <f>'F2 - Net Expenditure'!AB12</f>
        <v>9208.3940000000002</v>
      </c>
      <c r="O38" s="233">
        <f>'F2 - Net Expenditure'!AC12</f>
        <v>8991.0439999999944</v>
      </c>
      <c r="P38" s="233">
        <f>'F2 - Net Expenditure'!AD12</f>
        <v>9811.6</v>
      </c>
      <c r="Q38" s="233">
        <f>'F2 - Net Expenditure'!AE12</f>
        <v>10389.877000000008</v>
      </c>
      <c r="R38" s="233">
        <f>'F2 - Net Expenditure'!AF12</f>
        <v>10884.242</v>
      </c>
      <c r="S38" s="233">
        <f>'F2 - Net Expenditure'!AG12</f>
        <v>117985.63100000001</v>
      </c>
      <c r="T38" s="233">
        <f>'F2 - Net Expenditure'!H12</f>
        <v>9864.3369999999995</v>
      </c>
      <c r="U38" s="233">
        <f>'F2 - Net Expenditure'!I12</f>
        <v>10014.778000000002</v>
      </c>
      <c r="V38" s="233">
        <f>'F2 - Net Expenditure'!J12</f>
        <v>10108.806999999997</v>
      </c>
      <c r="W38" s="233">
        <f>'F2 - Net Expenditure'!K12</f>
        <v>9742.0460000000021</v>
      </c>
      <c r="X38" s="233">
        <f>'F2 - Net Expenditure'!L12</f>
        <v>9531.2430000000022</v>
      </c>
      <c r="Y38" s="233">
        <f>'F2 - Net Expenditure'!M12</f>
        <v>9827.1749999999956</v>
      </c>
      <c r="Z38" s="233">
        <f>'F2 - Net Expenditure'!N12</f>
        <v>9612.0880000000034</v>
      </c>
      <c r="AA38" s="233">
        <f>'F2 - Net Expenditure'!O12</f>
        <v>9208.3940000000002</v>
      </c>
      <c r="AB38" s="233">
        <f>'F2 - Net Expenditure'!P12</f>
        <v>8991.0439999999944</v>
      </c>
      <c r="AC38" s="233">
        <f>'F2 - Net Expenditure'!Q12</f>
        <v>9811.6</v>
      </c>
      <c r="AD38" s="233">
        <f>'F2 - Net Expenditure'!R12</f>
        <v>10389.877000000008</v>
      </c>
      <c r="AE38" s="233">
        <f>'F2 - Net Expenditure'!S12</f>
        <v>10884.242</v>
      </c>
      <c r="AG38" s="233">
        <f>'F2 - Net Expenditure'!C12</f>
        <v>117985.63100000001</v>
      </c>
      <c r="AH38" s="233">
        <f>'F2 - Net Expenditure'!D12</f>
        <v>117985.63100000001</v>
      </c>
      <c r="AI38" s="233">
        <f>'F2 - Net Expenditure'!E12</f>
        <v>0</v>
      </c>
      <c r="AJ38" s="233">
        <f>'F2 - Net Expenditure'!F12</f>
        <v>0</v>
      </c>
    </row>
    <row r="39" spans="1:36" ht="15" customHeight="1">
      <c r="A39" s="234" t="str">
        <f>'Front Sheet and Checklist'!$C$5</f>
        <v>Swansea Bay UHB</v>
      </c>
      <c r="B39" s="234" t="str">
        <f t="shared" si="2"/>
        <v>F2 Net Expenditure</v>
      </c>
      <c r="C39" s="235" t="str">
        <f>'F2 - Net Expenditure'!$B$4</f>
        <v>SUMMARISED STATEMENT OF COMPREHENSIVE NET EXPENDITURE/INCOME</v>
      </c>
      <c r="D39" s="234" t="s">
        <v>370</v>
      </c>
      <c r="F39" s="234" t="str">
        <f>'F2 - Net Expenditure'!B13</f>
        <v>Primary Care - Drugs &amp; Appliances</v>
      </c>
      <c r="G39" s="233">
        <f>'F2 - Net Expenditure'!U13</f>
        <v>7058.9563046155072</v>
      </c>
      <c r="H39" s="233">
        <f>'F2 - Net Expenditure'!V13</f>
        <v>7897.2233046155088</v>
      </c>
      <c r="I39" s="233">
        <f>'F2 - Net Expenditure'!W13</f>
        <v>7534.8493046155054</v>
      </c>
      <c r="J39" s="233">
        <f>'F2 - Net Expenditure'!X13</f>
        <v>7991.6173046155081</v>
      </c>
      <c r="K39" s="233">
        <f>'F2 - Net Expenditure'!Y13</f>
        <v>8261.7803046155132</v>
      </c>
      <c r="L39" s="233">
        <f>'F2 - Net Expenditure'!Z13</f>
        <v>7339.8853046155036</v>
      </c>
      <c r="M39" s="233">
        <f>'F2 - Net Expenditure'!AA13</f>
        <v>8326.7493046155141</v>
      </c>
      <c r="N39" s="233">
        <f>'F2 - Net Expenditure'!AB13</f>
        <v>8027.2773046155044</v>
      </c>
      <c r="O39" s="233">
        <f>'F2 - Net Expenditure'!AC13</f>
        <v>7304.7833046155074</v>
      </c>
      <c r="P39" s="233">
        <f>'F2 - Net Expenditure'!AD13</f>
        <v>7574.5553046155019</v>
      </c>
      <c r="Q39" s="233">
        <f>'F2 - Net Expenditure'!AE13</f>
        <v>7295.0813046155145</v>
      </c>
      <c r="R39" s="233">
        <f>'F2 - Net Expenditure'!AF13</f>
        <v>7231.2093046155078</v>
      </c>
      <c r="S39" s="233">
        <f>'F2 - Net Expenditure'!AG13</f>
        <v>91843.967655386092</v>
      </c>
      <c r="T39" s="233">
        <f>'F2 - Net Expenditure'!H13</f>
        <v>6758.3729999999996</v>
      </c>
      <c r="U39" s="233">
        <f>'F2 - Net Expenditure'!I13</f>
        <v>7596.6400000000012</v>
      </c>
      <c r="V39" s="233">
        <f>'F2 - Net Expenditure'!J13</f>
        <v>7234.2659999999978</v>
      </c>
      <c r="W39" s="233">
        <f>'F2 - Net Expenditure'!K13</f>
        <v>7691.0339999999997</v>
      </c>
      <c r="X39" s="233">
        <f>'F2 - Net Expenditure'!L13</f>
        <v>7961.1970000000038</v>
      </c>
      <c r="Y39" s="233">
        <f>'F2 - Net Expenditure'!M13</f>
        <v>7039.301999999996</v>
      </c>
      <c r="Z39" s="233">
        <f>'F2 - Net Expenditure'!N13</f>
        <v>8026.1660000000047</v>
      </c>
      <c r="AA39" s="233">
        <f>'F2 - Net Expenditure'!O13</f>
        <v>7726.6939999999959</v>
      </c>
      <c r="AB39" s="233">
        <f>'F2 - Net Expenditure'!P13</f>
        <v>7004.2</v>
      </c>
      <c r="AC39" s="233">
        <f>'F2 - Net Expenditure'!Q13</f>
        <v>7273.9719999999943</v>
      </c>
      <c r="AD39" s="233">
        <f>'F2 - Net Expenditure'!R13</f>
        <v>6994.4980000000069</v>
      </c>
      <c r="AE39" s="233">
        <f>'F2 - Net Expenditure'!S13</f>
        <v>6930.6260000000002</v>
      </c>
      <c r="AG39" s="233">
        <f>'F2 - Net Expenditure'!C13</f>
        <v>88236.968000000008</v>
      </c>
      <c r="AH39" s="233">
        <f>'F2 - Net Expenditure'!D13</f>
        <v>91843.967655386092</v>
      </c>
      <c r="AI39" s="233">
        <f>'F2 - Net Expenditure'!E13</f>
        <v>0</v>
      </c>
      <c r="AJ39" s="233">
        <f>'F2 - Net Expenditure'!F13</f>
        <v>0</v>
      </c>
    </row>
    <row r="40" spans="1:36" ht="15" customHeight="1">
      <c r="A40" s="234" t="str">
        <f>'Front Sheet and Checklist'!$C$5</f>
        <v>Swansea Bay UHB</v>
      </c>
      <c r="B40" s="234" t="str">
        <f t="shared" si="2"/>
        <v>F2 Net Expenditure</v>
      </c>
      <c r="C40" s="235" t="str">
        <f>'F2 - Net Expenditure'!$B$4</f>
        <v>SUMMARISED STATEMENT OF COMPREHENSIVE NET EXPENDITURE/INCOME</v>
      </c>
      <c r="D40" s="234" t="s">
        <v>370</v>
      </c>
      <c r="F40" s="234" t="str">
        <f>'F2 - Net Expenditure'!B14</f>
        <v>Provided Services - Pay</v>
      </c>
      <c r="G40" s="233">
        <f>'F2 - Net Expenditure'!U14</f>
        <v>62441.5</v>
      </c>
      <c r="H40" s="233">
        <f>'F2 - Net Expenditure'!V14</f>
        <v>62441.5</v>
      </c>
      <c r="I40" s="233">
        <f>'F2 - Net Expenditure'!W14</f>
        <v>62441.5</v>
      </c>
      <c r="J40" s="233">
        <f>'F2 - Net Expenditure'!X14</f>
        <v>62441.5</v>
      </c>
      <c r="K40" s="233">
        <f>'F2 - Net Expenditure'!Y14</f>
        <v>62441.5</v>
      </c>
      <c r="L40" s="233">
        <f>'F2 - Net Expenditure'!Z14</f>
        <v>62441.5</v>
      </c>
      <c r="M40" s="233">
        <f>'F2 - Net Expenditure'!AA14</f>
        <v>62441.5</v>
      </c>
      <c r="N40" s="233">
        <f>'F2 - Net Expenditure'!AB14</f>
        <v>62441.5</v>
      </c>
      <c r="O40" s="233">
        <f>'F2 - Net Expenditure'!AC14</f>
        <v>62441.5</v>
      </c>
      <c r="P40" s="233">
        <f>'F2 - Net Expenditure'!AD14</f>
        <v>62441.5</v>
      </c>
      <c r="Q40" s="233">
        <f>'F2 - Net Expenditure'!AE14</f>
        <v>62441.5</v>
      </c>
      <c r="R40" s="233">
        <f>'F2 - Net Expenditure'!AF14</f>
        <v>62436.5</v>
      </c>
      <c r="S40" s="233">
        <f>'F2 - Net Expenditure'!AG14</f>
        <v>749293</v>
      </c>
      <c r="T40" s="233">
        <f>'F2 - Net Expenditure'!H14</f>
        <v>54145.180999999997</v>
      </c>
      <c r="U40" s="233">
        <f>'F2 - Net Expenditure'!I14</f>
        <v>58136.858000000007</v>
      </c>
      <c r="V40" s="233">
        <f>'F2 - Net Expenditure'!J14</f>
        <v>70330.335999999996</v>
      </c>
      <c r="W40" s="233">
        <f>'F2 - Net Expenditure'!K14</f>
        <v>71803.997000000003</v>
      </c>
      <c r="X40" s="233">
        <f>'F2 - Net Expenditure'!L14</f>
        <v>59340.931000000011</v>
      </c>
      <c r="Y40" s="233">
        <f>'F2 - Net Expenditure'!M14</f>
        <v>59220.7</v>
      </c>
      <c r="Z40" s="233">
        <f>'F2 - Net Expenditure'!N14</f>
        <v>64479.6</v>
      </c>
      <c r="AA40" s="233">
        <f>'F2 - Net Expenditure'!O14</f>
        <v>62241.701000000001</v>
      </c>
      <c r="AB40" s="233">
        <f>'F2 - Net Expenditure'!P14</f>
        <v>61808.250000000058</v>
      </c>
      <c r="AC40" s="233">
        <f>'F2 - Net Expenditure'!Q14</f>
        <v>63415.234999999986</v>
      </c>
      <c r="AD40" s="233">
        <f>'F2 - Net Expenditure'!R14</f>
        <v>64859.954999999958</v>
      </c>
      <c r="AE40" s="233">
        <f>'F2 - Net Expenditure'!S14</f>
        <v>63641.701239999995</v>
      </c>
      <c r="AG40" s="233">
        <f>'F2 - Net Expenditure'!C14</f>
        <v>753424.44523999991</v>
      </c>
      <c r="AH40" s="233">
        <f>'F2 - Net Expenditure'!D14</f>
        <v>749293</v>
      </c>
      <c r="AI40" s="233">
        <f>'F2 - Net Expenditure'!E14</f>
        <v>0</v>
      </c>
      <c r="AJ40" s="233">
        <f>'F2 - Net Expenditure'!F14</f>
        <v>0</v>
      </c>
    </row>
    <row r="41" spans="1:36" ht="15" customHeight="1">
      <c r="A41" s="234" t="str">
        <f>'Front Sheet and Checklist'!$C$5</f>
        <v>Swansea Bay UHB</v>
      </c>
      <c r="B41" s="234" t="str">
        <f t="shared" si="2"/>
        <v>F2 Net Expenditure</v>
      </c>
      <c r="C41" s="235" t="str">
        <f>'F2 - Net Expenditure'!$B$4</f>
        <v>SUMMARISED STATEMENT OF COMPREHENSIVE NET EXPENDITURE/INCOME</v>
      </c>
      <c r="D41" s="234" t="s">
        <v>370</v>
      </c>
      <c r="F41" s="234" t="str">
        <f>'F2 - Net Expenditure'!B15</f>
        <v>Provider Services - Non Pay (excluding drugs &amp; depreciation)</v>
      </c>
      <c r="G41" s="233">
        <f>'F2 - Net Expenditure'!U15</f>
        <v>12243.073583333333</v>
      </c>
      <c r="H41" s="233">
        <f>'F2 - Net Expenditure'!V15</f>
        <v>11977.594583333334</v>
      </c>
      <c r="I41" s="233">
        <f>'F2 - Net Expenditure'!W15</f>
        <v>13604.003583333331</v>
      </c>
      <c r="J41" s="233">
        <f>'F2 - Net Expenditure'!X15</f>
        <v>13099.223583333336</v>
      </c>
      <c r="K41" s="233">
        <f>'F2 - Net Expenditure'!Y15</f>
        <v>12792.844583333328</v>
      </c>
      <c r="L41" s="233">
        <f>'F2 - Net Expenditure'!Z15</f>
        <v>13604.565583333333</v>
      </c>
      <c r="M41" s="233">
        <f>'F2 - Net Expenditure'!AA15</f>
        <v>12686.334583333341</v>
      </c>
      <c r="N41" s="233">
        <f>'F2 - Net Expenditure'!AB15</f>
        <v>13830.611583333328</v>
      </c>
      <c r="O41" s="233">
        <f>'F2 - Net Expenditure'!AC15</f>
        <v>13349.707583333337</v>
      </c>
      <c r="P41" s="233">
        <f>'F2 - Net Expenditure'!AD15</f>
        <v>13269.184583333332</v>
      </c>
      <c r="Q41" s="233">
        <f>'F2 - Net Expenditure'!AE15</f>
        <v>13650.667583333332</v>
      </c>
      <c r="R41" s="233">
        <f>'F2 - Net Expenditure'!AF15</f>
        <v>13536.613713333314</v>
      </c>
      <c r="S41" s="233">
        <f>'F2 - Net Expenditure'!AG15</f>
        <v>157644.42512999999</v>
      </c>
      <c r="T41" s="233">
        <f>'F2 - Net Expenditure'!H15</f>
        <v>11225.135</v>
      </c>
      <c r="U41" s="233">
        <f>'F2 - Net Expenditure'!I15</f>
        <v>10959.656000000001</v>
      </c>
      <c r="V41" s="233">
        <f>'F2 - Net Expenditure'!J15</f>
        <v>12586.064999999999</v>
      </c>
      <c r="W41" s="233">
        <f>'F2 - Net Expenditure'!K15</f>
        <v>12081.285000000003</v>
      </c>
      <c r="X41" s="233">
        <f>'F2 - Net Expenditure'!L15</f>
        <v>11774.905999999995</v>
      </c>
      <c r="Y41" s="233">
        <f>'F2 - Net Expenditure'!M15</f>
        <v>13086.627</v>
      </c>
      <c r="Z41" s="233">
        <f>'F2 - Net Expenditure'!N15</f>
        <v>11668.396000000008</v>
      </c>
      <c r="AA41" s="233">
        <f>'F2 - Net Expenditure'!O15</f>
        <v>13312.672999999995</v>
      </c>
      <c r="AB41" s="233">
        <f>'F2 - Net Expenditure'!P15</f>
        <v>12331.769000000004</v>
      </c>
      <c r="AC41" s="233">
        <f>'F2 - Net Expenditure'!Q15</f>
        <v>12851.245999999999</v>
      </c>
      <c r="AD41" s="233">
        <f>'F2 - Net Expenditure'!R15</f>
        <v>13132.728999999999</v>
      </c>
      <c r="AE41" s="233">
        <f>'F2 - Net Expenditure'!S15</f>
        <v>8223.6751299999814</v>
      </c>
      <c r="AG41" s="233">
        <f>'F2 - Net Expenditure'!C15</f>
        <v>143234.16212999998</v>
      </c>
      <c r="AH41" s="233">
        <f>'F2 - Net Expenditure'!D15</f>
        <v>157644.42512999999</v>
      </c>
      <c r="AI41" s="233">
        <f>'F2 - Net Expenditure'!E15</f>
        <v>0</v>
      </c>
      <c r="AJ41" s="233">
        <f>'F2 - Net Expenditure'!F15</f>
        <v>0</v>
      </c>
    </row>
    <row r="42" spans="1:36" ht="15" customHeight="1">
      <c r="A42" s="234" t="str">
        <f>'Front Sheet and Checklist'!$C$5</f>
        <v>Swansea Bay UHB</v>
      </c>
      <c r="B42" s="234" t="str">
        <f t="shared" si="2"/>
        <v>F2 Net Expenditure</v>
      </c>
      <c r="C42" s="235" t="str">
        <f>'F2 - Net Expenditure'!$B$4</f>
        <v>SUMMARISED STATEMENT OF COMPREHENSIVE NET EXPENDITURE/INCOME</v>
      </c>
      <c r="D42" s="234" t="s">
        <v>370</v>
      </c>
      <c r="F42" s="234" t="str">
        <f>'F2 - Net Expenditure'!B16</f>
        <v>Secondary Care - Drugs</v>
      </c>
      <c r="G42" s="233">
        <f>'F2 - Net Expenditure'!U16</f>
        <v>7331.666666666667</v>
      </c>
      <c r="H42" s="233">
        <f>'F2 - Net Expenditure'!V16</f>
        <v>7331.666666666667</v>
      </c>
      <c r="I42" s="233">
        <f>'F2 - Net Expenditure'!W16</f>
        <v>7331.666666666667</v>
      </c>
      <c r="J42" s="233">
        <f>'F2 - Net Expenditure'!X16</f>
        <v>7331.666666666667</v>
      </c>
      <c r="K42" s="233">
        <f>'F2 - Net Expenditure'!Y16</f>
        <v>7331.666666666667</v>
      </c>
      <c r="L42" s="233">
        <f>'F2 - Net Expenditure'!Z16</f>
        <v>7331.666666666667</v>
      </c>
      <c r="M42" s="233">
        <f>'F2 - Net Expenditure'!AA16</f>
        <v>7331.666666666667</v>
      </c>
      <c r="N42" s="233">
        <f>'F2 - Net Expenditure'!AB16</f>
        <v>7331.666666666667</v>
      </c>
      <c r="O42" s="233">
        <f>'F2 - Net Expenditure'!AC16</f>
        <v>7331.666666666667</v>
      </c>
      <c r="P42" s="233">
        <f>'F2 - Net Expenditure'!AD16</f>
        <v>7331.666666666667</v>
      </c>
      <c r="Q42" s="233">
        <f>'F2 - Net Expenditure'!AE16</f>
        <v>7331.666666666667</v>
      </c>
      <c r="R42" s="233">
        <f>'F2 - Net Expenditure'!AF16</f>
        <v>7331.666666666667</v>
      </c>
      <c r="S42" s="233">
        <f>'F2 - Net Expenditure'!AG16</f>
        <v>87980.000000000015</v>
      </c>
      <c r="T42" s="233">
        <f>'F2 - Net Expenditure'!H16</f>
        <v>5428.5649999999996</v>
      </c>
      <c r="U42" s="233">
        <f>'F2 - Net Expenditure'!I16</f>
        <v>6817.8760000000011</v>
      </c>
      <c r="V42" s="233">
        <f>'F2 - Net Expenditure'!J16</f>
        <v>6594.8680000000004</v>
      </c>
      <c r="W42" s="233">
        <f>'F2 - Net Expenditure'!K16</f>
        <v>6639.8580000000002</v>
      </c>
      <c r="X42" s="233">
        <f>'F2 - Net Expenditure'!L16</f>
        <v>6582.1090000000004</v>
      </c>
      <c r="Y42" s="233">
        <f>'F2 - Net Expenditure'!M16</f>
        <v>6362.3080000000009</v>
      </c>
      <c r="Z42" s="233">
        <f>'F2 - Net Expenditure'!N16</f>
        <v>7815.3240000000005</v>
      </c>
      <c r="AA42" s="233">
        <f>'F2 - Net Expenditure'!O16</f>
        <v>8090.0089999999982</v>
      </c>
      <c r="AB42" s="233">
        <f>'F2 - Net Expenditure'!P16</f>
        <v>6312.4239999999991</v>
      </c>
      <c r="AC42" s="233">
        <f>'F2 - Net Expenditure'!Q16</f>
        <v>8432</v>
      </c>
      <c r="AD42" s="233">
        <f>'F2 - Net Expenditure'!R16</f>
        <v>7051.0509999999922</v>
      </c>
      <c r="AE42" s="233">
        <f>'F2 - Net Expenditure'!S16</f>
        <v>7150.4519999999993</v>
      </c>
      <c r="AG42" s="233">
        <f>'F2 - Net Expenditure'!C16</f>
        <v>83276.843999999997</v>
      </c>
      <c r="AH42" s="233">
        <f>'F2 - Net Expenditure'!D16</f>
        <v>87980.000000000015</v>
      </c>
      <c r="AI42" s="233">
        <f>'F2 - Net Expenditure'!E16</f>
        <v>0</v>
      </c>
      <c r="AJ42" s="233">
        <f>'F2 - Net Expenditure'!F16</f>
        <v>0</v>
      </c>
    </row>
    <row r="43" spans="1:36" ht="15" customHeight="1">
      <c r="A43" s="234" t="str">
        <f>'Front Sheet and Checklist'!$C$5</f>
        <v>Swansea Bay UHB</v>
      </c>
      <c r="B43" s="234" t="str">
        <f t="shared" si="2"/>
        <v>F2 Net Expenditure</v>
      </c>
      <c r="C43" s="235" t="str">
        <f>'F2 - Net Expenditure'!$B$4</f>
        <v>SUMMARISED STATEMENT OF COMPREHENSIVE NET EXPENDITURE/INCOME</v>
      </c>
      <c r="D43" s="234" t="s">
        <v>370</v>
      </c>
      <c r="F43" s="234" t="str">
        <f>'F2 - Net Expenditure'!B17</f>
        <v>Healthcare Services Provided by Other NHS Bodies</v>
      </c>
      <c r="G43" s="233">
        <f>'F2 - Net Expenditure'!U17</f>
        <v>15294.525777777777</v>
      </c>
      <c r="H43" s="233">
        <f>'F2 - Net Expenditure'!V17</f>
        <v>15336.725777777778</v>
      </c>
      <c r="I43" s="233">
        <f>'F2 - Net Expenditure'!W17</f>
        <v>15251.342777777776</v>
      </c>
      <c r="J43" s="233">
        <f>'F2 - Net Expenditure'!X17</f>
        <v>15585.341777777776</v>
      </c>
      <c r="K43" s="233">
        <f>'F2 - Net Expenditure'!Y17</f>
        <v>15421.551777777782</v>
      </c>
      <c r="L43" s="233">
        <f>'F2 - Net Expenditure'!Z17</f>
        <v>16784.108777777768</v>
      </c>
      <c r="M43" s="233">
        <f>'F2 - Net Expenditure'!AA17</f>
        <v>15650.482777777779</v>
      </c>
      <c r="N43" s="233">
        <f>'F2 - Net Expenditure'!AB17</f>
        <v>17372.685777777788</v>
      </c>
      <c r="O43" s="233">
        <f>'F2 - Net Expenditure'!AC17</f>
        <v>16209.802777777773</v>
      </c>
      <c r="P43" s="233">
        <f>'F2 - Net Expenditure'!AD17</f>
        <v>16281.850777777781</v>
      </c>
      <c r="Q43" s="233">
        <f>'F2 - Net Expenditure'!AE17</f>
        <v>15518.01577777776</v>
      </c>
      <c r="R43" s="233">
        <f>'F2 - Net Expenditure'!AF17</f>
        <v>16212.357777777777</v>
      </c>
      <c r="S43" s="233">
        <f>'F2 - Net Expenditure'!AG17</f>
        <v>190918.79233333332</v>
      </c>
      <c r="T43" s="233">
        <f>'F2 - Net Expenditure'!H17</f>
        <v>14640.498</v>
      </c>
      <c r="U43" s="233">
        <f>'F2 - Net Expenditure'!I17</f>
        <v>14682.698</v>
      </c>
      <c r="V43" s="233">
        <f>'F2 - Net Expenditure'!J17</f>
        <v>14597.314999999999</v>
      </c>
      <c r="W43" s="233">
        <f>'F2 - Net Expenditure'!K17</f>
        <v>14931.313999999998</v>
      </c>
      <c r="X43" s="233">
        <f>'F2 - Net Expenditure'!L17</f>
        <v>14767.524000000005</v>
      </c>
      <c r="Y43" s="233">
        <f>'F2 - Net Expenditure'!M17</f>
        <v>16130.080999999991</v>
      </c>
      <c r="Z43" s="233">
        <f>'F2 - Net Expenditure'!N17</f>
        <v>14996.455000000002</v>
      </c>
      <c r="AA43" s="233">
        <f>'F2 - Net Expenditure'!O17</f>
        <v>16718.65800000001</v>
      </c>
      <c r="AB43" s="233">
        <f>'F2 - Net Expenditure'!P17</f>
        <v>15555.774999999996</v>
      </c>
      <c r="AC43" s="233">
        <f>'F2 - Net Expenditure'!Q17</f>
        <v>15627.823000000004</v>
      </c>
      <c r="AD43" s="233">
        <f>'F2 - Net Expenditure'!R17</f>
        <v>14863.987999999983</v>
      </c>
      <c r="AE43" s="233">
        <f>'F2 - Net Expenditure'!S17</f>
        <v>15558.33</v>
      </c>
      <c r="AG43" s="233">
        <f>'F2 - Net Expenditure'!C17</f>
        <v>183070.45899999997</v>
      </c>
      <c r="AH43" s="233">
        <f>'F2 - Net Expenditure'!D17</f>
        <v>190918.79233333332</v>
      </c>
      <c r="AI43" s="233">
        <f>'F2 - Net Expenditure'!E17</f>
        <v>0</v>
      </c>
      <c r="AJ43" s="233">
        <f>'F2 - Net Expenditure'!F17</f>
        <v>0</v>
      </c>
    </row>
    <row r="44" spans="1:36" ht="15" customHeight="1">
      <c r="A44" s="234" t="str">
        <f>'Front Sheet and Checklist'!$C$5</f>
        <v>Swansea Bay UHB</v>
      </c>
      <c r="B44" s="234" t="str">
        <f t="shared" si="2"/>
        <v>F2 Net Expenditure</v>
      </c>
      <c r="C44" s="235" t="str">
        <f>'F2 - Net Expenditure'!$B$4</f>
        <v>SUMMARISED STATEMENT OF COMPREHENSIVE NET EXPENDITURE/INCOME</v>
      </c>
      <c r="D44" s="234" t="s">
        <v>370</v>
      </c>
      <c r="F44" s="234" t="str">
        <f>'F2 - Net Expenditure'!B18</f>
        <v>Non Healthcare Services Provided by Other NHS Bodies</v>
      </c>
      <c r="G44" s="233">
        <f>'F2 - Net Expenditure'!U18</f>
        <v>0</v>
      </c>
      <c r="H44" s="233">
        <f>'F2 - Net Expenditure'!V18</f>
        <v>0</v>
      </c>
      <c r="I44" s="233">
        <f>'F2 - Net Expenditure'!W18</f>
        <v>0</v>
      </c>
      <c r="J44" s="233">
        <f>'F2 - Net Expenditure'!X18</f>
        <v>0</v>
      </c>
      <c r="K44" s="233">
        <f>'F2 - Net Expenditure'!Y18</f>
        <v>0</v>
      </c>
      <c r="L44" s="233">
        <f>'F2 - Net Expenditure'!Z18</f>
        <v>0</v>
      </c>
      <c r="M44" s="233">
        <f>'F2 - Net Expenditure'!AA18</f>
        <v>0</v>
      </c>
      <c r="N44" s="233">
        <f>'F2 - Net Expenditure'!AB18</f>
        <v>0</v>
      </c>
      <c r="O44" s="233">
        <f>'F2 - Net Expenditure'!AC18</f>
        <v>0</v>
      </c>
      <c r="P44" s="233">
        <f>'F2 - Net Expenditure'!AD18</f>
        <v>0</v>
      </c>
      <c r="Q44" s="233">
        <f>'F2 - Net Expenditure'!AE18</f>
        <v>0</v>
      </c>
      <c r="R44" s="233">
        <f>'F2 - Net Expenditure'!AF18</f>
        <v>0</v>
      </c>
      <c r="S44" s="233">
        <f>'F2 - Net Expenditure'!AG18</f>
        <v>0</v>
      </c>
      <c r="T44" s="233">
        <f>'F2 - Net Expenditure'!H18</f>
        <v>0</v>
      </c>
      <c r="U44" s="233">
        <f>'F2 - Net Expenditure'!I18</f>
        <v>0</v>
      </c>
      <c r="V44" s="233">
        <f>'F2 - Net Expenditure'!J18</f>
        <v>0</v>
      </c>
      <c r="W44" s="233">
        <f>'F2 - Net Expenditure'!K18</f>
        <v>0</v>
      </c>
      <c r="X44" s="233">
        <f>'F2 - Net Expenditure'!L18</f>
        <v>0</v>
      </c>
      <c r="Y44" s="233">
        <f>'F2 - Net Expenditure'!M18</f>
        <v>0</v>
      </c>
      <c r="Z44" s="233">
        <f>'F2 - Net Expenditure'!N18</f>
        <v>0</v>
      </c>
      <c r="AA44" s="233">
        <f>'F2 - Net Expenditure'!O18</f>
        <v>0</v>
      </c>
      <c r="AB44" s="233">
        <f>'F2 - Net Expenditure'!P18</f>
        <v>0</v>
      </c>
      <c r="AC44" s="233">
        <f>'F2 - Net Expenditure'!Q18</f>
        <v>0</v>
      </c>
      <c r="AD44" s="233">
        <f>'F2 - Net Expenditure'!R18</f>
        <v>0</v>
      </c>
      <c r="AE44" s="233">
        <f>'F2 - Net Expenditure'!S18</f>
        <v>0</v>
      </c>
      <c r="AG44" s="233">
        <f>'F2 - Net Expenditure'!C18</f>
        <v>0</v>
      </c>
      <c r="AH44" s="233">
        <f>'F2 - Net Expenditure'!D18</f>
        <v>0</v>
      </c>
      <c r="AI44" s="233">
        <f>'F2 - Net Expenditure'!E18</f>
        <v>0</v>
      </c>
      <c r="AJ44" s="233">
        <f>'F2 - Net Expenditure'!F18</f>
        <v>0</v>
      </c>
    </row>
    <row r="45" spans="1:36" ht="15" customHeight="1">
      <c r="A45" s="234" t="str">
        <f>'Front Sheet and Checklist'!$C$5</f>
        <v>Swansea Bay UHB</v>
      </c>
      <c r="B45" s="234" t="str">
        <f t="shared" si="2"/>
        <v>F2 Net Expenditure</v>
      </c>
      <c r="C45" s="235" t="str">
        <f>'F2 - Net Expenditure'!$B$4</f>
        <v>SUMMARISED STATEMENT OF COMPREHENSIVE NET EXPENDITURE/INCOME</v>
      </c>
      <c r="D45" s="234" t="s">
        <v>370</v>
      </c>
      <c r="F45" s="234" t="str">
        <f>'F2 - Net Expenditure'!B19</f>
        <v>Continuing Care and Funded Nursing Care</v>
      </c>
      <c r="G45" s="233">
        <f>'F2 - Net Expenditure'!U19</f>
        <v>7287.1459999999997</v>
      </c>
      <c r="H45" s="233">
        <f>'F2 - Net Expenditure'!V19</f>
        <v>6944.0860000000002</v>
      </c>
      <c r="I45" s="233">
        <f>'F2 - Net Expenditure'!W19</f>
        <v>8172.6510000000026</v>
      </c>
      <c r="J45" s="233">
        <f>'F2 - Net Expenditure'!X19</f>
        <v>7720.9899999999989</v>
      </c>
      <c r="K45" s="233">
        <f>'F2 - Net Expenditure'!Y19</f>
        <v>8369.5010000000038</v>
      </c>
      <c r="L45" s="233">
        <f>'F2 - Net Expenditure'!Z19</f>
        <v>6908.5879999999961</v>
      </c>
      <c r="M45" s="233">
        <f>'F2 - Net Expenditure'!AA19</f>
        <v>8908.288999999997</v>
      </c>
      <c r="N45" s="233">
        <f>'F2 - Net Expenditure'!AB19</f>
        <v>8885.8420000000042</v>
      </c>
      <c r="O45" s="233">
        <f>'F2 - Net Expenditure'!AC19</f>
        <v>8802.523000000001</v>
      </c>
      <c r="P45" s="233">
        <f>'F2 - Net Expenditure'!AD19</f>
        <v>9100.9549999999945</v>
      </c>
      <c r="Q45" s="233">
        <f>'F2 - Net Expenditure'!AE19</f>
        <v>8280.1059999999998</v>
      </c>
      <c r="R45" s="233">
        <f>'F2 - Net Expenditure'!AF19</f>
        <v>8126.8370000000004</v>
      </c>
      <c r="S45" s="233">
        <f>'F2 - Net Expenditure'!AG19</f>
        <v>97507.513999999996</v>
      </c>
      <c r="T45" s="233">
        <f>'F2 - Net Expenditure'!H19</f>
        <v>6388.8959999999997</v>
      </c>
      <c r="U45" s="233">
        <f>'F2 - Net Expenditure'!I19</f>
        <v>6045.8360000000002</v>
      </c>
      <c r="V45" s="233">
        <f>'F2 - Net Expenditure'!J19</f>
        <v>7274.4010000000017</v>
      </c>
      <c r="W45" s="233">
        <f>'F2 - Net Expenditure'!K19</f>
        <v>6822.739999999998</v>
      </c>
      <c r="X45" s="233">
        <f>'F2 - Net Expenditure'!L19</f>
        <v>7471.2510000000038</v>
      </c>
      <c r="Y45" s="233">
        <f>'F2 - Net Expenditure'!M19</f>
        <v>6010.3379999999961</v>
      </c>
      <c r="Z45" s="233">
        <f>'F2 - Net Expenditure'!N19</f>
        <v>8010.038999999997</v>
      </c>
      <c r="AA45" s="233">
        <f>'F2 - Net Expenditure'!O19</f>
        <v>7987.5920000000042</v>
      </c>
      <c r="AB45" s="233">
        <f>'F2 - Net Expenditure'!P19</f>
        <v>7904.273000000001</v>
      </c>
      <c r="AC45" s="233">
        <f>'F2 - Net Expenditure'!Q19</f>
        <v>8202.7049999999945</v>
      </c>
      <c r="AD45" s="233">
        <f>'F2 - Net Expenditure'!R19</f>
        <v>7381.8559999999998</v>
      </c>
      <c r="AE45" s="233">
        <f>'F2 - Net Expenditure'!S19</f>
        <v>7228.5870000000004</v>
      </c>
      <c r="AG45" s="233">
        <f>'F2 - Net Expenditure'!C19</f>
        <v>86728.513999999996</v>
      </c>
      <c r="AH45" s="233">
        <f>'F2 - Net Expenditure'!D19</f>
        <v>97507.513999999996</v>
      </c>
      <c r="AI45" s="233">
        <f>'F2 - Net Expenditure'!E19</f>
        <v>0</v>
      </c>
      <c r="AJ45" s="233">
        <f>'F2 - Net Expenditure'!F19</f>
        <v>0</v>
      </c>
    </row>
    <row r="46" spans="1:36" ht="15" customHeight="1">
      <c r="A46" s="234" t="str">
        <f>'Front Sheet and Checklist'!$C$5</f>
        <v>Swansea Bay UHB</v>
      </c>
      <c r="B46" s="234" t="str">
        <f t="shared" si="2"/>
        <v>F2 Net Expenditure</v>
      </c>
      <c r="C46" s="235" t="str">
        <f>'F2 - Net Expenditure'!$B$4</f>
        <v>SUMMARISED STATEMENT OF COMPREHENSIVE NET EXPENDITURE/INCOME</v>
      </c>
      <c r="D46" s="234" t="s">
        <v>370</v>
      </c>
      <c r="F46" s="234" t="str">
        <f>'F2 - Net Expenditure'!B20</f>
        <v>Other Private &amp; Voluntary Sector</v>
      </c>
      <c r="G46" s="233">
        <f>'F2 - Net Expenditure'!U20</f>
        <v>1504</v>
      </c>
      <c r="H46" s="233">
        <f>'F2 - Net Expenditure'!V20</f>
        <v>1504</v>
      </c>
      <c r="I46" s="233">
        <f>'F2 - Net Expenditure'!W20</f>
        <v>1504</v>
      </c>
      <c r="J46" s="233">
        <f>'F2 - Net Expenditure'!X20</f>
        <v>1504</v>
      </c>
      <c r="K46" s="233">
        <f>'F2 - Net Expenditure'!Y20</f>
        <v>1504</v>
      </c>
      <c r="L46" s="233">
        <f>'F2 - Net Expenditure'!Z20</f>
        <v>1504</v>
      </c>
      <c r="M46" s="233">
        <f>'F2 - Net Expenditure'!AA20</f>
        <v>1504</v>
      </c>
      <c r="N46" s="233">
        <f>'F2 - Net Expenditure'!AB20</f>
        <v>1504</v>
      </c>
      <c r="O46" s="233">
        <f>'F2 - Net Expenditure'!AC20</f>
        <v>1504</v>
      </c>
      <c r="P46" s="233">
        <f>'F2 - Net Expenditure'!AD20</f>
        <v>1504</v>
      </c>
      <c r="Q46" s="233">
        <f>'F2 - Net Expenditure'!AE20</f>
        <v>1504</v>
      </c>
      <c r="R46" s="233">
        <f>'F2 - Net Expenditure'!AF20</f>
        <v>1504</v>
      </c>
      <c r="S46" s="233">
        <f>'F2 - Net Expenditure'!AG20</f>
        <v>18048</v>
      </c>
      <c r="T46" s="233">
        <f>'F2 - Net Expenditure'!H20</f>
        <v>1224.0550000000001</v>
      </c>
      <c r="U46" s="233">
        <f>'F2 - Net Expenditure'!I20</f>
        <v>1327.0240000000001</v>
      </c>
      <c r="V46" s="233">
        <f>'F2 - Net Expenditure'!J20</f>
        <v>1622.3309999999997</v>
      </c>
      <c r="W46" s="233">
        <f>'F2 - Net Expenditure'!K20</f>
        <v>1562.5439999999999</v>
      </c>
      <c r="X46" s="233">
        <f>'F2 - Net Expenditure'!L20</f>
        <v>1250.8270000000002</v>
      </c>
      <c r="Y46" s="233">
        <f>'F2 - Net Expenditure'!M20</f>
        <v>1888.0379999999996</v>
      </c>
      <c r="Z46" s="233">
        <f>'F2 - Net Expenditure'!N20</f>
        <v>1346.5820000000003</v>
      </c>
      <c r="AA46" s="233">
        <f>'F2 - Net Expenditure'!O20</f>
        <v>1560.3860000000004</v>
      </c>
      <c r="AB46" s="233">
        <f>'F2 - Net Expenditure'!P20</f>
        <v>1643.6309999999994</v>
      </c>
      <c r="AC46" s="233">
        <f>'F2 - Net Expenditure'!Q20</f>
        <v>2184.6769999999997</v>
      </c>
      <c r="AD46" s="233">
        <f>'F2 - Net Expenditure'!R20</f>
        <v>2316.0310000000009</v>
      </c>
      <c r="AE46" s="233">
        <f>'F2 - Net Expenditure'!S20</f>
        <v>123.3125</v>
      </c>
      <c r="AG46" s="233">
        <f>'F2 - Net Expenditure'!C20</f>
        <v>18049.4385</v>
      </c>
      <c r="AH46" s="233">
        <f>'F2 - Net Expenditure'!D20</f>
        <v>18048</v>
      </c>
      <c r="AI46" s="233">
        <f>'F2 - Net Expenditure'!E20</f>
        <v>0</v>
      </c>
      <c r="AJ46" s="233">
        <f>'F2 - Net Expenditure'!F20</f>
        <v>0</v>
      </c>
    </row>
    <row r="47" spans="1:36" ht="15" customHeight="1">
      <c r="A47" s="234" t="str">
        <f>'Front Sheet and Checklist'!$C$5</f>
        <v>Swansea Bay UHB</v>
      </c>
      <c r="B47" s="234" t="str">
        <f t="shared" si="2"/>
        <v>F2 Net Expenditure</v>
      </c>
      <c r="C47" s="235" t="str">
        <f>'F2 - Net Expenditure'!$B$4</f>
        <v>SUMMARISED STATEMENT OF COMPREHENSIVE NET EXPENDITURE/INCOME</v>
      </c>
      <c r="D47" s="234" t="s">
        <v>370</v>
      </c>
      <c r="F47" s="234" t="str">
        <f>'F2 - Net Expenditure'!B21</f>
        <v xml:space="preserve">Joint Financing and Other </v>
      </c>
      <c r="G47" s="233">
        <f>'F2 - Net Expenditure'!U21</f>
        <v>1639.75</v>
      </c>
      <c r="H47" s="233">
        <f>'F2 - Net Expenditure'!V21</f>
        <v>1639.75</v>
      </c>
      <c r="I47" s="233">
        <f>'F2 - Net Expenditure'!W21</f>
        <v>1639.75</v>
      </c>
      <c r="J47" s="233">
        <f>'F2 - Net Expenditure'!X21</f>
        <v>1639.75</v>
      </c>
      <c r="K47" s="233">
        <f>'F2 - Net Expenditure'!Y21</f>
        <v>1639.75</v>
      </c>
      <c r="L47" s="233">
        <f>'F2 - Net Expenditure'!Z21</f>
        <v>1639.75</v>
      </c>
      <c r="M47" s="233">
        <f>'F2 - Net Expenditure'!AA21</f>
        <v>1639.75</v>
      </c>
      <c r="N47" s="233">
        <f>'F2 - Net Expenditure'!AB21</f>
        <v>1639.75</v>
      </c>
      <c r="O47" s="233">
        <f>'F2 - Net Expenditure'!AC21</f>
        <v>1639.75</v>
      </c>
      <c r="P47" s="233">
        <f>'F2 - Net Expenditure'!AD21</f>
        <v>1639.75</v>
      </c>
      <c r="Q47" s="233">
        <f>'F2 - Net Expenditure'!AE21</f>
        <v>1639.75</v>
      </c>
      <c r="R47" s="233">
        <f>'F2 - Net Expenditure'!AF21</f>
        <v>1639.75</v>
      </c>
      <c r="S47" s="233">
        <f>'F2 - Net Expenditure'!AG21</f>
        <v>19677</v>
      </c>
      <c r="T47" s="233">
        <f>'F2 - Net Expenditure'!H21</f>
        <v>447.99799999999999</v>
      </c>
      <c r="U47" s="233">
        <f>'F2 - Net Expenditure'!I21</f>
        <v>588.55500000000006</v>
      </c>
      <c r="V47" s="233">
        <f>'F2 - Net Expenditure'!J21</f>
        <v>469.32999999999993</v>
      </c>
      <c r="W47" s="233">
        <f>'F2 - Net Expenditure'!K21</f>
        <v>689.62200000000007</v>
      </c>
      <c r="X47" s="233">
        <f>'F2 - Net Expenditure'!L21</f>
        <v>1494.473</v>
      </c>
      <c r="Y47" s="233">
        <f>'F2 - Net Expenditure'!M21</f>
        <v>310.50099999999975</v>
      </c>
      <c r="Z47" s="233">
        <f>'F2 - Net Expenditure'!N21</f>
        <v>1117.1129999999998</v>
      </c>
      <c r="AA47" s="233">
        <f>'F2 - Net Expenditure'!O21</f>
        <v>266.0590000000002</v>
      </c>
      <c r="AB47" s="233">
        <f>'F2 - Net Expenditure'!P21</f>
        <v>1160.1019999999999</v>
      </c>
      <c r="AC47" s="233">
        <f>'F2 - Net Expenditure'!Q21</f>
        <v>652.06400000000031</v>
      </c>
      <c r="AD47" s="233">
        <f>'F2 - Net Expenditure'!R21</f>
        <v>4622.2769999999991</v>
      </c>
      <c r="AE47" s="233">
        <f>'F2 - Net Expenditure'!S21</f>
        <v>7859.1447500000013</v>
      </c>
      <c r="AG47" s="233">
        <f>'F2 - Net Expenditure'!C21</f>
        <v>19677.23875</v>
      </c>
      <c r="AH47" s="233">
        <f>'F2 - Net Expenditure'!D21</f>
        <v>19677</v>
      </c>
      <c r="AI47" s="233">
        <f>'F2 - Net Expenditure'!E21</f>
        <v>0</v>
      </c>
      <c r="AJ47" s="233">
        <f>'F2 - Net Expenditure'!F21</f>
        <v>0</v>
      </c>
    </row>
    <row r="48" spans="1:36" ht="15" customHeight="1">
      <c r="A48" s="234" t="str">
        <f>'Front Sheet and Checklist'!$C$5</f>
        <v>Swansea Bay UHB</v>
      </c>
      <c r="B48" s="234" t="str">
        <f t="shared" si="2"/>
        <v>F2 Net Expenditure</v>
      </c>
      <c r="C48" s="235" t="str">
        <f>'F2 - Net Expenditure'!$B$4</f>
        <v>SUMMARISED STATEMENT OF COMPREHENSIVE NET EXPENDITURE/INCOME</v>
      </c>
      <c r="D48" s="234" t="s">
        <v>370</v>
      </c>
      <c r="F48" s="234" t="str">
        <f>'F2 - Net Expenditure'!B22</f>
        <v xml:space="preserve">Losses, Special Payments and Irrecoverable Debts </v>
      </c>
      <c r="G48" s="233">
        <f>'F2 - Net Expenditure'!U22</f>
        <v>174.41666666666666</v>
      </c>
      <c r="H48" s="233">
        <f>'F2 - Net Expenditure'!V22</f>
        <v>174.41666666666666</v>
      </c>
      <c r="I48" s="233">
        <f>'F2 - Net Expenditure'!W22</f>
        <v>174.41666666666666</v>
      </c>
      <c r="J48" s="233">
        <f>'F2 - Net Expenditure'!X22</f>
        <v>174.41666666666666</v>
      </c>
      <c r="K48" s="233">
        <f>'F2 - Net Expenditure'!Y22</f>
        <v>174.41666666666666</v>
      </c>
      <c r="L48" s="233">
        <f>'F2 - Net Expenditure'!Z22</f>
        <v>174.41666666666666</v>
      </c>
      <c r="M48" s="233">
        <f>'F2 - Net Expenditure'!AA22</f>
        <v>174.41666666666666</v>
      </c>
      <c r="N48" s="233">
        <f>'F2 - Net Expenditure'!AB22</f>
        <v>174.41666666666666</v>
      </c>
      <c r="O48" s="233">
        <f>'F2 - Net Expenditure'!AC22</f>
        <v>174.41666666666666</v>
      </c>
      <c r="P48" s="233">
        <f>'F2 - Net Expenditure'!AD22</f>
        <v>174.41666666666666</v>
      </c>
      <c r="Q48" s="233">
        <f>'F2 - Net Expenditure'!AE22</f>
        <v>174.41666666666666</v>
      </c>
      <c r="R48" s="233">
        <f>'F2 - Net Expenditure'!AF22</f>
        <v>174.41666666666666</v>
      </c>
      <c r="S48" s="233">
        <f>'F2 - Net Expenditure'!AG22</f>
        <v>2093.0000000000005</v>
      </c>
      <c r="T48" s="233">
        <f>'F2 - Net Expenditure'!H22</f>
        <v>-1400.4369999999999</v>
      </c>
      <c r="U48" s="233">
        <f>'F2 - Net Expenditure'!I22</f>
        <v>1242.6389999999999</v>
      </c>
      <c r="V48" s="233">
        <f>'F2 - Net Expenditure'!J22</f>
        <v>415.94200000000001</v>
      </c>
      <c r="W48" s="233">
        <f>'F2 - Net Expenditure'!K22</f>
        <v>-29.311000000000007</v>
      </c>
      <c r="X48" s="233">
        <f>'F2 - Net Expenditure'!L22</f>
        <v>468.98100000000068</v>
      </c>
      <c r="Y48" s="233">
        <f>'F2 - Net Expenditure'!M22</f>
        <v>-867.94500000000062</v>
      </c>
      <c r="Z48" s="233">
        <f>'F2 - Net Expenditure'!N22</f>
        <v>-775.34999999999991</v>
      </c>
      <c r="AA48" s="233">
        <f>'F2 - Net Expenditure'!O22</f>
        <v>384.66399999999976</v>
      </c>
      <c r="AB48" s="233">
        <f>'F2 - Net Expenditure'!P22</f>
        <v>-680.66100000000006</v>
      </c>
      <c r="AC48" s="233">
        <f>'F2 - Net Expenditure'!Q22</f>
        <v>-770.65300000000025</v>
      </c>
      <c r="AD48" s="233">
        <f>'F2 - Net Expenditure'!R22</f>
        <v>924.31700000000001</v>
      </c>
      <c r="AE48" s="233">
        <f>'F2 - Net Expenditure'!S22</f>
        <v>3180.6129999999998</v>
      </c>
      <c r="AG48" s="233">
        <f>'F2 - Net Expenditure'!C22</f>
        <v>2092.7989999999995</v>
      </c>
      <c r="AH48" s="233">
        <f>'F2 - Net Expenditure'!D22</f>
        <v>2093.0000000000005</v>
      </c>
      <c r="AI48" s="233">
        <f>'F2 - Net Expenditure'!E22</f>
        <v>0</v>
      </c>
      <c r="AJ48" s="233">
        <f>'F2 - Net Expenditure'!F22</f>
        <v>0</v>
      </c>
    </row>
    <row r="49" spans="1:36" ht="15" customHeight="1">
      <c r="A49" s="234" t="str">
        <f>'Front Sheet and Checklist'!$C$5</f>
        <v>Swansea Bay UHB</v>
      </c>
      <c r="B49" s="234" t="str">
        <f t="shared" si="2"/>
        <v>F2 Net Expenditure</v>
      </c>
      <c r="C49" s="235" t="str">
        <f>'F2 - Net Expenditure'!$B$4</f>
        <v>SUMMARISED STATEMENT OF COMPREHENSIVE NET EXPENDITURE/INCOME</v>
      </c>
      <c r="D49" s="234" t="s">
        <v>370</v>
      </c>
      <c r="F49" s="234" t="str">
        <f>'F2 - Net Expenditure'!B23</f>
        <v>Exceptional (Income) / Costs - (Trust Only)</v>
      </c>
      <c r="G49" s="233">
        <f>'F2 - Net Expenditure'!U23</f>
        <v>0</v>
      </c>
      <c r="H49" s="233">
        <f>'F2 - Net Expenditure'!V23</f>
        <v>0</v>
      </c>
      <c r="I49" s="233">
        <f>'F2 - Net Expenditure'!W23</f>
        <v>0</v>
      </c>
      <c r="J49" s="233">
        <f>'F2 - Net Expenditure'!X23</f>
        <v>0</v>
      </c>
      <c r="K49" s="233">
        <f>'F2 - Net Expenditure'!Y23</f>
        <v>0</v>
      </c>
      <c r="L49" s="233">
        <f>'F2 - Net Expenditure'!Z23</f>
        <v>0</v>
      </c>
      <c r="M49" s="233">
        <f>'F2 - Net Expenditure'!AA23</f>
        <v>0</v>
      </c>
      <c r="N49" s="233">
        <f>'F2 - Net Expenditure'!AB23</f>
        <v>0</v>
      </c>
      <c r="O49" s="233">
        <f>'F2 - Net Expenditure'!AC23</f>
        <v>0</v>
      </c>
      <c r="P49" s="233">
        <f>'F2 - Net Expenditure'!AD23</f>
        <v>0</v>
      </c>
      <c r="Q49" s="233">
        <f>'F2 - Net Expenditure'!AE23</f>
        <v>0</v>
      </c>
      <c r="R49" s="233">
        <f>'F2 - Net Expenditure'!AF23</f>
        <v>0</v>
      </c>
      <c r="S49" s="233">
        <f>'F2 - Net Expenditure'!AG23</f>
        <v>0</v>
      </c>
      <c r="T49" s="233">
        <f>'F2 - Net Expenditure'!H23</f>
        <v>0</v>
      </c>
      <c r="U49" s="233">
        <f>'F2 - Net Expenditure'!I23</f>
        <v>0</v>
      </c>
      <c r="V49" s="233">
        <f>'F2 - Net Expenditure'!J23</f>
        <v>0</v>
      </c>
      <c r="W49" s="233">
        <f>'F2 - Net Expenditure'!K23</f>
        <v>0</v>
      </c>
      <c r="X49" s="233">
        <f>'F2 - Net Expenditure'!L23</f>
        <v>0</v>
      </c>
      <c r="Y49" s="233">
        <f>'F2 - Net Expenditure'!M23</f>
        <v>0</v>
      </c>
      <c r="Z49" s="233">
        <f>'F2 - Net Expenditure'!N23</f>
        <v>0</v>
      </c>
      <c r="AA49" s="233">
        <f>'F2 - Net Expenditure'!O23</f>
        <v>0</v>
      </c>
      <c r="AB49" s="233">
        <f>'F2 - Net Expenditure'!P23</f>
        <v>0</v>
      </c>
      <c r="AC49" s="233">
        <f>'F2 - Net Expenditure'!Q23</f>
        <v>0</v>
      </c>
      <c r="AD49" s="233">
        <f>'F2 - Net Expenditure'!R23</f>
        <v>0</v>
      </c>
      <c r="AE49" s="233">
        <f>'F2 - Net Expenditure'!S23</f>
        <v>0</v>
      </c>
      <c r="AG49" s="233">
        <f>'F2 - Net Expenditure'!C23</f>
        <v>0</v>
      </c>
      <c r="AH49" s="233">
        <f>'F2 - Net Expenditure'!D23</f>
        <v>0</v>
      </c>
      <c r="AI49" s="233">
        <f>'F2 - Net Expenditure'!E23</f>
        <v>0</v>
      </c>
      <c r="AJ49" s="233">
        <f>'F2 - Net Expenditure'!F23</f>
        <v>0</v>
      </c>
    </row>
    <row r="50" spans="1:36" ht="15" customHeight="1">
      <c r="A50" s="234" t="str">
        <f>'Front Sheet and Checklist'!$C$5</f>
        <v>Swansea Bay UHB</v>
      </c>
      <c r="B50" s="234" t="str">
        <f t="shared" si="2"/>
        <v>F2 Net Expenditure</v>
      </c>
      <c r="C50" s="235" t="str">
        <f>'F2 - Net Expenditure'!$B$4</f>
        <v>SUMMARISED STATEMENT OF COMPREHENSIVE NET EXPENDITURE/INCOME</v>
      </c>
      <c r="D50" s="234" t="s">
        <v>370</v>
      </c>
      <c r="F50" s="234" t="str">
        <f>'F2 - Net Expenditure'!B24</f>
        <v>Total Interest Receivable - (Trust Only)</v>
      </c>
      <c r="G50" s="233">
        <f>'F2 - Net Expenditure'!U24</f>
        <v>0</v>
      </c>
      <c r="H50" s="233">
        <f>'F2 - Net Expenditure'!V24</f>
        <v>0</v>
      </c>
      <c r="I50" s="233">
        <f>'F2 - Net Expenditure'!W24</f>
        <v>0</v>
      </c>
      <c r="J50" s="233">
        <f>'F2 - Net Expenditure'!X24</f>
        <v>0</v>
      </c>
      <c r="K50" s="233">
        <f>'F2 - Net Expenditure'!Y24</f>
        <v>0</v>
      </c>
      <c r="L50" s="233">
        <f>'F2 - Net Expenditure'!Z24</f>
        <v>0</v>
      </c>
      <c r="M50" s="233">
        <f>'F2 - Net Expenditure'!AA24</f>
        <v>0</v>
      </c>
      <c r="N50" s="233">
        <f>'F2 - Net Expenditure'!AB24</f>
        <v>0</v>
      </c>
      <c r="O50" s="233">
        <f>'F2 - Net Expenditure'!AC24</f>
        <v>0</v>
      </c>
      <c r="P50" s="233">
        <f>'F2 - Net Expenditure'!AD24</f>
        <v>0</v>
      </c>
      <c r="Q50" s="233">
        <f>'F2 - Net Expenditure'!AE24</f>
        <v>0</v>
      </c>
      <c r="R50" s="233">
        <f>'F2 - Net Expenditure'!AF24</f>
        <v>0</v>
      </c>
      <c r="S50" s="233">
        <f>'F2 - Net Expenditure'!AG24</f>
        <v>0</v>
      </c>
      <c r="T50" s="233">
        <f>'F2 - Net Expenditure'!H24</f>
        <v>0</v>
      </c>
      <c r="U50" s="233">
        <f>'F2 - Net Expenditure'!I24</f>
        <v>0</v>
      </c>
      <c r="V50" s="233">
        <f>'F2 - Net Expenditure'!J24</f>
        <v>0</v>
      </c>
      <c r="W50" s="233">
        <f>'F2 - Net Expenditure'!K24</f>
        <v>0</v>
      </c>
      <c r="X50" s="233">
        <f>'F2 - Net Expenditure'!L24</f>
        <v>0</v>
      </c>
      <c r="Y50" s="233">
        <f>'F2 - Net Expenditure'!M24</f>
        <v>0</v>
      </c>
      <c r="Z50" s="233">
        <f>'F2 - Net Expenditure'!N24</f>
        <v>0</v>
      </c>
      <c r="AA50" s="233">
        <f>'F2 - Net Expenditure'!O24</f>
        <v>0</v>
      </c>
      <c r="AB50" s="233">
        <f>'F2 - Net Expenditure'!P24</f>
        <v>0</v>
      </c>
      <c r="AC50" s="233">
        <f>'F2 - Net Expenditure'!Q24</f>
        <v>0</v>
      </c>
      <c r="AD50" s="233">
        <f>'F2 - Net Expenditure'!R24</f>
        <v>0</v>
      </c>
      <c r="AE50" s="233">
        <f>'F2 - Net Expenditure'!S24</f>
        <v>0</v>
      </c>
      <c r="AG50" s="233">
        <f>'F2 - Net Expenditure'!C24</f>
        <v>0</v>
      </c>
      <c r="AH50" s="233">
        <f>'F2 - Net Expenditure'!D24</f>
        <v>0</v>
      </c>
      <c r="AI50" s="233">
        <f>'F2 - Net Expenditure'!E24</f>
        <v>0</v>
      </c>
      <c r="AJ50" s="233">
        <f>'F2 - Net Expenditure'!F24</f>
        <v>0</v>
      </c>
    </row>
    <row r="51" spans="1:36" ht="15" customHeight="1">
      <c r="A51" s="234" t="str">
        <f>'Front Sheet and Checklist'!$C$5</f>
        <v>Swansea Bay UHB</v>
      </c>
      <c r="B51" s="234" t="str">
        <f t="shared" si="2"/>
        <v>F2 Net Expenditure</v>
      </c>
      <c r="C51" s="235" t="str">
        <f>'F2 - Net Expenditure'!$B$4</f>
        <v>SUMMARISED STATEMENT OF COMPREHENSIVE NET EXPENDITURE/INCOME</v>
      </c>
      <c r="D51" s="234" t="s">
        <v>370</v>
      </c>
      <c r="F51" s="234" t="str">
        <f>'F2 - Net Expenditure'!B25</f>
        <v>Total Interest Payable - (Trust Only)</v>
      </c>
      <c r="G51" s="233">
        <f>'F2 - Net Expenditure'!U25</f>
        <v>0</v>
      </c>
      <c r="H51" s="233">
        <f>'F2 - Net Expenditure'!V25</f>
        <v>0</v>
      </c>
      <c r="I51" s="233">
        <f>'F2 - Net Expenditure'!W25</f>
        <v>0</v>
      </c>
      <c r="J51" s="233">
        <f>'F2 - Net Expenditure'!X25</f>
        <v>0</v>
      </c>
      <c r="K51" s="233">
        <f>'F2 - Net Expenditure'!Y25</f>
        <v>0</v>
      </c>
      <c r="L51" s="233">
        <f>'F2 - Net Expenditure'!Z25</f>
        <v>0</v>
      </c>
      <c r="M51" s="233">
        <f>'F2 - Net Expenditure'!AA25</f>
        <v>0</v>
      </c>
      <c r="N51" s="233">
        <f>'F2 - Net Expenditure'!AB25</f>
        <v>0</v>
      </c>
      <c r="O51" s="233">
        <f>'F2 - Net Expenditure'!AC25</f>
        <v>0</v>
      </c>
      <c r="P51" s="233">
        <f>'F2 - Net Expenditure'!AD25</f>
        <v>0</v>
      </c>
      <c r="Q51" s="233">
        <f>'F2 - Net Expenditure'!AE25</f>
        <v>0</v>
      </c>
      <c r="R51" s="233">
        <f>'F2 - Net Expenditure'!AF25</f>
        <v>0</v>
      </c>
      <c r="S51" s="233">
        <f>'F2 - Net Expenditure'!AG25</f>
        <v>0</v>
      </c>
      <c r="T51" s="233">
        <f>'F2 - Net Expenditure'!H25</f>
        <v>0</v>
      </c>
      <c r="U51" s="233">
        <f>'F2 - Net Expenditure'!I25</f>
        <v>0</v>
      </c>
      <c r="V51" s="233">
        <f>'F2 - Net Expenditure'!J25</f>
        <v>0</v>
      </c>
      <c r="W51" s="233">
        <f>'F2 - Net Expenditure'!K25</f>
        <v>0</v>
      </c>
      <c r="X51" s="233">
        <f>'F2 - Net Expenditure'!L25</f>
        <v>0</v>
      </c>
      <c r="Y51" s="233">
        <f>'F2 - Net Expenditure'!M25</f>
        <v>0</v>
      </c>
      <c r="Z51" s="233">
        <f>'F2 - Net Expenditure'!N25</f>
        <v>0</v>
      </c>
      <c r="AA51" s="233">
        <f>'F2 - Net Expenditure'!O25</f>
        <v>0</v>
      </c>
      <c r="AB51" s="233">
        <f>'F2 - Net Expenditure'!P25</f>
        <v>0</v>
      </c>
      <c r="AC51" s="233">
        <f>'F2 - Net Expenditure'!Q25</f>
        <v>0</v>
      </c>
      <c r="AD51" s="233">
        <f>'F2 - Net Expenditure'!R25</f>
        <v>0</v>
      </c>
      <c r="AE51" s="233">
        <f>'F2 - Net Expenditure'!S25</f>
        <v>0</v>
      </c>
      <c r="AG51" s="233">
        <f>'F2 - Net Expenditure'!C25</f>
        <v>0</v>
      </c>
      <c r="AH51" s="233">
        <f>'F2 - Net Expenditure'!D25</f>
        <v>0</v>
      </c>
      <c r="AI51" s="233">
        <f>'F2 - Net Expenditure'!E25</f>
        <v>0</v>
      </c>
      <c r="AJ51" s="233">
        <f>'F2 - Net Expenditure'!F25</f>
        <v>0</v>
      </c>
    </row>
    <row r="52" spans="1:36" ht="15" customHeight="1">
      <c r="A52" s="234" t="str">
        <f>'Front Sheet and Checklist'!$C$5</f>
        <v>Swansea Bay UHB</v>
      </c>
      <c r="B52" s="234" t="str">
        <f t="shared" si="2"/>
        <v>F2 Net Expenditure</v>
      </c>
      <c r="C52" s="235" t="str">
        <f>'F2 - Net Expenditure'!$B$4</f>
        <v>SUMMARISED STATEMENT OF COMPREHENSIVE NET EXPENDITURE/INCOME</v>
      </c>
      <c r="D52" s="234" t="s">
        <v>370</v>
      </c>
      <c r="F52" s="234" t="str">
        <f>'F2 - Net Expenditure'!B26</f>
        <v>DEL Depreciation\Accelerated Depreciation\Impairments</v>
      </c>
      <c r="G52" s="233">
        <f>'F2 - Net Expenditure'!U26</f>
        <v>2911.4166666666665</v>
      </c>
      <c r="H52" s="233">
        <f>'F2 - Net Expenditure'!V26</f>
        <v>2911.4166666666665</v>
      </c>
      <c r="I52" s="233">
        <f>'F2 - Net Expenditure'!W26</f>
        <v>2911.4166666666665</v>
      </c>
      <c r="J52" s="233">
        <f>'F2 - Net Expenditure'!X26</f>
        <v>2911.4166666666665</v>
      </c>
      <c r="K52" s="233">
        <f>'F2 - Net Expenditure'!Y26</f>
        <v>2911.4166666666665</v>
      </c>
      <c r="L52" s="233">
        <f>'F2 - Net Expenditure'!Z26</f>
        <v>2911.4166666666665</v>
      </c>
      <c r="M52" s="233">
        <f>'F2 - Net Expenditure'!AA26</f>
        <v>2911.4166666666665</v>
      </c>
      <c r="N52" s="233">
        <f>'F2 - Net Expenditure'!AB26</f>
        <v>2911.4166666666665</v>
      </c>
      <c r="O52" s="233">
        <f>'F2 - Net Expenditure'!AC26</f>
        <v>2911.4166666666665</v>
      </c>
      <c r="P52" s="233">
        <f>'F2 - Net Expenditure'!AD26</f>
        <v>2911.4166666666665</v>
      </c>
      <c r="Q52" s="233">
        <f>'F2 - Net Expenditure'!AE26</f>
        <v>2911.4166666666665</v>
      </c>
      <c r="R52" s="233">
        <f>'F2 - Net Expenditure'!AF26</f>
        <v>2911.4166666666665</v>
      </c>
      <c r="S52" s="233">
        <f>'F2 - Net Expenditure'!AG26</f>
        <v>34937.000000000007</v>
      </c>
      <c r="T52" s="233">
        <f>'F2 - Net Expenditure'!H26</f>
        <v>1859.8319999999999</v>
      </c>
      <c r="U52" s="233">
        <f>'F2 - Net Expenditure'!I26</f>
        <v>1860.0440000000003</v>
      </c>
      <c r="V52" s="233">
        <f>'F2 - Net Expenditure'!J26</f>
        <v>4308.2129999999997</v>
      </c>
      <c r="W52" s="233">
        <f>'F2 - Net Expenditure'!K26</f>
        <v>2689.5300000000007</v>
      </c>
      <c r="X52" s="233">
        <f>'F2 - Net Expenditure'!L26</f>
        <v>3143.5450000000001</v>
      </c>
      <c r="Y52" s="233">
        <f>'F2 - Net Expenditure'!M26</f>
        <v>2766.2209999999977</v>
      </c>
      <c r="Z52" s="233">
        <f>'F2 - Net Expenditure'!N26</f>
        <v>2765.8240000000005</v>
      </c>
      <c r="AA52" s="233">
        <f>'F2 - Net Expenditure'!O26</f>
        <v>2765.9979999999996</v>
      </c>
      <c r="AB52" s="233">
        <f>'F2 - Net Expenditure'!P26</f>
        <v>2806.0879999999997</v>
      </c>
      <c r="AC52" s="233">
        <f>'F2 - Net Expenditure'!Q26</f>
        <v>4105.0360000000001</v>
      </c>
      <c r="AD52" s="233">
        <f>'F2 - Net Expenditure'!R26</f>
        <v>2932.6500000000015</v>
      </c>
      <c r="AE52" s="233">
        <f>'F2 - Net Expenditure'!S26</f>
        <v>2933.5439999999999</v>
      </c>
      <c r="AG52" s="233">
        <f>'F2 - Net Expenditure'!C26</f>
        <v>34936.525000000001</v>
      </c>
      <c r="AH52" s="233">
        <f>'F2 - Net Expenditure'!D26</f>
        <v>34937.000000000007</v>
      </c>
      <c r="AI52" s="233">
        <f>'F2 - Net Expenditure'!E26</f>
        <v>0</v>
      </c>
      <c r="AJ52" s="233">
        <f>'F2 - Net Expenditure'!F26</f>
        <v>0</v>
      </c>
    </row>
    <row r="53" spans="1:36" ht="15" customHeight="1">
      <c r="A53" s="234" t="str">
        <f>'Front Sheet and Checklist'!$C$5</f>
        <v>Swansea Bay UHB</v>
      </c>
      <c r="B53" s="234" t="str">
        <f t="shared" si="2"/>
        <v>F2 Net Expenditure</v>
      </c>
      <c r="C53" s="235" t="str">
        <f>'F2 - Net Expenditure'!$B$4</f>
        <v>SUMMARISED STATEMENT OF COMPREHENSIVE NET EXPENDITURE/INCOME</v>
      </c>
      <c r="D53" s="234" t="s">
        <v>370</v>
      </c>
      <c r="F53" s="234" t="str">
        <f>'F2 - Net Expenditure'!B27</f>
        <v>AME Donated Depreciation\Impairments</v>
      </c>
      <c r="G53" s="233">
        <f>'F2 - Net Expenditure'!U27</f>
        <v>62.583333333333336</v>
      </c>
      <c r="H53" s="233">
        <f>'F2 - Net Expenditure'!V27</f>
        <v>62.583333333333336</v>
      </c>
      <c r="I53" s="233">
        <f>'F2 - Net Expenditure'!W27</f>
        <v>62.583333333333336</v>
      </c>
      <c r="J53" s="233">
        <f>'F2 - Net Expenditure'!X27</f>
        <v>62.583333333333336</v>
      </c>
      <c r="K53" s="233">
        <f>'F2 - Net Expenditure'!Y27</f>
        <v>62.583333333333336</v>
      </c>
      <c r="L53" s="233">
        <f>'F2 - Net Expenditure'!Z27</f>
        <v>62.583333333333336</v>
      </c>
      <c r="M53" s="233">
        <f>'F2 - Net Expenditure'!AA27</f>
        <v>62.583333333333336</v>
      </c>
      <c r="N53" s="233">
        <f>'F2 - Net Expenditure'!AB27</f>
        <v>62.583333333333336</v>
      </c>
      <c r="O53" s="233">
        <f>'F2 - Net Expenditure'!AC27</f>
        <v>62.583333333333336</v>
      </c>
      <c r="P53" s="233">
        <f>'F2 - Net Expenditure'!AD27</f>
        <v>62.583333333333336</v>
      </c>
      <c r="Q53" s="233">
        <f>'F2 - Net Expenditure'!AE27</f>
        <v>62.583333333333336</v>
      </c>
      <c r="R53" s="233">
        <f>'F2 - Net Expenditure'!AF27</f>
        <v>62.583333333333336</v>
      </c>
      <c r="S53" s="233">
        <f>'F2 - Net Expenditure'!AG27</f>
        <v>751.00000000000011</v>
      </c>
      <c r="T53" s="233">
        <f>'F2 - Net Expenditure'!H27</f>
        <v>22.161000000000001</v>
      </c>
      <c r="U53" s="233">
        <f>'F2 - Net Expenditure'!I27</f>
        <v>21</v>
      </c>
      <c r="V53" s="233">
        <f>'F2 - Net Expenditure'!J27</f>
        <v>35.658999999999992</v>
      </c>
      <c r="W53" s="233">
        <f>'F2 - Net Expenditure'!K27</f>
        <v>7.5010000000000048</v>
      </c>
      <c r="X53" s="233">
        <f>'F2 - Net Expenditure'!L27</f>
        <v>224.28400000000002</v>
      </c>
      <c r="Y53" s="233">
        <f>'F2 - Net Expenditure'!M27</f>
        <v>62.120999999999981</v>
      </c>
      <c r="Z53" s="233">
        <f>'F2 - Net Expenditure'!N27</f>
        <v>62.122000000000014</v>
      </c>
      <c r="AA53" s="233">
        <f>'F2 - Net Expenditure'!O27</f>
        <v>66.036000000000001</v>
      </c>
      <c r="AB53" s="233">
        <f>'F2 - Net Expenditure'!P27</f>
        <v>62.610000000000014</v>
      </c>
      <c r="AC53" s="233">
        <f>'F2 - Net Expenditure'!Q27</f>
        <v>62.61099999999999</v>
      </c>
      <c r="AD53" s="233">
        <f>'F2 - Net Expenditure'!R27</f>
        <v>62.610000000000014</v>
      </c>
      <c r="AE53" s="233">
        <f>'F2 - Net Expenditure'!S27</f>
        <v>62.61</v>
      </c>
      <c r="AG53" s="233">
        <f>'F2 - Net Expenditure'!C27</f>
        <v>751.32500000000005</v>
      </c>
      <c r="AH53" s="233">
        <f>'F2 - Net Expenditure'!D27</f>
        <v>751.00000000000011</v>
      </c>
      <c r="AI53" s="233">
        <f>'F2 - Net Expenditure'!E27</f>
        <v>0</v>
      </c>
      <c r="AJ53" s="233">
        <f>'F2 - Net Expenditure'!F27</f>
        <v>0</v>
      </c>
    </row>
    <row r="54" spans="1:36" ht="15" customHeight="1">
      <c r="A54" s="234" t="str">
        <f>'Front Sheet and Checklist'!$C$5</f>
        <v>Swansea Bay UHB</v>
      </c>
      <c r="B54" s="234" t="str">
        <f t="shared" si="2"/>
        <v>F2 Net Expenditure</v>
      </c>
      <c r="C54" s="235" t="str">
        <f>'F2 - Net Expenditure'!$B$4</f>
        <v>SUMMARISED STATEMENT OF COMPREHENSIVE NET EXPENDITURE/INCOME</v>
      </c>
      <c r="D54" s="234" t="s">
        <v>370</v>
      </c>
      <c r="F54" s="234" t="str">
        <f>'F2 - Net Expenditure'!B28</f>
        <v>Uncommitted Reserves &amp; Contingencies</v>
      </c>
      <c r="G54" s="233">
        <f>'F2 - Net Expenditure'!U28</f>
        <v>0</v>
      </c>
      <c r="H54" s="233">
        <f>'F2 - Net Expenditure'!V28</f>
        <v>0</v>
      </c>
      <c r="I54" s="233">
        <f>'F2 - Net Expenditure'!W28</f>
        <v>0</v>
      </c>
      <c r="J54" s="233">
        <f>'F2 - Net Expenditure'!X28</f>
        <v>0</v>
      </c>
      <c r="K54" s="233">
        <f>'F2 - Net Expenditure'!Y28</f>
        <v>0</v>
      </c>
      <c r="L54" s="233">
        <f>'F2 - Net Expenditure'!Z28</f>
        <v>0</v>
      </c>
      <c r="M54" s="233">
        <f>'F2 - Net Expenditure'!AA28</f>
        <v>0</v>
      </c>
      <c r="N54" s="233">
        <f>'F2 - Net Expenditure'!AB28</f>
        <v>0</v>
      </c>
      <c r="O54" s="233">
        <f>'F2 - Net Expenditure'!AC28</f>
        <v>0</v>
      </c>
      <c r="P54" s="233">
        <f>'F2 - Net Expenditure'!AD28</f>
        <v>0</v>
      </c>
      <c r="Q54" s="233">
        <f>'F2 - Net Expenditure'!AE28</f>
        <v>0</v>
      </c>
      <c r="R54" s="233">
        <f>'F2 - Net Expenditure'!AF28</f>
        <v>0</v>
      </c>
      <c r="S54" s="233">
        <f>'F2 - Net Expenditure'!AG28</f>
        <v>0</v>
      </c>
      <c r="T54" s="233">
        <f>'F2 - Net Expenditure'!H28</f>
        <v>0</v>
      </c>
      <c r="U54" s="233">
        <f>'F2 - Net Expenditure'!I28</f>
        <v>0</v>
      </c>
      <c r="V54" s="233">
        <f>'F2 - Net Expenditure'!J28</f>
        <v>0</v>
      </c>
      <c r="W54" s="233">
        <f>'F2 - Net Expenditure'!K28</f>
        <v>0</v>
      </c>
      <c r="X54" s="233">
        <f>'F2 - Net Expenditure'!L28</f>
        <v>0</v>
      </c>
      <c r="Y54" s="233">
        <f>'F2 - Net Expenditure'!M28</f>
        <v>0</v>
      </c>
      <c r="Z54" s="233">
        <f>'F2 - Net Expenditure'!N28</f>
        <v>0</v>
      </c>
      <c r="AA54" s="233">
        <f>'F2 - Net Expenditure'!O28</f>
        <v>0</v>
      </c>
      <c r="AB54" s="233">
        <f>'F2 - Net Expenditure'!P28</f>
        <v>0</v>
      </c>
      <c r="AC54" s="233">
        <f>'F2 - Net Expenditure'!Q28</f>
        <v>0</v>
      </c>
      <c r="AD54" s="233">
        <f>'F2 - Net Expenditure'!R28</f>
        <v>0</v>
      </c>
      <c r="AE54" s="233">
        <f>'F2 - Net Expenditure'!S28</f>
        <v>0</v>
      </c>
      <c r="AG54" s="233">
        <f>'F2 - Net Expenditure'!C28</f>
        <v>0</v>
      </c>
      <c r="AH54" s="233">
        <f>'F2 - Net Expenditure'!D28</f>
        <v>0</v>
      </c>
      <c r="AI54" s="233">
        <f>'F2 - Net Expenditure'!E28</f>
        <v>0</v>
      </c>
      <c r="AJ54" s="233">
        <f>'F2 - Net Expenditure'!F28</f>
        <v>0</v>
      </c>
    </row>
    <row r="55" spans="1:36" ht="15" customHeight="1">
      <c r="A55" s="234" t="str">
        <f>'Front Sheet and Checklist'!$C$5</f>
        <v>Swansea Bay UHB</v>
      </c>
      <c r="B55" s="234" t="str">
        <f t="shared" si="2"/>
        <v>F2 Net Expenditure</v>
      </c>
      <c r="C55" s="235" t="str">
        <f>'F2 - Net Expenditure'!$B$4</f>
        <v>SUMMARISED STATEMENT OF COMPREHENSIVE NET EXPENDITURE/INCOME</v>
      </c>
      <c r="D55" s="234" t="s">
        <v>370</v>
      </c>
      <c r="F55" s="234" t="str">
        <f>'F2 - Net Expenditure'!B29</f>
        <v>Profit\Loss Disposal of Assets</v>
      </c>
      <c r="G55" s="233">
        <f>'F2 - Net Expenditure'!U29</f>
        <v>0</v>
      </c>
      <c r="H55" s="233">
        <f>'F2 - Net Expenditure'!V29</f>
        <v>0</v>
      </c>
      <c r="I55" s="233">
        <f>'F2 - Net Expenditure'!W29</f>
        <v>0</v>
      </c>
      <c r="J55" s="233">
        <f>'F2 - Net Expenditure'!X29</f>
        <v>0</v>
      </c>
      <c r="K55" s="233">
        <f>'F2 - Net Expenditure'!Y29</f>
        <v>0</v>
      </c>
      <c r="L55" s="233">
        <f>'F2 - Net Expenditure'!Z29</f>
        <v>0</v>
      </c>
      <c r="M55" s="233">
        <f>'F2 - Net Expenditure'!AA29</f>
        <v>0</v>
      </c>
      <c r="N55" s="233">
        <f>'F2 - Net Expenditure'!AB29</f>
        <v>0</v>
      </c>
      <c r="O55" s="233">
        <f>'F2 - Net Expenditure'!AC29</f>
        <v>0</v>
      </c>
      <c r="P55" s="233">
        <f>'F2 - Net Expenditure'!AD29</f>
        <v>0</v>
      </c>
      <c r="Q55" s="233">
        <f>'F2 - Net Expenditure'!AE29</f>
        <v>0</v>
      </c>
      <c r="R55" s="233">
        <f>'F2 - Net Expenditure'!AF29</f>
        <v>0</v>
      </c>
      <c r="S55" s="233">
        <f>'F2 - Net Expenditure'!AG29</f>
        <v>0</v>
      </c>
      <c r="T55" s="233">
        <f>'F2 - Net Expenditure'!H29</f>
        <v>0</v>
      </c>
      <c r="U55" s="233">
        <f>'F2 - Net Expenditure'!I29</f>
        <v>0</v>
      </c>
      <c r="V55" s="233">
        <f>'F2 - Net Expenditure'!J29</f>
        <v>0</v>
      </c>
      <c r="W55" s="233">
        <f>'F2 - Net Expenditure'!K29</f>
        <v>0</v>
      </c>
      <c r="X55" s="233">
        <f>'F2 - Net Expenditure'!L29</f>
        <v>0</v>
      </c>
      <c r="Y55" s="233">
        <f>'F2 - Net Expenditure'!M29</f>
        <v>0</v>
      </c>
      <c r="Z55" s="233">
        <f>'F2 - Net Expenditure'!N29</f>
        <v>0</v>
      </c>
      <c r="AA55" s="233">
        <f>'F2 - Net Expenditure'!O29</f>
        <v>0</v>
      </c>
      <c r="AB55" s="233">
        <f>'F2 - Net Expenditure'!P29</f>
        <v>0</v>
      </c>
      <c r="AC55" s="233">
        <f>'F2 - Net Expenditure'!Q29</f>
        <v>0</v>
      </c>
      <c r="AD55" s="233">
        <f>'F2 - Net Expenditure'!R29</f>
        <v>0</v>
      </c>
      <c r="AE55" s="233">
        <f>'F2 - Net Expenditure'!S29</f>
        <v>0</v>
      </c>
      <c r="AG55" s="233">
        <f>'F2 - Net Expenditure'!C29</f>
        <v>0</v>
      </c>
      <c r="AH55" s="233">
        <f>'F2 - Net Expenditure'!D29</f>
        <v>0</v>
      </c>
      <c r="AI55" s="233">
        <f>'F2 - Net Expenditure'!E29</f>
        <v>0</v>
      </c>
      <c r="AJ55" s="233">
        <f>'F2 - Net Expenditure'!F29</f>
        <v>0</v>
      </c>
    </row>
    <row r="56" spans="1:36" ht="15" customHeight="1">
      <c r="A56" s="234" t="str">
        <f>'Front Sheet and Checklist'!$C$5</f>
        <v>Swansea Bay UHB</v>
      </c>
      <c r="B56" s="234" t="str">
        <f t="shared" si="2"/>
        <v>F2 Net Expenditure</v>
      </c>
      <c r="C56" s="235" t="str">
        <f>'F2 - Net Expenditure'!$B$4</f>
        <v>SUMMARISED STATEMENT OF COMPREHENSIVE NET EXPENDITURE/INCOME</v>
      </c>
      <c r="D56" s="234" t="s">
        <v>370</v>
      </c>
      <c r="E56" s="234" t="s">
        <v>263</v>
      </c>
      <c r="F56" s="234" t="str">
        <f>'F2 - Net Expenditure'!B30</f>
        <v>SUB TOTAL EXPENDITURE</v>
      </c>
      <c r="G56" s="233">
        <f>'F2 - Net Expenditure'!U30</f>
        <v>127813.37199905995</v>
      </c>
      <c r="H56" s="233">
        <f>'F2 - Net Expenditure'!V30</f>
        <v>128235.74099905996</v>
      </c>
      <c r="I56" s="233">
        <f>'F2 - Net Expenditure'!W30</f>
        <v>130736.98699905994</v>
      </c>
      <c r="J56" s="233">
        <f>'F2 - Net Expenditure'!X30</f>
        <v>130204.55199905997</v>
      </c>
      <c r="K56" s="233">
        <f>'F2 - Net Expenditure'!Y30</f>
        <v>130442.25399905998</v>
      </c>
      <c r="L56" s="233">
        <f>'F2 - Net Expenditure'!Z30</f>
        <v>130529.65599905995</v>
      </c>
      <c r="M56" s="233">
        <f>'F2 - Net Expenditure'!AA30</f>
        <v>131249.27699906001</v>
      </c>
      <c r="N56" s="233">
        <f>'F2 - Net Expenditure'!AB30</f>
        <v>133390.14399905998</v>
      </c>
      <c r="O56" s="233">
        <f>'F2 - Net Expenditure'!AC30</f>
        <v>130723.19399905995</v>
      </c>
      <c r="P56" s="233">
        <f>'F2 - Net Expenditure'!AD30</f>
        <v>132103.47899905997</v>
      </c>
      <c r="Q56" s="233">
        <f>'F2 - Net Expenditure'!AE30</f>
        <v>131199.08099905995</v>
      </c>
      <c r="R56" s="233">
        <f>'F2 - Net Expenditure'!AF30</f>
        <v>132051.59312905994</v>
      </c>
      <c r="S56" s="233">
        <f>'F2 - Net Expenditure'!AG30</f>
        <v>1568679.3301187195</v>
      </c>
      <c r="T56" s="233">
        <f>'F2 - Net Expenditure'!H30</f>
        <v>110604.59399999998</v>
      </c>
      <c r="U56" s="233">
        <f>'F2 - Net Expenditure'!I30</f>
        <v>119293.60400000001</v>
      </c>
      <c r="V56" s="233">
        <f>'F2 - Net Expenditure'!J30</f>
        <v>135577.533</v>
      </c>
      <c r="W56" s="233">
        <f>'F2 - Net Expenditure'!K30</f>
        <v>134632.16</v>
      </c>
      <c r="X56" s="233">
        <f>'F2 - Net Expenditure'!L30</f>
        <v>124011.27100000001</v>
      </c>
      <c r="Y56" s="233">
        <f>'F2 - Net Expenditure'!M30</f>
        <v>121835.46699999999</v>
      </c>
      <c r="Z56" s="233">
        <f>'F2 - Net Expenditure'!N30</f>
        <v>129124.35900000003</v>
      </c>
      <c r="AA56" s="233">
        <f>'F2 - Net Expenditure'!O30</f>
        <v>130328.864</v>
      </c>
      <c r="AB56" s="233">
        <f>'F2 - Net Expenditure'!P30</f>
        <v>124899.50500000003</v>
      </c>
      <c r="AC56" s="233">
        <f>'F2 - Net Expenditure'!Q30</f>
        <v>131848.31599999996</v>
      </c>
      <c r="AD56" s="233">
        <f>'F2 - Net Expenditure'!R30</f>
        <v>135531.83899999995</v>
      </c>
      <c r="AE56" s="233">
        <f>'F2 - Net Expenditure'!S30</f>
        <v>133776.83761999998</v>
      </c>
      <c r="AG56" s="233">
        <f>'F2 - Net Expenditure'!C30</f>
        <v>1531464.3496199998</v>
      </c>
      <c r="AH56" s="233">
        <f>'F2 - Net Expenditure'!D30</f>
        <v>1568679.3301187195</v>
      </c>
      <c r="AI56" s="233">
        <f>'F2 - Net Expenditure'!E30</f>
        <v>0</v>
      </c>
      <c r="AJ56" s="233">
        <f>'F2 - Net Expenditure'!F30</f>
        <v>0</v>
      </c>
    </row>
    <row r="57" spans="1:36" ht="15" customHeight="1">
      <c r="A57" s="234" t="str">
        <f>'Front Sheet and Checklist'!$C$5</f>
        <v>Swansea Bay UHB</v>
      </c>
      <c r="B57" s="234" t="str">
        <f t="shared" si="2"/>
        <v>F2 Net Expenditure</v>
      </c>
      <c r="C57" s="235" t="str">
        <f>'F2 - Net Expenditure'!$B$4</f>
        <v>SUMMARISED STATEMENT OF COMPREHENSIVE NET EXPENDITURE/INCOME</v>
      </c>
      <c r="D57" s="234" t="s">
        <v>370</v>
      </c>
      <c r="E57" s="234" t="s">
        <v>263</v>
      </c>
      <c r="F57" s="234" t="str">
        <f>'F2 - Net Expenditure'!B31</f>
        <v>TOTAL DEFICIT/SURPLUS</v>
      </c>
      <c r="G57" s="233">
        <f>'F2 - Net Expenditure'!U31</f>
        <v>-1288.7324931340409</v>
      </c>
      <c r="H57" s="233">
        <f>'F2 - Net Expenditure'!V31</f>
        <v>-1711.1014931340469</v>
      </c>
      <c r="I57" s="233">
        <f>'F2 - Net Expenditure'!W31</f>
        <v>-4212.3474931340315</v>
      </c>
      <c r="J57" s="233">
        <f>'F2 - Net Expenditure'!X31</f>
        <v>-3679.912493134063</v>
      </c>
      <c r="K57" s="233">
        <f>'F2 - Net Expenditure'!Y31</f>
        <v>-3917.6144931340677</v>
      </c>
      <c r="L57" s="233">
        <f>'F2 - Net Expenditure'!Z31</f>
        <v>-4005.0164931340405</v>
      </c>
      <c r="M57" s="233">
        <f>'F2 - Net Expenditure'!AA31</f>
        <v>-4724.6374931340979</v>
      </c>
      <c r="N57" s="233">
        <f>'F2 - Net Expenditure'!AB31</f>
        <v>-6865.5044931340672</v>
      </c>
      <c r="O57" s="233">
        <f>'F2 - Net Expenditure'!AC31</f>
        <v>-4198.554493134041</v>
      </c>
      <c r="P57" s="233">
        <f>'F2 - Net Expenditure'!AD31</f>
        <v>-5578.839493134059</v>
      </c>
      <c r="Q57" s="233">
        <f>'F2 - Net Expenditure'!AE31</f>
        <v>-4674.4414931340434</v>
      </c>
      <c r="R57" s="233">
        <f>'F2 - Net Expenditure'!AF31</f>
        <v>-5242.9536231340317</v>
      </c>
      <c r="S57" s="233">
        <f>'F2 - Net Expenditure'!AG31</f>
        <v>-50099.656047608703</v>
      </c>
      <c r="T57" s="233">
        <f>'F2 - Net Expenditure'!H31</f>
        <v>-10860.848999999987</v>
      </c>
      <c r="U57" s="233">
        <f>'F2 - Net Expenditure'!I31</f>
        <v>-13674.245999999999</v>
      </c>
      <c r="V57" s="233">
        <f>'F2 - Net Expenditure'!J31</f>
        <v>-11424.97000000003</v>
      </c>
      <c r="W57" s="233">
        <f>'F2 - Net Expenditure'!K31</f>
        <v>-10403.756999999983</v>
      </c>
      <c r="X57" s="233">
        <f>'F2 - Net Expenditure'!L31</f>
        <v>-10190.233000000007</v>
      </c>
      <c r="Y57" s="233">
        <f>'F2 - Net Expenditure'!M31</f>
        <v>-8676.8289999999542</v>
      </c>
      <c r="Z57" s="233">
        <f>'F2 - Net Expenditure'!N31</f>
        <v>26791.184000000037</v>
      </c>
      <c r="AA57" s="233">
        <f>'F2 - Net Expenditure'!O31</f>
        <v>-3266.4830000000802</v>
      </c>
      <c r="AB57" s="233">
        <f>'F2 - Net Expenditure'!P31</f>
        <v>175.79299999999057</v>
      </c>
      <c r="AC57" s="233">
        <f>'F2 - Net Expenditure'!Q31</f>
        <v>1552.7490000000398</v>
      </c>
      <c r="AD57" s="233">
        <f>'F2 - Net Expenditure'!R31</f>
        <v>-1178.8719999998866</v>
      </c>
      <c r="AE57" s="233">
        <f>'F2 - Net Expenditure'!S31</f>
        <v>24022.491820000054</v>
      </c>
      <c r="AG57" s="233">
        <f>'F2 - Net Expenditure'!C31</f>
        <v>-17134.021179999807</v>
      </c>
      <c r="AH57" s="233">
        <f>'F2 - Net Expenditure'!D31</f>
        <v>-50099.656047608703</v>
      </c>
      <c r="AI57" s="233">
        <f>'F2 - Net Expenditure'!E31</f>
        <v>0</v>
      </c>
      <c r="AJ57" s="233">
        <f>'F2 - Net Expenditure'!F31</f>
        <v>0</v>
      </c>
    </row>
    <row r="58" spans="1:36" ht="15" customHeight="1">
      <c r="A58" s="234" t="str">
        <f>'Front Sheet and Checklist'!$C$5</f>
        <v>Swansea Bay UHB</v>
      </c>
      <c r="B58" s="234" t="str">
        <f t="shared" si="2"/>
        <v>F2 Net Expenditure</v>
      </c>
      <c r="F58" s="234">
        <f>'F2 - Net Expenditure'!B32</f>
        <v>0</v>
      </c>
      <c r="G58" s="233">
        <f>'F2 - Net Expenditure'!U32</f>
        <v>0</v>
      </c>
      <c r="H58" s="233">
        <f>'F2 - Net Expenditure'!V32</f>
        <v>0</v>
      </c>
      <c r="I58" s="233">
        <f>'F2 - Net Expenditure'!W32</f>
        <v>0</v>
      </c>
      <c r="J58" s="233">
        <f>'F2 - Net Expenditure'!X32</f>
        <v>0</v>
      </c>
      <c r="K58" s="233">
        <f>'F2 - Net Expenditure'!Y32</f>
        <v>0</v>
      </c>
      <c r="L58" s="233">
        <f>'F2 - Net Expenditure'!Z32</f>
        <v>0</v>
      </c>
      <c r="M58" s="233">
        <f>'F2 - Net Expenditure'!AA32</f>
        <v>0</v>
      </c>
      <c r="N58" s="233">
        <f>'F2 - Net Expenditure'!AB32</f>
        <v>0</v>
      </c>
      <c r="O58" s="233">
        <f>'F2 - Net Expenditure'!AC32</f>
        <v>0</v>
      </c>
      <c r="P58" s="233">
        <f>'F2 - Net Expenditure'!AD32</f>
        <v>0</v>
      </c>
      <c r="Q58" s="233">
        <f>'F2 - Net Expenditure'!AE32</f>
        <v>0</v>
      </c>
      <c r="R58" s="233">
        <f>'F2 - Net Expenditure'!AF32</f>
        <v>0</v>
      </c>
      <c r="S58" s="233">
        <f>'F2 - Net Expenditure'!AG32</f>
        <v>0</v>
      </c>
      <c r="T58" s="233">
        <f>'F2 - Net Expenditure'!H32</f>
        <v>0</v>
      </c>
      <c r="U58" s="233">
        <f>'F2 - Net Expenditure'!I32</f>
        <v>0</v>
      </c>
      <c r="V58" s="233">
        <f>'F2 - Net Expenditure'!J32</f>
        <v>0</v>
      </c>
      <c r="W58" s="233">
        <f>'F2 - Net Expenditure'!K32</f>
        <v>0</v>
      </c>
      <c r="X58" s="233">
        <f>'F2 - Net Expenditure'!L32</f>
        <v>0</v>
      </c>
      <c r="Y58" s="233">
        <f>'F2 - Net Expenditure'!M32</f>
        <v>0</v>
      </c>
      <c r="Z58" s="233">
        <f>'F2 - Net Expenditure'!N32</f>
        <v>0</v>
      </c>
      <c r="AA58" s="233">
        <f>'F2 - Net Expenditure'!O32</f>
        <v>0</v>
      </c>
      <c r="AB58" s="233">
        <f>'F2 - Net Expenditure'!P32</f>
        <v>0</v>
      </c>
      <c r="AC58" s="233">
        <f>'F2 - Net Expenditure'!Q32</f>
        <v>0</v>
      </c>
      <c r="AD58" s="233">
        <f>'F2 - Net Expenditure'!R32</f>
        <v>0</v>
      </c>
      <c r="AE58" s="233">
        <f>'F2 - Net Expenditure'!S32</f>
        <v>0</v>
      </c>
      <c r="AG58" s="233">
        <f>'F2 - Net Expenditure'!C32</f>
        <v>0</v>
      </c>
      <c r="AH58" s="233">
        <f>'F2 - Net Expenditure'!D32</f>
        <v>0</v>
      </c>
      <c r="AI58" s="233">
        <f>'F2 - Net Expenditure'!E32</f>
        <v>0</v>
      </c>
      <c r="AJ58" s="233">
        <f>'F2 - Net Expenditure'!F32</f>
        <v>0</v>
      </c>
    </row>
    <row r="59" spans="1:36" ht="15" customHeight="1">
      <c r="A59" s="234" t="str">
        <f>'Front Sheet and Checklist'!$C$5</f>
        <v>Swansea Bay UHB</v>
      </c>
      <c r="B59" s="234" t="str">
        <f t="shared" si="2"/>
        <v>F2 Net Expenditure</v>
      </c>
      <c r="F59" s="234">
        <f>'F2 - Net Expenditure'!B33</f>
        <v>0</v>
      </c>
      <c r="G59" s="233">
        <f>'F2 - Net Expenditure'!U33</f>
        <v>0</v>
      </c>
      <c r="H59" s="233">
        <f>'F2 - Net Expenditure'!V33</f>
        <v>0</v>
      </c>
      <c r="I59" s="233">
        <f>'F2 - Net Expenditure'!W33</f>
        <v>0</v>
      </c>
      <c r="J59" s="233">
        <f>'F2 - Net Expenditure'!X33</f>
        <v>0</v>
      </c>
      <c r="K59" s="233">
        <f>'F2 - Net Expenditure'!Y33</f>
        <v>0</v>
      </c>
      <c r="L59" s="233">
        <f>'F2 - Net Expenditure'!Z33</f>
        <v>0</v>
      </c>
      <c r="M59" s="233">
        <f>'F2 - Net Expenditure'!AA33</f>
        <v>0</v>
      </c>
      <c r="N59" s="233">
        <f>'F2 - Net Expenditure'!AB33</f>
        <v>0</v>
      </c>
      <c r="O59" s="233">
        <f>'F2 - Net Expenditure'!AC33</f>
        <v>0</v>
      </c>
      <c r="P59" s="233">
        <f>'F2 - Net Expenditure'!AD33</f>
        <v>0</v>
      </c>
      <c r="Q59" s="233">
        <f>'F2 - Net Expenditure'!AE33</f>
        <v>0</v>
      </c>
      <c r="R59" s="233">
        <f>'F2 - Net Expenditure'!AF33</f>
        <v>0</v>
      </c>
      <c r="S59" s="233">
        <f>'F2 - Net Expenditure'!AG33</f>
        <v>0</v>
      </c>
      <c r="T59" s="233">
        <f>'F2 - Net Expenditure'!H33</f>
        <v>0</v>
      </c>
      <c r="U59" s="233">
        <f>'F2 - Net Expenditure'!I33</f>
        <v>0</v>
      </c>
      <c r="V59" s="233">
        <f>'F2 - Net Expenditure'!J33</f>
        <v>0</v>
      </c>
      <c r="W59" s="233">
        <f>'F2 - Net Expenditure'!K33</f>
        <v>0</v>
      </c>
      <c r="X59" s="233">
        <f>'F2 - Net Expenditure'!L33</f>
        <v>0</v>
      </c>
      <c r="Y59" s="233">
        <f>'F2 - Net Expenditure'!M33</f>
        <v>0</v>
      </c>
      <c r="Z59" s="233">
        <f>'F2 - Net Expenditure'!N33</f>
        <v>0</v>
      </c>
      <c r="AA59" s="233">
        <f>'F2 - Net Expenditure'!O33</f>
        <v>0</v>
      </c>
      <c r="AB59" s="233">
        <f>'F2 - Net Expenditure'!P33</f>
        <v>0</v>
      </c>
      <c r="AC59" s="233">
        <f>'F2 - Net Expenditure'!Q33</f>
        <v>0</v>
      </c>
      <c r="AD59" s="233">
        <f>'F2 - Net Expenditure'!R33</f>
        <v>0</v>
      </c>
      <c r="AE59" s="233">
        <f>'F2 - Net Expenditure'!S33</f>
        <v>0</v>
      </c>
      <c r="AG59" s="233">
        <f>'F2 - Net Expenditure'!C33</f>
        <v>0</v>
      </c>
      <c r="AH59" s="233">
        <f>'F2 - Net Expenditure'!D33</f>
        <v>0</v>
      </c>
      <c r="AI59" s="233">
        <f>'F2 - Net Expenditure'!E33</f>
        <v>0</v>
      </c>
      <c r="AJ59" s="233">
        <f>'F2 - Net Expenditure'!F33</f>
        <v>0</v>
      </c>
    </row>
    <row r="60" spans="1:36" ht="15" customHeight="1">
      <c r="A60" s="234" t="str">
        <f>'Front Sheet and Checklist'!$C$5</f>
        <v>Swansea Bay UHB</v>
      </c>
      <c r="B60" s="234" t="str">
        <f t="shared" si="2"/>
        <v>F2 Net Expenditure</v>
      </c>
      <c r="C60" s="235" t="s">
        <v>371</v>
      </c>
      <c r="F60" s="234" t="str">
        <f>'F2 - Net Expenditure'!B34</f>
        <v>Pay Spend Profile</v>
      </c>
      <c r="G60" s="233">
        <f>'F2 - Net Expenditure'!U34</f>
        <v>0</v>
      </c>
      <c r="H60" s="233">
        <f>'F2 - Net Expenditure'!V34</f>
        <v>0</v>
      </c>
      <c r="I60" s="233">
        <f>'F2 - Net Expenditure'!W34</f>
        <v>0</v>
      </c>
      <c r="J60" s="233">
        <f>'F2 - Net Expenditure'!X34</f>
        <v>0</v>
      </c>
      <c r="K60" s="233">
        <f>'F2 - Net Expenditure'!Y34</f>
        <v>0</v>
      </c>
      <c r="L60" s="233">
        <f>'F2 - Net Expenditure'!Z34</f>
        <v>0</v>
      </c>
      <c r="M60" s="233">
        <f>'F2 - Net Expenditure'!AA34</f>
        <v>0</v>
      </c>
      <c r="N60" s="233">
        <f>'F2 - Net Expenditure'!AB34</f>
        <v>0</v>
      </c>
      <c r="O60" s="233">
        <f>'F2 - Net Expenditure'!AC34</f>
        <v>0</v>
      </c>
      <c r="P60" s="233">
        <f>'F2 - Net Expenditure'!AD34</f>
        <v>0</v>
      </c>
      <c r="Q60" s="233">
        <f>'F2 - Net Expenditure'!AE34</f>
        <v>0</v>
      </c>
      <c r="R60" s="233">
        <f>'F2 - Net Expenditure'!AF34</f>
        <v>0</v>
      </c>
      <c r="S60" s="233">
        <f>'F2 - Net Expenditure'!AG34</f>
        <v>0</v>
      </c>
      <c r="T60" s="233">
        <f>'F2 - Net Expenditure'!H34</f>
        <v>0</v>
      </c>
      <c r="U60" s="233">
        <f>'F2 - Net Expenditure'!I34</f>
        <v>0</v>
      </c>
      <c r="V60" s="233">
        <f>'F2 - Net Expenditure'!J34</f>
        <v>0</v>
      </c>
      <c r="W60" s="233">
        <f>'F2 - Net Expenditure'!K34</f>
        <v>0</v>
      </c>
      <c r="X60" s="233">
        <f>'F2 - Net Expenditure'!L34</f>
        <v>0</v>
      </c>
      <c r="Y60" s="233">
        <f>'F2 - Net Expenditure'!M34</f>
        <v>0</v>
      </c>
      <c r="Z60" s="233">
        <f>'F2 - Net Expenditure'!N34</f>
        <v>0</v>
      </c>
      <c r="AA60" s="233">
        <f>'F2 - Net Expenditure'!O34</f>
        <v>0</v>
      </c>
      <c r="AB60" s="233">
        <f>'F2 - Net Expenditure'!P34</f>
        <v>0</v>
      </c>
      <c r="AC60" s="233">
        <f>'F2 - Net Expenditure'!Q34</f>
        <v>0</v>
      </c>
      <c r="AD60" s="233">
        <f>'F2 - Net Expenditure'!R34</f>
        <v>0</v>
      </c>
      <c r="AE60" s="233">
        <f>'F2 - Net Expenditure'!S34</f>
        <v>0</v>
      </c>
      <c r="AG60" s="233">
        <f>'F2 - Net Expenditure'!C34</f>
        <v>0</v>
      </c>
      <c r="AH60" s="233">
        <f>'F2 - Net Expenditure'!D34</f>
        <v>0</v>
      </c>
      <c r="AI60" s="233">
        <f>'F2 - Net Expenditure'!E34</f>
        <v>0</v>
      </c>
      <c r="AJ60" s="233">
        <f>'F2 - Net Expenditure'!F34</f>
        <v>0</v>
      </c>
    </row>
    <row r="61" spans="1:36" ht="15" customHeight="1">
      <c r="A61" s="234" t="str">
        <f>'Front Sheet and Checklist'!$C$5</f>
        <v>Swansea Bay UHB</v>
      </c>
      <c r="B61" s="234" t="str">
        <f t="shared" si="2"/>
        <v>F2 Net Expenditure</v>
      </c>
      <c r="C61" s="235" t="s">
        <v>371</v>
      </c>
      <c r="F61" s="234" t="str">
        <f>'F2 - Net Expenditure'!B35</f>
        <v>TOTAL CORE WORKFORCE</v>
      </c>
      <c r="G61" s="233">
        <f>'F2 - Net Expenditure'!U35</f>
        <v>56821.608219012145</v>
      </c>
      <c r="H61" s="233">
        <f>'F2 - Net Expenditure'!V35</f>
        <v>56821.608219012145</v>
      </c>
      <c r="I61" s="233">
        <f>'F2 - Net Expenditure'!W35</f>
        <v>56821.608219012145</v>
      </c>
      <c r="J61" s="233">
        <f>'F2 - Net Expenditure'!X35</f>
        <v>56821.608219012145</v>
      </c>
      <c r="K61" s="233">
        <f>'F2 - Net Expenditure'!Y35</f>
        <v>56821.608219012145</v>
      </c>
      <c r="L61" s="233">
        <f>'F2 - Net Expenditure'!Z35</f>
        <v>56821.608219012145</v>
      </c>
      <c r="M61" s="233">
        <f>'F2 - Net Expenditure'!AA35</f>
        <v>56821.608219012145</v>
      </c>
      <c r="N61" s="233">
        <f>'F2 - Net Expenditure'!AB35</f>
        <v>56821.608219012145</v>
      </c>
      <c r="O61" s="233">
        <f>'F2 - Net Expenditure'!AC35</f>
        <v>56821.608219012145</v>
      </c>
      <c r="P61" s="233">
        <f>'F2 - Net Expenditure'!AD35</f>
        <v>56821.608219012145</v>
      </c>
      <c r="Q61" s="233">
        <f>'F2 - Net Expenditure'!AE35</f>
        <v>56821.608219012145</v>
      </c>
      <c r="R61" s="233">
        <f>'F2 - Net Expenditure'!AF35</f>
        <v>56821.608219012145</v>
      </c>
      <c r="S61" s="233">
        <f>'F2 - Net Expenditure'!AG35</f>
        <v>681859.29862814571</v>
      </c>
      <c r="T61" s="233">
        <f>'F2 - Net Expenditure'!H35</f>
        <v>48938.5</v>
      </c>
      <c r="U61" s="233">
        <f>'F2 - Net Expenditure'!I35</f>
        <v>52503.247060000263</v>
      </c>
      <c r="V61" s="233">
        <f>'F2 - Net Expenditure'!J35</f>
        <v>65310</v>
      </c>
      <c r="W61" s="233">
        <f>'F2 - Net Expenditure'!K35</f>
        <v>66145.5</v>
      </c>
      <c r="X61" s="233">
        <f>'F2 - Net Expenditure'!L35</f>
        <v>54793.212930000038</v>
      </c>
      <c r="Y61" s="233">
        <f>'F2 - Net Expenditure'!M35</f>
        <v>55390</v>
      </c>
      <c r="Z61" s="233">
        <f>'F2 - Net Expenditure'!N35</f>
        <v>60486.342539999794</v>
      </c>
      <c r="AA61" s="233">
        <f>'F2 - Net Expenditure'!O35</f>
        <v>57408.48077999994</v>
      </c>
      <c r="AB61" s="233">
        <f>'F2 - Net Expenditure'!P35</f>
        <v>57784.549930000037</v>
      </c>
      <c r="AC61" s="233">
        <f>'F2 - Net Expenditure'!Q35</f>
        <v>58792.969600000171</v>
      </c>
      <c r="AD61" s="233">
        <f>'F2 - Net Expenditure'!R35</f>
        <v>59891.57972999991</v>
      </c>
      <c r="AE61" s="233">
        <f>'F2 - Net Expenditure'!S35</f>
        <v>59318</v>
      </c>
      <c r="AG61" s="233">
        <f>'F2 - Net Expenditure'!C35</f>
        <v>696762.38257000013</v>
      </c>
      <c r="AH61" s="233">
        <f>'F2 - Net Expenditure'!D35</f>
        <v>681859.29862814571</v>
      </c>
      <c r="AI61" s="233">
        <f>'F2 - Net Expenditure'!E35</f>
        <v>0</v>
      </c>
      <c r="AJ61" s="233">
        <f>'F2 - Net Expenditure'!F35</f>
        <v>0</v>
      </c>
    </row>
    <row r="62" spans="1:36" ht="15" customHeight="1">
      <c r="A62" s="234" t="str">
        <f>'Front Sheet and Checklist'!$C$5</f>
        <v>Swansea Bay UHB</v>
      </c>
      <c r="B62" s="234" t="str">
        <f t="shared" si="2"/>
        <v>F2 Net Expenditure</v>
      </c>
      <c r="C62" s="235" t="s">
        <v>371</v>
      </c>
      <c r="F62" s="234" t="str">
        <f>'F2 - Net Expenditure'!B36</f>
        <v>TOTAL VARIABLE PAY</v>
      </c>
      <c r="G62" s="233">
        <f>'F2 - Net Expenditure'!U36</f>
        <v>3147.875</v>
      </c>
      <c r="H62" s="233">
        <f>'F2 - Net Expenditure'!V36</f>
        <v>3147.875</v>
      </c>
      <c r="I62" s="233">
        <f>'F2 - Net Expenditure'!W36</f>
        <v>3147.875</v>
      </c>
      <c r="J62" s="233">
        <f>'F2 - Net Expenditure'!X36</f>
        <v>3147.875</v>
      </c>
      <c r="K62" s="233">
        <f>'F2 - Net Expenditure'!Y36</f>
        <v>3147.875</v>
      </c>
      <c r="L62" s="233">
        <f>'F2 - Net Expenditure'!Z36</f>
        <v>3147.875</v>
      </c>
      <c r="M62" s="233">
        <f>'F2 - Net Expenditure'!AA36</f>
        <v>3147.875</v>
      </c>
      <c r="N62" s="233">
        <f>'F2 - Net Expenditure'!AB36</f>
        <v>3147.875</v>
      </c>
      <c r="O62" s="233">
        <f>'F2 - Net Expenditure'!AC36</f>
        <v>3147.875</v>
      </c>
      <c r="P62" s="233">
        <f>'F2 - Net Expenditure'!AD36</f>
        <v>3147.875</v>
      </c>
      <c r="Q62" s="233">
        <f>'F2 - Net Expenditure'!AE36</f>
        <v>3147.875</v>
      </c>
      <c r="R62" s="233">
        <f>'F2 - Net Expenditure'!AF36</f>
        <v>3147.875</v>
      </c>
      <c r="S62" s="233">
        <f>'F2 - Net Expenditure'!AG36</f>
        <v>37774.5</v>
      </c>
      <c r="T62" s="233">
        <f>'F2 - Net Expenditure'!H36</f>
        <v>3186</v>
      </c>
      <c r="U62" s="233">
        <f>'F2 - Net Expenditure'!I36</f>
        <v>3553.1198799999979</v>
      </c>
      <c r="V62" s="233">
        <f>'F2 - Net Expenditure'!J36</f>
        <v>2948</v>
      </c>
      <c r="W62" s="233">
        <f>'F2 - Net Expenditure'!K36</f>
        <v>3302</v>
      </c>
      <c r="X62" s="233">
        <f>'F2 - Net Expenditure'!L36</f>
        <v>2791.9876699999977</v>
      </c>
      <c r="Y62" s="233">
        <f>'F2 - Net Expenditure'!M36</f>
        <v>2859.4807800000012</v>
      </c>
      <c r="Z62" s="233">
        <f>'F2 - Net Expenditure'!N36</f>
        <v>3213.9139600000008</v>
      </c>
      <c r="AA62" s="233">
        <f>'F2 - Net Expenditure'!O36</f>
        <v>3310.9585999999995</v>
      </c>
      <c r="AB62" s="233">
        <f>'F2 - Net Expenditure'!P36</f>
        <v>2948.8575799999999</v>
      </c>
      <c r="AC62" s="233">
        <f>'F2 - Net Expenditure'!Q36</f>
        <v>3724.2893499999977</v>
      </c>
      <c r="AD62" s="233">
        <f>'F2 - Net Expenditure'!R36</f>
        <v>3919.0619500000016</v>
      </c>
      <c r="AE62" s="233">
        <f>'F2 - Net Expenditure'!S36</f>
        <v>3317</v>
      </c>
      <c r="AG62" s="233">
        <f>'F2 - Net Expenditure'!C36</f>
        <v>39074.66977</v>
      </c>
      <c r="AH62" s="233">
        <f>'F2 - Net Expenditure'!D36</f>
        <v>37774.5</v>
      </c>
      <c r="AI62" s="233">
        <f>'F2 - Net Expenditure'!E36</f>
        <v>0</v>
      </c>
      <c r="AJ62" s="233">
        <f>'F2 - Net Expenditure'!F36</f>
        <v>0</v>
      </c>
    </row>
    <row r="63" spans="1:36" ht="15" customHeight="1">
      <c r="A63" s="234" t="str">
        <f>'Front Sheet and Checklist'!$C$5</f>
        <v>Swansea Bay UHB</v>
      </c>
      <c r="B63" s="234" t="str">
        <f t="shared" si="2"/>
        <v>F2 Net Expenditure</v>
      </c>
      <c r="C63" s="235" t="s">
        <v>371</v>
      </c>
      <c r="F63" s="234" t="str">
        <f>'F2 - Net Expenditure'!B37</f>
        <v>TOTAL AGENCY/LOCUM</v>
      </c>
      <c r="G63" s="233">
        <f>'F2 - Net Expenditure'!U37</f>
        <v>2471.58842</v>
      </c>
      <c r="H63" s="233">
        <f>'F2 - Net Expenditure'!V37</f>
        <v>2471.58842</v>
      </c>
      <c r="I63" s="233">
        <f>'F2 - Net Expenditure'!W37</f>
        <v>2471.58842</v>
      </c>
      <c r="J63" s="233">
        <f>'F2 - Net Expenditure'!X37</f>
        <v>2471.58842</v>
      </c>
      <c r="K63" s="233">
        <f>'F2 - Net Expenditure'!Y37</f>
        <v>2471.58842</v>
      </c>
      <c r="L63" s="233">
        <f>'F2 - Net Expenditure'!Z37</f>
        <v>2471.58842</v>
      </c>
      <c r="M63" s="233">
        <f>'F2 - Net Expenditure'!AA37</f>
        <v>2471.58842</v>
      </c>
      <c r="N63" s="233">
        <f>'F2 - Net Expenditure'!AB37</f>
        <v>2471.58842</v>
      </c>
      <c r="O63" s="233">
        <f>'F2 - Net Expenditure'!AC37</f>
        <v>2471.58842</v>
      </c>
      <c r="P63" s="233">
        <f>'F2 - Net Expenditure'!AD37</f>
        <v>2471.58842</v>
      </c>
      <c r="Q63" s="233">
        <f>'F2 - Net Expenditure'!AE37</f>
        <v>2471.58842</v>
      </c>
      <c r="R63" s="233">
        <f>'F2 - Net Expenditure'!AF37</f>
        <v>2471.58842</v>
      </c>
      <c r="S63" s="233">
        <f>'F2 - Net Expenditure'!AG37</f>
        <v>29659.061040000001</v>
      </c>
      <c r="T63" s="233">
        <f>'F2 - Net Expenditure'!H37</f>
        <v>3315.4850799999995</v>
      </c>
      <c r="U63" s="233">
        <f>'F2 - Net Expenditure'!I37</f>
        <v>3533.2210599999994</v>
      </c>
      <c r="V63" s="233">
        <f>'F2 - Net Expenditure'!J37</f>
        <v>3713.5836499999996</v>
      </c>
      <c r="W63" s="233">
        <f>'F2 - Net Expenditure'!K37</f>
        <v>3342.4333500000002</v>
      </c>
      <c r="X63" s="233">
        <f>'F2 - Net Expenditure'!L37</f>
        <v>3204.3601799999997</v>
      </c>
      <c r="Y63" s="233">
        <f>'F2 - Net Expenditure'!M37</f>
        <v>2472.1860000000001</v>
      </c>
      <c r="Z63" s="233">
        <f>'F2 - Net Expenditure'!N37</f>
        <v>2252.3696999999997</v>
      </c>
      <c r="AA63" s="233">
        <f>'F2 - Net Expenditure'!O37</f>
        <v>2937.1777400000005</v>
      </c>
      <c r="AB63" s="233">
        <f>'F2 - Net Expenditure'!P37</f>
        <v>2546.0269899999994</v>
      </c>
      <c r="AC63" s="233">
        <f>'F2 - Net Expenditure'!Q37</f>
        <v>2494.2070800000006</v>
      </c>
      <c r="AD63" s="233">
        <f>'F2 - Net Expenditure'!R37</f>
        <v>2375.9491400000002</v>
      </c>
      <c r="AE63" s="233">
        <f>'F2 - Net Expenditure'!S37</f>
        <v>2472.0610700000002</v>
      </c>
      <c r="AG63" s="233">
        <f>'F2 - Net Expenditure'!C37</f>
        <v>34659.061040000001</v>
      </c>
      <c r="AH63" s="233">
        <f>'F2 - Net Expenditure'!D37</f>
        <v>29659.061040000001</v>
      </c>
      <c r="AI63" s="233">
        <f>'F2 - Net Expenditure'!E37</f>
        <v>0</v>
      </c>
      <c r="AJ63" s="233">
        <f>'F2 - Net Expenditure'!F37</f>
        <v>0</v>
      </c>
    </row>
    <row r="64" spans="1:36" ht="15" customHeight="1">
      <c r="A64" s="234" t="str">
        <f>'Front Sheet and Checklist'!$C$5</f>
        <v>Swansea Bay UHB</v>
      </c>
      <c r="B64" s="234" t="str">
        <f t="shared" si="2"/>
        <v>F2 Net Expenditure</v>
      </c>
      <c r="C64" s="235" t="s">
        <v>371</v>
      </c>
      <c r="F64" s="234" t="str">
        <f>'F2 - Net Expenditure'!B38</f>
        <v>TOTAL</v>
      </c>
      <c r="G64" s="233">
        <f>'F2 - Net Expenditure'!U38</f>
        <v>62441.071639012145</v>
      </c>
      <c r="H64" s="233">
        <f>'F2 - Net Expenditure'!V38</f>
        <v>62441.071639012145</v>
      </c>
      <c r="I64" s="233">
        <f>'F2 - Net Expenditure'!W38</f>
        <v>62441.071639012145</v>
      </c>
      <c r="J64" s="233">
        <f>'F2 - Net Expenditure'!X38</f>
        <v>62441.071639012145</v>
      </c>
      <c r="K64" s="233">
        <f>'F2 - Net Expenditure'!Y38</f>
        <v>62441.071639012145</v>
      </c>
      <c r="L64" s="233">
        <f>'F2 - Net Expenditure'!Z38</f>
        <v>62441.071639012145</v>
      </c>
      <c r="M64" s="233">
        <f>'F2 - Net Expenditure'!AA38</f>
        <v>62441.071639012145</v>
      </c>
      <c r="N64" s="233">
        <f>'F2 - Net Expenditure'!AB38</f>
        <v>62441.071639012145</v>
      </c>
      <c r="O64" s="233">
        <f>'F2 - Net Expenditure'!AC38</f>
        <v>62441.071639012145</v>
      </c>
      <c r="P64" s="233">
        <f>'F2 - Net Expenditure'!AD38</f>
        <v>62441.071639012145</v>
      </c>
      <c r="Q64" s="233">
        <f>'F2 - Net Expenditure'!AE38</f>
        <v>62441.071639012145</v>
      </c>
      <c r="R64" s="233">
        <f>'F2 - Net Expenditure'!AF38</f>
        <v>62441.071639012145</v>
      </c>
      <c r="S64" s="233">
        <f>'F2 - Net Expenditure'!AG38</f>
        <v>749292.85966814565</v>
      </c>
      <c r="T64" s="233">
        <f>'F2 - Net Expenditure'!H38</f>
        <v>55439.985079999999</v>
      </c>
      <c r="U64" s="233">
        <f>'F2 - Net Expenditure'!I38</f>
        <v>59589.588000000258</v>
      </c>
      <c r="V64" s="233">
        <f>'F2 - Net Expenditure'!J38</f>
        <v>71971.58365</v>
      </c>
      <c r="W64" s="233">
        <f>'F2 - Net Expenditure'!K38</f>
        <v>72789.933350000007</v>
      </c>
      <c r="X64" s="233">
        <f>'F2 - Net Expenditure'!L38</f>
        <v>60789.560780000029</v>
      </c>
      <c r="Y64" s="233">
        <f>'F2 - Net Expenditure'!M38</f>
        <v>60721.66678</v>
      </c>
      <c r="Z64" s="233">
        <f>'F2 - Net Expenditure'!N38</f>
        <v>65952.626199999795</v>
      </c>
      <c r="AA64" s="233">
        <f>'F2 - Net Expenditure'!O38</f>
        <v>63656.617119999937</v>
      </c>
      <c r="AB64" s="233">
        <f>'F2 - Net Expenditure'!P38</f>
        <v>63279.434500000032</v>
      </c>
      <c r="AC64" s="233">
        <f>'F2 - Net Expenditure'!Q38</f>
        <v>65011.466030000171</v>
      </c>
      <c r="AD64" s="233">
        <f>'F2 - Net Expenditure'!R38</f>
        <v>66186.59081999991</v>
      </c>
      <c r="AE64" s="233">
        <f>'F2 - Net Expenditure'!S38</f>
        <v>65107.061070000003</v>
      </c>
      <c r="AG64" s="233">
        <f>'F2 - Net Expenditure'!C38</f>
        <v>770496.11338000023</v>
      </c>
      <c r="AH64" s="233">
        <f>'F2 - Net Expenditure'!D38</f>
        <v>749292.85966814565</v>
      </c>
      <c r="AI64" s="233">
        <f>'F2 - Net Expenditure'!E38</f>
        <v>0</v>
      </c>
      <c r="AJ64" s="233">
        <f>'F2 - Net Expenditure'!F38</f>
        <v>0</v>
      </c>
    </row>
    <row r="65" spans="1:36" ht="15" customHeight="1">
      <c r="A65" s="234" t="str">
        <f>'Front Sheet and Checklist'!$C$5</f>
        <v>Swansea Bay UHB</v>
      </c>
      <c r="B65" s="234" t="str">
        <f t="shared" si="2"/>
        <v>F2 Net Expenditure</v>
      </c>
      <c r="F65" s="234">
        <f>'F2 - Net Expenditure'!B39</f>
        <v>0</v>
      </c>
      <c r="G65" s="233">
        <f>'F2 - Net Expenditure'!U39</f>
        <v>0</v>
      </c>
      <c r="H65" s="233">
        <f>'F2 - Net Expenditure'!V39</f>
        <v>0</v>
      </c>
      <c r="I65" s="233">
        <f>'F2 - Net Expenditure'!W39</f>
        <v>0</v>
      </c>
      <c r="J65" s="233">
        <f>'F2 - Net Expenditure'!X39</f>
        <v>0</v>
      </c>
      <c r="K65" s="233">
        <f>'F2 - Net Expenditure'!Y39</f>
        <v>0</v>
      </c>
      <c r="L65" s="233">
        <f>'F2 - Net Expenditure'!Z39</f>
        <v>0</v>
      </c>
      <c r="M65" s="233">
        <f>'F2 - Net Expenditure'!AA39</f>
        <v>0</v>
      </c>
      <c r="N65" s="233">
        <f>'F2 - Net Expenditure'!AB39</f>
        <v>0</v>
      </c>
      <c r="O65" s="233">
        <f>'F2 - Net Expenditure'!AC39</f>
        <v>0</v>
      </c>
      <c r="P65" s="233">
        <f>'F2 - Net Expenditure'!AD39</f>
        <v>0</v>
      </c>
      <c r="Q65" s="233">
        <f>'F2 - Net Expenditure'!AE39</f>
        <v>0</v>
      </c>
      <c r="R65" s="233">
        <f>'F2 - Net Expenditure'!AF39</f>
        <v>0</v>
      </c>
      <c r="S65" s="233">
        <f>'F2 - Net Expenditure'!AG39</f>
        <v>0</v>
      </c>
      <c r="T65" s="233">
        <f>'F2 - Net Expenditure'!H39</f>
        <v>0</v>
      </c>
      <c r="U65" s="233">
        <f>'F2 - Net Expenditure'!I39</f>
        <v>0</v>
      </c>
      <c r="V65" s="233">
        <f>'F2 - Net Expenditure'!J39</f>
        <v>0</v>
      </c>
      <c r="W65" s="233">
        <f>'F2 - Net Expenditure'!K39</f>
        <v>0</v>
      </c>
      <c r="X65" s="233">
        <f>'F2 - Net Expenditure'!L39</f>
        <v>0</v>
      </c>
      <c r="Y65" s="233">
        <f>'F2 - Net Expenditure'!M39</f>
        <v>0</v>
      </c>
      <c r="Z65" s="233">
        <f>'F2 - Net Expenditure'!N39</f>
        <v>0</v>
      </c>
      <c r="AA65" s="233">
        <f>'F2 - Net Expenditure'!O39</f>
        <v>0</v>
      </c>
      <c r="AB65" s="233">
        <f>'F2 - Net Expenditure'!P39</f>
        <v>0</v>
      </c>
      <c r="AC65" s="233">
        <f>'F2 - Net Expenditure'!Q39</f>
        <v>0</v>
      </c>
      <c r="AD65" s="233">
        <f>'F2 - Net Expenditure'!R39</f>
        <v>0</v>
      </c>
      <c r="AE65" s="233">
        <f>'F2 - Net Expenditure'!S39</f>
        <v>0</v>
      </c>
      <c r="AG65" s="233">
        <f>'F2 - Net Expenditure'!C39</f>
        <v>0</v>
      </c>
      <c r="AH65" s="233">
        <f>'F2 - Net Expenditure'!D39</f>
        <v>0</v>
      </c>
      <c r="AI65" s="233">
        <f>'F2 - Net Expenditure'!E39</f>
        <v>0</v>
      </c>
      <c r="AJ65" s="233">
        <f>'F2 - Net Expenditure'!F39</f>
        <v>0</v>
      </c>
    </row>
    <row r="66" spans="1:36" ht="15" customHeight="1">
      <c r="A66" s="234" t="str">
        <f>'Front Sheet and Checklist'!$C$5</f>
        <v>Swansea Bay UHB</v>
      </c>
      <c r="B66" s="234" t="str">
        <f t="shared" si="2"/>
        <v>F2 Net Expenditure</v>
      </c>
      <c r="C66" s="235" t="s">
        <v>371</v>
      </c>
      <c r="F66" s="234" t="str">
        <f>'F2 - Net Expenditure'!B40</f>
        <v>TOTAL PAY IN OTHER SPEND LINES (inc. PRIMARY CARE)</v>
      </c>
      <c r="G66" s="233">
        <f>'F2 - Net Expenditure'!U40</f>
        <v>-0.42836098785483046</v>
      </c>
      <c r="H66" s="233">
        <f>'F2 - Net Expenditure'!V40</f>
        <v>-0.42836098785483046</v>
      </c>
      <c r="I66" s="233">
        <f>'F2 - Net Expenditure'!W40</f>
        <v>-0.42836098785483046</v>
      </c>
      <c r="J66" s="233">
        <f>'F2 - Net Expenditure'!X40</f>
        <v>-0.42836098785483046</v>
      </c>
      <c r="K66" s="233">
        <f>'F2 - Net Expenditure'!Y40</f>
        <v>-0.42836098785483046</v>
      </c>
      <c r="L66" s="233">
        <f>'F2 - Net Expenditure'!Z40</f>
        <v>-0.42836098785483046</v>
      </c>
      <c r="M66" s="233">
        <f>'F2 - Net Expenditure'!AA40</f>
        <v>-0.42836098785483046</v>
      </c>
      <c r="N66" s="233">
        <f>'F2 - Net Expenditure'!AB40</f>
        <v>-0.42836098785483046</v>
      </c>
      <c r="O66" s="233">
        <f>'F2 - Net Expenditure'!AC40</f>
        <v>-0.42836098785483046</v>
      </c>
      <c r="P66" s="233">
        <f>'F2 - Net Expenditure'!AD40</f>
        <v>-0.42836098785483046</v>
      </c>
      <c r="Q66" s="233">
        <f>'F2 - Net Expenditure'!AE40</f>
        <v>-0.42836098785483046</v>
      </c>
      <c r="R66" s="233">
        <f>'F2 - Net Expenditure'!AF40</f>
        <v>4.5716390121451695</v>
      </c>
      <c r="S66" s="233">
        <f>'F2 - Net Expenditure'!AG40</f>
        <v>-0.14033185434527695</v>
      </c>
      <c r="T66" s="233">
        <f>'F2 - Net Expenditure'!H40</f>
        <v>1294.8040800000017</v>
      </c>
      <c r="U66" s="233">
        <f>'F2 - Net Expenditure'!I40</f>
        <v>1452.7300000002506</v>
      </c>
      <c r="V66" s="233">
        <f>'F2 - Net Expenditure'!J40</f>
        <v>1641.2476500000048</v>
      </c>
      <c r="W66" s="233">
        <f>'F2 - Net Expenditure'!K40</f>
        <v>985.93635000000359</v>
      </c>
      <c r="X66" s="233">
        <f>'F2 - Net Expenditure'!L40</f>
        <v>1448.6297800000175</v>
      </c>
      <c r="Y66" s="233">
        <f>'F2 - Net Expenditure'!M40</f>
        <v>1500.9667800000025</v>
      </c>
      <c r="Z66" s="233">
        <f>'F2 - Net Expenditure'!N40</f>
        <v>1473.0261999997965</v>
      </c>
      <c r="AA66" s="233">
        <f>'F2 - Net Expenditure'!O40</f>
        <v>1414.9161199999362</v>
      </c>
      <c r="AB66" s="233">
        <f>'F2 - Net Expenditure'!P40</f>
        <v>1471.1844999999739</v>
      </c>
      <c r="AC66" s="233">
        <f>'F2 - Net Expenditure'!Q40</f>
        <v>1596.2310300001845</v>
      </c>
      <c r="AD66" s="233">
        <f>'F2 - Net Expenditure'!R40</f>
        <v>1326.6358199999522</v>
      </c>
      <c r="AE66" s="233">
        <f>'F2 - Net Expenditure'!S40</f>
        <v>1465.3598300000085</v>
      </c>
      <c r="AG66" s="233">
        <f>'F2 - Net Expenditure'!C40</f>
        <v>17071.668140000314</v>
      </c>
      <c r="AH66" s="233">
        <f>'F2 - Net Expenditure'!D40</f>
        <v>-0.14033185434527695</v>
      </c>
      <c r="AI66" s="233">
        <f>'F2 - Net Expenditure'!E40</f>
        <v>0</v>
      </c>
      <c r="AJ66" s="233">
        <f>'F2 - Net Expenditure'!F40</f>
        <v>0</v>
      </c>
    </row>
    <row r="67" spans="1:36" ht="15" customHeight="1">
      <c r="A67" s="234" t="str">
        <f>'Front Sheet and Checklist'!$C$5</f>
        <v>Swansea Bay UHB</v>
      </c>
      <c r="B67" s="234" t="str">
        <f t="shared" si="2"/>
        <v>F2 Net Expenditure</v>
      </c>
      <c r="C67" s="235" t="s">
        <v>371</v>
      </c>
      <c r="F67" s="234" t="str">
        <f>'F2 - Net Expenditure'!B41</f>
        <v>TOTAL PAY in net expenditure analysis</v>
      </c>
      <c r="G67" s="233">
        <f>'F2 - Net Expenditure'!U41</f>
        <v>62441.5</v>
      </c>
      <c r="H67" s="233">
        <f>'F2 - Net Expenditure'!V41</f>
        <v>62441.5</v>
      </c>
      <c r="I67" s="233">
        <f>'F2 - Net Expenditure'!W41</f>
        <v>62441.5</v>
      </c>
      <c r="J67" s="233">
        <f>'F2 - Net Expenditure'!X41</f>
        <v>62441.5</v>
      </c>
      <c r="K67" s="233">
        <f>'F2 - Net Expenditure'!Y41</f>
        <v>62441.5</v>
      </c>
      <c r="L67" s="233">
        <f>'F2 - Net Expenditure'!Z41</f>
        <v>62441.5</v>
      </c>
      <c r="M67" s="233">
        <f>'F2 - Net Expenditure'!AA41</f>
        <v>62441.5</v>
      </c>
      <c r="N67" s="233">
        <f>'F2 - Net Expenditure'!AB41</f>
        <v>62441.5</v>
      </c>
      <c r="O67" s="233">
        <f>'F2 - Net Expenditure'!AC41</f>
        <v>62441.5</v>
      </c>
      <c r="P67" s="233">
        <f>'F2 - Net Expenditure'!AD41</f>
        <v>62441.5</v>
      </c>
      <c r="Q67" s="233">
        <f>'F2 - Net Expenditure'!AE41</f>
        <v>62441.5</v>
      </c>
      <c r="R67" s="233">
        <f>'F2 - Net Expenditure'!AF41</f>
        <v>62436.5</v>
      </c>
      <c r="S67" s="233">
        <f>'F2 - Net Expenditure'!AG41</f>
        <v>749293</v>
      </c>
      <c r="T67" s="233">
        <f>'F2 - Net Expenditure'!H41</f>
        <v>54145.180999999997</v>
      </c>
      <c r="U67" s="233">
        <f>'F2 - Net Expenditure'!I41</f>
        <v>58136.858000000007</v>
      </c>
      <c r="V67" s="233">
        <f>'F2 - Net Expenditure'!J41</f>
        <v>70330.335999999996</v>
      </c>
      <c r="W67" s="233">
        <f>'F2 - Net Expenditure'!K41</f>
        <v>71803.997000000003</v>
      </c>
      <c r="X67" s="233">
        <f>'F2 - Net Expenditure'!L41</f>
        <v>59340.931000000011</v>
      </c>
      <c r="Y67" s="233">
        <f>'F2 - Net Expenditure'!M41</f>
        <v>59220.7</v>
      </c>
      <c r="Z67" s="233">
        <f>'F2 - Net Expenditure'!N41</f>
        <v>64479.6</v>
      </c>
      <c r="AA67" s="233">
        <f>'F2 - Net Expenditure'!O41</f>
        <v>62241.701000000001</v>
      </c>
      <c r="AB67" s="233">
        <f>'F2 - Net Expenditure'!P41</f>
        <v>61808.250000000058</v>
      </c>
      <c r="AC67" s="233">
        <f>'F2 - Net Expenditure'!Q41</f>
        <v>63415.234999999986</v>
      </c>
      <c r="AD67" s="233">
        <f>'F2 - Net Expenditure'!R41</f>
        <v>64859.954999999958</v>
      </c>
      <c r="AE67" s="233">
        <f>'F2 - Net Expenditure'!S41</f>
        <v>63641.701239999995</v>
      </c>
      <c r="AG67" s="233">
        <f>'F2 - Net Expenditure'!C41</f>
        <v>753424.44523999991</v>
      </c>
      <c r="AH67" s="233">
        <f>'F2 - Net Expenditure'!D41</f>
        <v>749293</v>
      </c>
      <c r="AI67" s="233">
        <f>'F2 - Net Expenditure'!E41</f>
        <v>0</v>
      </c>
      <c r="AJ67" s="233">
        <f>'F2 - Net Expenditure'!F41</f>
        <v>0</v>
      </c>
    </row>
    <row r="68" spans="1:36" ht="15" customHeight="1">
      <c r="A68" s="234" t="str">
        <f>'Front Sheet and Checklist'!$C$5</f>
        <v>Swansea Bay UHB</v>
      </c>
      <c r="B68" s="234" t="str">
        <f t="shared" si="2"/>
        <v>F2 Net Expenditure</v>
      </c>
      <c r="F68" s="234">
        <f>'F2 - Net Expenditure'!B42</f>
        <v>0</v>
      </c>
      <c r="G68" s="233">
        <f>'F2 - Net Expenditure'!U42</f>
        <v>0</v>
      </c>
      <c r="H68" s="233">
        <f>'F2 - Net Expenditure'!V42</f>
        <v>0</v>
      </c>
      <c r="I68" s="233">
        <f>'F2 - Net Expenditure'!W42</f>
        <v>0</v>
      </c>
      <c r="J68" s="233">
        <f>'F2 - Net Expenditure'!X42</f>
        <v>0</v>
      </c>
      <c r="K68" s="233">
        <f>'F2 - Net Expenditure'!Y42</f>
        <v>0</v>
      </c>
      <c r="L68" s="233">
        <f>'F2 - Net Expenditure'!Z42</f>
        <v>0</v>
      </c>
      <c r="M68" s="233">
        <f>'F2 - Net Expenditure'!AA42</f>
        <v>0</v>
      </c>
      <c r="N68" s="233">
        <f>'F2 - Net Expenditure'!AB42</f>
        <v>0</v>
      </c>
      <c r="O68" s="233">
        <f>'F2 - Net Expenditure'!AC42</f>
        <v>0</v>
      </c>
      <c r="P68" s="233">
        <f>'F2 - Net Expenditure'!AD42</f>
        <v>0</v>
      </c>
      <c r="Q68" s="233">
        <f>'F2 - Net Expenditure'!AE42</f>
        <v>0</v>
      </c>
      <c r="R68" s="233">
        <f>'F2 - Net Expenditure'!AF42</f>
        <v>0</v>
      </c>
      <c r="S68" s="233">
        <f>'F2 - Net Expenditure'!AG42</f>
        <v>0</v>
      </c>
      <c r="T68" s="233">
        <f>'F2 - Net Expenditure'!H42</f>
        <v>0</v>
      </c>
      <c r="U68" s="233">
        <f>'F2 - Net Expenditure'!I42</f>
        <v>0</v>
      </c>
      <c r="V68" s="233">
        <f>'F2 - Net Expenditure'!J42</f>
        <v>0</v>
      </c>
      <c r="W68" s="233">
        <f>'F2 - Net Expenditure'!K42</f>
        <v>0</v>
      </c>
      <c r="X68" s="233">
        <f>'F2 - Net Expenditure'!L42</f>
        <v>0</v>
      </c>
      <c r="Y68" s="233">
        <f>'F2 - Net Expenditure'!M42</f>
        <v>0</v>
      </c>
      <c r="Z68" s="233">
        <f>'F2 - Net Expenditure'!N42</f>
        <v>0</v>
      </c>
      <c r="AA68" s="233">
        <f>'F2 - Net Expenditure'!O42</f>
        <v>0</v>
      </c>
      <c r="AB68" s="233">
        <f>'F2 - Net Expenditure'!P42</f>
        <v>0</v>
      </c>
      <c r="AC68" s="233">
        <f>'F2 - Net Expenditure'!Q42</f>
        <v>0</v>
      </c>
      <c r="AD68" s="233">
        <f>'F2 - Net Expenditure'!R42</f>
        <v>0</v>
      </c>
      <c r="AE68" s="233">
        <f>'F2 - Net Expenditure'!S42</f>
        <v>0</v>
      </c>
      <c r="AG68" s="233">
        <f>'F2 - Net Expenditure'!C42</f>
        <v>0</v>
      </c>
      <c r="AH68" s="233">
        <f>'F2 - Net Expenditure'!D42</f>
        <v>0</v>
      </c>
      <c r="AI68" s="233">
        <f>'F2 - Net Expenditure'!E42</f>
        <v>0</v>
      </c>
      <c r="AJ68" s="233">
        <f>'F2 - Net Expenditure'!F42</f>
        <v>0</v>
      </c>
    </row>
    <row r="69" spans="1:36" ht="15" customHeight="1">
      <c r="A69" s="234" t="str">
        <f>'Front Sheet and Checklist'!$C$5</f>
        <v>Swansea Bay UHB</v>
      </c>
      <c r="B69" s="234" t="s">
        <v>372</v>
      </c>
      <c r="C69" s="235" t="str">
        <f>'F3 - ULD'!$B$1</f>
        <v>Underlying Deficit Calculation</v>
      </c>
      <c r="E69" s="234" t="s">
        <v>268</v>
      </c>
      <c r="F69" s="234" t="str">
        <f>'F3 - ULD'!B2</f>
        <v>Forecast Financial Surplus / (Deficit) 2023/24</v>
      </c>
      <c r="S69" s="233">
        <f>'F3 - ULD'!D2</f>
        <v>-17134.021179999807</v>
      </c>
    </row>
    <row r="70" spans="1:36" ht="15" customHeight="1">
      <c r="A70" s="234" t="str">
        <f>'Front Sheet and Checklist'!$C$5</f>
        <v>Swansea Bay UHB</v>
      </c>
      <c r="B70" s="234" t="s">
        <v>372</v>
      </c>
      <c r="C70" s="235" t="str">
        <f>'F3 - ULD'!$B$1</f>
        <v>Underlying Deficit Calculation</v>
      </c>
      <c r="F70" s="234">
        <f>'F3 - ULD'!B3</f>
        <v>0</v>
      </c>
      <c r="S70" s="233">
        <f>'F3 - ULD'!D3</f>
        <v>0</v>
      </c>
    </row>
    <row r="71" spans="1:36" ht="15" customHeight="1">
      <c r="A71" s="234" t="str">
        <f>'Front Sheet and Checklist'!$C$5</f>
        <v>Swansea Bay UHB</v>
      </c>
      <c r="B71" s="234" t="s">
        <v>372</v>
      </c>
      <c r="C71" s="235" t="str">
        <f>'F3 - ULD'!$B$1</f>
        <v>Underlying Deficit Calculation</v>
      </c>
      <c r="F71" s="234" t="str">
        <f>'F3 - ULD'!B4</f>
        <v>Adjustment Description</v>
      </c>
      <c r="S71" s="233">
        <f>'F3 - ULD'!D4</f>
        <v>0</v>
      </c>
    </row>
    <row r="72" spans="1:36" ht="15" customHeight="1">
      <c r="A72" s="234" t="str">
        <f>'Front Sheet and Checklist'!$C$5</f>
        <v>Swansea Bay UHB</v>
      </c>
      <c r="B72" s="234" t="s">
        <v>372</v>
      </c>
      <c r="C72" s="235" t="str">
        <f>'F3 - ULD'!$B$1</f>
        <v>Underlying Deficit Calculation</v>
      </c>
      <c r="F72" s="234" t="str">
        <f>'F3 - ULD'!B5</f>
        <v>Shortfall to Achieve Recurrent £17m Run Rate Reduction</v>
      </c>
      <c r="S72" s="233">
        <f>'F3 - ULD'!D5</f>
        <v>-11259.5</v>
      </c>
    </row>
    <row r="73" spans="1:36" ht="15" customHeight="1">
      <c r="A73" s="234" t="str">
        <f>'Front Sheet and Checklist'!$C$5</f>
        <v>Swansea Bay UHB</v>
      </c>
      <c r="B73" s="234" t="s">
        <v>372</v>
      </c>
      <c r="C73" s="235" t="str">
        <f>'F3 - ULD'!$B$1</f>
        <v>Underlying Deficit Calculation</v>
      </c>
      <c r="F73" s="234" t="str">
        <f>'F3 - ULD'!B6</f>
        <v>Savings - prior year recurring gap against £32.2m 2023/2024 Target</v>
      </c>
      <c r="S73" s="233">
        <f>'F3 - ULD'!D6</f>
        <v>-19700</v>
      </c>
    </row>
    <row r="74" spans="1:36" ht="15" customHeight="1">
      <c r="A74" s="234" t="str">
        <f>'Front Sheet and Checklist'!$C$5</f>
        <v>Swansea Bay UHB</v>
      </c>
      <c r="B74" s="234" t="s">
        <v>372</v>
      </c>
      <c r="C74" s="235" t="str">
        <f>'F3 - ULD'!$B$1</f>
        <v>Underlying Deficit Calculation</v>
      </c>
      <c r="F74" s="234" t="str">
        <f>'F3 - ULD'!B7</f>
        <v>Unavoidable B/F Underlying Pressures 23/24</v>
      </c>
      <c r="S74" s="233">
        <f>'F3 - ULD'!D7</f>
        <v>-6800</v>
      </c>
    </row>
    <row r="75" spans="1:36" ht="15" customHeight="1">
      <c r="A75" s="234" t="str">
        <f>'Front Sheet and Checklist'!$C$5</f>
        <v>Swansea Bay UHB</v>
      </c>
      <c r="B75" s="234" t="s">
        <v>372</v>
      </c>
      <c r="C75" s="235" t="str">
        <f>'F3 - ULD'!$B$1</f>
        <v>Underlying Deficit Calculation</v>
      </c>
      <c r="F75" s="234">
        <f>'F3 - ULD'!B8</f>
        <v>0</v>
      </c>
      <c r="S75" s="233">
        <f>'F3 - ULD'!D8</f>
        <v>0</v>
      </c>
    </row>
    <row r="76" spans="1:36" ht="15" customHeight="1">
      <c r="A76" s="234" t="str">
        <f>'Front Sheet and Checklist'!$C$5</f>
        <v>Swansea Bay UHB</v>
      </c>
      <c r="B76" s="234" t="s">
        <v>372</v>
      </c>
      <c r="C76" s="235" t="str">
        <f>'F3 - ULD'!$B$1</f>
        <v>Underlying Deficit Calculation</v>
      </c>
      <c r="F76" s="234">
        <f>'F3 - ULD'!B9</f>
        <v>0</v>
      </c>
      <c r="S76" s="233">
        <f>'F3 - ULD'!D9</f>
        <v>0</v>
      </c>
    </row>
    <row r="77" spans="1:36" ht="15" customHeight="1">
      <c r="A77" s="234" t="str">
        <f>'Front Sheet and Checklist'!$C$5</f>
        <v>Swansea Bay UHB</v>
      </c>
      <c r="B77" s="234" t="s">
        <v>372</v>
      </c>
      <c r="C77" s="235" t="str">
        <f>'F3 - ULD'!$B$1</f>
        <v>Underlying Deficit Calculation</v>
      </c>
      <c r="F77" s="234">
        <f>'F3 - ULD'!B10</f>
        <v>0</v>
      </c>
      <c r="S77" s="233">
        <f>'F3 - ULD'!D10</f>
        <v>0</v>
      </c>
    </row>
    <row r="78" spans="1:36" ht="15" customHeight="1">
      <c r="A78" s="234" t="str">
        <f>'Front Sheet and Checklist'!$C$5</f>
        <v>Swansea Bay UHB</v>
      </c>
      <c r="B78" s="234" t="s">
        <v>372</v>
      </c>
      <c r="C78" s="235" t="str">
        <f>'F3 - ULD'!$B$1</f>
        <v>Underlying Deficit Calculation</v>
      </c>
      <c r="F78" s="234">
        <f>'F3 - ULD'!B11</f>
        <v>0</v>
      </c>
      <c r="S78" s="233">
        <f>'F3 - ULD'!D11</f>
        <v>0</v>
      </c>
    </row>
    <row r="79" spans="1:36" ht="15" customHeight="1">
      <c r="A79" s="234" t="str">
        <f>'Front Sheet and Checklist'!$C$5</f>
        <v>Swansea Bay UHB</v>
      </c>
      <c r="B79" s="234" t="s">
        <v>372</v>
      </c>
      <c r="C79" s="235" t="str">
        <f>'F3 - ULD'!$B$1</f>
        <v>Underlying Deficit Calculation</v>
      </c>
      <c r="F79" s="234">
        <f>'F3 - ULD'!B12</f>
        <v>0</v>
      </c>
      <c r="S79" s="233">
        <f>'F3 - ULD'!D12</f>
        <v>0</v>
      </c>
    </row>
    <row r="80" spans="1:36" ht="15" customHeight="1">
      <c r="A80" s="234" t="str">
        <f>'Front Sheet and Checklist'!$C$5</f>
        <v>Swansea Bay UHB</v>
      </c>
      <c r="B80" s="234" t="s">
        <v>372</v>
      </c>
      <c r="C80" s="235" t="str">
        <f>'F3 - ULD'!$B$1</f>
        <v>Underlying Deficit Calculation</v>
      </c>
      <c r="F80" s="234">
        <f>'F3 - ULD'!B13</f>
        <v>0</v>
      </c>
      <c r="S80" s="233">
        <f>'F3 - ULD'!D13</f>
        <v>0</v>
      </c>
    </row>
    <row r="81" spans="1:19" ht="15" customHeight="1">
      <c r="A81" s="234" t="str">
        <f>'Front Sheet and Checklist'!$C$5</f>
        <v>Swansea Bay UHB</v>
      </c>
      <c r="B81" s="234" t="s">
        <v>372</v>
      </c>
      <c r="C81" s="235" t="str">
        <f>'F3 - ULD'!$B$1</f>
        <v>Underlying Deficit Calculation</v>
      </c>
      <c r="F81" s="234">
        <f>'F3 - ULD'!B14</f>
        <v>0</v>
      </c>
      <c r="S81" s="233">
        <f>'F3 - ULD'!D14</f>
        <v>0</v>
      </c>
    </row>
    <row r="82" spans="1:19" ht="15" customHeight="1">
      <c r="A82" s="234" t="str">
        <f>'Front Sheet and Checklist'!$C$5</f>
        <v>Swansea Bay UHB</v>
      </c>
      <c r="B82" s="234" t="s">
        <v>372</v>
      </c>
      <c r="C82" s="235" t="str">
        <f>'F3 - ULD'!$B$1</f>
        <v>Underlying Deficit Calculation</v>
      </c>
      <c r="F82" s="234">
        <f>'F3 - ULD'!B15</f>
        <v>0</v>
      </c>
      <c r="S82" s="233">
        <f>'F3 - ULD'!D15</f>
        <v>0</v>
      </c>
    </row>
    <row r="83" spans="1:19" ht="15" customHeight="1">
      <c r="A83" s="234" t="str">
        <f>'Front Sheet and Checklist'!$C$5</f>
        <v>Swansea Bay UHB</v>
      </c>
      <c r="B83" s="234" t="s">
        <v>372</v>
      </c>
      <c r="C83" s="235" t="str">
        <f>'F3 - ULD'!$B$1</f>
        <v>Underlying Deficit Calculation</v>
      </c>
      <c r="F83" s="234">
        <f>'F3 - ULD'!B16</f>
        <v>0</v>
      </c>
      <c r="S83" s="233">
        <f>'F3 - ULD'!D16</f>
        <v>0</v>
      </c>
    </row>
    <row r="84" spans="1:19" ht="15" customHeight="1">
      <c r="A84" s="234" t="str">
        <f>'Front Sheet and Checklist'!$C$5</f>
        <v>Swansea Bay UHB</v>
      </c>
      <c r="B84" s="234" t="s">
        <v>372</v>
      </c>
      <c r="C84" s="235" t="str">
        <f>'F3 - ULD'!$B$1</f>
        <v>Underlying Deficit Calculation</v>
      </c>
      <c r="F84" s="234">
        <f>'F3 - ULD'!B17</f>
        <v>0</v>
      </c>
      <c r="S84" s="233">
        <f>'F3 - ULD'!D17</f>
        <v>0</v>
      </c>
    </row>
    <row r="85" spans="1:19" ht="15" customHeight="1">
      <c r="A85" s="234" t="str">
        <f>'Front Sheet and Checklist'!$C$5</f>
        <v>Swansea Bay UHB</v>
      </c>
      <c r="B85" s="234" t="s">
        <v>372</v>
      </c>
      <c r="C85" s="235" t="str">
        <f>'F3 - ULD'!$B$1</f>
        <v>Underlying Deficit Calculation</v>
      </c>
      <c r="F85" s="234">
        <f>'F3 - ULD'!B18</f>
        <v>0</v>
      </c>
      <c r="S85" s="233">
        <f>'F3 - ULD'!D18</f>
        <v>0</v>
      </c>
    </row>
    <row r="86" spans="1:19" ht="15" customHeight="1">
      <c r="A86" s="234" t="str">
        <f>'Front Sheet and Checklist'!$C$5</f>
        <v>Swansea Bay UHB</v>
      </c>
      <c r="B86" s="234" t="s">
        <v>372</v>
      </c>
      <c r="C86" s="235" t="str">
        <f>'F3 - ULD'!$B$1</f>
        <v>Underlying Deficit Calculation</v>
      </c>
      <c r="F86" s="234">
        <f>'F3 - ULD'!B19</f>
        <v>0</v>
      </c>
      <c r="S86" s="233">
        <f>'F3 - ULD'!D19</f>
        <v>0</v>
      </c>
    </row>
    <row r="87" spans="1:19" ht="15" customHeight="1">
      <c r="A87" s="234" t="str">
        <f>'Front Sheet and Checklist'!$C$5</f>
        <v>Swansea Bay UHB</v>
      </c>
      <c r="B87" s="234" t="s">
        <v>372</v>
      </c>
      <c r="C87" s="235" t="str">
        <f>'F3 - ULD'!$B$1</f>
        <v>Underlying Deficit Calculation</v>
      </c>
      <c r="F87" s="234">
        <f>'F3 - ULD'!B20</f>
        <v>0</v>
      </c>
      <c r="S87" s="233">
        <f>'F3 - ULD'!D20</f>
        <v>0</v>
      </c>
    </row>
    <row r="88" spans="1:19" ht="15" customHeight="1">
      <c r="A88" s="234" t="str">
        <f>'Front Sheet and Checklist'!$C$5</f>
        <v>Swansea Bay UHB</v>
      </c>
      <c r="B88" s="234" t="s">
        <v>372</v>
      </c>
      <c r="C88" s="235" t="str">
        <f>'F3 - ULD'!$B$1</f>
        <v>Underlying Deficit Calculation</v>
      </c>
      <c r="F88" s="234">
        <f>'F3 - ULD'!B21</f>
        <v>0</v>
      </c>
      <c r="S88" s="233">
        <f>'F3 - ULD'!D21</f>
        <v>0</v>
      </c>
    </row>
    <row r="89" spans="1:19" ht="15" customHeight="1">
      <c r="A89" s="234" t="str">
        <f>'Front Sheet and Checklist'!$C$5</f>
        <v>Swansea Bay UHB</v>
      </c>
      <c r="B89" s="234" t="s">
        <v>372</v>
      </c>
      <c r="C89" s="235" t="str">
        <f>'F3 - ULD'!$B$1</f>
        <v>Underlying Deficit Calculation</v>
      </c>
      <c r="F89" s="234">
        <f>'F3 - ULD'!B22</f>
        <v>0</v>
      </c>
      <c r="S89" s="233">
        <f>'F3 - ULD'!D22</f>
        <v>0</v>
      </c>
    </row>
    <row r="90" spans="1:19" ht="15" customHeight="1">
      <c r="A90" s="234" t="str">
        <f>'Front Sheet and Checklist'!$C$5</f>
        <v>Swansea Bay UHB</v>
      </c>
      <c r="B90" s="234" t="s">
        <v>372</v>
      </c>
      <c r="C90" s="235" t="str">
        <f>'F3 - ULD'!$B$1</f>
        <v>Underlying Deficit Calculation</v>
      </c>
      <c r="F90" s="234">
        <f>'F3 - ULD'!B23</f>
        <v>0</v>
      </c>
      <c r="S90" s="233">
        <f>'F3 - ULD'!D23</f>
        <v>0</v>
      </c>
    </row>
    <row r="91" spans="1:19" ht="15" customHeight="1">
      <c r="A91" s="234" t="str">
        <f>'Front Sheet and Checklist'!$C$5</f>
        <v>Swansea Bay UHB</v>
      </c>
      <c r="B91" s="234" t="s">
        <v>372</v>
      </c>
      <c r="C91" s="235" t="str">
        <f>'F3 - ULD'!$B$1</f>
        <v>Underlying Deficit Calculation</v>
      </c>
      <c r="F91" s="234">
        <f>'F3 - ULD'!B24</f>
        <v>0</v>
      </c>
      <c r="S91" s="233">
        <f>'F3 - ULD'!D24</f>
        <v>0</v>
      </c>
    </row>
    <row r="92" spans="1:19" ht="15" customHeight="1">
      <c r="A92" s="234" t="str">
        <f>'Front Sheet and Checklist'!$C$5</f>
        <v>Swansea Bay UHB</v>
      </c>
      <c r="B92" s="234" t="s">
        <v>372</v>
      </c>
      <c r="C92" s="235" t="str">
        <f>'F3 - ULD'!$B$1</f>
        <v>Underlying Deficit Calculation</v>
      </c>
      <c r="F92" s="234">
        <f>'F3 - ULD'!B25</f>
        <v>0</v>
      </c>
      <c r="S92" s="233">
        <f>'F3 - ULD'!D25</f>
        <v>0</v>
      </c>
    </row>
    <row r="93" spans="1:19" ht="15" customHeight="1">
      <c r="A93" s="234" t="str">
        <f>'Front Sheet and Checklist'!$C$5</f>
        <v>Swansea Bay UHB</v>
      </c>
      <c r="B93" s="234" t="s">
        <v>372</v>
      </c>
      <c r="C93" s="235" t="str">
        <f>'F3 - ULD'!$B$1</f>
        <v>Underlying Deficit Calculation</v>
      </c>
      <c r="F93" s="234">
        <f>'F3 - ULD'!B26</f>
        <v>0</v>
      </c>
      <c r="S93" s="233">
        <f>'F3 - ULD'!D26</f>
        <v>0</v>
      </c>
    </row>
    <row r="94" spans="1:19" ht="15" customHeight="1">
      <c r="A94" s="234" t="str">
        <f>'Front Sheet and Checklist'!$C$5</f>
        <v>Swansea Bay UHB</v>
      </c>
      <c r="B94" s="234" t="s">
        <v>372</v>
      </c>
      <c r="C94" s="235" t="str">
        <f>'F3 - ULD'!$B$1</f>
        <v>Underlying Deficit Calculation</v>
      </c>
      <c r="F94" s="234">
        <f>'F3 - ULD'!B27</f>
        <v>0</v>
      </c>
      <c r="S94" s="233">
        <f>'F3 - ULD'!D27</f>
        <v>0</v>
      </c>
    </row>
    <row r="95" spans="1:19" ht="15" customHeight="1">
      <c r="A95" s="234" t="str">
        <f>'Front Sheet and Checklist'!$C$5</f>
        <v>Swansea Bay UHB</v>
      </c>
      <c r="B95" s="234" t="s">
        <v>372</v>
      </c>
      <c r="C95" s="235" t="str">
        <f>'F3 - ULD'!$B$1</f>
        <v>Underlying Deficit Calculation</v>
      </c>
      <c r="F95" s="234">
        <f>'F3 - ULD'!B28</f>
        <v>0</v>
      </c>
      <c r="S95" s="233">
        <f>'F3 - ULD'!D28</f>
        <v>0</v>
      </c>
    </row>
    <row r="96" spans="1:19" ht="15" customHeight="1">
      <c r="A96" s="234" t="str">
        <f>'Front Sheet and Checklist'!$C$5</f>
        <v>Swansea Bay UHB</v>
      </c>
      <c r="B96" s="234" t="s">
        <v>372</v>
      </c>
      <c r="C96" s="235" t="str">
        <f>'F3 - ULD'!$B$1</f>
        <v>Underlying Deficit Calculation</v>
      </c>
      <c r="F96" s="234">
        <f>'F3 - ULD'!B29</f>
        <v>0</v>
      </c>
      <c r="S96" s="233">
        <f>'F3 - ULD'!D29</f>
        <v>0</v>
      </c>
    </row>
    <row r="97" spans="1:19" ht="15" customHeight="1">
      <c r="A97" s="234" t="str">
        <f>'Front Sheet and Checklist'!$C$5</f>
        <v>Swansea Bay UHB</v>
      </c>
      <c r="B97" s="234" t="s">
        <v>372</v>
      </c>
      <c r="C97" s="235" t="str">
        <f>'F3 - ULD'!$B$1</f>
        <v>Underlying Deficit Calculation</v>
      </c>
      <c r="F97" s="234">
        <f>'F3 - ULD'!B30</f>
        <v>0</v>
      </c>
      <c r="S97" s="233">
        <f>'F3 - ULD'!D30</f>
        <v>0</v>
      </c>
    </row>
    <row r="98" spans="1:19" ht="15" customHeight="1">
      <c r="A98" s="234" t="str">
        <f>'Front Sheet and Checklist'!$C$5</f>
        <v>Swansea Bay UHB</v>
      </c>
      <c r="B98" s="234" t="s">
        <v>372</v>
      </c>
      <c r="C98" s="235" t="str">
        <f>'F3 - ULD'!$B$1</f>
        <v>Underlying Deficit Calculation</v>
      </c>
      <c r="F98" s="234">
        <f>'F3 - ULD'!B31</f>
        <v>0</v>
      </c>
      <c r="S98" s="233">
        <f>'F3 - ULD'!D31</f>
        <v>0</v>
      </c>
    </row>
    <row r="99" spans="1:19" ht="15" customHeight="1">
      <c r="A99" s="234" t="str">
        <f>'Front Sheet and Checklist'!$C$5</f>
        <v>Swansea Bay UHB</v>
      </c>
      <c r="B99" s="234" t="s">
        <v>372</v>
      </c>
      <c r="C99" s="235" t="str">
        <f>'F3 - ULD'!$B$1</f>
        <v>Underlying Deficit Calculation</v>
      </c>
      <c r="F99" s="234">
        <f>'F3 - ULD'!B32</f>
        <v>0</v>
      </c>
      <c r="S99" s="233">
        <f>'F3 - ULD'!D32</f>
        <v>0</v>
      </c>
    </row>
    <row r="100" spans="1:19" ht="15" customHeight="1">
      <c r="A100" s="234" t="str">
        <f>'Front Sheet and Checklist'!$C$5</f>
        <v>Swansea Bay UHB</v>
      </c>
      <c r="B100" s="234" t="s">
        <v>372</v>
      </c>
      <c r="C100" s="235" t="str">
        <f>'F3 - ULD'!$B$1</f>
        <v>Underlying Deficit Calculation</v>
      </c>
      <c r="F100" s="234">
        <f>'F3 - ULD'!B33</f>
        <v>0</v>
      </c>
      <c r="S100" s="233">
        <f>'F3 - ULD'!D33</f>
        <v>0</v>
      </c>
    </row>
    <row r="101" spans="1:19" ht="15" customHeight="1">
      <c r="A101" s="234" t="str">
        <f>'Front Sheet and Checklist'!$C$5</f>
        <v>Swansea Bay UHB</v>
      </c>
      <c r="B101" s="234" t="s">
        <v>372</v>
      </c>
      <c r="C101" s="235" t="str">
        <f>'F3 - ULD'!$B$1</f>
        <v>Underlying Deficit Calculation</v>
      </c>
      <c r="F101" s="234">
        <f>'F3 - ULD'!B34</f>
        <v>0</v>
      </c>
      <c r="S101" s="233">
        <f>'F3 - ULD'!D34</f>
        <v>0</v>
      </c>
    </row>
    <row r="102" spans="1:19" ht="15" customHeight="1">
      <c r="A102" s="234" t="str">
        <f>'Front Sheet and Checklist'!$C$5</f>
        <v>Swansea Bay UHB</v>
      </c>
      <c r="B102" s="234" t="s">
        <v>372</v>
      </c>
      <c r="C102" s="235" t="str">
        <f>'F3 - ULD'!$B$1</f>
        <v>Underlying Deficit Calculation</v>
      </c>
      <c r="F102" s="234">
        <f>'F3 - ULD'!B35</f>
        <v>0</v>
      </c>
      <c r="S102" s="233">
        <f>'F3 - ULD'!D35</f>
        <v>0</v>
      </c>
    </row>
    <row r="103" spans="1:19" ht="15" customHeight="1">
      <c r="A103" s="234" t="str">
        <f>'Front Sheet and Checklist'!$C$5</f>
        <v>Swansea Bay UHB</v>
      </c>
      <c r="B103" s="234" t="s">
        <v>372</v>
      </c>
      <c r="C103" s="235" t="str">
        <f>'F3 - ULD'!$B$1</f>
        <v>Underlying Deficit Calculation</v>
      </c>
      <c r="F103" s="234">
        <f>'F3 - ULD'!B36</f>
        <v>0</v>
      </c>
      <c r="S103" s="233">
        <f>'F3 - ULD'!D36</f>
        <v>0</v>
      </c>
    </row>
    <row r="104" spans="1:19" ht="15" customHeight="1">
      <c r="A104" s="234" t="str">
        <f>'Front Sheet and Checklist'!$C$5</f>
        <v>Swansea Bay UHB</v>
      </c>
      <c r="B104" s="234" t="s">
        <v>372</v>
      </c>
      <c r="C104" s="235" t="str">
        <f>'F3 - ULD'!$B$1</f>
        <v>Underlying Deficit Calculation</v>
      </c>
      <c r="F104" s="234">
        <f>'F3 - ULD'!B37</f>
        <v>0</v>
      </c>
      <c r="S104" s="233">
        <f>'F3 - ULD'!D37</f>
        <v>0</v>
      </c>
    </row>
    <row r="105" spans="1:19" ht="15" customHeight="1">
      <c r="A105" s="234" t="str">
        <f>'Front Sheet and Checklist'!$C$5</f>
        <v>Swansea Bay UHB</v>
      </c>
      <c r="B105" s="234" t="s">
        <v>372</v>
      </c>
      <c r="C105" s="235" t="str">
        <f>'F3 - ULD'!$B$1</f>
        <v>Underlying Deficit Calculation</v>
      </c>
      <c r="F105" s="234">
        <f>'F3 - ULD'!B38</f>
        <v>0</v>
      </c>
      <c r="S105" s="233">
        <f>'F3 - ULD'!D38</f>
        <v>0</v>
      </c>
    </row>
    <row r="106" spans="1:19" ht="15" customHeight="1">
      <c r="A106" s="234" t="str">
        <f>'Front Sheet and Checklist'!$C$5</f>
        <v>Swansea Bay UHB</v>
      </c>
      <c r="B106" s="234" t="s">
        <v>372</v>
      </c>
      <c r="C106" s="235" t="str">
        <f>'F3 - ULD'!$B$1</f>
        <v>Underlying Deficit Calculation</v>
      </c>
      <c r="F106" s="234">
        <f>'F3 - ULD'!B39</f>
        <v>0</v>
      </c>
      <c r="S106" s="233">
        <f>'F3 - ULD'!D39</f>
        <v>0</v>
      </c>
    </row>
    <row r="107" spans="1:19" ht="15" customHeight="1">
      <c r="A107" s="234" t="str">
        <f>'Front Sheet and Checklist'!$C$5</f>
        <v>Swansea Bay UHB</v>
      </c>
      <c r="B107" s="234" t="s">
        <v>372</v>
      </c>
      <c r="C107" s="235" t="str">
        <f>'F3 - ULD'!$B$1</f>
        <v>Underlying Deficit Calculation</v>
      </c>
      <c r="F107" s="234">
        <f>'F3 - ULD'!B40</f>
        <v>0</v>
      </c>
      <c r="S107" s="233">
        <f>'F3 - ULD'!D40</f>
        <v>0</v>
      </c>
    </row>
    <row r="108" spans="1:19" ht="15" customHeight="1">
      <c r="A108" s="234" t="str">
        <f>'Front Sheet and Checklist'!$C$5</f>
        <v>Swansea Bay UHB</v>
      </c>
      <c r="B108" s="234" t="s">
        <v>372</v>
      </c>
      <c r="C108" s="235" t="str">
        <f>'F3 - ULD'!$B$1</f>
        <v>Underlying Deficit Calculation</v>
      </c>
      <c r="F108" s="234">
        <f>'F3 - ULD'!B41</f>
        <v>0</v>
      </c>
      <c r="S108" s="233">
        <f>'F3 - ULD'!D41</f>
        <v>0</v>
      </c>
    </row>
    <row r="109" spans="1:19" ht="15" customHeight="1">
      <c r="A109" s="234" t="str">
        <f>'Front Sheet and Checklist'!$C$5</f>
        <v>Swansea Bay UHB</v>
      </c>
      <c r="B109" s="234" t="s">
        <v>372</v>
      </c>
      <c r="C109" s="235" t="str">
        <f>'F3 - ULD'!$B$1</f>
        <v>Underlying Deficit Calculation</v>
      </c>
      <c r="F109" s="234">
        <f>'F3 - ULD'!B42</f>
        <v>0</v>
      </c>
      <c r="S109" s="233">
        <f>'F3 - ULD'!D42</f>
        <v>0</v>
      </c>
    </row>
    <row r="110" spans="1:19" ht="15" customHeight="1">
      <c r="A110" s="234" t="str">
        <f>'Front Sheet and Checklist'!$C$5</f>
        <v>Swansea Bay UHB</v>
      </c>
      <c r="B110" s="234" t="s">
        <v>372</v>
      </c>
      <c r="C110" s="235" t="str">
        <f>'F3 - ULD'!$B$1</f>
        <v>Underlying Deficit Calculation</v>
      </c>
      <c r="F110" s="234">
        <f>'F3 - ULD'!B43</f>
        <v>0</v>
      </c>
      <c r="S110" s="233">
        <f>'F3 - ULD'!D43</f>
        <v>0</v>
      </c>
    </row>
    <row r="111" spans="1:19" ht="15" customHeight="1">
      <c r="A111" s="234" t="str">
        <f>'Front Sheet and Checklist'!$C$5</f>
        <v>Swansea Bay UHB</v>
      </c>
      <c r="B111" s="234" t="s">
        <v>372</v>
      </c>
      <c r="C111" s="235" t="str">
        <f>'F3 - ULD'!$B$1</f>
        <v>Underlying Deficit Calculation</v>
      </c>
      <c r="F111" s="234">
        <f>'F3 - ULD'!B44</f>
        <v>0</v>
      </c>
      <c r="S111" s="233">
        <f>'F3 - ULD'!D44</f>
        <v>0</v>
      </c>
    </row>
    <row r="112" spans="1:19" ht="15" customHeight="1">
      <c r="A112" s="234" t="str">
        <f>'Front Sheet and Checklist'!$C$5</f>
        <v>Swansea Bay UHB</v>
      </c>
      <c r="B112" s="234" t="s">
        <v>372</v>
      </c>
      <c r="C112" s="235" t="str">
        <f>'F3 - ULD'!$B$1</f>
        <v>Underlying Deficit Calculation</v>
      </c>
      <c r="E112" s="234" t="s">
        <v>268</v>
      </c>
      <c r="F112" s="234" t="str">
        <f>'F3 - ULD'!B45</f>
        <v>Subtotal Adjustments</v>
      </c>
      <c r="S112" s="233">
        <f>'F3 - ULD'!D45</f>
        <v>-37759.5</v>
      </c>
    </row>
    <row r="113" spans="1:19" ht="15" customHeight="1">
      <c r="A113" s="234" t="str">
        <f>'Front Sheet and Checklist'!$C$5</f>
        <v>Swansea Bay UHB</v>
      </c>
      <c r="B113" s="234" t="s">
        <v>372</v>
      </c>
      <c r="C113" s="235" t="str">
        <f>'F3 - ULD'!$B$1</f>
        <v>Underlying Deficit Calculation</v>
      </c>
      <c r="F113" s="234" t="str">
        <f>'F3 - ULD'!B46</f>
        <v>Underlying Surplus / (Deficit) brought forwards from 2023/24</v>
      </c>
      <c r="S113" s="233">
        <f>'F3 - ULD'!D46</f>
        <v>-54893.521179999807</v>
      </c>
    </row>
    <row r="114" spans="1:19" ht="15" customHeight="1">
      <c r="A114" s="234" t="str">
        <f>'Front Sheet and Checklist'!$C$5</f>
        <v>Swansea Bay UHB</v>
      </c>
      <c r="B114" s="234" t="s">
        <v>372</v>
      </c>
      <c r="C114" s="235" t="str">
        <f>'F3 - ULD'!$F$1</f>
        <v>Underlying Deficit Split</v>
      </c>
      <c r="F114" s="234" t="str">
        <f>'F3 - ULD'!F3</f>
        <v>Scheduled Care</v>
      </c>
      <c r="S114" s="233">
        <f>'F3 - ULD'!G3</f>
        <v>-4904.9535895815043</v>
      </c>
    </row>
    <row r="115" spans="1:19" ht="15" customHeight="1">
      <c r="A115" s="234" t="str">
        <f>'Front Sheet and Checklist'!$C$5</f>
        <v>Swansea Bay UHB</v>
      </c>
      <c r="B115" s="234" t="s">
        <v>372</v>
      </c>
      <c r="C115" s="235" t="str">
        <f>'F3 - ULD'!$F$1</f>
        <v>Underlying Deficit Split</v>
      </c>
      <c r="F115" s="234" t="str">
        <f>'F3 - ULD'!F4</f>
        <v>Unscheduled Care</v>
      </c>
      <c r="S115" s="233">
        <f>'F3 - ULD'!G4</f>
        <v>-16689.42967267998</v>
      </c>
    </row>
    <row r="116" spans="1:19" ht="15" customHeight="1">
      <c r="A116" s="234" t="str">
        <f>'Front Sheet and Checklist'!$C$5</f>
        <v>Swansea Bay UHB</v>
      </c>
      <c r="B116" s="234" t="s">
        <v>372</v>
      </c>
      <c r="C116" s="235" t="str">
        <f>'F3 - ULD'!$F$1</f>
        <v>Underlying Deficit Split</v>
      </c>
      <c r="F116" s="234" t="str">
        <f>'F3 - ULD'!F5</f>
        <v>Mental Health</v>
      </c>
      <c r="S116" s="233">
        <f>'F3 - ULD'!G5</f>
        <v>-1697.152</v>
      </c>
    </row>
    <row r="117" spans="1:19" ht="15" customHeight="1">
      <c r="A117" s="234" t="str">
        <f>'Front Sheet and Checklist'!$C$5</f>
        <v>Swansea Bay UHB</v>
      </c>
      <c r="B117" s="234" t="s">
        <v>372</v>
      </c>
      <c r="C117" s="235" t="str">
        <f>'F3 - ULD'!$F$1</f>
        <v>Underlying Deficit Split</v>
      </c>
      <c r="F117" s="234" t="str">
        <f>'F3 - ULD'!F6</f>
        <v>Community Services</v>
      </c>
      <c r="S117" s="233">
        <f>'F3 - ULD'!G6</f>
        <v>-1589.0840000000001</v>
      </c>
    </row>
    <row r="118" spans="1:19" ht="15" customHeight="1">
      <c r="A118" s="234" t="str">
        <f>'Front Sheet and Checklist'!$C$5</f>
        <v>Swansea Bay UHB</v>
      </c>
      <c r="B118" s="234" t="s">
        <v>372</v>
      </c>
      <c r="C118" s="235" t="str">
        <f>'F3 - ULD'!$F$1</f>
        <v>Underlying Deficit Split</v>
      </c>
      <c r="F118" s="234" t="str">
        <f>'F3 - ULD'!F7</f>
        <v>Primary Care</v>
      </c>
      <c r="S118" s="233">
        <f>'F3 - ULD'!G7</f>
        <v>-6800</v>
      </c>
    </row>
    <row r="119" spans="1:19" ht="15" customHeight="1">
      <c r="A119" s="234" t="str">
        <f>'Front Sheet and Checklist'!$C$5</f>
        <v>Swansea Bay UHB</v>
      </c>
      <c r="B119" s="234" t="s">
        <v>372</v>
      </c>
      <c r="C119" s="235" t="str">
        <f>'F3 - ULD'!$F$1</f>
        <v>Underlying Deficit Split</v>
      </c>
      <c r="F119" s="234" t="str">
        <f>'F3 - ULD'!F8</f>
        <v>Continuing Health Care</v>
      </c>
      <c r="S119" s="233">
        <f>'F3 - ULD'!G8</f>
        <v>0</v>
      </c>
    </row>
    <row r="120" spans="1:19" ht="15" customHeight="1">
      <c r="A120" s="234" t="str">
        <f>'Front Sheet and Checklist'!$C$5</f>
        <v>Swansea Bay UHB</v>
      </c>
      <c r="B120" s="234" t="s">
        <v>372</v>
      </c>
      <c r="C120" s="235" t="str">
        <f>'F3 - ULD'!$F$1</f>
        <v>Underlying Deficit Split</v>
      </c>
      <c r="F120" s="234" t="str">
        <f>'F3 - ULD'!F9</f>
        <v>Specialised Services</v>
      </c>
      <c r="S120" s="233">
        <f>'F3 - ULD'!G9</f>
        <v>-2595.6776221681494</v>
      </c>
    </row>
    <row r="121" spans="1:19" ht="15" customHeight="1">
      <c r="A121" s="234" t="str">
        <f>'Front Sheet and Checklist'!$C$5</f>
        <v>Swansea Bay UHB</v>
      </c>
      <c r="B121" s="234" t="s">
        <v>372</v>
      </c>
      <c r="C121" s="235" t="str">
        <f>'F3 - ULD'!$F$1</f>
        <v>Underlying Deficit Split</v>
      </c>
      <c r="F121" s="234" t="str">
        <f>'F3 - ULD'!F10</f>
        <v>Commissioned Services - Other</v>
      </c>
      <c r="S121" s="233">
        <f>'F3 - ULD'!G10</f>
        <v>-8871.7597875903302</v>
      </c>
    </row>
    <row r="122" spans="1:19" ht="15" customHeight="1">
      <c r="A122" s="234" t="str">
        <f>'Front Sheet and Checklist'!$C$5</f>
        <v>Swansea Bay UHB</v>
      </c>
      <c r="B122" s="234" t="s">
        <v>372</v>
      </c>
      <c r="C122" s="235" t="str">
        <f>'F3 - ULD'!$F$1</f>
        <v>Underlying Deficit Split</v>
      </c>
      <c r="F122" s="234" t="str">
        <f>'F3 - ULD'!F11</f>
        <v>Clinical Support Services</v>
      </c>
      <c r="S122" s="233">
        <f>'F3 - ULD'!G11</f>
        <v>-6604.9451155703682</v>
      </c>
    </row>
    <row r="123" spans="1:19" ht="15" customHeight="1">
      <c r="A123" s="234" t="str">
        <f>'Front Sheet and Checklist'!$C$5</f>
        <v>Swansea Bay UHB</v>
      </c>
      <c r="B123" s="234" t="s">
        <v>372</v>
      </c>
      <c r="C123" s="235" t="str">
        <f>'F3 - ULD'!$F$1</f>
        <v>Underlying Deficit Split</v>
      </c>
      <c r="F123" s="234" t="str">
        <f>'F3 - ULD'!F12</f>
        <v>Non-Clinical Support Services</v>
      </c>
      <c r="S123" s="233">
        <f>'F3 - ULD'!G12</f>
        <v>-5140.8689999999997</v>
      </c>
    </row>
    <row r="124" spans="1:19" ht="15" customHeight="1">
      <c r="A124" s="234" t="str">
        <f>'Front Sheet and Checklist'!$C$5</f>
        <v>Swansea Bay UHB</v>
      </c>
      <c r="B124" s="234" t="s">
        <v>372</v>
      </c>
      <c r="C124" s="235" t="str">
        <f>'F3 - ULD'!$F$1</f>
        <v>Underlying Deficit Split</v>
      </c>
      <c r="F124" s="234" t="str">
        <f>'F3 - ULD'!F13</f>
        <v>Executive / Corporate Areas</v>
      </c>
      <c r="S124" s="233">
        <f>'F3 - ULD'!G13</f>
        <v>0</v>
      </c>
    </row>
    <row r="125" spans="1:19" ht="15" customHeight="1">
      <c r="A125" s="234" t="str">
        <f>'Front Sheet and Checklist'!$C$5</f>
        <v>Swansea Bay UHB</v>
      </c>
      <c r="B125" s="234" t="s">
        <v>372</v>
      </c>
      <c r="C125" s="235" t="str">
        <f>'F3 - ULD'!$F$1</f>
        <v>Underlying Deficit Split</v>
      </c>
      <c r="F125" s="234">
        <f>'F3 - ULD'!F14</f>
        <v>0</v>
      </c>
      <c r="S125" s="233">
        <f>'F3 - ULD'!G14</f>
        <v>0</v>
      </c>
    </row>
    <row r="126" spans="1:19" ht="15" customHeight="1">
      <c r="A126" s="234" t="str">
        <f>'Front Sheet and Checklist'!$C$5</f>
        <v>Swansea Bay UHB</v>
      </c>
      <c r="B126" s="234" t="s">
        <v>372</v>
      </c>
      <c r="C126" s="235" t="str">
        <f>'F3 - ULD'!$F$1</f>
        <v>Underlying Deficit Split</v>
      </c>
      <c r="F126" s="234">
        <f>'F3 - ULD'!F15</f>
        <v>0</v>
      </c>
      <c r="S126" s="233">
        <f>'F3 - ULD'!G15</f>
        <v>0</v>
      </c>
    </row>
    <row r="127" spans="1:19" ht="15" customHeight="1">
      <c r="A127" s="234" t="str">
        <f>'Front Sheet and Checklist'!$C$5</f>
        <v>Swansea Bay UHB</v>
      </c>
      <c r="B127" s="234" t="s">
        <v>372</v>
      </c>
      <c r="C127" s="235" t="str">
        <f>'F3 - ULD'!$F$1</f>
        <v>Underlying Deficit Split</v>
      </c>
      <c r="F127" s="234">
        <f>'F3 - ULD'!F17</f>
        <v>0</v>
      </c>
      <c r="S127" s="233">
        <f>'F3 - ULD'!G17</f>
        <v>0</v>
      </c>
    </row>
    <row r="128" spans="1:19" ht="15" customHeight="1">
      <c r="A128" s="234" t="str">
        <f>'Front Sheet and Checklist'!$C$5</f>
        <v>Swansea Bay UHB</v>
      </c>
      <c r="B128" s="234" t="s">
        <v>372</v>
      </c>
      <c r="C128" s="235" t="str">
        <f>'F3 - ULD'!$F$1</f>
        <v>Underlying Deficit Split</v>
      </c>
      <c r="F128" s="234">
        <f>'F3 - ULD'!F18</f>
        <v>0</v>
      </c>
      <c r="S128" s="233">
        <f>'F3 - ULD'!G18</f>
        <v>0</v>
      </c>
    </row>
    <row r="129" spans="1:40" ht="15" customHeight="1">
      <c r="A129" s="234" t="str">
        <f>'Front Sheet and Checklist'!$C$5</f>
        <v>Swansea Bay UHB</v>
      </c>
      <c r="B129" s="234" t="s">
        <v>372</v>
      </c>
      <c r="C129" s="235" t="str">
        <f>'F3 - ULD'!$F$1</f>
        <v>Underlying Deficit Split</v>
      </c>
      <c r="F129" s="234">
        <f>'F3 - ULD'!F19</f>
        <v>0</v>
      </c>
      <c r="S129" s="233">
        <f>'F3 - ULD'!G19</f>
        <v>0</v>
      </c>
    </row>
    <row r="130" spans="1:40" ht="15" customHeight="1">
      <c r="A130" s="234" t="str">
        <f>'Front Sheet and Checklist'!$C$5</f>
        <v>Swansea Bay UHB</v>
      </c>
      <c r="B130" s="234" t="s">
        <v>372</v>
      </c>
      <c r="C130" s="235" t="str">
        <f>'F3 - ULD'!$F$1</f>
        <v>Underlying Deficit Split</v>
      </c>
      <c r="F130" s="234">
        <f>'F3 - ULD'!F20</f>
        <v>0</v>
      </c>
      <c r="S130" s="233">
        <f>'F3 - ULD'!G20</f>
        <v>0</v>
      </c>
    </row>
    <row r="131" spans="1:40" ht="15" customHeight="1">
      <c r="A131" s="234" t="str">
        <f>'Front Sheet and Checklist'!$C$5</f>
        <v>Swansea Bay UHB</v>
      </c>
      <c r="B131" s="234" t="s">
        <v>372</v>
      </c>
      <c r="C131" s="235" t="str">
        <f>'F3 - ULD'!$F$1</f>
        <v>Underlying Deficit Split</v>
      </c>
      <c r="F131" s="234">
        <f>'F3 - ULD'!F21</f>
        <v>0</v>
      </c>
      <c r="S131" s="233">
        <f>'F3 - ULD'!G21</f>
        <v>0</v>
      </c>
    </row>
    <row r="132" spans="1:40" ht="15" customHeight="1">
      <c r="A132" s="234" t="str">
        <f>'Front Sheet and Checklist'!$C$5</f>
        <v>Swansea Bay UHB</v>
      </c>
      <c r="B132" s="234" t="s">
        <v>372</v>
      </c>
      <c r="C132" s="235" t="str">
        <f>'F3 - ULD'!$F$1</f>
        <v>Underlying Deficit Split</v>
      </c>
      <c r="F132" s="234">
        <f>'F3 - ULD'!F22</f>
        <v>0</v>
      </c>
      <c r="S132" s="233">
        <f>'F3 - ULD'!G22</f>
        <v>0</v>
      </c>
    </row>
    <row r="133" spans="1:40" ht="15" customHeight="1">
      <c r="A133" s="234" t="str">
        <f>'Front Sheet and Checklist'!$C$5</f>
        <v>Swansea Bay UHB</v>
      </c>
      <c r="B133" s="234" t="s">
        <v>372</v>
      </c>
      <c r="C133" s="235" t="str">
        <f>'F3 - ULD'!$F$1</f>
        <v>Underlying Deficit Split</v>
      </c>
      <c r="F133" s="234">
        <f>'F3 - ULD'!F23</f>
        <v>0</v>
      </c>
      <c r="S133" s="233">
        <f>'F3 - ULD'!G23</f>
        <v>0</v>
      </c>
    </row>
    <row r="134" spans="1:40" ht="15" customHeight="1">
      <c r="A134" s="234" t="str">
        <f>'Front Sheet and Checklist'!$C$5</f>
        <v>Swansea Bay UHB</v>
      </c>
      <c r="B134" s="234" t="s">
        <v>372</v>
      </c>
      <c r="C134" s="235" t="str">
        <f>'F3 - ULD'!$F$1</f>
        <v>Underlying Deficit Split</v>
      </c>
      <c r="F134" s="234">
        <f>'F3 - ULD'!F24</f>
        <v>0</v>
      </c>
      <c r="S134" s="233">
        <f>'F3 - ULD'!G24</f>
        <v>0</v>
      </c>
    </row>
    <row r="135" spans="1:40" ht="15" customHeight="1">
      <c r="A135" s="234" t="str">
        <f>'Front Sheet and Checklist'!$C$5</f>
        <v>Swansea Bay UHB</v>
      </c>
      <c r="B135" s="234" t="s">
        <v>372</v>
      </c>
      <c r="C135" s="235" t="str">
        <f>'F3 - ULD'!$F$1</f>
        <v>Underlying Deficit Split</v>
      </c>
      <c r="E135" s="234" t="s">
        <v>268</v>
      </c>
      <c r="F135" s="234" t="str">
        <f>'F3 - ULD'!F16</f>
        <v>ULD</v>
      </c>
      <c r="S135" s="233">
        <f>'F3 - ULD'!G16</f>
        <v>-54893.870787590327</v>
      </c>
    </row>
    <row r="136" spans="1:40" ht="15" customHeight="1">
      <c r="A136" s="234" t="str">
        <f>'Front Sheet and Checklist'!$C$5</f>
        <v>Swansea Bay UHB</v>
      </c>
      <c r="B136" s="234" t="s">
        <v>373</v>
      </c>
      <c r="C136" s="235" t="str">
        <f>'F4 - Funding Assumptions'!$B$5</f>
        <v>Allocation Letter Revenue Funding</v>
      </c>
      <c r="F136" s="234" t="str">
        <f>'F4 - Funding Assumptions'!B6</f>
        <v>Recurrent HCHS and Prescribing Discretionary Allocation (Allocation Letter Table A)</v>
      </c>
      <c r="S136" s="233">
        <f>'F4 - Funding Assumptions'!C6</f>
        <v>820692</v>
      </c>
      <c r="AM136" s="233">
        <f>'F4 - Funding Assumptions'!E6</f>
        <v>0</v>
      </c>
      <c r="AN136" s="233">
        <f>'F4 - Funding Assumptions'!F6</f>
        <v>0</v>
      </c>
    </row>
    <row r="137" spans="1:40" ht="15" customHeight="1">
      <c r="A137" s="234" t="str">
        <f>'Front Sheet and Checklist'!$C$5</f>
        <v>Swansea Bay UHB</v>
      </c>
      <c r="B137" s="234" t="s">
        <v>373</v>
      </c>
      <c r="C137" s="235" t="str">
        <f>'F4 - Funding Assumptions'!$B$5</f>
        <v>Allocation Letter Revenue Funding</v>
      </c>
      <c r="F137" s="234" t="str">
        <f>'F4 - Funding Assumptions'!B7</f>
        <v>Protected and Ring Fenced Revenue Allocations (Allocation Letter Table B1)</v>
      </c>
      <c r="S137" s="233">
        <f>'F4 - Funding Assumptions'!C7</f>
        <v>212221</v>
      </c>
      <c r="AM137" s="233">
        <f>'F4 - Funding Assumptions'!E7</f>
        <v>0</v>
      </c>
      <c r="AN137" s="233">
        <f>'F4 - Funding Assumptions'!F7</f>
        <v>0</v>
      </c>
    </row>
    <row r="138" spans="1:40" ht="15" customHeight="1">
      <c r="A138" s="234" t="str">
        <f>'Front Sheet and Checklist'!$C$5</f>
        <v>Swansea Bay UHB</v>
      </c>
      <c r="B138" s="234" t="s">
        <v>373</v>
      </c>
      <c r="C138" s="235" t="str">
        <f>'F4 - Funding Assumptions'!$B$5</f>
        <v>Allocation Letter Revenue Funding</v>
      </c>
      <c r="F138" s="234" t="str">
        <f>'F4 - Funding Assumptions'!B8</f>
        <v>Directed Expenditure (Allocation Letter Table B2)</v>
      </c>
      <c r="S138" s="233">
        <f>'F4 - Funding Assumptions'!C8</f>
        <v>9964</v>
      </c>
      <c r="AM138" s="233">
        <f>'F4 - Funding Assumptions'!E8</f>
        <v>0</v>
      </c>
      <c r="AN138" s="233">
        <f>'F4 - Funding Assumptions'!F8</f>
        <v>0</v>
      </c>
    </row>
    <row r="139" spans="1:40" ht="15" customHeight="1">
      <c r="A139" s="234" t="str">
        <f>'Front Sheet and Checklist'!$C$5</f>
        <v>Swansea Bay UHB</v>
      </c>
      <c r="B139" s="234" t="s">
        <v>373</v>
      </c>
      <c r="C139" s="235" t="str">
        <f>'F4 - Funding Assumptions'!$B$5</f>
        <v>Allocation Letter Revenue Funding</v>
      </c>
      <c r="F139" s="234" t="str">
        <f>'F4 - Funding Assumptions'!B9</f>
        <v>GMS Contract (Allocation Letter Table C)</v>
      </c>
      <c r="S139" s="233">
        <f>'F4 - Funding Assumptions'!C9</f>
        <v>69396</v>
      </c>
      <c r="AM139" s="233">
        <f>'F4 - Funding Assumptions'!E9</f>
        <v>0</v>
      </c>
      <c r="AN139" s="233">
        <f>'F4 - Funding Assumptions'!F9</f>
        <v>0</v>
      </c>
    </row>
    <row r="140" spans="1:40" ht="15" customHeight="1">
      <c r="A140" s="234" t="str">
        <f>'Front Sheet and Checklist'!$C$5</f>
        <v>Swansea Bay UHB</v>
      </c>
      <c r="B140" s="234" t="s">
        <v>373</v>
      </c>
      <c r="C140" s="235" t="str">
        <f>'F4 - Funding Assumptions'!$B$5</f>
        <v>Allocation Letter Revenue Funding</v>
      </c>
      <c r="F140" s="234" t="str">
        <f>'F4 - Funding Assumptions'!B10</f>
        <v>Pharmacy Contract Funding (Allocation Letter Table E)</v>
      </c>
      <c r="S140" s="233">
        <f>'F4 - Funding Assumptions'!C10</f>
        <v>23273</v>
      </c>
      <c r="AM140" s="233">
        <f>'F4 - Funding Assumptions'!E10</f>
        <v>0</v>
      </c>
      <c r="AN140" s="233">
        <f>'F4 - Funding Assumptions'!F10</f>
        <v>0</v>
      </c>
    </row>
    <row r="141" spans="1:40" ht="15" customHeight="1">
      <c r="A141" s="234" t="str">
        <f>'Front Sheet and Checklist'!$C$5</f>
        <v>Swansea Bay UHB</v>
      </c>
      <c r="B141" s="234" t="s">
        <v>373</v>
      </c>
      <c r="C141" s="235" t="str">
        <f>'F4 - Funding Assumptions'!$B$5</f>
        <v>Allocation Letter Revenue Funding</v>
      </c>
      <c r="F141" s="234" t="str">
        <f>'F4 - Funding Assumptions'!B11</f>
        <v>Dental Contract  (Allocation Letter Table F)</v>
      </c>
      <c r="S141" s="233">
        <f>'F4 - Funding Assumptions'!C11</f>
        <v>25112</v>
      </c>
      <c r="AM141" s="233">
        <f>'F4 - Funding Assumptions'!E11</f>
        <v>0</v>
      </c>
      <c r="AN141" s="233">
        <f>'F4 - Funding Assumptions'!F11</f>
        <v>0</v>
      </c>
    </row>
    <row r="142" spans="1:40" ht="15" customHeight="1">
      <c r="A142" s="234" t="str">
        <f>'Front Sheet and Checklist'!$C$5</f>
        <v>Swansea Bay UHB</v>
      </c>
      <c r="B142" s="234" t="s">
        <v>373</v>
      </c>
      <c r="C142" s="235" t="str">
        <f>'F4 - Funding Assumptions'!$B$5</f>
        <v>Allocation Letter Revenue Funding</v>
      </c>
      <c r="F142" s="234">
        <f>'F4 - Funding Assumptions'!B12</f>
        <v>0</v>
      </c>
      <c r="S142" s="233">
        <f>'F4 - Funding Assumptions'!C12</f>
        <v>0</v>
      </c>
      <c r="AM142" s="233">
        <f>'F4 - Funding Assumptions'!E12</f>
        <v>0</v>
      </c>
      <c r="AN142" s="233">
        <f>'F4 - Funding Assumptions'!F12</f>
        <v>0</v>
      </c>
    </row>
    <row r="143" spans="1:40" ht="15" customHeight="1">
      <c r="A143" s="234" t="str">
        <f>'Front Sheet and Checklist'!$C$5</f>
        <v>Swansea Bay UHB</v>
      </c>
      <c r="B143" s="234" t="s">
        <v>373</v>
      </c>
      <c r="C143" s="235" t="str">
        <f>'F4 - Funding Assumptions'!$B$5</f>
        <v>Allocation Letter Revenue Funding</v>
      </c>
      <c r="F143" s="234" t="str">
        <f>'F4 - Funding Assumptions'!B13</f>
        <v>Other (please outline)</v>
      </c>
      <c r="S143" s="233">
        <f>'F4 - Funding Assumptions'!C13</f>
        <v>0</v>
      </c>
      <c r="AM143" s="233">
        <f>'F4 - Funding Assumptions'!E13</f>
        <v>0</v>
      </c>
      <c r="AN143" s="233">
        <f>'F4 - Funding Assumptions'!F13</f>
        <v>0</v>
      </c>
    </row>
    <row r="144" spans="1:40" ht="15" customHeight="1">
      <c r="A144" s="234" t="str">
        <f>'Front Sheet and Checklist'!$C$5</f>
        <v>Swansea Bay UHB</v>
      </c>
      <c r="B144" s="234" t="s">
        <v>373</v>
      </c>
      <c r="C144" s="235" t="str">
        <f>'F4 - Funding Assumptions'!$B$5</f>
        <v>Allocation Letter Revenue Funding</v>
      </c>
      <c r="E144" s="234" t="s">
        <v>268</v>
      </c>
      <c r="F144" s="234" t="str">
        <f>'F4 - Funding Assumptions'!B14</f>
        <v>Total WG AGREED REVENUE RESOURCE LIMIT /INCOME as per allocation paper</v>
      </c>
      <c r="S144" s="233">
        <f>'F4 - Funding Assumptions'!C14</f>
        <v>1160658</v>
      </c>
      <c r="AM144" s="233">
        <f>'F4 - Funding Assumptions'!E14</f>
        <v>42426</v>
      </c>
      <c r="AN144" s="233">
        <f>'F4 - Funding Assumptions'!F14</f>
        <v>42426</v>
      </c>
    </row>
    <row r="145" spans="1:40" ht="15" customHeight="1">
      <c r="A145" s="234" t="str">
        <f>'Front Sheet and Checklist'!$C$5</f>
        <v>Swansea Bay UHB</v>
      </c>
      <c r="B145" s="234" t="s">
        <v>373</v>
      </c>
      <c r="C145" s="235" t="str">
        <f>'F4 - Funding Assumptions'!$B$5</f>
        <v>Allocation Letter Revenue Funding</v>
      </c>
      <c r="F145" s="234">
        <f>'F4 - Funding Assumptions'!B15</f>
        <v>0</v>
      </c>
      <c r="S145" s="233">
        <f>'F4 - Funding Assumptions'!C15</f>
        <v>0</v>
      </c>
      <c r="AM145" s="233">
        <f>'F4 - Funding Assumptions'!E15</f>
        <v>0</v>
      </c>
      <c r="AN145" s="233">
        <f>'F4 - Funding Assumptions'!F15</f>
        <v>0</v>
      </c>
    </row>
    <row r="146" spans="1:40" ht="15" customHeight="1">
      <c r="A146" s="234" t="str">
        <f>'Front Sheet and Checklist'!$C$5</f>
        <v>Swansea Bay UHB</v>
      </c>
      <c r="B146" s="234" t="s">
        <v>373</v>
      </c>
      <c r="C146" s="235" t="str">
        <f>'F4 - Funding Assumptions'!$B$5</f>
        <v>Allocation Letter Revenue Funding</v>
      </c>
      <c r="F146" s="234" t="str">
        <f>'F4 - Funding Assumptions'!B16</f>
        <v>OTHER WG REVENUE FUNDING ASSUMPTION</v>
      </c>
      <c r="S146" s="233">
        <f>'F4 - Funding Assumptions'!C16</f>
        <v>0</v>
      </c>
      <c r="AM146" s="233">
        <f>'F4 - Funding Assumptions'!E16</f>
        <v>0</v>
      </c>
      <c r="AN146" s="233">
        <f>'F4 - Funding Assumptions'!F16</f>
        <v>0</v>
      </c>
    </row>
    <row r="147" spans="1:40" ht="15" customHeight="1">
      <c r="A147" s="234" t="str">
        <f>'Front Sheet and Checklist'!$C$5</f>
        <v>Swansea Bay UHB</v>
      </c>
      <c r="B147" s="234" t="s">
        <v>373</v>
      </c>
      <c r="C147" s="235" t="str">
        <f>'F4 - Funding Assumptions'!$B$5</f>
        <v>Allocation Letter Revenue Funding</v>
      </c>
      <c r="F147" s="234" t="str">
        <f>'F4 - Funding Assumptions'!B17</f>
        <v>Real Living Wage (2022/23 and 2023/24)</v>
      </c>
      <c r="S147" s="233">
        <f>'F4 - Funding Assumptions'!C17</f>
        <v>0</v>
      </c>
      <c r="AM147" s="233">
        <f>'F4 - Funding Assumptions'!E17</f>
        <v>0</v>
      </c>
      <c r="AN147" s="233">
        <f>'F4 - Funding Assumptions'!F17</f>
        <v>0</v>
      </c>
    </row>
    <row r="148" spans="1:40" ht="15" customHeight="1">
      <c r="A148" s="234" t="str">
        <f>'Front Sheet and Checklist'!$C$5</f>
        <v>Swansea Bay UHB</v>
      </c>
      <c r="B148" s="234" t="s">
        <v>373</v>
      </c>
      <c r="C148" s="235" t="str">
        <f>'F4 - Funding Assumptions'!$B$5</f>
        <v>Allocation Letter Revenue Funding</v>
      </c>
      <c r="F148" s="234" t="str">
        <f>'F4 - Funding Assumptions'!B18</f>
        <v>Real Living Wage (2024/25)</v>
      </c>
      <c r="S148" s="233">
        <f>'F4 - Funding Assumptions'!C18</f>
        <v>3187</v>
      </c>
      <c r="AM148" s="233">
        <f>'F4 - Funding Assumptions'!E18</f>
        <v>0</v>
      </c>
      <c r="AN148" s="233">
        <f>'F4 - Funding Assumptions'!F18</f>
        <v>0</v>
      </c>
    </row>
    <row r="149" spans="1:40" ht="15" customHeight="1">
      <c r="A149" s="234" t="str">
        <f>'Front Sheet and Checklist'!$C$5</f>
        <v>Swansea Bay UHB</v>
      </c>
      <c r="B149" s="234" t="s">
        <v>373</v>
      </c>
      <c r="C149" s="235" t="str">
        <f>'F4 - Funding Assumptions'!$B$5</f>
        <v>Allocation Letter Revenue Funding</v>
      </c>
      <c r="F149" s="234" t="str">
        <f>'F4 - Funding Assumptions'!B19</f>
        <v>Regional Integration Fund</v>
      </c>
      <c r="S149" s="233">
        <f>'F4 - Funding Assumptions'!C19</f>
        <v>0</v>
      </c>
      <c r="AM149" s="233">
        <f>'F4 - Funding Assumptions'!E19</f>
        <v>0</v>
      </c>
      <c r="AN149" s="233">
        <f>'F4 - Funding Assumptions'!F19</f>
        <v>0</v>
      </c>
    </row>
    <row r="150" spans="1:40" ht="15" customHeight="1">
      <c r="A150" s="234" t="str">
        <f>'Front Sheet and Checklist'!$C$5</f>
        <v>Swansea Bay UHB</v>
      </c>
      <c r="B150" s="234" t="s">
        <v>373</v>
      </c>
      <c r="C150" s="235" t="str">
        <f>'F4 - Funding Assumptions'!$B$5</f>
        <v>Allocation Letter Revenue Funding</v>
      </c>
      <c r="F150" s="234" t="str">
        <f>'F4 - Funding Assumptions'!B20</f>
        <v>Substance Misuse</v>
      </c>
      <c r="S150" s="233">
        <f>'F4 - Funding Assumptions'!C20</f>
        <v>3173</v>
      </c>
      <c r="AM150" s="233">
        <f>'F4 - Funding Assumptions'!E20</f>
        <v>0</v>
      </c>
      <c r="AN150" s="233">
        <f>'F4 - Funding Assumptions'!F20</f>
        <v>0</v>
      </c>
    </row>
    <row r="151" spans="1:40" ht="15" customHeight="1">
      <c r="A151" s="234" t="str">
        <f>'Front Sheet and Checklist'!$C$5</f>
        <v>Swansea Bay UHB</v>
      </c>
      <c r="B151" s="234" t="s">
        <v>373</v>
      </c>
      <c r="C151" s="235" t="str">
        <f>'F4 - Funding Assumptions'!$B$5</f>
        <v>Allocation Letter Revenue Funding</v>
      </c>
      <c r="F151" s="234" t="str">
        <f>'F4 - Funding Assumptions'!B21</f>
        <v>Same Day Emergency Care (SDEC)</v>
      </c>
      <c r="S151" s="233">
        <f>'F4 - Funding Assumptions'!C21</f>
        <v>2960</v>
      </c>
      <c r="AM151" s="233">
        <f>'F4 - Funding Assumptions'!E21</f>
        <v>0</v>
      </c>
      <c r="AN151" s="233">
        <f>'F4 - Funding Assumptions'!F21</f>
        <v>0</v>
      </c>
    </row>
    <row r="152" spans="1:40" ht="15" customHeight="1">
      <c r="A152" s="234" t="str">
        <f>'Front Sheet and Checklist'!$C$5</f>
        <v>Swansea Bay UHB</v>
      </c>
      <c r="B152" s="234" t="s">
        <v>373</v>
      </c>
      <c r="C152" s="235" t="str">
        <f>'F4 - Funding Assumptions'!$B$5</f>
        <v>Allocation Letter Revenue Funding</v>
      </c>
      <c r="F152" s="234" t="str">
        <f>'F4 - Funding Assumptions'!B22</f>
        <v>Mental Health SIF</v>
      </c>
      <c r="S152" s="233">
        <f>'F4 - Funding Assumptions'!C22</f>
        <v>2732</v>
      </c>
      <c r="AM152" s="233">
        <f>'F4 - Funding Assumptions'!E22</f>
        <v>0</v>
      </c>
      <c r="AN152" s="233">
        <f>'F4 - Funding Assumptions'!F22</f>
        <v>0</v>
      </c>
    </row>
    <row r="153" spans="1:40" ht="15" customHeight="1">
      <c r="A153" s="234" t="str">
        <f>'Front Sheet and Checklist'!$C$5</f>
        <v>Swansea Bay UHB</v>
      </c>
      <c r="B153" s="234" t="s">
        <v>373</v>
      </c>
      <c r="C153" s="235" t="str">
        <f>'F4 - Funding Assumptions'!$B$5</f>
        <v>Allocation Letter Revenue Funding</v>
      </c>
      <c r="F153" s="234" t="str">
        <f>'F4 - Funding Assumptions'!B23</f>
        <v>Clinical Excellence awards</v>
      </c>
      <c r="S153" s="233">
        <f>'F4 - Funding Assumptions'!C23</f>
        <v>602</v>
      </c>
      <c r="AM153" s="233">
        <f>'F4 - Funding Assumptions'!E23</f>
        <v>0</v>
      </c>
      <c r="AN153" s="233">
        <f>'F4 - Funding Assumptions'!F23</f>
        <v>0</v>
      </c>
    </row>
    <row r="154" spans="1:40" ht="15" customHeight="1">
      <c r="A154" s="234" t="str">
        <f>'Front Sheet and Checklist'!$C$5</f>
        <v>Swansea Bay UHB</v>
      </c>
      <c r="B154" s="234" t="s">
        <v>373</v>
      </c>
      <c r="C154" s="235" t="str">
        <f>'F4 - Funding Assumptions'!$B$5</f>
        <v>Allocation Letter Revenue Funding</v>
      </c>
      <c r="F154" s="234" t="str">
        <f>'F4 - Funding Assumptions'!B24</f>
        <v>IM&amp;T Refresh Programme</v>
      </c>
      <c r="S154" s="233">
        <f>'F4 - Funding Assumptions'!C24</f>
        <v>950</v>
      </c>
      <c r="AM154" s="233">
        <f>'F4 - Funding Assumptions'!E24</f>
        <v>0</v>
      </c>
      <c r="AN154" s="233">
        <f>'F4 - Funding Assumptions'!F24</f>
        <v>0</v>
      </c>
    </row>
    <row r="155" spans="1:40" ht="15" customHeight="1">
      <c r="A155" s="234" t="str">
        <f>'Front Sheet and Checklist'!$C$5</f>
        <v>Swansea Bay UHB</v>
      </c>
      <c r="B155" s="234" t="s">
        <v>373</v>
      </c>
      <c r="C155" s="235" t="str">
        <f>'F4 - Funding Assumptions'!$B$5</f>
        <v>Allocation Letter Revenue Funding</v>
      </c>
      <c r="F155" s="234" t="str">
        <f>'F4 - Funding Assumptions'!B25</f>
        <v>Welsh Risk Pool</v>
      </c>
      <c r="S155" s="233">
        <f>'F4 - Funding Assumptions'!C25</f>
        <v>-4098</v>
      </c>
      <c r="AM155" s="233">
        <f>'F4 - Funding Assumptions'!E25</f>
        <v>0</v>
      </c>
      <c r="AN155" s="233">
        <f>'F4 - Funding Assumptions'!F25</f>
        <v>0</v>
      </c>
    </row>
    <row r="156" spans="1:40" ht="15" customHeight="1">
      <c r="A156" s="234" t="str">
        <f>'Front Sheet and Checklist'!$C$5</f>
        <v>Swansea Bay UHB</v>
      </c>
      <c r="B156" s="234" t="s">
        <v>373</v>
      </c>
      <c r="C156" s="235" t="str">
        <f>'F4 - Funding Assumptions'!$B$5</f>
        <v>Allocation Letter Revenue Funding</v>
      </c>
      <c r="F156" s="234" t="str">
        <f>'F4 - Funding Assumptions'!B26</f>
        <v>Calman SpR</v>
      </c>
      <c r="S156" s="233">
        <f>'F4 - Funding Assumptions'!C26</f>
        <v>386</v>
      </c>
      <c r="AM156" s="233">
        <f>'F4 - Funding Assumptions'!E26</f>
        <v>0</v>
      </c>
      <c r="AN156" s="233">
        <f>'F4 - Funding Assumptions'!F26</f>
        <v>0</v>
      </c>
    </row>
    <row r="157" spans="1:40" ht="15" customHeight="1">
      <c r="A157" s="234" t="str">
        <f>'Front Sheet and Checklist'!$C$5</f>
        <v>Swansea Bay UHB</v>
      </c>
      <c r="B157" s="234" t="s">
        <v>373</v>
      </c>
      <c r="C157" s="235" t="str">
        <f>'F4 - Funding Assumptions'!$B$5</f>
        <v>Allocation Letter Revenue Funding</v>
      </c>
      <c r="F157" s="234" t="str">
        <f>'F4 - Funding Assumptions'!B27</f>
        <v>Population Health - AHW:Prevention &amp; Early Years allocation</v>
      </c>
      <c r="S157" s="233">
        <f>'F4 - Funding Assumptions'!C27</f>
        <v>425</v>
      </c>
      <c r="AM157" s="233">
        <f>'F4 - Funding Assumptions'!E27</f>
        <v>0</v>
      </c>
      <c r="AN157" s="233">
        <f>'F4 - Funding Assumptions'!F27</f>
        <v>0</v>
      </c>
    </row>
    <row r="158" spans="1:40" ht="15" customHeight="1">
      <c r="A158" s="234" t="str">
        <f>'Front Sheet and Checklist'!$C$5</f>
        <v>Swansea Bay UHB</v>
      </c>
      <c r="B158" s="234" t="s">
        <v>373</v>
      </c>
      <c r="C158" s="235" t="str">
        <f>'F4 - Funding Assumptions'!$B$5</f>
        <v>Allocation Letter Revenue Funding</v>
      </c>
      <c r="F158" s="234" t="str">
        <f>'F4 - Funding Assumptions'!B28</f>
        <v>CAMHS In Reach Funding / Whole School Approach to EMW Funding</v>
      </c>
      <c r="S158" s="233">
        <f>'F4 - Funding Assumptions'!C28</f>
        <v>59</v>
      </c>
      <c r="AM158" s="233">
        <f>'F4 - Funding Assumptions'!E28</f>
        <v>0</v>
      </c>
      <c r="AN158" s="233">
        <f>'F4 - Funding Assumptions'!F28</f>
        <v>0</v>
      </c>
    </row>
    <row r="159" spans="1:40" ht="15" customHeight="1">
      <c r="A159" s="234" t="str">
        <f>'Front Sheet and Checklist'!$C$5</f>
        <v>Swansea Bay UHB</v>
      </c>
      <c r="B159" s="234" t="s">
        <v>373</v>
      </c>
      <c r="C159" s="235" t="str">
        <f>'F4 - Funding Assumptions'!$B$5</f>
        <v>Allocation Letter Revenue Funding</v>
      </c>
      <c r="F159" s="234" t="str">
        <f>'F4 - Funding Assumptions'!B29</f>
        <v>Memory Assessment Service</v>
      </c>
      <c r="S159" s="233">
        <f>'F4 - Funding Assumptions'!C29</f>
        <v>1556</v>
      </c>
      <c r="AM159" s="233">
        <f>'F4 - Funding Assumptions'!E29</f>
        <v>0</v>
      </c>
      <c r="AN159" s="233">
        <f>'F4 - Funding Assumptions'!F29</f>
        <v>0</v>
      </c>
    </row>
    <row r="160" spans="1:40" ht="15" customHeight="1">
      <c r="A160" s="234" t="str">
        <f>'Front Sheet and Checklist'!$C$5</f>
        <v>Swansea Bay UHB</v>
      </c>
      <c r="B160" s="234" t="s">
        <v>373</v>
      </c>
      <c r="C160" s="235" t="str">
        <f>'F4 - Funding Assumptions'!$B$5</f>
        <v>Allocation Letter Revenue Funding</v>
      </c>
      <c r="F160" s="234" t="str">
        <f>'F4 - Funding Assumptions'!B30</f>
        <v>DPIF</v>
      </c>
      <c r="S160" s="233">
        <f>'F4 - Funding Assumptions'!C30</f>
        <v>0</v>
      </c>
      <c r="AM160" s="233">
        <f>'F4 - Funding Assumptions'!E30</f>
        <v>0</v>
      </c>
      <c r="AN160" s="233">
        <f>'F4 - Funding Assumptions'!F30</f>
        <v>0</v>
      </c>
    </row>
    <row r="161" spans="1:40" ht="15" customHeight="1">
      <c r="A161" s="234" t="str">
        <f>'Front Sheet and Checklist'!$C$5</f>
        <v>Swansea Bay UHB</v>
      </c>
      <c r="B161" s="234" t="s">
        <v>373</v>
      </c>
      <c r="C161" s="235" t="str">
        <f>'F4 - Funding Assumptions'!$B$5</f>
        <v>Allocation Letter Revenue Funding</v>
      </c>
      <c r="F161" s="234" t="str">
        <f>'F4 - Funding Assumptions'!B31</f>
        <v>Planned Care</v>
      </c>
      <c r="S161" s="233">
        <f>'F4 - Funding Assumptions'!C31</f>
        <v>0</v>
      </c>
      <c r="AM161" s="233">
        <f>'F4 - Funding Assumptions'!E31</f>
        <v>0</v>
      </c>
      <c r="AN161" s="233">
        <f>'F4 - Funding Assumptions'!F31</f>
        <v>0</v>
      </c>
    </row>
    <row r="162" spans="1:40" ht="15" customHeight="1">
      <c r="A162" s="234" t="str">
        <f>'Front Sheet and Checklist'!$C$5</f>
        <v>Swansea Bay UHB</v>
      </c>
      <c r="B162" s="234" t="s">
        <v>373</v>
      </c>
      <c r="C162" s="235" t="str">
        <f>'F4 - Funding Assumptions'!$B$5</f>
        <v>Allocation Letter Revenue Funding</v>
      </c>
      <c r="F162" s="234" t="str">
        <f>'F4 - Funding Assumptions'!B32</f>
        <v>Invest to Save</v>
      </c>
      <c r="S162" s="233">
        <f>'F4 - Funding Assumptions'!C32</f>
        <v>0</v>
      </c>
      <c r="AM162" s="233">
        <f>'F4 - Funding Assumptions'!E32</f>
        <v>0</v>
      </c>
      <c r="AN162" s="233">
        <f>'F4 - Funding Assumptions'!F32</f>
        <v>0</v>
      </c>
    </row>
    <row r="163" spans="1:40" ht="15" customHeight="1">
      <c r="A163" s="234" t="str">
        <f>'Front Sheet and Checklist'!$C$5</f>
        <v>Swansea Bay UHB</v>
      </c>
      <c r="B163" s="234" t="s">
        <v>373</v>
      </c>
      <c r="C163" s="235" t="str">
        <f>'F4 - Funding Assumptions'!$B$5</f>
        <v>Allocation Letter Revenue Funding</v>
      </c>
      <c r="F163" s="234" t="str">
        <f>'F4 - Funding Assumptions'!B33</f>
        <v>VBhC in-year bids</v>
      </c>
      <c r="S163" s="233">
        <f>'F4 - Funding Assumptions'!C33</f>
        <v>1471</v>
      </c>
      <c r="AM163" s="233">
        <f>'F4 - Funding Assumptions'!E33</f>
        <v>0</v>
      </c>
      <c r="AN163" s="233">
        <f>'F4 - Funding Assumptions'!F33</f>
        <v>0</v>
      </c>
    </row>
    <row r="164" spans="1:40" ht="15" customHeight="1">
      <c r="A164" s="234" t="str">
        <f>'Front Sheet and Checklist'!$C$5</f>
        <v>Swansea Bay UHB</v>
      </c>
      <c r="B164" s="234" t="s">
        <v>373</v>
      </c>
      <c r="C164" s="235" t="str">
        <f>'F4 - Funding Assumptions'!$B$5</f>
        <v>Allocation Letter Revenue Funding</v>
      </c>
      <c r="F164" s="234" t="str">
        <f>'F4 - Funding Assumptions'!B34</f>
        <v>New M&amp;D Training Posts</v>
      </c>
      <c r="S164" s="233">
        <f>'F4 - Funding Assumptions'!C34</f>
        <v>1313</v>
      </c>
      <c r="AM164" s="233">
        <f>'F4 - Funding Assumptions'!E34</f>
        <v>0</v>
      </c>
      <c r="AN164" s="233">
        <f>'F4 - Funding Assumptions'!F34</f>
        <v>0</v>
      </c>
    </row>
    <row r="165" spans="1:40" ht="15" customHeight="1">
      <c r="A165" s="234" t="str">
        <f>'Front Sheet and Checklist'!$C$5</f>
        <v>Swansea Bay UHB</v>
      </c>
      <c r="B165" s="234" t="s">
        <v>373</v>
      </c>
      <c r="C165" s="235" t="str">
        <f>'F4 - Funding Assumptions'!$B$5</f>
        <v>Allocation Letter Revenue Funding</v>
      </c>
      <c r="F165" s="234" t="str">
        <f>'F4 - Funding Assumptions'!B35</f>
        <v>Vaccination Programme (Shingles)</v>
      </c>
      <c r="S165" s="233">
        <f>'F4 - Funding Assumptions'!C35</f>
        <v>821</v>
      </c>
      <c r="AM165" s="233">
        <f>'F4 - Funding Assumptions'!E35</f>
        <v>0</v>
      </c>
      <c r="AN165" s="233">
        <f>'F4 - Funding Assumptions'!F35</f>
        <v>0</v>
      </c>
    </row>
    <row r="166" spans="1:40" ht="15" customHeight="1">
      <c r="A166" s="234" t="str">
        <f>'Front Sheet and Checklist'!$C$5</f>
        <v>Swansea Bay UHB</v>
      </c>
      <c r="B166" s="234" t="s">
        <v>373</v>
      </c>
      <c r="C166" s="235" t="str">
        <f>'F4 - Funding Assumptions'!$B$5</f>
        <v>Allocation Letter Revenue Funding</v>
      </c>
      <c r="F166" s="234" t="str">
        <f>'F4 - Funding Assumptions'!B36</f>
        <v>Genomics</v>
      </c>
      <c r="S166" s="233">
        <f>'F4 - Funding Assumptions'!C36</f>
        <v>1229</v>
      </c>
      <c r="AM166" s="233">
        <f>'F4 - Funding Assumptions'!E36</f>
        <v>0</v>
      </c>
      <c r="AN166" s="233">
        <f>'F4 - Funding Assumptions'!F36</f>
        <v>0</v>
      </c>
    </row>
    <row r="167" spans="1:40" ht="15" customHeight="1">
      <c r="A167" s="234" t="str">
        <f>'Front Sheet and Checklist'!$C$5</f>
        <v>Swansea Bay UHB</v>
      </c>
      <c r="B167" s="234" t="s">
        <v>373</v>
      </c>
      <c r="C167" s="235" t="str">
        <f>'F4 - Funding Assumptions'!$B$5</f>
        <v>Allocation Letter Revenue Funding</v>
      </c>
      <c r="F167" s="234" t="str">
        <f>'F4 - Funding Assumptions'!B37</f>
        <v>Advanced Medicinal Products (ATMP)</v>
      </c>
      <c r="S167" s="233">
        <f>'F4 - Funding Assumptions'!C37</f>
        <v>0</v>
      </c>
      <c r="AM167" s="233">
        <f>'F4 - Funding Assumptions'!E37</f>
        <v>0</v>
      </c>
      <c r="AN167" s="233">
        <f>'F4 - Funding Assumptions'!F37</f>
        <v>0</v>
      </c>
    </row>
    <row r="168" spans="1:40" ht="15" customHeight="1">
      <c r="A168" s="234" t="str">
        <f>'Front Sheet and Checklist'!$C$5</f>
        <v>Swansea Bay UHB</v>
      </c>
      <c r="B168" s="234" t="s">
        <v>373</v>
      </c>
      <c r="C168" s="235" t="str">
        <f>'F4 - Funding Assumptions'!$B$5</f>
        <v>Allocation Letter Revenue Funding</v>
      </c>
      <c r="F168" s="234" t="str">
        <f>'F4 - Funding Assumptions'!B38</f>
        <v>Collaborative Kidney Care</v>
      </c>
      <c r="S168" s="233">
        <f>'F4 - Funding Assumptions'!C38</f>
        <v>275</v>
      </c>
      <c r="AM168" s="233">
        <f>'F4 - Funding Assumptions'!E38</f>
        <v>0</v>
      </c>
      <c r="AN168" s="233">
        <f>'F4 - Funding Assumptions'!F38</f>
        <v>0</v>
      </c>
    </row>
    <row r="169" spans="1:40" ht="15" customHeight="1">
      <c r="A169" s="234" t="str">
        <f>'Front Sheet and Checklist'!$C$5</f>
        <v>Swansea Bay UHB</v>
      </c>
      <c r="B169" s="234" t="s">
        <v>373</v>
      </c>
      <c r="C169" s="235" t="str">
        <f>'F4 - Funding Assumptions'!$B$5</f>
        <v>Allocation Letter Revenue Funding</v>
      </c>
      <c r="F169" s="234" t="str">
        <f>'F4 - Funding Assumptions'!B39</f>
        <v>Dedicated Nurse Staffing Levels</v>
      </c>
      <c r="S169" s="233">
        <f>'F4 - Funding Assumptions'!C39</f>
        <v>33</v>
      </c>
      <c r="AM169" s="233">
        <f>'F4 - Funding Assumptions'!E39</f>
        <v>0</v>
      </c>
      <c r="AN169" s="233">
        <f>'F4 - Funding Assumptions'!F39</f>
        <v>0</v>
      </c>
    </row>
    <row r="170" spans="1:40" ht="15" customHeight="1">
      <c r="A170" s="234" t="str">
        <f>'Front Sheet and Checklist'!$C$5</f>
        <v>Swansea Bay UHB</v>
      </c>
      <c r="B170" s="234" t="s">
        <v>373</v>
      </c>
      <c r="C170" s="235" t="str">
        <f>'F4 - Funding Assumptions'!$B$5</f>
        <v>Allocation Letter Revenue Funding</v>
      </c>
      <c r="F170" s="234" t="str">
        <f>'F4 - Funding Assumptions'!B40</f>
        <v>Digital Maternity Cymru (DMC) Programme</v>
      </c>
      <c r="S170" s="233">
        <f>'F4 - Funding Assumptions'!C40</f>
        <v>70</v>
      </c>
      <c r="AM170" s="233">
        <f>'F4 - Funding Assumptions'!E40</f>
        <v>0</v>
      </c>
      <c r="AN170" s="233">
        <f>'F4 - Funding Assumptions'!F40</f>
        <v>0</v>
      </c>
    </row>
    <row r="171" spans="1:40" ht="15" customHeight="1">
      <c r="A171" s="234" t="str">
        <f>'Front Sheet and Checklist'!$C$5</f>
        <v>Swansea Bay UHB</v>
      </c>
      <c r="B171" s="234" t="s">
        <v>373</v>
      </c>
      <c r="C171" s="235" t="str">
        <f>'F4 - Funding Assumptions'!$B$5</f>
        <v>Allocation Letter Revenue Funding</v>
      </c>
      <c r="F171" s="234" t="str">
        <f>'F4 - Funding Assumptions'!B41</f>
        <v>Improving Lives Programme</v>
      </c>
      <c r="S171" s="233">
        <f>'F4 - Funding Assumptions'!C41</f>
        <v>50</v>
      </c>
      <c r="AM171" s="233">
        <f>'F4 - Funding Assumptions'!E41</f>
        <v>0</v>
      </c>
      <c r="AN171" s="233">
        <f>'F4 - Funding Assumptions'!F41</f>
        <v>0</v>
      </c>
    </row>
    <row r="172" spans="1:40" ht="15" customHeight="1">
      <c r="A172" s="234" t="str">
        <f>'Front Sheet and Checklist'!$C$5</f>
        <v>Swansea Bay UHB</v>
      </c>
      <c r="B172" s="234" t="s">
        <v>373</v>
      </c>
      <c r="C172" s="235" t="str">
        <f>'F4 - Funding Assumptions'!$B$5</f>
        <v>Allocation Letter Revenue Funding</v>
      </c>
      <c r="F172" s="234" t="str">
        <f>'F4 - Funding Assumptions'!B42</f>
        <v>Learning Disability - Improving Lives Programme</v>
      </c>
      <c r="S172" s="233">
        <f>'F4 - Funding Assumptions'!C42</f>
        <v>64</v>
      </c>
      <c r="AM172" s="233">
        <f>'F4 - Funding Assumptions'!E42</f>
        <v>0</v>
      </c>
      <c r="AN172" s="233">
        <f>'F4 - Funding Assumptions'!F42</f>
        <v>0</v>
      </c>
    </row>
    <row r="173" spans="1:40" ht="15" customHeight="1">
      <c r="A173" s="234" t="str">
        <f>'Front Sheet and Checklist'!$C$5</f>
        <v>Swansea Bay UHB</v>
      </c>
      <c r="B173" s="234" t="s">
        <v>373</v>
      </c>
      <c r="C173" s="235" t="str">
        <f>'F4 - Funding Assumptions'!$B$5</f>
        <v>Allocation Letter Revenue Funding</v>
      </c>
      <c r="F173" s="234" t="str">
        <f>'F4 - Funding Assumptions'!B43</f>
        <v>Mental Health Santuary Provision</v>
      </c>
      <c r="S173" s="233">
        <f>'F4 - Funding Assumptions'!C43</f>
        <v>549</v>
      </c>
      <c r="AM173" s="233">
        <f>'F4 - Funding Assumptions'!E43</f>
        <v>0</v>
      </c>
      <c r="AN173" s="233">
        <f>'F4 - Funding Assumptions'!F43</f>
        <v>0</v>
      </c>
    </row>
    <row r="174" spans="1:40" ht="15" customHeight="1">
      <c r="A174" s="234" t="str">
        <f>'Front Sheet and Checklist'!$C$5</f>
        <v>Swansea Bay UHB</v>
      </c>
      <c r="B174" s="234" t="s">
        <v>373</v>
      </c>
      <c r="C174" s="235" t="str">
        <f>'F4 - Funding Assumptions'!$B$5</f>
        <v>Allocation Letter Revenue Funding</v>
      </c>
      <c r="F174" s="234" t="str">
        <f>'F4 - Funding Assumptions'!B44</f>
        <v>National Lymphoedema Network</v>
      </c>
      <c r="S174" s="233">
        <f>'F4 - Funding Assumptions'!C44</f>
        <v>170</v>
      </c>
      <c r="AM174" s="233">
        <f>'F4 - Funding Assumptions'!E44</f>
        <v>0</v>
      </c>
      <c r="AN174" s="233">
        <f>'F4 - Funding Assumptions'!F44</f>
        <v>0</v>
      </c>
    </row>
    <row r="175" spans="1:40" ht="15" customHeight="1">
      <c r="A175" s="234" t="str">
        <f>'Front Sheet and Checklist'!$C$5</f>
        <v>Swansea Bay UHB</v>
      </c>
      <c r="B175" s="234" t="s">
        <v>373</v>
      </c>
      <c r="C175" s="235" t="str">
        <f>'F4 - Funding Assumptions'!$B$5</f>
        <v>Allocation Letter Revenue Funding</v>
      </c>
      <c r="F175" s="234" t="str">
        <f>'F4 - Funding Assumptions'!B45</f>
        <v>Neighbourhood District Nursing</v>
      </c>
      <c r="S175" s="233">
        <f>'F4 - Funding Assumptions'!C45</f>
        <v>182</v>
      </c>
      <c r="AM175" s="233">
        <f>'F4 - Funding Assumptions'!E45</f>
        <v>0</v>
      </c>
      <c r="AN175" s="233">
        <f>'F4 - Funding Assumptions'!F45</f>
        <v>0</v>
      </c>
    </row>
    <row r="176" spans="1:40" ht="15" customHeight="1">
      <c r="A176" s="234" t="str">
        <f>'Front Sheet and Checklist'!$C$5</f>
        <v>Swansea Bay UHB</v>
      </c>
      <c r="B176" s="234" t="s">
        <v>373</v>
      </c>
      <c r="C176" s="235" t="str">
        <f>'F4 - Funding Assumptions'!$B$5</f>
        <v>Allocation Letter Revenue Funding</v>
      </c>
      <c r="F176" s="234" t="str">
        <f>'F4 - Funding Assumptions'!B46</f>
        <v>Welsh Nursing Care Record (WNCR)</v>
      </c>
      <c r="S176" s="233">
        <f>'F4 - Funding Assumptions'!C46</f>
        <v>69</v>
      </c>
      <c r="AM176" s="233">
        <f>'F4 - Funding Assumptions'!E46</f>
        <v>0</v>
      </c>
      <c r="AN176" s="233">
        <f>'F4 - Funding Assumptions'!F46</f>
        <v>0</v>
      </c>
    </row>
    <row r="177" spans="1:40" ht="15" customHeight="1">
      <c r="A177" s="234" t="str">
        <f>'Front Sheet and Checklist'!$C$5</f>
        <v>Swansea Bay UHB</v>
      </c>
      <c r="B177" s="234" t="s">
        <v>373</v>
      </c>
      <c r="C177" s="235" t="str">
        <f>'F4 - Funding Assumptions'!$B$5</f>
        <v>Allocation Letter Revenue Funding</v>
      </c>
      <c r="F177" s="234" t="str">
        <f>'F4 - Funding Assumptions'!B47</f>
        <v>Recurrent 2023/24 Pay Award</v>
      </c>
      <c r="S177" s="233">
        <f>'F4 - Funding Assumptions'!C47</f>
        <v>40771.111111111109</v>
      </c>
      <c r="AM177" s="233">
        <f>'F4 - Funding Assumptions'!E47</f>
        <v>0</v>
      </c>
      <c r="AN177" s="233">
        <f>'F4 - Funding Assumptions'!F47</f>
        <v>0</v>
      </c>
    </row>
    <row r="178" spans="1:40" ht="15" customHeight="1">
      <c r="A178" s="234" t="str">
        <f>'Front Sheet and Checklist'!$C$5</f>
        <v>Swansea Bay UHB</v>
      </c>
      <c r="B178" s="234" t="s">
        <v>373</v>
      </c>
      <c r="C178" s="235" t="str">
        <f>'F4 - Funding Assumptions'!$B$5</f>
        <v>Allocation Letter Revenue Funding</v>
      </c>
      <c r="F178" s="234">
        <f>'F4 - Funding Assumptions'!B48</f>
        <v>0</v>
      </c>
      <c r="S178" s="233">
        <f>'F4 - Funding Assumptions'!C48</f>
        <v>0</v>
      </c>
      <c r="AM178" s="233">
        <f>'F4 - Funding Assumptions'!E48</f>
        <v>0</v>
      </c>
      <c r="AN178" s="233">
        <f>'F4 - Funding Assumptions'!F48</f>
        <v>0</v>
      </c>
    </row>
    <row r="179" spans="1:40" ht="15" customHeight="1">
      <c r="A179" s="234" t="str">
        <f>'Front Sheet and Checklist'!$C$5</f>
        <v>Swansea Bay UHB</v>
      </c>
      <c r="B179" s="234" t="s">
        <v>373</v>
      </c>
      <c r="C179" s="235" t="str">
        <f>'F4 - Funding Assumptions'!$B$5</f>
        <v>Allocation Letter Revenue Funding</v>
      </c>
      <c r="F179" s="234">
        <f>'F4 - Funding Assumptions'!B49</f>
        <v>0</v>
      </c>
      <c r="S179" s="233">
        <f>'F4 - Funding Assumptions'!C49</f>
        <v>0</v>
      </c>
      <c r="AM179" s="233">
        <f>'F4 - Funding Assumptions'!E49</f>
        <v>0</v>
      </c>
      <c r="AN179" s="233">
        <f>'F4 - Funding Assumptions'!F49</f>
        <v>0</v>
      </c>
    </row>
    <row r="180" spans="1:40" ht="15" customHeight="1">
      <c r="A180" s="234" t="str">
        <f>'Front Sheet and Checklist'!$C$5</f>
        <v>Swansea Bay UHB</v>
      </c>
      <c r="B180" s="234" t="s">
        <v>373</v>
      </c>
      <c r="C180" s="235" t="str">
        <f>'F4 - Funding Assumptions'!$B$5</f>
        <v>Allocation Letter Revenue Funding</v>
      </c>
      <c r="F180" s="234">
        <f>'F4 - Funding Assumptions'!B50</f>
        <v>0</v>
      </c>
      <c r="S180" s="233">
        <f>'F4 - Funding Assumptions'!C50</f>
        <v>0</v>
      </c>
      <c r="AM180" s="233">
        <f>'F4 - Funding Assumptions'!E50</f>
        <v>0</v>
      </c>
      <c r="AN180" s="233">
        <f>'F4 - Funding Assumptions'!F50</f>
        <v>0</v>
      </c>
    </row>
    <row r="181" spans="1:40" ht="15" customHeight="1">
      <c r="A181" s="234" t="str">
        <f>'Front Sheet and Checklist'!$C$5</f>
        <v>Swansea Bay UHB</v>
      </c>
      <c r="B181" s="234" t="s">
        <v>373</v>
      </c>
      <c r="C181" s="235" t="str">
        <f>'F4 - Funding Assumptions'!$B$5</f>
        <v>Allocation Letter Revenue Funding</v>
      </c>
      <c r="F181" s="234">
        <f>'F4 - Funding Assumptions'!B51</f>
        <v>0</v>
      </c>
      <c r="S181" s="233">
        <f>'F4 - Funding Assumptions'!C51</f>
        <v>0</v>
      </c>
      <c r="AM181" s="233">
        <f>'F4 - Funding Assumptions'!E51</f>
        <v>0</v>
      </c>
      <c r="AN181" s="233">
        <f>'F4 - Funding Assumptions'!F51</f>
        <v>0</v>
      </c>
    </row>
    <row r="182" spans="1:40" ht="15" customHeight="1">
      <c r="A182" s="234" t="str">
        <f>'Front Sheet and Checklist'!$C$5</f>
        <v>Swansea Bay UHB</v>
      </c>
      <c r="B182" s="234" t="s">
        <v>373</v>
      </c>
      <c r="C182" s="235" t="str">
        <f>'F4 - Funding Assumptions'!$B$5</f>
        <v>Allocation Letter Revenue Funding</v>
      </c>
      <c r="F182" s="234">
        <f>'F4 - Funding Assumptions'!B52</f>
        <v>0</v>
      </c>
      <c r="S182" s="233">
        <f>'F4 - Funding Assumptions'!C52</f>
        <v>0</v>
      </c>
      <c r="AM182" s="233">
        <f>'F4 - Funding Assumptions'!E52</f>
        <v>0</v>
      </c>
      <c r="AN182" s="233">
        <f>'F4 - Funding Assumptions'!F52</f>
        <v>0</v>
      </c>
    </row>
    <row r="183" spans="1:40" ht="15" customHeight="1">
      <c r="A183" s="234" t="str">
        <f>'Front Sheet and Checklist'!$C$5</f>
        <v>Swansea Bay UHB</v>
      </c>
      <c r="B183" s="234" t="s">
        <v>373</v>
      </c>
      <c r="C183" s="235" t="str">
        <f>'F4 - Funding Assumptions'!$B$5</f>
        <v>Allocation Letter Revenue Funding</v>
      </c>
      <c r="F183" s="234">
        <f>'F4 - Funding Assumptions'!B53</f>
        <v>0</v>
      </c>
      <c r="S183" s="233">
        <f>'F4 - Funding Assumptions'!C53</f>
        <v>0</v>
      </c>
      <c r="AM183" s="233">
        <f>'F4 - Funding Assumptions'!E53</f>
        <v>0</v>
      </c>
      <c r="AN183" s="233">
        <f>'F4 - Funding Assumptions'!F53</f>
        <v>0</v>
      </c>
    </row>
    <row r="184" spans="1:40" ht="15" customHeight="1">
      <c r="A184" s="234" t="str">
        <f>'Front Sheet and Checklist'!$C$5</f>
        <v>Swansea Bay UHB</v>
      </c>
      <c r="B184" s="234" t="s">
        <v>373</v>
      </c>
      <c r="C184" s="235" t="str">
        <f>'F4 - Funding Assumptions'!$B$5</f>
        <v>Allocation Letter Revenue Funding</v>
      </c>
      <c r="F184" s="234">
        <f>'F4 - Funding Assumptions'!B54</f>
        <v>0</v>
      </c>
      <c r="S184" s="233">
        <f>'F4 - Funding Assumptions'!C54</f>
        <v>0</v>
      </c>
      <c r="AM184" s="233">
        <f>'F4 - Funding Assumptions'!E54</f>
        <v>0</v>
      </c>
      <c r="AN184" s="233">
        <f>'F4 - Funding Assumptions'!F54</f>
        <v>0</v>
      </c>
    </row>
    <row r="185" spans="1:40" ht="15" customHeight="1">
      <c r="A185" s="234" t="str">
        <f>'Front Sheet and Checklist'!$C$5</f>
        <v>Swansea Bay UHB</v>
      </c>
      <c r="B185" s="234" t="s">
        <v>373</v>
      </c>
      <c r="C185" s="235" t="str">
        <f>'F4 - Funding Assumptions'!$B$5</f>
        <v>Allocation Letter Revenue Funding</v>
      </c>
      <c r="F185" s="234">
        <f>'F4 - Funding Assumptions'!B55</f>
        <v>0</v>
      </c>
      <c r="S185" s="233">
        <f>'F4 - Funding Assumptions'!C55</f>
        <v>0</v>
      </c>
      <c r="AM185" s="233">
        <f>'F4 - Funding Assumptions'!E55</f>
        <v>0</v>
      </c>
      <c r="AN185" s="233">
        <f>'F4 - Funding Assumptions'!F55</f>
        <v>0</v>
      </c>
    </row>
    <row r="186" spans="1:40" ht="15" customHeight="1">
      <c r="A186" s="234" t="str">
        <f>'Front Sheet and Checklist'!$C$5</f>
        <v>Swansea Bay UHB</v>
      </c>
      <c r="B186" s="234" t="s">
        <v>373</v>
      </c>
      <c r="C186" s="235" t="str">
        <f>'F4 - Funding Assumptions'!$B$5</f>
        <v>Allocation Letter Revenue Funding</v>
      </c>
      <c r="F186" s="234">
        <f>'F4 - Funding Assumptions'!B56</f>
        <v>0</v>
      </c>
      <c r="S186" s="233">
        <f>'F4 - Funding Assumptions'!C56</f>
        <v>0</v>
      </c>
      <c r="AM186" s="233">
        <f>'F4 - Funding Assumptions'!E56</f>
        <v>0</v>
      </c>
      <c r="AN186" s="233">
        <f>'F4 - Funding Assumptions'!F56</f>
        <v>0</v>
      </c>
    </row>
    <row r="187" spans="1:40" ht="15" customHeight="1">
      <c r="A187" s="234" t="str">
        <f>'Front Sheet and Checklist'!$C$5</f>
        <v>Swansea Bay UHB</v>
      </c>
      <c r="B187" s="234" t="s">
        <v>373</v>
      </c>
      <c r="C187" s="235" t="str">
        <f>'F4 - Funding Assumptions'!$B$5</f>
        <v>Allocation Letter Revenue Funding</v>
      </c>
      <c r="F187" s="234">
        <f>'F4 - Funding Assumptions'!B57</f>
        <v>0</v>
      </c>
      <c r="S187" s="233">
        <f>'F4 - Funding Assumptions'!C57</f>
        <v>0</v>
      </c>
      <c r="AM187" s="233">
        <f>'F4 - Funding Assumptions'!E57</f>
        <v>0</v>
      </c>
      <c r="AN187" s="233">
        <f>'F4 - Funding Assumptions'!F57</f>
        <v>0</v>
      </c>
    </row>
    <row r="188" spans="1:40" ht="15" customHeight="1">
      <c r="A188" s="234" t="str">
        <f>'Front Sheet and Checklist'!$C$5</f>
        <v>Swansea Bay UHB</v>
      </c>
      <c r="B188" s="234" t="s">
        <v>373</v>
      </c>
      <c r="C188" s="235" t="str">
        <f>'F4 - Funding Assumptions'!$B$5</f>
        <v>Allocation Letter Revenue Funding</v>
      </c>
      <c r="F188" s="234">
        <f>'F4 - Funding Assumptions'!B58</f>
        <v>0</v>
      </c>
      <c r="S188" s="233">
        <f>'F4 - Funding Assumptions'!C58</f>
        <v>0</v>
      </c>
      <c r="AM188" s="233">
        <f>'F4 - Funding Assumptions'!E58</f>
        <v>0</v>
      </c>
      <c r="AN188" s="233">
        <f>'F4 - Funding Assumptions'!F58</f>
        <v>0</v>
      </c>
    </row>
    <row r="189" spans="1:40" ht="15" customHeight="1">
      <c r="A189" s="234" t="str">
        <f>'Front Sheet and Checklist'!$C$5</f>
        <v>Swansea Bay UHB</v>
      </c>
      <c r="B189" s="234" t="s">
        <v>373</v>
      </c>
      <c r="C189" s="235" t="str">
        <f>'F4 - Funding Assumptions'!$B$5</f>
        <v>Allocation Letter Revenue Funding</v>
      </c>
      <c r="F189" s="234">
        <f>'F4 - Funding Assumptions'!B59</f>
        <v>0</v>
      </c>
      <c r="S189" s="233">
        <f>'F4 - Funding Assumptions'!C59</f>
        <v>0</v>
      </c>
      <c r="AM189" s="233">
        <f>'F4 - Funding Assumptions'!E59</f>
        <v>0</v>
      </c>
      <c r="AN189" s="233">
        <f>'F4 - Funding Assumptions'!F59</f>
        <v>0</v>
      </c>
    </row>
    <row r="190" spans="1:40" ht="15" customHeight="1">
      <c r="A190" s="234" t="str">
        <f>'Front Sheet and Checklist'!$C$5</f>
        <v>Swansea Bay UHB</v>
      </c>
      <c r="B190" s="234" t="s">
        <v>373</v>
      </c>
      <c r="C190" s="235" t="str">
        <f>'F4 - Funding Assumptions'!$B$5</f>
        <v>Allocation Letter Revenue Funding</v>
      </c>
      <c r="F190" s="234">
        <f>'F4 - Funding Assumptions'!B60</f>
        <v>0</v>
      </c>
      <c r="S190" s="233">
        <f>'F4 - Funding Assumptions'!C60</f>
        <v>0</v>
      </c>
      <c r="AM190" s="233">
        <f>'F4 - Funding Assumptions'!E60</f>
        <v>0</v>
      </c>
      <c r="AN190" s="233">
        <f>'F4 - Funding Assumptions'!F60</f>
        <v>0</v>
      </c>
    </row>
    <row r="191" spans="1:40" ht="15" customHeight="1">
      <c r="A191" s="234" t="str">
        <f>'Front Sheet and Checklist'!$C$5</f>
        <v>Swansea Bay UHB</v>
      </c>
      <c r="B191" s="234" t="s">
        <v>373</v>
      </c>
      <c r="C191" s="235" t="str">
        <f>'F4 - Funding Assumptions'!$B$5</f>
        <v>Allocation Letter Revenue Funding</v>
      </c>
      <c r="F191" s="234">
        <f>'F4 - Funding Assumptions'!B61</f>
        <v>0</v>
      </c>
      <c r="S191" s="233">
        <f>'F4 - Funding Assumptions'!C61</f>
        <v>0</v>
      </c>
      <c r="AM191" s="233">
        <f>'F4 - Funding Assumptions'!E61</f>
        <v>0</v>
      </c>
      <c r="AN191" s="233">
        <f>'F4 - Funding Assumptions'!F61</f>
        <v>0</v>
      </c>
    </row>
    <row r="192" spans="1:40" ht="15" customHeight="1">
      <c r="A192" s="234" t="str">
        <f>'Front Sheet and Checklist'!$C$5</f>
        <v>Swansea Bay UHB</v>
      </c>
      <c r="B192" s="234" t="s">
        <v>373</v>
      </c>
      <c r="C192" s="235" t="str">
        <f>'F4 - Funding Assumptions'!$B$5</f>
        <v>Allocation Letter Revenue Funding</v>
      </c>
      <c r="F192" s="234">
        <f>'F4 - Funding Assumptions'!B62</f>
        <v>0</v>
      </c>
      <c r="S192" s="233">
        <f>'F4 - Funding Assumptions'!C62</f>
        <v>0</v>
      </c>
      <c r="AM192" s="233">
        <f>'F4 - Funding Assumptions'!E62</f>
        <v>0</v>
      </c>
      <c r="AN192" s="233">
        <f>'F4 - Funding Assumptions'!F62</f>
        <v>0</v>
      </c>
    </row>
    <row r="193" spans="1:40" ht="15" customHeight="1">
      <c r="A193" s="234" t="str">
        <f>'Front Sheet and Checklist'!$C$5</f>
        <v>Swansea Bay UHB</v>
      </c>
      <c r="B193" s="234" t="s">
        <v>373</v>
      </c>
      <c r="C193" s="235" t="str">
        <f>'F4 - Funding Assumptions'!$B$5</f>
        <v>Allocation Letter Revenue Funding</v>
      </c>
      <c r="F193" s="234">
        <f>'F4 - Funding Assumptions'!B63</f>
        <v>0</v>
      </c>
      <c r="S193" s="233">
        <f>'F4 - Funding Assumptions'!C63</f>
        <v>0</v>
      </c>
      <c r="AM193" s="233">
        <f>'F4 - Funding Assumptions'!E63</f>
        <v>0</v>
      </c>
      <c r="AN193" s="233">
        <f>'F4 - Funding Assumptions'!F63</f>
        <v>0</v>
      </c>
    </row>
    <row r="194" spans="1:40" ht="15" customHeight="1">
      <c r="A194" s="234" t="str">
        <f>'Front Sheet and Checklist'!$C$5</f>
        <v>Swansea Bay UHB</v>
      </c>
      <c r="B194" s="234" t="s">
        <v>373</v>
      </c>
      <c r="C194" s="235" t="str">
        <f>'F4 - Funding Assumptions'!$B$5</f>
        <v>Allocation Letter Revenue Funding</v>
      </c>
      <c r="F194" s="234">
        <f>'F4 - Funding Assumptions'!B64</f>
        <v>0</v>
      </c>
      <c r="S194" s="233">
        <f>'F4 - Funding Assumptions'!C64</f>
        <v>0</v>
      </c>
      <c r="AM194" s="233">
        <f>'F4 - Funding Assumptions'!E64</f>
        <v>0</v>
      </c>
      <c r="AN194" s="233">
        <f>'F4 - Funding Assumptions'!F64</f>
        <v>0</v>
      </c>
    </row>
    <row r="195" spans="1:40" ht="15" customHeight="1">
      <c r="A195" s="234" t="str">
        <f>'Front Sheet and Checklist'!$C$5</f>
        <v>Swansea Bay UHB</v>
      </c>
      <c r="B195" s="234" t="s">
        <v>373</v>
      </c>
      <c r="C195" s="235" t="str">
        <f>'F4 - Funding Assumptions'!$B$5</f>
        <v>Allocation Letter Revenue Funding</v>
      </c>
      <c r="F195" s="234">
        <f>'F4 - Funding Assumptions'!B65</f>
        <v>0</v>
      </c>
      <c r="S195" s="233">
        <f>'F4 - Funding Assumptions'!C65</f>
        <v>0</v>
      </c>
      <c r="AM195" s="233">
        <f>'F4 - Funding Assumptions'!E65</f>
        <v>0</v>
      </c>
      <c r="AN195" s="233">
        <f>'F4 - Funding Assumptions'!F65</f>
        <v>0</v>
      </c>
    </row>
    <row r="196" spans="1:40" ht="15" customHeight="1">
      <c r="A196" s="234" t="str">
        <f>'Front Sheet and Checklist'!$C$5</f>
        <v>Swansea Bay UHB</v>
      </c>
      <c r="B196" s="234" t="s">
        <v>373</v>
      </c>
      <c r="C196" s="235" t="str">
        <f>'F4 - Funding Assumptions'!$B$5</f>
        <v>Allocation Letter Revenue Funding</v>
      </c>
      <c r="F196" s="234">
        <f>'F4 - Funding Assumptions'!B66</f>
        <v>0</v>
      </c>
      <c r="S196" s="233">
        <f>'F4 - Funding Assumptions'!C66</f>
        <v>0</v>
      </c>
      <c r="AM196" s="233">
        <f>'F4 - Funding Assumptions'!E66</f>
        <v>0</v>
      </c>
      <c r="AN196" s="233">
        <f>'F4 - Funding Assumptions'!F66</f>
        <v>0</v>
      </c>
    </row>
    <row r="197" spans="1:40" ht="15" customHeight="1">
      <c r="A197" s="234" t="str">
        <f>'Front Sheet and Checklist'!$C$5</f>
        <v>Swansea Bay UHB</v>
      </c>
      <c r="B197" s="234" t="s">
        <v>373</v>
      </c>
      <c r="C197" s="235" t="str">
        <f>'F4 - Funding Assumptions'!$B$5</f>
        <v>Allocation Letter Revenue Funding</v>
      </c>
      <c r="F197" s="234">
        <f>'F4 - Funding Assumptions'!B67</f>
        <v>0</v>
      </c>
      <c r="S197" s="233">
        <f>'F4 - Funding Assumptions'!C67</f>
        <v>0</v>
      </c>
      <c r="AM197" s="233">
        <f>'F4 - Funding Assumptions'!E67</f>
        <v>0</v>
      </c>
      <c r="AN197" s="233">
        <f>'F4 - Funding Assumptions'!F67</f>
        <v>0</v>
      </c>
    </row>
    <row r="198" spans="1:40" ht="15" customHeight="1">
      <c r="A198" s="234" t="str">
        <f>'Front Sheet and Checklist'!$C$5</f>
        <v>Swansea Bay UHB</v>
      </c>
      <c r="B198" s="234" t="s">
        <v>373</v>
      </c>
      <c r="C198" s="235" t="str">
        <f>'F4 - Funding Assumptions'!$B$5</f>
        <v>Allocation Letter Revenue Funding</v>
      </c>
      <c r="F198" s="234">
        <f>'F4 - Funding Assumptions'!B68</f>
        <v>0</v>
      </c>
      <c r="S198" s="233">
        <f>'F4 - Funding Assumptions'!C68</f>
        <v>0</v>
      </c>
      <c r="AM198" s="233">
        <f>'F4 - Funding Assumptions'!E68</f>
        <v>0</v>
      </c>
      <c r="AN198" s="233">
        <f>'F4 - Funding Assumptions'!F68</f>
        <v>0</v>
      </c>
    </row>
    <row r="199" spans="1:40" ht="15" customHeight="1">
      <c r="A199" s="234" t="str">
        <f>'Front Sheet and Checklist'!$C$5</f>
        <v>Swansea Bay UHB</v>
      </c>
      <c r="B199" s="234" t="s">
        <v>373</v>
      </c>
      <c r="C199" s="235" t="str">
        <f>'F4 - Funding Assumptions'!$B$5</f>
        <v>Allocation Letter Revenue Funding</v>
      </c>
      <c r="F199" s="234">
        <f>'F4 - Funding Assumptions'!B69</f>
        <v>0</v>
      </c>
      <c r="S199" s="233">
        <f>'F4 - Funding Assumptions'!C69</f>
        <v>0</v>
      </c>
      <c r="AM199" s="233">
        <f>'F4 - Funding Assumptions'!E69</f>
        <v>0</v>
      </c>
      <c r="AN199" s="233">
        <f>'F4 - Funding Assumptions'!F69</f>
        <v>0</v>
      </c>
    </row>
    <row r="200" spans="1:40" ht="15" customHeight="1">
      <c r="A200" s="234" t="str">
        <f>'Front Sheet and Checklist'!$C$5</f>
        <v>Swansea Bay UHB</v>
      </c>
      <c r="B200" s="234" t="s">
        <v>373</v>
      </c>
      <c r="C200" s="235" t="str">
        <f>'F4 - Funding Assumptions'!$B$5</f>
        <v>Allocation Letter Revenue Funding</v>
      </c>
      <c r="F200" s="234">
        <f>'F4 - Funding Assumptions'!B70</f>
        <v>0</v>
      </c>
      <c r="S200" s="233">
        <f>'F4 - Funding Assumptions'!C70</f>
        <v>0</v>
      </c>
      <c r="AM200" s="233">
        <f>'F4 - Funding Assumptions'!E70</f>
        <v>0</v>
      </c>
      <c r="AN200" s="233">
        <f>'F4 - Funding Assumptions'!F70</f>
        <v>0</v>
      </c>
    </row>
    <row r="201" spans="1:40" ht="15" customHeight="1">
      <c r="A201" s="234" t="str">
        <f>'Front Sheet and Checklist'!$C$5</f>
        <v>Swansea Bay UHB</v>
      </c>
      <c r="B201" s="234" t="s">
        <v>373</v>
      </c>
      <c r="C201" s="235" t="str">
        <f>'F4 - Funding Assumptions'!$B$5</f>
        <v>Allocation Letter Revenue Funding</v>
      </c>
      <c r="E201" s="234" t="s">
        <v>268</v>
      </c>
      <c r="F201" s="234" t="str">
        <f>'F4 - Funding Assumptions'!B71</f>
        <v>SUB TOTAL</v>
      </c>
      <c r="S201" s="233">
        <f>'F4 - Funding Assumptions'!C71</f>
        <v>58999.111111111109</v>
      </c>
      <c r="AM201" s="233">
        <f>'F4 - Funding Assumptions'!E71</f>
        <v>3187</v>
      </c>
      <c r="AN201" s="233">
        <f>'F4 - Funding Assumptions'!F71</f>
        <v>3187</v>
      </c>
    </row>
    <row r="202" spans="1:40" ht="15" customHeight="1">
      <c r="A202" s="234" t="str">
        <f>'Front Sheet and Checklist'!$C$5</f>
        <v>Swansea Bay UHB</v>
      </c>
      <c r="B202" s="234" t="s">
        <v>373</v>
      </c>
      <c r="C202" s="235" t="str">
        <f>'F4 - Funding Assumptions'!$B$5</f>
        <v>Allocation Letter Revenue Funding</v>
      </c>
      <c r="F202" s="234">
        <f>'F4 - Funding Assumptions'!B72</f>
        <v>0</v>
      </c>
      <c r="S202" s="233">
        <f>'F4 - Funding Assumptions'!C72</f>
        <v>0</v>
      </c>
      <c r="AM202" s="233">
        <f>'F4 - Funding Assumptions'!E72</f>
        <v>0</v>
      </c>
      <c r="AN202" s="233">
        <f>'F4 - Funding Assumptions'!F72</f>
        <v>0</v>
      </c>
    </row>
    <row r="203" spans="1:40" ht="15" customHeight="1">
      <c r="A203" s="234" t="str">
        <f>'Front Sheet and Checklist'!$C$5</f>
        <v>Swansea Bay UHB</v>
      </c>
      <c r="B203" s="234" t="s">
        <v>373</v>
      </c>
      <c r="C203" s="235" t="str">
        <f>'F4 - Funding Assumptions'!$B$5</f>
        <v>Allocation Letter Revenue Funding</v>
      </c>
      <c r="F203" s="234" t="str">
        <f>'F4 - Funding Assumptions'!B73</f>
        <v>Other Funding and Income</v>
      </c>
      <c r="S203" s="233">
        <f>'F4 - Funding Assumptions'!C73</f>
        <v>0</v>
      </c>
      <c r="AM203" s="233">
        <f>'F4 - Funding Assumptions'!E73</f>
        <v>0</v>
      </c>
      <c r="AN203" s="233">
        <f>'F4 - Funding Assumptions'!F73</f>
        <v>0</v>
      </c>
    </row>
    <row r="204" spans="1:40" ht="15" customHeight="1">
      <c r="A204" s="234" t="str">
        <f>'Front Sheet and Checklist'!$C$5</f>
        <v>Swansea Bay UHB</v>
      </c>
      <c r="B204" s="234" t="s">
        <v>373</v>
      </c>
      <c r="C204" s="235" t="str">
        <f>'F4 - Funding Assumptions'!$B$5</f>
        <v>Allocation Letter Revenue Funding</v>
      </c>
      <c r="F204" s="234" t="str">
        <f>'F4 - Funding Assumptions'!B74</f>
        <v>Capital Donation / Government Grant Income (not already included above)</v>
      </c>
      <c r="S204" s="233">
        <f>'F4 - Funding Assumptions'!C74</f>
        <v>284</v>
      </c>
      <c r="AM204" s="233">
        <f>'F4 - Funding Assumptions'!E74</f>
        <v>0</v>
      </c>
      <c r="AN204" s="233">
        <f>'F4 - Funding Assumptions'!F74</f>
        <v>0</v>
      </c>
    </row>
    <row r="205" spans="1:40" ht="15" customHeight="1">
      <c r="A205" s="234" t="str">
        <f>'Front Sheet and Checklist'!$C$5</f>
        <v>Swansea Bay UHB</v>
      </c>
      <c r="B205" s="234" t="s">
        <v>373</v>
      </c>
      <c r="C205" s="235" t="str">
        <f>'F4 - Funding Assumptions'!$B$5</f>
        <v>Allocation Letter Revenue Funding</v>
      </c>
      <c r="F205" s="234" t="str">
        <f>'F4 - Funding Assumptions'!B75</f>
        <v>Welsh NHS Local Health Boards &amp; Trusts Income</v>
      </c>
      <c r="S205" s="233">
        <f>'F4 - Funding Assumptions'!C75</f>
        <v>111938.5252</v>
      </c>
      <c r="AM205" s="233">
        <f>'F4 - Funding Assumptions'!E75</f>
        <v>0</v>
      </c>
      <c r="AN205" s="233">
        <f>'F4 - Funding Assumptions'!F75</f>
        <v>0</v>
      </c>
    </row>
    <row r="206" spans="1:40" ht="15" customHeight="1">
      <c r="A206" s="234" t="str">
        <f>'Front Sheet and Checklist'!$C$5</f>
        <v>Swansea Bay UHB</v>
      </c>
      <c r="B206" s="234" t="s">
        <v>373</v>
      </c>
      <c r="C206" s="235" t="str">
        <f>'F4 - Funding Assumptions'!$B$5</f>
        <v>Allocation Letter Revenue Funding</v>
      </c>
      <c r="F206" s="234" t="str">
        <f>'F4 - Funding Assumptions'!B76</f>
        <v>WHSSC Income</v>
      </c>
      <c r="S206" s="233">
        <f>'F4 - Funding Assumptions'!C76</f>
        <v>140145.51744000003</v>
      </c>
      <c r="AM206" s="233">
        <f>'F4 - Funding Assumptions'!E76</f>
        <v>0</v>
      </c>
      <c r="AN206" s="233">
        <f>'F4 - Funding Assumptions'!F76</f>
        <v>0</v>
      </c>
    </row>
    <row r="207" spans="1:40" ht="15" customHeight="1">
      <c r="A207" s="234" t="str">
        <f>'Front Sheet and Checklist'!$C$5</f>
        <v>Swansea Bay UHB</v>
      </c>
      <c r="B207" s="234" t="s">
        <v>373</v>
      </c>
      <c r="C207" s="235" t="str">
        <f>'F4 - Funding Assumptions'!$B$5</f>
        <v>Allocation Letter Revenue Funding</v>
      </c>
      <c r="F207" s="234" t="str">
        <f>'F4 - Funding Assumptions'!B77</f>
        <v>Other Income</v>
      </c>
      <c r="S207" s="233">
        <f>'F4 - Funding Assumptions'!C77</f>
        <v>44512.239320000001</v>
      </c>
      <c r="AM207" s="233">
        <f>'F4 - Funding Assumptions'!E77</f>
        <v>0</v>
      </c>
      <c r="AN207" s="233">
        <f>'F4 - Funding Assumptions'!F77</f>
        <v>0</v>
      </c>
    </row>
    <row r="208" spans="1:40" ht="15" customHeight="1">
      <c r="A208" s="234" t="str">
        <f>'Front Sheet and Checklist'!$C$5</f>
        <v>Swansea Bay UHB</v>
      </c>
      <c r="B208" s="234" t="s">
        <v>373</v>
      </c>
      <c r="C208" s="235" t="str">
        <f>'F4 - Funding Assumptions'!$B$5</f>
        <v>Allocation Letter Revenue Funding</v>
      </c>
      <c r="F208" s="234" t="str">
        <f>'F4 - Funding Assumptions'!B78</f>
        <v>WG Other Income (Non RRL)</v>
      </c>
      <c r="S208" s="233">
        <f>'F4 - Funding Assumptions'!C78</f>
        <v>2042.2809999999999</v>
      </c>
      <c r="AM208" s="233">
        <f>'F4 - Funding Assumptions'!E78</f>
        <v>0</v>
      </c>
      <c r="AN208" s="233">
        <f>'F4 - Funding Assumptions'!F78</f>
        <v>0</v>
      </c>
    </row>
    <row r="209" spans="1:40" ht="15" customHeight="1">
      <c r="A209" s="234" t="str">
        <f>'Front Sheet and Checklist'!$C$5</f>
        <v>Swansea Bay UHB</v>
      </c>
      <c r="B209" s="234" t="s">
        <v>373</v>
      </c>
      <c r="C209" s="235" t="str">
        <f>'F4 - Funding Assumptions'!$B$5</f>
        <v>Allocation Letter Revenue Funding</v>
      </c>
      <c r="F209" s="234" t="str">
        <f>'F4 - Funding Assumptions'!B79</f>
        <v>Other (please outline)</v>
      </c>
      <c r="S209" s="233">
        <f>'F4 - Funding Assumptions'!C79</f>
        <v>0</v>
      </c>
      <c r="AM209" s="233">
        <f>'F4 - Funding Assumptions'!E79</f>
        <v>0</v>
      </c>
      <c r="AN209" s="233">
        <f>'F4 - Funding Assumptions'!F79</f>
        <v>0</v>
      </c>
    </row>
    <row r="210" spans="1:40" ht="15" customHeight="1">
      <c r="A210" s="234" t="str">
        <f>'Front Sheet and Checklist'!$C$5</f>
        <v>Swansea Bay UHB</v>
      </c>
      <c r="B210" s="234" t="s">
        <v>373</v>
      </c>
      <c r="C210" s="235" t="str">
        <f>'F4 - Funding Assumptions'!$B$5</f>
        <v>Allocation Letter Revenue Funding</v>
      </c>
      <c r="F210" s="234" t="str">
        <f>'F4 - Funding Assumptions'!B80</f>
        <v>Other (please outline)</v>
      </c>
      <c r="S210" s="233">
        <f>'F4 - Funding Assumptions'!C80</f>
        <v>0</v>
      </c>
      <c r="AM210" s="233">
        <f>'F4 - Funding Assumptions'!E80</f>
        <v>0</v>
      </c>
      <c r="AN210" s="233">
        <f>'F4 - Funding Assumptions'!F80</f>
        <v>0</v>
      </c>
    </row>
    <row r="211" spans="1:40" ht="15" customHeight="1">
      <c r="A211" s="234" t="str">
        <f>'Front Sheet and Checklist'!$C$5</f>
        <v>Swansea Bay UHB</v>
      </c>
      <c r="B211" s="234" t="s">
        <v>373</v>
      </c>
      <c r="C211" s="235" t="str">
        <f>'F4 - Funding Assumptions'!$B$5</f>
        <v>Allocation Letter Revenue Funding</v>
      </c>
      <c r="F211" s="234" t="str">
        <f>'F4 - Funding Assumptions'!B81</f>
        <v>Other (please outline)</v>
      </c>
      <c r="S211" s="233">
        <f>'F4 - Funding Assumptions'!C81</f>
        <v>0</v>
      </c>
      <c r="AM211" s="233">
        <f>'F4 - Funding Assumptions'!E81</f>
        <v>0</v>
      </c>
      <c r="AN211" s="233">
        <f>'F4 - Funding Assumptions'!F81</f>
        <v>0</v>
      </c>
    </row>
    <row r="212" spans="1:40" ht="15" customHeight="1">
      <c r="A212" s="234" t="str">
        <f>'Front Sheet and Checklist'!$C$5</f>
        <v>Swansea Bay UHB</v>
      </c>
      <c r="B212" s="234" t="s">
        <v>373</v>
      </c>
      <c r="C212" s="235" t="str">
        <f>'F4 - Funding Assumptions'!$B$5</f>
        <v>Allocation Letter Revenue Funding</v>
      </c>
      <c r="F212" s="234" t="str">
        <f>'F4 - Funding Assumptions'!B82</f>
        <v>Other (please outline)</v>
      </c>
      <c r="S212" s="233">
        <f>'F4 - Funding Assumptions'!C82</f>
        <v>0</v>
      </c>
      <c r="AM212" s="233">
        <f>'F4 - Funding Assumptions'!E82</f>
        <v>0</v>
      </c>
      <c r="AN212" s="233">
        <f>'F4 - Funding Assumptions'!F82</f>
        <v>0</v>
      </c>
    </row>
    <row r="213" spans="1:40" ht="15" customHeight="1">
      <c r="A213" s="234" t="str">
        <f>'Front Sheet and Checklist'!$C$5</f>
        <v>Swansea Bay UHB</v>
      </c>
      <c r="B213" s="234" t="s">
        <v>373</v>
      </c>
      <c r="C213" s="235" t="str">
        <f>'F4 - Funding Assumptions'!$B$5</f>
        <v>Allocation Letter Revenue Funding</v>
      </c>
      <c r="F213" s="234" t="str">
        <f>'F4 - Funding Assumptions'!B83</f>
        <v>Other (please outline)</v>
      </c>
      <c r="S213" s="233">
        <f>'F4 - Funding Assumptions'!C83</f>
        <v>0</v>
      </c>
      <c r="AM213" s="233">
        <f>'F4 - Funding Assumptions'!E83</f>
        <v>0</v>
      </c>
      <c r="AN213" s="233">
        <f>'F4 - Funding Assumptions'!F83</f>
        <v>0</v>
      </c>
    </row>
    <row r="214" spans="1:40" ht="15" customHeight="1">
      <c r="A214" s="234" t="str">
        <f>'Front Sheet and Checklist'!$C$5</f>
        <v>Swansea Bay UHB</v>
      </c>
      <c r="B214" s="234" t="s">
        <v>373</v>
      </c>
      <c r="C214" s="235" t="str">
        <f>'F4 - Funding Assumptions'!$B$5</f>
        <v>Allocation Letter Revenue Funding</v>
      </c>
      <c r="F214" s="234" t="str">
        <f>'F4 - Funding Assumptions'!B84</f>
        <v>Other (please outline)</v>
      </c>
      <c r="S214" s="233">
        <f>'F4 - Funding Assumptions'!C84</f>
        <v>0</v>
      </c>
      <c r="AM214" s="233">
        <f>'F4 - Funding Assumptions'!E84</f>
        <v>0</v>
      </c>
      <c r="AN214" s="233">
        <f>'F4 - Funding Assumptions'!F84</f>
        <v>0</v>
      </c>
    </row>
    <row r="215" spans="1:40" ht="15" customHeight="1">
      <c r="A215" s="234" t="str">
        <f>'Front Sheet and Checklist'!$C$5</f>
        <v>Swansea Bay UHB</v>
      </c>
      <c r="B215" s="234" t="s">
        <v>373</v>
      </c>
      <c r="C215" s="235" t="str">
        <f>'F4 - Funding Assumptions'!$B$5</f>
        <v>Allocation Letter Revenue Funding</v>
      </c>
      <c r="F215" s="234" t="str">
        <f>'F4 - Funding Assumptions'!B85</f>
        <v>Other (please outline)</v>
      </c>
      <c r="S215" s="233">
        <f>'F4 - Funding Assumptions'!C85</f>
        <v>0</v>
      </c>
      <c r="AM215" s="233">
        <f>'F4 - Funding Assumptions'!E85</f>
        <v>0</v>
      </c>
      <c r="AN215" s="233">
        <f>'F4 - Funding Assumptions'!F85</f>
        <v>0</v>
      </c>
    </row>
    <row r="216" spans="1:40" ht="15" customHeight="1">
      <c r="A216" s="234" t="str">
        <f>'Front Sheet and Checklist'!$C$5</f>
        <v>Swansea Bay UHB</v>
      </c>
      <c r="B216" s="234" t="s">
        <v>373</v>
      </c>
      <c r="C216" s="235" t="str">
        <f>'F4 - Funding Assumptions'!$B$5</f>
        <v>Allocation Letter Revenue Funding</v>
      </c>
      <c r="F216" s="234" t="str">
        <f>'F4 - Funding Assumptions'!B86</f>
        <v>Other (please outline)</v>
      </c>
      <c r="S216" s="233">
        <f>'F4 - Funding Assumptions'!C86</f>
        <v>0</v>
      </c>
      <c r="AM216" s="233">
        <f>'F4 - Funding Assumptions'!E86</f>
        <v>0</v>
      </c>
      <c r="AN216" s="233">
        <f>'F4 - Funding Assumptions'!F86</f>
        <v>0</v>
      </c>
    </row>
    <row r="217" spans="1:40" ht="15" customHeight="1">
      <c r="A217" s="234" t="str">
        <f>'Front Sheet and Checklist'!$C$5</f>
        <v>Swansea Bay UHB</v>
      </c>
      <c r="B217" s="234" t="s">
        <v>373</v>
      </c>
      <c r="C217" s="235" t="str">
        <f>'F4 - Funding Assumptions'!$B$5</f>
        <v>Allocation Letter Revenue Funding</v>
      </c>
      <c r="F217" s="234" t="str">
        <f>'F4 - Funding Assumptions'!B87</f>
        <v>Other (please outline)</v>
      </c>
      <c r="S217" s="233">
        <f>'F4 - Funding Assumptions'!C87</f>
        <v>0</v>
      </c>
      <c r="AM217" s="233">
        <f>'F4 - Funding Assumptions'!E87</f>
        <v>0</v>
      </c>
      <c r="AN217" s="233">
        <f>'F4 - Funding Assumptions'!F87</f>
        <v>0</v>
      </c>
    </row>
    <row r="218" spans="1:40" ht="15" customHeight="1">
      <c r="A218" s="234" t="str">
        <f>'Front Sheet and Checklist'!$C$5</f>
        <v>Swansea Bay UHB</v>
      </c>
      <c r="B218" s="234" t="s">
        <v>373</v>
      </c>
      <c r="C218" s="235" t="str">
        <f>'F4 - Funding Assumptions'!$B$5</f>
        <v>Allocation Letter Revenue Funding</v>
      </c>
      <c r="F218" s="234" t="str">
        <f>'F4 - Funding Assumptions'!B88</f>
        <v>Other (please outline)</v>
      </c>
      <c r="S218" s="233">
        <f>'F4 - Funding Assumptions'!C88</f>
        <v>0</v>
      </c>
      <c r="AM218" s="233">
        <f>'F4 - Funding Assumptions'!E88</f>
        <v>0</v>
      </c>
      <c r="AN218" s="233">
        <f>'F4 - Funding Assumptions'!F88</f>
        <v>0</v>
      </c>
    </row>
    <row r="219" spans="1:40" ht="15" customHeight="1">
      <c r="A219" s="234" t="str">
        <f>'Front Sheet and Checklist'!$C$5</f>
        <v>Swansea Bay UHB</v>
      </c>
      <c r="B219" s="234" t="s">
        <v>373</v>
      </c>
      <c r="C219" s="235" t="str">
        <f>'F4 - Funding Assumptions'!$B$5</f>
        <v>Allocation Letter Revenue Funding</v>
      </c>
      <c r="E219" s="234" t="s">
        <v>268</v>
      </c>
      <c r="F219" s="234" t="str">
        <f>'F4 - Funding Assumptions'!B89</f>
        <v>SUB TOTAL</v>
      </c>
      <c r="S219" s="233">
        <f>'F4 - Funding Assumptions'!C89</f>
        <v>298922.56296000007</v>
      </c>
      <c r="AM219" s="233">
        <f>'F4 - Funding Assumptions'!E89</f>
        <v>0</v>
      </c>
      <c r="AN219" s="233">
        <f>'F4 - Funding Assumptions'!F89</f>
        <v>0</v>
      </c>
    </row>
    <row r="220" spans="1:40" ht="15" customHeight="1">
      <c r="A220" s="234" t="str">
        <f>'Front Sheet and Checklist'!$C$5</f>
        <v>Swansea Bay UHB</v>
      </c>
      <c r="B220" s="234" t="s">
        <v>373</v>
      </c>
      <c r="C220" s="235" t="str">
        <f>'F4 - Funding Assumptions'!$B$5</f>
        <v>Allocation Letter Revenue Funding</v>
      </c>
      <c r="F220" s="234">
        <f>'F4 - Funding Assumptions'!B90</f>
        <v>0</v>
      </c>
      <c r="S220" s="233">
        <f>'F4 - Funding Assumptions'!C90</f>
        <v>0</v>
      </c>
      <c r="AM220" s="233">
        <f>'F4 - Funding Assumptions'!E90</f>
        <v>0</v>
      </c>
      <c r="AN220" s="233">
        <f>'F4 - Funding Assumptions'!F90</f>
        <v>0</v>
      </c>
    </row>
    <row r="221" spans="1:40" ht="15" customHeight="1">
      <c r="A221" s="234" t="str">
        <f>'Front Sheet and Checklist'!$C$5</f>
        <v>Swansea Bay UHB</v>
      </c>
      <c r="B221" s="234" t="s">
        <v>373</v>
      </c>
      <c r="C221" s="235" t="str">
        <f>'F4 - Funding Assumptions'!$B$5</f>
        <v>Allocation Letter Revenue Funding</v>
      </c>
      <c r="F221" s="234">
        <f>'F4 - Funding Assumptions'!B91</f>
        <v>0</v>
      </c>
      <c r="S221" s="233">
        <f>'F4 - Funding Assumptions'!C91</f>
        <v>0</v>
      </c>
      <c r="AM221" s="233">
        <f>'F4 - Funding Assumptions'!E91</f>
        <v>0</v>
      </c>
      <c r="AN221" s="233">
        <f>'F4 - Funding Assumptions'!F91</f>
        <v>0</v>
      </c>
    </row>
    <row r="222" spans="1:40" ht="15" customHeight="1">
      <c r="A222" s="234" t="str">
        <f>'Front Sheet and Checklist'!$C$5</f>
        <v>Swansea Bay UHB</v>
      </c>
      <c r="B222" s="234" t="s">
        <v>373</v>
      </c>
      <c r="C222" s="235" t="str">
        <f>'F4 - Funding Assumptions'!$B$5</f>
        <v>Allocation Letter Revenue Funding</v>
      </c>
      <c r="E222" s="234" t="s">
        <v>268</v>
      </c>
      <c r="F222" s="234" t="str">
        <f>'F4 - Funding Assumptions'!B92</f>
        <v>Total</v>
      </c>
      <c r="S222" s="233">
        <f>'F4 - Funding Assumptions'!C92</f>
        <v>1518579.6740711113</v>
      </c>
      <c r="AM222" s="233">
        <f>'F4 - Funding Assumptions'!E92</f>
        <v>45613</v>
      </c>
      <c r="AN222" s="233">
        <f>'F4 - Funding Assumptions'!F92</f>
        <v>45613</v>
      </c>
    </row>
    <row r="223" spans="1:40" ht="15" customHeight="1">
      <c r="A223" s="234" t="str">
        <f>'Front Sheet and Checklist'!$C$5</f>
        <v>Swansea Bay UHB</v>
      </c>
      <c r="B223" s="234" t="s">
        <v>374</v>
      </c>
      <c r="C223" s="234" t="str">
        <f>'F5 - Cost Pressures'!C4</f>
        <v>Macro Economic Inflation</v>
      </c>
      <c r="D223" s="234" t="str">
        <f>'F5 - Cost Pressures'!D4</f>
        <v>7. Non Clinical Support</v>
      </c>
      <c r="E223" s="234" t="s">
        <v>375</v>
      </c>
      <c r="F223" s="234" t="str">
        <f>'F5 - Cost Pressures'!B4</f>
        <v>General Inflation</v>
      </c>
      <c r="AM223" s="233">
        <f>'F5 - Cost Pressures'!H4</f>
        <v>0</v>
      </c>
      <c r="AN223" s="233">
        <f>'F5 - Cost Pressures'!I4</f>
        <v>0</v>
      </c>
    </row>
    <row r="224" spans="1:40">
      <c r="A224" s="234" t="str">
        <f>'Front Sheet and Checklist'!$C$5</f>
        <v>Swansea Bay UHB</v>
      </c>
      <c r="B224" s="234" t="s">
        <v>374</v>
      </c>
      <c r="C224" s="234" t="str">
        <f>'F5 - Cost Pressures'!C5</f>
        <v>Macro Economic Inflation</v>
      </c>
      <c r="D224" s="234" t="str">
        <f>'F5 - Cost Pressures'!D5</f>
        <v>8. Across Service Areas</v>
      </c>
      <c r="E224" s="234" t="s">
        <v>375</v>
      </c>
      <c r="F224" s="234" t="str">
        <f>'F5 - Cost Pressures'!B5</f>
        <v xml:space="preserve">Real Living Wage </v>
      </c>
      <c r="AM224" s="233">
        <f>'F5 - Cost Pressures'!H5</f>
        <v>0</v>
      </c>
      <c r="AN224" s="233">
        <f>'F5 - Cost Pressures'!I5</f>
        <v>0</v>
      </c>
    </row>
    <row r="225" spans="1:40">
      <c r="A225" s="234" t="str">
        <f>'Front Sheet and Checklist'!$C$5</f>
        <v>Swansea Bay UHB</v>
      </c>
      <c r="B225" s="234" t="s">
        <v>374</v>
      </c>
      <c r="C225" s="234" t="str">
        <f>'F5 - Cost Pressures'!C6</f>
        <v>National Investment Decisions</v>
      </c>
      <c r="D225" s="234" t="str">
        <f>'F5 - Cost Pressures'!D6</f>
        <v>1. Secondary Care (In-house) - General</v>
      </c>
      <c r="E225" s="234" t="s">
        <v>375</v>
      </c>
      <c r="F225" s="234" t="str">
        <f>'F5 - Cost Pressures'!B6</f>
        <v>NICE &amp; New High Cost Drugs</v>
      </c>
      <c r="AM225" s="233">
        <f>'F5 - Cost Pressures'!H6</f>
        <v>0</v>
      </c>
      <c r="AN225" s="233">
        <f>'F5 - Cost Pressures'!I6</f>
        <v>0</v>
      </c>
    </row>
    <row r="226" spans="1:40">
      <c r="A226" s="234" t="str">
        <f>'Front Sheet and Checklist'!$C$5</f>
        <v>Swansea Bay UHB</v>
      </c>
      <c r="B226" s="234" t="s">
        <v>374</v>
      </c>
      <c r="C226" s="234" t="str">
        <f>'F5 - Cost Pressures'!C7</f>
        <v>National Investment Decisions</v>
      </c>
      <c r="D226" s="234" t="str">
        <f>'F5 - Cost Pressures'!D7</f>
        <v>4. Commissioned Activity (inc. CHC)</v>
      </c>
      <c r="E226" s="234" t="s">
        <v>375</v>
      </c>
      <c r="F226" s="234" t="str">
        <f>'F5 - Cost Pressures'!B7</f>
        <v xml:space="preserve">Commissioned Services - Specialist Services </v>
      </c>
      <c r="AM226" s="233">
        <f>'F5 - Cost Pressures'!H7</f>
        <v>0</v>
      </c>
      <c r="AN226" s="233">
        <f>'F5 - Cost Pressures'!I7</f>
        <v>0</v>
      </c>
    </row>
    <row r="227" spans="1:40">
      <c r="A227" s="234" t="str">
        <f>'Front Sheet and Checklist'!$C$5</f>
        <v>Swansea Bay UHB</v>
      </c>
      <c r="B227" s="234" t="s">
        <v>374</v>
      </c>
      <c r="C227" s="234" t="str">
        <f>'F5 - Cost Pressures'!C8</f>
        <v>National Investment Decisions</v>
      </c>
      <c r="D227" s="234" t="str">
        <f>'F5 - Cost Pressures'!D8</f>
        <v>3. Community Care</v>
      </c>
      <c r="E227" s="234" t="s">
        <v>375</v>
      </c>
      <c r="F227" s="234" t="str">
        <f>'F5 - Cost Pressures'!B8</f>
        <v>Microsoft Licence additional contribution</v>
      </c>
      <c r="AM227" s="233">
        <f>'F5 - Cost Pressures'!H8</f>
        <v>0</v>
      </c>
      <c r="AN227" s="233">
        <f>'F5 - Cost Pressures'!I8</f>
        <v>0</v>
      </c>
    </row>
    <row r="228" spans="1:40">
      <c r="A228" s="234" t="str">
        <f>'Front Sheet and Checklist'!$C$5</f>
        <v>Swansea Bay UHB</v>
      </c>
      <c r="B228" s="234" t="s">
        <v>374</v>
      </c>
      <c r="C228" s="234" t="str">
        <f>'F5 - Cost Pressures'!C9</f>
        <v>National Investment Decisions</v>
      </c>
      <c r="D228" s="234" t="str">
        <f>'F5 - Cost Pressures'!D9</f>
        <v>3. Community Care</v>
      </c>
      <c r="E228" s="234" t="s">
        <v>375</v>
      </c>
      <c r="F228" s="234" t="str">
        <f>'F5 - Cost Pressures'!B9</f>
        <v>DHCW Citrix Changes</v>
      </c>
      <c r="AM228" s="233">
        <f>'F5 - Cost Pressures'!H9</f>
        <v>0</v>
      </c>
      <c r="AN228" s="233">
        <f>'F5 - Cost Pressures'!I9</f>
        <v>0</v>
      </c>
    </row>
    <row r="229" spans="1:40">
      <c r="A229" s="234" t="str">
        <f>'Front Sheet and Checklist'!$C$5</f>
        <v>Swansea Bay UHB</v>
      </c>
      <c r="B229" s="234" t="s">
        <v>374</v>
      </c>
      <c r="C229" s="234" t="str">
        <f>'F5 - Cost Pressures'!C10</f>
        <v>National Investment Decisions</v>
      </c>
      <c r="D229" s="234" t="str">
        <f>'F5 - Cost Pressures'!D10</f>
        <v>4. Commissioned Activity (inc. CHC)</v>
      </c>
      <c r="E229" s="234" t="s">
        <v>375</v>
      </c>
      <c r="F229" s="234" t="str">
        <f>'F5 - Cost Pressures'!B10</f>
        <v>DHCW SLA Changes (exc MS365/Citrix/LINC)</v>
      </c>
      <c r="AM229" s="233">
        <f>'F5 - Cost Pressures'!H10</f>
        <v>0</v>
      </c>
      <c r="AN229" s="233">
        <f>'F5 - Cost Pressures'!I10</f>
        <v>0</v>
      </c>
    </row>
    <row r="230" spans="1:40">
      <c r="A230" s="234" t="str">
        <f>'Front Sheet and Checklist'!$C$5</f>
        <v>Swansea Bay UHB</v>
      </c>
      <c r="B230" s="234" t="s">
        <v>374</v>
      </c>
      <c r="C230" s="234" t="str">
        <f>'F5 - Cost Pressures'!C11</f>
        <v>National Investment Decisions</v>
      </c>
      <c r="D230" s="234">
        <f>'F5 - Cost Pressures'!D11</f>
        <v>0</v>
      </c>
      <c r="E230" s="234" t="s">
        <v>375</v>
      </c>
      <c r="F230" s="234" t="str">
        <f>'F5 - Cost Pressures'!B11</f>
        <v>NWSSP Workforce Systems</v>
      </c>
      <c r="AM230" s="233">
        <f>'F5 - Cost Pressures'!H11</f>
        <v>0</v>
      </c>
      <c r="AN230" s="233">
        <f>'F5 - Cost Pressures'!I11</f>
        <v>0</v>
      </c>
    </row>
    <row r="231" spans="1:40">
      <c r="A231" s="234" t="str">
        <f>'Front Sheet and Checklist'!$C$5</f>
        <v>Swansea Bay UHB</v>
      </c>
      <c r="B231" s="234" t="s">
        <v>374</v>
      </c>
      <c r="C231" s="234" t="str">
        <f>'F5 - Cost Pressures'!C12</f>
        <v>National Investment Decisions</v>
      </c>
      <c r="D231" s="234">
        <f>'F5 - Cost Pressures'!D12</f>
        <v>0</v>
      </c>
      <c r="E231" s="234" t="s">
        <v>375</v>
      </c>
      <c r="F231" s="234" t="str">
        <f>'F5 - Cost Pressures'!B12</f>
        <v>NWSSP Transactional Costs</v>
      </c>
      <c r="AM231" s="233">
        <f>'F5 - Cost Pressures'!H12</f>
        <v>0</v>
      </c>
      <c r="AN231" s="233">
        <f>'F5 - Cost Pressures'!I12</f>
        <v>0</v>
      </c>
    </row>
    <row r="232" spans="1:40">
      <c r="A232" s="234" t="str">
        <f>'Front Sheet and Checklist'!$C$5</f>
        <v>Swansea Bay UHB</v>
      </c>
      <c r="B232" s="234" t="s">
        <v>374</v>
      </c>
      <c r="C232" s="234" t="str">
        <f>'F5 - Cost Pressures'!C13</f>
        <v>National Investment Decisions</v>
      </c>
      <c r="D232" s="234">
        <f>'F5 - Cost Pressures'!D13</f>
        <v>0</v>
      </c>
      <c r="E232" s="234" t="s">
        <v>375</v>
      </c>
      <c r="F232" s="234" t="str">
        <f>'F5 - Cost Pressures'!B13</f>
        <v>NWSSP WRP additional contribution</v>
      </c>
      <c r="AM232" s="233">
        <f>'F5 - Cost Pressures'!H13</f>
        <v>0</v>
      </c>
      <c r="AN232" s="233">
        <f>'F5 - Cost Pressures'!I13</f>
        <v>0</v>
      </c>
    </row>
    <row r="233" spans="1:40">
      <c r="A233" s="234" t="str">
        <f>'Front Sheet and Checklist'!$C$5</f>
        <v>Swansea Bay UHB</v>
      </c>
      <c r="B233" s="234" t="s">
        <v>374</v>
      </c>
      <c r="C233" s="234" t="str">
        <f>'F5 - Cost Pressures'!C14</f>
        <v>National Investment Decisions</v>
      </c>
      <c r="D233" s="234">
        <f>'F5 - Cost Pressures'!D14</f>
        <v>0</v>
      </c>
      <c r="E233" s="234" t="s">
        <v>375</v>
      </c>
      <c r="F233" s="234" t="str">
        <f>'F5 - Cost Pressures'!B14</f>
        <v>NWSSP Scan4Ssafety Recharge</v>
      </c>
      <c r="AM233" s="233">
        <f>'F5 - Cost Pressures'!H14</f>
        <v>0</v>
      </c>
      <c r="AN233" s="233">
        <f>'F5 - Cost Pressures'!I14</f>
        <v>0</v>
      </c>
    </row>
    <row r="234" spans="1:40">
      <c r="A234" s="234" t="str">
        <f>'Front Sheet and Checklist'!$C$5</f>
        <v>Swansea Bay UHB</v>
      </c>
      <c r="B234" s="234" t="s">
        <v>374</v>
      </c>
      <c r="C234" s="234" t="str">
        <f>'F5 - Cost Pressures'!C15</f>
        <v>National Investment Decisions</v>
      </c>
      <c r="D234" s="234">
        <f>'F5 - Cost Pressures'!D15</f>
        <v>0</v>
      </c>
      <c r="E234" s="234" t="s">
        <v>375</v>
      </c>
      <c r="F234" s="234" t="str">
        <f>'F5 - Cost Pressures'!B15</f>
        <v>ICNET PHW System</v>
      </c>
      <c r="AM234" s="233">
        <f>'F5 - Cost Pressures'!H15</f>
        <v>0</v>
      </c>
      <c r="AN234" s="233">
        <f>'F5 - Cost Pressures'!I15</f>
        <v>0</v>
      </c>
    </row>
    <row r="235" spans="1:40">
      <c r="A235" s="234" t="str">
        <f>'Front Sheet and Checklist'!$C$5</f>
        <v>Swansea Bay UHB</v>
      </c>
      <c r="B235" s="234" t="s">
        <v>374</v>
      </c>
      <c r="C235" s="234" t="str">
        <f>'F5 - Cost Pressures'!C16</f>
        <v>National Investment Decisions</v>
      </c>
      <c r="D235" s="234">
        <f>'F5 - Cost Pressures'!D16</f>
        <v>0</v>
      </c>
      <c r="E235" s="234" t="s">
        <v>375</v>
      </c>
      <c r="F235" s="234" t="str">
        <f>'F5 - Cost Pressures'!B16</f>
        <v>LINC</v>
      </c>
      <c r="AM235" s="233">
        <f>'F5 - Cost Pressures'!H16</f>
        <v>0</v>
      </c>
      <c r="AN235" s="233">
        <f>'F5 - Cost Pressures'!I16</f>
        <v>0</v>
      </c>
    </row>
    <row r="236" spans="1:40">
      <c r="A236" s="234" t="str">
        <f>'Front Sheet and Checklist'!$C$5</f>
        <v>Swansea Bay UHB</v>
      </c>
      <c r="B236" s="234" t="s">
        <v>374</v>
      </c>
      <c r="C236" s="234" t="str">
        <f>'F5 - Cost Pressures'!C17</f>
        <v>National Investment Decisions</v>
      </c>
      <c r="D236" s="234">
        <f>'F5 - Cost Pressures'!D17</f>
        <v>0</v>
      </c>
      <c r="E236" s="234" t="s">
        <v>375</v>
      </c>
      <c r="F236" s="234" t="str">
        <f>'F5 - Cost Pressures'!B17</f>
        <v>RISP</v>
      </c>
      <c r="AM236" s="233">
        <f>'F5 - Cost Pressures'!H17</f>
        <v>275</v>
      </c>
      <c r="AN236" s="233">
        <f>'F5 - Cost Pressures'!I17</f>
        <v>275</v>
      </c>
    </row>
    <row r="237" spans="1:40">
      <c r="A237" s="234" t="str">
        <f>'Front Sheet and Checklist'!$C$5</f>
        <v>Swansea Bay UHB</v>
      </c>
      <c r="B237" s="234" t="s">
        <v>374</v>
      </c>
      <c r="C237" s="234" t="str">
        <f>'F5 - Cost Pressures'!C18</f>
        <v>National Investment Decisions</v>
      </c>
      <c r="D237" s="234">
        <f>'F5 - Cost Pressures'!D18</f>
        <v>0</v>
      </c>
      <c r="E237" s="234" t="s">
        <v>375</v>
      </c>
      <c r="F237" s="234" t="str">
        <f>'F5 - Cost Pressures'!B18</f>
        <v>Cell Path New Digital System</v>
      </c>
      <c r="AM237" s="233">
        <f>'F5 - Cost Pressures'!H18</f>
        <v>0</v>
      </c>
      <c r="AN237" s="233">
        <f>'F5 - Cost Pressures'!I18</f>
        <v>0</v>
      </c>
    </row>
    <row r="238" spans="1:40">
      <c r="A238" s="234" t="str">
        <f>'Front Sheet and Checklist'!$C$5</f>
        <v>Swansea Bay UHB</v>
      </c>
      <c r="B238" s="234" t="s">
        <v>374</v>
      </c>
      <c r="C238" s="234" t="str">
        <f>'F5 - Cost Pressures'!C19</f>
        <v>National Investment Decisions</v>
      </c>
      <c r="D238" s="234">
        <f>'F5 - Cost Pressures'!D19</f>
        <v>0</v>
      </c>
      <c r="E238" s="234" t="s">
        <v>375</v>
      </c>
      <c r="F238" s="234" t="str">
        <f>'F5 - Cost Pressures'!B19</f>
        <v>E-Prescribing</v>
      </c>
      <c r="AM238" s="233">
        <f>'F5 - Cost Pressures'!H19</f>
        <v>0</v>
      </c>
      <c r="AN238" s="233">
        <f>'F5 - Cost Pressures'!I19</f>
        <v>0</v>
      </c>
    </row>
    <row r="239" spans="1:40">
      <c r="A239" s="234" t="str">
        <f>'Front Sheet and Checklist'!$C$5</f>
        <v>Swansea Bay UHB</v>
      </c>
      <c r="B239" s="234" t="s">
        <v>374</v>
      </c>
      <c r="C239" s="234" t="str">
        <f>'F5 - Cost Pressures'!C20</f>
        <v>Macro Economic Inflation</v>
      </c>
      <c r="D239" s="234">
        <f>'F5 - Cost Pressures'!D20</f>
        <v>0</v>
      </c>
      <c r="E239" s="234" t="s">
        <v>375</v>
      </c>
      <c r="F239" s="234" t="str">
        <f>'F5 - Cost Pressures'!B20</f>
        <v>General Non Pay Inflation</v>
      </c>
      <c r="AM239" s="233">
        <f>'F5 - Cost Pressures'!H20</f>
        <v>0</v>
      </c>
      <c r="AN239" s="233">
        <f>'F5 - Cost Pressures'!I20</f>
        <v>0</v>
      </c>
    </row>
    <row r="240" spans="1:40">
      <c r="A240" s="234" t="str">
        <f>'Front Sheet and Checklist'!$C$5</f>
        <v>Swansea Bay UHB</v>
      </c>
      <c r="B240" s="234" t="s">
        <v>374</v>
      </c>
      <c r="C240" s="234" t="str">
        <f>'F5 - Cost Pressures'!C21</f>
        <v>Macro Economic Inflation</v>
      </c>
      <c r="D240" s="234">
        <f>'F5 - Cost Pressures'!D21</f>
        <v>0</v>
      </c>
      <c r="E240" s="234" t="s">
        <v>375</v>
      </c>
      <c r="F240" s="234" t="str">
        <f>'F5 - Cost Pressures'!B21</f>
        <v>GP Prescribing</v>
      </c>
      <c r="AM240" s="233">
        <f>'F5 - Cost Pressures'!H21</f>
        <v>0</v>
      </c>
      <c r="AN240" s="233">
        <f>'F5 - Cost Pressures'!I21</f>
        <v>0</v>
      </c>
    </row>
    <row r="241" spans="1:40">
      <c r="A241" s="234" t="str">
        <f>'Front Sheet and Checklist'!$C$5</f>
        <v>Swansea Bay UHB</v>
      </c>
      <c r="B241" s="234" t="s">
        <v>374</v>
      </c>
      <c r="C241" s="234" t="str">
        <f>'F5 - Cost Pressures'!C22</f>
        <v>Macro Economic Inflation</v>
      </c>
      <c r="D241" s="234">
        <f>'F5 - Cost Pressures'!D22</f>
        <v>0</v>
      </c>
      <c r="E241" s="234" t="s">
        <v>375</v>
      </c>
      <c r="F241" s="234" t="str">
        <f>'F5 - Cost Pressures'!B22</f>
        <v>NICE inflation</v>
      </c>
      <c r="AM241" s="233">
        <f>'F5 - Cost Pressures'!H22</f>
        <v>0</v>
      </c>
      <c r="AN241" s="233">
        <f>'F5 - Cost Pressures'!I22</f>
        <v>0</v>
      </c>
    </row>
    <row r="242" spans="1:40">
      <c r="A242" s="234" t="str">
        <f>'Front Sheet and Checklist'!$C$5</f>
        <v>Swansea Bay UHB</v>
      </c>
      <c r="B242" s="234" t="s">
        <v>374</v>
      </c>
      <c r="C242" s="234" t="str">
        <f>'F5 - Cost Pressures'!C23</f>
        <v>Macro Economic Inflation</v>
      </c>
      <c r="D242" s="234">
        <f>'F5 - Cost Pressures'!D23</f>
        <v>0</v>
      </c>
      <c r="E242" s="234" t="s">
        <v>375</v>
      </c>
      <c r="F242" s="234" t="str">
        <f>'F5 - Cost Pressures'!B23</f>
        <v>Secondary Care Drugs (2nd Care Tab Allocation Workings File)</v>
      </c>
      <c r="AM242" s="233">
        <f>'F5 - Cost Pressures'!H23</f>
        <v>0</v>
      </c>
      <c r="AN242" s="233">
        <f>'F5 - Cost Pressures'!I23</f>
        <v>0</v>
      </c>
    </row>
    <row r="243" spans="1:40">
      <c r="A243" s="234" t="str">
        <f>'Front Sheet and Checklist'!$C$5</f>
        <v>Swansea Bay UHB</v>
      </c>
      <c r="B243" s="234" t="s">
        <v>374</v>
      </c>
      <c r="C243" s="234" t="str">
        <f>'F5 - Cost Pressures'!C24</f>
        <v>Macro Economic Inflation</v>
      </c>
      <c r="D243" s="234">
        <f>'F5 - Cost Pressures'!D24</f>
        <v>0</v>
      </c>
      <c r="E243" s="234" t="s">
        <v>375</v>
      </c>
      <c r="F243" s="234" t="str">
        <f>'F5 - Cost Pressures'!B24</f>
        <v xml:space="preserve">PCT (CHC &amp; FNC) </v>
      </c>
      <c r="AM243" s="233">
        <f>'F5 - Cost Pressures'!H24</f>
        <v>0</v>
      </c>
      <c r="AN243" s="233">
        <f>'F5 - Cost Pressures'!I24</f>
        <v>0</v>
      </c>
    </row>
    <row r="244" spans="1:40">
      <c r="A244" s="234" t="str">
        <f>'Front Sheet and Checklist'!$C$5</f>
        <v>Swansea Bay UHB</v>
      </c>
      <c r="B244" s="234" t="s">
        <v>374</v>
      </c>
      <c r="C244" s="234" t="str">
        <f>'F5 - Cost Pressures'!C25</f>
        <v>Macro Economic Inflation</v>
      </c>
      <c r="D244" s="234">
        <f>'F5 - Cost Pressures'!D25</f>
        <v>0</v>
      </c>
      <c r="E244" s="234" t="s">
        <v>375</v>
      </c>
      <c r="F244" s="234" t="str">
        <f>'F5 - Cost Pressures'!B25</f>
        <v>MHLD (CHC)</v>
      </c>
      <c r="AM244" s="233">
        <f>'F5 - Cost Pressures'!H25</f>
        <v>0</v>
      </c>
      <c r="AN244" s="233">
        <f>'F5 - Cost Pressures'!I25</f>
        <v>0</v>
      </c>
    </row>
    <row r="245" spans="1:40">
      <c r="A245" s="234" t="str">
        <f>'Front Sheet and Checklist'!$C$5</f>
        <v>Swansea Bay UHB</v>
      </c>
      <c r="B245" s="234" t="s">
        <v>374</v>
      </c>
      <c r="C245" s="234" t="str">
        <f>'F5 - Cost Pressures'!C26</f>
        <v>Macro Economic Inflation</v>
      </c>
      <c r="D245" s="234">
        <f>'F5 - Cost Pressures'!D26</f>
        <v>0</v>
      </c>
      <c r="E245" s="234" t="s">
        <v>375</v>
      </c>
      <c r="F245" s="234" t="str">
        <f>'F5 - Cost Pressures'!B26</f>
        <v>External Providers – WHSSC @ 3.67%</v>
      </c>
      <c r="AM245" s="233">
        <f>'F5 - Cost Pressures'!H26</f>
        <v>0</v>
      </c>
      <c r="AN245" s="233">
        <f>'F5 - Cost Pressures'!I26</f>
        <v>0</v>
      </c>
    </row>
    <row r="246" spans="1:40">
      <c r="A246" s="234" t="str">
        <f>'Front Sheet and Checklist'!$C$5</f>
        <v>Swansea Bay UHB</v>
      </c>
      <c r="B246" s="234" t="s">
        <v>374</v>
      </c>
      <c r="C246" s="234" t="str">
        <f>'F5 - Cost Pressures'!C27</f>
        <v>Macro Economic Inflation</v>
      </c>
      <c r="D246" s="234">
        <f>'F5 - Cost Pressures'!D27</f>
        <v>0</v>
      </c>
      <c r="E246" s="234" t="s">
        <v>375</v>
      </c>
      <c r="F246" s="234" t="str">
        <f>'F5 - Cost Pressures'!B27</f>
        <v>External Providers – EASC @ 3.67%</v>
      </c>
      <c r="AM246" s="233">
        <f>'F5 - Cost Pressures'!H27</f>
        <v>0</v>
      </c>
      <c r="AN246" s="233">
        <f>'F5 - Cost Pressures'!I27</f>
        <v>0</v>
      </c>
    </row>
    <row r="247" spans="1:40">
      <c r="A247" s="234" t="str">
        <f>'Front Sheet and Checklist'!$C$5</f>
        <v>Swansea Bay UHB</v>
      </c>
      <c r="B247" s="234" t="s">
        <v>374</v>
      </c>
      <c r="C247" s="234" t="str">
        <f>'F5 - Cost Pressures'!C28</f>
        <v>Macro Economic Inflation</v>
      </c>
      <c r="D247" s="234">
        <f>'F5 - Cost Pressures'!D28</f>
        <v>0</v>
      </c>
      <c r="E247" s="234" t="s">
        <v>375</v>
      </c>
      <c r="F247" s="234" t="str">
        <f>'F5 - Cost Pressures'!B28</f>
        <v>GP Prescribing</v>
      </c>
      <c r="AM247" s="233">
        <f>'F5 - Cost Pressures'!H28</f>
        <v>0</v>
      </c>
      <c r="AN247" s="233">
        <f>'F5 - Cost Pressures'!I28</f>
        <v>0</v>
      </c>
    </row>
    <row r="248" spans="1:40">
      <c r="A248" s="234" t="str">
        <f>'Front Sheet and Checklist'!$C$5</f>
        <v>Swansea Bay UHB</v>
      </c>
      <c r="B248" s="234" t="s">
        <v>374</v>
      </c>
      <c r="C248" s="234" t="str">
        <f>'F5 - Cost Pressures'!C29</f>
        <v>Macro Economic Inflation</v>
      </c>
      <c r="D248" s="234">
        <f>'F5 - Cost Pressures'!D29</f>
        <v>0</v>
      </c>
      <c r="E248" s="234" t="s">
        <v>375</v>
      </c>
      <c r="F248" s="234" t="str">
        <f>'F5 - Cost Pressures'!B29</f>
        <v xml:space="preserve">NICE drugs growth </v>
      </c>
      <c r="AM248" s="233">
        <f>'F5 - Cost Pressures'!H29</f>
        <v>0</v>
      </c>
      <c r="AN248" s="233">
        <f>'F5 - Cost Pressures'!I29</f>
        <v>0</v>
      </c>
    </row>
    <row r="249" spans="1:40">
      <c r="A249" s="234" t="str">
        <f>'Front Sheet and Checklist'!$C$5</f>
        <v>Swansea Bay UHB</v>
      </c>
      <c r="B249" s="234" t="s">
        <v>374</v>
      </c>
      <c r="C249" s="234" t="str">
        <f>'F5 - Cost Pressures'!C30</f>
        <v>Macro Economic Inflation</v>
      </c>
      <c r="D249" s="234">
        <f>'F5 - Cost Pressures'!D30</f>
        <v>0</v>
      </c>
      <c r="E249" s="234" t="s">
        <v>375</v>
      </c>
      <c r="F249" s="234" t="str">
        <f>'F5 - Cost Pressures'!B30</f>
        <v xml:space="preserve">PCT (CHC &amp; FNC) </v>
      </c>
      <c r="AM249" s="233">
        <f>'F5 - Cost Pressures'!H30</f>
        <v>0</v>
      </c>
      <c r="AN249" s="233">
        <f>'F5 - Cost Pressures'!I30</f>
        <v>0</v>
      </c>
    </row>
    <row r="250" spans="1:40">
      <c r="A250" s="234" t="str">
        <f>'Front Sheet and Checklist'!$C$5</f>
        <v>Swansea Bay UHB</v>
      </c>
      <c r="B250" s="234" t="s">
        <v>374</v>
      </c>
      <c r="C250" s="234" t="str">
        <f>'F5 - Cost Pressures'!C31</f>
        <v>Macro Economic Inflation</v>
      </c>
      <c r="D250" s="234">
        <f>'F5 - Cost Pressures'!D31</f>
        <v>0</v>
      </c>
      <c r="E250" s="234" t="s">
        <v>375</v>
      </c>
      <c r="F250" s="234" t="str">
        <f>'F5 - Cost Pressures'!B31</f>
        <v xml:space="preserve">MH Packages of Care </v>
      </c>
      <c r="AM250" s="233">
        <f>'F5 - Cost Pressures'!H31</f>
        <v>0</v>
      </c>
      <c r="AN250" s="233">
        <f>'F5 - Cost Pressures'!I31</f>
        <v>0</v>
      </c>
    </row>
    <row r="251" spans="1:40">
      <c r="A251" s="234" t="str">
        <f>'Front Sheet and Checklist'!$C$5</f>
        <v>Swansea Bay UHB</v>
      </c>
      <c r="B251" s="234" t="s">
        <v>374</v>
      </c>
      <c r="C251" s="234" t="str">
        <f>'F5 - Cost Pressures'!C32</f>
        <v>Contractual or unavoidable</v>
      </c>
      <c r="D251" s="234">
        <f>'F5 - Cost Pressures'!D32</f>
        <v>0</v>
      </c>
      <c r="E251" s="234" t="s">
        <v>375</v>
      </c>
      <c r="F251" s="234" t="str">
        <f>'F5 - Cost Pressures'!B32</f>
        <v>External Providers – WHSSC new developments</v>
      </c>
      <c r="AM251" s="233">
        <f>'F5 - Cost Pressures'!H32</f>
        <v>0</v>
      </c>
      <c r="AN251" s="233">
        <f>'F5 - Cost Pressures'!I32</f>
        <v>0</v>
      </c>
    </row>
    <row r="252" spans="1:40">
      <c r="A252" s="234" t="str">
        <f>'Front Sheet and Checklist'!$C$5</f>
        <v>Swansea Bay UHB</v>
      </c>
      <c r="B252" s="234" t="s">
        <v>374</v>
      </c>
      <c r="C252" s="234" t="str">
        <f>'F5 - Cost Pressures'!C33</f>
        <v>Contractual or unavoidable</v>
      </c>
      <c r="D252" s="234">
        <f>'F5 - Cost Pressures'!D33</f>
        <v>0</v>
      </c>
      <c r="E252" s="234" t="s">
        <v>375</v>
      </c>
      <c r="F252" s="234" t="str">
        <f>'F5 - Cost Pressures'!B33</f>
        <v>External Providers – EASC new developments</v>
      </c>
      <c r="AM252" s="233">
        <f>'F5 - Cost Pressures'!H33</f>
        <v>0</v>
      </c>
      <c r="AN252" s="233">
        <f>'F5 - Cost Pressures'!I33</f>
        <v>0</v>
      </c>
    </row>
    <row r="253" spans="1:40">
      <c r="A253" s="234" t="str">
        <f>'Front Sheet and Checklist'!$C$5</f>
        <v>Swansea Bay UHB</v>
      </c>
      <c r="B253" s="234" t="s">
        <v>374</v>
      </c>
      <c r="C253" s="234">
        <f>'F5 - Cost Pressures'!C34</f>
        <v>0</v>
      </c>
      <c r="D253" s="234">
        <f>'F5 - Cost Pressures'!D34</f>
        <v>0</v>
      </c>
      <c r="E253" s="234" t="s">
        <v>375</v>
      </c>
      <c r="F253" s="234" t="str">
        <f>'F5 - Cost Pressures'!B34</f>
        <v>TTP</v>
      </c>
      <c r="AM253" s="233">
        <f>'F5 - Cost Pressures'!H34</f>
        <v>0</v>
      </c>
      <c r="AN253" s="233">
        <f>'F5 - Cost Pressures'!I34</f>
        <v>0</v>
      </c>
    </row>
    <row r="254" spans="1:40">
      <c r="A254" s="234" t="str">
        <f>'Front Sheet and Checklist'!$C$5</f>
        <v>Swansea Bay UHB</v>
      </c>
      <c r="B254" s="234" t="s">
        <v>374</v>
      </c>
      <c r="C254" s="234">
        <f>'F5 - Cost Pressures'!C35</f>
        <v>0</v>
      </c>
      <c r="D254" s="234">
        <f>'F5 - Cost Pressures'!D35</f>
        <v>0</v>
      </c>
      <c r="E254" s="234" t="s">
        <v>375</v>
      </c>
      <c r="F254" s="234" t="str">
        <f>'F5 - Cost Pressures'!B35</f>
        <v>Mass Vac</v>
      </c>
      <c r="AM254" s="233">
        <f>'F5 - Cost Pressures'!H35</f>
        <v>0</v>
      </c>
      <c r="AN254" s="233">
        <f>'F5 - Cost Pressures'!I35</f>
        <v>0</v>
      </c>
    </row>
    <row r="255" spans="1:40">
      <c r="A255" s="234" t="str">
        <f>'Front Sheet and Checklist'!$C$5</f>
        <v>Swansea Bay UHB</v>
      </c>
      <c r="B255" s="234" t="s">
        <v>374</v>
      </c>
      <c r="C255" s="234">
        <f>'F5 - Cost Pressures'!C36</f>
        <v>0</v>
      </c>
      <c r="D255" s="234">
        <f>'F5 - Cost Pressures'!D36</f>
        <v>0</v>
      </c>
      <c r="E255" s="234" t="s">
        <v>375</v>
      </c>
      <c r="F255" s="234" t="str">
        <f>'F5 - Cost Pressures'!B36</f>
        <v>PPE (PPE Tab Allocation Working File)</v>
      </c>
      <c r="AM255" s="233">
        <f>'F5 - Cost Pressures'!H36</f>
        <v>0</v>
      </c>
      <c r="AN255" s="233">
        <f>'F5 - Cost Pressures'!I36</f>
        <v>0</v>
      </c>
    </row>
    <row r="256" spans="1:40">
      <c r="A256" s="234" t="str">
        <f>'Front Sheet and Checklist'!$C$5</f>
        <v>Swansea Bay UHB</v>
      </c>
      <c r="B256" s="234" t="s">
        <v>374</v>
      </c>
      <c r="C256" s="234" t="str">
        <f>'F5 - Cost Pressures'!C37</f>
        <v>Macro Economic Inflation</v>
      </c>
      <c r="D256" s="234">
        <f>'F5 - Cost Pressures'!D37</f>
        <v>0</v>
      </c>
      <c r="E256" s="234" t="s">
        <v>375</v>
      </c>
      <c r="F256" s="234" t="str">
        <f>'F5 - Cost Pressures'!B37</f>
        <v>Energy/fuel increases (See Energy Tab Allocation Working File for note)</v>
      </c>
      <c r="AM256" s="233">
        <f>'F5 - Cost Pressures'!H37</f>
        <v>0</v>
      </c>
      <c r="AN256" s="233">
        <f>'F5 - Cost Pressures'!I37</f>
        <v>0</v>
      </c>
    </row>
    <row r="257" spans="1:40">
      <c r="A257" s="234" t="str">
        <f>'Front Sheet and Checklist'!$C$5</f>
        <v>Swansea Bay UHB</v>
      </c>
      <c r="B257" s="234" t="s">
        <v>374</v>
      </c>
      <c r="C257" s="234" t="str">
        <f>'F5 - Cost Pressures'!C38</f>
        <v>Macro Economic Inflation</v>
      </c>
      <c r="D257" s="234">
        <f>'F5 - Cost Pressures'!D38</f>
        <v>0</v>
      </c>
      <c r="E257" s="234" t="s">
        <v>375</v>
      </c>
      <c r="F257" s="234" t="str">
        <f>'F5 - Cost Pressures'!B38</f>
        <v>NWSSP Laundry Recharge</v>
      </c>
      <c r="AM257" s="233">
        <f>'F5 - Cost Pressures'!H38</f>
        <v>0</v>
      </c>
      <c r="AN257" s="233">
        <f>'F5 - Cost Pressures'!I38</f>
        <v>0</v>
      </c>
    </row>
    <row r="258" spans="1:40">
      <c r="A258" s="234" t="str">
        <f>'Front Sheet and Checklist'!$C$5</f>
        <v>Swansea Bay UHB</v>
      </c>
      <c r="B258" s="234" t="s">
        <v>374</v>
      </c>
      <c r="C258" s="234" t="str">
        <f>'F5 - Cost Pressures'!C39</f>
        <v>Macro Economic Inflation</v>
      </c>
      <c r="D258" s="234">
        <f>'F5 - Cost Pressures'!D39</f>
        <v>0</v>
      </c>
      <c r="E258" s="234" t="s">
        <v>375</v>
      </c>
      <c r="F258" s="234" t="str">
        <f>'F5 - Cost Pressures'!B39</f>
        <v>Real Living Wage - Care Homes and Dom Care 2022/23</v>
      </c>
      <c r="AM258" s="233">
        <f>'F5 - Cost Pressures'!H39</f>
        <v>0</v>
      </c>
      <c r="AN258" s="233">
        <f>'F5 - Cost Pressures'!I39</f>
        <v>0</v>
      </c>
    </row>
    <row r="259" spans="1:40">
      <c r="A259" s="234" t="str">
        <f>'Front Sheet and Checklist'!$C$5</f>
        <v>Swansea Bay UHB</v>
      </c>
      <c r="B259" s="234" t="s">
        <v>374</v>
      </c>
      <c r="C259" s="234" t="str">
        <f>'F5 - Cost Pressures'!C40</f>
        <v>Macro Economic Inflation</v>
      </c>
      <c r="D259" s="234">
        <f>'F5 - Cost Pressures'!D40</f>
        <v>0</v>
      </c>
      <c r="E259" s="234" t="s">
        <v>375</v>
      </c>
      <c r="F259" s="234" t="str">
        <f>'F5 - Cost Pressures'!B40</f>
        <v>Real Living Wage - Care Homes and Dom Care 2023/24</v>
      </c>
      <c r="AM259" s="233">
        <f>'F5 - Cost Pressures'!H40</f>
        <v>0</v>
      </c>
      <c r="AN259" s="233">
        <f>'F5 - Cost Pressures'!I40</f>
        <v>0</v>
      </c>
    </row>
    <row r="260" spans="1:40">
      <c r="A260" s="234" t="str">
        <f>'Front Sheet and Checklist'!$C$5</f>
        <v>Swansea Bay UHB</v>
      </c>
      <c r="B260" s="234" t="s">
        <v>374</v>
      </c>
      <c r="C260" s="234" t="str">
        <f>'F5 - Cost Pressures'!C41</f>
        <v>Local Investment Decisions</v>
      </c>
      <c r="D260" s="234">
        <f>'F5 - Cost Pressures'!D41</f>
        <v>0</v>
      </c>
      <c r="E260" s="234" t="s">
        <v>375</v>
      </c>
      <c r="F260" s="234" t="str">
        <f>'F5 - Cost Pressures'!B41</f>
        <v xml:space="preserve">Investment Decisions Sustainability </v>
      </c>
      <c r="AM260" s="233">
        <f>'F5 - Cost Pressures'!H41</f>
        <v>15734</v>
      </c>
      <c r="AN260" s="233">
        <f>'F5 - Cost Pressures'!I41</f>
        <v>15734</v>
      </c>
    </row>
    <row r="261" spans="1:40">
      <c r="A261" s="234" t="str">
        <f>'Front Sheet and Checklist'!$C$5</f>
        <v>Swansea Bay UHB</v>
      </c>
      <c r="B261" s="234" t="s">
        <v>374</v>
      </c>
      <c r="C261" s="234" t="str">
        <f>'F5 - Cost Pressures'!C42</f>
        <v>Local Investment Decisions</v>
      </c>
      <c r="D261" s="234">
        <f>'F5 - Cost Pressures'!D42</f>
        <v>0</v>
      </c>
      <c r="E261" s="234" t="s">
        <v>375</v>
      </c>
      <c r="F261" s="234" t="str">
        <f>'F5 - Cost Pressures'!B42</f>
        <v>UEC (TI)  Expansion of Virtual Ward from 5 – 7 Day services</v>
      </c>
      <c r="AM261" s="233">
        <f>'F5 - Cost Pressures'!H42</f>
        <v>600</v>
      </c>
      <c r="AN261" s="233">
        <f>'F5 - Cost Pressures'!I42</f>
        <v>600</v>
      </c>
    </row>
    <row r="262" spans="1:40">
      <c r="A262" s="234" t="str">
        <f>'Front Sheet and Checklist'!$C$5</f>
        <v>Swansea Bay UHB</v>
      </c>
      <c r="B262" s="234" t="s">
        <v>374</v>
      </c>
      <c r="C262" s="234" t="str">
        <f>'F5 - Cost Pressures'!C43</f>
        <v>Local Investment Decisions</v>
      </c>
      <c r="D262" s="234">
        <f>'F5 - Cost Pressures'!D43</f>
        <v>0</v>
      </c>
      <c r="E262" s="234" t="s">
        <v>375</v>
      </c>
      <c r="F262" s="234" t="str">
        <f>'F5 - Cost Pressures'!B43</f>
        <v>UEC (TI)  Implement Productive Wards, e.g. SAFER, CLD, D2RA</v>
      </c>
      <c r="AM262" s="233">
        <f>'F5 - Cost Pressures'!H43</f>
        <v>150</v>
      </c>
      <c r="AN262" s="233">
        <f>'F5 - Cost Pressures'!I43</f>
        <v>150</v>
      </c>
    </row>
    <row r="263" spans="1:40">
      <c r="A263" s="234" t="str">
        <f>'Front Sheet and Checklist'!$C$5</f>
        <v>Swansea Bay UHB</v>
      </c>
      <c r="B263" s="234" t="s">
        <v>374</v>
      </c>
      <c r="C263" s="234" t="str">
        <f>'F5 - Cost Pressures'!C44</f>
        <v>Local Investment Decisions</v>
      </c>
      <c r="D263" s="234">
        <f>'F5 - Cost Pressures'!D44</f>
        <v>0</v>
      </c>
      <c r="E263" s="234" t="s">
        <v>375</v>
      </c>
      <c r="F263" s="234" t="str">
        <f>'F5 - Cost Pressures'!B44</f>
        <v xml:space="preserve">Regional Service HPB Centralisation </v>
      </c>
      <c r="AM263" s="233">
        <f>'F5 - Cost Pressures'!H44</f>
        <v>40</v>
      </c>
      <c r="AN263" s="233">
        <f>'F5 - Cost Pressures'!I44</f>
        <v>40</v>
      </c>
    </row>
    <row r="264" spans="1:40">
      <c r="A264" s="234" t="str">
        <f>'Front Sheet and Checklist'!$C$5</f>
        <v>Swansea Bay UHB</v>
      </c>
      <c r="B264" s="234" t="s">
        <v>374</v>
      </c>
      <c r="C264" s="234" t="str">
        <f>'F5 - Cost Pressures'!C45</f>
        <v>Local Investment Decisions</v>
      </c>
      <c r="D264" s="234">
        <f>'F5 - Cost Pressures'!D45</f>
        <v>0</v>
      </c>
      <c r="E264" s="234" t="s">
        <v>375</v>
      </c>
      <c r="F264" s="234" t="str">
        <f>'F5 - Cost Pressures'!B45</f>
        <v xml:space="preserve">Cancer OG </v>
      </c>
      <c r="AM264" s="233">
        <f>'F5 - Cost Pressures'!H45</f>
        <v>50</v>
      </c>
      <c r="AN264" s="233">
        <f>'F5 - Cost Pressures'!I45</f>
        <v>50</v>
      </c>
    </row>
    <row r="265" spans="1:40">
      <c r="A265" s="234" t="str">
        <f>'Front Sheet and Checklist'!$C$5</f>
        <v>Swansea Bay UHB</v>
      </c>
      <c r="B265" s="234" t="s">
        <v>374</v>
      </c>
      <c r="C265" s="234" t="str">
        <f>'F5 - Cost Pressures'!C46</f>
        <v>Local Investment Decisions</v>
      </c>
      <c r="D265" s="234">
        <f>'F5 - Cost Pressures'!D46</f>
        <v>0</v>
      </c>
      <c r="E265" s="234" t="s">
        <v>375</v>
      </c>
      <c r="F265" s="234" t="str">
        <f>'F5 - Cost Pressures'!B46</f>
        <v>Cancer Gynae (Hysteroscopy &amp; Oncology)</v>
      </c>
      <c r="AM265" s="233">
        <f>'F5 - Cost Pressures'!H46</f>
        <v>225</v>
      </c>
      <c r="AN265" s="233">
        <f>'F5 - Cost Pressures'!I46</f>
        <v>225</v>
      </c>
    </row>
    <row r="266" spans="1:40">
      <c r="A266" s="234" t="str">
        <f>'Front Sheet and Checklist'!$C$5</f>
        <v>Swansea Bay UHB</v>
      </c>
      <c r="B266" s="234" t="s">
        <v>374</v>
      </c>
      <c r="C266" s="234" t="str">
        <f>'F5 - Cost Pressures'!C47</f>
        <v>Local Investment Decisions</v>
      </c>
      <c r="D266" s="234">
        <f>'F5 - Cost Pressures'!D47</f>
        <v>0</v>
      </c>
      <c r="E266" s="234" t="s">
        <v>375</v>
      </c>
      <c r="F266" s="234" t="str">
        <f>'F5 - Cost Pressures'!B47</f>
        <v>Primary Care &amp; Community Further Increase DN above £0.5m 23/24</v>
      </c>
      <c r="AM266" s="233">
        <f>'F5 - Cost Pressures'!H47</f>
        <v>250</v>
      </c>
      <c r="AN266" s="233">
        <f>'F5 - Cost Pressures'!I47</f>
        <v>250</v>
      </c>
    </row>
    <row r="267" spans="1:40">
      <c r="A267" s="234" t="str">
        <f>'Front Sheet and Checklist'!$C$5</f>
        <v>Swansea Bay UHB</v>
      </c>
      <c r="B267" s="234" t="s">
        <v>374</v>
      </c>
      <c r="C267" s="234" t="str">
        <f>'F5 - Cost Pressures'!C48</f>
        <v>Local Investment Decisions</v>
      </c>
      <c r="D267" s="234">
        <f>'F5 - Cost Pressures'!D48</f>
        <v>0</v>
      </c>
      <c r="E267" s="234" t="s">
        <v>375</v>
      </c>
      <c r="F267" s="234" t="str">
        <f>'F5 - Cost Pressures'!B48</f>
        <v>CYP ALN Addition Infrastructure (DoT)</v>
      </c>
      <c r="AM267" s="233">
        <f>'F5 - Cost Pressures'!H48</f>
        <v>0</v>
      </c>
      <c r="AN267" s="233">
        <f>'F5 - Cost Pressures'!I48</f>
        <v>0</v>
      </c>
    </row>
    <row r="268" spans="1:40">
      <c r="A268" s="234" t="str">
        <f>'Front Sheet and Checklist'!$C$5</f>
        <v>Swansea Bay UHB</v>
      </c>
      <c r="B268" s="234" t="s">
        <v>374</v>
      </c>
      <c r="C268" s="234" t="str">
        <f>'F5 - Cost Pressures'!C49</f>
        <v>Local Investment Decisions</v>
      </c>
      <c r="D268" s="234">
        <f>'F5 - Cost Pressures'!D49</f>
        <v>0</v>
      </c>
      <c r="E268" s="234" t="s">
        <v>375</v>
      </c>
      <c r="F268" s="234" t="str">
        <f>'F5 - Cost Pressures'!B49</f>
        <v>Mat/Neo Neo Safety Programme</v>
      </c>
      <c r="AM268" s="233">
        <f>'F5 - Cost Pressures'!H49</f>
        <v>200</v>
      </c>
      <c r="AN268" s="233">
        <f>'F5 - Cost Pressures'!I49</f>
        <v>200</v>
      </c>
    </row>
    <row r="269" spans="1:40">
      <c r="A269" s="234" t="str">
        <f>'Front Sheet and Checklist'!$C$5</f>
        <v>Swansea Bay UHB</v>
      </c>
      <c r="B269" s="234" t="s">
        <v>374</v>
      </c>
      <c r="C269" s="234" t="str">
        <f>'F5 - Cost Pressures'!C50</f>
        <v>Local Investment Decisions</v>
      </c>
      <c r="D269" s="234">
        <f>'F5 - Cost Pressures'!D50</f>
        <v>0</v>
      </c>
      <c r="E269" s="234" t="s">
        <v>375</v>
      </c>
      <c r="F269" s="234" t="str">
        <f>'F5 - Cost Pressures'!B50</f>
        <v xml:space="preserve"> Mat/Neo Transformation Above £750k BC</v>
      </c>
      <c r="AM269" s="233">
        <f>'F5 - Cost Pressures'!H50</f>
        <v>150</v>
      </c>
      <c r="AN269" s="233">
        <f>'F5 - Cost Pressures'!I50</f>
        <v>150</v>
      </c>
    </row>
    <row r="270" spans="1:40">
      <c r="A270" s="234" t="str">
        <f>'Front Sheet and Checklist'!$C$5</f>
        <v>Swansea Bay UHB</v>
      </c>
      <c r="B270" s="234" t="s">
        <v>374</v>
      </c>
      <c r="C270" s="234" t="str">
        <f>'F5 - Cost Pressures'!C51</f>
        <v>Contractual or unavoidable</v>
      </c>
      <c r="D270" s="234">
        <f>'F5 - Cost Pressures'!D51</f>
        <v>0</v>
      </c>
      <c r="E270" s="234" t="s">
        <v>375</v>
      </c>
      <c r="F270" s="234" t="str">
        <f>'F5 - Cost Pressures'!B51</f>
        <v xml:space="preserve">Increases LTA Values </v>
      </c>
      <c r="AM270" s="233">
        <f>'F5 - Cost Pressures'!H51</f>
        <v>0</v>
      </c>
      <c r="AN270" s="233">
        <f>'F5 - Cost Pressures'!I51</f>
        <v>0</v>
      </c>
    </row>
    <row r="271" spans="1:40">
      <c r="A271" s="234" t="str">
        <f>'Front Sheet and Checklist'!$C$5</f>
        <v>Swansea Bay UHB</v>
      </c>
      <c r="B271" s="234" t="s">
        <v>374</v>
      </c>
      <c r="C271" s="234">
        <f>'F5 - Cost Pressures'!C52</f>
        <v>0</v>
      </c>
      <c r="D271" s="234">
        <f>'F5 - Cost Pressures'!D52</f>
        <v>0</v>
      </c>
      <c r="E271" s="234" t="s">
        <v>375</v>
      </c>
      <c r="F271" s="234">
        <f>'F5 - Cost Pressures'!B52</f>
        <v>0</v>
      </c>
      <c r="AM271" s="233">
        <f>'F5 - Cost Pressures'!H52</f>
        <v>0</v>
      </c>
      <c r="AN271" s="233">
        <f>'F5 - Cost Pressures'!I52</f>
        <v>0</v>
      </c>
    </row>
    <row r="272" spans="1:40">
      <c r="A272" s="234" t="str">
        <f>'Front Sheet and Checklist'!$C$5</f>
        <v>Swansea Bay UHB</v>
      </c>
      <c r="B272" s="234" t="s">
        <v>374</v>
      </c>
      <c r="C272" s="234">
        <f>'F5 - Cost Pressures'!C53</f>
        <v>0</v>
      </c>
      <c r="D272" s="234">
        <f>'F5 - Cost Pressures'!D53</f>
        <v>0</v>
      </c>
      <c r="E272" s="234" t="s">
        <v>375</v>
      </c>
      <c r="F272" s="234">
        <f>'F5 - Cost Pressures'!B53</f>
        <v>0</v>
      </c>
      <c r="AM272" s="233">
        <f>'F5 - Cost Pressures'!H53</f>
        <v>0</v>
      </c>
      <c r="AN272" s="233">
        <f>'F5 - Cost Pressures'!I53</f>
        <v>0</v>
      </c>
    </row>
    <row r="273" spans="1:40">
      <c r="A273" s="234" t="str">
        <f>'Front Sheet and Checklist'!$C$5</f>
        <v>Swansea Bay UHB</v>
      </c>
      <c r="B273" s="234" t="s">
        <v>374</v>
      </c>
      <c r="C273" s="234">
        <f>'F5 - Cost Pressures'!C54</f>
        <v>0</v>
      </c>
      <c r="D273" s="234">
        <f>'F5 - Cost Pressures'!D54</f>
        <v>0</v>
      </c>
      <c r="E273" s="234" t="s">
        <v>375</v>
      </c>
      <c r="F273" s="234">
        <f>'F5 - Cost Pressures'!B54</f>
        <v>0</v>
      </c>
      <c r="AM273" s="233">
        <f>'F5 - Cost Pressures'!H54</f>
        <v>0</v>
      </c>
      <c r="AN273" s="233">
        <f>'F5 - Cost Pressures'!I54</f>
        <v>0</v>
      </c>
    </row>
    <row r="274" spans="1:40">
      <c r="A274" s="234" t="str">
        <f>'Front Sheet and Checklist'!$C$5</f>
        <v>Swansea Bay UHB</v>
      </c>
      <c r="B274" s="234" t="s">
        <v>374</v>
      </c>
      <c r="C274" s="234">
        <f>'F5 - Cost Pressures'!C55</f>
        <v>0</v>
      </c>
      <c r="D274" s="234">
        <f>'F5 - Cost Pressures'!D55</f>
        <v>0</v>
      </c>
      <c r="E274" s="234" t="s">
        <v>375</v>
      </c>
      <c r="F274" s="234">
        <f>'F5 - Cost Pressures'!B55</f>
        <v>0</v>
      </c>
      <c r="AM274" s="233">
        <f>'F5 - Cost Pressures'!H55</f>
        <v>0</v>
      </c>
      <c r="AN274" s="233">
        <f>'F5 - Cost Pressures'!I55</f>
        <v>0</v>
      </c>
    </row>
    <row r="275" spans="1:40">
      <c r="A275" s="234" t="str">
        <f>'Front Sheet and Checklist'!$C$5</f>
        <v>Swansea Bay UHB</v>
      </c>
      <c r="B275" s="234" t="s">
        <v>374</v>
      </c>
      <c r="C275" s="234">
        <f>'F5 - Cost Pressures'!C56</f>
        <v>0</v>
      </c>
      <c r="D275" s="234">
        <f>'F5 - Cost Pressures'!D56</f>
        <v>0</v>
      </c>
      <c r="E275" s="234" t="s">
        <v>375</v>
      </c>
      <c r="F275" s="234">
        <f>'F5 - Cost Pressures'!B56</f>
        <v>0</v>
      </c>
      <c r="AM275" s="233">
        <f>'F5 - Cost Pressures'!H56</f>
        <v>0</v>
      </c>
      <c r="AN275" s="233">
        <f>'F5 - Cost Pressures'!I56</f>
        <v>0</v>
      </c>
    </row>
    <row r="276" spans="1:40">
      <c r="A276" s="234" t="str">
        <f>'Front Sheet and Checklist'!$C$5</f>
        <v>Swansea Bay UHB</v>
      </c>
      <c r="B276" s="234" t="s">
        <v>374</v>
      </c>
      <c r="C276" s="234">
        <f>'F5 - Cost Pressures'!C57</f>
        <v>0</v>
      </c>
      <c r="D276" s="234">
        <f>'F5 - Cost Pressures'!D57</f>
        <v>0</v>
      </c>
      <c r="E276" s="234" t="s">
        <v>375</v>
      </c>
      <c r="F276" s="234">
        <f>'F5 - Cost Pressures'!B57</f>
        <v>0</v>
      </c>
      <c r="AM276" s="233">
        <f>'F5 - Cost Pressures'!H57</f>
        <v>0</v>
      </c>
      <c r="AN276" s="233">
        <f>'F5 - Cost Pressures'!I57</f>
        <v>0</v>
      </c>
    </row>
    <row r="277" spans="1:40">
      <c r="A277" s="234" t="str">
        <f>'Front Sheet and Checklist'!$C$5</f>
        <v>Swansea Bay UHB</v>
      </c>
      <c r="B277" s="234" t="s">
        <v>374</v>
      </c>
      <c r="C277" s="234">
        <f>'F5 - Cost Pressures'!C58</f>
        <v>0</v>
      </c>
      <c r="D277" s="234">
        <f>'F5 - Cost Pressures'!D58</f>
        <v>0</v>
      </c>
      <c r="E277" s="234" t="s">
        <v>375</v>
      </c>
      <c r="F277" s="234">
        <f>'F5 - Cost Pressures'!B58</f>
        <v>0</v>
      </c>
      <c r="AM277" s="233">
        <f>'F5 - Cost Pressures'!H58</f>
        <v>0</v>
      </c>
      <c r="AN277" s="233">
        <f>'F5 - Cost Pressures'!I58</f>
        <v>0</v>
      </c>
    </row>
    <row r="278" spans="1:40">
      <c r="A278" s="234" t="str">
        <f>'Front Sheet and Checklist'!$C$5</f>
        <v>Swansea Bay UHB</v>
      </c>
      <c r="B278" s="234" t="s">
        <v>374</v>
      </c>
      <c r="C278" s="234">
        <f>'F5 - Cost Pressures'!C59</f>
        <v>0</v>
      </c>
      <c r="D278" s="234">
        <f>'F5 - Cost Pressures'!D59</f>
        <v>0</v>
      </c>
      <c r="E278" s="234" t="s">
        <v>375</v>
      </c>
      <c r="F278" s="234">
        <f>'F5 - Cost Pressures'!B59</f>
        <v>0</v>
      </c>
      <c r="AM278" s="233">
        <f>'F5 - Cost Pressures'!H59</f>
        <v>0</v>
      </c>
      <c r="AN278" s="233">
        <f>'F5 - Cost Pressures'!I59</f>
        <v>0</v>
      </c>
    </row>
    <row r="279" spans="1:40">
      <c r="A279" s="234" t="str">
        <f>'Front Sheet and Checklist'!$C$5</f>
        <v>Swansea Bay UHB</v>
      </c>
      <c r="B279" s="234" t="s">
        <v>374</v>
      </c>
      <c r="C279" s="234">
        <f>'F5 - Cost Pressures'!C60</f>
        <v>0</v>
      </c>
      <c r="D279" s="234">
        <f>'F5 - Cost Pressures'!D60</f>
        <v>0</v>
      </c>
      <c r="E279" s="234" t="s">
        <v>375</v>
      </c>
      <c r="F279" s="234">
        <f>'F5 - Cost Pressures'!B60</f>
        <v>0</v>
      </c>
      <c r="AM279" s="233">
        <f>'F5 - Cost Pressures'!H60</f>
        <v>0</v>
      </c>
      <c r="AN279" s="233">
        <f>'F5 - Cost Pressures'!I60</f>
        <v>0</v>
      </c>
    </row>
    <row r="280" spans="1:40">
      <c r="A280" s="234" t="str">
        <f>'Front Sheet and Checklist'!$C$5</f>
        <v>Swansea Bay UHB</v>
      </c>
      <c r="B280" s="234" t="s">
        <v>374</v>
      </c>
      <c r="C280" s="234">
        <f>'F5 - Cost Pressures'!C61</f>
        <v>0</v>
      </c>
      <c r="D280" s="234">
        <f>'F5 - Cost Pressures'!D61</f>
        <v>0</v>
      </c>
      <c r="E280" s="234" t="s">
        <v>375</v>
      </c>
      <c r="F280" s="234">
        <f>'F5 - Cost Pressures'!B61</f>
        <v>0</v>
      </c>
      <c r="AM280" s="233">
        <f>'F5 - Cost Pressures'!H61</f>
        <v>0</v>
      </c>
      <c r="AN280" s="233">
        <f>'F5 - Cost Pressures'!I61</f>
        <v>0</v>
      </c>
    </row>
    <row r="281" spans="1:40">
      <c r="A281" s="234" t="str">
        <f>'Front Sheet and Checklist'!$C$5</f>
        <v>Swansea Bay UHB</v>
      </c>
      <c r="B281" s="234" t="s">
        <v>374</v>
      </c>
      <c r="C281" s="234">
        <f>'F5 - Cost Pressures'!C62</f>
        <v>0</v>
      </c>
      <c r="D281" s="234">
        <f>'F5 - Cost Pressures'!D62</f>
        <v>0</v>
      </c>
      <c r="E281" s="234" t="s">
        <v>375</v>
      </c>
      <c r="F281" s="234">
        <f>'F5 - Cost Pressures'!B62</f>
        <v>0</v>
      </c>
      <c r="AM281" s="233">
        <f>'F5 - Cost Pressures'!H62</f>
        <v>0</v>
      </c>
      <c r="AN281" s="233">
        <f>'F5 - Cost Pressures'!I62</f>
        <v>0</v>
      </c>
    </row>
    <row r="282" spans="1:40">
      <c r="A282" s="234" t="str">
        <f>'Front Sheet and Checklist'!$C$5</f>
        <v>Swansea Bay UHB</v>
      </c>
      <c r="B282" s="234" t="s">
        <v>374</v>
      </c>
      <c r="C282" s="234">
        <f>'F5 - Cost Pressures'!C63</f>
        <v>0</v>
      </c>
      <c r="D282" s="234">
        <f>'F5 - Cost Pressures'!D63</f>
        <v>0</v>
      </c>
      <c r="E282" s="234" t="s">
        <v>375</v>
      </c>
      <c r="F282" s="234">
        <f>'F5 - Cost Pressures'!B63</f>
        <v>0</v>
      </c>
      <c r="AM282" s="233">
        <f>'F5 - Cost Pressures'!H63</f>
        <v>0</v>
      </c>
      <c r="AN282" s="233">
        <f>'F5 - Cost Pressures'!I63</f>
        <v>0</v>
      </c>
    </row>
    <row r="283" spans="1:40">
      <c r="A283" s="234" t="str">
        <f>'Front Sheet and Checklist'!$C$5</f>
        <v>Swansea Bay UHB</v>
      </c>
      <c r="B283" s="234" t="s">
        <v>374</v>
      </c>
      <c r="C283" s="234">
        <f>'F5 - Cost Pressures'!C64</f>
        <v>0</v>
      </c>
      <c r="D283" s="234">
        <f>'F5 - Cost Pressures'!D64</f>
        <v>0</v>
      </c>
      <c r="E283" s="234" t="s">
        <v>375</v>
      </c>
      <c r="F283" s="234">
        <f>'F5 - Cost Pressures'!B64</f>
        <v>0</v>
      </c>
      <c r="AM283" s="233">
        <f>'F5 - Cost Pressures'!H64</f>
        <v>0</v>
      </c>
      <c r="AN283" s="233">
        <f>'F5 - Cost Pressures'!I64</f>
        <v>0</v>
      </c>
    </row>
    <row r="284" spans="1:40">
      <c r="A284" s="234" t="str">
        <f>'Front Sheet and Checklist'!$C$5</f>
        <v>Swansea Bay UHB</v>
      </c>
      <c r="B284" s="234" t="s">
        <v>374</v>
      </c>
      <c r="C284" s="234">
        <f>'F5 - Cost Pressures'!C65</f>
        <v>0</v>
      </c>
      <c r="D284" s="234">
        <f>'F5 - Cost Pressures'!D65</f>
        <v>0</v>
      </c>
      <c r="E284" s="234" t="s">
        <v>375</v>
      </c>
      <c r="F284" s="234" t="str">
        <f>'F5 - Cost Pressures'!B65</f>
        <v>Total Cost Pressures</v>
      </c>
      <c r="AM284" s="233">
        <f>'F5 - Cost Pressures'!H65</f>
        <v>17674</v>
      </c>
      <c r="AN284" s="233">
        <f>'F5 - Cost Pressures'!I65</f>
        <v>17674</v>
      </c>
    </row>
    <row r="285" spans="1:40" ht="15" customHeight="1">
      <c r="A285" s="234" t="str">
        <f>'Front Sheet and Checklist'!$C$5</f>
        <v>Swansea Bay UHB</v>
      </c>
      <c r="B285" s="234" t="s">
        <v>374</v>
      </c>
      <c r="C285" s="234" t="str">
        <f>C223</f>
        <v>Macro Economic Inflation</v>
      </c>
      <c r="D285" s="234" t="str">
        <f>D223</f>
        <v>7. Non Clinical Support</v>
      </c>
      <c r="E285" s="234" t="s">
        <v>376</v>
      </c>
      <c r="F285" s="234" t="str">
        <f>F223</f>
        <v>General Inflation</v>
      </c>
      <c r="AM285" s="233">
        <f>'F5 - Cost Pressures'!J4</f>
        <v>0</v>
      </c>
      <c r="AN285" s="233">
        <f>'F5 - Cost Pressures'!K4</f>
        <v>0</v>
      </c>
    </row>
    <row r="286" spans="1:40">
      <c r="A286" s="234" t="str">
        <f>'Front Sheet and Checklist'!$C$5</f>
        <v>Swansea Bay UHB</v>
      </c>
      <c r="B286" s="234" t="s">
        <v>374</v>
      </c>
      <c r="C286" s="234" t="str">
        <f t="shared" ref="C286:D286" si="3">C224</f>
        <v>Macro Economic Inflation</v>
      </c>
      <c r="D286" s="234" t="str">
        <f t="shared" si="3"/>
        <v>8. Across Service Areas</v>
      </c>
      <c r="E286" s="234" t="s">
        <v>376</v>
      </c>
      <c r="F286" s="234" t="str">
        <f>'F5 - Cost Pressures'!B5</f>
        <v xml:space="preserve">Real Living Wage </v>
      </c>
      <c r="AM286" s="233">
        <f>'F5 - Cost Pressures'!J5</f>
        <v>0</v>
      </c>
      <c r="AN286" s="233">
        <f>'F5 - Cost Pressures'!K5</f>
        <v>0</v>
      </c>
    </row>
    <row r="287" spans="1:40">
      <c r="A287" s="234" t="str">
        <f>'Front Sheet and Checklist'!$C$5</f>
        <v>Swansea Bay UHB</v>
      </c>
      <c r="B287" s="234" t="s">
        <v>374</v>
      </c>
      <c r="C287" s="234" t="str">
        <f t="shared" ref="C287:D287" si="4">C225</f>
        <v>National Investment Decisions</v>
      </c>
      <c r="D287" s="234" t="str">
        <f t="shared" si="4"/>
        <v>1. Secondary Care (In-house) - General</v>
      </c>
      <c r="E287" s="234" t="s">
        <v>376</v>
      </c>
      <c r="F287" s="234" t="str">
        <f>'F5 - Cost Pressures'!B6</f>
        <v>NICE &amp; New High Cost Drugs</v>
      </c>
      <c r="AM287" s="233">
        <f>'F5 - Cost Pressures'!J6</f>
        <v>0</v>
      </c>
      <c r="AN287" s="233">
        <f>'F5 - Cost Pressures'!K6</f>
        <v>0</v>
      </c>
    </row>
    <row r="288" spans="1:40">
      <c r="A288" s="234" t="str">
        <f>'Front Sheet and Checklist'!$C$5</f>
        <v>Swansea Bay UHB</v>
      </c>
      <c r="B288" s="234" t="s">
        <v>374</v>
      </c>
      <c r="C288" s="234" t="str">
        <f t="shared" ref="C288:D288" si="5">C226</f>
        <v>National Investment Decisions</v>
      </c>
      <c r="D288" s="234" t="str">
        <f t="shared" si="5"/>
        <v>4. Commissioned Activity (inc. CHC)</v>
      </c>
      <c r="E288" s="234" t="s">
        <v>376</v>
      </c>
      <c r="F288" s="234" t="str">
        <f>'F5 - Cost Pressures'!B7</f>
        <v xml:space="preserve">Commissioned Services - Specialist Services </v>
      </c>
      <c r="AM288" s="233">
        <f>'F5 - Cost Pressures'!J7</f>
        <v>0</v>
      </c>
      <c r="AN288" s="233">
        <f>'F5 - Cost Pressures'!K7</f>
        <v>0</v>
      </c>
    </row>
    <row r="289" spans="1:40">
      <c r="A289" s="234" t="str">
        <f>'Front Sheet and Checklist'!$C$5</f>
        <v>Swansea Bay UHB</v>
      </c>
      <c r="B289" s="234" t="s">
        <v>374</v>
      </c>
      <c r="C289" s="234" t="str">
        <f t="shared" ref="C289:D289" si="6">C227</f>
        <v>National Investment Decisions</v>
      </c>
      <c r="D289" s="234" t="str">
        <f t="shared" si="6"/>
        <v>3. Community Care</v>
      </c>
      <c r="E289" s="234" t="s">
        <v>376</v>
      </c>
      <c r="F289" s="234" t="str">
        <f>'F5 - Cost Pressures'!B8</f>
        <v>Microsoft Licence additional contribution</v>
      </c>
      <c r="AM289" s="233">
        <f>'F5 - Cost Pressures'!J8</f>
        <v>394.99</v>
      </c>
      <c r="AN289" s="233">
        <f>'F5 - Cost Pressures'!K8</f>
        <v>394.99</v>
      </c>
    </row>
    <row r="290" spans="1:40">
      <c r="A290" s="234" t="str">
        <f>'Front Sheet and Checklist'!$C$5</f>
        <v>Swansea Bay UHB</v>
      </c>
      <c r="B290" s="234" t="s">
        <v>374</v>
      </c>
      <c r="C290" s="234" t="str">
        <f t="shared" ref="C290:D290" si="7">C228</f>
        <v>National Investment Decisions</v>
      </c>
      <c r="D290" s="234" t="str">
        <f t="shared" si="7"/>
        <v>3. Community Care</v>
      </c>
      <c r="E290" s="234" t="s">
        <v>376</v>
      </c>
      <c r="F290" s="234" t="str">
        <f>'F5 - Cost Pressures'!B9</f>
        <v>DHCW Citrix Changes</v>
      </c>
      <c r="AM290" s="233">
        <f>'F5 - Cost Pressures'!J9</f>
        <v>500</v>
      </c>
      <c r="AN290" s="233">
        <f>'F5 - Cost Pressures'!K9</f>
        <v>500</v>
      </c>
    </row>
    <row r="291" spans="1:40">
      <c r="A291" s="234" t="str">
        <f>'Front Sheet and Checklist'!$C$5</f>
        <v>Swansea Bay UHB</v>
      </c>
      <c r="B291" s="234" t="s">
        <v>374</v>
      </c>
      <c r="C291" s="234" t="str">
        <f t="shared" ref="C291:D291" si="8">C229</f>
        <v>National Investment Decisions</v>
      </c>
      <c r="D291" s="234" t="str">
        <f t="shared" si="8"/>
        <v>4. Commissioned Activity (inc. CHC)</v>
      </c>
      <c r="E291" s="234" t="s">
        <v>376</v>
      </c>
      <c r="F291" s="234" t="str">
        <f>'F5 - Cost Pressures'!B10</f>
        <v>DHCW SLA Changes (exc MS365/Citrix/LINC)</v>
      </c>
      <c r="AM291" s="233">
        <f>'F5 - Cost Pressures'!J10</f>
        <v>57.999999999999993</v>
      </c>
      <c r="AN291" s="233">
        <f>'F5 - Cost Pressures'!K10</f>
        <v>57.999999999999993</v>
      </c>
    </row>
    <row r="292" spans="1:40">
      <c r="A292" s="234" t="str">
        <f>'Front Sheet and Checklist'!$C$5</f>
        <v>Swansea Bay UHB</v>
      </c>
      <c r="B292" s="234" t="s">
        <v>374</v>
      </c>
      <c r="C292" s="234" t="str">
        <f t="shared" ref="C292:D292" si="9">C230</f>
        <v>National Investment Decisions</v>
      </c>
      <c r="D292" s="234">
        <f t="shared" si="9"/>
        <v>0</v>
      </c>
      <c r="E292" s="234" t="s">
        <v>376</v>
      </c>
      <c r="F292" s="234" t="str">
        <f>'F5 - Cost Pressures'!B11</f>
        <v>NWSSP Workforce Systems</v>
      </c>
      <c r="AM292" s="233">
        <f>'F5 - Cost Pressures'!J11</f>
        <v>134.85900000000001</v>
      </c>
      <c r="AN292" s="233">
        <f>'F5 - Cost Pressures'!K11</f>
        <v>134.85900000000001</v>
      </c>
    </row>
    <row r="293" spans="1:40">
      <c r="A293" s="234" t="str">
        <f>'Front Sheet and Checklist'!$C$5</f>
        <v>Swansea Bay UHB</v>
      </c>
      <c r="B293" s="234" t="s">
        <v>374</v>
      </c>
      <c r="C293" s="234" t="str">
        <f t="shared" ref="C293:D293" si="10">C231</f>
        <v>National Investment Decisions</v>
      </c>
      <c r="D293" s="234">
        <f t="shared" si="10"/>
        <v>0</v>
      </c>
      <c r="E293" s="234" t="s">
        <v>376</v>
      </c>
      <c r="F293" s="234" t="str">
        <f>'F5 - Cost Pressures'!B12</f>
        <v>NWSSP Transactional Costs</v>
      </c>
      <c r="AM293" s="233">
        <f>'F5 - Cost Pressures'!J12</f>
        <v>79.805000000000007</v>
      </c>
      <c r="AN293" s="233">
        <f>'F5 - Cost Pressures'!K12</f>
        <v>79.805000000000007</v>
      </c>
    </row>
    <row r="294" spans="1:40">
      <c r="A294" s="234" t="str">
        <f>'Front Sheet and Checklist'!$C$5</f>
        <v>Swansea Bay UHB</v>
      </c>
      <c r="B294" s="234" t="s">
        <v>374</v>
      </c>
      <c r="C294" s="234" t="str">
        <f t="shared" ref="C294:D294" si="11">C232</f>
        <v>National Investment Decisions</v>
      </c>
      <c r="D294" s="234">
        <f t="shared" si="11"/>
        <v>0</v>
      </c>
      <c r="E294" s="234" t="s">
        <v>376</v>
      </c>
      <c r="F294" s="234" t="str">
        <f>'F5 - Cost Pressures'!B13</f>
        <v>NWSSP WRP additional contribution</v>
      </c>
      <c r="AM294" s="233">
        <f>'F5 - Cost Pressures'!J13</f>
        <v>-341.00000000000017</v>
      </c>
      <c r="AN294" s="233">
        <f>'F5 - Cost Pressures'!K13</f>
        <v>-341.00000000000017</v>
      </c>
    </row>
    <row r="295" spans="1:40">
      <c r="A295" s="234" t="str">
        <f>'Front Sheet and Checklist'!$C$5</f>
        <v>Swansea Bay UHB</v>
      </c>
      <c r="B295" s="234" t="s">
        <v>374</v>
      </c>
      <c r="C295" s="234" t="str">
        <f t="shared" ref="C295:D295" si="12">C233</f>
        <v>National Investment Decisions</v>
      </c>
      <c r="D295" s="234">
        <f t="shared" si="12"/>
        <v>0</v>
      </c>
      <c r="E295" s="234" t="s">
        <v>376</v>
      </c>
      <c r="F295" s="234" t="str">
        <f>'F5 - Cost Pressures'!B14</f>
        <v>NWSSP Scan4Ssafety Recharge</v>
      </c>
      <c r="AM295" s="233">
        <f>'F5 - Cost Pressures'!J14</f>
        <v>3.609</v>
      </c>
      <c r="AN295" s="233">
        <f>'F5 - Cost Pressures'!K14</f>
        <v>3.609</v>
      </c>
    </row>
    <row r="296" spans="1:40">
      <c r="A296" s="234" t="str">
        <f>'Front Sheet and Checklist'!$C$5</f>
        <v>Swansea Bay UHB</v>
      </c>
      <c r="B296" s="234" t="s">
        <v>374</v>
      </c>
      <c r="C296" s="234" t="str">
        <f t="shared" ref="C296:D296" si="13">C234</f>
        <v>National Investment Decisions</v>
      </c>
      <c r="D296" s="234">
        <f t="shared" si="13"/>
        <v>0</v>
      </c>
      <c r="E296" s="234" t="s">
        <v>376</v>
      </c>
      <c r="F296" s="234" t="str">
        <f>'F5 - Cost Pressures'!B15</f>
        <v>ICNET PHW System</v>
      </c>
      <c r="AM296" s="233">
        <f>'F5 - Cost Pressures'!J15</f>
        <v>100</v>
      </c>
      <c r="AN296" s="233">
        <f>'F5 - Cost Pressures'!K15</f>
        <v>100</v>
      </c>
    </row>
    <row r="297" spans="1:40">
      <c r="A297" s="234" t="str">
        <f>'Front Sheet and Checklist'!$C$5</f>
        <v>Swansea Bay UHB</v>
      </c>
      <c r="B297" s="234" t="s">
        <v>374</v>
      </c>
      <c r="C297" s="234" t="str">
        <f t="shared" ref="C297:D297" si="14">C235</f>
        <v>National Investment Decisions</v>
      </c>
      <c r="D297" s="234">
        <f t="shared" si="14"/>
        <v>0</v>
      </c>
      <c r="E297" s="234" t="s">
        <v>376</v>
      </c>
      <c r="F297" s="234" t="str">
        <f>'F5 - Cost Pressures'!B16</f>
        <v>LINC</v>
      </c>
      <c r="AM297" s="233">
        <f>'F5 - Cost Pressures'!J16</f>
        <v>248</v>
      </c>
      <c r="AN297" s="233">
        <f>'F5 - Cost Pressures'!K16</f>
        <v>248</v>
      </c>
    </row>
    <row r="298" spans="1:40">
      <c r="A298" s="234" t="str">
        <f>'Front Sheet and Checklist'!$C$5</f>
        <v>Swansea Bay UHB</v>
      </c>
      <c r="B298" s="234" t="s">
        <v>374</v>
      </c>
      <c r="C298" s="234" t="str">
        <f t="shared" ref="C298:D298" si="15">C236</f>
        <v>National Investment Decisions</v>
      </c>
      <c r="D298" s="234">
        <f t="shared" si="15"/>
        <v>0</v>
      </c>
      <c r="E298" s="234" t="s">
        <v>376</v>
      </c>
      <c r="F298" s="234" t="str">
        <f>'F5 - Cost Pressures'!B17</f>
        <v>RISP</v>
      </c>
      <c r="AM298" s="233">
        <f>'F5 - Cost Pressures'!J17</f>
        <v>206</v>
      </c>
      <c r="AN298" s="233">
        <f>'F5 - Cost Pressures'!K17</f>
        <v>206</v>
      </c>
    </row>
    <row r="299" spans="1:40">
      <c r="A299" s="234" t="str">
        <f>'Front Sheet and Checklist'!$C$5</f>
        <v>Swansea Bay UHB</v>
      </c>
      <c r="B299" s="234" t="s">
        <v>374</v>
      </c>
      <c r="C299" s="234" t="str">
        <f t="shared" ref="C299:D299" si="16">C237</f>
        <v>National Investment Decisions</v>
      </c>
      <c r="D299" s="234">
        <f t="shared" si="16"/>
        <v>0</v>
      </c>
      <c r="E299" s="234" t="s">
        <v>376</v>
      </c>
      <c r="F299" s="234" t="str">
        <f>'F5 - Cost Pressures'!B18</f>
        <v>Cell Path New Digital System</v>
      </c>
      <c r="AM299" s="233">
        <f>'F5 - Cost Pressures'!J18</f>
        <v>438</v>
      </c>
      <c r="AN299" s="233">
        <f>'F5 - Cost Pressures'!K18</f>
        <v>438</v>
      </c>
    </row>
    <row r="300" spans="1:40">
      <c r="A300" s="234" t="str">
        <f>'Front Sheet and Checklist'!$C$5</f>
        <v>Swansea Bay UHB</v>
      </c>
      <c r="B300" s="234" t="s">
        <v>374</v>
      </c>
      <c r="C300" s="234" t="str">
        <f t="shared" ref="C300:D300" si="17">C238</f>
        <v>National Investment Decisions</v>
      </c>
      <c r="D300" s="234">
        <f t="shared" si="17"/>
        <v>0</v>
      </c>
      <c r="E300" s="234" t="s">
        <v>376</v>
      </c>
      <c r="F300" s="234" t="str">
        <f>'F5 - Cost Pressures'!B19</f>
        <v>E-Prescribing</v>
      </c>
      <c r="AM300" s="233">
        <f>'F5 - Cost Pressures'!J19</f>
        <v>350</v>
      </c>
      <c r="AN300" s="233">
        <f>'F5 - Cost Pressures'!K19</f>
        <v>350</v>
      </c>
    </row>
    <row r="301" spans="1:40">
      <c r="A301" s="234" t="str">
        <f>'Front Sheet and Checklist'!$C$5</f>
        <v>Swansea Bay UHB</v>
      </c>
      <c r="B301" s="234" t="s">
        <v>374</v>
      </c>
      <c r="C301" s="234" t="str">
        <f t="shared" ref="C301:D301" si="18">C239</f>
        <v>Macro Economic Inflation</v>
      </c>
      <c r="D301" s="234">
        <f t="shared" si="18"/>
        <v>0</v>
      </c>
      <c r="E301" s="234" t="s">
        <v>376</v>
      </c>
      <c r="F301" s="234" t="str">
        <f>'F5 - Cost Pressures'!B20</f>
        <v>General Non Pay Inflation</v>
      </c>
      <c r="AM301" s="233">
        <f>'F5 - Cost Pressures'!J20</f>
        <v>5618</v>
      </c>
      <c r="AN301" s="233">
        <f>'F5 - Cost Pressures'!K20</f>
        <v>5618</v>
      </c>
    </row>
    <row r="302" spans="1:40">
      <c r="A302" s="234" t="str">
        <f>'Front Sheet and Checklist'!$C$5</f>
        <v>Swansea Bay UHB</v>
      </c>
      <c r="B302" s="234" t="s">
        <v>374</v>
      </c>
      <c r="C302" s="234" t="str">
        <f t="shared" ref="C302:D302" si="19">C240</f>
        <v>Macro Economic Inflation</v>
      </c>
      <c r="D302" s="234">
        <f t="shared" si="19"/>
        <v>0</v>
      </c>
      <c r="E302" s="234" t="s">
        <v>376</v>
      </c>
      <c r="F302" s="234" t="str">
        <f>'F5 - Cost Pressures'!B21</f>
        <v>GP Prescribing</v>
      </c>
      <c r="AM302" s="233">
        <f>'F5 - Cost Pressures'!J21</f>
        <v>0</v>
      </c>
      <c r="AN302" s="233">
        <f>'F5 - Cost Pressures'!K21</f>
        <v>0</v>
      </c>
    </row>
    <row r="303" spans="1:40">
      <c r="A303" s="234" t="str">
        <f>'Front Sheet and Checklist'!$C$5</f>
        <v>Swansea Bay UHB</v>
      </c>
      <c r="B303" s="234" t="s">
        <v>374</v>
      </c>
      <c r="C303" s="234" t="str">
        <f t="shared" ref="C303:D303" si="20">C241</f>
        <v>Macro Economic Inflation</v>
      </c>
      <c r="D303" s="234">
        <f t="shared" si="20"/>
        <v>0</v>
      </c>
      <c r="E303" s="234" t="s">
        <v>376</v>
      </c>
      <c r="F303" s="234" t="str">
        <f>'F5 - Cost Pressures'!B22</f>
        <v>NICE inflation</v>
      </c>
      <c r="AM303" s="233">
        <f>'F5 - Cost Pressures'!J22</f>
        <v>0</v>
      </c>
      <c r="AN303" s="233">
        <f>'F5 - Cost Pressures'!K22</f>
        <v>0</v>
      </c>
    </row>
    <row r="304" spans="1:40">
      <c r="A304" s="234" t="str">
        <f>'Front Sheet and Checklist'!$C$5</f>
        <v>Swansea Bay UHB</v>
      </c>
      <c r="B304" s="234" t="s">
        <v>374</v>
      </c>
      <c r="C304" s="234" t="str">
        <f t="shared" ref="C304:D304" si="21">C242</f>
        <v>Macro Economic Inflation</v>
      </c>
      <c r="D304" s="234">
        <f t="shared" si="21"/>
        <v>0</v>
      </c>
      <c r="E304" s="234" t="s">
        <v>376</v>
      </c>
      <c r="F304" s="234" t="str">
        <f>'F5 - Cost Pressures'!B23</f>
        <v>Secondary Care Drugs (2nd Care Tab Allocation Workings File)</v>
      </c>
      <c r="AM304" s="233">
        <f>'F5 - Cost Pressures'!J23</f>
        <v>0</v>
      </c>
      <c r="AN304" s="233">
        <f>'F5 - Cost Pressures'!K23</f>
        <v>0</v>
      </c>
    </row>
    <row r="305" spans="1:40">
      <c r="A305" s="234" t="str">
        <f>'Front Sheet and Checklist'!$C$5</f>
        <v>Swansea Bay UHB</v>
      </c>
      <c r="B305" s="234" t="s">
        <v>374</v>
      </c>
      <c r="C305" s="234" t="str">
        <f t="shared" ref="C305:D305" si="22">C243</f>
        <v>Macro Economic Inflation</v>
      </c>
      <c r="D305" s="234">
        <f t="shared" si="22"/>
        <v>0</v>
      </c>
      <c r="E305" s="234" t="s">
        <v>376</v>
      </c>
      <c r="F305" s="234" t="str">
        <f>'F5 - Cost Pressures'!B24</f>
        <v xml:space="preserve">PCT (CHC &amp; FNC) </v>
      </c>
      <c r="AM305" s="233">
        <f>'F5 - Cost Pressures'!J24</f>
        <v>0</v>
      </c>
      <c r="AN305" s="233">
        <f>'F5 - Cost Pressures'!K24</f>
        <v>0</v>
      </c>
    </row>
    <row r="306" spans="1:40">
      <c r="A306" s="234" t="str">
        <f>'Front Sheet and Checklist'!$C$5</f>
        <v>Swansea Bay UHB</v>
      </c>
      <c r="B306" s="234" t="s">
        <v>374</v>
      </c>
      <c r="C306" s="234" t="str">
        <f t="shared" ref="C306:D306" si="23">C244</f>
        <v>Macro Economic Inflation</v>
      </c>
      <c r="D306" s="234">
        <f t="shared" si="23"/>
        <v>0</v>
      </c>
      <c r="E306" s="234" t="s">
        <v>376</v>
      </c>
      <c r="F306" s="234" t="str">
        <f>'F5 - Cost Pressures'!B25</f>
        <v>MHLD (CHC)</v>
      </c>
      <c r="AM306" s="233">
        <f>'F5 - Cost Pressures'!J25</f>
        <v>0</v>
      </c>
      <c r="AN306" s="233">
        <f>'F5 - Cost Pressures'!K25</f>
        <v>0</v>
      </c>
    </row>
    <row r="307" spans="1:40">
      <c r="A307" s="234" t="str">
        <f>'Front Sheet and Checklist'!$C$5</f>
        <v>Swansea Bay UHB</v>
      </c>
      <c r="B307" s="234" t="s">
        <v>374</v>
      </c>
      <c r="C307" s="234" t="str">
        <f t="shared" ref="C307:D307" si="24">C245</f>
        <v>Macro Economic Inflation</v>
      </c>
      <c r="D307" s="234">
        <f t="shared" si="24"/>
        <v>0</v>
      </c>
      <c r="E307" s="234" t="s">
        <v>376</v>
      </c>
      <c r="F307" s="234" t="str">
        <f>'F5 - Cost Pressures'!B26</f>
        <v>External Providers – WHSSC @ 3.67%</v>
      </c>
      <c r="AM307" s="233">
        <f>'F5 - Cost Pressures'!J26</f>
        <v>0</v>
      </c>
      <c r="AN307" s="233">
        <f>'F5 - Cost Pressures'!K26</f>
        <v>0</v>
      </c>
    </row>
    <row r="308" spans="1:40">
      <c r="A308" s="234" t="str">
        <f>'Front Sheet and Checklist'!$C$5</f>
        <v>Swansea Bay UHB</v>
      </c>
      <c r="B308" s="234" t="s">
        <v>374</v>
      </c>
      <c r="C308" s="234" t="str">
        <f t="shared" ref="C308:D308" si="25">C246</f>
        <v>Macro Economic Inflation</v>
      </c>
      <c r="D308" s="234">
        <f t="shared" si="25"/>
        <v>0</v>
      </c>
      <c r="E308" s="234" t="s">
        <v>376</v>
      </c>
      <c r="F308" s="234" t="str">
        <f>'F5 - Cost Pressures'!B27</f>
        <v>External Providers – EASC @ 3.67%</v>
      </c>
      <c r="AM308" s="233">
        <f>'F5 - Cost Pressures'!J27</f>
        <v>0</v>
      </c>
      <c r="AN308" s="233">
        <f>'F5 - Cost Pressures'!K27</f>
        <v>0</v>
      </c>
    </row>
    <row r="309" spans="1:40">
      <c r="A309" s="234" t="str">
        <f>'Front Sheet and Checklist'!$C$5</f>
        <v>Swansea Bay UHB</v>
      </c>
      <c r="B309" s="234" t="s">
        <v>374</v>
      </c>
      <c r="C309" s="234" t="str">
        <f t="shared" ref="C309:D309" si="26">C247</f>
        <v>Macro Economic Inflation</v>
      </c>
      <c r="D309" s="234">
        <f t="shared" si="26"/>
        <v>0</v>
      </c>
      <c r="E309" s="234" t="s">
        <v>376</v>
      </c>
      <c r="F309" s="234" t="str">
        <f>'F5 - Cost Pressures'!B28</f>
        <v>GP Prescribing</v>
      </c>
      <c r="AM309" s="233">
        <f>'F5 - Cost Pressures'!J28</f>
        <v>0</v>
      </c>
      <c r="AN309" s="233">
        <f>'F5 - Cost Pressures'!K28</f>
        <v>0</v>
      </c>
    </row>
    <row r="310" spans="1:40">
      <c r="A310" s="234" t="str">
        <f>'Front Sheet and Checklist'!$C$5</f>
        <v>Swansea Bay UHB</v>
      </c>
      <c r="B310" s="234" t="s">
        <v>374</v>
      </c>
      <c r="C310" s="234" t="str">
        <f t="shared" ref="C310:D310" si="27">C248</f>
        <v>Macro Economic Inflation</v>
      </c>
      <c r="D310" s="234">
        <f t="shared" si="27"/>
        <v>0</v>
      </c>
      <c r="E310" s="234" t="s">
        <v>376</v>
      </c>
      <c r="F310" s="234" t="str">
        <f>'F5 - Cost Pressures'!B29</f>
        <v xml:space="preserve">NICE drugs growth </v>
      </c>
      <c r="AM310" s="233">
        <f>'F5 - Cost Pressures'!J29</f>
        <v>0</v>
      </c>
      <c r="AN310" s="233">
        <f>'F5 - Cost Pressures'!K29</f>
        <v>0</v>
      </c>
    </row>
    <row r="311" spans="1:40">
      <c r="A311" s="234" t="str">
        <f>'Front Sheet and Checklist'!$C$5</f>
        <v>Swansea Bay UHB</v>
      </c>
      <c r="B311" s="234" t="s">
        <v>374</v>
      </c>
      <c r="C311" s="234" t="str">
        <f t="shared" ref="C311:D311" si="28">C249</f>
        <v>Macro Economic Inflation</v>
      </c>
      <c r="D311" s="234">
        <f t="shared" si="28"/>
        <v>0</v>
      </c>
      <c r="E311" s="234" t="s">
        <v>376</v>
      </c>
      <c r="F311" s="234" t="str">
        <f>'F5 - Cost Pressures'!B30</f>
        <v xml:space="preserve">PCT (CHC &amp; FNC) </v>
      </c>
      <c r="AM311" s="233">
        <f>'F5 - Cost Pressures'!J30</f>
        <v>0</v>
      </c>
      <c r="AN311" s="233">
        <f>'F5 - Cost Pressures'!K30</f>
        <v>0</v>
      </c>
    </row>
    <row r="312" spans="1:40">
      <c r="A312" s="234" t="str">
        <f>'Front Sheet and Checklist'!$C$5</f>
        <v>Swansea Bay UHB</v>
      </c>
      <c r="B312" s="234" t="s">
        <v>374</v>
      </c>
      <c r="C312" s="234" t="str">
        <f t="shared" ref="C312:D312" si="29">C250</f>
        <v>Macro Economic Inflation</v>
      </c>
      <c r="D312" s="234">
        <f t="shared" si="29"/>
        <v>0</v>
      </c>
      <c r="E312" s="234" t="s">
        <v>376</v>
      </c>
      <c r="F312" s="234" t="str">
        <f>'F5 - Cost Pressures'!B31</f>
        <v xml:space="preserve">MH Packages of Care </v>
      </c>
      <c r="AM312" s="233">
        <f>'F5 - Cost Pressures'!J31</f>
        <v>0</v>
      </c>
      <c r="AN312" s="233">
        <f>'F5 - Cost Pressures'!K31</f>
        <v>0</v>
      </c>
    </row>
    <row r="313" spans="1:40">
      <c r="A313" s="234" t="str">
        <f>'Front Sheet and Checklist'!$C$5</f>
        <v>Swansea Bay UHB</v>
      </c>
      <c r="B313" s="234" t="s">
        <v>374</v>
      </c>
      <c r="C313" s="234" t="str">
        <f t="shared" ref="C313:D313" si="30">C251</f>
        <v>Contractual or unavoidable</v>
      </c>
      <c r="D313" s="234">
        <f t="shared" si="30"/>
        <v>0</v>
      </c>
      <c r="E313" s="234" t="s">
        <v>376</v>
      </c>
      <c r="F313" s="234" t="str">
        <f>'F5 - Cost Pressures'!B32</f>
        <v>External Providers – WHSSC new developments</v>
      </c>
      <c r="AM313" s="233">
        <f>'F5 - Cost Pressures'!J32</f>
        <v>0</v>
      </c>
      <c r="AN313" s="233">
        <f>'F5 - Cost Pressures'!K32</f>
        <v>0</v>
      </c>
    </row>
    <row r="314" spans="1:40">
      <c r="A314" s="234" t="str">
        <f>'Front Sheet and Checklist'!$C$5</f>
        <v>Swansea Bay UHB</v>
      </c>
      <c r="B314" s="234" t="s">
        <v>374</v>
      </c>
      <c r="C314" s="234" t="str">
        <f t="shared" ref="C314:D314" si="31">C252</f>
        <v>Contractual or unavoidable</v>
      </c>
      <c r="D314" s="234">
        <f t="shared" si="31"/>
        <v>0</v>
      </c>
      <c r="E314" s="234" t="s">
        <v>376</v>
      </c>
      <c r="F314" s="234" t="str">
        <f>'F5 - Cost Pressures'!B33</f>
        <v>External Providers – EASC new developments</v>
      </c>
      <c r="AM314" s="233">
        <f>'F5 - Cost Pressures'!J33</f>
        <v>0</v>
      </c>
      <c r="AN314" s="233">
        <f>'F5 - Cost Pressures'!K33</f>
        <v>0</v>
      </c>
    </row>
    <row r="315" spans="1:40">
      <c r="A315" s="234" t="str">
        <f>'Front Sheet and Checklist'!$C$5</f>
        <v>Swansea Bay UHB</v>
      </c>
      <c r="B315" s="234" t="s">
        <v>374</v>
      </c>
      <c r="C315" s="234">
        <f t="shared" ref="C315:D315" si="32">C253</f>
        <v>0</v>
      </c>
      <c r="D315" s="234">
        <f t="shared" si="32"/>
        <v>0</v>
      </c>
      <c r="E315" s="234" t="s">
        <v>376</v>
      </c>
      <c r="F315" s="234" t="str">
        <f>'F5 - Cost Pressures'!B34</f>
        <v>TTP</v>
      </c>
      <c r="AM315" s="233">
        <f>'F5 - Cost Pressures'!J34</f>
        <v>0</v>
      </c>
      <c r="AN315" s="233">
        <f>'F5 - Cost Pressures'!K34</f>
        <v>0</v>
      </c>
    </row>
    <row r="316" spans="1:40">
      <c r="A316" s="234" t="str">
        <f>'Front Sheet and Checklist'!$C$5</f>
        <v>Swansea Bay UHB</v>
      </c>
      <c r="B316" s="234" t="s">
        <v>374</v>
      </c>
      <c r="C316" s="234">
        <f t="shared" ref="C316:D316" si="33">C254</f>
        <v>0</v>
      </c>
      <c r="D316" s="234">
        <f t="shared" si="33"/>
        <v>0</v>
      </c>
      <c r="E316" s="234" t="s">
        <v>376</v>
      </c>
      <c r="F316" s="234" t="str">
        <f>'F5 - Cost Pressures'!B35</f>
        <v>Mass Vac</v>
      </c>
      <c r="AM316" s="233">
        <f>'F5 - Cost Pressures'!J35</f>
        <v>0</v>
      </c>
      <c r="AN316" s="233">
        <f>'F5 - Cost Pressures'!K35</f>
        <v>0</v>
      </c>
    </row>
    <row r="317" spans="1:40">
      <c r="A317" s="234" t="str">
        <f>'Front Sheet and Checklist'!$C$5</f>
        <v>Swansea Bay UHB</v>
      </c>
      <c r="B317" s="234" t="s">
        <v>374</v>
      </c>
      <c r="C317" s="234">
        <f t="shared" ref="C317:D317" si="34">C255</f>
        <v>0</v>
      </c>
      <c r="D317" s="234">
        <f t="shared" si="34"/>
        <v>0</v>
      </c>
      <c r="E317" s="234" t="s">
        <v>376</v>
      </c>
      <c r="F317" s="234" t="str">
        <f>'F5 - Cost Pressures'!B36</f>
        <v>PPE (PPE Tab Allocation Working File)</v>
      </c>
      <c r="AM317" s="233">
        <f>'F5 - Cost Pressures'!J36</f>
        <v>0</v>
      </c>
      <c r="AN317" s="233">
        <f>'F5 - Cost Pressures'!K36</f>
        <v>0</v>
      </c>
    </row>
    <row r="318" spans="1:40">
      <c r="A318" s="234" t="str">
        <f>'Front Sheet and Checklist'!$C$5</f>
        <v>Swansea Bay UHB</v>
      </c>
      <c r="B318" s="234" t="s">
        <v>374</v>
      </c>
      <c r="C318" s="234" t="str">
        <f t="shared" ref="C318:D318" si="35">C256</f>
        <v>Macro Economic Inflation</v>
      </c>
      <c r="D318" s="234">
        <f t="shared" si="35"/>
        <v>0</v>
      </c>
      <c r="E318" s="234" t="s">
        <v>376</v>
      </c>
      <c r="F318" s="234" t="str">
        <f>'F5 - Cost Pressures'!B37</f>
        <v>Energy/fuel increases (See Energy Tab Allocation Working File for note)</v>
      </c>
      <c r="AM318" s="233">
        <f>'F5 - Cost Pressures'!J37</f>
        <v>3600</v>
      </c>
      <c r="AN318" s="233">
        <f>'F5 - Cost Pressures'!K37</f>
        <v>3600</v>
      </c>
    </row>
    <row r="319" spans="1:40">
      <c r="A319" s="234" t="str">
        <f>'Front Sheet and Checklist'!$C$5</f>
        <v>Swansea Bay UHB</v>
      </c>
      <c r="B319" s="234" t="s">
        <v>374</v>
      </c>
      <c r="C319" s="234" t="str">
        <f t="shared" ref="C319:D319" si="36">C257</f>
        <v>Macro Economic Inflation</v>
      </c>
      <c r="D319" s="234">
        <f t="shared" si="36"/>
        <v>0</v>
      </c>
      <c r="E319" s="234" t="s">
        <v>376</v>
      </c>
      <c r="F319" s="234" t="str">
        <f>'F5 - Cost Pressures'!B38</f>
        <v>NWSSP Laundry Recharge</v>
      </c>
      <c r="AM319" s="233">
        <f>'F5 - Cost Pressures'!J38</f>
        <v>200</v>
      </c>
      <c r="AN319" s="233">
        <f>'F5 - Cost Pressures'!K38</f>
        <v>200</v>
      </c>
    </row>
    <row r="320" spans="1:40">
      <c r="A320" s="234" t="str">
        <f>'Front Sheet and Checklist'!$C$5</f>
        <v>Swansea Bay UHB</v>
      </c>
      <c r="B320" s="234" t="s">
        <v>374</v>
      </c>
      <c r="C320" s="234" t="str">
        <f t="shared" ref="C320:D320" si="37">C258</f>
        <v>Macro Economic Inflation</v>
      </c>
      <c r="D320" s="234">
        <f t="shared" si="37"/>
        <v>0</v>
      </c>
      <c r="E320" s="234" t="s">
        <v>376</v>
      </c>
      <c r="F320" s="234" t="str">
        <f>'F5 - Cost Pressures'!B39</f>
        <v>Real Living Wage - Care Homes and Dom Care 2022/23</v>
      </c>
      <c r="AM320" s="233">
        <f>'F5 - Cost Pressures'!J39</f>
        <v>0</v>
      </c>
      <c r="AN320" s="233">
        <f>'F5 - Cost Pressures'!K39</f>
        <v>0</v>
      </c>
    </row>
    <row r="321" spans="1:40">
      <c r="A321" s="234" t="str">
        <f>'Front Sheet and Checklist'!$C$5</f>
        <v>Swansea Bay UHB</v>
      </c>
      <c r="B321" s="234" t="s">
        <v>374</v>
      </c>
      <c r="C321" s="234" t="str">
        <f t="shared" ref="C321:D321" si="38">C259</f>
        <v>Macro Economic Inflation</v>
      </c>
      <c r="D321" s="234">
        <f t="shared" si="38"/>
        <v>0</v>
      </c>
      <c r="E321" s="234" t="s">
        <v>376</v>
      </c>
      <c r="F321" s="234" t="str">
        <f>'F5 - Cost Pressures'!B40</f>
        <v>Real Living Wage - Care Homes and Dom Care 2023/24</v>
      </c>
      <c r="AM321" s="233">
        <f>'F5 - Cost Pressures'!J40</f>
        <v>0</v>
      </c>
      <c r="AN321" s="233">
        <f>'F5 - Cost Pressures'!K40</f>
        <v>0</v>
      </c>
    </row>
    <row r="322" spans="1:40">
      <c r="A322" s="234" t="str">
        <f>'Front Sheet and Checklist'!$C$5</f>
        <v>Swansea Bay UHB</v>
      </c>
      <c r="B322" s="234" t="s">
        <v>374</v>
      </c>
      <c r="C322" s="234" t="str">
        <f t="shared" ref="C322:D322" si="39">C260</f>
        <v>Local Investment Decisions</v>
      </c>
      <c r="D322" s="234">
        <f t="shared" si="39"/>
        <v>0</v>
      </c>
      <c r="E322" s="234" t="s">
        <v>376</v>
      </c>
      <c r="F322" s="234" t="str">
        <f>'F5 - Cost Pressures'!B41</f>
        <v xml:space="preserve">Investment Decisions Sustainability </v>
      </c>
      <c r="AM322" s="233">
        <f>'F5 - Cost Pressures'!J41</f>
        <v>7866</v>
      </c>
      <c r="AN322" s="233">
        <f>'F5 - Cost Pressures'!K41</f>
        <v>7866</v>
      </c>
    </row>
    <row r="323" spans="1:40">
      <c r="A323" s="234" t="str">
        <f>'Front Sheet and Checklist'!$C$5</f>
        <v>Swansea Bay UHB</v>
      </c>
      <c r="B323" s="234" t="s">
        <v>374</v>
      </c>
      <c r="C323" s="234" t="str">
        <f t="shared" ref="C323:D323" si="40">C261</f>
        <v>Local Investment Decisions</v>
      </c>
      <c r="D323" s="234">
        <f t="shared" si="40"/>
        <v>0</v>
      </c>
      <c r="E323" s="234" t="s">
        <v>376</v>
      </c>
      <c r="F323" s="234" t="str">
        <f>'F5 - Cost Pressures'!B42</f>
        <v>UEC (TI)  Expansion of Virtual Ward from 5 – 7 Day services</v>
      </c>
      <c r="AM323" s="233">
        <f>'F5 - Cost Pressures'!J42</f>
        <v>0</v>
      </c>
      <c r="AN323" s="233">
        <f>'F5 - Cost Pressures'!K42</f>
        <v>0</v>
      </c>
    </row>
    <row r="324" spans="1:40">
      <c r="A324" s="234" t="str">
        <f>'Front Sheet and Checklist'!$C$5</f>
        <v>Swansea Bay UHB</v>
      </c>
      <c r="B324" s="234" t="s">
        <v>374</v>
      </c>
      <c r="C324" s="234" t="str">
        <f t="shared" ref="C324:D324" si="41">C262</f>
        <v>Local Investment Decisions</v>
      </c>
      <c r="D324" s="234">
        <f t="shared" si="41"/>
        <v>0</v>
      </c>
      <c r="E324" s="234" t="s">
        <v>376</v>
      </c>
      <c r="F324" s="234" t="str">
        <f>'F5 - Cost Pressures'!B43</f>
        <v>UEC (TI)  Implement Productive Wards, e.g. SAFER, CLD, D2RA</v>
      </c>
      <c r="AM324" s="233">
        <f>'F5 - Cost Pressures'!J43</f>
        <v>0</v>
      </c>
      <c r="AN324" s="233">
        <f>'F5 - Cost Pressures'!K43</f>
        <v>0</v>
      </c>
    </row>
    <row r="325" spans="1:40">
      <c r="A325" s="234" t="str">
        <f>'Front Sheet and Checklist'!$C$5</f>
        <v>Swansea Bay UHB</v>
      </c>
      <c r="B325" s="234" t="s">
        <v>374</v>
      </c>
      <c r="C325" s="234" t="str">
        <f t="shared" ref="C325:D325" si="42">C263</f>
        <v>Local Investment Decisions</v>
      </c>
      <c r="D325" s="234">
        <f t="shared" si="42"/>
        <v>0</v>
      </c>
      <c r="E325" s="234" t="s">
        <v>376</v>
      </c>
      <c r="F325" s="234" t="str">
        <f>'F5 - Cost Pressures'!B44</f>
        <v xml:space="preserve">Regional Service HPB Centralisation </v>
      </c>
      <c r="AM325" s="233">
        <f>'F5 - Cost Pressures'!J44</f>
        <v>0</v>
      </c>
      <c r="AN325" s="233">
        <f>'F5 - Cost Pressures'!K44</f>
        <v>0</v>
      </c>
    </row>
    <row r="326" spans="1:40">
      <c r="A326" s="234" t="str">
        <f>'Front Sheet and Checklist'!$C$5</f>
        <v>Swansea Bay UHB</v>
      </c>
      <c r="B326" s="234" t="s">
        <v>374</v>
      </c>
      <c r="C326" s="234" t="str">
        <f t="shared" ref="C326:D326" si="43">C264</f>
        <v>Local Investment Decisions</v>
      </c>
      <c r="D326" s="234">
        <f t="shared" si="43"/>
        <v>0</v>
      </c>
      <c r="E326" s="234" t="s">
        <v>376</v>
      </c>
      <c r="F326" s="234" t="str">
        <f>'F5 - Cost Pressures'!B45</f>
        <v xml:space="preserve">Cancer OG </v>
      </c>
      <c r="AM326" s="233">
        <f>'F5 - Cost Pressures'!J45</f>
        <v>0</v>
      </c>
      <c r="AN326" s="233">
        <f>'F5 - Cost Pressures'!K45</f>
        <v>0</v>
      </c>
    </row>
    <row r="327" spans="1:40">
      <c r="A327" s="234" t="str">
        <f>'Front Sheet and Checklist'!$C$5</f>
        <v>Swansea Bay UHB</v>
      </c>
      <c r="B327" s="234" t="s">
        <v>374</v>
      </c>
      <c r="C327" s="234" t="str">
        <f t="shared" ref="C327:D327" si="44">C265</f>
        <v>Local Investment Decisions</v>
      </c>
      <c r="D327" s="234">
        <f t="shared" si="44"/>
        <v>0</v>
      </c>
      <c r="E327" s="234" t="s">
        <v>376</v>
      </c>
      <c r="F327" s="234" t="str">
        <f>'F5 - Cost Pressures'!B46</f>
        <v>Cancer Gynae (Hysteroscopy &amp; Oncology)</v>
      </c>
      <c r="AM327" s="233">
        <f>'F5 - Cost Pressures'!J46</f>
        <v>75</v>
      </c>
      <c r="AN327" s="233">
        <f>'F5 - Cost Pressures'!K46</f>
        <v>75</v>
      </c>
    </row>
    <row r="328" spans="1:40">
      <c r="A328" s="234" t="str">
        <f>'Front Sheet and Checklist'!$C$5</f>
        <v>Swansea Bay UHB</v>
      </c>
      <c r="B328" s="234" t="s">
        <v>374</v>
      </c>
      <c r="C328" s="234" t="str">
        <f t="shared" ref="C328:D328" si="45">C266</f>
        <v>Local Investment Decisions</v>
      </c>
      <c r="D328" s="234">
        <f t="shared" si="45"/>
        <v>0</v>
      </c>
      <c r="E328" s="234" t="s">
        <v>376</v>
      </c>
      <c r="F328" s="234" t="str">
        <f>'F5 - Cost Pressures'!B47</f>
        <v>Primary Care &amp; Community Further Increase DN above £0.5m 23/24</v>
      </c>
      <c r="AM328" s="233">
        <f>'F5 - Cost Pressures'!J47</f>
        <v>0</v>
      </c>
      <c r="AN328" s="233">
        <f>'F5 - Cost Pressures'!K47</f>
        <v>0</v>
      </c>
    </row>
    <row r="329" spans="1:40">
      <c r="A329" s="234" t="str">
        <f>'Front Sheet and Checklist'!$C$5</f>
        <v>Swansea Bay UHB</v>
      </c>
      <c r="B329" s="234" t="s">
        <v>374</v>
      </c>
      <c r="C329" s="234" t="str">
        <f t="shared" ref="C329:D329" si="46">C267</f>
        <v>Local Investment Decisions</v>
      </c>
      <c r="D329" s="234">
        <f t="shared" si="46"/>
        <v>0</v>
      </c>
      <c r="E329" s="234" t="s">
        <v>376</v>
      </c>
      <c r="F329" s="234" t="str">
        <f>'F5 - Cost Pressures'!B48</f>
        <v>CYP ALN Addition Infrastructure (DoT)</v>
      </c>
      <c r="AM329" s="233">
        <f>'F5 - Cost Pressures'!J48</f>
        <v>200</v>
      </c>
      <c r="AN329" s="233">
        <f>'F5 - Cost Pressures'!K48</f>
        <v>200</v>
      </c>
    </row>
    <row r="330" spans="1:40">
      <c r="A330" s="234" t="str">
        <f>'Front Sheet and Checklist'!$C$5</f>
        <v>Swansea Bay UHB</v>
      </c>
      <c r="B330" s="234" t="s">
        <v>374</v>
      </c>
      <c r="C330" s="234" t="str">
        <f t="shared" ref="C330:D330" si="47">C268</f>
        <v>Local Investment Decisions</v>
      </c>
      <c r="D330" s="234">
        <f t="shared" si="47"/>
        <v>0</v>
      </c>
      <c r="E330" s="234" t="s">
        <v>376</v>
      </c>
      <c r="F330" s="234" t="str">
        <f>'F5 - Cost Pressures'!B49</f>
        <v>Mat/Neo Neo Safety Programme</v>
      </c>
      <c r="AM330" s="233">
        <f>'F5 - Cost Pressures'!J49</f>
        <v>0</v>
      </c>
      <c r="AN330" s="233">
        <f>'F5 - Cost Pressures'!K49</f>
        <v>0</v>
      </c>
    </row>
    <row r="331" spans="1:40">
      <c r="A331" s="234" t="str">
        <f>'Front Sheet and Checklist'!$C$5</f>
        <v>Swansea Bay UHB</v>
      </c>
      <c r="B331" s="234" t="s">
        <v>374</v>
      </c>
      <c r="C331" s="234" t="str">
        <f t="shared" ref="C331:D331" si="48">C269</f>
        <v>Local Investment Decisions</v>
      </c>
      <c r="D331" s="234">
        <f t="shared" si="48"/>
        <v>0</v>
      </c>
      <c r="E331" s="234" t="s">
        <v>376</v>
      </c>
      <c r="F331" s="234" t="str">
        <f>'F5 - Cost Pressures'!B50</f>
        <v xml:space="preserve"> Mat/Neo Transformation Above £750k BC</v>
      </c>
      <c r="AM331" s="233">
        <f>'F5 - Cost Pressures'!J50</f>
        <v>0</v>
      </c>
      <c r="AN331" s="233">
        <f>'F5 - Cost Pressures'!K50</f>
        <v>0</v>
      </c>
    </row>
    <row r="332" spans="1:40">
      <c r="A332" s="234" t="str">
        <f>'Front Sheet and Checklist'!$C$5</f>
        <v>Swansea Bay UHB</v>
      </c>
      <c r="B332" s="234" t="s">
        <v>374</v>
      </c>
      <c r="C332" s="234" t="str">
        <f t="shared" ref="C332:D332" si="49">C270</f>
        <v>Contractual or unavoidable</v>
      </c>
      <c r="D332" s="234">
        <f t="shared" si="49"/>
        <v>0</v>
      </c>
      <c r="E332" s="234" t="s">
        <v>376</v>
      </c>
      <c r="F332" s="234" t="str">
        <f>'F5 - Cost Pressures'!B51</f>
        <v xml:space="preserve">Increases LTA Values </v>
      </c>
      <c r="AM332" s="233">
        <f>'F5 - Cost Pressures'!J51</f>
        <v>0</v>
      </c>
      <c r="AN332" s="233">
        <f>'F5 - Cost Pressures'!K51</f>
        <v>0</v>
      </c>
    </row>
    <row r="333" spans="1:40">
      <c r="A333" s="234" t="str">
        <f>'Front Sheet and Checklist'!$C$5</f>
        <v>Swansea Bay UHB</v>
      </c>
      <c r="B333" s="234" t="s">
        <v>374</v>
      </c>
      <c r="C333" s="234">
        <f t="shared" ref="C333:D333" si="50">C271</f>
        <v>0</v>
      </c>
      <c r="D333" s="234">
        <f t="shared" si="50"/>
        <v>0</v>
      </c>
      <c r="E333" s="234" t="s">
        <v>376</v>
      </c>
      <c r="F333" s="234">
        <f>'F5 - Cost Pressures'!B52</f>
        <v>0</v>
      </c>
      <c r="AM333" s="233">
        <f>'F5 - Cost Pressures'!J52</f>
        <v>0</v>
      </c>
      <c r="AN333" s="233">
        <f>'F5 - Cost Pressures'!K52</f>
        <v>0</v>
      </c>
    </row>
    <row r="334" spans="1:40">
      <c r="A334" s="234" t="str">
        <f>'Front Sheet and Checklist'!$C$5</f>
        <v>Swansea Bay UHB</v>
      </c>
      <c r="B334" s="234" t="s">
        <v>374</v>
      </c>
      <c r="C334" s="234">
        <f t="shared" ref="C334:D334" si="51">C272</f>
        <v>0</v>
      </c>
      <c r="D334" s="234">
        <f t="shared" si="51"/>
        <v>0</v>
      </c>
      <c r="E334" s="234" t="s">
        <v>376</v>
      </c>
      <c r="F334" s="234">
        <f>'F5 - Cost Pressures'!B53</f>
        <v>0</v>
      </c>
      <c r="AM334" s="233">
        <f>'F5 - Cost Pressures'!J53</f>
        <v>0</v>
      </c>
      <c r="AN334" s="233">
        <f>'F5 - Cost Pressures'!K53</f>
        <v>0</v>
      </c>
    </row>
    <row r="335" spans="1:40">
      <c r="A335" s="234" t="str">
        <f>'Front Sheet and Checklist'!$C$5</f>
        <v>Swansea Bay UHB</v>
      </c>
      <c r="B335" s="234" t="s">
        <v>374</v>
      </c>
      <c r="C335" s="234">
        <f t="shared" ref="C335:D335" si="52">C273</f>
        <v>0</v>
      </c>
      <c r="D335" s="234">
        <f t="shared" si="52"/>
        <v>0</v>
      </c>
      <c r="E335" s="234" t="s">
        <v>376</v>
      </c>
      <c r="F335" s="234">
        <f>'F5 - Cost Pressures'!B54</f>
        <v>0</v>
      </c>
      <c r="AM335" s="233">
        <f>'F5 - Cost Pressures'!J54</f>
        <v>0</v>
      </c>
      <c r="AN335" s="233">
        <f>'F5 - Cost Pressures'!K54</f>
        <v>0</v>
      </c>
    </row>
    <row r="336" spans="1:40">
      <c r="A336" s="234" t="str">
        <f>'Front Sheet and Checklist'!$C$5</f>
        <v>Swansea Bay UHB</v>
      </c>
      <c r="B336" s="234" t="s">
        <v>374</v>
      </c>
      <c r="C336" s="234">
        <f t="shared" ref="C336:D336" si="53">C274</f>
        <v>0</v>
      </c>
      <c r="D336" s="234">
        <f t="shared" si="53"/>
        <v>0</v>
      </c>
      <c r="E336" s="234" t="s">
        <v>376</v>
      </c>
      <c r="F336" s="234">
        <f>'F5 - Cost Pressures'!B55</f>
        <v>0</v>
      </c>
      <c r="AM336" s="233">
        <f>'F5 - Cost Pressures'!J55</f>
        <v>0</v>
      </c>
      <c r="AN336" s="233">
        <f>'F5 - Cost Pressures'!K55</f>
        <v>0</v>
      </c>
    </row>
    <row r="337" spans="1:40">
      <c r="A337" s="234" t="str">
        <f>'Front Sheet and Checklist'!$C$5</f>
        <v>Swansea Bay UHB</v>
      </c>
      <c r="B337" s="234" t="s">
        <v>374</v>
      </c>
      <c r="C337" s="234">
        <f t="shared" ref="C337:D337" si="54">C275</f>
        <v>0</v>
      </c>
      <c r="D337" s="234">
        <f t="shared" si="54"/>
        <v>0</v>
      </c>
      <c r="E337" s="234" t="s">
        <v>376</v>
      </c>
      <c r="F337" s="234">
        <f>'F5 - Cost Pressures'!B56</f>
        <v>0</v>
      </c>
      <c r="AM337" s="233">
        <f>'F5 - Cost Pressures'!J56</f>
        <v>0</v>
      </c>
      <c r="AN337" s="233">
        <f>'F5 - Cost Pressures'!K56</f>
        <v>0</v>
      </c>
    </row>
    <row r="338" spans="1:40">
      <c r="A338" s="234" t="str">
        <f>'Front Sheet and Checklist'!$C$5</f>
        <v>Swansea Bay UHB</v>
      </c>
      <c r="B338" s="234" t="s">
        <v>374</v>
      </c>
      <c r="C338" s="234">
        <f t="shared" ref="C338:D338" si="55">C276</f>
        <v>0</v>
      </c>
      <c r="D338" s="234">
        <f t="shared" si="55"/>
        <v>0</v>
      </c>
      <c r="E338" s="234" t="s">
        <v>376</v>
      </c>
      <c r="F338" s="234">
        <f>'F5 - Cost Pressures'!B57</f>
        <v>0</v>
      </c>
      <c r="AM338" s="233">
        <f>'F5 - Cost Pressures'!J57</f>
        <v>0</v>
      </c>
      <c r="AN338" s="233">
        <f>'F5 - Cost Pressures'!K57</f>
        <v>0</v>
      </c>
    </row>
    <row r="339" spans="1:40">
      <c r="A339" s="234" t="str">
        <f>'Front Sheet and Checklist'!$C$5</f>
        <v>Swansea Bay UHB</v>
      </c>
      <c r="B339" s="234" t="s">
        <v>374</v>
      </c>
      <c r="C339" s="234">
        <f t="shared" ref="C339:D339" si="56">C277</f>
        <v>0</v>
      </c>
      <c r="D339" s="234">
        <f t="shared" si="56"/>
        <v>0</v>
      </c>
      <c r="E339" s="234" t="s">
        <v>376</v>
      </c>
      <c r="F339" s="234">
        <f>'F5 - Cost Pressures'!B58</f>
        <v>0</v>
      </c>
      <c r="AM339" s="233">
        <f>'F5 - Cost Pressures'!J58</f>
        <v>0</v>
      </c>
      <c r="AN339" s="233">
        <f>'F5 - Cost Pressures'!K58</f>
        <v>0</v>
      </c>
    </row>
    <row r="340" spans="1:40">
      <c r="A340" s="234" t="str">
        <f>'Front Sheet and Checklist'!$C$5</f>
        <v>Swansea Bay UHB</v>
      </c>
      <c r="B340" s="234" t="s">
        <v>374</v>
      </c>
      <c r="C340" s="234">
        <f t="shared" ref="C340:D340" si="57">C278</f>
        <v>0</v>
      </c>
      <c r="D340" s="234">
        <f t="shared" si="57"/>
        <v>0</v>
      </c>
      <c r="E340" s="234" t="s">
        <v>376</v>
      </c>
      <c r="F340" s="234">
        <f>'F5 - Cost Pressures'!B59</f>
        <v>0</v>
      </c>
      <c r="AM340" s="233">
        <f>'F5 - Cost Pressures'!J59</f>
        <v>0</v>
      </c>
      <c r="AN340" s="233">
        <f>'F5 - Cost Pressures'!K59</f>
        <v>0</v>
      </c>
    </row>
    <row r="341" spans="1:40">
      <c r="A341" s="234" t="str">
        <f>'Front Sheet and Checklist'!$C$5</f>
        <v>Swansea Bay UHB</v>
      </c>
      <c r="B341" s="234" t="s">
        <v>374</v>
      </c>
      <c r="C341" s="234">
        <f t="shared" ref="C341:D341" si="58">C279</f>
        <v>0</v>
      </c>
      <c r="D341" s="234">
        <f t="shared" si="58"/>
        <v>0</v>
      </c>
      <c r="E341" s="234" t="s">
        <v>376</v>
      </c>
      <c r="F341" s="234">
        <f>'F5 - Cost Pressures'!B60</f>
        <v>0</v>
      </c>
      <c r="AM341" s="233">
        <f>'F5 - Cost Pressures'!J60</f>
        <v>0</v>
      </c>
      <c r="AN341" s="233">
        <f>'F5 - Cost Pressures'!K60</f>
        <v>0</v>
      </c>
    </row>
    <row r="342" spans="1:40">
      <c r="A342" s="234" t="str">
        <f>'Front Sheet and Checklist'!$C$5</f>
        <v>Swansea Bay UHB</v>
      </c>
      <c r="B342" s="234" t="s">
        <v>374</v>
      </c>
      <c r="C342" s="234">
        <f t="shared" ref="C342:D342" si="59">C280</f>
        <v>0</v>
      </c>
      <c r="D342" s="234">
        <f t="shared" si="59"/>
        <v>0</v>
      </c>
      <c r="E342" s="234" t="s">
        <v>376</v>
      </c>
      <c r="F342" s="234">
        <f>'F5 - Cost Pressures'!B61</f>
        <v>0</v>
      </c>
      <c r="AM342" s="233">
        <f>'F5 - Cost Pressures'!J61</f>
        <v>0</v>
      </c>
      <c r="AN342" s="233">
        <f>'F5 - Cost Pressures'!K61</f>
        <v>0</v>
      </c>
    </row>
    <row r="343" spans="1:40">
      <c r="A343" s="234" t="str">
        <f>'Front Sheet and Checklist'!$C$5</f>
        <v>Swansea Bay UHB</v>
      </c>
      <c r="B343" s="234" t="s">
        <v>374</v>
      </c>
      <c r="C343" s="234">
        <f t="shared" ref="C343:D343" si="60">C281</f>
        <v>0</v>
      </c>
      <c r="D343" s="234">
        <f t="shared" si="60"/>
        <v>0</v>
      </c>
      <c r="E343" s="234" t="s">
        <v>376</v>
      </c>
      <c r="F343" s="234">
        <f>'F5 - Cost Pressures'!B62</f>
        <v>0</v>
      </c>
      <c r="AM343" s="233">
        <f>'F5 - Cost Pressures'!J62</f>
        <v>0</v>
      </c>
      <c r="AN343" s="233">
        <f>'F5 - Cost Pressures'!K62</f>
        <v>0</v>
      </c>
    </row>
    <row r="344" spans="1:40">
      <c r="A344" s="234" t="str">
        <f>'Front Sheet and Checklist'!$C$5</f>
        <v>Swansea Bay UHB</v>
      </c>
      <c r="B344" s="234" t="s">
        <v>374</v>
      </c>
      <c r="C344" s="234">
        <f t="shared" ref="C344:D344" si="61">C282</f>
        <v>0</v>
      </c>
      <c r="D344" s="234">
        <f t="shared" si="61"/>
        <v>0</v>
      </c>
      <c r="E344" s="234" t="s">
        <v>376</v>
      </c>
      <c r="F344" s="234">
        <f>'F5 - Cost Pressures'!B63</f>
        <v>0</v>
      </c>
      <c r="AM344" s="233">
        <f>'F5 - Cost Pressures'!J63</f>
        <v>0</v>
      </c>
      <c r="AN344" s="233">
        <f>'F5 - Cost Pressures'!K63</f>
        <v>0</v>
      </c>
    </row>
    <row r="345" spans="1:40">
      <c r="A345" s="234" t="str">
        <f>'Front Sheet and Checklist'!$C$5</f>
        <v>Swansea Bay UHB</v>
      </c>
      <c r="B345" s="234" t="s">
        <v>374</v>
      </c>
      <c r="C345" s="234">
        <f t="shared" ref="C345:D345" si="62">C283</f>
        <v>0</v>
      </c>
      <c r="D345" s="234">
        <f t="shared" si="62"/>
        <v>0</v>
      </c>
      <c r="E345" s="234" t="s">
        <v>376</v>
      </c>
      <c r="F345" s="234">
        <f>'F5 - Cost Pressures'!B64</f>
        <v>0</v>
      </c>
      <c r="AM345" s="233">
        <f>'F5 - Cost Pressures'!J64</f>
        <v>0</v>
      </c>
      <c r="AN345" s="233">
        <f>'F5 - Cost Pressures'!K64</f>
        <v>0</v>
      </c>
    </row>
    <row r="346" spans="1:40">
      <c r="A346" s="234" t="str">
        <f>'Front Sheet and Checklist'!$C$5</f>
        <v>Swansea Bay UHB</v>
      </c>
      <c r="B346" s="234" t="s">
        <v>374</v>
      </c>
      <c r="C346" s="234">
        <f t="shared" ref="C346:D346" si="63">C284</f>
        <v>0</v>
      </c>
      <c r="D346" s="234">
        <f t="shared" si="63"/>
        <v>0</v>
      </c>
      <c r="E346" s="234" t="s">
        <v>376</v>
      </c>
      <c r="F346" s="234" t="str">
        <f>'F5 - Cost Pressures'!B65</f>
        <v>Total Cost Pressures</v>
      </c>
      <c r="AM346" s="233">
        <f>'F5 - Cost Pressures'!J65</f>
        <v>19731.262999999999</v>
      </c>
      <c r="AN346" s="233">
        <f>'F5 - Cost Pressures'!K65</f>
        <v>19731.262999999999</v>
      </c>
    </row>
    <row r="347" spans="1:40">
      <c r="A347" s="234" t="str">
        <f>'Front Sheet and Checklist'!$C$5</f>
        <v>Swansea Bay UHB</v>
      </c>
      <c r="B347" s="234" t="s">
        <v>374</v>
      </c>
      <c r="C347" s="234" t="str">
        <f t="shared" ref="C347:D347" si="64">C285</f>
        <v>Macro Economic Inflation</v>
      </c>
      <c r="D347" s="234" t="str">
        <f t="shared" si="64"/>
        <v>7. Non Clinical Support</v>
      </c>
      <c r="E347" s="234" t="s">
        <v>377</v>
      </c>
      <c r="F347" s="234">
        <f>'F5 - Cost Pressures'!B66</f>
        <v>0</v>
      </c>
      <c r="AM347" s="233">
        <f>'F5 - Cost Pressures'!L4</f>
        <v>0</v>
      </c>
      <c r="AN347" s="233">
        <f>'F5 - Cost Pressures'!M4</f>
        <v>0</v>
      </c>
    </row>
    <row r="348" spans="1:40">
      <c r="A348" s="234" t="str">
        <f>'Front Sheet and Checklist'!$C$5</f>
        <v>Swansea Bay UHB</v>
      </c>
      <c r="B348" s="234" t="s">
        <v>374</v>
      </c>
      <c r="C348" s="234" t="str">
        <f t="shared" ref="C348:D348" si="65">C286</f>
        <v>Macro Economic Inflation</v>
      </c>
      <c r="D348" s="234" t="str">
        <f t="shared" si="65"/>
        <v>8. Across Service Areas</v>
      </c>
      <c r="E348" s="234" t="s">
        <v>377</v>
      </c>
      <c r="F348" s="234">
        <f>'F5 - Cost Pressures'!B67</f>
        <v>0</v>
      </c>
      <c r="AM348" s="233">
        <f>'F5 - Cost Pressures'!L5</f>
        <v>0</v>
      </c>
      <c r="AN348" s="233">
        <f>'F5 - Cost Pressures'!M5</f>
        <v>0</v>
      </c>
    </row>
    <row r="349" spans="1:40">
      <c r="A349" s="234" t="str">
        <f>'Front Sheet and Checklist'!$C$5</f>
        <v>Swansea Bay UHB</v>
      </c>
      <c r="B349" s="234" t="s">
        <v>374</v>
      </c>
      <c r="C349" s="234" t="str">
        <f t="shared" ref="C349:D349" si="66">C287</f>
        <v>National Investment Decisions</v>
      </c>
      <c r="D349" s="234" t="str">
        <f t="shared" si="66"/>
        <v>1. Secondary Care (In-house) - General</v>
      </c>
      <c r="E349" s="234" t="s">
        <v>377</v>
      </c>
      <c r="F349" s="234">
        <f>'F5 - Cost Pressures'!B68</f>
        <v>0</v>
      </c>
      <c r="AM349" s="233">
        <f>'F5 - Cost Pressures'!L6</f>
        <v>0</v>
      </c>
      <c r="AN349" s="233">
        <f>'F5 - Cost Pressures'!M6</f>
        <v>0</v>
      </c>
    </row>
    <row r="350" spans="1:40">
      <c r="A350" s="234" t="str">
        <f>'Front Sheet and Checklist'!$C$5</f>
        <v>Swansea Bay UHB</v>
      </c>
      <c r="B350" s="234" t="s">
        <v>374</v>
      </c>
      <c r="C350" s="234" t="str">
        <f t="shared" ref="C350:D350" si="67">C288</f>
        <v>National Investment Decisions</v>
      </c>
      <c r="D350" s="234" t="str">
        <f t="shared" si="67"/>
        <v>4. Commissioned Activity (inc. CHC)</v>
      </c>
      <c r="E350" s="234" t="s">
        <v>377</v>
      </c>
      <c r="F350" s="234">
        <f>'F5 - Cost Pressures'!B69</f>
        <v>0</v>
      </c>
      <c r="AM350" s="233">
        <f>'F5 - Cost Pressures'!L7</f>
        <v>0</v>
      </c>
      <c r="AN350" s="233">
        <f>'F5 - Cost Pressures'!M7</f>
        <v>0</v>
      </c>
    </row>
    <row r="351" spans="1:40">
      <c r="A351" s="234" t="str">
        <f>'Front Sheet and Checklist'!$C$5</f>
        <v>Swansea Bay UHB</v>
      </c>
      <c r="B351" s="234" t="s">
        <v>374</v>
      </c>
      <c r="C351" s="234" t="str">
        <f t="shared" ref="C351:D351" si="68">C289</f>
        <v>National Investment Decisions</v>
      </c>
      <c r="D351" s="234" t="str">
        <f t="shared" si="68"/>
        <v>3. Community Care</v>
      </c>
      <c r="E351" s="234" t="s">
        <v>377</v>
      </c>
      <c r="F351" s="234">
        <f>'F5 - Cost Pressures'!B70</f>
        <v>0</v>
      </c>
      <c r="AM351" s="233">
        <f>'F5 - Cost Pressures'!L8</f>
        <v>0</v>
      </c>
      <c r="AN351" s="233">
        <f>'F5 - Cost Pressures'!M8</f>
        <v>0</v>
      </c>
    </row>
    <row r="352" spans="1:40">
      <c r="A352" s="234" t="str">
        <f>'Front Sheet and Checklist'!$C$5</f>
        <v>Swansea Bay UHB</v>
      </c>
      <c r="B352" s="234" t="s">
        <v>374</v>
      </c>
      <c r="C352" s="234" t="str">
        <f t="shared" ref="C352:D352" si="69">C290</f>
        <v>National Investment Decisions</v>
      </c>
      <c r="D352" s="234" t="str">
        <f t="shared" si="69"/>
        <v>3. Community Care</v>
      </c>
      <c r="E352" s="234" t="s">
        <v>377</v>
      </c>
      <c r="F352" s="234">
        <f>'F5 - Cost Pressures'!B71</f>
        <v>0</v>
      </c>
      <c r="AM352" s="233">
        <f>'F5 - Cost Pressures'!L9</f>
        <v>0</v>
      </c>
      <c r="AN352" s="233">
        <f>'F5 - Cost Pressures'!M9</f>
        <v>0</v>
      </c>
    </row>
    <row r="353" spans="1:40">
      <c r="A353" s="234" t="str">
        <f>'Front Sheet and Checklist'!$C$5</f>
        <v>Swansea Bay UHB</v>
      </c>
      <c r="B353" s="234" t="s">
        <v>374</v>
      </c>
      <c r="C353" s="234" t="str">
        <f t="shared" ref="C353:D353" si="70">C291</f>
        <v>National Investment Decisions</v>
      </c>
      <c r="D353" s="234" t="str">
        <f t="shared" si="70"/>
        <v>4. Commissioned Activity (inc. CHC)</v>
      </c>
      <c r="E353" s="234" t="s">
        <v>377</v>
      </c>
      <c r="F353" s="234">
        <f>'F5 - Cost Pressures'!B72</f>
        <v>0</v>
      </c>
      <c r="AM353" s="233">
        <f>'F5 - Cost Pressures'!L10</f>
        <v>0</v>
      </c>
      <c r="AN353" s="233">
        <f>'F5 - Cost Pressures'!M10</f>
        <v>0</v>
      </c>
    </row>
    <row r="354" spans="1:40">
      <c r="A354" s="234" t="str">
        <f>'Front Sheet and Checklist'!$C$5</f>
        <v>Swansea Bay UHB</v>
      </c>
      <c r="B354" s="234" t="s">
        <v>374</v>
      </c>
      <c r="C354" s="234" t="str">
        <f t="shared" ref="C354:D354" si="71">C292</f>
        <v>National Investment Decisions</v>
      </c>
      <c r="D354" s="234">
        <f t="shared" si="71"/>
        <v>0</v>
      </c>
      <c r="E354" s="234" t="s">
        <v>377</v>
      </c>
      <c r="F354" s="234">
        <f>'F5 - Cost Pressures'!B73</f>
        <v>0</v>
      </c>
      <c r="AM354" s="233">
        <f>'F5 - Cost Pressures'!L11</f>
        <v>0</v>
      </c>
      <c r="AN354" s="233">
        <f>'F5 - Cost Pressures'!M11</f>
        <v>0</v>
      </c>
    </row>
    <row r="355" spans="1:40">
      <c r="A355" s="234" t="str">
        <f>'Front Sheet and Checklist'!$C$5</f>
        <v>Swansea Bay UHB</v>
      </c>
      <c r="B355" s="234" t="s">
        <v>374</v>
      </c>
      <c r="C355" s="234" t="str">
        <f t="shared" ref="C355:D355" si="72">C293</f>
        <v>National Investment Decisions</v>
      </c>
      <c r="D355" s="234">
        <f t="shared" si="72"/>
        <v>0</v>
      </c>
      <c r="E355" s="234" t="s">
        <v>377</v>
      </c>
      <c r="F355" s="234">
        <f>'F5 - Cost Pressures'!B74</f>
        <v>0</v>
      </c>
      <c r="AM355" s="233">
        <f>'F5 - Cost Pressures'!L12</f>
        <v>0</v>
      </c>
      <c r="AN355" s="233">
        <f>'F5 - Cost Pressures'!M12</f>
        <v>0</v>
      </c>
    </row>
    <row r="356" spans="1:40">
      <c r="A356" s="234" t="str">
        <f>'Front Sheet and Checklist'!$C$5</f>
        <v>Swansea Bay UHB</v>
      </c>
      <c r="B356" s="234" t="s">
        <v>374</v>
      </c>
      <c r="C356" s="234" t="str">
        <f t="shared" ref="C356:D356" si="73">C294</f>
        <v>National Investment Decisions</v>
      </c>
      <c r="D356" s="234">
        <f t="shared" si="73"/>
        <v>0</v>
      </c>
      <c r="E356" s="234" t="s">
        <v>377</v>
      </c>
      <c r="F356" s="234">
        <f>'F5 - Cost Pressures'!B75</f>
        <v>0</v>
      </c>
      <c r="AM356" s="233">
        <f>'F5 - Cost Pressures'!L13</f>
        <v>0</v>
      </c>
      <c r="AN356" s="233">
        <f>'F5 - Cost Pressures'!M13</f>
        <v>0</v>
      </c>
    </row>
    <row r="357" spans="1:40">
      <c r="A357" s="234" t="str">
        <f>'Front Sheet and Checklist'!$C$5</f>
        <v>Swansea Bay UHB</v>
      </c>
      <c r="B357" s="234" t="s">
        <v>374</v>
      </c>
      <c r="C357" s="234" t="str">
        <f t="shared" ref="C357:D357" si="74">C295</f>
        <v>National Investment Decisions</v>
      </c>
      <c r="D357" s="234">
        <f t="shared" si="74"/>
        <v>0</v>
      </c>
      <c r="E357" s="234" t="s">
        <v>377</v>
      </c>
      <c r="F357" s="234">
        <f>'F5 - Cost Pressures'!B76</f>
        <v>0</v>
      </c>
      <c r="AM357" s="233">
        <f>'F5 - Cost Pressures'!L14</f>
        <v>0</v>
      </c>
      <c r="AN357" s="233">
        <f>'F5 - Cost Pressures'!M14</f>
        <v>0</v>
      </c>
    </row>
    <row r="358" spans="1:40">
      <c r="A358" s="234" t="str">
        <f>'Front Sheet and Checklist'!$C$5</f>
        <v>Swansea Bay UHB</v>
      </c>
      <c r="B358" s="234" t="s">
        <v>374</v>
      </c>
      <c r="C358" s="234" t="str">
        <f t="shared" ref="C358:D358" si="75">C296</f>
        <v>National Investment Decisions</v>
      </c>
      <c r="D358" s="234">
        <f t="shared" si="75"/>
        <v>0</v>
      </c>
      <c r="E358" s="234" t="s">
        <v>377</v>
      </c>
      <c r="F358" s="234">
        <f>'F5 - Cost Pressures'!B77</f>
        <v>0</v>
      </c>
      <c r="AM358" s="233">
        <f>'F5 - Cost Pressures'!L15</f>
        <v>0</v>
      </c>
      <c r="AN358" s="233">
        <f>'F5 - Cost Pressures'!M15</f>
        <v>0</v>
      </c>
    </row>
    <row r="359" spans="1:40">
      <c r="A359" s="234" t="str">
        <f>'Front Sheet and Checklist'!$C$5</f>
        <v>Swansea Bay UHB</v>
      </c>
      <c r="B359" s="234" t="s">
        <v>374</v>
      </c>
      <c r="C359" s="234" t="str">
        <f t="shared" ref="C359:D359" si="76">C297</f>
        <v>National Investment Decisions</v>
      </c>
      <c r="D359" s="234">
        <f t="shared" si="76"/>
        <v>0</v>
      </c>
      <c r="E359" s="234" t="s">
        <v>377</v>
      </c>
      <c r="F359" s="234">
        <f>'F5 - Cost Pressures'!B78</f>
        <v>0</v>
      </c>
      <c r="AM359" s="233">
        <f>'F5 - Cost Pressures'!L16</f>
        <v>0</v>
      </c>
      <c r="AN359" s="233">
        <f>'F5 - Cost Pressures'!M16</f>
        <v>0</v>
      </c>
    </row>
    <row r="360" spans="1:40">
      <c r="A360" s="234" t="str">
        <f>'Front Sheet and Checklist'!$C$5</f>
        <v>Swansea Bay UHB</v>
      </c>
      <c r="B360" s="234" t="s">
        <v>374</v>
      </c>
      <c r="C360" s="234" t="str">
        <f t="shared" ref="C360:D360" si="77">C298</f>
        <v>National Investment Decisions</v>
      </c>
      <c r="D360" s="234">
        <f t="shared" si="77"/>
        <v>0</v>
      </c>
      <c r="E360" s="234" t="s">
        <v>377</v>
      </c>
      <c r="F360" s="234">
        <f>'F5 - Cost Pressures'!B79</f>
        <v>0</v>
      </c>
      <c r="AM360" s="233">
        <f>'F5 - Cost Pressures'!L17</f>
        <v>0</v>
      </c>
      <c r="AN360" s="233">
        <f>'F5 - Cost Pressures'!M17</f>
        <v>0</v>
      </c>
    </row>
    <row r="361" spans="1:40">
      <c r="A361" s="234" t="str">
        <f>'Front Sheet and Checklist'!$C$5</f>
        <v>Swansea Bay UHB</v>
      </c>
      <c r="B361" s="234" t="s">
        <v>374</v>
      </c>
      <c r="C361" s="234" t="str">
        <f t="shared" ref="C361:D361" si="78">C299</f>
        <v>National Investment Decisions</v>
      </c>
      <c r="D361" s="234">
        <f t="shared" si="78"/>
        <v>0</v>
      </c>
      <c r="E361" s="234" t="s">
        <v>377</v>
      </c>
      <c r="F361" s="234">
        <f>'F5 - Cost Pressures'!B80</f>
        <v>0</v>
      </c>
      <c r="AM361" s="233">
        <f>'F5 - Cost Pressures'!L18</f>
        <v>0</v>
      </c>
      <c r="AN361" s="233">
        <f>'F5 - Cost Pressures'!M18</f>
        <v>0</v>
      </c>
    </row>
    <row r="362" spans="1:40">
      <c r="A362" s="234" t="str">
        <f>'Front Sheet and Checklist'!$C$5</f>
        <v>Swansea Bay UHB</v>
      </c>
      <c r="B362" s="234" t="s">
        <v>374</v>
      </c>
      <c r="C362" s="234" t="str">
        <f t="shared" ref="C362:D362" si="79">C300</f>
        <v>National Investment Decisions</v>
      </c>
      <c r="D362" s="234">
        <f t="shared" si="79"/>
        <v>0</v>
      </c>
      <c r="E362" s="234" t="s">
        <v>377</v>
      </c>
      <c r="F362" s="234">
        <f>'F5 - Cost Pressures'!B81</f>
        <v>0</v>
      </c>
      <c r="AM362" s="233">
        <f>'F5 - Cost Pressures'!L19</f>
        <v>0</v>
      </c>
      <c r="AN362" s="233">
        <f>'F5 - Cost Pressures'!M19</f>
        <v>0</v>
      </c>
    </row>
    <row r="363" spans="1:40">
      <c r="A363" s="234" t="str">
        <f>'Front Sheet and Checklist'!$C$5</f>
        <v>Swansea Bay UHB</v>
      </c>
      <c r="B363" s="234" t="s">
        <v>374</v>
      </c>
      <c r="C363" s="234" t="str">
        <f t="shared" ref="C363:D363" si="80">C301</f>
        <v>Macro Economic Inflation</v>
      </c>
      <c r="D363" s="234">
        <f t="shared" si="80"/>
        <v>0</v>
      </c>
      <c r="E363" s="234" t="s">
        <v>377</v>
      </c>
      <c r="F363" s="234">
        <f>'F5 - Cost Pressures'!B82</f>
        <v>0</v>
      </c>
      <c r="AM363" s="233">
        <f>'F5 - Cost Pressures'!L20</f>
        <v>0</v>
      </c>
      <c r="AN363" s="233">
        <f>'F5 - Cost Pressures'!M20</f>
        <v>0</v>
      </c>
    </row>
    <row r="364" spans="1:40">
      <c r="A364" s="234" t="str">
        <f>'Front Sheet and Checklist'!$C$5</f>
        <v>Swansea Bay UHB</v>
      </c>
      <c r="B364" s="234" t="s">
        <v>374</v>
      </c>
      <c r="C364" s="234" t="str">
        <f t="shared" ref="C364:D364" si="81">C302</f>
        <v>Macro Economic Inflation</v>
      </c>
      <c r="D364" s="234">
        <f t="shared" si="81"/>
        <v>0</v>
      </c>
      <c r="E364" s="234" t="s">
        <v>377</v>
      </c>
      <c r="F364" s="234">
        <f>'F5 - Cost Pressures'!B83</f>
        <v>0</v>
      </c>
      <c r="AM364" s="233">
        <f>'F5 - Cost Pressures'!L21</f>
        <v>2000</v>
      </c>
      <c r="AN364" s="233">
        <f>'F5 - Cost Pressures'!M21</f>
        <v>2000</v>
      </c>
    </row>
    <row r="365" spans="1:40">
      <c r="A365" s="234" t="str">
        <f>'Front Sheet and Checklist'!$C$5</f>
        <v>Swansea Bay UHB</v>
      </c>
      <c r="B365" s="234" t="s">
        <v>374</v>
      </c>
      <c r="C365" s="234" t="str">
        <f t="shared" ref="C365:D365" si="82">C303</f>
        <v>Macro Economic Inflation</v>
      </c>
      <c r="D365" s="234">
        <f t="shared" si="82"/>
        <v>0</v>
      </c>
      <c r="E365" s="234" t="s">
        <v>377</v>
      </c>
      <c r="F365" s="234">
        <f>'F5 - Cost Pressures'!B84</f>
        <v>0</v>
      </c>
      <c r="AM365" s="233">
        <f>'F5 - Cost Pressures'!L22</f>
        <v>0</v>
      </c>
      <c r="AN365" s="233">
        <f>'F5 - Cost Pressures'!M22</f>
        <v>0</v>
      </c>
    </row>
    <row r="366" spans="1:40">
      <c r="A366" s="234" t="str">
        <f>'Front Sheet and Checklist'!$C$5</f>
        <v>Swansea Bay UHB</v>
      </c>
      <c r="B366" s="234" t="s">
        <v>374</v>
      </c>
      <c r="C366" s="234" t="str">
        <f t="shared" ref="C366:D366" si="83">C304</f>
        <v>Macro Economic Inflation</v>
      </c>
      <c r="D366" s="234">
        <f t="shared" si="83"/>
        <v>0</v>
      </c>
      <c r="E366" s="234" t="s">
        <v>377</v>
      </c>
      <c r="F366" s="234">
        <f>'F5 - Cost Pressures'!B85</f>
        <v>0</v>
      </c>
      <c r="AM366" s="233">
        <f>'F5 - Cost Pressures'!L23</f>
        <v>0</v>
      </c>
      <c r="AN366" s="233">
        <f>'F5 - Cost Pressures'!M23</f>
        <v>0</v>
      </c>
    </row>
    <row r="367" spans="1:40">
      <c r="A367" s="234" t="str">
        <f>'Front Sheet and Checklist'!$C$5</f>
        <v>Swansea Bay UHB</v>
      </c>
      <c r="B367" s="234" t="s">
        <v>374</v>
      </c>
      <c r="C367" s="234" t="str">
        <f t="shared" ref="C367:D367" si="84">C305</f>
        <v>Macro Economic Inflation</v>
      </c>
      <c r="D367" s="234">
        <f t="shared" si="84"/>
        <v>0</v>
      </c>
      <c r="E367" s="234" t="s">
        <v>377</v>
      </c>
      <c r="F367" s="234">
        <f>'F5 - Cost Pressures'!B86</f>
        <v>0</v>
      </c>
      <c r="AM367" s="233">
        <f>'F5 - Cost Pressures'!L24</f>
        <v>0</v>
      </c>
      <c r="AN367" s="233">
        <f>'F5 - Cost Pressures'!M24</f>
        <v>0</v>
      </c>
    </row>
    <row r="368" spans="1:40">
      <c r="A368" s="234" t="str">
        <f>'Front Sheet and Checklist'!$C$5</f>
        <v>Swansea Bay UHB</v>
      </c>
      <c r="B368" s="234" t="s">
        <v>374</v>
      </c>
      <c r="C368" s="234" t="str">
        <f t="shared" ref="C368:D368" si="85">C306</f>
        <v>Macro Economic Inflation</v>
      </c>
      <c r="D368" s="234">
        <f t="shared" si="85"/>
        <v>0</v>
      </c>
      <c r="E368" s="234" t="s">
        <v>377</v>
      </c>
      <c r="F368" s="234">
        <f>'F5 - Cost Pressures'!B87</f>
        <v>0</v>
      </c>
      <c r="AM368" s="233">
        <f>'F5 - Cost Pressures'!L25</f>
        <v>0</v>
      </c>
      <c r="AN368" s="233">
        <f>'F5 - Cost Pressures'!M25</f>
        <v>0</v>
      </c>
    </row>
    <row r="369" spans="1:40">
      <c r="A369" s="234" t="str">
        <f>'Front Sheet and Checklist'!$C$5</f>
        <v>Swansea Bay UHB</v>
      </c>
      <c r="B369" s="234" t="s">
        <v>374</v>
      </c>
      <c r="C369" s="234" t="str">
        <f t="shared" ref="C369:D369" si="86">C307</f>
        <v>Macro Economic Inflation</v>
      </c>
      <c r="D369" s="234">
        <f t="shared" si="86"/>
        <v>0</v>
      </c>
      <c r="E369" s="234" t="s">
        <v>377</v>
      </c>
      <c r="F369" s="234">
        <f>'F5 - Cost Pressures'!B88</f>
        <v>0</v>
      </c>
      <c r="AM369" s="233">
        <f>'F5 - Cost Pressures'!L26</f>
        <v>0</v>
      </c>
      <c r="AN369" s="233">
        <f>'F5 - Cost Pressures'!M26</f>
        <v>0</v>
      </c>
    </row>
    <row r="370" spans="1:40">
      <c r="A370" s="234" t="str">
        <f>'Front Sheet and Checklist'!$C$5</f>
        <v>Swansea Bay UHB</v>
      </c>
      <c r="B370" s="234" t="s">
        <v>374</v>
      </c>
      <c r="C370" s="234" t="str">
        <f t="shared" ref="C370:D370" si="87">C308</f>
        <v>Macro Economic Inflation</v>
      </c>
      <c r="D370" s="234">
        <f t="shared" si="87"/>
        <v>0</v>
      </c>
      <c r="E370" s="234" t="s">
        <v>377</v>
      </c>
      <c r="F370" s="234">
        <f>'F5 - Cost Pressures'!B89</f>
        <v>0</v>
      </c>
      <c r="AM370" s="233">
        <f>'F5 - Cost Pressures'!L27</f>
        <v>0</v>
      </c>
      <c r="AN370" s="233">
        <f>'F5 - Cost Pressures'!M27</f>
        <v>0</v>
      </c>
    </row>
    <row r="371" spans="1:40">
      <c r="A371" s="234" t="str">
        <f>'Front Sheet and Checklist'!$C$5</f>
        <v>Swansea Bay UHB</v>
      </c>
      <c r="B371" s="234" t="s">
        <v>374</v>
      </c>
      <c r="C371" s="234" t="str">
        <f t="shared" ref="C371:D371" si="88">C309</f>
        <v>Macro Economic Inflation</v>
      </c>
      <c r="D371" s="234">
        <f t="shared" si="88"/>
        <v>0</v>
      </c>
      <c r="E371" s="234" t="s">
        <v>377</v>
      </c>
      <c r="F371" s="234">
        <f>'F5 - Cost Pressures'!B90</f>
        <v>0</v>
      </c>
      <c r="AM371" s="233">
        <f>'F5 - Cost Pressures'!L28</f>
        <v>4986.9996553860965</v>
      </c>
      <c r="AN371" s="233">
        <f>'F5 - Cost Pressures'!M28</f>
        <v>4986.9996553860965</v>
      </c>
    </row>
    <row r="372" spans="1:40">
      <c r="A372" s="234" t="str">
        <f>'Front Sheet and Checklist'!$C$5</f>
        <v>Swansea Bay UHB</v>
      </c>
      <c r="B372" s="234" t="s">
        <v>374</v>
      </c>
      <c r="C372" s="234" t="str">
        <f t="shared" ref="C372:D372" si="89">C310</f>
        <v>Macro Economic Inflation</v>
      </c>
      <c r="D372" s="234">
        <f t="shared" si="89"/>
        <v>0</v>
      </c>
      <c r="E372" s="234" t="s">
        <v>377</v>
      </c>
      <c r="F372" s="234">
        <f>'F5 - Cost Pressures'!B91</f>
        <v>0</v>
      </c>
      <c r="AM372" s="233">
        <f>'F5 - Cost Pressures'!L29</f>
        <v>0</v>
      </c>
      <c r="AN372" s="233">
        <f>'F5 - Cost Pressures'!M29</f>
        <v>0</v>
      </c>
    </row>
    <row r="373" spans="1:40">
      <c r="A373" s="234" t="str">
        <f>'Front Sheet and Checklist'!$C$5</f>
        <v>Swansea Bay UHB</v>
      </c>
      <c r="B373" s="234" t="s">
        <v>374</v>
      </c>
      <c r="C373" s="234" t="str">
        <f t="shared" ref="C373:D373" si="90">C311</f>
        <v>Macro Economic Inflation</v>
      </c>
      <c r="D373" s="234">
        <f t="shared" si="90"/>
        <v>0</v>
      </c>
      <c r="E373" s="234" t="s">
        <v>377</v>
      </c>
      <c r="F373" s="234">
        <f>'F5 - Cost Pressures'!B92</f>
        <v>0</v>
      </c>
      <c r="AM373" s="233">
        <f>'F5 - Cost Pressures'!L30</f>
        <v>0</v>
      </c>
      <c r="AN373" s="233">
        <f>'F5 - Cost Pressures'!M30</f>
        <v>0</v>
      </c>
    </row>
    <row r="374" spans="1:40">
      <c r="A374" s="234" t="str">
        <f>'Front Sheet and Checklist'!$C$5</f>
        <v>Swansea Bay UHB</v>
      </c>
      <c r="B374" s="234" t="s">
        <v>374</v>
      </c>
      <c r="C374" s="234" t="str">
        <f t="shared" ref="C374:D374" si="91">C312</f>
        <v>Macro Economic Inflation</v>
      </c>
      <c r="D374" s="234">
        <f t="shared" si="91"/>
        <v>0</v>
      </c>
      <c r="E374" s="234" t="s">
        <v>377</v>
      </c>
      <c r="F374" s="234">
        <f>'F5 - Cost Pressures'!B93</f>
        <v>0</v>
      </c>
      <c r="AM374" s="233">
        <f>'F5 - Cost Pressures'!L31</f>
        <v>0</v>
      </c>
      <c r="AN374" s="233">
        <f>'F5 - Cost Pressures'!M31</f>
        <v>0</v>
      </c>
    </row>
    <row r="375" spans="1:40">
      <c r="A375" s="234" t="str">
        <f>'Front Sheet and Checklist'!$C$5</f>
        <v>Swansea Bay UHB</v>
      </c>
      <c r="B375" s="234" t="s">
        <v>374</v>
      </c>
      <c r="C375" s="234" t="str">
        <f t="shared" ref="C375:D375" si="92">C313</f>
        <v>Contractual or unavoidable</v>
      </c>
      <c r="D375" s="234">
        <f t="shared" si="92"/>
        <v>0</v>
      </c>
      <c r="E375" s="234" t="s">
        <v>377</v>
      </c>
      <c r="F375" s="234">
        <f>'F5 - Cost Pressures'!B94</f>
        <v>0</v>
      </c>
      <c r="AM375" s="233">
        <f>'F5 - Cost Pressures'!L32</f>
        <v>0</v>
      </c>
      <c r="AN375" s="233">
        <f>'F5 - Cost Pressures'!M32</f>
        <v>0</v>
      </c>
    </row>
    <row r="376" spans="1:40">
      <c r="A376" s="234" t="str">
        <f>'Front Sheet and Checklist'!$C$5</f>
        <v>Swansea Bay UHB</v>
      </c>
      <c r="B376" s="234" t="s">
        <v>374</v>
      </c>
      <c r="C376" s="234" t="str">
        <f t="shared" ref="C376:D376" si="93">C314</f>
        <v>Contractual or unavoidable</v>
      </c>
      <c r="D376" s="234">
        <f t="shared" si="93"/>
        <v>0</v>
      </c>
      <c r="E376" s="234" t="s">
        <v>377</v>
      </c>
      <c r="F376" s="234">
        <f>'F5 - Cost Pressures'!B95</f>
        <v>0</v>
      </c>
      <c r="AM376" s="233">
        <f>'F5 - Cost Pressures'!L33</f>
        <v>0</v>
      </c>
      <c r="AN376" s="233">
        <f>'F5 - Cost Pressures'!M33</f>
        <v>0</v>
      </c>
    </row>
    <row r="377" spans="1:40">
      <c r="A377" s="234" t="str">
        <f>'Front Sheet and Checklist'!$C$5</f>
        <v>Swansea Bay UHB</v>
      </c>
      <c r="B377" s="234" t="s">
        <v>374</v>
      </c>
      <c r="C377" s="234">
        <f t="shared" ref="C377:D377" si="94">C315</f>
        <v>0</v>
      </c>
      <c r="D377" s="234">
        <f t="shared" si="94"/>
        <v>0</v>
      </c>
      <c r="E377" s="234" t="s">
        <v>377</v>
      </c>
      <c r="F377" s="234">
        <f>'F5 - Cost Pressures'!B96</f>
        <v>0</v>
      </c>
      <c r="AM377" s="233">
        <f>'F5 - Cost Pressures'!L34</f>
        <v>0</v>
      </c>
      <c r="AN377" s="233">
        <f>'F5 - Cost Pressures'!M34</f>
        <v>0</v>
      </c>
    </row>
    <row r="378" spans="1:40">
      <c r="A378" s="234" t="str">
        <f>'Front Sheet and Checklist'!$C$5</f>
        <v>Swansea Bay UHB</v>
      </c>
      <c r="B378" s="234" t="s">
        <v>374</v>
      </c>
      <c r="C378" s="234">
        <f t="shared" ref="C378:D378" si="95">C316</f>
        <v>0</v>
      </c>
      <c r="D378" s="234">
        <f t="shared" si="95"/>
        <v>0</v>
      </c>
      <c r="E378" s="234" t="s">
        <v>377</v>
      </c>
      <c r="F378" s="234">
        <f>'F5 - Cost Pressures'!B97</f>
        <v>0</v>
      </c>
      <c r="AM378" s="233">
        <f>'F5 - Cost Pressures'!L35</f>
        <v>0</v>
      </c>
      <c r="AN378" s="233">
        <f>'F5 - Cost Pressures'!M35</f>
        <v>0</v>
      </c>
    </row>
    <row r="379" spans="1:40">
      <c r="A379" s="234" t="str">
        <f>'Front Sheet and Checklist'!$C$5</f>
        <v>Swansea Bay UHB</v>
      </c>
      <c r="B379" s="234" t="s">
        <v>374</v>
      </c>
      <c r="C379" s="234">
        <f t="shared" ref="C379:D379" si="96">C317</f>
        <v>0</v>
      </c>
      <c r="D379" s="234">
        <f t="shared" si="96"/>
        <v>0</v>
      </c>
      <c r="E379" s="234" t="s">
        <v>377</v>
      </c>
      <c r="F379" s="234">
        <f>'F5 - Cost Pressures'!B98</f>
        <v>0</v>
      </c>
      <c r="AM379" s="233">
        <f>'F5 - Cost Pressures'!L36</f>
        <v>0</v>
      </c>
      <c r="AN379" s="233">
        <f>'F5 - Cost Pressures'!M36</f>
        <v>0</v>
      </c>
    </row>
    <row r="380" spans="1:40">
      <c r="A380" s="234" t="str">
        <f>'Front Sheet and Checklist'!$C$5</f>
        <v>Swansea Bay UHB</v>
      </c>
      <c r="B380" s="234" t="s">
        <v>374</v>
      </c>
      <c r="C380" s="234" t="str">
        <f t="shared" ref="C380:D380" si="97">C318</f>
        <v>Macro Economic Inflation</v>
      </c>
      <c r="D380" s="234">
        <f t="shared" si="97"/>
        <v>0</v>
      </c>
      <c r="E380" s="234" t="s">
        <v>377</v>
      </c>
      <c r="F380" s="234">
        <f>'F5 - Cost Pressures'!B99</f>
        <v>0</v>
      </c>
      <c r="AM380" s="233">
        <f>'F5 - Cost Pressures'!L37</f>
        <v>0</v>
      </c>
      <c r="AN380" s="233">
        <f>'F5 - Cost Pressures'!M37</f>
        <v>0</v>
      </c>
    </row>
    <row r="381" spans="1:40">
      <c r="A381" s="234" t="str">
        <f>'Front Sheet and Checklist'!$C$5</f>
        <v>Swansea Bay UHB</v>
      </c>
      <c r="B381" s="234" t="s">
        <v>374</v>
      </c>
      <c r="C381" s="234" t="str">
        <f t="shared" ref="C381:D381" si="98">C319</f>
        <v>Macro Economic Inflation</v>
      </c>
      <c r="D381" s="234">
        <f t="shared" si="98"/>
        <v>0</v>
      </c>
      <c r="E381" s="234" t="s">
        <v>377</v>
      </c>
      <c r="F381" s="234">
        <f>'F5 - Cost Pressures'!B100</f>
        <v>0</v>
      </c>
      <c r="AM381" s="233">
        <f>'F5 - Cost Pressures'!L38</f>
        <v>0</v>
      </c>
      <c r="AN381" s="233">
        <f>'F5 - Cost Pressures'!M38</f>
        <v>0</v>
      </c>
    </row>
    <row r="382" spans="1:40">
      <c r="A382" s="234" t="str">
        <f>'Front Sheet and Checklist'!$C$5</f>
        <v>Swansea Bay UHB</v>
      </c>
      <c r="B382" s="234" t="s">
        <v>374</v>
      </c>
      <c r="C382" s="234" t="str">
        <f t="shared" ref="C382:D382" si="99">C320</f>
        <v>Macro Economic Inflation</v>
      </c>
      <c r="D382" s="234">
        <f t="shared" si="99"/>
        <v>0</v>
      </c>
      <c r="E382" s="234" t="s">
        <v>377</v>
      </c>
      <c r="F382" s="234">
        <f>'F5 - Cost Pressures'!B101</f>
        <v>0</v>
      </c>
      <c r="AM382" s="233">
        <f>'F5 - Cost Pressures'!L39</f>
        <v>0</v>
      </c>
      <c r="AN382" s="233">
        <f>'F5 - Cost Pressures'!M39</f>
        <v>0</v>
      </c>
    </row>
    <row r="383" spans="1:40">
      <c r="A383" s="234" t="str">
        <f>'Front Sheet and Checklist'!$C$5</f>
        <v>Swansea Bay UHB</v>
      </c>
      <c r="B383" s="234" t="s">
        <v>374</v>
      </c>
      <c r="C383" s="234" t="str">
        <f t="shared" ref="C383:D383" si="100">C321</f>
        <v>Macro Economic Inflation</v>
      </c>
      <c r="D383" s="234">
        <f t="shared" si="100"/>
        <v>0</v>
      </c>
      <c r="E383" s="234" t="s">
        <v>377</v>
      </c>
      <c r="F383" s="234">
        <f>'F5 - Cost Pressures'!B102</f>
        <v>0</v>
      </c>
      <c r="AM383" s="233">
        <f>'F5 - Cost Pressures'!L40</f>
        <v>0</v>
      </c>
      <c r="AN383" s="233">
        <f>'F5 - Cost Pressures'!M40</f>
        <v>0</v>
      </c>
    </row>
    <row r="384" spans="1:40">
      <c r="A384" s="234" t="str">
        <f>'Front Sheet and Checklist'!$C$5</f>
        <v>Swansea Bay UHB</v>
      </c>
      <c r="B384" s="234" t="s">
        <v>374</v>
      </c>
      <c r="C384" s="234" t="str">
        <f t="shared" ref="C384:D384" si="101">C322</f>
        <v>Local Investment Decisions</v>
      </c>
      <c r="D384" s="234">
        <f t="shared" si="101"/>
        <v>0</v>
      </c>
      <c r="E384" s="234" t="s">
        <v>377</v>
      </c>
      <c r="F384" s="234">
        <f>'F5 - Cost Pressures'!B103</f>
        <v>0</v>
      </c>
      <c r="AM384" s="233">
        <f>'F5 - Cost Pressures'!L41</f>
        <v>0</v>
      </c>
      <c r="AN384" s="233">
        <f>'F5 - Cost Pressures'!M41</f>
        <v>0</v>
      </c>
    </row>
    <row r="385" spans="1:40">
      <c r="A385" s="234" t="str">
        <f>'Front Sheet and Checklist'!$C$5</f>
        <v>Swansea Bay UHB</v>
      </c>
      <c r="B385" s="234" t="s">
        <v>374</v>
      </c>
      <c r="C385" s="234" t="str">
        <f t="shared" ref="C385:D385" si="102">C323</f>
        <v>Local Investment Decisions</v>
      </c>
      <c r="D385" s="234">
        <f t="shared" si="102"/>
        <v>0</v>
      </c>
      <c r="E385" s="234" t="s">
        <v>377</v>
      </c>
      <c r="F385" s="234">
        <f>'F5 - Cost Pressures'!B104</f>
        <v>0</v>
      </c>
      <c r="AM385" s="233">
        <f>'F5 - Cost Pressures'!L42</f>
        <v>0</v>
      </c>
      <c r="AN385" s="233">
        <f>'F5 - Cost Pressures'!M42</f>
        <v>0</v>
      </c>
    </row>
    <row r="386" spans="1:40">
      <c r="A386" s="234" t="str">
        <f>'Front Sheet and Checklist'!$C$5</f>
        <v>Swansea Bay UHB</v>
      </c>
      <c r="B386" s="234" t="s">
        <v>374</v>
      </c>
      <c r="C386" s="234" t="str">
        <f t="shared" ref="C386:D386" si="103">C324</f>
        <v>Local Investment Decisions</v>
      </c>
      <c r="D386" s="234">
        <f t="shared" si="103"/>
        <v>0</v>
      </c>
      <c r="E386" s="234" t="s">
        <v>377</v>
      </c>
      <c r="F386" s="234">
        <f>'F5 - Cost Pressures'!B105</f>
        <v>0</v>
      </c>
      <c r="AM386" s="233">
        <f>'F5 - Cost Pressures'!L43</f>
        <v>0</v>
      </c>
      <c r="AN386" s="233">
        <f>'F5 - Cost Pressures'!M43</f>
        <v>0</v>
      </c>
    </row>
    <row r="387" spans="1:40">
      <c r="A387" s="234" t="str">
        <f>'Front Sheet and Checklist'!$C$5</f>
        <v>Swansea Bay UHB</v>
      </c>
      <c r="B387" s="234" t="s">
        <v>374</v>
      </c>
      <c r="C387" s="234" t="str">
        <f t="shared" ref="C387:D387" si="104">C325</f>
        <v>Local Investment Decisions</v>
      </c>
      <c r="D387" s="234">
        <f t="shared" si="104"/>
        <v>0</v>
      </c>
      <c r="E387" s="234" t="s">
        <v>377</v>
      </c>
      <c r="F387" s="234">
        <f>'F5 - Cost Pressures'!B106</f>
        <v>0</v>
      </c>
      <c r="AM387" s="233">
        <f>'F5 - Cost Pressures'!L44</f>
        <v>0</v>
      </c>
      <c r="AN387" s="233">
        <f>'F5 - Cost Pressures'!M44</f>
        <v>0</v>
      </c>
    </row>
    <row r="388" spans="1:40">
      <c r="A388" s="234" t="str">
        <f>'Front Sheet and Checklist'!$C$5</f>
        <v>Swansea Bay UHB</v>
      </c>
      <c r="B388" s="234" t="s">
        <v>374</v>
      </c>
      <c r="C388" s="234" t="str">
        <f t="shared" ref="C388:D388" si="105">C326</f>
        <v>Local Investment Decisions</v>
      </c>
      <c r="D388" s="234">
        <f t="shared" si="105"/>
        <v>0</v>
      </c>
      <c r="E388" s="234" t="s">
        <v>377</v>
      </c>
      <c r="F388" s="234">
        <f>'F5 - Cost Pressures'!B107</f>
        <v>0</v>
      </c>
      <c r="AM388" s="233">
        <f>'F5 - Cost Pressures'!L45</f>
        <v>0</v>
      </c>
      <c r="AN388" s="233">
        <f>'F5 - Cost Pressures'!M45</f>
        <v>0</v>
      </c>
    </row>
    <row r="389" spans="1:40">
      <c r="A389" s="234" t="str">
        <f>'Front Sheet and Checklist'!$C$5</f>
        <v>Swansea Bay UHB</v>
      </c>
      <c r="B389" s="234" t="s">
        <v>374</v>
      </c>
      <c r="C389" s="234" t="str">
        <f t="shared" ref="C389:D389" si="106">C327</f>
        <v>Local Investment Decisions</v>
      </c>
      <c r="D389" s="234">
        <f t="shared" si="106"/>
        <v>0</v>
      </c>
      <c r="E389" s="234" t="s">
        <v>377</v>
      </c>
      <c r="F389" s="234">
        <f>'F5 - Cost Pressures'!B108</f>
        <v>0</v>
      </c>
      <c r="AM389" s="233">
        <f>'F5 - Cost Pressures'!L46</f>
        <v>0</v>
      </c>
      <c r="AN389" s="233">
        <f>'F5 - Cost Pressures'!M46</f>
        <v>0</v>
      </c>
    </row>
    <row r="390" spans="1:40">
      <c r="A390" s="234" t="str">
        <f>'Front Sheet and Checklist'!$C$5</f>
        <v>Swansea Bay UHB</v>
      </c>
      <c r="B390" s="234" t="s">
        <v>374</v>
      </c>
      <c r="C390" s="234" t="str">
        <f t="shared" ref="C390:D390" si="107">C328</f>
        <v>Local Investment Decisions</v>
      </c>
      <c r="D390" s="234">
        <f t="shared" si="107"/>
        <v>0</v>
      </c>
      <c r="E390" s="234" t="s">
        <v>377</v>
      </c>
      <c r="F390" s="234">
        <f>'F5 - Cost Pressures'!B109</f>
        <v>0</v>
      </c>
      <c r="AM390" s="233">
        <f>'F5 - Cost Pressures'!L47</f>
        <v>0</v>
      </c>
      <c r="AN390" s="233">
        <f>'F5 - Cost Pressures'!M47</f>
        <v>0</v>
      </c>
    </row>
    <row r="391" spans="1:40">
      <c r="A391" s="234" t="str">
        <f>'Front Sheet and Checklist'!$C$5</f>
        <v>Swansea Bay UHB</v>
      </c>
      <c r="B391" s="234" t="s">
        <v>374</v>
      </c>
      <c r="C391" s="234" t="str">
        <f t="shared" ref="C391:D391" si="108">C329</f>
        <v>Local Investment Decisions</v>
      </c>
      <c r="D391" s="234">
        <f t="shared" si="108"/>
        <v>0</v>
      </c>
      <c r="E391" s="234" t="s">
        <v>377</v>
      </c>
      <c r="F391" s="234">
        <f>'F5 - Cost Pressures'!B110</f>
        <v>0</v>
      </c>
      <c r="AM391" s="233">
        <f>'F5 - Cost Pressures'!L48</f>
        <v>0</v>
      </c>
      <c r="AN391" s="233">
        <f>'F5 - Cost Pressures'!M48</f>
        <v>0</v>
      </c>
    </row>
    <row r="392" spans="1:40">
      <c r="A392" s="234" t="str">
        <f>'Front Sheet and Checklist'!$C$5</f>
        <v>Swansea Bay UHB</v>
      </c>
      <c r="B392" s="234" t="s">
        <v>374</v>
      </c>
      <c r="C392" s="234" t="str">
        <f t="shared" ref="C392:D392" si="109">C330</f>
        <v>Local Investment Decisions</v>
      </c>
      <c r="D392" s="234">
        <f t="shared" si="109"/>
        <v>0</v>
      </c>
      <c r="E392" s="234" t="s">
        <v>377</v>
      </c>
      <c r="F392" s="234">
        <f>'F5 - Cost Pressures'!B111</f>
        <v>0</v>
      </c>
      <c r="AM392" s="233">
        <f>'F5 - Cost Pressures'!L49</f>
        <v>0</v>
      </c>
      <c r="AN392" s="233">
        <f>'F5 - Cost Pressures'!M49</f>
        <v>0</v>
      </c>
    </row>
    <row r="393" spans="1:40">
      <c r="A393" s="234" t="str">
        <f>'Front Sheet and Checklist'!$C$5</f>
        <v>Swansea Bay UHB</v>
      </c>
      <c r="B393" s="234" t="s">
        <v>374</v>
      </c>
      <c r="C393" s="234" t="str">
        <f t="shared" ref="C393:D393" si="110">C331</f>
        <v>Local Investment Decisions</v>
      </c>
      <c r="D393" s="234">
        <f t="shared" si="110"/>
        <v>0</v>
      </c>
      <c r="E393" s="234" t="s">
        <v>377</v>
      </c>
      <c r="F393" s="234">
        <f>'F5 - Cost Pressures'!B112</f>
        <v>0</v>
      </c>
      <c r="AM393" s="233">
        <f>'F5 - Cost Pressures'!L50</f>
        <v>0</v>
      </c>
      <c r="AN393" s="233">
        <f>'F5 - Cost Pressures'!M50</f>
        <v>0</v>
      </c>
    </row>
    <row r="394" spans="1:40">
      <c r="A394" s="234" t="str">
        <f>'Front Sheet and Checklist'!$C$5</f>
        <v>Swansea Bay UHB</v>
      </c>
      <c r="B394" s="234" t="s">
        <v>374</v>
      </c>
      <c r="C394" s="234" t="str">
        <f t="shared" ref="C394:D394" si="111">C332</f>
        <v>Contractual or unavoidable</v>
      </c>
      <c r="D394" s="234">
        <f t="shared" si="111"/>
        <v>0</v>
      </c>
      <c r="E394" s="234" t="s">
        <v>377</v>
      </c>
      <c r="F394" s="234">
        <f>'F5 - Cost Pressures'!B113</f>
        <v>0</v>
      </c>
      <c r="AM394" s="233">
        <f>'F5 - Cost Pressures'!L51</f>
        <v>0</v>
      </c>
      <c r="AN394" s="233">
        <f>'F5 - Cost Pressures'!M51</f>
        <v>0</v>
      </c>
    </row>
    <row r="395" spans="1:40">
      <c r="A395" s="234" t="str">
        <f>'Front Sheet and Checklist'!$C$5</f>
        <v>Swansea Bay UHB</v>
      </c>
      <c r="B395" s="234" t="s">
        <v>374</v>
      </c>
      <c r="C395" s="234">
        <f t="shared" ref="C395:D395" si="112">C333</f>
        <v>0</v>
      </c>
      <c r="D395" s="234">
        <f t="shared" si="112"/>
        <v>0</v>
      </c>
      <c r="E395" s="234" t="s">
        <v>377</v>
      </c>
      <c r="F395" s="234">
        <f>'F5 - Cost Pressures'!B114</f>
        <v>0</v>
      </c>
      <c r="AM395" s="233">
        <f>'F5 - Cost Pressures'!L52</f>
        <v>0</v>
      </c>
      <c r="AN395" s="233">
        <f>'F5 - Cost Pressures'!M52</f>
        <v>0</v>
      </c>
    </row>
    <row r="396" spans="1:40">
      <c r="A396" s="234" t="str">
        <f>'Front Sheet and Checklist'!$C$5</f>
        <v>Swansea Bay UHB</v>
      </c>
      <c r="B396" s="234" t="s">
        <v>374</v>
      </c>
      <c r="C396" s="234">
        <f t="shared" ref="C396:D396" si="113">C334</f>
        <v>0</v>
      </c>
      <c r="D396" s="234">
        <f t="shared" si="113"/>
        <v>0</v>
      </c>
      <c r="E396" s="234" t="s">
        <v>377</v>
      </c>
      <c r="F396" s="234">
        <f>'F5 - Cost Pressures'!B115</f>
        <v>0</v>
      </c>
      <c r="AM396" s="233">
        <f>'F5 - Cost Pressures'!L53</f>
        <v>0</v>
      </c>
      <c r="AN396" s="233">
        <f>'F5 - Cost Pressures'!M53</f>
        <v>0</v>
      </c>
    </row>
    <row r="397" spans="1:40">
      <c r="A397" s="234" t="str">
        <f>'Front Sheet and Checklist'!$C$5</f>
        <v>Swansea Bay UHB</v>
      </c>
      <c r="B397" s="234" t="s">
        <v>374</v>
      </c>
      <c r="C397" s="234">
        <f t="shared" ref="C397:D397" si="114">C335</f>
        <v>0</v>
      </c>
      <c r="D397" s="234">
        <f t="shared" si="114"/>
        <v>0</v>
      </c>
      <c r="E397" s="234" t="s">
        <v>377</v>
      </c>
      <c r="F397" s="234">
        <f>'F5 - Cost Pressures'!B116</f>
        <v>0</v>
      </c>
      <c r="AM397" s="233">
        <f>'F5 - Cost Pressures'!L54</f>
        <v>0</v>
      </c>
      <c r="AN397" s="233">
        <f>'F5 - Cost Pressures'!M54</f>
        <v>0</v>
      </c>
    </row>
    <row r="398" spans="1:40">
      <c r="A398" s="234" t="str">
        <f>'Front Sheet and Checklist'!$C$5</f>
        <v>Swansea Bay UHB</v>
      </c>
      <c r="B398" s="234" t="s">
        <v>374</v>
      </c>
      <c r="C398" s="234">
        <f t="shared" ref="C398:D398" si="115">C336</f>
        <v>0</v>
      </c>
      <c r="D398" s="234">
        <f t="shared" si="115"/>
        <v>0</v>
      </c>
      <c r="E398" s="234" t="s">
        <v>377</v>
      </c>
      <c r="F398" s="234">
        <f>'F5 - Cost Pressures'!B117</f>
        <v>0</v>
      </c>
      <c r="AM398" s="233">
        <f>'F5 - Cost Pressures'!L55</f>
        <v>0</v>
      </c>
      <c r="AN398" s="233">
        <f>'F5 - Cost Pressures'!M55</f>
        <v>0</v>
      </c>
    </row>
    <row r="399" spans="1:40">
      <c r="A399" s="234" t="str">
        <f>'Front Sheet and Checklist'!$C$5</f>
        <v>Swansea Bay UHB</v>
      </c>
      <c r="B399" s="234" t="s">
        <v>374</v>
      </c>
      <c r="C399" s="234">
        <f t="shared" ref="C399:D399" si="116">C337</f>
        <v>0</v>
      </c>
      <c r="D399" s="234">
        <f t="shared" si="116"/>
        <v>0</v>
      </c>
      <c r="E399" s="234" t="s">
        <v>377</v>
      </c>
      <c r="F399" s="234">
        <f>'F5 - Cost Pressures'!B118</f>
        <v>0</v>
      </c>
      <c r="AM399" s="233">
        <f>'F5 - Cost Pressures'!L56</f>
        <v>0</v>
      </c>
      <c r="AN399" s="233">
        <f>'F5 - Cost Pressures'!M56</f>
        <v>0</v>
      </c>
    </row>
    <row r="400" spans="1:40">
      <c r="A400" s="234" t="str">
        <f>'Front Sheet and Checklist'!$C$5</f>
        <v>Swansea Bay UHB</v>
      </c>
      <c r="B400" s="234" t="s">
        <v>374</v>
      </c>
      <c r="C400" s="234">
        <f t="shared" ref="C400:D400" si="117">C338</f>
        <v>0</v>
      </c>
      <c r="D400" s="234">
        <f t="shared" si="117"/>
        <v>0</v>
      </c>
      <c r="E400" s="234" t="s">
        <v>377</v>
      </c>
      <c r="F400" s="234">
        <f>'F5 - Cost Pressures'!B119</f>
        <v>0</v>
      </c>
      <c r="AM400" s="233">
        <f>'F5 - Cost Pressures'!L57</f>
        <v>0</v>
      </c>
      <c r="AN400" s="233">
        <f>'F5 - Cost Pressures'!M57</f>
        <v>0</v>
      </c>
    </row>
    <row r="401" spans="1:40">
      <c r="A401" s="234" t="str">
        <f>'Front Sheet and Checklist'!$C$5</f>
        <v>Swansea Bay UHB</v>
      </c>
      <c r="B401" s="234" t="s">
        <v>374</v>
      </c>
      <c r="C401" s="234">
        <f t="shared" ref="C401:D401" si="118">C339</f>
        <v>0</v>
      </c>
      <c r="D401" s="234">
        <f t="shared" si="118"/>
        <v>0</v>
      </c>
      <c r="E401" s="234" t="s">
        <v>377</v>
      </c>
      <c r="F401" s="234">
        <f>'F5 - Cost Pressures'!B120</f>
        <v>0</v>
      </c>
      <c r="AM401" s="233">
        <f>'F5 - Cost Pressures'!L58</f>
        <v>0</v>
      </c>
      <c r="AN401" s="233">
        <f>'F5 - Cost Pressures'!M58</f>
        <v>0</v>
      </c>
    </row>
    <row r="402" spans="1:40">
      <c r="A402" s="234" t="str">
        <f>'Front Sheet and Checklist'!$C$5</f>
        <v>Swansea Bay UHB</v>
      </c>
      <c r="B402" s="234" t="s">
        <v>374</v>
      </c>
      <c r="C402" s="234">
        <f t="shared" ref="C402:D402" si="119">C340</f>
        <v>0</v>
      </c>
      <c r="D402" s="234">
        <f t="shared" si="119"/>
        <v>0</v>
      </c>
      <c r="E402" s="234" t="s">
        <v>377</v>
      </c>
      <c r="F402" s="234">
        <f>'F5 - Cost Pressures'!B121</f>
        <v>0</v>
      </c>
      <c r="AM402" s="233">
        <f>'F5 - Cost Pressures'!L59</f>
        <v>0</v>
      </c>
      <c r="AN402" s="233">
        <f>'F5 - Cost Pressures'!M59</f>
        <v>0</v>
      </c>
    </row>
    <row r="403" spans="1:40">
      <c r="A403" s="234" t="str">
        <f>'Front Sheet and Checklist'!$C$5</f>
        <v>Swansea Bay UHB</v>
      </c>
      <c r="B403" s="234" t="s">
        <v>374</v>
      </c>
      <c r="C403" s="234">
        <f t="shared" ref="C403:D403" si="120">C341</f>
        <v>0</v>
      </c>
      <c r="D403" s="234">
        <f t="shared" si="120"/>
        <v>0</v>
      </c>
      <c r="E403" s="234" t="s">
        <v>377</v>
      </c>
      <c r="F403" s="234">
        <f>'F5 - Cost Pressures'!B122</f>
        <v>0</v>
      </c>
      <c r="AM403" s="233">
        <f>'F5 - Cost Pressures'!L60</f>
        <v>0</v>
      </c>
      <c r="AN403" s="233">
        <f>'F5 - Cost Pressures'!M60</f>
        <v>0</v>
      </c>
    </row>
    <row r="404" spans="1:40">
      <c r="A404" s="234" t="str">
        <f>'Front Sheet and Checklist'!$C$5</f>
        <v>Swansea Bay UHB</v>
      </c>
      <c r="B404" s="234" t="s">
        <v>374</v>
      </c>
      <c r="C404" s="234">
        <f t="shared" ref="C404:D404" si="121">C342</f>
        <v>0</v>
      </c>
      <c r="D404" s="234">
        <f t="shared" si="121"/>
        <v>0</v>
      </c>
      <c r="E404" s="234" t="s">
        <v>377</v>
      </c>
      <c r="F404" s="234">
        <f>'F5 - Cost Pressures'!B123</f>
        <v>0</v>
      </c>
      <c r="AM404" s="233">
        <f>'F5 - Cost Pressures'!L61</f>
        <v>0</v>
      </c>
      <c r="AN404" s="233">
        <f>'F5 - Cost Pressures'!M61</f>
        <v>0</v>
      </c>
    </row>
    <row r="405" spans="1:40">
      <c r="A405" s="234" t="str">
        <f>'Front Sheet and Checklist'!$C$5</f>
        <v>Swansea Bay UHB</v>
      </c>
      <c r="B405" s="234" t="s">
        <v>374</v>
      </c>
      <c r="C405" s="234">
        <f t="shared" ref="C405:D405" si="122">C343</f>
        <v>0</v>
      </c>
      <c r="D405" s="234">
        <f t="shared" si="122"/>
        <v>0</v>
      </c>
      <c r="E405" s="234" t="s">
        <v>377</v>
      </c>
      <c r="F405" s="234">
        <f>'F5 - Cost Pressures'!B124</f>
        <v>0</v>
      </c>
      <c r="AM405" s="233">
        <f>'F5 - Cost Pressures'!L62</f>
        <v>0</v>
      </c>
      <c r="AN405" s="233">
        <f>'F5 - Cost Pressures'!M62</f>
        <v>0</v>
      </c>
    </row>
    <row r="406" spans="1:40">
      <c r="A406" s="234" t="str">
        <f>'Front Sheet and Checklist'!$C$5</f>
        <v>Swansea Bay UHB</v>
      </c>
      <c r="B406" s="234" t="s">
        <v>374</v>
      </c>
      <c r="C406" s="234">
        <f t="shared" ref="C406:D406" si="123">C344</f>
        <v>0</v>
      </c>
      <c r="D406" s="234">
        <f t="shared" si="123"/>
        <v>0</v>
      </c>
      <c r="E406" s="234" t="s">
        <v>377</v>
      </c>
      <c r="F406" s="234">
        <f>'F5 - Cost Pressures'!B125</f>
        <v>0</v>
      </c>
      <c r="AM406" s="233">
        <f>'F5 - Cost Pressures'!L63</f>
        <v>0</v>
      </c>
      <c r="AN406" s="233">
        <f>'F5 - Cost Pressures'!M63</f>
        <v>0</v>
      </c>
    </row>
    <row r="407" spans="1:40">
      <c r="A407" s="234" t="str">
        <f>'Front Sheet and Checklist'!$C$5</f>
        <v>Swansea Bay UHB</v>
      </c>
      <c r="B407" s="234" t="s">
        <v>374</v>
      </c>
      <c r="C407" s="234">
        <f t="shared" ref="C407:D407" si="124">C345</f>
        <v>0</v>
      </c>
      <c r="D407" s="234">
        <f t="shared" si="124"/>
        <v>0</v>
      </c>
      <c r="E407" s="234" t="s">
        <v>377</v>
      </c>
      <c r="F407" s="234">
        <f>'F5 - Cost Pressures'!B126</f>
        <v>0</v>
      </c>
      <c r="AM407" s="233">
        <f>'F5 - Cost Pressures'!L64</f>
        <v>0</v>
      </c>
      <c r="AN407" s="233">
        <f>'F5 - Cost Pressures'!M64</f>
        <v>0</v>
      </c>
    </row>
    <row r="408" spans="1:40">
      <c r="A408" s="234" t="str">
        <f>'Front Sheet and Checklist'!$C$5</f>
        <v>Swansea Bay UHB</v>
      </c>
      <c r="B408" s="234" t="s">
        <v>374</v>
      </c>
      <c r="C408" s="234">
        <f t="shared" ref="C408:D408" si="125">C346</f>
        <v>0</v>
      </c>
      <c r="D408" s="234">
        <f t="shared" si="125"/>
        <v>0</v>
      </c>
      <c r="E408" s="234" t="s">
        <v>377</v>
      </c>
      <c r="F408" s="234">
        <f>'F5 - Cost Pressures'!B127</f>
        <v>0</v>
      </c>
      <c r="AM408" s="233">
        <f>'F5 - Cost Pressures'!L65</f>
        <v>6986.9996553860965</v>
      </c>
      <c r="AN408" s="233">
        <f>'F5 - Cost Pressures'!M65</f>
        <v>6986.9996553860965</v>
      </c>
    </row>
    <row r="409" spans="1:40">
      <c r="A409" s="234" t="str">
        <f>'Front Sheet and Checklist'!$C$5</f>
        <v>Swansea Bay UHB</v>
      </c>
      <c r="B409" s="234" t="s">
        <v>374</v>
      </c>
      <c r="C409" s="234" t="str">
        <f t="shared" ref="C409:D409" si="126">C347</f>
        <v>Macro Economic Inflation</v>
      </c>
      <c r="D409" s="234" t="str">
        <f t="shared" si="126"/>
        <v>7. Non Clinical Support</v>
      </c>
      <c r="E409" s="234" t="s">
        <v>378</v>
      </c>
      <c r="F409" s="234">
        <f>'F5 - Cost Pressures'!B128</f>
        <v>0</v>
      </c>
      <c r="AM409" s="233">
        <f>'F5 - Cost Pressures'!N4</f>
        <v>0</v>
      </c>
      <c r="AN409" s="233">
        <f>'F5 - Cost Pressures'!O4</f>
        <v>0</v>
      </c>
    </row>
    <row r="410" spans="1:40">
      <c r="A410" s="234" t="str">
        <f>'Front Sheet and Checklist'!$C$5</f>
        <v>Swansea Bay UHB</v>
      </c>
      <c r="B410" s="234" t="s">
        <v>374</v>
      </c>
      <c r="C410" s="234" t="str">
        <f t="shared" ref="C410:D410" si="127">C348</f>
        <v>Macro Economic Inflation</v>
      </c>
      <c r="D410" s="234" t="str">
        <f t="shared" si="127"/>
        <v>8. Across Service Areas</v>
      </c>
      <c r="E410" s="234" t="s">
        <v>378</v>
      </c>
      <c r="F410" s="234">
        <f>'F5 - Cost Pressures'!B129</f>
        <v>0</v>
      </c>
      <c r="AM410" s="233">
        <f>'F5 - Cost Pressures'!N5</f>
        <v>0</v>
      </c>
      <c r="AN410" s="233">
        <f>'F5 - Cost Pressures'!O5</f>
        <v>0</v>
      </c>
    </row>
    <row r="411" spans="1:40">
      <c r="A411" s="234" t="str">
        <f>'Front Sheet and Checklist'!$C$5</f>
        <v>Swansea Bay UHB</v>
      </c>
      <c r="B411" s="234" t="s">
        <v>374</v>
      </c>
      <c r="C411" s="234" t="str">
        <f t="shared" ref="C411:D411" si="128">C349</f>
        <v>National Investment Decisions</v>
      </c>
      <c r="D411" s="234" t="str">
        <f t="shared" si="128"/>
        <v>1. Secondary Care (In-house) - General</v>
      </c>
      <c r="E411" s="234" t="s">
        <v>378</v>
      </c>
      <c r="F411" s="234">
        <f>'F5 - Cost Pressures'!B130</f>
        <v>0</v>
      </c>
      <c r="AM411" s="233">
        <f>'F5 - Cost Pressures'!N6</f>
        <v>0</v>
      </c>
      <c r="AN411" s="233">
        <f>'F5 - Cost Pressures'!O6</f>
        <v>0</v>
      </c>
    </row>
    <row r="412" spans="1:40">
      <c r="A412" s="234" t="str">
        <f>'Front Sheet and Checklist'!$C$5</f>
        <v>Swansea Bay UHB</v>
      </c>
      <c r="B412" s="234" t="s">
        <v>374</v>
      </c>
      <c r="C412" s="234" t="str">
        <f t="shared" ref="C412:D412" si="129">C350</f>
        <v>National Investment Decisions</v>
      </c>
      <c r="D412" s="234" t="str">
        <f t="shared" si="129"/>
        <v>4. Commissioned Activity (inc. CHC)</v>
      </c>
      <c r="E412" s="234" t="s">
        <v>378</v>
      </c>
      <c r="F412" s="234">
        <f>'F5 - Cost Pressures'!B131</f>
        <v>0</v>
      </c>
      <c r="AM412" s="233">
        <f>'F5 - Cost Pressures'!N7</f>
        <v>0</v>
      </c>
      <c r="AN412" s="233">
        <f>'F5 - Cost Pressures'!O7</f>
        <v>0</v>
      </c>
    </row>
    <row r="413" spans="1:40">
      <c r="A413" s="234" t="str">
        <f>'Front Sheet and Checklist'!$C$5</f>
        <v>Swansea Bay UHB</v>
      </c>
      <c r="B413" s="234" t="s">
        <v>374</v>
      </c>
      <c r="C413" s="234" t="str">
        <f t="shared" ref="C413:D413" si="130">C351</f>
        <v>National Investment Decisions</v>
      </c>
      <c r="D413" s="234" t="str">
        <f t="shared" si="130"/>
        <v>3. Community Care</v>
      </c>
      <c r="E413" s="234" t="s">
        <v>378</v>
      </c>
      <c r="F413" s="234">
        <f>'F5 - Cost Pressures'!B132</f>
        <v>0</v>
      </c>
      <c r="AM413" s="233">
        <f>'F5 - Cost Pressures'!N8</f>
        <v>0</v>
      </c>
      <c r="AN413" s="233">
        <f>'F5 - Cost Pressures'!O8</f>
        <v>0</v>
      </c>
    </row>
    <row r="414" spans="1:40">
      <c r="A414" s="234" t="str">
        <f>'Front Sheet and Checklist'!$C$5</f>
        <v>Swansea Bay UHB</v>
      </c>
      <c r="B414" s="234" t="s">
        <v>374</v>
      </c>
      <c r="C414" s="234" t="str">
        <f t="shared" ref="C414:D414" si="131">C352</f>
        <v>National Investment Decisions</v>
      </c>
      <c r="D414" s="234" t="str">
        <f t="shared" si="131"/>
        <v>3. Community Care</v>
      </c>
      <c r="E414" s="234" t="s">
        <v>378</v>
      </c>
      <c r="F414" s="234">
        <f>'F5 - Cost Pressures'!B133</f>
        <v>0</v>
      </c>
      <c r="AM414" s="233">
        <f>'F5 - Cost Pressures'!N9</f>
        <v>0</v>
      </c>
      <c r="AN414" s="233">
        <f>'F5 - Cost Pressures'!O9</f>
        <v>0</v>
      </c>
    </row>
    <row r="415" spans="1:40">
      <c r="A415" s="234" t="str">
        <f>'Front Sheet and Checklist'!$C$5</f>
        <v>Swansea Bay UHB</v>
      </c>
      <c r="B415" s="234" t="s">
        <v>374</v>
      </c>
      <c r="C415" s="234" t="str">
        <f t="shared" ref="C415:D415" si="132">C353</f>
        <v>National Investment Decisions</v>
      </c>
      <c r="D415" s="234" t="str">
        <f t="shared" si="132"/>
        <v>4. Commissioned Activity (inc. CHC)</v>
      </c>
      <c r="E415" s="234" t="s">
        <v>378</v>
      </c>
      <c r="F415" s="234">
        <f>'F5 - Cost Pressures'!B134</f>
        <v>0</v>
      </c>
      <c r="AM415" s="233">
        <f>'F5 - Cost Pressures'!N10</f>
        <v>0</v>
      </c>
      <c r="AN415" s="233">
        <f>'F5 - Cost Pressures'!O10</f>
        <v>0</v>
      </c>
    </row>
    <row r="416" spans="1:40">
      <c r="A416" s="234" t="str">
        <f>'Front Sheet and Checklist'!$C$5</f>
        <v>Swansea Bay UHB</v>
      </c>
      <c r="B416" s="234" t="s">
        <v>374</v>
      </c>
      <c r="C416" s="234" t="str">
        <f t="shared" ref="C416:D416" si="133">C354</f>
        <v>National Investment Decisions</v>
      </c>
      <c r="D416" s="234">
        <f t="shared" si="133"/>
        <v>0</v>
      </c>
      <c r="E416" s="234" t="s">
        <v>378</v>
      </c>
      <c r="F416" s="234">
        <f>'F5 - Cost Pressures'!B135</f>
        <v>0</v>
      </c>
      <c r="AM416" s="233">
        <f>'F5 - Cost Pressures'!N11</f>
        <v>0</v>
      </c>
      <c r="AN416" s="233">
        <f>'F5 - Cost Pressures'!O11</f>
        <v>0</v>
      </c>
    </row>
    <row r="417" spans="1:40">
      <c r="A417" s="234" t="str">
        <f>'Front Sheet and Checklist'!$C$5</f>
        <v>Swansea Bay UHB</v>
      </c>
      <c r="B417" s="234" t="s">
        <v>374</v>
      </c>
      <c r="C417" s="234" t="str">
        <f t="shared" ref="C417:D417" si="134">C355</f>
        <v>National Investment Decisions</v>
      </c>
      <c r="D417" s="234">
        <f t="shared" si="134"/>
        <v>0</v>
      </c>
      <c r="E417" s="234" t="s">
        <v>378</v>
      </c>
      <c r="F417" s="234">
        <f>'F5 - Cost Pressures'!B136</f>
        <v>0</v>
      </c>
      <c r="AM417" s="233">
        <f>'F5 - Cost Pressures'!N12</f>
        <v>0</v>
      </c>
      <c r="AN417" s="233">
        <f>'F5 - Cost Pressures'!O12</f>
        <v>0</v>
      </c>
    </row>
    <row r="418" spans="1:40">
      <c r="A418" s="234" t="str">
        <f>'Front Sheet and Checklist'!$C$5</f>
        <v>Swansea Bay UHB</v>
      </c>
      <c r="B418" s="234" t="s">
        <v>374</v>
      </c>
      <c r="C418" s="234" t="str">
        <f t="shared" ref="C418:D418" si="135">C356</f>
        <v>National Investment Decisions</v>
      </c>
      <c r="D418" s="234">
        <f t="shared" si="135"/>
        <v>0</v>
      </c>
      <c r="E418" s="234" t="s">
        <v>378</v>
      </c>
      <c r="F418" s="234">
        <f>'F5 - Cost Pressures'!B137</f>
        <v>0</v>
      </c>
      <c r="AM418" s="233">
        <f>'F5 - Cost Pressures'!N13</f>
        <v>0</v>
      </c>
      <c r="AN418" s="233">
        <f>'F5 - Cost Pressures'!O13</f>
        <v>0</v>
      </c>
    </row>
    <row r="419" spans="1:40">
      <c r="A419" s="234" t="str">
        <f>'Front Sheet and Checklist'!$C$5</f>
        <v>Swansea Bay UHB</v>
      </c>
      <c r="B419" s="234" t="s">
        <v>374</v>
      </c>
      <c r="C419" s="234" t="str">
        <f t="shared" ref="C419:D419" si="136">C357</f>
        <v>National Investment Decisions</v>
      </c>
      <c r="D419" s="234">
        <f t="shared" si="136"/>
        <v>0</v>
      </c>
      <c r="E419" s="234" t="s">
        <v>378</v>
      </c>
      <c r="F419" s="234">
        <f>'F5 - Cost Pressures'!B138</f>
        <v>0</v>
      </c>
      <c r="AM419" s="233">
        <f>'F5 - Cost Pressures'!N14</f>
        <v>0</v>
      </c>
      <c r="AN419" s="233">
        <f>'F5 - Cost Pressures'!O14</f>
        <v>0</v>
      </c>
    </row>
    <row r="420" spans="1:40">
      <c r="A420" s="234" t="str">
        <f>'Front Sheet and Checklist'!$C$5</f>
        <v>Swansea Bay UHB</v>
      </c>
      <c r="B420" s="234" t="s">
        <v>374</v>
      </c>
      <c r="C420" s="234" t="str">
        <f t="shared" ref="C420:D420" si="137">C358</f>
        <v>National Investment Decisions</v>
      </c>
      <c r="D420" s="234">
        <f t="shared" si="137"/>
        <v>0</v>
      </c>
      <c r="E420" s="234" t="s">
        <v>378</v>
      </c>
      <c r="F420" s="234">
        <f>'F5 - Cost Pressures'!B139</f>
        <v>0</v>
      </c>
      <c r="AM420" s="233">
        <f>'F5 - Cost Pressures'!N15</f>
        <v>0</v>
      </c>
      <c r="AN420" s="233">
        <f>'F5 - Cost Pressures'!O15</f>
        <v>0</v>
      </c>
    </row>
    <row r="421" spans="1:40">
      <c r="A421" s="234" t="str">
        <f>'Front Sheet and Checklist'!$C$5</f>
        <v>Swansea Bay UHB</v>
      </c>
      <c r="B421" s="234" t="s">
        <v>374</v>
      </c>
      <c r="C421" s="234" t="str">
        <f t="shared" ref="C421:D421" si="138">C359</f>
        <v>National Investment Decisions</v>
      </c>
      <c r="D421" s="234">
        <f t="shared" si="138"/>
        <v>0</v>
      </c>
      <c r="E421" s="234" t="s">
        <v>378</v>
      </c>
      <c r="F421" s="234">
        <f>'F5 - Cost Pressures'!B140</f>
        <v>0</v>
      </c>
      <c r="AM421" s="233">
        <f>'F5 - Cost Pressures'!N16</f>
        <v>0</v>
      </c>
      <c r="AN421" s="233">
        <f>'F5 - Cost Pressures'!O16</f>
        <v>0</v>
      </c>
    </row>
    <row r="422" spans="1:40">
      <c r="A422" s="234" t="str">
        <f>'Front Sheet and Checklist'!$C$5</f>
        <v>Swansea Bay UHB</v>
      </c>
      <c r="B422" s="234" t="s">
        <v>374</v>
      </c>
      <c r="C422" s="234" t="str">
        <f t="shared" ref="C422:D422" si="139">C360</f>
        <v>National Investment Decisions</v>
      </c>
      <c r="D422" s="234">
        <f t="shared" si="139"/>
        <v>0</v>
      </c>
      <c r="E422" s="234" t="s">
        <v>378</v>
      </c>
      <c r="F422" s="234">
        <f>'F5 - Cost Pressures'!B141</f>
        <v>0</v>
      </c>
      <c r="AM422" s="233">
        <f>'F5 - Cost Pressures'!N17</f>
        <v>0</v>
      </c>
      <c r="AN422" s="233">
        <f>'F5 - Cost Pressures'!O17</f>
        <v>0</v>
      </c>
    </row>
    <row r="423" spans="1:40">
      <c r="A423" s="234" t="str">
        <f>'Front Sheet and Checklist'!$C$5</f>
        <v>Swansea Bay UHB</v>
      </c>
      <c r="B423" s="234" t="s">
        <v>374</v>
      </c>
      <c r="C423" s="234" t="str">
        <f t="shared" ref="C423:D423" si="140">C361</f>
        <v>National Investment Decisions</v>
      </c>
      <c r="D423" s="234">
        <f t="shared" si="140"/>
        <v>0</v>
      </c>
      <c r="E423" s="234" t="s">
        <v>378</v>
      </c>
      <c r="F423" s="234">
        <f>'F5 - Cost Pressures'!B142</f>
        <v>0</v>
      </c>
      <c r="AM423" s="233">
        <f>'F5 - Cost Pressures'!N18</f>
        <v>0</v>
      </c>
      <c r="AN423" s="233">
        <f>'F5 - Cost Pressures'!O18</f>
        <v>0</v>
      </c>
    </row>
    <row r="424" spans="1:40">
      <c r="A424" s="234" t="str">
        <f>'Front Sheet and Checklist'!$C$5</f>
        <v>Swansea Bay UHB</v>
      </c>
      <c r="B424" s="234" t="s">
        <v>374</v>
      </c>
      <c r="C424" s="234" t="str">
        <f t="shared" ref="C424:D424" si="141">C362</f>
        <v>National Investment Decisions</v>
      </c>
      <c r="D424" s="234">
        <f t="shared" si="141"/>
        <v>0</v>
      </c>
      <c r="E424" s="234" t="s">
        <v>378</v>
      </c>
      <c r="F424" s="234">
        <f>'F5 - Cost Pressures'!B143</f>
        <v>0</v>
      </c>
      <c r="AM424" s="233">
        <f>'F5 - Cost Pressures'!N19</f>
        <v>0</v>
      </c>
      <c r="AN424" s="233">
        <f>'F5 - Cost Pressures'!O19</f>
        <v>0</v>
      </c>
    </row>
    <row r="425" spans="1:40">
      <c r="A425" s="234" t="str">
        <f>'Front Sheet and Checklist'!$C$5</f>
        <v>Swansea Bay UHB</v>
      </c>
      <c r="B425" s="234" t="s">
        <v>374</v>
      </c>
      <c r="C425" s="234" t="str">
        <f t="shared" ref="C425:D425" si="142">C363</f>
        <v>Macro Economic Inflation</v>
      </c>
      <c r="D425" s="234">
        <f t="shared" si="142"/>
        <v>0</v>
      </c>
      <c r="E425" s="234" t="s">
        <v>378</v>
      </c>
      <c r="F425" s="234">
        <f>'F5 - Cost Pressures'!B144</f>
        <v>0</v>
      </c>
      <c r="AM425" s="233">
        <f>'F5 - Cost Pressures'!N20</f>
        <v>0</v>
      </c>
      <c r="AN425" s="233">
        <f>'F5 - Cost Pressures'!O20</f>
        <v>0</v>
      </c>
    </row>
    <row r="426" spans="1:40">
      <c r="A426" s="234" t="str">
        <f>'Front Sheet and Checklist'!$C$5</f>
        <v>Swansea Bay UHB</v>
      </c>
      <c r="B426" s="234" t="s">
        <v>374</v>
      </c>
      <c r="C426" s="234" t="str">
        <f t="shared" ref="C426:D426" si="143">C364</f>
        <v>Macro Economic Inflation</v>
      </c>
      <c r="D426" s="234">
        <f t="shared" si="143"/>
        <v>0</v>
      </c>
      <c r="E426" s="234" t="s">
        <v>378</v>
      </c>
      <c r="F426" s="234">
        <f>'F5 - Cost Pressures'!B145</f>
        <v>0</v>
      </c>
      <c r="AM426" s="233">
        <f>'F5 - Cost Pressures'!N21</f>
        <v>0</v>
      </c>
      <c r="AN426" s="233">
        <f>'F5 - Cost Pressures'!O21</f>
        <v>0</v>
      </c>
    </row>
    <row r="427" spans="1:40">
      <c r="A427" s="234" t="str">
        <f>'Front Sheet and Checklist'!$C$5</f>
        <v>Swansea Bay UHB</v>
      </c>
      <c r="B427" s="234" t="s">
        <v>374</v>
      </c>
      <c r="C427" s="234" t="str">
        <f t="shared" ref="C427:D427" si="144">C365</f>
        <v>Macro Economic Inflation</v>
      </c>
      <c r="D427" s="234">
        <f t="shared" si="144"/>
        <v>0</v>
      </c>
      <c r="E427" s="234" t="s">
        <v>378</v>
      </c>
      <c r="F427" s="234">
        <f>'F5 - Cost Pressures'!B146</f>
        <v>0</v>
      </c>
      <c r="AM427" s="233">
        <f>'F5 - Cost Pressures'!N22</f>
        <v>1000</v>
      </c>
      <c r="AN427" s="233">
        <f>'F5 - Cost Pressures'!O22</f>
        <v>1000</v>
      </c>
    </row>
    <row r="428" spans="1:40">
      <c r="A428" s="234" t="str">
        <f>'Front Sheet and Checklist'!$C$5</f>
        <v>Swansea Bay UHB</v>
      </c>
      <c r="B428" s="234" t="s">
        <v>374</v>
      </c>
      <c r="C428" s="234" t="str">
        <f t="shared" ref="C428:D428" si="145">C366</f>
        <v>Macro Economic Inflation</v>
      </c>
      <c r="D428" s="234">
        <f t="shared" si="145"/>
        <v>0</v>
      </c>
      <c r="E428" s="234" t="s">
        <v>378</v>
      </c>
      <c r="F428" s="234">
        <f>'F5 - Cost Pressures'!B147</f>
        <v>0</v>
      </c>
      <c r="AM428" s="233">
        <f>'F5 - Cost Pressures'!N23</f>
        <v>1000</v>
      </c>
      <c r="AN428" s="233">
        <f>'F5 - Cost Pressures'!O23</f>
        <v>1000</v>
      </c>
    </row>
    <row r="429" spans="1:40">
      <c r="A429" s="234" t="str">
        <f>'Front Sheet and Checklist'!$C$5</f>
        <v>Swansea Bay UHB</v>
      </c>
      <c r="B429" s="234" t="s">
        <v>374</v>
      </c>
      <c r="C429" s="234" t="str">
        <f t="shared" ref="C429:D429" si="146">C367</f>
        <v>Macro Economic Inflation</v>
      </c>
      <c r="D429" s="234">
        <f t="shared" si="146"/>
        <v>0</v>
      </c>
      <c r="E429" s="234" t="s">
        <v>378</v>
      </c>
      <c r="F429" s="234">
        <f>'F5 - Cost Pressures'!B148</f>
        <v>0</v>
      </c>
      <c r="AM429" s="233">
        <f>'F5 - Cost Pressures'!N24</f>
        <v>0</v>
      </c>
      <c r="AN429" s="233">
        <f>'F5 - Cost Pressures'!O24</f>
        <v>0</v>
      </c>
    </row>
    <row r="430" spans="1:40">
      <c r="A430" s="234" t="str">
        <f>'Front Sheet and Checklist'!$C$5</f>
        <v>Swansea Bay UHB</v>
      </c>
      <c r="B430" s="234" t="s">
        <v>374</v>
      </c>
      <c r="C430" s="234" t="str">
        <f t="shared" ref="C430:D430" si="147">C368</f>
        <v>Macro Economic Inflation</v>
      </c>
      <c r="D430" s="234">
        <f t="shared" si="147"/>
        <v>0</v>
      </c>
      <c r="E430" s="234" t="s">
        <v>378</v>
      </c>
      <c r="F430" s="234">
        <f>'F5 - Cost Pressures'!B149</f>
        <v>0</v>
      </c>
      <c r="AM430" s="233">
        <f>'F5 - Cost Pressures'!N25</f>
        <v>0</v>
      </c>
      <c r="AN430" s="233">
        <f>'F5 - Cost Pressures'!O25</f>
        <v>0</v>
      </c>
    </row>
    <row r="431" spans="1:40">
      <c r="A431" s="234" t="str">
        <f>'Front Sheet and Checklist'!$C$5</f>
        <v>Swansea Bay UHB</v>
      </c>
      <c r="B431" s="234" t="s">
        <v>374</v>
      </c>
      <c r="C431" s="234" t="str">
        <f t="shared" ref="C431:D431" si="148">C369</f>
        <v>Macro Economic Inflation</v>
      </c>
      <c r="D431" s="234">
        <f t="shared" si="148"/>
        <v>0</v>
      </c>
      <c r="E431" s="234" t="s">
        <v>378</v>
      </c>
      <c r="F431" s="234">
        <f>'F5 - Cost Pressures'!B150</f>
        <v>0</v>
      </c>
      <c r="AM431" s="233">
        <f>'F5 - Cost Pressures'!N26</f>
        <v>0</v>
      </c>
      <c r="AN431" s="233">
        <f>'F5 - Cost Pressures'!O26</f>
        <v>0</v>
      </c>
    </row>
    <row r="432" spans="1:40">
      <c r="A432" s="234" t="str">
        <f>'Front Sheet and Checklist'!$C$5</f>
        <v>Swansea Bay UHB</v>
      </c>
      <c r="B432" s="234" t="s">
        <v>374</v>
      </c>
      <c r="C432" s="234" t="str">
        <f t="shared" ref="C432:D432" si="149">C370</f>
        <v>Macro Economic Inflation</v>
      </c>
      <c r="D432" s="234">
        <f t="shared" si="149"/>
        <v>0</v>
      </c>
      <c r="E432" s="234" t="s">
        <v>378</v>
      </c>
      <c r="F432" s="234">
        <f>'F5 - Cost Pressures'!B151</f>
        <v>0</v>
      </c>
      <c r="AM432" s="233">
        <f>'F5 - Cost Pressures'!N27</f>
        <v>0</v>
      </c>
      <c r="AN432" s="233">
        <f>'F5 - Cost Pressures'!O27</f>
        <v>0</v>
      </c>
    </row>
    <row r="433" spans="1:40">
      <c r="A433" s="234" t="str">
        <f>'Front Sheet and Checklist'!$C$5</f>
        <v>Swansea Bay UHB</v>
      </c>
      <c r="B433" s="234" t="s">
        <v>374</v>
      </c>
      <c r="C433" s="234" t="str">
        <f t="shared" ref="C433:D433" si="150">C371</f>
        <v>Macro Economic Inflation</v>
      </c>
      <c r="D433" s="234">
        <f t="shared" si="150"/>
        <v>0</v>
      </c>
      <c r="E433" s="234" t="s">
        <v>378</v>
      </c>
      <c r="F433" s="234">
        <f>'F5 - Cost Pressures'!B152</f>
        <v>0</v>
      </c>
      <c r="AM433" s="233">
        <f>'F5 - Cost Pressures'!N28</f>
        <v>0</v>
      </c>
      <c r="AN433" s="233">
        <f>'F5 - Cost Pressures'!O28</f>
        <v>0</v>
      </c>
    </row>
    <row r="434" spans="1:40">
      <c r="A434" s="234" t="str">
        <f>'Front Sheet and Checklist'!$C$5</f>
        <v>Swansea Bay UHB</v>
      </c>
      <c r="B434" s="234" t="s">
        <v>374</v>
      </c>
      <c r="C434" s="234" t="str">
        <f t="shared" ref="C434:D434" si="151">C372</f>
        <v>Macro Economic Inflation</v>
      </c>
      <c r="D434" s="234">
        <f t="shared" si="151"/>
        <v>0</v>
      </c>
      <c r="E434" s="234" t="s">
        <v>378</v>
      </c>
      <c r="F434" s="234">
        <f>'F5 - Cost Pressures'!B153</f>
        <v>0</v>
      </c>
      <c r="AM434" s="233">
        <f>'F5 - Cost Pressures'!N29</f>
        <v>2700</v>
      </c>
      <c r="AN434" s="233">
        <f>'F5 - Cost Pressures'!O29</f>
        <v>2700</v>
      </c>
    </row>
    <row r="435" spans="1:40">
      <c r="A435" s="234" t="str">
        <f>'Front Sheet and Checklist'!$C$5</f>
        <v>Swansea Bay UHB</v>
      </c>
      <c r="B435" s="234" t="s">
        <v>374</v>
      </c>
      <c r="C435" s="234" t="str">
        <f t="shared" ref="C435:D435" si="152">C373</f>
        <v>Macro Economic Inflation</v>
      </c>
      <c r="D435" s="234">
        <f t="shared" si="152"/>
        <v>0</v>
      </c>
      <c r="E435" s="234" t="s">
        <v>378</v>
      </c>
      <c r="F435" s="234">
        <f>'F5 - Cost Pressures'!B154</f>
        <v>0</v>
      </c>
      <c r="AM435" s="233">
        <f>'F5 - Cost Pressures'!N30</f>
        <v>0</v>
      </c>
      <c r="AN435" s="233">
        <f>'F5 - Cost Pressures'!O30</f>
        <v>0</v>
      </c>
    </row>
    <row r="436" spans="1:40">
      <c r="A436" s="234" t="str">
        <f>'Front Sheet and Checklist'!$C$5</f>
        <v>Swansea Bay UHB</v>
      </c>
      <c r="B436" s="234" t="s">
        <v>374</v>
      </c>
      <c r="C436" s="234" t="str">
        <f t="shared" ref="C436:D436" si="153">C374</f>
        <v>Macro Economic Inflation</v>
      </c>
      <c r="D436" s="234">
        <f t="shared" si="153"/>
        <v>0</v>
      </c>
      <c r="E436" s="234" t="s">
        <v>378</v>
      </c>
      <c r="F436" s="234">
        <f>'F5 - Cost Pressures'!B155</f>
        <v>0</v>
      </c>
      <c r="AM436" s="233">
        <f>'F5 - Cost Pressures'!N31</f>
        <v>0</v>
      </c>
      <c r="AN436" s="233">
        <f>'F5 - Cost Pressures'!O31</f>
        <v>0</v>
      </c>
    </row>
    <row r="437" spans="1:40">
      <c r="A437" s="234" t="str">
        <f>'Front Sheet and Checklist'!$C$5</f>
        <v>Swansea Bay UHB</v>
      </c>
      <c r="B437" s="234" t="s">
        <v>374</v>
      </c>
      <c r="C437" s="234" t="str">
        <f t="shared" ref="C437:D437" si="154">C375</f>
        <v>Contractual or unavoidable</v>
      </c>
      <c r="D437" s="234">
        <f t="shared" si="154"/>
        <v>0</v>
      </c>
      <c r="E437" s="234" t="s">
        <v>378</v>
      </c>
      <c r="F437" s="234">
        <f>'F5 - Cost Pressures'!B156</f>
        <v>0</v>
      </c>
      <c r="AM437" s="233">
        <f>'F5 - Cost Pressures'!N32</f>
        <v>0</v>
      </c>
      <c r="AN437" s="233">
        <f>'F5 - Cost Pressures'!O32</f>
        <v>0</v>
      </c>
    </row>
    <row r="438" spans="1:40">
      <c r="A438" s="234" t="str">
        <f>'Front Sheet and Checklist'!$C$5</f>
        <v>Swansea Bay UHB</v>
      </c>
      <c r="B438" s="234" t="s">
        <v>374</v>
      </c>
      <c r="C438" s="234" t="str">
        <f t="shared" ref="C438:D438" si="155">C376</f>
        <v>Contractual or unavoidable</v>
      </c>
      <c r="D438" s="234">
        <f t="shared" si="155"/>
        <v>0</v>
      </c>
      <c r="E438" s="234" t="s">
        <v>378</v>
      </c>
      <c r="F438" s="234">
        <f>'F5 - Cost Pressures'!B157</f>
        <v>0</v>
      </c>
      <c r="AM438" s="233">
        <f>'F5 - Cost Pressures'!N33</f>
        <v>0</v>
      </c>
      <c r="AN438" s="233">
        <f>'F5 - Cost Pressures'!O33</f>
        <v>0</v>
      </c>
    </row>
    <row r="439" spans="1:40">
      <c r="A439" s="234" t="str">
        <f>'Front Sheet and Checklist'!$C$5</f>
        <v>Swansea Bay UHB</v>
      </c>
      <c r="B439" s="234" t="s">
        <v>374</v>
      </c>
      <c r="C439" s="234">
        <f t="shared" ref="C439:D439" si="156">C377</f>
        <v>0</v>
      </c>
      <c r="D439" s="234">
        <f t="shared" si="156"/>
        <v>0</v>
      </c>
      <c r="E439" s="234" t="s">
        <v>378</v>
      </c>
      <c r="F439" s="234">
        <f>'F5 - Cost Pressures'!B158</f>
        <v>0</v>
      </c>
      <c r="AM439" s="233">
        <f>'F5 - Cost Pressures'!N34</f>
        <v>0</v>
      </c>
      <c r="AN439" s="233">
        <f>'F5 - Cost Pressures'!O34</f>
        <v>0</v>
      </c>
    </row>
    <row r="440" spans="1:40">
      <c r="A440" s="234" t="str">
        <f>'Front Sheet and Checklist'!$C$5</f>
        <v>Swansea Bay UHB</v>
      </c>
      <c r="B440" s="234" t="s">
        <v>374</v>
      </c>
      <c r="C440" s="234">
        <f t="shared" ref="C440:D440" si="157">C378</f>
        <v>0</v>
      </c>
      <c r="D440" s="234">
        <f t="shared" si="157"/>
        <v>0</v>
      </c>
      <c r="E440" s="234" t="s">
        <v>378</v>
      </c>
      <c r="F440" s="234">
        <f>'F5 - Cost Pressures'!B159</f>
        <v>0</v>
      </c>
      <c r="AM440" s="233">
        <f>'F5 - Cost Pressures'!N35</f>
        <v>0</v>
      </c>
      <c r="AN440" s="233">
        <f>'F5 - Cost Pressures'!O35</f>
        <v>0</v>
      </c>
    </row>
    <row r="441" spans="1:40">
      <c r="A441" s="234" t="str">
        <f>'Front Sheet and Checklist'!$C$5</f>
        <v>Swansea Bay UHB</v>
      </c>
      <c r="B441" s="234" t="s">
        <v>374</v>
      </c>
      <c r="C441" s="234">
        <f t="shared" ref="C441:D441" si="158">C379</f>
        <v>0</v>
      </c>
      <c r="D441" s="234">
        <f t="shared" si="158"/>
        <v>0</v>
      </c>
      <c r="E441" s="234" t="s">
        <v>378</v>
      </c>
      <c r="F441" s="234">
        <f>'F5 - Cost Pressures'!B160</f>
        <v>0</v>
      </c>
      <c r="AM441" s="233">
        <f>'F5 - Cost Pressures'!N36</f>
        <v>0</v>
      </c>
      <c r="AN441" s="233">
        <f>'F5 - Cost Pressures'!O36</f>
        <v>0</v>
      </c>
    </row>
    <row r="442" spans="1:40">
      <c r="A442" s="234" t="str">
        <f>'Front Sheet and Checklist'!$C$5</f>
        <v>Swansea Bay UHB</v>
      </c>
      <c r="B442" s="234" t="s">
        <v>374</v>
      </c>
      <c r="C442" s="234" t="str">
        <f t="shared" ref="C442:D442" si="159">C380</f>
        <v>Macro Economic Inflation</v>
      </c>
      <c r="D442" s="234">
        <f t="shared" si="159"/>
        <v>0</v>
      </c>
      <c r="E442" s="234" t="s">
        <v>378</v>
      </c>
      <c r="F442" s="234">
        <f>'F5 - Cost Pressures'!B161</f>
        <v>0</v>
      </c>
      <c r="AM442" s="233">
        <f>'F5 - Cost Pressures'!N37</f>
        <v>0</v>
      </c>
      <c r="AN442" s="233">
        <f>'F5 - Cost Pressures'!O37</f>
        <v>0</v>
      </c>
    </row>
    <row r="443" spans="1:40">
      <c r="A443" s="234" t="str">
        <f>'Front Sheet and Checklist'!$C$5</f>
        <v>Swansea Bay UHB</v>
      </c>
      <c r="B443" s="234" t="s">
        <v>374</v>
      </c>
      <c r="C443" s="234" t="str">
        <f t="shared" ref="C443:D443" si="160">C381</f>
        <v>Macro Economic Inflation</v>
      </c>
      <c r="D443" s="234">
        <f t="shared" si="160"/>
        <v>0</v>
      </c>
      <c r="E443" s="234" t="s">
        <v>378</v>
      </c>
      <c r="F443" s="234">
        <f>'F5 - Cost Pressures'!B162</f>
        <v>0</v>
      </c>
      <c r="AM443" s="233">
        <f>'F5 - Cost Pressures'!N38</f>
        <v>0</v>
      </c>
      <c r="AN443" s="233">
        <f>'F5 - Cost Pressures'!O38</f>
        <v>0</v>
      </c>
    </row>
    <row r="444" spans="1:40">
      <c r="A444" s="234" t="str">
        <f>'Front Sheet and Checklist'!$C$5</f>
        <v>Swansea Bay UHB</v>
      </c>
      <c r="B444" s="234" t="s">
        <v>374</v>
      </c>
      <c r="C444" s="234" t="str">
        <f t="shared" ref="C444:D444" si="161">C382</f>
        <v>Macro Economic Inflation</v>
      </c>
      <c r="D444" s="234">
        <f t="shared" si="161"/>
        <v>0</v>
      </c>
      <c r="E444" s="234" t="s">
        <v>378</v>
      </c>
      <c r="F444" s="234">
        <f>'F5 - Cost Pressures'!B163</f>
        <v>0</v>
      </c>
      <c r="AM444" s="233">
        <f>'F5 - Cost Pressures'!N39</f>
        <v>0</v>
      </c>
      <c r="AN444" s="233">
        <f>'F5 - Cost Pressures'!O39</f>
        <v>0</v>
      </c>
    </row>
    <row r="445" spans="1:40">
      <c r="A445" s="234" t="str">
        <f>'Front Sheet and Checklist'!$C$5</f>
        <v>Swansea Bay UHB</v>
      </c>
      <c r="B445" s="234" t="s">
        <v>374</v>
      </c>
      <c r="C445" s="234" t="str">
        <f t="shared" ref="C445:D445" si="162">C383</f>
        <v>Macro Economic Inflation</v>
      </c>
      <c r="D445" s="234">
        <f t="shared" si="162"/>
        <v>0</v>
      </c>
      <c r="E445" s="234" t="s">
        <v>378</v>
      </c>
      <c r="F445" s="234">
        <f>'F5 - Cost Pressures'!B164</f>
        <v>0</v>
      </c>
      <c r="AM445" s="233">
        <f>'F5 - Cost Pressures'!N40</f>
        <v>0</v>
      </c>
      <c r="AN445" s="233">
        <f>'F5 - Cost Pressures'!O40</f>
        <v>0</v>
      </c>
    </row>
    <row r="446" spans="1:40">
      <c r="A446" s="234" t="str">
        <f>'Front Sheet and Checklist'!$C$5</f>
        <v>Swansea Bay UHB</v>
      </c>
      <c r="B446" s="234" t="s">
        <v>374</v>
      </c>
      <c r="C446" s="234" t="str">
        <f t="shared" ref="C446:D446" si="163">C384</f>
        <v>Local Investment Decisions</v>
      </c>
      <c r="D446" s="234">
        <f t="shared" si="163"/>
        <v>0</v>
      </c>
      <c r="E446" s="234" t="s">
        <v>378</v>
      </c>
      <c r="F446" s="234">
        <f>'F5 - Cost Pressures'!B165</f>
        <v>0</v>
      </c>
      <c r="AM446" s="233">
        <f>'F5 - Cost Pressures'!N41</f>
        <v>0</v>
      </c>
      <c r="AN446" s="233">
        <f>'F5 - Cost Pressures'!O41</f>
        <v>0</v>
      </c>
    </row>
    <row r="447" spans="1:40">
      <c r="A447" s="234" t="str">
        <f>'Front Sheet and Checklist'!$C$5</f>
        <v>Swansea Bay UHB</v>
      </c>
      <c r="B447" s="234" t="s">
        <v>374</v>
      </c>
      <c r="C447" s="234" t="str">
        <f t="shared" ref="C447:D447" si="164">C385</f>
        <v>Local Investment Decisions</v>
      </c>
      <c r="D447" s="234">
        <f t="shared" si="164"/>
        <v>0</v>
      </c>
      <c r="E447" s="234" t="s">
        <v>378</v>
      </c>
      <c r="F447" s="234">
        <f>'F5 - Cost Pressures'!B166</f>
        <v>0</v>
      </c>
      <c r="AM447" s="233">
        <f>'F5 - Cost Pressures'!N42</f>
        <v>0</v>
      </c>
      <c r="AN447" s="233">
        <f>'F5 - Cost Pressures'!O42</f>
        <v>0</v>
      </c>
    </row>
    <row r="448" spans="1:40">
      <c r="A448" s="234" t="str">
        <f>'Front Sheet and Checklist'!$C$5</f>
        <v>Swansea Bay UHB</v>
      </c>
      <c r="B448" s="234" t="s">
        <v>374</v>
      </c>
      <c r="C448" s="234" t="str">
        <f t="shared" ref="C448:D448" si="165">C386</f>
        <v>Local Investment Decisions</v>
      </c>
      <c r="D448" s="234">
        <f t="shared" si="165"/>
        <v>0</v>
      </c>
      <c r="E448" s="234" t="s">
        <v>378</v>
      </c>
      <c r="F448" s="234">
        <f>'F5 - Cost Pressures'!B167</f>
        <v>0</v>
      </c>
      <c r="AM448" s="233">
        <f>'F5 - Cost Pressures'!N43</f>
        <v>0</v>
      </c>
      <c r="AN448" s="233">
        <f>'F5 - Cost Pressures'!O43</f>
        <v>0</v>
      </c>
    </row>
    <row r="449" spans="1:40">
      <c r="A449" s="234" t="str">
        <f>'Front Sheet and Checklist'!$C$5</f>
        <v>Swansea Bay UHB</v>
      </c>
      <c r="B449" s="234" t="s">
        <v>374</v>
      </c>
      <c r="C449" s="234" t="str">
        <f t="shared" ref="C449:D449" si="166">C387</f>
        <v>Local Investment Decisions</v>
      </c>
      <c r="D449" s="234">
        <f t="shared" si="166"/>
        <v>0</v>
      </c>
      <c r="E449" s="234" t="s">
        <v>378</v>
      </c>
      <c r="F449" s="234">
        <f>'F5 - Cost Pressures'!B168</f>
        <v>0</v>
      </c>
      <c r="AM449" s="233">
        <f>'F5 - Cost Pressures'!N44</f>
        <v>0</v>
      </c>
      <c r="AN449" s="233">
        <f>'F5 - Cost Pressures'!O44</f>
        <v>0</v>
      </c>
    </row>
    <row r="450" spans="1:40">
      <c r="A450" s="234" t="str">
        <f>'Front Sheet and Checklist'!$C$5</f>
        <v>Swansea Bay UHB</v>
      </c>
      <c r="B450" s="234" t="s">
        <v>374</v>
      </c>
      <c r="C450" s="234" t="str">
        <f t="shared" ref="C450:D450" si="167">C388</f>
        <v>Local Investment Decisions</v>
      </c>
      <c r="D450" s="234">
        <f t="shared" si="167"/>
        <v>0</v>
      </c>
      <c r="E450" s="234" t="s">
        <v>378</v>
      </c>
      <c r="F450" s="234">
        <f>'F5 - Cost Pressures'!B169</f>
        <v>0</v>
      </c>
      <c r="AM450" s="233">
        <f>'F5 - Cost Pressures'!N45</f>
        <v>0</v>
      </c>
      <c r="AN450" s="233">
        <f>'F5 - Cost Pressures'!O45</f>
        <v>0</v>
      </c>
    </row>
    <row r="451" spans="1:40">
      <c r="A451" s="234" t="str">
        <f>'Front Sheet and Checklist'!$C$5</f>
        <v>Swansea Bay UHB</v>
      </c>
      <c r="B451" s="234" t="s">
        <v>374</v>
      </c>
      <c r="C451" s="234" t="str">
        <f t="shared" ref="C451:D451" si="168">C389</f>
        <v>Local Investment Decisions</v>
      </c>
      <c r="D451" s="234">
        <f t="shared" si="168"/>
        <v>0</v>
      </c>
      <c r="E451" s="234" t="s">
        <v>378</v>
      </c>
      <c r="F451" s="234">
        <f>'F5 - Cost Pressures'!B170</f>
        <v>0</v>
      </c>
      <c r="AM451" s="233">
        <f>'F5 - Cost Pressures'!N46</f>
        <v>0</v>
      </c>
      <c r="AN451" s="233">
        <f>'F5 - Cost Pressures'!O46</f>
        <v>0</v>
      </c>
    </row>
    <row r="452" spans="1:40">
      <c r="A452" s="234" t="str">
        <f>'Front Sheet and Checklist'!$C$5</f>
        <v>Swansea Bay UHB</v>
      </c>
      <c r="B452" s="234" t="s">
        <v>374</v>
      </c>
      <c r="C452" s="234" t="str">
        <f t="shared" ref="C452:D452" si="169">C390</f>
        <v>Local Investment Decisions</v>
      </c>
      <c r="D452" s="234">
        <f t="shared" si="169"/>
        <v>0</v>
      </c>
      <c r="E452" s="234" t="s">
        <v>378</v>
      </c>
      <c r="F452" s="234">
        <f>'F5 - Cost Pressures'!B171</f>
        <v>0</v>
      </c>
      <c r="AM452" s="233">
        <f>'F5 - Cost Pressures'!N47</f>
        <v>0</v>
      </c>
      <c r="AN452" s="233">
        <f>'F5 - Cost Pressures'!O47</f>
        <v>0</v>
      </c>
    </row>
    <row r="453" spans="1:40">
      <c r="A453" s="234" t="str">
        <f>'Front Sheet and Checklist'!$C$5</f>
        <v>Swansea Bay UHB</v>
      </c>
      <c r="B453" s="234" t="s">
        <v>374</v>
      </c>
      <c r="C453" s="234" t="str">
        <f t="shared" ref="C453:D453" si="170">C391</f>
        <v>Local Investment Decisions</v>
      </c>
      <c r="D453" s="234">
        <f t="shared" si="170"/>
        <v>0</v>
      </c>
      <c r="E453" s="234" t="s">
        <v>378</v>
      </c>
      <c r="F453" s="234">
        <f>'F5 - Cost Pressures'!B172</f>
        <v>0</v>
      </c>
      <c r="AM453" s="233">
        <f>'F5 - Cost Pressures'!N48</f>
        <v>0</v>
      </c>
      <c r="AN453" s="233">
        <f>'F5 - Cost Pressures'!O48</f>
        <v>0</v>
      </c>
    </row>
    <row r="454" spans="1:40">
      <c r="A454" s="234" t="str">
        <f>'Front Sheet and Checklist'!$C$5</f>
        <v>Swansea Bay UHB</v>
      </c>
      <c r="B454" s="234" t="s">
        <v>374</v>
      </c>
      <c r="C454" s="234" t="str">
        <f t="shared" ref="C454:D454" si="171">C392</f>
        <v>Local Investment Decisions</v>
      </c>
      <c r="D454" s="234">
        <f t="shared" si="171"/>
        <v>0</v>
      </c>
      <c r="E454" s="234" t="s">
        <v>378</v>
      </c>
      <c r="F454" s="234">
        <f>'F5 - Cost Pressures'!B173</f>
        <v>0</v>
      </c>
      <c r="AM454" s="233">
        <f>'F5 - Cost Pressures'!N49</f>
        <v>0</v>
      </c>
      <c r="AN454" s="233">
        <f>'F5 - Cost Pressures'!O49</f>
        <v>0</v>
      </c>
    </row>
    <row r="455" spans="1:40">
      <c r="A455" s="234" t="str">
        <f>'Front Sheet and Checklist'!$C$5</f>
        <v>Swansea Bay UHB</v>
      </c>
      <c r="B455" s="234" t="s">
        <v>374</v>
      </c>
      <c r="C455" s="234" t="str">
        <f t="shared" ref="C455:D455" si="172">C393</f>
        <v>Local Investment Decisions</v>
      </c>
      <c r="D455" s="234">
        <f t="shared" si="172"/>
        <v>0</v>
      </c>
      <c r="E455" s="234" t="s">
        <v>378</v>
      </c>
      <c r="F455" s="234">
        <f>'F5 - Cost Pressures'!B174</f>
        <v>0</v>
      </c>
      <c r="AM455" s="233">
        <f>'F5 - Cost Pressures'!N50</f>
        <v>0</v>
      </c>
      <c r="AN455" s="233">
        <f>'F5 - Cost Pressures'!O50</f>
        <v>0</v>
      </c>
    </row>
    <row r="456" spans="1:40">
      <c r="A456" s="234" t="str">
        <f>'Front Sheet and Checklist'!$C$5</f>
        <v>Swansea Bay UHB</v>
      </c>
      <c r="B456" s="234" t="s">
        <v>374</v>
      </c>
      <c r="C456" s="234" t="str">
        <f t="shared" ref="C456:D456" si="173">C394</f>
        <v>Contractual or unavoidable</v>
      </c>
      <c r="D456" s="234">
        <f t="shared" si="173"/>
        <v>0</v>
      </c>
      <c r="E456" s="234" t="s">
        <v>378</v>
      </c>
      <c r="F456" s="234">
        <f>'F5 - Cost Pressures'!B175</f>
        <v>0</v>
      </c>
      <c r="AM456" s="233">
        <f>'F5 - Cost Pressures'!N51</f>
        <v>0</v>
      </c>
      <c r="AN456" s="233">
        <f>'F5 - Cost Pressures'!O51</f>
        <v>0</v>
      </c>
    </row>
    <row r="457" spans="1:40">
      <c r="A457" s="234" t="str">
        <f>'Front Sheet and Checklist'!$C$5</f>
        <v>Swansea Bay UHB</v>
      </c>
      <c r="B457" s="234" t="s">
        <v>374</v>
      </c>
      <c r="C457" s="234">
        <f t="shared" ref="C457:D457" si="174">C395</f>
        <v>0</v>
      </c>
      <c r="D457" s="234">
        <f t="shared" si="174"/>
        <v>0</v>
      </c>
      <c r="E457" s="234" t="s">
        <v>378</v>
      </c>
      <c r="F457" s="234">
        <f>'F5 - Cost Pressures'!B176</f>
        <v>0</v>
      </c>
      <c r="AM457" s="233">
        <f>'F5 - Cost Pressures'!N52</f>
        <v>0</v>
      </c>
      <c r="AN457" s="233">
        <f>'F5 - Cost Pressures'!O52</f>
        <v>0</v>
      </c>
    </row>
    <row r="458" spans="1:40">
      <c r="A458" s="234" t="str">
        <f>'Front Sheet and Checklist'!$C$5</f>
        <v>Swansea Bay UHB</v>
      </c>
      <c r="B458" s="234" t="s">
        <v>374</v>
      </c>
      <c r="C458" s="234">
        <f t="shared" ref="C458:D458" si="175">C396</f>
        <v>0</v>
      </c>
      <c r="D458" s="234">
        <f t="shared" si="175"/>
        <v>0</v>
      </c>
      <c r="E458" s="234" t="s">
        <v>378</v>
      </c>
      <c r="F458" s="234">
        <f>'F5 - Cost Pressures'!B177</f>
        <v>0</v>
      </c>
      <c r="AM458" s="233">
        <f>'F5 - Cost Pressures'!N53</f>
        <v>0</v>
      </c>
      <c r="AN458" s="233">
        <f>'F5 - Cost Pressures'!O53</f>
        <v>0</v>
      </c>
    </row>
    <row r="459" spans="1:40">
      <c r="A459" s="234" t="str">
        <f>'Front Sheet and Checklist'!$C$5</f>
        <v>Swansea Bay UHB</v>
      </c>
      <c r="B459" s="234" t="s">
        <v>374</v>
      </c>
      <c r="C459" s="234">
        <f t="shared" ref="C459:D459" si="176">C397</f>
        <v>0</v>
      </c>
      <c r="D459" s="234">
        <f t="shared" si="176"/>
        <v>0</v>
      </c>
      <c r="E459" s="234" t="s">
        <v>378</v>
      </c>
      <c r="F459" s="234">
        <f>'F5 - Cost Pressures'!B178</f>
        <v>0</v>
      </c>
      <c r="AM459" s="233">
        <f>'F5 - Cost Pressures'!N54</f>
        <v>0</v>
      </c>
      <c r="AN459" s="233">
        <f>'F5 - Cost Pressures'!O54</f>
        <v>0</v>
      </c>
    </row>
    <row r="460" spans="1:40">
      <c r="A460" s="234" t="str">
        <f>'Front Sheet and Checklist'!$C$5</f>
        <v>Swansea Bay UHB</v>
      </c>
      <c r="B460" s="234" t="s">
        <v>374</v>
      </c>
      <c r="C460" s="234">
        <f t="shared" ref="C460:D460" si="177">C398</f>
        <v>0</v>
      </c>
      <c r="D460" s="234">
        <f t="shared" si="177"/>
        <v>0</v>
      </c>
      <c r="E460" s="234" t="s">
        <v>378</v>
      </c>
      <c r="F460" s="234">
        <f>'F5 - Cost Pressures'!B179</f>
        <v>0</v>
      </c>
      <c r="AM460" s="233">
        <f>'F5 - Cost Pressures'!N55</f>
        <v>0</v>
      </c>
      <c r="AN460" s="233">
        <f>'F5 - Cost Pressures'!O55</f>
        <v>0</v>
      </c>
    </row>
    <row r="461" spans="1:40">
      <c r="A461" s="234" t="str">
        <f>'Front Sheet and Checklist'!$C$5</f>
        <v>Swansea Bay UHB</v>
      </c>
      <c r="B461" s="234" t="s">
        <v>374</v>
      </c>
      <c r="C461" s="234">
        <f t="shared" ref="C461:D461" si="178">C399</f>
        <v>0</v>
      </c>
      <c r="D461" s="234">
        <f t="shared" si="178"/>
        <v>0</v>
      </c>
      <c r="E461" s="234" t="s">
        <v>378</v>
      </c>
      <c r="F461" s="234">
        <f>'F5 - Cost Pressures'!B180</f>
        <v>0</v>
      </c>
      <c r="AM461" s="233">
        <f>'F5 - Cost Pressures'!N56</f>
        <v>0</v>
      </c>
      <c r="AN461" s="233">
        <f>'F5 - Cost Pressures'!O56</f>
        <v>0</v>
      </c>
    </row>
    <row r="462" spans="1:40">
      <c r="A462" s="234" t="str">
        <f>'Front Sheet and Checklist'!$C$5</f>
        <v>Swansea Bay UHB</v>
      </c>
      <c r="B462" s="234" t="s">
        <v>374</v>
      </c>
      <c r="C462" s="234">
        <f t="shared" ref="C462:D462" si="179">C400</f>
        <v>0</v>
      </c>
      <c r="D462" s="234">
        <f t="shared" si="179"/>
        <v>0</v>
      </c>
      <c r="E462" s="234" t="s">
        <v>378</v>
      </c>
      <c r="F462" s="234">
        <f>'F5 - Cost Pressures'!B181</f>
        <v>0</v>
      </c>
      <c r="AM462" s="233">
        <f>'F5 - Cost Pressures'!N57</f>
        <v>0</v>
      </c>
      <c r="AN462" s="233">
        <f>'F5 - Cost Pressures'!O57</f>
        <v>0</v>
      </c>
    </row>
    <row r="463" spans="1:40">
      <c r="A463" s="234" t="str">
        <f>'Front Sheet and Checklist'!$C$5</f>
        <v>Swansea Bay UHB</v>
      </c>
      <c r="B463" s="234" t="s">
        <v>374</v>
      </c>
      <c r="C463" s="234">
        <f t="shared" ref="C463:D463" si="180">C401</f>
        <v>0</v>
      </c>
      <c r="D463" s="234">
        <f t="shared" si="180"/>
        <v>0</v>
      </c>
      <c r="E463" s="234" t="s">
        <v>378</v>
      </c>
      <c r="F463" s="234">
        <f>'F5 - Cost Pressures'!B182</f>
        <v>0</v>
      </c>
      <c r="AM463" s="233">
        <f>'F5 - Cost Pressures'!N58</f>
        <v>0</v>
      </c>
      <c r="AN463" s="233">
        <f>'F5 - Cost Pressures'!O58</f>
        <v>0</v>
      </c>
    </row>
    <row r="464" spans="1:40">
      <c r="A464" s="234" t="str">
        <f>'Front Sheet and Checklist'!$C$5</f>
        <v>Swansea Bay UHB</v>
      </c>
      <c r="B464" s="234" t="s">
        <v>374</v>
      </c>
      <c r="C464" s="234">
        <f t="shared" ref="C464:D464" si="181">C402</f>
        <v>0</v>
      </c>
      <c r="D464" s="234">
        <f t="shared" si="181"/>
        <v>0</v>
      </c>
      <c r="E464" s="234" t="s">
        <v>378</v>
      </c>
      <c r="F464" s="234">
        <f>'F5 - Cost Pressures'!B183</f>
        <v>0</v>
      </c>
      <c r="AM464" s="233">
        <f>'F5 - Cost Pressures'!N59</f>
        <v>0</v>
      </c>
      <c r="AN464" s="233">
        <f>'F5 - Cost Pressures'!O59</f>
        <v>0</v>
      </c>
    </row>
    <row r="465" spans="1:40">
      <c r="A465" s="234" t="str">
        <f>'Front Sheet and Checklist'!$C$5</f>
        <v>Swansea Bay UHB</v>
      </c>
      <c r="B465" s="234" t="s">
        <v>374</v>
      </c>
      <c r="C465" s="234">
        <f t="shared" ref="C465:D465" si="182">C403</f>
        <v>0</v>
      </c>
      <c r="D465" s="234">
        <f t="shared" si="182"/>
        <v>0</v>
      </c>
      <c r="E465" s="234" t="s">
        <v>378</v>
      </c>
      <c r="F465" s="234">
        <f>'F5 - Cost Pressures'!B184</f>
        <v>0</v>
      </c>
      <c r="AM465" s="233">
        <f>'F5 - Cost Pressures'!N60</f>
        <v>0</v>
      </c>
      <c r="AN465" s="233">
        <f>'F5 - Cost Pressures'!O60</f>
        <v>0</v>
      </c>
    </row>
    <row r="466" spans="1:40">
      <c r="A466" s="234" t="str">
        <f>'Front Sheet and Checklist'!$C$5</f>
        <v>Swansea Bay UHB</v>
      </c>
      <c r="B466" s="234" t="s">
        <v>374</v>
      </c>
      <c r="C466" s="234">
        <f t="shared" ref="C466:D466" si="183">C404</f>
        <v>0</v>
      </c>
      <c r="D466" s="234">
        <f t="shared" si="183"/>
        <v>0</v>
      </c>
      <c r="E466" s="234" t="s">
        <v>378</v>
      </c>
      <c r="F466" s="234">
        <f>'F5 - Cost Pressures'!B185</f>
        <v>0</v>
      </c>
      <c r="AM466" s="233">
        <f>'F5 - Cost Pressures'!N61</f>
        <v>0</v>
      </c>
      <c r="AN466" s="233">
        <f>'F5 - Cost Pressures'!O61</f>
        <v>0</v>
      </c>
    </row>
    <row r="467" spans="1:40">
      <c r="A467" s="234" t="str">
        <f>'Front Sheet and Checklist'!$C$5</f>
        <v>Swansea Bay UHB</v>
      </c>
      <c r="B467" s="234" t="s">
        <v>374</v>
      </c>
      <c r="C467" s="234">
        <f t="shared" ref="C467:D467" si="184">C405</f>
        <v>0</v>
      </c>
      <c r="D467" s="234">
        <f t="shared" si="184"/>
        <v>0</v>
      </c>
      <c r="E467" s="234" t="s">
        <v>378</v>
      </c>
      <c r="F467" s="234">
        <f>'F5 - Cost Pressures'!B186</f>
        <v>0</v>
      </c>
      <c r="AM467" s="233">
        <f>'F5 - Cost Pressures'!N62</f>
        <v>0</v>
      </c>
      <c r="AN467" s="233">
        <f>'F5 - Cost Pressures'!O62</f>
        <v>0</v>
      </c>
    </row>
    <row r="468" spans="1:40">
      <c r="A468" s="234" t="str">
        <f>'Front Sheet and Checklist'!$C$5</f>
        <v>Swansea Bay UHB</v>
      </c>
      <c r="B468" s="234" t="s">
        <v>374</v>
      </c>
      <c r="C468" s="234">
        <f t="shared" ref="C468:D468" si="185">C406</f>
        <v>0</v>
      </c>
      <c r="D468" s="234">
        <f t="shared" si="185"/>
        <v>0</v>
      </c>
      <c r="E468" s="234" t="s">
        <v>378</v>
      </c>
      <c r="F468" s="234">
        <f>'F5 - Cost Pressures'!B187</f>
        <v>0</v>
      </c>
      <c r="AM468" s="233">
        <f>'F5 - Cost Pressures'!N63</f>
        <v>0</v>
      </c>
      <c r="AN468" s="233">
        <f>'F5 - Cost Pressures'!O63</f>
        <v>0</v>
      </c>
    </row>
    <row r="469" spans="1:40">
      <c r="A469" s="234" t="str">
        <f>'Front Sheet and Checklist'!$C$5</f>
        <v>Swansea Bay UHB</v>
      </c>
      <c r="B469" s="234" t="s">
        <v>374</v>
      </c>
      <c r="C469" s="234">
        <f t="shared" ref="C469:D469" si="186">C407</f>
        <v>0</v>
      </c>
      <c r="D469" s="234">
        <f t="shared" si="186"/>
        <v>0</v>
      </c>
      <c r="E469" s="234" t="s">
        <v>378</v>
      </c>
      <c r="F469" s="234">
        <f>'F5 - Cost Pressures'!B188</f>
        <v>0</v>
      </c>
      <c r="AM469" s="233">
        <f>'F5 - Cost Pressures'!N64</f>
        <v>0</v>
      </c>
      <c r="AN469" s="233">
        <f>'F5 - Cost Pressures'!O64</f>
        <v>0</v>
      </c>
    </row>
    <row r="470" spans="1:40">
      <c r="A470" s="234" t="str">
        <f>'Front Sheet and Checklist'!$C$5</f>
        <v>Swansea Bay UHB</v>
      </c>
      <c r="B470" s="234" t="s">
        <v>374</v>
      </c>
      <c r="C470" s="234">
        <f t="shared" ref="C470:D470" si="187">C408</f>
        <v>0</v>
      </c>
      <c r="D470" s="234">
        <f t="shared" si="187"/>
        <v>0</v>
      </c>
      <c r="E470" s="234" t="s">
        <v>378</v>
      </c>
      <c r="F470" s="234">
        <f>'F5 - Cost Pressures'!B189</f>
        <v>0</v>
      </c>
      <c r="AM470" s="233">
        <f>'F5 - Cost Pressures'!N65</f>
        <v>4700</v>
      </c>
      <c r="AN470" s="233">
        <f>'F5 - Cost Pressures'!O65</f>
        <v>4700</v>
      </c>
    </row>
    <row r="471" spans="1:40">
      <c r="A471" s="234" t="str">
        <f>'Front Sheet and Checklist'!$C$5</f>
        <v>Swansea Bay UHB</v>
      </c>
      <c r="B471" s="234" t="s">
        <v>374</v>
      </c>
      <c r="C471" s="234" t="str">
        <f t="shared" ref="C471:D471" si="188">C409</f>
        <v>Macro Economic Inflation</v>
      </c>
      <c r="D471" s="234" t="str">
        <f t="shared" si="188"/>
        <v>7. Non Clinical Support</v>
      </c>
      <c r="E471" s="234" t="s">
        <v>379</v>
      </c>
      <c r="F471" s="234">
        <f>'F5 - Cost Pressures'!B190</f>
        <v>0</v>
      </c>
      <c r="AM471" s="233">
        <f>'F5 - Cost Pressures'!P4</f>
        <v>0</v>
      </c>
      <c r="AN471" s="233">
        <f>'F5 - Cost Pressures'!Q4</f>
        <v>0</v>
      </c>
    </row>
    <row r="472" spans="1:40">
      <c r="A472" s="234" t="str">
        <f>'Front Sheet and Checklist'!$C$5</f>
        <v>Swansea Bay UHB</v>
      </c>
      <c r="B472" s="234" t="s">
        <v>374</v>
      </c>
      <c r="C472" s="234" t="str">
        <f t="shared" ref="C472:D472" si="189">C410</f>
        <v>Macro Economic Inflation</v>
      </c>
      <c r="D472" s="234" t="str">
        <f t="shared" si="189"/>
        <v>8. Across Service Areas</v>
      </c>
      <c r="E472" s="234" t="s">
        <v>379</v>
      </c>
      <c r="F472" s="234">
        <f>'F5 - Cost Pressures'!B191</f>
        <v>0</v>
      </c>
      <c r="AM472" s="233">
        <f>'F5 - Cost Pressures'!P5</f>
        <v>0</v>
      </c>
      <c r="AN472" s="233">
        <f>'F5 - Cost Pressures'!Q5</f>
        <v>0</v>
      </c>
    </row>
    <row r="473" spans="1:40">
      <c r="A473" s="234" t="str">
        <f>'Front Sheet and Checklist'!$C$5</f>
        <v>Swansea Bay UHB</v>
      </c>
      <c r="B473" s="234" t="s">
        <v>374</v>
      </c>
      <c r="C473" s="234" t="str">
        <f t="shared" ref="C473:D473" si="190">C411</f>
        <v>National Investment Decisions</v>
      </c>
      <c r="D473" s="234" t="str">
        <f t="shared" si="190"/>
        <v>1. Secondary Care (In-house) - General</v>
      </c>
      <c r="E473" s="234" t="s">
        <v>379</v>
      </c>
      <c r="F473" s="234">
        <f>'F5 - Cost Pressures'!B192</f>
        <v>0</v>
      </c>
      <c r="AM473" s="233">
        <f>'F5 - Cost Pressures'!P6</f>
        <v>0</v>
      </c>
      <c r="AN473" s="233">
        <f>'F5 - Cost Pressures'!Q6</f>
        <v>0</v>
      </c>
    </row>
    <row r="474" spans="1:40">
      <c r="A474" s="234" t="str">
        <f>'Front Sheet and Checklist'!$C$5</f>
        <v>Swansea Bay UHB</v>
      </c>
      <c r="B474" s="234" t="s">
        <v>374</v>
      </c>
      <c r="C474" s="234" t="str">
        <f t="shared" ref="C474:D474" si="191">C412</f>
        <v>National Investment Decisions</v>
      </c>
      <c r="D474" s="234" t="str">
        <f t="shared" si="191"/>
        <v>4. Commissioned Activity (inc. CHC)</v>
      </c>
      <c r="E474" s="234" t="s">
        <v>379</v>
      </c>
      <c r="F474" s="234">
        <f>'F5 - Cost Pressures'!B193</f>
        <v>0</v>
      </c>
      <c r="AM474" s="233">
        <f>'F5 - Cost Pressures'!P7</f>
        <v>0</v>
      </c>
      <c r="AN474" s="233">
        <f>'F5 - Cost Pressures'!Q7</f>
        <v>0</v>
      </c>
    </row>
    <row r="475" spans="1:40">
      <c r="A475" s="234" t="str">
        <f>'Front Sheet and Checklist'!$C$5</f>
        <v>Swansea Bay UHB</v>
      </c>
      <c r="B475" s="234" t="s">
        <v>374</v>
      </c>
      <c r="C475" s="234" t="str">
        <f t="shared" ref="C475:D475" si="192">C413</f>
        <v>National Investment Decisions</v>
      </c>
      <c r="D475" s="234" t="str">
        <f t="shared" si="192"/>
        <v>3. Community Care</v>
      </c>
      <c r="E475" s="234" t="s">
        <v>379</v>
      </c>
      <c r="F475" s="234">
        <f>'F5 - Cost Pressures'!B194</f>
        <v>0</v>
      </c>
      <c r="AM475" s="233">
        <f>'F5 - Cost Pressures'!P8</f>
        <v>0</v>
      </c>
      <c r="AN475" s="233">
        <f>'F5 - Cost Pressures'!Q8</f>
        <v>0</v>
      </c>
    </row>
    <row r="476" spans="1:40">
      <c r="A476" s="234" t="str">
        <f>'Front Sheet and Checklist'!$C$5</f>
        <v>Swansea Bay UHB</v>
      </c>
      <c r="B476" s="234" t="s">
        <v>374</v>
      </c>
      <c r="C476" s="234" t="str">
        <f t="shared" ref="C476:D476" si="193">C414</f>
        <v>National Investment Decisions</v>
      </c>
      <c r="D476" s="234" t="str">
        <f t="shared" si="193"/>
        <v>3. Community Care</v>
      </c>
      <c r="E476" s="234" t="s">
        <v>379</v>
      </c>
      <c r="F476" s="234">
        <f>'F5 - Cost Pressures'!B195</f>
        <v>0</v>
      </c>
      <c r="AM476" s="233">
        <f>'F5 - Cost Pressures'!P9</f>
        <v>0</v>
      </c>
      <c r="AN476" s="233">
        <f>'F5 - Cost Pressures'!Q9</f>
        <v>0</v>
      </c>
    </row>
    <row r="477" spans="1:40">
      <c r="A477" s="234" t="str">
        <f>'Front Sheet and Checklist'!$C$5</f>
        <v>Swansea Bay UHB</v>
      </c>
      <c r="B477" s="234" t="s">
        <v>374</v>
      </c>
      <c r="C477" s="234" t="str">
        <f t="shared" ref="C477:D477" si="194">C415</f>
        <v>National Investment Decisions</v>
      </c>
      <c r="D477" s="234" t="str">
        <f t="shared" si="194"/>
        <v>4. Commissioned Activity (inc. CHC)</v>
      </c>
      <c r="E477" s="234" t="s">
        <v>379</v>
      </c>
      <c r="F477" s="234">
        <f>'F5 - Cost Pressures'!B196</f>
        <v>0</v>
      </c>
      <c r="AM477" s="233">
        <f>'F5 - Cost Pressures'!P10</f>
        <v>0</v>
      </c>
      <c r="AN477" s="233">
        <f>'F5 - Cost Pressures'!Q10</f>
        <v>0</v>
      </c>
    </row>
    <row r="478" spans="1:40">
      <c r="A478" s="234" t="str">
        <f>'Front Sheet and Checklist'!$C$5</f>
        <v>Swansea Bay UHB</v>
      </c>
      <c r="B478" s="234" t="s">
        <v>374</v>
      </c>
      <c r="C478" s="234" t="str">
        <f t="shared" ref="C478:D478" si="195">C416</f>
        <v>National Investment Decisions</v>
      </c>
      <c r="D478" s="234">
        <f t="shared" si="195"/>
        <v>0</v>
      </c>
      <c r="E478" s="234" t="s">
        <v>379</v>
      </c>
      <c r="F478" s="234">
        <f>'F5 - Cost Pressures'!B197</f>
        <v>0</v>
      </c>
      <c r="AM478" s="233">
        <f>'F5 - Cost Pressures'!P11</f>
        <v>0</v>
      </c>
      <c r="AN478" s="233">
        <f>'F5 - Cost Pressures'!Q11</f>
        <v>0</v>
      </c>
    </row>
    <row r="479" spans="1:40">
      <c r="A479" s="234" t="str">
        <f>'Front Sheet and Checklist'!$C$5</f>
        <v>Swansea Bay UHB</v>
      </c>
      <c r="B479" s="234" t="s">
        <v>374</v>
      </c>
      <c r="C479" s="234" t="str">
        <f t="shared" ref="C479:D479" si="196">C417</f>
        <v>National Investment Decisions</v>
      </c>
      <c r="D479" s="234">
        <f t="shared" si="196"/>
        <v>0</v>
      </c>
      <c r="E479" s="234" t="s">
        <v>379</v>
      </c>
      <c r="F479" s="234">
        <f>'F5 - Cost Pressures'!B198</f>
        <v>0</v>
      </c>
      <c r="AM479" s="233">
        <f>'F5 - Cost Pressures'!P12</f>
        <v>0</v>
      </c>
      <c r="AN479" s="233">
        <f>'F5 - Cost Pressures'!Q12</f>
        <v>0</v>
      </c>
    </row>
    <row r="480" spans="1:40">
      <c r="A480" s="234" t="str">
        <f>'Front Sheet and Checklist'!$C$5</f>
        <v>Swansea Bay UHB</v>
      </c>
      <c r="B480" s="234" t="s">
        <v>374</v>
      </c>
      <c r="C480" s="234" t="str">
        <f t="shared" ref="C480:D480" si="197">C418</f>
        <v>National Investment Decisions</v>
      </c>
      <c r="D480" s="234">
        <f t="shared" si="197"/>
        <v>0</v>
      </c>
      <c r="E480" s="234" t="s">
        <v>379</v>
      </c>
      <c r="F480" s="234">
        <f>'F5 - Cost Pressures'!B199</f>
        <v>0</v>
      </c>
      <c r="AM480" s="233">
        <f>'F5 - Cost Pressures'!P13</f>
        <v>0</v>
      </c>
      <c r="AN480" s="233">
        <f>'F5 - Cost Pressures'!Q13</f>
        <v>0</v>
      </c>
    </row>
    <row r="481" spans="1:40">
      <c r="A481" s="234" t="str">
        <f>'Front Sheet and Checklist'!$C$5</f>
        <v>Swansea Bay UHB</v>
      </c>
      <c r="B481" s="234" t="s">
        <v>374</v>
      </c>
      <c r="C481" s="234" t="str">
        <f t="shared" ref="C481:D481" si="198">C419</f>
        <v>National Investment Decisions</v>
      </c>
      <c r="D481" s="234">
        <f t="shared" si="198"/>
        <v>0</v>
      </c>
      <c r="E481" s="234" t="s">
        <v>379</v>
      </c>
      <c r="F481" s="234">
        <f>'F5 - Cost Pressures'!B200</f>
        <v>0</v>
      </c>
      <c r="AM481" s="233">
        <f>'F5 - Cost Pressures'!P14</f>
        <v>0</v>
      </c>
      <c r="AN481" s="233">
        <f>'F5 - Cost Pressures'!Q14</f>
        <v>0</v>
      </c>
    </row>
    <row r="482" spans="1:40">
      <c r="A482" s="234" t="str">
        <f>'Front Sheet and Checklist'!$C$5</f>
        <v>Swansea Bay UHB</v>
      </c>
      <c r="B482" s="234" t="s">
        <v>374</v>
      </c>
      <c r="C482" s="234" t="str">
        <f t="shared" ref="C482:D482" si="199">C420</f>
        <v>National Investment Decisions</v>
      </c>
      <c r="D482" s="234">
        <f t="shared" si="199"/>
        <v>0</v>
      </c>
      <c r="E482" s="234" t="s">
        <v>379</v>
      </c>
      <c r="F482" s="234">
        <f>'F5 - Cost Pressures'!B201</f>
        <v>0</v>
      </c>
      <c r="AM482" s="233">
        <f>'F5 - Cost Pressures'!P15</f>
        <v>0</v>
      </c>
      <c r="AN482" s="233">
        <f>'F5 - Cost Pressures'!Q15</f>
        <v>0</v>
      </c>
    </row>
    <row r="483" spans="1:40">
      <c r="A483" s="234" t="str">
        <f>'Front Sheet and Checklist'!$C$5</f>
        <v>Swansea Bay UHB</v>
      </c>
      <c r="B483" s="234" t="s">
        <v>374</v>
      </c>
      <c r="C483" s="234" t="str">
        <f t="shared" ref="C483:D483" si="200">C421</f>
        <v>National Investment Decisions</v>
      </c>
      <c r="D483" s="234">
        <f t="shared" si="200"/>
        <v>0</v>
      </c>
      <c r="E483" s="234" t="s">
        <v>379</v>
      </c>
      <c r="F483" s="234">
        <f>'F5 - Cost Pressures'!B202</f>
        <v>0</v>
      </c>
      <c r="AM483" s="233">
        <f>'F5 - Cost Pressures'!P16</f>
        <v>0</v>
      </c>
      <c r="AN483" s="233">
        <f>'F5 - Cost Pressures'!Q16</f>
        <v>0</v>
      </c>
    </row>
    <row r="484" spans="1:40">
      <c r="A484" s="234" t="str">
        <f>'Front Sheet and Checklist'!$C$5</f>
        <v>Swansea Bay UHB</v>
      </c>
      <c r="B484" s="234" t="s">
        <v>374</v>
      </c>
      <c r="C484" s="234" t="str">
        <f t="shared" ref="C484:D484" si="201">C422</f>
        <v>National Investment Decisions</v>
      </c>
      <c r="D484" s="234">
        <f t="shared" si="201"/>
        <v>0</v>
      </c>
      <c r="E484" s="234" t="s">
        <v>379</v>
      </c>
      <c r="F484" s="234">
        <f>'F5 - Cost Pressures'!B203</f>
        <v>0</v>
      </c>
      <c r="AM484" s="233">
        <f>'F5 - Cost Pressures'!P17</f>
        <v>0</v>
      </c>
      <c r="AN484" s="233">
        <f>'F5 - Cost Pressures'!Q17</f>
        <v>0</v>
      </c>
    </row>
    <row r="485" spans="1:40">
      <c r="A485" s="234" t="str">
        <f>'Front Sheet and Checklist'!$C$5</f>
        <v>Swansea Bay UHB</v>
      </c>
      <c r="B485" s="234" t="s">
        <v>374</v>
      </c>
      <c r="C485" s="234" t="str">
        <f t="shared" ref="C485:D485" si="202">C423</f>
        <v>National Investment Decisions</v>
      </c>
      <c r="D485" s="234">
        <f t="shared" si="202"/>
        <v>0</v>
      </c>
      <c r="E485" s="234" t="s">
        <v>379</v>
      </c>
      <c r="F485" s="234">
        <f>'F5 - Cost Pressures'!B204</f>
        <v>0</v>
      </c>
      <c r="AM485" s="233">
        <f>'F5 - Cost Pressures'!P18</f>
        <v>0</v>
      </c>
      <c r="AN485" s="233">
        <f>'F5 - Cost Pressures'!Q18</f>
        <v>0</v>
      </c>
    </row>
    <row r="486" spans="1:40">
      <c r="A486" s="234" t="str">
        <f>'Front Sheet and Checklist'!$C$5</f>
        <v>Swansea Bay UHB</v>
      </c>
      <c r="B486" s="234" t="s">
        <v>374</v>
      </c>
      <c r="C486" s="234" t="str">
        <f t="shared" ref="C486:D486" si="203">C424</f>
        <v>National Investment Decisions</v>
      </c>
      <c r="D486" s="234">
        <f t="shared" si="203"/>
        <v>0</v>
      </c>
      <c r="E486" s="234" t="s">
        <v>379</v>
      </c>
      <c r="F486" s="234">
        <f>'F5 - Cost Pressures'!B205</f>
        <v>0</v>
      </c>
      <c r="AM486" s="233">
        <f>'F5 - Cost Pressures'!P19</f>
        <v>0</v>
      </c>
      <c r="AN486" s="233">
        <f>'F5 - Cost Pressures'!Q19</f>
        <v>0</v>
      </c>
    </row>
    <row r="487" spans="1:40">
      <c r="A487" s="234" t="str">
        <f>'Front Sheet and Checklist'!$C$5</f>
        <v>Swansea Bay UHB</v>
      </c>
      <c r="B487" s="234" t="s">
        <v>374</v>
      </c>
      <c r="C487" s="234" t="str">
        <f t="shared" ref="C487:D487" si="204">C425</f>
        <v>Macro Economic Inflation</v>
      </c>
      <c r="D487" s="234">
        <f t="shared" si="204"/>
        <v>0</v>
      </c>
      <c r="E487" s="234" t="s">
        <v>379</v>
      </c>
      <c r="F487" s="234">
        <f>'F5 - Cost Pressures'!B206</f>
        <v>0</v>
      </c>
      <c r="AM487" s="233">
        <f>'F5 - Cost Pressures'!P20</f>
        <v>0</v>
      </c>
      <c r="AN487" s="233">
        <f>'F5 - Cost Pressures'!Q20</f>
        <v>0</v>
      </c>
    </row>
    <row r="488" spans="1:40">
      <c r="A488" s="234" t="str">
        <f>'Front Sheet and Checklist'!$C$5</f>
        <v>Swansea Bay UHB</v>
      </c>
      <c r="B488" s="234" t="s">
        <v>374</v>
      </c>
      <c r="C488" s="234" t="str">
        <f t="shared" ref="C488:D488" si="205">C426</f>
        <v>Macro Economic Inflation</v>
      </c>
      <c r="D488" s="234">
        <f t="shared" si="205"/>
        <v>0</v>
      </c>
      <c r="E488" s="234" t="s">
        <v>379</v>
      </c>
      <c r="F488" s="234">
        <f>'F5 - Cost Pressures'!B207</f>
        <v>0</v>
      </c>
      <c r="AM488" s="233">
        <f>'F5 - Cost Pressures'!P21</f>
        <v>0</v>
      </c>
      <c r="AN488" s="233">
        <f>'F5 - Cost Pressures'!Q21</f>
        <v>0</v>
      </c>
    </row>
    <row r="489" spans="1:40">
      <c r="A489" s="234" t="str">
        <f>'Front Sheet and Checklist'!$C$5</f>
        <v>Swansea Bay UHB</v>
      </c>
      <c r="B489" s="234" t="s">
        <v>374</v>
      </c>
      <c r="C489" s="234" t="str">
        <f t="shared" ref="C489:D489" si="206">C427</f>
        <v>Macro Economic Inflation</v>
      </c>
      <c r="D489" s="234">
        <f t="shared" si="206"/>
        <v>0</v>
      </c>
      <c r="E489" s="234" t="s">
        <v>379</v>
      </c>
      <c r="F489" s="234">
        <f>'F5 - Cost Pressures'!B208</f>
        <v>0</v>
      </c>
      <c r="AM489" s="233">
        <f>'F5 - Cost Pressures'!P22</f>
        <v>0</v>
      </c>
      <c r="AN489" s="233">
        <f>'F5 - Cost Pressures'!Q22</f>
        <v>0</v>
      </c>
    </row>
    <row r="490" spans="1:40">
      <c r="A490" s="234" t="str">
        <f>'Front Sheet and Checklist'!$C$5</f>
        <v>Swansea Bay UHB</v>
      </c>
      <c r="B490" s="234" t="s">
        <v>374</v>
      </c>
      <c r="C490" s="234" t="str">
        <f t="shared" ref="C490:D490" si="207">C428</f>
        <v>Macro Economic Inflation</v>
      </c>
      <c r="D490" s="234">
        <f t="shared" si="207"/>
        <v>0</v>
      </c>
      <c r="E490" s="234" t="s">
        <v>379</v>
      </c>
      <c r="F490" s="234">
        <f>'F5 - Cost Pressures'!B209</f>
        <v>0</v>
      </c>
      <c r="AM490" s="233">
        <f>'F5 - Cost Pressures'!P23</f>
        <v>0</v>
      </c>
      <c r="AN490" s="233">
        <f>'F5 - Cost Pressures'!Q23</f>
        <v>0</v>
      </c>
    </row>
    <row r="491" spans="1:40">
      <c r="A491" s="234" t="str">
        <f>'Front Sheet and Checklist'!$C$5</f>
        <v>Swansea Bay UHB</v>
      </c>
      <c r="B491" s="234" t="s">
        <v>374</v>
      </c>
      <c r="C491" s="234" t="str">
        <f t="shared" ref="C491:D491" si="208">C429</f>
        <v>Macro Economic Inflation</v>
      </c>
      <c r="D491" s="234">
        <f t="shared" si="208"/>
        <v>0</v>
      </c>
      <c r="E491" s="234" t="s">
        <v>379</v>
      </c>
      <c r="F491" s="234">
        <f>'F5 - Cost Pressures'!B210</f>
        <v>0</v>
      </c>
      <c r="AM491" s="233">
        <f>'F5 - Cost Pressures'!P24</f>
        <v>3644</v>
      </c>
      <c r="AN491" s="233">
        <f>'F5 - Cost Pressures'!Q24</f>
        <v>3644</v>
      </c>
    </row>
    <row r="492" spans="1:40">
      <c r="A492" s="234" t="str">
        <f>'Front Sheet and Checklist'!$C$5</f>
        <v>Swansea Bay UHB</v>
      </c>
      <c r="B492" s="234" t="s">
        <v>374</v>
      </c>
      <c r="C492" s="234" t="str">
        <f t="shared" ref="C492:D492" si="209">C430</f>
        <v>Macro Economic Inflation</v>
      </c>
      <c r="D492" s="234">
        <f t="shared" si="209"/>
        <v>0</v>
      </c>
      <c r="E492" s="234" t="s">
        <v>379</v>
      </c>
      <c r="F492" s="234">
        <f>'F5 - Cost Pressures'!B211</f>
        <v>0</v>
      </c>
      <c r="AM492" s="233">
        <f>'F5 - Cost Pressures'!P25</f>
        <v>4260</v>
      </c>
      <c r="AN492" s="233">
        <f>'F5 - Cost Pressures'!Q25</f>
        <v>4260</v>
      </c>
    </row>
    <row r="493" spans="1:40">
      <c r="A493" s="234" t="str">
        <f>'Front Sheet and Checklist'!$C$5</f>
        <v>Swansea Bay UHB</v>
      </c>
      <c r="B493" s="234" t="s">
        <v>374</v>
      </c>
      <c r="C493" s="234" t="str">
        <f t="shared" ref="C493:D493" si="210">C431</f>
        <v>Macro Economic Inflation</v>
      </c>
      <c r="D493" s="234">
        <f t="shared" si="210"/>
        <v>0</v>
      </c>
      <c r="E493" s="234" t="s">
        <v>379</v>
      </c>
      <c r="F493" s="234">
        <f>'F5 - Cost Pressures'!B212</f>
        <v>0</v>
      </c>
      <c r="AM493" s="233">
        <f>'F5 - Cost Pressures'!P26</f>
        <v>0</v>
      </c>
      <c r="AN493" s="233">
        <f>'F5 - Cost Pressures'!Q26</f>
        <v>0</v>
      </c>
    </row>
    <row r="494" spans="1:40">
      <c r="A494" s="234" t="str">
        <f>'Front Sheet and Checklist'!$C$5</f>
        <v>Swansea Bay UHB</v>
      </c>
      <c r="B494" s="234" t="s">
        <v>374</v>
      </c>
      <c r="C494" s="234" t="str">
        <f t="shared" ref="C494:D494" si="211">C432</f>
        <v>Macro Economic Inflation</v>
      </c>
      <c r="D494" s="234">
        <f t="shared" si="211"/>
        <v>0</v>
      </c>
      <c r="E494" s="234" t="s">
        <v>379</v>
      </c>
      <c r="F494" s="234">
        <f>'F5 - Cost Pressures'!B213</f>
        <v>0</v>
      </c>
      <c r="AM494" s="233">
        <f>'F5 - Cost Pressures'!P27</f>
        <v>0</v>
      </c>
      <c r="AN494" s="233">
        <f>'F5 - Cost Pressures'!Q27</f>
        <v>0</v>
      </c>
    </row>
    <row r="495" spans="1:40">
      <c r="A495" s="234" t="str">
        <f>'Front Sheet and Checklist'!$C$5</f>
        <v>Swansea Bay UHB</v>
      </c>
      <c r="B495" s="234" t="s">
        <v>374</v>
      </c>
      <c r="C495" s="234" t="str">
        <f t="shared" ref="C495:D495" si="212">C433</f>
        <v>Macro Economic Inflation</v>
      </c>
      <c r="D495" s="234">
        <f t="shared" si="212"/>
        <v>0</v>
      </c>
      <c r="E495" s="234" t="s">
        <v>379</v>
      </c>
      <c r="F495" s="234">
        <f>'F5 - Cost Pressures'!B214</f>
        <v>0</v>
      </c>
      <c r="AM495" s="233">
        <f>'F5 - Cost Pressures'!P28</f>
        <v>0</v>
      </c>
      <c r="AN495" s="233">
        <f>'F5 - Cost Pressures'!Q28</f>
        <v>0</v>
      </c>
    </row>
    <row r="496" spans="1:40">
      <c r="A496" s="234" t="str">
        <f>'Front Sheet and Checklist'!$C$5</f>
        <v>Swansea Bay UHB</v>
      </c>
      <c r="B496" s="234" t="s">
        <v>374</v>
      </c>
      <c r="C496" s="234" t="str">
        <f t="shared" ref="C496:D496" si="213">C434</f>
        <v>Macro Economic Inflation</v>
      </c>
      <c r="D496" s="234">
        <f t="shared" si="213"/>
        <v>0</v>
      </c>
      <c r="E496" s="234" t="s">
        <v>379</v>
      </c>
      <c r="F496" s="234">
        <f>'F5 - Cost Pressures'!B215</f>
        <v>0</v>
      </c>
      <c r="AM496" s="233">
        <f>'F5 - Cost Pressures'!P29</f>
        <v>0</v>
      </c>
      <c r="AN496" s="233">
        <f>'F5 - Cost Pressures'!Q29</f>
        <v>0</v>
      </c>
    </row>
    <row r="497" spans="1:40">
      <c r="A497" s="234" t="str">
        <f>'Front Sheet and Checklist'!$C$5</f>
        <v>Swansea Bay UHB</v>
      </c>
      <c r="B497" s="234" t="s">
        <v>374</v>
      </c>
      <c r="C497" s="234" t="str">
        <f t="shared" ref="C497:D497" si="214">C435</f>
        <v>Macro Economic Inflation</v>
      </c>
      <c r="D497" s="234">
        <f t="shared" si="214"/>
        <v>0</v>
      </c>
      <c r="E497" s="234" t="s">
        <v>379</v>
      </c>
      <c r="F497" s="234">
        <f>'F5 - Cost Pressures'!B216</f>
        <v>0</v>
      </c>
      <c r="AM497" s="233">
        <f>'F5 - Cost Pressures'!P30</f>
        <v>1200</v>
      </c>
      <c r="AN497" s="233">
        <f>'F5 - Cost Pressures'!Q30</f>
        <v>1200</v>
      </c>
    </row>
    <row r="498" spans="1:40">
      <c r="A498" s="234" t="str">
        <f>'Front Sheet and Checklist'!$C$5</f>
        <v>Swansea Bay UHB</v>
      </c>
      <c r="B498" s="234" t="s">
        <v>374</v>
      </c>
      <c r="C498" s="234" t="str">
        <f t="shared" ref="C498:D498" si="215">C436</f>
        <v>Macro Economic Inflation</v>
      </c>
      <c r="D498" s="234">
        <f t="shared" si="215"/>
        <v>0</v>
      </c>
      <c r="E498" s="234" t="s">
        <v>379</v>
      </c>
      <c r="F498" s="234">
        <f>'F5 - Cost Pressures'!B217</f>
        <v>0</v>
      </c>
      <c r="AM498" s="233">
        <f>'F5 - Cost Pressures'!P31</f>
        <v>1675</v>
      </c>
      <c r="AN498" s="233">
        <f>'F5 - Cost Pressures'!Q31</f>
        <v>1675</v>
      </c>
    </row>
    <row r="499" spans="1:40">
      <c r="A499" s="234" t="str">
        <f>'Front Sheet and Checklist'!$C$5</f>
        <v>Swansea Bay UHB</v>
      </c>
      <c r="B499" s="234" t="s">
        <v>374</v>
      </c>
      <c r="C499" s="234" t="str">
        <f t="shared" ref="C499:D499" si="216">C437</f>
        <v>Contractual or unavoidable</v>
      </c>
      <c r="D499" s="234">
        <f t="shared" si="216"/>
        <v>0</v>
      </c>
      <c r="E499" s="234" t="s">
        <v>379</v>
      </c>
      <c r="F499" s="234">
        <f>'F5 - Cost Pressures'!B218</f>
        <v>0</v>
      </c>
      <c r="AM499" s="233">
        <f>'F5 - Cost Pressures'!P32</f>
        <v>0</v>
      </c>
      <c r="AN499" s="233">
        <f>'F5 - Cost Pressures'!Q32</f>
        <v>0</v>
      </c>
    </row>
    <row r="500" spans="1:40">
      <c r="A500" s="234" t="str">
        <f>'Front Sheet and Checklist'!$C$5</f>
        <v>Swansea Bay UHB</v>
      </c>
      <c r="B500" s="234" t="s">
        <v>374</v>
      </c>
      <c r="C500" s="234" t="str">
        <f t="shared" ref="C500:D500" si="217">C438</f>
        <v>Contractual or unavoidable</v>
      </c>
      <c r="D500" s="234">
        <f t="shared" si="217"/>
        <v>0</v>
      </c>
      <c r="E500" s="234" t="s">
        <v>379</v>
      </c>
      <c r="F500" s="234">
        <f>'F5 - Cost Pressures'!B219</f>
        <v>0</v>
      </c>
      <c r="AM500" s="233">
        <f>'F5 - Cost Pressures'!P33</f>
        <v>0</v>
      </c>
      <c r="AN500" s="233">
        <f>'F5 - Cost Pressures'!Q33</f>
        <v>0</v>
      </c>
    </row>
    <row r="501" spans="1:40">
      <c r="A501" s="234" t="str">
        <f>'Front Sheet and Checklist'!$C$5</f>
        <v>Swansea Bay UHB</v>
      </c>
      <c r="B501" s="234" t="s">
        <v>374</v>
      </c>
      <c r="C501" s="234">
        <f t="shared" ref="C501:D501" si="218">C439</f>
        <v>0</v>
      </c>
      <c r="D501" s="234">
        <f t="shared" si="218"/>
        <v>0</v>
      </c>
      <c r="E501" s="234" t="s">
        <v>379</v>
      </c>
      <c r="F501" s="234">
        <f>'F5 - Cost Pressures'!B220</f>
        <v>0</v>
      </c>
      <c r="AM501" s="233">
        <f>'F5 - Cost Pressures'!P34</f>
        <v>0</v>
      </c>
      <c r="AN501" s="233">
        <f>'F5 - Cost Pressures'!Q34</f>
        <v>0</v>
      </c>
    </row>
    <row r="502" spans="1:40">
      <c r="A502" s="234" t="str">
        <f>'Front Sheet and Checklist'!$C$5</f>
        <v>Swansea Bay UHB</v>
      </c>
      <c r="B502" s="234" t="s">
        <v>374</v>
      </c>
      <c r="C502" s="234">
        <f t="shared" ref="C502:D502" si="219">C440</f>
        <v>0</v>
      </c>
      <c r="D502" s="234">
        <f t="shared" si="219"/>
        <v>0</v>
      </c>
      <c r="E502" s="234" t="s">
        <v>379</v>
      </c>
      <c r="F502" s="234">
        <f>'F5 - Cost Pressures'!B221</f>
        <v>0</v>
      </c>
      <c r="AM502" s="233">
        <f>'F5 - Cost Pressures'!P35</f>
        <v>0</v>
      </c>
      <c r="AN502" s="233">
        <f>'F5 - Cost Pressures'!Q35</f>
        <v>0</v>
      </c>
    </row>
    <row r="503" spans="1:40">
      <c r="A503" s="234" t="str">
        <f>'Front Sheet and Checklist'!$C$5</f>
        <v>Swansea Bay UHB</v>
      </c>
      <c r="B503" s="234" t="s">
        <v>374</v>
      </c>
      <c r="C503" s="234">
        <f t="shared" ref="C503:D503" si="220">C441</f>
        <v>0</v>
      </c>
      <c r="D503" s="234">
        <f t="shared" si="220"/>
        <v>0</v>
      </c>
      <c r="E503" s="234" t="s">
        <v>379</v>
      </c>
      <c r="F503" s="234">
        <f>'F5 - Cost Pressures'!B222</f>
        <v>0</v>
      </c>
      <c r="AM503" s="233">
        <f>'F5 - Cost Pressures'!P36</f>
        <v>0</v>
      </c>
      <c r="AN503" s="233">
        <f>'F5 - Cost Pressures'!Q36</f>
        <v>0</v>
      </c>
    </row>
    <row r="504" spans="1:40">
      <c r="A504" s="234" t="str">
        <f>'Front Sheet and Checklist'!$C$5</f>
        <v>Swansea Bay UHB</v>
      </c>
      <c r="B504" s="234" t="s">
        <v>374</v>
      </c>
      <c r="C504" s="234" t="str">
        <f t="shared" ref="C504:D504" si="221">C442</f>
        <v>Macro Economic Inflation</v>
      </c>
      <c r="D504" s="234">
        <f t="shared" si="221"/>
        <v>0</v>
      </c>
      <c r="E504" s="234" t="s">
        <v>379</v>
      </c>
      <c r="F504" s="234">
        <f>'F5 - Cost Pressures'!B223</f>
        <v>0</v>
      </c>
      <c r="AM504" s="233">
        <f>'F5 - Cost Pressures'!P37</f>
        <v>0</v>
      </c>
      <c r="AN504" s="233">
        <f>'F5 - Cost Pressures'!Q37</f>
        <v>0</v>
      </c>
    </row>
    <row r="505" spans="1:40">
      <c r="A505" s="234" t="str">
        <f>'Front Sheet and Checklist'!$C$5</f>
        <v>Swansea Bay UHB</v>
      </c>
      <c r="B505" s="234" t="s">
        <v>374</v>
      </c>
      <c r="C505" s="234" t="str">
        <f t="shared" ref="C505:D505" si="222">C443</f>
        <v>Macro Economic Inflation</v>
      </c>
      <c r="D505" s="234">
        <f t="shared" si="222"/>
        <v>0</v>
      </c>
      <c r="E505" s="234" t="s">
        <v>379</v>
      </c>
      <c r="F505" s="234">
        <f>'F5 - Cost Pressures'!B224</f>
        <v>0</v>
      </c>
      <c r="AM505" s="233">
        <f>'F5 - Cost Pressures'!P38</f>
        <v>0</v>
      </c>
      <c r="AN505" s="233">
        <f>'F5 - Cost Pressures'!Q38</f>
        <v>0</v>
      </c>
    </row>
    <row r="506" spans="1:40">
      <c r="A506" s="234" t="str">
        <f>'Front Sheet and Checklist'!$C$5</f>
        <v>Swansea Bay UHB</v>
      </c>
      <c r="B506" s="234" t="s">
        <v>374</v>
      </c>
      <c r="C506" s="234" t="str">
        <f t="shared" ref="C506:D506" si="223">C444</f>
        <v>Macro Economic Inflation</v>
      </c>
      <c r="D506" s="234">
        <f t="shared" si="223"/>
        <v>0</v>
      </c>
      <c r="E506" s="234" t="s">
        <v>379</v>
      </c>
      <c r="F506" s="234">
        <f>'F5 - Cost Pressures'!B225</f>
        <v>0</v>
      </c>
      <c r="AM506" s="233">
        <f>'F5 - Cost Pressures'!P39</f>
        <v>3000</v>
      </c>
      <c r="AN506" s="233">
        <f>'F5 - Cost Pressures'!Q39</f>
        <v>3000</v>
      </c>
    </row>
    <row r="507" spans="1:40">
      <c r="A507" s="234" t="str">
        <f>'Front Sheet and Checklist'!$C$5</f>
        <v>Swansea Bay UHB</v>
      </c>
      <c r="B507" s="234" t="s">
        <v>374</v>
      </c>
      <c r="C507" s="234" t="str">
        <f t="shared" ref="C507:D507" si="224">C445</f>
        <v>Macro Economic Inflation</v>
      </c>
      <c r="D507" s="234">
        <f t="shared" si="224"/>
        <v>0</v>
      </c>
      <c r="E507" s="234" t="s">
        <v>379</v>
      </c>
      <c r="F507" s="234">
        <f>'F5 - Cost Pressures'!B226</f>
        <v>0</v>
      </c>
      <c r="AM507" s="233">
        <f>'F5 - Cost Pressures'!P40</f>
        <v>4600</v>
      </c>
      <c r="AN507" s="233">
        <f>'F5 - Cost Pressures'!Q40</f>
        <v>4600</v>
      </c>
    </row>
    <row r="508" spans="1:40">
      <c r="A508" s="234" t="str">
        <f>'Front Sheet and Checklist'!$C$5</f>
        <v>Swansea Bay UHB</v>
      </c>
      <c r="B508" s="234" t="s">
        <v>374</v>
      </c>
      <c r="C508" s="234" t="str">
        <f t="shared" ref="C508:D508" si="225">C446</f>
        <v>Local Investment Decisions</v>
      </c>
      <c r="D508" s="234">
        <f t="shared" si="225"/>
        <v>0</v>
      </c>
      <c r="E508" s="234" t="s">
        <v>379</v>
      </c>
      <c r="F508" s="234">
        <f>'F5 - Cost Pressures'!B227</f>
        <v>0</v>
      </c>
      <c r="AM508" s="233">
        <f>'F5 - Cost Pressures'!P41</f>
        <v>0</v>
      </c>
      <c r="AN508" s="233">
        <f>'F5 - Cost Pressures'!Q41</f>
        <v>0</v>
      </c>
    </row>
    <row r="509" spans="1:40">
      <c r="A509" s="234" t="str">
        <f>'Front Sheet and Checklist'!$C$5</f>
        <v>Swansea Bay UHB</v>
      </c>
      <c r="B509" s="234" t="s">
        <v>374</v>
      </c>
      <c r="C509" s="234" t="str">
        <f t="shared" ref="C509:D509" si="226">C447</f>
        <v>Local Investment Decisions</v>
      </c>
      <c r="D509" s="234">
        <f t="shared" si="226"/>
        <v>0</v>
      </c>
      <c r="E509" s="234" t="s">
        <v>379</v>
      </c>
      <c r="F509" s="234">
        <f>'F5 - Cost Pressures'!B228</f>
        <v>0</v>
      </c>
      <c r="AM509" s="233">
        <f>'F5 - Cost Pressures'!P42</f>
        <v>0</v>
      </c>
      <c r="AN509" s="233">
        <f>'F5 - Cost Pressures'!Q42</f>
        <v>0</v>
      </c>
    </row>
    <row r="510" spans="1:40">
      <c r="A510" s="234" t="str">
        <f>'Front Sheet and Checklist'!$C$5</f>
        <v>Swansea Bay UHB</v>
      </c>
      <c r="B510" s="234" t="s">
        <v>374</v>
      </c>
      <c r="C510" s="234" t="str">
        <f t="shared" ref="C510:D510" si="227">C448</f>
        <v>Local Investment Decisions</v>
      </c>
      <c r="D510" s="234">
        <f t="shared" si="227"/>
        <v>0</v>
      </c>
      <c r="E510" s="234" t="s">
        <v>379</v>
      </c>
      <c r="F510" s="234">
        <f>'F5 - Cost Pressures'!B229</f>
        <v>0</v>
      </c>
      <c r="AM510" s="233">
        <f>'F5 - Cost Pressures'!P43</f>
        <v>0</v>
      </c>
      <c r="AN510" s="233">
        <f>'F5 - Cost Pressures'!Q43</f>
        <v>0</v>
      </c>
    </row>
    <row r="511" spans="1:40">
      <c r="A511" s="234" t="str">
        <f>'Front Sheet and Checklist'!$C$5</f>
        <v>Swansea Bay UHB</v>
      </c>
      <c r="B511" s="234" t="s">
        <v>374</v>
      </c>
      <c r="C511" s="234" t="str">
        <f t="shared" ref="C511:D511" si="228">C449</f>
        <v>Local Investment Decisions</v>
      </c>
      <c r="D511" s="234">
        <f t="shared" si="228"/>
        <v>0</v>
      </c>
      <c r="E511" s="234" t="s">
        <v>379</v>
      </c>
      <c r="F511" s="234">
        <f>'F5 - Cost Pressures'!B230</f>
        <v>0</v>
      </c>
      <c r="AM511" s="233">
        <f>'F5 - Cost Pressures'!P44</f>
        <v>0</v>
      </c>
      <c r="AN511" s="233">
        <f>'F5 - Cost Pressures'!Q44</f>
        <v>0</v>
      </c>
    </row>
    <row r="512" spans="1:40">
      <c r="A512" s="234" t="str">
        <f>'Front Sheet and Checklist'!$C$5</f>
        <v>Swansea Bay UHB</v>
      </c>
      <c r="B512" s="234" t="s">
        <v>374</v>
      </c>
      <c r="C512" s="234" t="str">
        <f t="shared" ref="C512:D512" si="229">C450</f>
        <v>Local Investment Decisions</v>
      </c>
      <c r="D512" s="234">
        <f t="shared" si="229"/>
        <v>0</v>
      </c>
      <c r="E512" s="234" t="s">
        <v>379</v>
      </c>
      <c r="F512" s="234">
        <f>'F5 - Cost Pressures'!B231</f>
        <v>0</v>
      </c>
      <c r="AM512" s="233">
        <f>'F5 - Cost Pressures'!P45</f>
        <v>0</v>
      </c>
      <c r="AN512" s="233">
        <f>'F5 - Cost Pressures'!Q45</f>
        <v>0</v>
      </c>
    </row>
    <row r="513" spans="1:40">
      <c r="A513" s="234" t="str">
        <f>'Front Sheet and Checklist'!$C$5</f>
        <v>Swansea Bay UHB</v>
      </c>
      <c r="B513" s="234" t="s">
        <v>374</v>
      </c>
      <c r="C513" s="234" t="str">
        <f t="shared" ref="C513:D513" si="230">C451</f>
        <v>Local Investment Decisions</v>
      </c>
      <c r="D513" s="234">
        <f t="shared" si="230"/>
        <v>0</v>
      </c>
      <c r="E513" s="234" t="s">
        <v>379</v>
      </c>
      <c r="F513" s="234">
        <f>'F5 - Cost Pressures'!B232</f>
        <v>0</v>
      </c>
      <c r="AM513" s="233">
        <f>'F5 - Cost Pressures'!P46</f>
        <v>0</v>
      </c>
      <c r="AN513" s="233">
        <f>'F5 - Cost Pressures'!Q46</f>
        <v>0</v>
      </c>
    </row>
    <row r="514" spans="1:40">
      <c r="A514" s="234" t="str">
        <f>'Front Sheet and Checklist'!$C$5</f>
        <v>Swansea Bay UHB</v>
      </c>
      <c r="B514" s="234" t="s">
        <v>374</v>
      </c>
      <c r="C514" s="234" t="str">
        <f t="shared" ref="C514:D514" si="231">C452</f>
        <v>Local Investment Decisions</v>
      </c>
      <c r="D514" s="234">
        <f t="shared" si="231"/>
        <v>0</v>
      </c>
      <c r="E514" s="234" t="s">
        <v>379</v>
      </c>
      <c r="F514" s="234">
        <f>'F5 - Cost Pressures'!B233</f>
        <v>0</v>
      </c>
      <c r="AM514" s="233">
        <f>'F5 - Cost Pressures'!P47</f>
        <v>0</v>
      </c>
      <c r="AN514" s="233">
        <f>'F5 - Cost Pressures'!Q47</f>
        <v>0</v>
      </c>
    </row>
    <row r="515" spans="1:40">
      <c r="A515" s="234" t="str">
        <f>'Front Sheet and Checklist'!$C$5</f>
        <v>Swansea Bay UHB</v>
      </c>
      <c r="B515" s="234" t="s">
        <v>374</v>
      </c>
      <c r="C515" s="234" t="str">
        <f t="shared" ref="C515:D515" si="232">C453</f>
        <v>Local Investment Decisions</v>
      </c>
      <c r="D515" s="234">
        <f t="shared" si="232"/>
        <v>0</v>
      </c>
      <c r="E515" s="234" t="s">
        <v>379</v>
      </c>
      <c r="F515" s="234">
        <f>'F5 - Cost Pressures'!B234</f>
        <v>0</v>
      </c>
      <c r="AM515" s="233">
        <f>'F5 - Cost Pressures'!P48</f>
        <v>0</v>
      </c>
      <c r="AN515" s="233">
        <f>'F5 - Cost Pressures'!Q48</f>
        <v>0</v>
      </c>
    </row>
    <row r="516" spans="1:40">
      <c r="A516" s="234" t="str">
        <f>'Front Sheet and Checklist'!$C$5</f>
        <v>Swansea Bay UHB</v>
      </c>
      <c r="B516" s="234" t="s">
        <v>374</v>
      </c>
      <c r="C516" s="234" t="str">
        <f t="shared" ref="C516:D516" si="233">C454</f>
        <v>Local Investment Decisions</v>
      </c>
      <c r="D516" s="234">
        <f t="shared" si="233"/>
        <v>0</v>
      </c>
      <c r="E516" s="234" t="s">
        <v>379</v>
      </c>
      <c r="F516" s="234">
        <f>'F5 - Cost Pressures'!B235</f>
        <v>0</v>
      </c>
      <c r="AM516" s="233">
        <f>'F5 - Cost Pressures'!P49</f>
        <v>0</v>
      </c>
      <c r="AN516" s="233">
        <f>'F5 - Cost Pressures'!Q49</f>
        <v>0</v>
      </c>
    </row>
    <row r="517" spans="1:40">
      <c r="A517" s="234" t="str">
        <f>'Front Sheet and Checklist'!$C$5</f>
        <v>Swansea Bay UHB</v>
      </c>
      <c r="B517" s="234" t="s">
        <v>374</v>
      </c>
      <c r="C517" s="234" t="str">
        <f t="shared" ref="C517:D517" si="234">C455</f>
        <v>Local Investment Decisions</v>
      </c>
      <c r="D517" s="234">
        <f t="shared" si="234"/>
        <v>0</v>
      </c>
      <c r="E517" s="234" t="s">
        <v>379</v>
      </c>
      <c r="F517" s="234">
        <f>'F5 - Cost Pressures'!B236</f>
        <v>0</v>
      </c>
      <c r="AM517" s="233">
        <f>'F5 - Cost Pressures'!P50</f>
        <v>0</v>
      </c>
      <c r="AN517" s="233">
        <f>'F5 - Cost Pressures'!Q50</f>
        <v>0</v>
      </c>
    </row>
    <row r="518" spans="1:40">
      <c r="A518" s="234" t="str">
        <f>'Front Sheet and Checklist'!$C$5</f>
        <v>Swansea Bay UHB</v>
      </c>
      <c r="B518" s="234" t="s">
        <v>374</v>
      </c>
      <c r="C518" s="234" t="str">
        <f t="shared" ref="C518:D518" si="235">C456</f>
        <v>Contractual or unavoidable</v>
      </c>
      <c r="D518" s="234">
        <f t="shared" si="235"/>
        <v>0</v>
      </c>
      <c r="E518" s="234" t="s">
        <v>379</v>
      </c>
      <c r="F518" s="234">
        <f>'F5 - Cost Pressures'!B237</f>
        <v>0</v>
      </c>
      <c r="AM518" s="233">
        <f>'F5 - Cost Pressures'!P51</f>
        <v>0</v>
      </c>
      <c r="AN518" s="233">
        <f>'F5 - Cost Pressures'!Q51</f>
        <v>0</v>
      </c>
    </row>
    <row r="519" spans="1:40">
      <c r="A519" s="234" t="str">
        <f>'Front Sheet and Checklist'!$C$5</f>
        <v>Swansea Bay UHB</v>
      </c>
      <c r="B519" s="234" t="s">
        <v>374</v>
      </c>
      <c r="C519" s="234">
        <f t="shared" ref="C519:D519" si="236">C457</f>
        <v>0</v>
      </c>
      <c r="D519" s="234">
        <f t="shared" si="236"/>
        <v>0</v>
      </c>
      <c r="E519" s="234" t="s">
        <v>379</v>
      </c>
      <c r="F519" s="234">
        <f>'F5 - Cost Pressures'!B238</f>
        <v>0</v>
      </c>
      <c r="AM519" s="233">
        <f>'F5 - Cost Pressures'!P52</f>
        <v>0</v>
      </c>
      <c r="AN519" s="233">
        <f>'F5 - Cost Pressures'!Q52</f>
        <v>0</v>
      </c>
    </row>
    <row r="520" spans="1:40">
      <c r="A520" s="234" t="str">
        <f>'Front Sheet and Checklist'!$C$5</f>
        <v>Swansea Bay UHB</v>
      </c>
      <c r="B520" s="234" t="s">
        <v>374</v>
      </c>
      <c r="C520" s="234">
        <f t="shared" ref="C520:D520" si="237">C458</f>
        <v>0</v>
      </c>
      <c r="D520" s="234">
        <f t="shared" si="237"/>
        <v>0</v>
      </c>
      <c r="E520" s="234" t="s">
        <v>379</v>
      </c>
      <c r="F520" s="234">
        <f>'F5 - Cost Pressures'!B239</f>
        <v>0</v>
      </c>
      <c r="AM520" s="233">
        <f>'F5 - Cost Pressures'!P53</f>
        <v>0</v>
      </c>
      <c r="AN520" s="233">
        <f>'F5 - Cost Pressures'!Q53</f>
        <v>0</v>
      </c>
    </row>
    <row r="521" spans="1:40">
      <c r="A521" s="234" t="str">
        <f>'Front Sheet and Checklist'!$C$5</f>
        <v>Swansea Bay UHB</v>
      </c>
      <c r="B521" s="234" t="s">
        <v>374</v>
      </c>
      <c r="C521" s="234">
        <f t="shared" ref="C521:D521" si="238">C459</f>
        <v>0</v>
      </c>
      <c r="D521" s="234">
        <f t="shared" si="238"/>
        <v>0</v>
      </c>
      <c r="E521" s="234" t="s">
        <v>379</v>
      </c>
      <c r="F521" s="234">
        <f>'F5 - Cost Pressures'!B240</f>
        <v>0</v>
      </c>
      <c r="AM521" s="233">
        <f>'F5 - Cost Pressures'!P54</f>
        <v>0</v>
      </c>
      <c r="AN521" s="233">
        <f>'F5 - Cost Pressures'!Q54</f>
        <v>0</v>
      </c>
    </row>
    <row r="522" spans="1:40">
      <c r="A522" s="234" t="str">
        <f>'Front Sheet and Checklist'!$C$5</f>
        <v>Swansea Bay UHB</v>
      </c>
      <c r="B522" s="234" t="s">
        <v>374</v>
      </c>
      <c r="C522" s="234">
        <f t="shared" ref="C522:D522" si="239">C460</f>
        <v>0</v>
      </c>
      <c r="D522" s="234">
        <f t="shared" si="239"/>
        <v>0</v>
      </c>
      <c r="E522" s="234" t="s">
        <v>379</v>
      </c>
      <c r="F522" s="234">
        <f>'F5 - Cost Pressures'!B241</f>
        <v>0</v>
      </c>
      <c r="AM522" s="233">
        <f>'F5 - Cost Pressures'!P55</f>
        <v>0</v>
      </c>
      <c r="AN522" s="233">
        <f>'F5 - Cost Pressures'!Q55</f>
        <v>0</v>
      </c>
    </row>
    <row r="523" spans="1:40">
      <c r="A523" s="234" t="str">
        <f>'Front Sheet and Checklist'!$C$5</f>
        <v>Swansea Bay UHB</v>
      </c>
      <c r="B523" s="234" t="s">
        <v>374</v>
      </c>
      <c r="C523" s="234">
        <f t="shared" ref="C523:D523" si="240">C461</f>
        <v>0</v>
      </c>
      <c r="D523" s="234">
        <f t="shared" si="240"/>
        <v>0</v>
      </c>
      <c r="E523" s="234" t="s">
        <v>379</v>
      </c>
      <c r="F523" s="234">
        <f>'F5 - Cost Pressures'!B242</f>
        <v>0</v>
      </c>
      <c r="AM523" s="233">
        <f>'F5 - Cost Pressures'!P56</f>
        <v>0</v>
      </c>
      <c r="AN523" s="233">
        <f>'F5 - Cost Pressures'!Q56</f>
        <v>0</v>
      </c>
    </row>
    <row r="524" spans="1:40">
      <c r="A524" s="234" t="str">
        <f>'Front Sheet and Checklist'!$C$5</f>
        <v>Swansea Bay UHB</v>
      </c>
      <c r="B524" s="234" t="s">
        <v>374</v>
      </c>
      <c r="C524" s="234">
        <f t="shared" ref="C524:D524" si="241">C462</f>
        <v>0</v>
      </c>
      <c r="D524" s="234">
        <f t="shared" si="241"/>
        <v>0</v>
      </c>
      <c r="E524" s="234" t="s">
        <v>379</v>
      </c>
      <c r="F524" s="234">
        <f>'F5 - Cost Pressures'!B243</f>
        <v>0</v>
      </c>
      <c r="AM524" s="233">
        <f>'F5 - Cost Pressures'!P57</f>
        <v>0</v>
      </c>
      <c r="AN524" s="233">
        <f>'F5 - Cost Pressures'!Q57</f>
        <v>0</v>
      </c>
    </row>
    <row r="525" spans="1:40">
      <c r="A525" s="234" t="str">
        <f>'Front Sheet and Checklist'!$C$5</f>
        <v>Swansea Bay UHB</v>
      </c>
      <c r="B525" s="234" t="s">
        <v>374</v>
      </c>
      <c r="C525" s="234">
        <f t="shared" ref="C525:D525" si="242">C463</f>
        <v>0</v>
      </c>
      <c r="D525" s="234">
        <f t="shared" si="242"/>
        <v>0</v>
      </c>
      <c r="E525" s="234" t="s">
        <v>379</v>
      </c>
      <c r="F525" s="234">
        <f>'F5 - Cost Pressures'!B244</f>
        <v>0</v>
      </c>
      <c r="AM525" s="233">
        <f>'F5 - Cost Pressures'!P58</f>
        <v>0</v>
      </c>
      <c r="AN525" s="233">
        <f>'F5 - Cost Pressures'!Q58</f>
        <v>0</v>
      </c>
    </row>
    <row r="526" spans="1:40">
      <c r="A526" s="234" t="str">
        <f>'Front Sheet and Checklist'!$C$5</f>
        <v>Swansea Bay UHB</v>
      </c>
      <c r="B526" s="234" t="s">
        <v>374</v>
      </c>
      <c r="C526" s="234">
        <f t="shared" ref="C526:D526" si="243">C464</f>
        <v>0</v>
      </c>
      <c r="D526" s="234">
        <f t="shared" si="243"/>
        <v>0</v>
      </c>
      <c r="E526" s="234" t="s">
        <v>379</v>
      </c>
      <c r="F526" s="234">
        <f>'F5 - Cost Pressures'!B245</f>
        <v>0</v>
      </c>
      <c r="AM526" s="233">
        <f>'F5 - Cost Pressures'!P59</f>
        <v>0</v>
      </c>
      <c r="AN526" s="233">
        <f>'F5 - Cost Pressures'!Q59</f>
        <v>0</v>
      </c>
    </row>
    <row r="527" spans="1:40">
      <c r="A527" s="234" t="str">
        <f>'Front Sheet and Checklist'!$C$5</f>
        <v>Swansea Bay UHB</v>
      </c>
      <c r="B527" s="234" t="s">
        <v>374</v>
      </c>
      <c r="C527" s="234">
        <f t="shared" ref="C527:D527" si="244">C465</f>
        <v>0</v>
      </c>
      <c r="D527" s="234">
        <f t="shared" si="244"/>
        <v>0</v>
      </c>
      <c r="E527" s="234" t="s">
        <v>379</v>
      </c>
      <c r="F527" s="234">
        <f>'F5 - Cost Pressures'!B246</f>
        <v>0</v>
      </c>
      <c r="AM527" s="233">
        <f>'F5 - Cost Pressures'!P60</f>
        <v>0</v>
      </c>
      <c r="AN527" s="233">
        <f>'F5 - Cost Pressures'!Q60</f>
        <v>0</v>
      </c>
    </row>
    <row r="528" spans="1:40">
      <c r="A528" s="234" t="str">
        <f>'Front Sheet and Checklist'!$C$5</f>
        <v>Swansea Bay UHB</v>
      </c>
      <c r="B528" s="234" t="s">
        <v>374</v>
      </c>
      <c r="C528" s="234">
        <f t="shared" ref="C528:D528" si="245">C466</f>
        <v>0</v>
      </c>
      <c r="D528" s="234">
        <f t="shared" si="245"/>
        <v>0</v>
      </c>
      <c r="E528" s="234" t="s">
        <v>379</v>
      </c>
      <c r="F528" s="234">
        <f>'F5 - Cost Pressures'!B247</f>
        <v>0</v>
      </c>
      <c r="AM528" s="233">
        <f>'F5 - Cost Pressures'!P61</f>
        <v>0</v>
      </c>
      <c r="AN528" s="233">
        <f>'F5 - Cost Pressures'!Q61</f>
        <v>0</v>
      </c>
    </row>
    <row r="529" spans="1:40">
      <c r="A529" s="234" t="str">
        <f>'Front Sheet and Checklist'!$C$5</f>
        <v>Swansea Bay UHB</v>
      </c>
      <c r="B529" s="234" t="s">
        <v>374</v>
      </c>
      <c r="C529" s="234">
        <f t="shared" ref="C529:D529" si="246">C467</f>
        <v>0</v>
      </c>
      <c r="D529" s="234">
        <f t="shared" si="246"/>
        <v>0</v>
      </c>
      <c r="E529" s="234" t="s">
        <v>379</v>
      </c>
      <c r="F529" s="234">
        <f>'F5 - Cost Pressures'!B248</f>
        <v>0</v>
      </c>
      <c r="AM529" s="233">
        <f>'F5 - Cost Pressures'!P62</f>
        <v>0</v>
      </c>
      <c r="AN529" s="233">
        <f>'F5 - Cost Pressures'!Q62</f>
        <v>0</v>
      </c>
    </row>
    <row r="530" spans="1:40">
      <c r="A530" s="234" t="str">
        <f>'Front Sheet and Checklist'!$C$5</f>
        <v>Swansea Bay UHB</v>
      </c>
      <c r="B530" s="234" t="s">
        <v>374</v>
      </c>
      <c r="C530" s="234">
        <f t="shared" ref="C530:D530" si="247">C468</f>
        <v>0</v>
      </c>
      <c r="D530" s="234">
        <f t="shared" si="247"/>
        <v>0</v>
      </c>
      <c r="E530" s="234" t="s">
        <v>379</v>
      </c>
      <c r="F530" s="234">
        <f>'F5 - Cost Pressures'!B249</f>
        <v>0</v>
      </c>
      <c r="AM530" s="233">
        <f>'F5 - Cost Pressures'!P63</f>
        <v>0</v>
      </c>
      <c r="AN530" s="233">
        <f>'F5 - Cost Pressures'!Q63</f>
        <v>0</v>
      </c>
    </row>
    <row r="531" spans="1:40">
      <c r="A531" s="234" t="str">
        <f>'Front Sheet and Checklist'!$C$5</f>
        <v>Swansea Bay UHB</v>
      </c>
      <c r="B531" s="234" t="s">
        <v>374</v>
      </c>
      <c r="C531" s="234">
        <f t="shared" ref="C531:D531" si="248">C469</f>
        <v>0</v>
      </c>
      <c r="D531" s="234">
        <f t="shared" si="248"/>
        <v>0</v>
      </c>
      <c r="E531" s="234" t="s">
        <v>379</v>
      </c>
      <c r="F531" s="234">
        <f>'F5 - Cost Pressures'!B250</f>
        <v>0</v>
      </c>
      <c r="AM531" s="233">
        <f>'F5 - Cost Pressures'!P64</f>
        <v>0</v>
      </c>
      <c r="AN531" s="233">
        <f>'F5 - Cost Pressures'!Q64</f>
        <v>0</v>
      </c>
    </row>
    <row r="532" spans="1:40">
      <c r="A532" s="234" t="str">
        <f>'Front Sheet and Checklist'!$C$5</f>
        <v>Swansea Bay UHB</v>
      </c>
      <c r="B532" s="234" t="s">
        <v>374</v>
      </c>
      <c r="C532" s="234">
        <f t="shared" ref="C532:D532" si="249">C470</f>
        <v>0</v>
      </c>
      <c r="D532" s="234">
        <f t="shared" si="249"/>
        <v>0</v>
      </c>
      <c r="E532" s="234" t="s">
        <v>379</v>
      </c>
      <c r="F532" s="234">
        <f>'F5 - Cost Pressures'!B251</f>
        <v>0</v>
      </c>
      <c r="AM532" s="233">
        <f>'F5 - Cost Pressures'!P65</f>
        <v>18379</v>
      </c>
      <c r="AN532" s="233">
        <f>'F5 - Cost Pressures'!Q65</f>
        <v>18379</v>
      </c>
    </row>
    <row r="533" spans="1:40">
      <c r="A533" s="234" t="str">
        <f>'Front Sheet and Checklist'!$C$5</f>
        <v>Swansea Bay UHB</v>
      </c>
      <c r="B533" s="234" t="s">
        <v>374</v>
      </c>
      <c r="C533" s="234" t="str">
        <f t="shared" ref="C533:D533" si="250">C471</f>
        <v>Macro Economic Inflation</v>
      </c>
      <c r="D533" s="234" t="str">
        <f t="shared" si="250"/>
        <v>7. Non Clinical Support</v>
      </c>
      <c r="E533" s="234" t="s">
        <v>380</v>
      </c>
      <c r="F533" s="234">
        <f>'F5 - Cost Pressures'!B252</f>
        <v>0</v>
      </c>
      <c r="AM533" s="233">
        <f>'F5 - Cost Pressures'!R4</f>
        <v>0</v>
      </c>
      <c r="AN533" s="233">
        <f>'F5 - Cost Pressures'!S4</f>
        <v>0</v>
      </c>
    </row>
    <row r="534" spans="1:40">
      <c r="A534" s="234" t="str">
        <f>'Front Sheet and Checklist'!$C$5</f>
        <v>Swansea Bay UHB</v>
      </c>
      <c r="B534" s="234" t="s">
        <v>374</v>
      </c>
      <c r="C534" s="234" t="str">
        <f t="shared" ref="C534:D534" si="251">C472</f>
        <v>Macro Economic Inflation</v>
      </c>
      <c r="D534" s="234" t="str">
        <f t="shared" si="251"/>
        <v>8. Across Service Areas</v>
      </c>
      <c r="E534" s="234" t="s">
        <v>380</v>
      </c>
      <c r="F534" s="234">
        <f>'F5 - Cost Pressures'!B253</f>
        <v>0</v>
      </c>
      <c r="AM534" s="233">
        <f>'F5 - Cost Pressures'!R5</f>
        <v>0</v>
      </c>
      <c r="AN534" s="233">
        <f>'F5 - Cost Pressures'!S5</f>
        <v>0</v>
      </c>
    </row>
    <row r="535" spans="1:40">
      <c r="A535" s="234" t="str">
        <f>'Front Sheet and Checklist'!$C$5</f>
        <v>Swansea Bay UHB</v>
      </c>
      <c r="B535" s="234" t="s">
        <v>374</v>
      </c>
      <c r="C535" s="234" t="str">
        <f t="shared" ref="C535:D535" si="252">C473</f>
        <v>National Investment Decisions</v>
      </c>
      <c r="D535" s="234" t="str">
        <f t="shared" si="252"/>
        <v>1. Secondary Care (In-house) - General</v>
      </c>
      <c r="E535" s="234" t="s">
        <v>380</v>
      </c>
      <c r="F535" s="234">
        <f>'F5 - Cost Pressures'!B254</f>
        <v>0</v>
      </c>
      <c r="AM535" s="233">
        <f>'F5 - Cost Pressures'!R6</f>
        <v>0</v>
      </c>
      <c r="AN535" s="233">
        <f>'F5 - Cost Pressures'!S6</f>
        <v>0</v>
      </c>
    </row>
    <row r="536" spans="1:40">
      <c r="A536" s="234" t="str">
        <f>'Front Sheet and Checklist'!$C$5</f>
        <v>Swansea Bay UHB</v>
      </c>
      <c r="B536" s="234" t="s">
        <v>374</v>
      </c>
      <c r="C536" s="234" t="str">
        <f t="shared" ref="C536:D536" si="253">C474</f>
        <v>National Investment Decisions</v>
      </c>
      <c r="D536" s="234" t="str">
        <f t="shared" si="253"/>
        <v>4. Commissioned Activity (inc. CHC)</v>
      </c>
      <c r="E536" s="234" t="s">
        <v>380</v>
      </c>
      <c r="F536" s="234">
        <f>'F5 - Cost Pressures'!B255</f>
        <v>0</v>
      </c>
      <c r="AM536" s="233">
        <f>'F5 - Cost Pressures'!R7</f>
        <v>0</v>
      </c>
      <c r="AN536" s="233">
        <f>'F5 - Cost Pressures'!S7</f>
        <v>0</v>
      </c>
    </row>
    <row r="537" spans="1:40">
      <c r="A537" s="234" t="str">
        <f>'Front Sheet and Checklist'!$C$5</f>
        <v>Swansea Bay UHB</v>
      </c>
      <c r="B537" s="234" t="s">
        <v>374</v>
      </c>
      <c r="C537" s="234" t="str">
        <f t="shared" ref="C537:D537" si="254">C475</f>
        <v>National Investment Decisions</v>
      </c>
      <c r="D537" s="234" t="str">
        <f t="shared" si="254"/>
        <v>3. Community Care</v>
      </c>
      <c r="E537" s="234" t="s">
        <v>380</v>
      </c>
      <c r="F537" s="234">
        <f>'F5 - Cost Pressures'!B256</f>
        <v>0</v>
      </c>
      <c r="AM537" s="233">
        <f>'F5 - Cost Pressures'!R8</f>
        <v>0</v>
      </c>
      <c r="AN537" s="233">
        <f>'F5 - Cost Pressures'!S8</f>
        <v>0</v>
      </c>
    </row>
    <row r="538" spans="1:40">
      <c r="A538" s="234" t="str">
        <f>'Front Sheet and Checklist'!$C$5</f>
        <v>Swansea Bay UHB</v>
      </c>
      <c r="B538" s="234" t="s">
        <v>374</v>
      </c>
      <c r="C538" s="234" t="str">
        <f t="shared" ref="C538:D538" si="255">C476</f>
        <v>National Investment Decisions</v>
      </c>
      <c r="D538" s="234" t="str">
        <f t="shared" si="255"/>
        <v>3. Community Care</v>
      </c>
      <c r="E538" s="234" t="s">
        <v>380</v>
      </c>
      <c r="F538" s="234">
        <f>'F5 - Cost Pressures'!B257</f>
        <v>0</v>
      </c>
      <c r="AM538" s="233">
        <f>'F5 - Cost Pressures'!R9</f>
        <v>0</v>
      </c>
      <c r="AN538" s="233">
        <f>'F5 - Cost Pressures'!S9</f>
        <v>0</v>
      </c>
    </row>
    <row r="539" spans="1:40">
      <c r="A539" s="234" t="str">
        <f>'Front Sheet and Checklist'!$C$5</f>
        <v>Swansea Bay UHB</v>
      </c>
      <c r="B539" s="234" t="s">
        <v>374</v>
      </c>
      <c r="C539" s="234" t="str">
        <f t="shared" ref="C539:D539" si="256">C477</f>
        <v>National Investment Decisions</v>
      </c>
      <c r="D539" s="234" t="str">
        <f t="shared" si="256"/>
        <v>4. Commissioned Activity (inc. CHC)</v>
      </c>
      <c r="E539" s="234" t="s">
        <v>380</v>
      </c>
      <c r="F539" s="234">
        <f>'F5 - Cost Pressures'!B258</f>
        <v>0</v>
      </c>
      <c r="AM539" s="233">
        <f>'F5 - Cost Pressures'!R10</f>
        <v>0</v>
      </c>
      <c r="AN539" s="233">
        <f>'F5 - Cost Pressures'!S10</f>
        <v>0</v>
      </c>
    </row>
    <row r="540" spans="1:40">
      <c r="A540" s="234" t="str">
        <f>'Front Sheet and Checklist'!$C$5</f>
        <v>Swansea Bay UHB</v>
      </c>
      <c r="B540" s="234" t="s">
        <v>374</v>
      </c>
      <c r="C540" s="234" t="str">
        <f t="shared" ref="C540:D540" si="257">C478</f>
        <v>National Investment Decisions</v>
      </c>
      <c r="D540" s="234">
        <f t="shared" si="257"/>
        <v>0</v>
      </c>
      <c r="E540" s="234" t="s">
        <v>380</v>
      </c>
      <c r="F540" s="234">
        <f>'F5 - Cost Pressures'!B259</f>
        <v>0</v>
      </c>
      <c r="AM540" s="233">
        <f>'F5 - Cost Pressures'!R11</f>
        <v>0</v>
      </c>
      <c r="AN540" s="233">
        <f>'F5 - Cost Pressures'!S11</f>
        <v>0</v>
      </c>
    </row>
    <row r="541" spans="1:40">
      <c r="A541" s="234" t="str">
        <f>'Front Sheet and Checklist'!$C$5</f>
        <v>Swansea Bay UHB</v>
      </c>
      <c r="B541" s="234" t="s">
        <v>374</v>
      </c>
      <c r="C541" s="234" t="str">
        <f t="shared" ref="C541:D541" si="258">C479</f>
        <v>National Investment Decisions</v>
      </c>
      <c r="D541" s="234">
        <f t="shared" si="258"/>
        <v>0</v>
      </c>
      <c r="E541" s="234" t="s">
        <v>380</v>
      </c>
      <c r="F541" s="234">
        <f>'F5 - Cost Pressures'!B260</f>
        <v>0</v>
      </c>
      <c r="AM541" s="233">
        <f>'F5 - Cost Pressures'!R12</f>
        <v>0</v>
      </c>
      <c r="AN541" s="233">
        <f>'F5 - Cost Pressures'!S12</f>
        <v>0</v>
      </c>
    </row>
    <row r="542" spans="1:40">
      <c r="A542" s="234" t="str">
        <f>'Front Sheet and Checklist'!$C$5</f>
        <v>Swansea Bay UHB</v>
      </c>
      <c r="B542" s="234" t="s">
        <v>374</v>
      </c>
      <c r="C542" s="234" t="str">
        <f t="shared" ref="C542:D542" si="259">C480</f>
        <v>National Investment Decisions</v>
      </c>
      <c r="D542" s="234">
        <f t="shared" si="259"/>
        <v>0</v>
      </c>
      <c r="E542" s="234" t="s">
        <v>380</v>
      </c>
      <c r="F542" s="234">
        <f>'F5 - Cost Pressures'!B261</f>
        <v>0</v>
      </c>
      <c r="AM542" s="233">
        <f>'F5 - Cost Pressures'!R13</f>
        <v>0</v>
      </c>
      <c r="AN542" s="233">
        <f>'F5 - Cost Pressures'!S13</f>
        <v>0</v>
      </c>
    </row>
    <row r="543" spans="1:40">
      <c r="A543" s="234" t="str">
        <f>'Front Sheet and Checklist'!$C$5</f>
        <v>Swansea Bay UHB</v>
      </c>
      <c r="B543" s="234" t="s">
        <v>374</v>
      </c>
      <c r="C543" s="234" t="str">
        <f t="shared" ref="C543:D543" si="260">C481</f>
        <v>National Investment Decisions</v>
      </c>
      <c r="D543" s="234">
        <f t="shared" si="260"/>
        <v>0</v>
      </c>
      <c r="E543" s="234" t="s">
        <v>380</v>
      </c>
      <c r="F543" s="234">
        <f>'F5 - Cost Pressures'!B262</f>
        <v>0</v>
      </c>
      <c r="AM543" s="233">
        <f>'F5 - Cost Pressures'!R14</f>
        <v>0</v>
      </c>
      <c r="AN543" s="233">
        <f>'F5 - Cost Pressures'!S14</f>
        <v>0</v>
      </c>
    </row>
    <row r="544" spans="1:40">
      <c r="A544" s="234" t="str">
        <f>'Front Sheet and Checklist'!$C$5</f>
        <v>Swansea Bay UHB</v>
      </c>
      <c r="B544" s="234" t="s">
        <v>374</v>
      </c>
      <c r="C544" s="234" t="str">
        <f t="shared" ref="C544:D544" si="261">C482</f>
        <v>National Investment Decisions</v>
      </c>
      <c r="D544" s="234">
        <f t="shared" si="261"/>
        <v>0</v>
      </c>
      <c r="E544" s="234" t="s">
        <v>380</v>
      </c>
      <c r="F544" s="234">
        <f>'F5 - Cost Pressures'!B263</f>
        <v>0</v>
      </c>
      <c r="AM544" s="233">
        <f>'F5 - Cost Pressures'!R15</f>
        <v>0</v>
      </c>
      <c r="AN544" s="233">
        <f>'F5 - Cost Pressures'!S15</f>
        <v>0</v>
      </c>
    </row>
    <row r="545" spans="1:40">
      <c r="A545" s="234" t="str">
        <f>'Front Sheet and Checklist'!$C$5</f>
        <v>Swansea Bay UHB</v>
      </c>
      <c r="B545" s="234" t="s">
        <v>374</v>
      </c>
      <c r="C545" s="234" t="str">
        <f t="shared" ref="C545:D545" si="262">C483</f>
        <v>National Investment Decisions</v>
      </c>
      <c r="D545" s="234">
        <f t="shared" si="262"/>
        <v>0</v>
      </c>
      <c r="E545" s="234" t="s">
        <v>380</v>
      </c>
      <c r="F545" s="234">
        <f>'F5 - Cost Pressures'!B264</f>
        <v>0</v>
      </c>
      <c r="AM545" s="233">
        <f>'F5 - Cost Pressures'!R16</f>
        <v>0</v>
      </c>
      <c r="AN545" s="233">
        <f>'F5 - Cost Pressures'!S16</f>
        <v>0</v>
      </c>
    </row>
    <row r="546" spans="1:40">
      <c r="A546" s="234" t="str">
        <f>'Front Sheet and Checklist'!$C$5</f>
        <v>Swansea Bay UHB</v>
      </c>
      <c r="B546" s="234" t="s">
        <v>374</v>
      </c>
      <c r="C546" s="234" t="str">
        <f t="shared" ref="C546:D546" si="263">C484</f>
        <v>National Investment Decisions</v>
      </c>
      <c r="D546" s="234">
        <f t="shared" si="263"/>
        <v>0</v>
      </c>
      <c r="E546" s="234" t="s">
        <v>380</v>
      </c>
      <c r="F546" s="234">
        <f>'F5 - Cost Pressures'!B265</f>
        <v>0</v>
      </c>
      <c r="AM546" s="233">
        <f>'F5 - Cost Pressures'!R17</f>
        <v>0</v>
      </c>
      <c r="AN546" s="233">
        <f>'F5 - Cost Pressures'!S17</f>
        <v>0</v>
      </c>
    </row>
    <row r="547" spans="1:40">
      <c r="A547" s="234" t="str">
        <f>'Front Sheet and Checklist'!$C$5</f>
        <v>Swansea Bay UHB</v>
      </c>
      <c r="B547" s="234" t="s">
        <v>374</v>
      </c>
      <c r="C547" s="234" t="str">
        <f t="shared" ref="C547:D547" si="264">C485</f>
        <v>National Investment Decisions</v>
      </c>
      <c r="D547" s="234">
        <f t="shared" si="264"/>
        <v>0</v>
      </c>
      <c r="E547" s="234" t="s">
        <v>380</v>
      </c>
      <c r="F547" s="234">
        <f>'F5 - Cost Pressures'!B266</f>
        <v>0</v>
      </c>
      <c r="AM547" s="233">
        <f>'F5 - Cost Pressures'!R18</f>
        <v>0</v>
      </c>
      <c r="AN547" s="233">
        <f>'F5 - Cost Pressures'!S18</f>
        <v>0</v>
      </c>
    </row>
    <row r="548" spans="1:40">
      <c r="A548" s="234" t="str">
        <f>'Front Sheet and Checklist'!$C$5</f>
        <v>Swansea Bay UHB</v>
      </c>
      <c r="B548" s="234" t="s">
        <v>374</v>
      </c>
      <c r="C548" s="234" t="str">
        <f t="shared" ref="C548:D548" si="265">C486</f>
        <v>National Investment Decisions</v>
      </c>
      <c r="D548" s="234">
        <f t="shared" si="265"/>
        <v>0</v>
      </c>
      <c r="E548" s="234" t="s">
        <v>380</v>
      </c>
      <c r="F548" s="234">
        <f>'F5 - Cost Pressures'!B267</f>
        <v>0</v>
      </c>
      <c r="AM548" s="233">
        <f>'F5 - Cost Pressures'!R19</f>
        <v>0</v>
      </c>
      <c r="AN548" s="233">
        <f>'F5 - Cost Pressures'!S19</f>
        <v>0</v>
      </c>
    </row>
    <row r="549" spans="1:40">
      <c r="A549" s="234" t="str">
        <f>'Front Sheet and Checklist'!$C$5</f>
        <v>Swansea Bay UHB</v>
      </c>
      <c r="B549" s="234" t="s">
        <v>374</v>
      </c>
      <c r="C549" s="234" t="str">
        <f t="shared" ref="C549:D549" si="266">C487</f>
        <v>Macro Economic Inflation</v>
      </c>
      <c r="D549" s="234">
        <f t="shared" si="266"/>
        <v>0</v>
      </c>
      <c r="E549" s="234" t="s">
        <v>380</v>
      </c>
      <c r="F549" s="234">
        <f>'F5 - Cost Pressures'!B268</f>
        <v>0</v>
      </c>
      <c r="AM549" s="233">
        <f>'F5 - Cost Pressures'!R20</f>
        <v>0</v>
      </c>
      <c r="AN549" s="233">
        <f>'F5 - Cost Pressures'!S20</f>
        <v>0</v>
      </c>
    </row>
    <row r="550" spans="1:40">
      <c r="A550" s="234" t="str">
        <f>'Front Sheet and Checklist'!$C$5</f>
        <v>Swansea Bay UHB</v>
      </c>
      <c r="B550" s="234" t="s">
        <v>374</v>
      </c>
      <c r="C550" s="234" t="str">
        <f t="shared" ref="C550:D550" si="267">C488</f>
        <v>Macro Economic Inflation</v>
      </c>
      <c r="D550" s="234">
        <f t="shared" si="267"/>
        <v>0</v>
      </c>
      <c r="E550" s="234" t="s">
        <v>380</v>
      </c>
      <c r="F550" s="234">
        <f>'F5 - Cost Pressures'!B269</f>
        <v>0</v>
      </c>
      <c r="AM550" s="233">
        <f>'F5 - Cost Pressures'!R21</f>
        <v>0</v>
      </c>
      <c r="AN550" s="233">
        <f>'F5 - Cost Pressures'!S21</f>
        <v>0</v>
      </c>
    </row>
    <row r="551" spans="1:40">
      <c r="A551" s="234" t="str">
        <f>'Front Sheet and Checklist'!$C$5</f>
        <v>Swansea Bay UHB</v>
      </c>
      <c r="B551" s="234" t="s">
        <v>374</v>
      </c>
      <c r="C551" s="234" t="str">
        <f t="shared" ref="C551:D551" si="268">C489</f>
        <v>Macro Economic Inflation</v>
      </c>
      <c r="D551" s="234">
        <f t="shared" si="268"/>
        <v>0</v>
      </c>
      <c r="E551" s="234" t="s">
        <v>380</v>
      </c>
      <c r="F551" s="234">
        <f>'F5 - Cost Pressures'!B270</f>
        <v>0</v>
      </c>
      <c r="AM551" s="233">
        <f>'F5 - Cost Pressures'!R22</f>
        <v>0</v>
      </c>
      <c r="AN551" s="233">
        <f>'F5 - Cost Pressures'!S22</f>
        <v>0</v>
      </c>
    </row>
    <row r="552" spans="1:40">
      <c r="A552" s="234" t="str">
        <f>'Front Sheet and Checklist'!$C$5</f>
        <v>Swansea Bay UHB</v>
      </c>
      <c r="B552" s="234" t="s">
        <v>374</v>
      </c>
      <c r="C552" s="234" t="str">
        <f t="shared" ref="C552:D552" si="269">C490</f>
        <v>Macro Economic Inflation</v>
      </c>
      <c r="D552" s="234">
        <f t="shared" si="269"/>
        <v>0</v>
      </c>
      <c r="E552" s="234" t="s">
        <v>380</v>
      </c>
      <c r="F552" s="234">
        <f>'F5 - Cost Pressures'!B271</f>
        <v>0</v>
      </c>
      <c r="AM552" s="233">
        <f>'F5 - Cost Pressures'!R23</f>
        <v>0</v>
      </c>
      <c r="AN552" s="233">
        <f>'F5 - Cost Pressures'!S23</f>
        <v>0</v>
      </c>
    </row>
    <row r="553" spans="1:40">
      <c r="A553" s="234" t="str">
        <f>'Front Sheet and Checklist'!$C$5</f>
        <v>Swansea Bay UHB</v>
      </c>
      <c r="B553" s="234" t="s">
        <v>374</v>
      </c>
      <c r="C553" s="234" t="str">
        <f t="shared" ref="C553:D553" si="270">C491</f>
        <v>Macro Economic Inflation</v>
      </c>
      <c r="D553" s="234">
        <f t="shared" si="270"/>
        <v>0</v>
      </c>
      <c r="E553" s="234" t="s">
        <v>380</v>
      </c>
      <c r="F553" s="234">
        <f>'F5 - Cost Pressures'!B272</f>
        <v>0</v>
      </c>
      <c r="AM553" s="233">
        <f>'F5 - Cost Pressures'!R24</f>
        <v>0</v>
      </c>
      <c r="AN553" s="233">
        <f>'F5 - Cost Pressures'!S24</f>
        <v>0</v>
      </c>
    </row>
    <row r="554" spans="1:40">
      <c r="A554" s="234" t="str">
        <f>'Front Sheet and Checklist'!$C$5</f>
        <v>Swansea Bay UHB</v>
      </c>
      <c r="B554" s="234" t="s">
        <v>374</v>
      </c>
      <c r="C554" s="234" t="str">
        <f t="shared" ref="C554:D554" si="271">C492</f>
        <v>Macro Economic Inflation</v>
      </c>
      <c r="D554" s="234">
        <f t="shared" si="271"/>
        <v>0</v>
      </c>
      <c r="E554" s="234" t="s">
        <v>380</v>
      </c>
      <c r="F554" s="234">
        <f>'F5 - Cost Pressures'!B273</f>
        <v>0</v>
      </c>
      <c r="AM554" s="233">
        <f>'F5 - Cost Pressures'!R25</f>
        <v>0</v>
      </c>
      <c r="AN554" s="233">
        <f>'F5 - Cost Pressures'!S25</f>
        <v>0</v>
      </c>
    </row>
    <row r="555" spans="1:40">
      <c r="A555" s="234" t="str">
        <f>'Front Sheet and Checklist'!$C$5</f>
        <v>Swansea Bay UHB</v>
      </c>
      <c r="B555" s="234" t="s">
        <v>374</v>
      </c>
      <c r="C555" s="234" t="str">
        <f t="shared" ref="C555:D555" si="272">C493</f>
        <v>Macro Economic Inflation</v>
      </c>
      <c r="D555" s="234">
        <f t="shared" si="272"/>
        <v>0</v>
      </c>
      <c r="E555" s="234" t="s">
        <v>380</v>
      </c>
      <c r="F555" s="234">
        <f>'F5 - Cost Pressures'!B274</f>
        <v>0</v>
      </c>
      <c r="AM555" s="233">
        <f>'F5 - Cost Pressures'!R26</f>
        <v>0</v>
      </c>
      <c r="AN555" s="233">
        <f>'F5 - Cost Pressures'!S26</f>
        <v>0</v>
      </c>
    </row>
    <row r="556" spans="1:40">
      <c r="A556" s="234" t="str">
        <f>'Front Sheet and Checklist'!$C$5</f>
        <v>Swansea Bay UHB</v>
      </c>
      <c r="B556" s="234" t="s">
        <v>374</v>
      </c>
      <c r="C556" s="234" t="str">
        <f t="shared" ref="C556:D556" si="273">C494</f>
        <v>Macro Economic Inflation</v>
      </c>
      <c r="D556" s="234">
        <f t="shared" si="273"/>
        <v>0</v>
      </c>
      <c r="E556" s="234" t="s">
        <v>380</v>
      </c>
      <c r="F556" s="234">
        <f>'F5 - Cost Pressures'!B275</f>
        <v>0</v>
      </c>
      <c r="AM556" s="233">
        <f>'F5 - Cost Pressures'!R27</f>
        <v>0</v>
      </c>
      <c r="AN556" s="233">
        <f>'F5 - Cost Pressures'!S27</f>
        <v>0</v>
      </c>
    </row>
    <row r="557" spans="1:40">
      <c r="A557" s="234" t="str">
        <f>'Front Sheet and Checklist'!$C$5</f>
        <v>Swansea Bay UHB</v>
      </c>
      <c r="B557" s="234" t="s">
        <v>374</v>
      </c>
      <c r="C557" s="234" t="str">
        <f t="shared" ref="C557:D557" si="274">C495</f>
        <v>Macro Economic Inflation</v>
      </c>
      <c r="D557" s="234">
        <f t="shared" si="274"/>
        <v>0</v>
      </c>
      <c r="E557" s="234" t="s">
        <v>380</v>
      </c>
      <c r="F557" s="234">
        <f>'F5 - Cost Pressures'!B276</f>
        <v>0</v>
      </c>
      <c r="AM557" s="233">
        <f>'F5 - Cost Pressures'!R28</f>
        <v>0</v>
      </c>
      <c r="AN557" s="233">
        <f>'F5 - Cost Pressures'!S28</f>
        <v>0</v>
      </c>
    </row>
    <row r="558" spans="1:40">
      <c r="A558" s="234" t="str">
        <f>'Front Sheet and Checklist'!$C$5</f>
        <v>Swansea Bay UHB</v>
      </c>
      <c r="B558" s="234" t="s">
        <v>374</v>
      </c>
      <c r="C558" s="234" t="str">
        <f t="shared" ref="C558:D558" si="275">C496</f>
        <v>Macro Economic Inflation</v>
      </c>
      <c r="D558" s="234">
        <f t="shared" si="275"/>
        <v>0</v>
      </c>
      <c r="E558" s="234" t="s">
        <v>380</v>
      </c>
      <c r="F558" s="234">
        <f>'F5 - Cost Pressures'!B277</f>
        <v>0</v>
      </c>
      <c r="AM558" s="233">
        <f>'F5 - Cost Pressures'!R29</f>
        <v>0</v>
      </c>
      <c r="AN558" s="233">
        <f>'F5 - Cost Pressures'!S29</f>
        <v>0</v>
      </c>
    </row>
    <row r="559" spans="1:40">
      <c r="A559" s="234" t="str">
        <f>'Front Sheet and Checklist'!$C$5</f>
        <v>Swansea Bay UHB</v>
      </c>
      <c r="B559" s="234" t="s">
        <v>374</v>
      </c>
      <c r="C559" s="234" t="str">
        <f t="shared" ref="C559:D559" si="276">C497</f>
        <v>Macro Economic Inflation</v>
      </c>
      <c r="D559" s="234">
        <f t="shared" si="276"/>
        <v>0</v>
      </c>
      <c r="E559" s="234" t="s">
        <v>380</v>
      </c>
      <c r="F559" s="234">
        <f>'F5 - Cost Pressures'!B278</f>
        <v>0</v>
      </c>
      <c r="AM559" s="233">
        <f>'F5 - Cost Pressures'!R30</f>
        <v>0</v>
      </c>
      <c r="AN559" s="233">
        <f>'F5 - Cost Pressures'!S30</f>
        <v>0</v>
      </c>
    </row>
    <row r="560" spans="1:40">
      <c r="A560" s="234" t="str">
        <f>'Front Sheet and Checklist'!$C$5</f>
        <v>Swansea Bay UHB</v>
      </c>
      <c r="B560" s="234" t="s">
        <v>374</v>
      </c>
      <c r="C560" s="234" t="str">
        <f t="shared" ref="C560:D560" si="277">C498</f>
        <v>Macro Economic Inflation</v>
      </c>
      <c r="D560" s="234">
        <f t="shared" si="277"/>
        <v>0</v>
      </c>
      <c r="E560" s="234" t="s">
        <v>380</v>
      </c>
      <c r="F560" s="234">
        <f>'F5 - Cost Pressures'!B279</f>
        <v>0</v>
      </c>
      <c r="AM560" s="233">
        <f>'F5 - Cost Pressures'!R31</f>
        <v>0</v>
      </c>
      <c r="AN560" s="233">
        <f>'F5 - Cost Pressures'!S31</f>
        <v>0</v>
      </c>
    </row>
    <row r="561" spans="1:40">
      <c r="A561" s="234" t="str">
        <f>'Front Sheet and Checklist'!$C$5</f>
        <v>Swansea Bay UHB</v>
      </c>
      <c r="B561" s="234" t="s">
        <v>374</v>
      </c>
      <c r="C561" s="234" t="str">
        <f t="shared" ref="C561:D561" si="278">C499</f>
        <v>Contractual or unavoidable</v>
      </c>
      <c r="D561" s="234">
        <f t="shared" si="278"/>
        <v>0</v>
      </c>
      <c r="E561" s="234" t="s">
        <v>380</v>
      </c>
      <c r="F561" s="234">
        <f>'F5 - Cost Pressures'!B280</f>
        <v>0</v>
      </c>
      <c r="AM561" s="233">
        <f>'F5 - Cost Pressures'!R32</f>
        <v>0</v>
      </c>
      <c r="AN561" s="233">
        <f>'F5 - Cost Pressures'!S32</f>
        <v>0</v>
      </c>
    </row>
    <row r="562" spans="1:40">
      <c r="A562" s="234" t="str">
        <f>'Front Sheet and Checklist'!$C$5</f>
        <v>Swansea Bay UHB</v>
      </c>
      <c r="B562" s="234" t="s">
        <v>374</v>
      </c>
      <c r="C562" s="234" t="str">
        <f t="shared" ref="C562:D562" si="279">C500</f>
        <v>Contractual or unavoidable</v>
      </c>
      <c r="D562" s="234">
        <f t="shared" si="279"/>
        <v>0</v>
      </c>
      <c r="E562" s="234" t="s">
        <v>380</v>
      </c>
      <c r="F562" s="234">
        <f>'F5 - Cost Pressures'!B281</f>
        <v>0</v>
      </c>
      <c r="AM562" s="233">
        <f>'F5 - Cost Pressures'!R33</f>
        <v>0</v>
      </c>
      <c r="AN562" s="233">
        <f>'F5 - Cost Pressures'!S33</f>
        <v>0</v>
      </c>
    </row>
    <row r="563" spans="1:40">
      <c r="A563" s="234" t="str">
        <f>'Front Sheet and Checklist'!$C$5</f>
        <v>Swansea Bay UHB</v>
      </c>
      <c r="B563" s="234" t="s">
        <v>374</v>
      </c>
      <c r="C563" s="234">
        <f t="shared" ref="C563:D563" si="280">C501</f>
        <v>0</v>
      </c>
      <c r="D563" s="234">
        <f t="shared" si="280"/>
        <v>0</v>
      </c>
      <c r="E563" s="234" t="s">
        <v>380</v>
      </c>
      <c r="F563" s="234">
        <f>'F5 - Cost Pressures'!B282</f>
        <v>0</v>
      </c>
      <c r="AM563" s="233">
        <f>'F5 - Cost Pressures'!R34</f>
        <v>0</v>
      </c>
      <c r="AN563" s="233">
        <f>'F5 - Cost Pressures'!S34</f>
        <v>0</v>
      </c>
    </row>
    <row r="564" spans="1:40">
      <c r="A564" s="234" t="str">
        <f>'Front Sheet and Checklist'!$C$5</f>
        <v>Swansea Bay UHB</v>
      </c>
      <c r="B564" s="234" t="s">
        <v>374</v>
      </c>
      <c r="C564" s="234">
        <f t="shared" ref="C564:D564" si="281">C502</f>
        <v>0</v>
      </c>
      <c r="D564" s="234">
        <f t="shared" si="281"/>
        <v>0</v>
      </c>
      <c r="E564" s="234" t="s">
        <v>380</v>
      </c>
      <c r="F564" s="234">
        <f>'F5 - Cost Pressures'!B283</f>
        <v>0</v>
      </c>
      <c r="AM564" s="233">
        <f>'F5 - Cost Pressures'!R35</f>
        <v>0</v>
      </c>
      <c r="AN564" s="233">
        <f>'F5 - Cost Pressures'!S35</f>
        <v>0</v>
      </c>
    </row>
    <row r="565" spans="1:40">
      <c r="A565" s="234" t="str">
        <f>'Front Sheet and Checklist'!$C$5</f>
        <v>Swansea Bay UHB</v>
      </c>
      <c r="B565" s="234" t="s">
        <v>374</v>
      </c>
      <c r="C565" s="234">
        <f t="shared" ref="C565:D565" si="282">C503</f>
        <v>0</v>
      </c>
      <c r="D565" s="234">
        <f t="shared" si="282"/>
        <v>0</v>
      </c>
      <c r="E565" s="234" t="s">
        <v>380</v>
      </c>
      <c r="F565" s="234">
        <f>'F5 - Cost Pressures'!B284</f>
        <v>0</v>
      </c>
      <c r="AM565" s="233">
        <f>'F5 - Cost Pressures'!R36</f>
        <v>0</v>
      </c>
      <c r="AN565" s="233">
        <f>'F5 - Cost Pressures'!S36</f>
        <v>0</v>
      </c>
    </row>
    <row r="566" spans="1:40">
      <c r="A566" s="234" t="str">
        <f>'Front Sheet and Checklist'!$C$5</f>
        <v>Swansea Bay UHB</v>
      </c>
      <c r="B566" s="234" t="s">
        <v>374</v>
      </c>
      <c r="C566" s="234" t="str">
        <f t="shared" ref="C566:D566" si="283">C504</f>
        <v>Macro Economic Inflation</v>
      </c>
      <c r="D566" s="234">
        <f t="shared" si="283"/>
        <v>0</v>
      </c>
      <c r="E566" s="234" t="s">
        <v>380</v>
      </c>
      <c r="F566" s="234">
        <f>'F5 - Cost Pressures'!B285</f>
        <v>0</v>
      </c>
      <c r="AM566" s="233">
        <f>'F5 - Cost Pressures'!R37</f>
        <v>0</v>
      </c>
      <c r="AN566" s="233">
        <f>'F5 - Cost Pressures'!S37</f>
        <v>0</v>
      </c>
    </row>
    <row r="567" spans="1:40">
      <c r="A567" s="234" t="str">
        <f>'Front Sheet and Checklist'!$C$5</f>
        <v>Swansea Bay UHB</v>
      </c>
      <c r="B567" s="234" t="s">
        <v>374</v>
      </c>
      <c r="C567" s="234" t="str">
        <f t="shared" ref="C567:D567" si="284">C505</f>
        <v>Macro Economic Inflation</v>
      </c>
      <c r="D567" s="234">
        <f t="shared" si="284"/>
        <v>0</v>
      </c>
      <c r="E567" s="234" t="s">
        <v>380</v>
      </c>
      <c r="F567" s="234">
        <f>'F5 - Cost Pressures'!B286</f>
        <v>0</v>
      </c>
      <c r="AM567" s="233">
        <f>'F5 - Cost Pressures'!R38</f>
        <v>0</v>
      </c>
      <c r="AN567" s="233">
        <f>'F5 - Cost Pressures'!S38</f>
        <v>0</v>
      </c>
    </row>
    <row r="568" spans="1:40">
      <c r="A568" s="234" t="str">
        <f>'Front Sheet and Checklist'!$C$5</f>
        <v>Swansea Bay UHB</v>
      </c>
      <c r="B568" s="234" t="s">
        <v>374</v>
      </c>
      <c r="C568" s="234" t="str">
        <f t="shared" ref="C568:D568" si="285">C506</f>
        <v>Macro Economic Inflation</v>
      </c>
      <c r="D568" s="234">
        <f t="shared" si="285"/>
        <v>0</v>
      </c>
      <c r="E568" s="234" t="s">
        <v>380</v>
      </c>
      <c r="F568" s="234">
        <f>'F5 - Cost Pressures'!B287</f>
        <v>0</v>
      </c>
      <c r="AM568" s="233">
        <f>'F5 - Cost Pressures'!R39</f>
        <v>0</v>
      </c>
      <c r="AN568" s="233">
        <f>'F5 - Cost Pressures'!S39</f>
        <v>0</v>
      </c>
    </row>
    <row r="569" spans="1:40">
      <c r="A569" s="234" t="str">
        <f>'Front Sheet and Checklist'!$C$5</f>
        <v>Swansea Bay UHB</v>
      </c>
      <c r="B569" s="234" t="s">
        <v>374</v>
      </c>
      <c r="C569" s="234" t="str">
        <f t="shared" ref="C569:D569" si="286">C507</f>
        <v>Macro Economic Inflation</v>
      </c>
      <c r="D569" s="234">
        <f t="shared" si="286"/>
        <v>0</v>
      </c>
      <c r="E569" s="234" t="s">
        <v>380</v>
      </c>
      <c r="F569" s="234">
        <f>'F5 - Cost Pressures'!B288</f>
        <v>0</v>
      </c>
      <c r="AM569" s="233">
        <f>'F5 - Cost Pressures'!R40</f>
        <v>0</v>
      </c>
      <c r="AN569" s="233">
        <f>'F5 - Cost Pressures'!S40</f>
        <v>0</v>
      </c>
    </row>
    <row r="570" spans="1:40">
      <c r="A570" s="234" t="str">
        <f>'Front Sheet and Checklist'!$C$5</f>
        <v>Swansea Bay UHB</v>
      </c>
      <c r="B570" s="234" t="s">
        <v>374</v>
      </c>
      <c r="C570" s="234" t="str">
        <f t="shared" ref="C570:D570" si="287">C508</f>
        <v>Local Investment Decisions</v>
      </c>
      <c r="D570" s="234">
        <f t="shared" si="287"/>
        <v>0</v>
      </c>
      <c r="E570" s="234" t="s">
        <v>380</v>
      </c>
      <c r="F570" s="234">
        <f>'F5 - Cost Pressures'!B289</f>
        <v>0</v>
      </c>
      <c r="AM570" s="233">
        <f>'F5 - Cost Pressures'!R41</f>
        <v>0</v>
      </c>
      <c r="AN570" s="233">
        <f>'F5 - Cost Pressures'!S41</f>
        <v>0</v>
      </c>
    </row>
    <row r="571" spans="1:40">
      <c r="A571" s="234" t="str">
        <f>'Front Sheet and Checklist'!$C$5</f>
        <v>Swansea Bay UHB</v>
      </c>
      <c r="B571" s="234" t="s">
        <v>374</v>
      </c>
      <c r="C571" s="234" t="str">
        <f t="shared" ref="C571:D571" si="288">C509</f>
        <v>Local Investment Decisions</v>
      </c>
      <c r="D571" s="234">
        <f t="shared" si="288"/>
        <v>0</v>
      </c>
      <c r="E571" s="234" t="s">
        <v>380</v>
      </c>
      <c r="F571" s="234">
        <f>'F5 - Cost Pressures'!B290</f>
        <v>0</v>
      </c>
      <c r="AM571" s="233">
        <f>'F5 - Cost Pressures'!R42</f>
        <v>0</v>
      </c>
      <c r="AN571" s="233">
        <f>'F5 - Cost Pressures'!S42</f>
        <v>0</v>
      </c>
    </row>
    <row r="572" spans="1:40">
      <c r="A572" s="234" t="str">
        <f>'Front Sheet and Checklist'!$C$5</f>
        <v>Swansea Bay UHB</v>
      </c>
      <c r="B572" s="234" t="s">
        <v>374</v>
      </c>
      <c r="C572" s="234" t="str">
        <f t="shared" ref="C572:D572" si="289">C510</f>
        <v>Local Investment Decisions</v>
      </c>
      <c r="D572" s="234">
        <f t="shared" si="289"/>
        <v>0</v>
      </c>
      <c r="E572" s="234" t="s">
        <v>380</v>
      </c>
      <c r="F572" s="234">
        <f>'F5 - Cost Pressures'!B291</f>
        <v>0</v>
      </c>
      <c r="AM572" s="233">
        <f>'F5 - Cost Pressures'!R43</f>
        <v>0</v>
      </c>
      <c r="AN572" s="233">
        <f>'F5 - Cost Pressures'!S43</f>
        <v>0</v>
      </c>
    </row>
    <row r="573" spans="1:40">
      <c r="A573" s="234" t="str">
        <f>'Front Sheet and Checklist'!$C$5</f>
        <v>Swansea Bay UHB</v>
      </c>
      <c r="B573" s="234" t="s">
        <v>374</v>
      </c>
      <c r="C573" s="234" t="str">
        <f t="shared" ref="C573:D573" si="290">C511</f>
        <v>Local Investment Decisions</v>
      </c>
      <c r="D573" s="234">
        <f t="shared" si="290"/>
        <v>0</v>
      </c>
      <c r="E573" s="234" t="s">
        <v>380</v>
      </c>
      <c r="F573" s="234">
        <f>'F5 - Cost Pressures'!B292</f>
        <v>0</v>
      </c>
      <c r="AM573" s="233">
        <f>'F5 - Cost Pressures'!R44</f>
        <v>0</v>
      </c>
      <c r="AN573" s="233">
        <f>'F5 - Cost Pressures'!S44</f>
        <v>0</v>
      </c>
    </row>
    <row r="574" spans="1:40">
      <c r="A574" s="234" t="str">
        <f>'Front Sheet and Checklist'!$C$5</f>
        <v>Swansea Bay UHB</v>
      </c>
      <c r="B574" s="234" t="s">
        <v>374</v>
      </c>
      <c r="C574" s="234" t="str">
        <f t="shared" ref="C574:D574" si="291">C512</f>
        <v>Local Investment Decisions</v>
      </c>
      <c r="D574" s="234">
        <f t="shared" si="291"/>
        <v>0</v>
      </c>
      <c r="E574" s="234" t="s">
        <v>380</v>
      </c>
      <c r="F574" s="234">
        <f>'F5 - Cost Pressures'!B293</f>
        <v>0</v>
      </c>
      <c r="AM574" s="233">
        <f>'F5 - Cost Pressures'!R45</f>
        <v>0</v>
      </c>
      <c r="AN574" s="233">
        <f>'F5 - Cost Pressures'!S45</f>
        <v>0</v>
      </c>
    </row>
    <row r="575" spans="1:40">
      <c r="A575" s="234" t="str">
        <f>'Front Sheet and Checklist'!$C$5</f>
        <v>Swansea Bay UHB</v>
      </c>
      <c r="B575" s="234" t="s">
        <v>374</v>
      </c>
      <c r="C575" s="234" t="str">
        <f t="shared" ref="C575:D575" si="292">C513</f>
        <v>Local Investment Decisions</v>
      </c>
      <c r="D575" s="234">
        <f t="shared" si="292"/>
        <v>0</v>
      </c>
      <c r="E575" s="234" t="s">
        <v>380</v>
      </c>
      <c r="F575" s="234">
        <f>'F5 - Cost Pressures'!B294</f>
        <v>0</v>
      </c>
      <c r="AM575" s="233">
        <f>'F5 - Cost Pressures'!R46</f>
        <v>0</v>
      </c>
      <c r="AN575" s="233">
        <f>'F5 - Cost Pressures'!S46</f>
        <v>0</v>
      </c>
    </row>
    <row r="576" spans="1:40">
      <c r="A576" s="234" t="str">
        <f>'Front Sheet and Checklist'!$C$5</f>
        <v>Swansea Bay UHB</v>
      </c>
      <c r="B576" s="234" t="s">
        <v>374</v>
      </c>
      <c r="C576" s="234" t="str">
        <f t="shared" ref="C576:D576" si="293">C514</f>
        <v>Local Investment Decisions</v>
      </c>
      <c r="D576" s="234">
        <f t="shared" si="293"/>
        <v>0</v>
      </c>
      <c r="E576" s="234" t="s">
        <v>380</v>
      </c>
      <c r="F576" s="234">
        <f>'F5 - Cost Pressures'!B295</f>
        <v>0</v>
      </c>
      <c r="AM576" s="233">
        <f>'F5 - Cost Pressures'!R47</f>
        <v>0</v>
      </c>
      <c r="AN576" s="233">
        <f>'F5 - Cost Pressures'!S47</f>
        <v>0</v>
      </c>
    </row>
    <row r="577" spans="1:40">
      <c r="A577" s="234" t="str">
        <f>'Front Sheet and Checklist'!$C$5</f>
        <v>Swansea Bay UHB</v>
      </c>
      <c r="B577" s="234" t="s">
        <v>374</v>
      </c>
      <c r="C577" s="234" t="str">
        <f t="shared" ref="C577:D577" si="294">C515</f>
        <v>Local Investment Decisions</v>
      </c>
      <c r="D577" s="234">
        <f t="shared" si="294"/>
        <v>0</v>
      </c>
      <c r="E577" s="234" t="s">
        <v>380</v>
      </c>
      <c r="F577" s="234">
        <f>'F5 - Cost Pressures'!B296</f>
        <v>0</v>
      </c>
      <c r="AM577" s="233">
        <f>'F5 - Cost Pressures'!R48</f>
        <v>0</v>
      </c>
      <c r="AN577" s="233">
        <f>'F5 - Cost Pressures'!S48</f>
        <v>0</v>
      </c>
    </row>
    <row r="578" spans="1:40">
      <c r="A578" s="234" t="str">
        <f>'Front Sheet and Checklist'!$C$5</f>
        <v>Swansea Bay UHB</v>
      </c>
      <c r="B578" s="234" t="s">
        <v>374</v>
      </c>
      <c r="C578" s="234" t="str">
        <f t="shared" ref="C578:D578" si="295">C516</f>
        <v>Local Investment Decisions</v>
      </c>
      <c r="D578" s="234">
        <f t="shared" si="295"/>
        <v>0</v>
      </c>
      <c r="E578" s="234" t="s">
        <v>380</v>
      </c>
      <c r="F578" s="234">
        <f>'F5 - Cost Pressures'!B297</f>
        <v>0</v>
      </c>
      <c r="AM578" s="233">
        <f>'F5 - Cost Pressures'!R49</f>
        <v>0</v>
      </c>
      <c r="AN578" s="233">
        <f>'F5 - Cost Pressures'!S49</f>
        <v>0</v>
      </c>
    </row>
    <row r="579" spans="1:40">
      <c r="A579" s="234" t="str">
        <f>'Front Sheet and Checklist'!$C$5</f>
        <v>Swansea Bay UHB</v>
      </c>
      <c r="B579" s="234" t="s">
        <v>374</v>
      </c>
      <c r="C579" s="234" t="str">
        <f t="shared" ref="C579:D579" si="296">C517</f>
        <v>Local Investment Decisions</v>
      </c>
      <c r="D579" s="234">
        <f t="shared" si="296"/>
        <v>0</v>
      </c>
      <c r="E579" s="234" t="s">
        <v>380</v>
      </c>
      <c r="F579" s="234">
        <f>'F5 - Cost Pressures'!B298</f>
        <v>0</v>
      </c>
      <c r="AM579" s="233">
        <f>'F5 - Cost Pressures'!R50</f>
        <v>0</v>
      </c>
      <c r="AN579" s="233">
        <f>'F5 - Cost Pressures'!S50</f>
        <v>0</v>
      </c>
    </row>
    <row r="580" spans="1:40">
      <c r="A580" s="234" t="str">
        <f>'Front Sheet and Checklist'!$C$5</f>
        <v>Swansea Bay UHB</v>
      </c>
      <c r="B580" s="234" t="s">
        <v>374</v>
      </c>
      <c r="C580" s="234" t="str">
        <f t="shared" ref="C580:D580" si="297">C518</f>
        <v>Contractual or unavoidable</v>
      </c>
      <c r="D580" s="234">
        <f t="shared" si="297"/>
        <v>0</v>
      </c>
      <c r="E580" s="234" t="s">
        <v>380</v>
      </c>
      <c r="F580" s="234">
        <f>'F5 - Cost Pressures'!B299</f>
        <v>0</v>
      </c>
      <c r="AM580" s="233">
        <f>'F5 - Cost Pressures'!R51</f>
        <v>0</v>
      </c>
      <c r="AN580" s="233">
        <f>'F5 - Cost Pressures'!S51</f>
        <v>0</v>
      </c>
    </row>
    <row r="581" spans="1:40">
      <c r="A581" s="234" t="str">
        <f>'Front Sheet and Checklist'!$C$5</f>
        <v>Swansea Bay UHB</v>
      </c>
      <c r="B581" s="234" t="s">
        <v>374</v>
      </c>
      <c r="C581" s="234">
        <f t="shared" ref="C581:D581" si="298">C519</f>
        <v>0</v>
      </c>
      <c r="D581" s="234">
        <f t="shared" si="298"/>
        <v>0</v>
      </c>
      <c r="E581" s="234" t="s">
        <v>380</v>
      </c>
      <c r="F581" s="234">
        <f>'F5 - Cost Pressures'!B300</f>
        <v>0</v>
      </c>
      <c r="AM581" s="233">
        <f>'F5 - Cost Pressures'!R52</f>
        <v>0</v>
      </c>
      <c r="AN581" s="233">
        <f>'F5 - Cost Pressures'!S52</f>
        <v>0</v>
      </c>
    </row>
    <row r="582" spans="1:40">
      <c r="A582" s="234" t="str">
        <f>'Front Sheet and Checklist'!$C$5</f>
        <v>Swansea Bay UHB</v>
      </c>
      <c r="B582" s="234" t="s">
        <v>374</v>
      </c>
      <c r="C582" s="234">
        <f t="shared" ref="C582:D582" si="299">C520</f>
        <v>0</v>
      </c>
      <c r="D582" s="234">
        <f t="shared" si="299"/>
        <v>0</v>
      </c>
      <c r="E582" s="234" t="s">
        <v>380</v>
      </c>
      <c r="F582" s="234">
        <f>'F5 - Cost Pressures'!B301</f>
        <v>0</v>
      </c>
      <c r="AM582" s="233">
        <f>'F5 - Cost Pressures'!R53</f>
        <v>0</v>
      </c>
      <c r="AN582" s="233">
        <f>'F5 - Cost Pressures'!S53</f>
        <v>0</v>
      </c>
    </row>
    <row r="583" spans="1:40">
      <c r="A583" s="234" t="str">
        <f>'Front Sheet and Checklist'!$C$5</f>
        <v>Swansea Bay UHB</v>
      </c>
      <c r="B583" s="234" t="s">
        <v>374</v>
      </c>
      <c r="C583" s="234">
        <f t="shared" ref="C583:D583" si="300">C521</f>
        <v>0</v>
      </c>
      <c r="D583" s="234">
        <f t="shared" si="300"/>
        <v>0</v>
      </c>
      <c r="E583" s="234" t="s">
        <v>380</v>
      </c>
      <c r="F583" s="234">
        <f>'F5 - Cost Pressures'!B302</f>
        <v>0</v>
      </c>
      <c r="AM583" s="233">
        <f>'F5 - Cost Pressures'!R54</f>
        <v>0</v>
      </c>
      <c r="AN583" s="233">
        <f>'F5 - Cost Pressures'!S54</f>
        <v>0</v>
      </c>
    </row>
    <row r="584" spans="1:40">
      <c r="A584" s="234" t="str">
        <f>'Front Sheet and Checklist'!$C$5</f>
        <v>Swansea Bay UHB</v>
      </c>
      <c r="B584" s="234" t="s">
        <v>374</v>
      </c>
      <c r="C584" s="234">
        <f t="shared" ref="C584:D584" si="301">C522</f>
        <v>0</v>
      </c>
      <c r="D584" s="234">
        <f t="shared" si="301"/>
        <v>0</v>
      </c>
      <c r="E584" s="234" t="s">
        <v>380</v>
      </c>
      <c r="F584" s="234">
        <f>'F5 - Cost Pressures'!B303</f>
        <v>0</v>
      </c>
      <c r="AM584" s="233">
        <f>'F5 - Cost Pressures'!R55</f>
        <v>0</v>
      </c>
      <c r="AN584" s="233">
        <f>'F5 - Cost Pressures'!S55</f>
        <v>0</v>
      </c>
    </row>
    <row r="585" spans="1:40">
      <c r="A585" s="234" t="str">
        <f>'Front Sheet and Checklist'!$C$5</f>
        <v>Swansea Bay UHB</v>
      </c>
      <c r="B585" s="234" t="s">
        <v>374</v>
      </c>
      <c r="C585" s="234">
        <f t="shared" ref="C585:D585" si="302">C523</f>
        <v>0</v>
      </c>
      <c r="D585" s="234">
        <f t="shared" si="302"/>
        <v>0</v>
      </c>
      <c r="E585" s="234" t="s">
        <v>380</v>
      </c>
      <c r="F585" s="234">
        <f>'F5 - Cost Pressures'!B304</f>
        <v>0</v>
      </c>
      <c r="AM585" s="233">
        <f>'F5 - Cost Pressures'!R56</f>
        <v>0</v>
      </c>
      <c r="AN585" s="233">
        <f>'F5 - Cost Pressures'!S56</f>
        <v>0</v>
      </c>
    </row>
    <row r="586" spans="1:40">
      <c r="A586" s="234" t="str">
        <f>'Front Sheet and Checklist'!$C$5</f>
        <v>Swansea Bay UHB</v>
      </c>
      <c r="B586" s="234" t="s">
        <v>374</v>
      </c>
      <c r="C586" s="234">
        <f t="shared" ref="C586:D586" si="303">C524</f>
        <v>0</v>
      </c>
      <c r="D586" s="234">
        <f t="shared" si="303"/>
        <v>0</v>
      </c>
      <c r="E586" s="234" t="s">
        <v>380</v>
      </c>
      <c r="F586" s="234">
        <f>'F5 - Cost Pressures'!B305</f>
        <v>0</v>
      </c>
      <c r="AM586" s="233">
        <f>'F5 - Cost Pressures'!R57</f>
        <v>0</v>
      </c>
      <c r="AN586" s="233">
        <f>'F5 - Cost Pressures'!S57</f>
        <v>0</v>
      </c>
    </row>
    <row r="587" spans="1:40">
      <c r="A587" s="234" t="str">
        <f>'Front Sheet and Checklist'!$C$5</f>
        <v>Swansea Bay UHB</v>
      </c>
      <c r="B587" s="234" t="s">
        <v>374</v>
      </c>
      <c r="C587" s="234">
        <f t="shared" ref="C587:D587" si="304">C525</f>
        <v>0</v>
      </c>
      <c r="D587" s="234">
        <f t="shared" si="304"/>
        <v>0</v>
      </c>
      <c r="E587" s="234" t="s">
        <v>380</v>
      </c>
      <c r="F587" s="234">
        <f>'F5 - Cost Pressures'!B306</f>
        <v>0</v>
      </c>
      <c r="AM587" s="233">
        <f>'F5 - Cost Pressures'!R58</f>
        <v>0</v>
      </c>
      <c r="AN587" s="233">
        <f>'F5 - Cost Pressures'!S58</f>
        <v>0</v>
      </c>
    </row>
    <row r="588" spans="1:40">
      <c r="A588" s="234" t="str">
        <f>'Front Sheet and Checklist'!$C$5</f>
        <v>Swansea Bay UHB</v>
      </c>
      <c r="B588" s="234" t="s">
        <v>374</v>
      </c>
      <c r="C588" s="234">
        <f t="shared" ref="C588:D588" si="305">C526</f>
        <v>0</v>
      </c>
      <c r="D588" s="234">
        <f t="shared" si="305"/>
        <v>0</v>
      </c>
      <c r="E588" s="234" t="s">
        <v>380</v>
      </c>
      <c r="F588" s="234">
        <f>'F5 - Cost Pressures'!B307</f>
        <v>0</v>
      </c>
      <c r="AM588" s="233">
        <f>'F5 - Cost Pressures'!R59</f>
        <v>0</v>
      </c>
      <c r="AN588" s="233">
        <f>'F5 - Cost Pressures'!S59</f>
        <v>0</v>
      </c>
    </row>
    <row r="589" spans="1:40">
      <c r="A589" s="234" t="str">
        <f>'Front Sheet and Checklist'!$C$5</f>
        <v>Swansea Bay UHB</v>
      </c>
      <c r="B589" s="234" t="s">
        <v>374</v>
      </c>
      <c r="C589" s="234">
        <f t="shared" ref="C589:D589" si="306">C527</f>
        <v>0</v>
      </c>
      <c r="D589" s="234">
        <f t="shared" si="306"/>
        <v>0</v>
      </c>
      <c r="E589" s="234" t="s">
        <v>380</v>
      </c>
      <c r="F589" s="234">
        <f>'F5 - Cost Pressures'!B308</f>
        <v>0</v>
      </c>
      <c r="AM589" s="233">
        <f>'F5 - Cost Pressures'!R60</f>
        <v>0</v>
      </c>
      <c r="AN589" s="233">
        <f>'F5 - Cost Pressures'!S60</f>
        <v>0</v>
      </c>
    </row>
    <row r="590" spans="1:40">
      <c r="A590" s="234" t="str">
        <f>'Front Sheet and Checklist'!$C$5</f>
        <v>Swansea Bay UHB</v>
      </c>
      <c r="B590" s="234" t="s">
        <v>374</v>
      </c>
      <c r="C590" s="234">
        <f t="shared" ref="C590:D590" si="307">C528</f>
        <v>0</v>
      </c>
      <c r="D590" s="234">
        <f t="shared" si="307"/>
        <v>0</v>
      </c>
      <c r="E590" s="234" t="s">
        <v>380</v>
      </c>
      <c r="F590" s="234">
        <f>'F5 - Cost Pressures'!B309</f>
        <v>0</v>
      </c>
      <c r="AM590" s="233">
        <f>'F5 - Cost Pressures'!R61</f>
        <v>0</v>
      </c>
      <c r="AN590" s="233">
        <f>'F5 - Cost Pressures'!S61</f>
        <v>0</v>
      </c>
    </row>
    <row r="591" spans="1:40">
      <c r="A591" s="234" t="str">
        <f>'Front Sheet and Checklist'!$C$5</f>
        <v>Swansea Bay UHB</v>
      </c>
      <c r="B591" s="234" t="s">
        <v>374</v>
      </c>
      <c r="C591" s="234">
        <f t="shared" ref="C591:D591" si="308">C529</f>
        <v>0</v>
      </c>
      <c r="D591" s="234">
        <f t="shared" si="308"/>
        <v>0</v>
      </c>
      <c r="E591" s="234" t="s">
        <v>380</v>
      </c>
      <c r="F591" s="234">
        <f>'F5 - Cost Pressures'!B310</f>
        <v>0</v>
      </c>
      <c r="AM591" s="233">
        <f>'F5 - Cost Pressures'!R62</f>
        <v>0</v>
      </c>
      <c r="AN591" s="233">
        <f>'F5 - Cost Pressures'!S62</f>
        <v>0</v>
      </c>
    </row>
    <row r="592" spans="1:40">
      <c r="A592" s="234" t="str">
        <f>'Front Sheet and Checklist'!$C$5</f>
        <v>Swansea Bay UHB</v>
      </c>
      <c r="B592" s="234" t="s">
        <v>374</v>
      </c>
      <c r="C592" s="234">
        <f t="shared" ref="C592:D592" si="309">C530</f>
        <v>0</v>
      </c>
      <c r="D592" s="234">
        <f t="shared" si="309"/>
        <v>0</v>
      </c>
      <c r="E592" s="234" t="s">
        <v>380</v>
      </c>
      <c r="F592" s="234">
        <f>'F5 - Cost Pressures'!B311</f>
        <v>0</v>
      </c>
      <c r="AM592" s="233">
        <f>'F5 - Cost Pressures'!R63</f>
        <v>0</v>
      </c>
      <c r="AN592" s="233">
        <f>'F5 - Cost Pressures'!S63</f>
        <v>0</v>
      </c>
    </row>
    <row r="593" spans="1:40">
      <c r="A593" s="234" t="str">
        <f>'Front Sheet and Checklist'!$C$5</f>
        <v>Swansea Bay UHB</v>
      </c>
      <c r="B593" s="234" t="s">
        <v>374</v>
      </c>
      <c r="C593" s="234">
        <f t="shared" ref="C593:D593" si="310">C531</f>
        <v>0</v>
      </c>
      <c r="D593" s="234">
        <f t="shared" si="310"/>
        <v>0</v>
      </c>
      <c r="E593" s="234" t="s">
        <v>380</v>
      </c>
      <c r="F593" s="234">
        <f>'F5 - Cost Pressures'!B312</f>
        <v>0</v>
      </c>
      <c r="AM593" s="233">
        <f>'F5 - Cost Pressures'!R64</f>
        <v>0</v>
      </c>
      <c r="AN593" s="233">
        <f>'F5 - Cost Pressures'!S64</f>
        <v>0</v>
      </c>
    </row>
    <row r="594" spans="1:40">
      <c r="A594" s="234" t="str">
        <f>'Front Sheet and Checklist'!$C$5</f>
        <v>Swansea Bay UHB</v>
      </c>
      <c r="B594" s="234" t="s">
        <v>374</v>
      </c>
      <c r="C594" s="234">
        <f t="shared" ref="C594:D594" si="311">C532</f>
        <v>0</v>
      </c>
      <c r="D594" s="234">
        <f t="shared" si="311"/>
        <v>0</v>
      </c>
      <c r="E594" s="234" t="s">
        <v>380</v>
      </c>
      <c r="F594" s="234">
        <f>'F5 - Cost Pressures'!B313</f>
        <v>0</v>
      </c>
      <c r="AM594" s="233">
        <f>'F5 - Cost Pressures'!R65</f>
        <v>0</v>
      </c>
      <c r="AN594" s="233">
        <f>'F5 - Cost Pressures'!S65</f>
        <v>0</v>
      </c>
    </row>
    <row r="595" spans="1:40">
      <c r="A595" s="234" t="str">
        <f>'Front Sheet and Checklist'!$C$5</f>
        <v>Swansea Bay UHB</v>
      </c>
      <c r="B595" s="234" t="s">
        <v>374</v>
      </c>
      <c r="C595" s="234" t="str">
        <f t="shared" ref="C595:D595" si="312">C533</f>
        <v>Macro Economic Inflation</v>
      </c>
      <c r="D595" s="234" t="str">
        <f t="shared" si="312"/>
        <v>7. Non Clinical Support</v>
      </c>
      <c r="E595" s="234" t="s">
        <v>381</v>
      </c>
      <c r="F595" s="234">
        <f>'F5 - Cost Pressures'!B314</f>
        <v>0</v>
      </c>
      <c r="AM595" s="233">
        <f>'F5 - Cost Pressures'!T4</f>
        <v>0</v>
      </c>
      <c r="AN595" s="233">
        <f>'F5 - Cost Pressures'!U4</f>
        <v>0</v>
      </c>
    </row>
    <row r="596" spans="1:40">
      <c r="A596" s="234" t="str">
        <f>'Front Sheet and Checklist'!$C$5</f>
        <v>Swansea Bay UHB</v>
      </c>
      <c r="B596" s="234" t="s">
        <v>374</v>
      </c>
      <c r="C596" s="234" t="str">
        <f t="shared" ref="C596:D596" si="313">C534</f>
        <v>Macro Economic Inflation</v>
      </c>
      <c r="D596" s="234" t="str">
        <f t="shared" si="313"/>
        <v>8. Across Service Areas</v>
      </c>
      <c r="E596" s="234" t="s">
        <v>381</v>
      </c>
      <c r="F596" s="234">
        <f>'F5 - Cost Pressures'!B315</f>
        <v>0</v>
      </c>
      <c r="AM596" s="233">
        <f>'F5 - Cost Pressures'!T5</f>
        <v>0</v>
      </c>
      <c r="AN596" s="233">
        <f>'F5 - Cost Pressures'!U5</f>
        <v>0</v>
      </c>
    </row>
    <row r="597" spans="1:40">
      <c r="A597" s="234" t="str">
        <f>'Front Sheet and Checklist'!$C$5</f>
        <v>Swansea Bay UHB</v>
      </c>
      <c r="B597" s="234" t="s">
        <v>374</v>
      </c>
      <c r="C597" s="234" t="str">
        <f t="shared" ref="C597:D597" si="314">C535</f>
        <v>National Investment Decisions</v>
      </c>
      <c r="D597" s="234" t="str">
        <f t="shared" si="314"/>
        <v>1. Secondary Care (In-house) - General</v>
      </c>
      <c r="E597" s="234" t="s">
        <v>381</v>
      </c>
      <c r="F597" s="234">
        <f>'F5 - Cost Pressures'!B316</f>
        <v>0</v>
      </c>
      <c r="AM597" s="233">
        <f>'F5 - Cost Pressures'!T6</f>
        <v>0</v>
      </c>
      <c r="AN597" s="233">
        <f>'F5 - Cost Pressures'!U6</f>
        <v>0</v>
      </c>
    </row>
    <row r="598" spans="1:40">
      <c r="A598" s="234" t="str">
        <f>'Front Sheet and Checklist'!$C$5</f>
        <v>Swansea Bay UHB</v>
      </c>
      <c r="B598" s="234" t="s">
        <v>374</v>
      </c>
      <c r="C598" s="234" t="str">
        <f t="shared" ref="C598:D598" si="315">C536</f>
        <v>National Investment Decisions</v>
      </c>
      <c r="D598" s="234" t="str">
        <f t="shared" si="315"/>
        <v>4. Commissioned Activity (inc. CHC)</v>
      </c>
      <c r="E598" s="234" t="s">
        <v>381</v>
      </c>
      <c r="F598" s="234">
        <f>'F5 - Cost Pressures'!B317</f>
        <v>0</v>
      </c>
      <c r="AM598" s="233">
        <f>'F5 - Cost Pressures'!T7</f>
        <v>0</v>
      </c>
      <c r="AN598" s="233">
        <f>'F5 - Cost Pressures'!U7</f>
        <v>0</v>
      </c>
    </row>
    <row r="599" spans="1:40">
      <c r="A599" s="234" t="str">
        <f>'Front Sheet and Checklist'!$C$5</f>
        <v>Swansea Bay UHB</v>
      </c>
      <c r="B599" s="234" t="s">
        <v>374</v>
      </c>
      <c r="C599" s="234" t="str">
        <f t="shared" ref="C599:D599" si="316">C537</f>
        <v>National Investment Decisions</v>
      </c>
      <c r="D599" s="234" t="str">
        <f t="shared" si="316"/>
        <v>3. Community Care</v>
      </c>
      <c r="E599" s="234" t="s">
        <v>381</v>
      </c>
      <c r="F599" s="234">
        <f>'F5 - Cost Pressures'!B318</f>
        <v>0</v>
      </c>
      <c r="AM599" s="233">
        <f>'F5 - Cost Pressures'!T8</f>
        <v>0</v>
      </c>
      <c r="AN599" s="233">
        <f>'F5 - Cost Pressures'!U8</f>
        <v>0</v>
      </c>
    </row>
    <row r="600" spans="1:40">
      <c r="A600" s="234" t="str">
        <f>'Front Sheet and Checklist'!$C$5</f>
        <v>Swansea Bay UHB</v>
      </c>
      <c r="B600" s="234" t="s">
        <v>374</v>
      </c>
      <c r="C600" s="234" t="str">
        <f t="shared" ref="C600:D600" si="317">C538</f>
        <v>National Investment Decisions</v>
      </c>
      <c r="D600" s="234" t="str">
        <f t="shared" si="317"/>
        <v>3. Community Care</v>
      </c>
      <c r="E600" s="234" t="s">
        <v>381</v>
      </c>
      <c r="F600" s="234">
        <f>'F5 - Cost Pressures'!B319</f>
        <v>0</v>
      </c>
      <c r="AM600" s="233">
        <f>'F5 - Cost Pressures'!T9</f>
        <v>0</v>
      </c>
      <c r="AN600" s="233">
        <f>'F5 - Cost Pressures'!U9</f>
        <v>0</v>
      </c>
    </row>
    <row r="601" spans="1:40">
      <c r="A601" s="234" t="str">
        <f>'Front Sheet and Checklist'!$C$5</f>
        <v>Swansea Bay UHB</v>
      </c>
      <c r="B601" s="234" t="s">
        <v>374</v>
      </c>
      <c r="C601" s="234" t="str">
        <f t="shared" ref="C601:D601" si="318">C539</f>
        <v>National Investment Decisions</v>
      </c>
      <c r="D601" s="234" t="str">
        <f t="shared" si="318"/>
        <v>4. Commissioned Activity (inc. CHC)</v>
      </c>
      <c r="E601" s="234" t="s">
        <v>381</v>
      </c>
      <c r="F601" s="234">
        <f>'F5 - Cost Pressures'!B320</f>
        <v>0</v>
      </c>
      <c r="AM601" s="233">
        <f>'F5 - Cost Pressures'!T10</f>
        <v>0</v>
      </c>
      <c r="AN601" s="233">
        <f>'F5 - Cost Pressures'!U10</f>
        <v>0</v>
      </c>
    </row>
    <row r="602" spans="1:40">
      <c r="A602" s="234" t="str">
        <f>'Front Sheet and Checklist'!$C$5</f>
        <v>Swansea Bay UHB</v>
      </c>
      <c r="B602" s="234" t="s">
        <v>374</v>
      </c>
      <c r="C602" s="234" t="str">
        <f t="shared" ref="C602:D602" si="319">C540</f>
        <v>National Investment Decisions</v>
      </c>
      <c r="D602" s="234">
        <f t="shared" si="319"/>
        <v>0</v>
      </c>
      <c r="E602" s="234" t="s">
        <v>381</v>
      </c>
      <c r="F602" s="234">
        <f>'F5 - Cost Pressures'!B321</f>
        <v>0</v>
      </c>
      <c r="AM602" s="233">
        <f>'F5 - Cost Pressures'!T11</f>
        <v>0</v>
      </c>
      <c r="AN602" s="233">
        <f>'F5 - Cost Pressures'!U11</f>
        <v>0</v>
      </c>
    </row>
    <row r="603" spans="1:40">
      <c r="A603" s="234" t="str">
        <f>'Front Sheet and Checklist'!$C$5</f>
        <v>Swansea Bay UHB</v>
      </c>
      <c r="B603" s="234" t="s">
        <v>374</v>
      </c>
      <c r="C603" s="234" t="str">
        <f t="shared" ref="C603:D603" si="320">C541</f>
        <v>National Investment Decisions</v>
      </c>
      <c r="D603" s="234">
        <f t="shared" si="320"/>
        <v>0</v>
      </c>
      <c r="E603" s="234" t="s">
        <v>381</v>
      </c>
      <c r="F603" s="234">
        <f>'F5 - Cost Pressures'!B322</f>
        <v>0</v>
      </c>
      <c r="AM603" s="233">
        <f>'F5 - Cost Pressures'!T12</f>
        <v>0</v>
      </c>
      <c r="AN603" s="233">
        <f>'F5 - Cost Pressures'!U12</f>
        <v>0</v>
      </c>
    </row>
    <row r="604" spans="1:40">
      <c r="A604" s="234" t="str">
        <f>'Front Sheet and Checklist'!$C$5</f>
        <v>Swansea Bay UHB</v>
      </c>
      <c r="B604" s="234" t="s">
        <v>374</v>
      </c>
      <c r="C604" s="234" t="str">
        <f t="shared" ref="C604:D604" si="321">C542</f>
        <v>National Investment Decisions</v>
      </c>
      <c r="D604" s="234">
        <f t="shared" si="321"/>
        <v>0</v>
      </c>
      <c r="E604" s="234" t="s">
        <v>381</v>
      </c>
      <c r="F604" s="234">
        <f>'F5 - Cost Pressures'!B323</f>
        <v>0</v>
      </c>
      <c r="AM604" s="233">
        <f>'F5 - Cost Pressures'!T13</f>
        <v>0</v>
      </c>
      <c r="AN604" s="233">
        <f>'F5 - Cost Pressures'!U13</f>
        <v>0</v>
      </c>
    </row>
    <row r="605" spans="1:40">
      <c r="A605" s="234" t="str">
        <f>'Front Sheet and Checklist'!$C$5</f>
        <v>Swansea Bay UHB</v>
      </c>
      <c r="B605" s="234" t="s">
        <v>374</v>
      </c>
      <c r="C605" s="234" t="str">
        <f t="shared" ref="C605:D605" si="322">C543</f>
        <v>National Investment Decisions</v>
      </c>
      <c r="D605" s="234">
        <f t="shared" si="322"/>
        <v>0</v>
      </c>
      <c r="E605" s="234" t="s">
        <v>381</v>
      </c>
      <c r="F605" s="234">
        <f>'F5 - Cost Pressures'!B324</f>
        <v>0</v>
      </c>
      <c r="AM605" s="233">
        <f>'F5 - Cost Pressures'!T14</f>
        <v>0</v>
      </c>
      <c r="AN605" s="233">
        <f>'F5 - Cost Pressures'!U14</f>
        <v>0</v>
      </c>
    </row>
    <row r="606" spans="1:40">
      <c r="A606" s="234" t="str">
        <f>'Front Sheet and Checklist'!$C$5</f>
        <v>Swansea Bay UHB</v>
      </c>
      <c r="B606" s="234" t="s">
        <v>374</v>
      </c>
      <c r="C606" s="234" t="str">
        <f t="shared" ref="C606:D606" si="323">C544</f>
        <v>National Investment Decisions</v>
      </c>
      <c r="D606" s="234">
        <f t="shared" si="323"/>
        <v>0</v>
      </c>
      <c r="E606" s="234" t="s">
        <v>381</v>
      </c>
      <c r="F606" s="234">
        <f>'F5 - Cost Pressures'!B325</f>
        <v>0</v>
      </c>
      <c r="AM606" s="233">
        <f>'F5 - Cost Pressures'!T15</f>
        <v>0</v>
      </c>
      <c r="AN606" s="233">
        <f>'F5 - Cost Pressures'!U15</f>
        <v>0</v>
      </c>
    </row>
    <row r="607" spans="1:40">
      <c r="A607" s="234" t="str">
        <f>'Front Sheet and Checklist'!$C$5</f>
        <v>Swansea Bay UHB</v>
      </c>
      <c r="B607" s="234" t="s">
        <v>374</v>
      </c>
      <c r="C607" s="234" t="str">
        <f t="shared" ref="C607:D607" si="324">C545</f>
        <v>National Investment Decisions</v>
      </c>
      <c r="D607" s="234">
        <f t="shared" si="324"/>
        <v>0</v>
      </c>
      <c r="E607" s="234" t="s">
        <v>381</v>
      </c>
      <c r="F607" s="234">
        <f>'F5 - Cost Pressures'!B326</f>
        <v>0</v>
      </c>
      <c r="AM607" s="233">
        <f>'F5 - Cost Pressures'!T16</f>
        <v>0</v>
      </c>
      <c r="AN607" s="233">
        <f>'F5 - Cost Pressures'!U16</f>
        <v>0</v>
      </c>
    </row>
    <row r="608" spans="1:40">
      <c r="A608" s="234" t="str">
        <f>'Front Sheet and Checklist'!$C$5</f>
        <v>Swansea Bay UHB</v>
      </c>
      <c r="B608" s="234" t="s">
        <v>374</v>
      </c>
      <c r="C608" s="234" t="str">
        <f t="shared" ref="C608:D608" si="325">C546</f>
        <v>National Investment Decisions</v>
      </c>
      <c r="D608" s="234">
        <f t="shared" si="325"/>
        <v>0</v>
      </c>
      <c r="E608" s="234" t="s">
        <v>381</v>
      </c>
      <c r="F608" s="234">
        <f>'F5 - Cost Pressures'!B327</f>
        <v>0</v>
      </c>
      <c r="AM608" s="233">
        <f>'F5 - Cost Pressures'!T17</f>
        <v>0</v>
      </c>
      <c r="AN608" s="233">
        <f>'F5 - Cost Pressures'!U17</f>
        <v>0</v>
      </c>
    </row>
    <row r="609" spans="1:40">
      <c r="A609" s="234" t="str">
        <f>'Front Sheet and Checklist'!$C$5</f>
        <v>Swansea Bay UHB</v>
      </c>
      <c r="B609" s="234" t="s">
        <v>374</v>
      </c>
      <c r="C609" s="234" t="str">
        <f t="shared" ref="C609:D609" si="326">C547</f>
        <v>National Investment Decisions</v>
      </c>
      <c r="D609" s="234">
        <f t="shared" si="326"/>
        <v>0</v>
      </c>
      <c r="E609" s="234" t="s">
        <v>381</v>
      </c>
      <c r="F609" s="234">
        <f>'F5 - Cost Pressures'!B328</f>
        <v>0</v>
      </c>
      <c r="AM609" s="233">
        <f>'F5 - Cost Pressures'!T18</f>
        <v>0</v>
      </c>
      <c r="AN609" s="233">
        <f>'F5 - Cost Pressures'!U18</f>
        <v>0</v>
      </c>
    </row>
    <row r="610" spans="1:40">
      <c r="A610" s="234" t="str">
        <f>'Front Sheet and Checklist'!$C$5</f>
        <v>Swansea Bay UHB</v>
      </c>
      <c r="B610" s="234" t="s">
        <v>374</v>
      </c>
      <c r="C610" s="234" t="str">
        <f t="shared" ref="C610:D610" si="327">C548</f>
        <v>National Investment Decisions</v>
      </c>
      <c r="D610" s="234">
        <f t="shared" si="327"/>
        <v>0</v>
      </c>
      <c r="E610" s="234" t="s">
        <v>381</v>
      </c>
      <c r="F610" s="234">
        <f>'F5 - Cost Pressures'!B329</f>
        <v>0</v>
      </c>
      <c r="AM610" s="233">
        <f>'F5 - Cost Pressures'!T19</f>
        <v>0</v>
      </c>
      <c r="AN610" s="233">
        <f>'F5 - Cost Pressures'!U19</f>
        <v>0</v>
      </c>
    </row>
    <row r="611" spans="1:40">
      <c r="A611" s="234" t="str">
        <f>'Front Sheet and Checklist'!$C$5</f>
        <v>Swansea Bay UHB</v>
      </c>
      <c r="B611" s="234" t="s">
        <v>374</v>
      </c>
      <c r="C611" s="234" t="str">
        <f t="shared" ref="C611:D611" si="328">C549</f>
        <v>Macro Economic Inflation</v>
      </c>
      <c r="D611" s="234">
        <f t="shared" si="328"/>
        <v>0</v>
      </c>
      <c r="E611" s="234" t="s">
        <v>381</v>
      </c>
      <c r="F611" s="234">
        <f>'F5 - Cost Pressures'!B330</f>
        <v>0</v>
      </c>
      <c r="AM611" s="233">
        <f>'F5 - Cost Pressures'!T20</f>
        <v>0</v>
      </c>
      <c r="AN611" s="233">
        <f>'F5 - Cost Pressures'!U20</f>
        <v>0</v>
      </c>
    </row>
    <row r="612" spans="1:40">
      <c r="A612" s="234" t="str">
        <f>'Front Sheet and Checklist'!$C$5</f>
        <v>Swansea Bay UHB</v>
      </c>
      <c r="B612" s="234" t="s">
        <v>374</v>
      </c>
      <c r="C612" s="234" t="str">
        <f t="shared" ref="C612:D612" si="329">C550</f>
        <v>Macro Economic Inflation</v>
      </c>
      <c r="D612" s="234">
        <f t="shared" si="329"/>
        <v>0</v>
      </c>
      <c r="E612" s="234" t="s">
        <v>381</v>
      </c>
      <c r="F612" s="234">
        <f>'F5 - Cost Pressures'!B331</f>
        <v>0</v>
      </c>
      <c r="AM612" s="233">
        <f>'F5 - Cost Pressures'!T21</f>
        <v>0</v>
      </c>
      <c r="AN612" s="233">
        <f>'F5 - Cost Pressures'!U21</f>
        <v>0</v>
      </c>
    </row>
    <row r="613" spans="1:40">
      <c r="A613" s="234" t="str">
        <f>'Front Sheet and Checklist'!$C$5</f>
        <v>Swansea Bay UHB</v>
      </c>
      <c r="B613" s="234" t="s">
        <v>374</v>
      </c>
      <c r="C613" s="234" t="str">
        <f t="shared" ref="C613:D613" si="330">C551</f>
        <v>Macro Economic Inflation</v>
      </c>
      <c r="D613" s="234">
        <f t="shared" si="330"/>
        <v>0</v>
      </c>
      <c r="E613" s="234" t="s">
        <v>381</v>
      </c>
      <c r="F613" s="234">
        <f>'F5 - Cost Pressures'!B332</f>
        <v>0</v>
      </c>
      <c r="AM613" s="233">
        <f>'F5 - Cost Pressures'!T22</f>
        <v>0</v>
      </c>
      <c r="AN613" s="233">
        <f>'F5 - Cost Pressures'!U22</f>
        <v>0</v>
      </c>
    </row>
    <row r="614" spans="1:40">
      <c r="A614" s="234" t="str">
        <f>'Front Sheet and Checklist'!$C$5</f>
        <v>Swansea Bay UHB</v>
      </c>
      <c r="B614" s="234" t="s">
        <v>374</v>
      </c>
      <c r="C614" s="234" t="str">
        <f t="shared" ref="C614:D614" si="331">C552</f>
        <v>Macro Economic Inflation</v>
      </c>
      <c r="D614" s="234">
        <f t="shared" si="331"/>
        <v>0</v>
      </c>
      <c r="E614" s="234" t="s">
        <v>381</v>
      </c>
      <c r="F614" s="234">
        <f>'F5 - Cost Pressures'!B333</f>
        <v>0</v>
      </c>
      <c r="AM614" s="233">
        <f>'F5 - Cost Pressures'!T23</f>
        <v>0</v>
      </c>
      <c r="AN614" s="233">
        <f>'F5 - Cost Pressures'!U23</f>
        <v>0</v>
      </c>
    </row>
    <row r="615" spans="1:40">
      <c r="A615" s="234" t="str">
        <f>'Front Sheet and Checklist'!$C$5</f>
        <v>Swansea Bay UHB</v>
      </c>
      <c r="B615" s="234" t="s">
        <v>374</v>
      </c>
      <c r="C615" s="234" t="str">
        <f t="shared" ref="C615:D615" si="332">C553</f>
        <v>Macro Economic Inflation</v>
      </c>
      <c r="D615" s="234">
        <f t="shared" si="332"/>
        <v>0</v>
      </c>
      <c r="E615" s="234" t="s">
        <v>381</v>
      </c>
      <c r="F615" s="234">
        <f>'F5 - Cost Pressures'!B334</f>
        <v>0</v>
      </c>
      <c r="AM615" s="233">
        <f>'F5 - Cost Pressures'!T24</f>
        <v>0</v>
      </c>
      <c r="AN615" s="233">
        <f>'F5 - Cost Pressures'!U24</f>
        <v>0</v>
      </c>
    </row>
    <row r="616" spans="1:40">
      <c r="A616" s="234" t="str">
        <f>'Front Sheet and Checklist'!$C$5</f>
        <v>Swansea Bay UHB</v>
      </c>
      <c r="B616" s="234" t="s">
        <v>374</v>
      </c>
      <c r="C616" s="234" t="str">
        <f t="shared" ref="C616:D616" si="333">C554</f>
        <v>Macro Economic Inflation</v>
      </c>
      <c r="D616" s="234">
        <f t="shared" si="333"/>
        <v>0</v>
      </c>
      <c r="E616" s="234" t="s">
        <v>381</v>
      </c>
      <c r="F616" s="234">
        <f>'F5 - Cost Pressures'!B335</f>
        <v>0</v>
      </c>
      <c r="AM616" s="233">
        <f>'F5 - Cost Pressures'!T25</f>
        <v>0</v>
      </c>
      <c r="AN616" s="233">
        <f>'F5 - Cost Pressures'!U25</f>
        <v>0</v>
      </c>
    </row>
    <row r="617" spans="1:40">
      <c r="A617" s="234" t="str">
        <f>'Front Sheet and Checklist'!$C$5</f>
        <v>Swansea Bay UHB</v>
      </c>
      <c r="B617" s="234" t="s">
        <v>374</v>
      </c>
      <c r="C617" s="234" t="str">
        <f t="shared" ref="C617:D617" si="334">C555</f>
        <v>Macro Economic Inflation</v>
      </c>
      <c r="D617" s="234">
        <f t="shared" si="334"/>
        <v>0</v>
      </c>
      <c r="E617" s="234" t="s">
        <v>381</v>
      </c>
      <c r="F617" s="234">
        <f>'F5 - Cost Pressures'!B336</f>
        <v>0</v>
      </c>
      <c r="AM617" s="233">
        <f>'F5 - Cost Pressures'!T26</f>
        <v>3200</v>
      </c>
      <c r="AN617" s="233">
        <f>'F5 - Cost Pressures'!U26</f>
        <v>3200</v>
      </c>
    </row>
    <row r="618" spans="1:40">
      <c r="A618" s="234" t="str">
        <f>'Front Sheet and Checklist'!$C$5</f>
        <v>Swansea Bay UHB</v>
      </c>
      <c r="B618" s="234" t="s">
        <v>374</v>
      </c>
      <c r="C618" s="234" t="str">
        <f t="shared" ref="C618:D618" si="335">C556</f>
        <v>Macro Economic Inflation</v>
      </c>
      <c r="D618" s="234">
        <f t="shared" si="335"/>
        <v>0</v>
      </c>
      <c r="E618" s="234" t="s">
        <v>381</v>
      </c>
      <c r="F618" s="234">
        <f>'F5 - Cost Pressures'!B337</f>
        <v>0</v>
      </c>
      <c r="AM618" s="233">
        <f>'F5 - Cost Pressures'!T27</f>
        <v>1223.3333333333333</v>
      </c>
      <c r="AN618" s="233">
        <f>'F5 - Cost Pressures'!U27</f>
        <v>1223.3333333333333</v>
      </c>
    </row>
    <row r="619" spans="1:40">
      <c r="A619" s="234" t="str">
        <f>'Front Sheet and Checklist'!$C$5</f>
        <v>Swansea Bay UHB</v>
      </c>
      <c r="B619" s="234" t="s">
        <v>374</v>
      </c>
      <c r="C619" s="234" t="str">
        <f t="shared" ref="C619:D619" si="336">C557</f>
        <v>Macro Economic Inflation</v>
      </c>
      <c r="D619" s="234">
        <f t="shared" si="336"/>
        <v>0</v>
      </c>
      <c r="E619" s="234" t="s">
        <v>381</v>
      </c>
      <c r="F619" s="234">
        <f>'F5 - Cost Pressures'!B338</f>
        <v>0</v>
      </c>
      <c r="AM619" s="233">
        <f>'F5 - Cost Pressures'!T28</f>
        <v>0</v>
      </c>
      <c r="AN619" s="233">
        <f>'F5 - Cost Pressures'!U28</f>
        <v>0</v>
      </c>
    </row>
    <row r="620" spans="1:40">
      <c r="A620" s="234" t="str">
        <f>'Front Sheet and Checklist'!$C$5</f>
        <v>Swansea Bay UHB</v>
      </c>
      <c r="B620" s="234" t="s">
        <v>374</v>
      </c>
      <c r="C620" s="234" t="str">
        <f t="shared" ref="C620:D620" si="337">C558</f>
        <v>Macro Economic Inflation</v>
      </c>
      <c r="D620" s="234">
        <f t="shared" si="337"/>
        <v>0</v>
      </c>
      <c r="E620" s="234" t="s">
        <v>381</v>
      </c>
      <c r="F620" s="234">
        <f>'F5 - Cost Pressures'!B339</f>
        <v>0</v>
      </c>
      <c r="AM620" s="233">
        <f>'F5 - Cost Pressures'!T29</f>
        <v>0</v>
      </c>
      <c r="AN620" s="233">
        <f>'F5 - Cost Pressures'!U29</f>
        <v>0</v>
      </c>
    </row>
    <row r="621" spans="1:40">
      <c r="A621" s="234" t="str">
        <f>'Front Sheet and Checklist'!$C$5</f>
        <v>Swansea Bay UHB</v>
      </c>
      <c r="B621" s="234" t="s">
        <v>374</v>
      </c>
      <c r="C621" s="234" t="str">
        <f t="shared" ref="C621:D621" si="338">C559</f>
        <v>Macro Economic Inflation</v>
      </c>
      <c r="D621" s="234">
        <f t="shared" si="338"/>
        <v>0</v>
      </c>
      <c r="E621" s="234" t="s">
        <v>381</v>
      </c>
      <c r="F621" s="234">
        <f>'F5 - Cost Pressures'!B340</f>
        <v>0</v>
      </c>
      <c r="AM621" s="233">
        <f>'F5 - Cost Pressures'!T30</f>
        <v>0</v>
      </c>
      <c r="AN621" s="233">
        <f>'F5 - Cost Pressures'!U30</f>
        <v>0</v>
      </c>
    </row>
    <row r="622" spans="1:40">
      <c r="A622" s="234" t="str">
        <f>'Front Sheet and Checklist'!$C$5</f>
        <v>Swansea Bay UHB</v>
      </c>
      <c r="B622" s="234" t="s">
        <v>374</v>
      </c>
      <c r="C622" s="234" t="str">
        <f t="shared" ref="C622:D622" si="339">C560</f>
        <v>Macro Economic Inflation</v>
      </c>
      <c r="D622" s="234">
        <f t="shared" si="339"/>
        <v>0</v>
      </c>
      <c r="E622" s="234" t="s">
        <v>381</v>
      </c>
      <c r="F622" s="234">
        <f>'F5 - Cost Pressures'!B341</f>
        <v>0</v>
      </c>
      <c r="AM622" s="233">
        <f>'F5 - Cost Pressures'!T31</f>
        <v>0</v>
      </c>
      <c r="AN622" s="233">
        <f>'F5 - Cost Pressures'!U31</f>
        <v>0</v>
      </c>
    </row>
    <row r="623" spans="1:40">
      <c r="A623" s="234" t="str">
        <f>'Front Sheet and Checklist'!$C$5</f>
        <v>Swansea Bay UHB</v>
      </c>
      <c r="B623" s="234" t="s">
        <v>374</v>
      </c>
      <c r="C623" s="234" t="str">
        <f t="shared" ref="C623:D623" si="340">C561</f>
        <v>Contractual or unavoidable</v>
      </c>
      <c r="D623" s="234">
        <f t="shared" si="340"/>
        <v>0</v>
      </c>
      <c r="E623" s="234" t="s">
        <v>381</v>
      </c>
      <c r="F623" s="234">
        <f>'F5 - Cost Pressures'!B342</f>
        <v>0</v>
      </c>
      <c r="AM623" s="233">
        <f>'F5 - Cost Pressures'!T32</f>
        <v>2800</v>
      </c>
      <c r="AN623" s="233">
        <f>'F5 - Cost Pressures'!U32</f>
        <v>2800</v>
      </c>
    </row>
    <row r="624" spans="1:40">
      <c r="A624" s="234" t="str">
        <f>'Front Sheet and Checklist'!$C$5</f>
        <v>Swansea Bay UHB</v>
      </c>
      <c r="B624" s="234" t="s">
        <v>374</v>
      </c>
      <c r="C624" s="234" t="str">
        <f t="shared" ref="C624:D624" si="341">C562</f>
        <v>Contractual or unavoidable</v>
      </c>
      <c r="D624" s="234">
        <f t="shared" si="341"/>
        <v>0</v>
      </c>
      <c r="E624" s="234" t="s">
        <v>381</v>
      </c>
      <c r="F624" s="234">
        <f>'F5 - Cost Pressures'!B343</f>
        <v>0</v>
      </c>
      <c r="AM624" s="233">
        <f>'F5 - Cost Pressures'!T33</f>
        <v>500</v>
      </c>
      <c r="AN624" s="233">
        <f>'F5 - Cost Pressures'!U33</f>
        <v>500</v>
      </c>
    </row>
    <row r="625" spans="1:40">
      <c r="A625" s="234" t="str">
        <f>'Front Sheet and Checklist'!$C$5</f>
        <v>Swansea Bay UHB</v>
      </c>
      <c r="B625" s="234" t="s">
        <v>374</v>
      </c>
      <c r="C625" s="234">
        <f t="shared" ref="C625:D625" si="342">C563</f>
        <v>0</v>
      </c>
      <c r="D625" s="234">
        <f t="shared" si="342"/>
        <v>0</v>
      </c>
      <c r="E625" s="234" t="s">
        <v>381</v>
      </c>
      <c r="F625" s="234">
        <f>'F5 - Cost Pressures'!B344</f>
        <v>0</v>
      </c>
      <c r="AM625" s="233">
        <f>'F5 - Cost Pressures'!T34</f>
        <v>0</v>
      </c>
      <c r="AN625" s="233">
        <f>'F5 - Cost Pressures'!U34</f>
        <v>0</v>
      </c>
    </row>
    <row r="626" spans="1:40">
      <c r="A626" s="234" t="str">
        <f>'Front Sheet and Checklist'!$C$5</f>
        <v>Swansea Bay UHB</v>
      </c>
      <c r="B626" s="234" t="s">
        <v>374</v>
      </c>
      <c r="C626" s="234">
        <f t="shared" ref="C626:D626" si="343">C564</f>
        <v>0</v>
      </c>
      <c r="D626" s="234">
        <f t="shared" si="343"/>
        <v>0</v>
      </c>
      <c r="E626" s="234" t="s">
        <v>381</v>
      </c>
      <c r="F626" s="234">
        <f>'F5 - Cost Pressures'!B345</f>
        <v>0</v>
      </c>
      <c r="AM626" s="233">
        <f>'F5 - Cost Pressures'!T35</f>
        <v>0</v>
      </c>
      <c r="AN626" s="233">
        <f>'F5 - Cost Pressures'!U35</f>
        <v>0</v>
      </c>
    </row>
    <row r="627" spans="1:40">
      <c r="A627" s="234" t="str">
        <f>'Front Sheet and Checklist'!$C$5</f>
        <v>Swansea Bay UHB</v>
      </c>
      <c r="B627" s="234" t="s">
        <v>374</v>
      </c>
      <c r="C627" s="234">
        <f t="shared" ref="C627:D627" si="344">C565</f>
        <v>0</v>
      </c>
      <c r="D627" s="234">
        <f t="shared" si="344"/>
        <v>0</v>
      </c>
      <c r="E627" s="234" t="s">
        <v>381</v>
      </c>
      <c r="F627" s="234">
        <f>'F5 - Cost Pressures'!B346</f>
        <v>0</v>
      </c>
      <c r="AM627" s="233">
        <f>'F5 - Cost Pressures'!T36</f>
        <v>0</v>
      </c>
      <c r="AN627" s="233">
        <f>'F5 - Cost Pressures'!U36</f>
        <v>0</v>
      </c>
    </row>
    <row r="628" spans="1:40">
      <c r="A628" s="234" t="str">
        <f>'Front Sheet and Checklist'!$C$5</f>
        <v>Swansea Bay UHB</v>
      </c>
      <c r="B628" s="234" t="s">
        <v>374</v>
      </c>
      <c r="C628" s="234" t="str">
        <f t="shared" ref="C628:D628" si="345">C566</f>
        <v>Macro Economic Inflation</v>
      </c>
      <c r="D628" s="234">
        <f t="shared" si="345"/>
        <v>0</v>
      </c>
      <c r="E628" s="234" t="s">
        <v>381</v>
      </c>
      <c r="F628" s="234">
        <f>'F5 - Cost Pressures'!B347</f>
        <v>0</v>
      </c>
      <c r="AM628" s="233">
        <f>'F5 - Cost Pressures'!T37</f>
        <v>0</v>
      </c>
      <c r="AN628" s="233">
        <f>'F5 - Cost Pressures'!U37</f>
        <v>0</v>
      </c>
    </row>
    <row r="629" spans="1:40">
      <c r="A629" s="234" t="str">
        <f>'Front Sheet and Checklist'!$C$5</f>
        <v>Swansea Bay UHB</v>
      </c>
      <c r="B629" s="234" t="s">
        <v>374</v>
      </c>
      <c r="C629" s="234" t="str">
        <f t="shared" ref="C629:D629" si="346">C567</f>
        <v>Macro Economic Inflation</v>
      </c>
      <c r="D629" s="234">
        <f t="shared" si="346"/>
        <v>0</v>
      </c>
      <c r="E629" s="234" t="s">
        <v>381</v>
      </c>
      <c r="F629" s="234">
        <f>'F5 - Cost Pressures'!B348</f>
        <v>0</v>
      </c>
      <c r="AM629" s="233">
        <f>'F5 - Cost Pressures'!T38</f>
        <v>0</v>
      </c>
      <c r="AN629" s="233">
        <f>'F5 - Cost Pressures'!U38</f>
        <v>0</v>
      </c>
    </row>
    <row r="630" spans="1:40">
      <c r="A630" s="234" t="str">
        <f>'Front Sheet and Checklist'!$C$5</f>
        <v>Swansea Bay UHB</v>
      </c>
      <c r="B630" s="234" t="s">
        <v>374</v>
      </c>
      <c r="C630" s="234" t="str">
        <f t="shared" ref="C630:D630" si="347">C568</f>
        <v>Macro Economic Inflation</v>
      </c>
      <c r="D630" s="234">
        <f t="shared" si="347"/>
        <v>0</v>
      </c>
      <c r="E630" s="234" t="s">
        <v>381</v>
      </c>
      <c r="F630" s="234">
        <f>'F5 - Cost Pressures'!B349</f>
        <v>0</v>
      </c>
      <c r="AM630" s="233">
        <f>'F5 - Cost Pressures'!T39</f>
        <v>0</v>
      </c>
      <c r="AN630" s="233">
        <f>'F5 - Cost Pressures'!U39</f>
        <v>0</v>
      </c>
    </row>
    <row r="631" spans="1:40">
      <c r="A631" s="234" t="str">
        <f>'Front Sheet and Checklist'!$C$5</f>
        <v>Swansea Bay UHB</v>
      </c>
      <c r="B631" s="234" t="s">
        <v>374</v>
      </c>
      <c r="C631" s="234" t="str">
        <f t="shared" ref="C631:D631" si="348">C569</f>
        <v>Macro Economic Inflation</v>
      </c>
      <c r="D631" s="234">
        <f t="shared" si="348"/>
        <v>0</v>
      </c>
      <c r="E631" s="234" t="s">
        <v>381</v>
      </c>
      <c r="F631" s="234">
        <f>'F5 - Cost Pressures'!B350</f>
        <v>0</v>
      </c>
      <c r="AM631" s="233">
        <f>'F5 - Cost Pressures'!T40</f>
        <v>0</v>
      </c>
      <c r="AN631" s="233">
        <f>'F5 - Cost Pressures'!U40</f>
        <v>0</v>
      </c>
    </row>
    <row r="632" spans="1:40">
      <c r="A632" s="234" t="str">
        <f>'Front Sheet and Checklist'!$C$5</f>
        <v>Swansea Bay UHB</v>
      </c>
      <c r="B632" s="234" t="s">
        <v>374</v>
      </c>
      <c r="C632" s="234" t="str">
        <f t="shared" ref="C632:D632" si="349">C570</f>
        <v>Local Investment Decisions</v>
      </c>
      <c r="D632" s="234">
        <f t="shared" si="349"/>
        <v>0</v>
      </c>
      <c r="E632" s="234" t="s">
        <v>381</v>
      </c>
      <c r="F632" s="234">
        <f>'F5 - Cost Pressures'!B351</f>
        <v>0</v>
      </c>
      <c r="AM632" s="233">
        <f>'F5 - Cost Pressures'!T41</f>
        <v>0</v>
      </c>
      <c r="AN632" s="233">
        <f>'F5 - Cost Pressures'!U41</f>
        <v>0</v>
      </c>
    </row>
    <row r="633" spans="1:40">
      <c r="A633" s="234" t="str">
        <f>'Front Sheet and Checklist'!$C$5</f>
        <v>Swansea Bay UHB</v>
      </c>
      <c r="B633" s="234" t="s">
        <v>374</v>
      </c>
      <c r="C633" s="234" t="str">
        <f t="shared" ref="C633:D633" si="350">C571</f>
        <v>Local Investment Decisions</v>
      </c>
      <c r="D633" s="234">
        <f t="shared" si="350"/>
        <v>0</v>
      </c>
      <c r="E633" s="234" t="s">
        <v>381</v>
      </c>
      <c r="F633" s="234">
        <f>'F5 - Cost Pressures'!B352</f>
        <v>0</v>
      </c>
      <c r="AM633" s="233">
        <f>'F5 - Cost Pressures'!T42</f>
        <v>0</v>
      </c>
      <c r="AN633" s="233">
        <f>'F5 - Cost Pressures'!U42</f>
        <v>0</v>
      </c>
    </row>
    <row r="634" spans="1:40">
      <c r="A634" s="234" t="str">
        <f>'Front Sheet and Checklist'!$C$5</f>
        <v>Swansea Bay UHB</v>
      </c>
      <c r="B634" s="234" t="s">
        <v>374</v>
      </c>
      <c r="C634" s="234" t="str">
        <f t="shared" ref="C634:D634" si="351">C572</f>
        <v>Local Investment Decisions</v>
      </c>
      <c r="D634" s="234">
        <f t="shared" si="351"/>
        <v>0</v>
      </c>
      <c r="E634" s="234" t="s">
        <v>381</v>
      </c>
      <c r="F634" s="234">
        <f>'F5 - Cost Pressures'!B353</f>
        <v>0</v>
      </c>
      <c r="AM634" s="233">
        <f>'F5 - Cost Pressures'!T43</f>
        <v>0</v>
      </c>
      <c r="AN634" s="233">
        <f>'F5 - Cost Pressures'!U43</f>
        <v>0</v>
      </c>
    </row>
    <row r="635" spans="1:40">
      <c r="A635" s="234" t="str">
        <f>'Front Sheet and Checklist'!$C$5</f>
        <v>Swansea Bay UHB</v>
      </c>
      <c r="B635" s="234" t="s">
        <v>374</v>
      </c>
      <c r="C635" s="234" t="str">
        <f t="shared" ref="C635:D635" si="352">C573</f>
        <v>Local Investment Decisions</v>
      </c>
      <c r="D635" s="234">
        <f t="shared" si="352"/>
        <v>0</v>
      </c>
      <c r="E635" s="234" t="s">
        <v>381</v>
      </c>
      <c r="F635" s="234">
        <f>'F5 - Cost Pressures'!B354</f>
        <v>0</v>
      </c>
      <c r="AM635" s="233">
        <f>'F5 - Cost Pressures'!T44</f>
        <v>0</v>
      </c>
      <c r="AN635" s="233">
        <f>'F5 - Cost Pressures'!U44</f>
        <v>0</v>
      </c>
    </row>
    <row r="636" spans="1:40">
      <c r="A636" s="234" t="str">
        <f>'Front Sheet and Checklist'!$C$5</f>
        <v>Swansea Bay UHB</v>
      </c>
      <c r="B636" s="234" t="s">
        <v>374</v>
      </c>
      <c r="C636" s="234" t="str">
        <f t="shared" ref="C636:D636" si="353">C574</f>
        <v>Local Investment Decisions</v>
      </c>
      <c r="D636" s="234">
        <f t="shared" si="353"/>
        <v>0</v>
      </c>
      <c r="E636" s="234" t="s">
        <v>381</v>
      </c>
      <c r="F636" s="234">
        <f>'F5 - Cost Pressures'!B355</f>
        <v>0</v>
      </c>
      <c r="AM636" s="233">
        <f>'F5 - Cost Pressures'!T45</f>
        <v>0</v>
      </c>
      <c r="AN636" s="233">
        <f>'F5 - Cost Pressures'!U45</f>
        <v>0</v>
      </c>
    </row>
    <row r="637" spans="1:40">
      <c r="A637" s="234" t="str">
        <f>'Front Sheet and Checklist'!$C$5</f>
        <v>Swansea Bay UHB</v>
      </c>
      <c r="B637" s="234" t="s">
        <v>374</v>
      </c>
      <c r="C637" s="234" t="str">
        <f t="shared" ref="C637:D637" si="354">C575</f>
        <v>Local Investment Decisions</v>
      </c>
      <c r="D637" s="234">
        <f t="shared" si="354"/>
        <v>0</v>
      </c>
      <c r="E637" s="234" t="s">
        <v>381</v>
      </c>
      <c r="F637" s="234">
        <f>'F5 - Cost Pressures'!B356</f>
        <v>0</v>
      </c>
      <c r="AM637" s="233">
        <f>'F5 - Cost Pressures'!T46</f>
        <v>0</v>
      </c>
      <c r="AN637" s="233">
        <f>'F5 - Cost Pressures'!U46</f>
        <v>0</v>
      </c>
    </row>
    <row r="638" spans="1:40">
      <c r="A638" s="234" t="str">
        <f>'Front Sheet and Checklist'!$C$5</f>
        <v>Swansea Bay UHB</v>
      </c>
      <c r="B638" s="234" t="s">
        <v>374</v>
      </c>
      <c r="C638" s="234" t="str">
        <f t="shared" ref="C638:D638" si="355">C576</f>
        <v>Local Investment Decisions</v>
      </c>
      <c r="D638" s="234">
        <f t="shared" si="355"/>
        <v>0</v>
      </c>
      <c r="E638" s="234" t="s">
        <v>381</v>
      </c>
      <c r="F638" s="234">
        <f>'F5 - Cost Pressures'!B357</f>
        <v>0</v>
      </c>
      <c r="AM638" s="233">
        <f>'F5 - Cost Pressures'!T47</f>
        <v>0</v>
      </c>
      <c r="AN638" s="233">
        <f>'F5 - Cost Pressures'!U47</f>
        <v>0</v>
      </c>
    </row>
    <row r="639" spans="1:40">
      <c r="A639" s="234" t="str">
        <f>'Front Sheet and Checklist'!$C$5</f>
        <v>Swansea Bay UHB</v>
      </c>
      <c r="B639" s="234" t="s">
        <v>374</v>
      </c>
      <c r="C639" s="234" t="str">
        <f t="shared" ref="C639:D639" si="356">C577</f>
        <v>Local Investment Decisions</v>
      </c>
      <c r="D639" s="234">
        <f t="shared" si="356"/>
        <v>0</v>
      </c>
      <c r="E639" s="234" t="s">
        <v>381</v>
      </c>
      <c r="F639" s="234">
        <f>'F5 - Cost Pressures'!B358</f>
        <v>0</v>
      </c>
      <c r="AM639" s="233">
        <f>'F5 - Cost Pressures'!T48</f>
        <v>0</v>
      </c>
      <c r="AN639" s="233">
        <f>'F5 - Cost Pressures'!U48</f>
        <v>0</v>
      </c>
    </row>
    <row r="640" spans="1:40">
      <c r="A640" s="234" t="str">
        <f>'Front Sheet and Checklist'!$C$5</f>
        <v>Swansea Bay UHB</v>
      </c>
      <c r="B640" s="234" t="s">
        <v>374</v>
      </c>
      <c r="C640" s="234" t="str">
        <f t="shared" ref="C640:D640" si="357">C578</f>
        <v>Local Investment Decisions</v>
      </c>
      <c r="D640" s="234">
        <f t="shared" si="357"/>
        <v>0</v>
      </c>
      <c r="E640" s="234" t="s">
        <v>381</v>
      </c>
      <c r="F640" s="234">
        <f>'F5 - Cost Pressures'!B359</f>
        <v>0</v>
      </c>
      <c r="AM640" s="233">
        <f>'F5 - Cost Pressures'!T49</f>
        <v>0</v>
      </c>
      <c r="AN640" s="233">
        <f>'F5 - Cost Pressures'!U49</f>
        <v>0</v>
      </c>
    </row>
    <row r="641" spans="1:40">
      <c r="A641" s="234" t="str">
        <f>'Front Sheet and Checklist'!$C$5</f>
        <v>Swansea Bay UHB</v>
      </c>
      <c r="B641" s="234" t="s">
        <v>374</v>
      </c>
      <c r="C641" s="234" t="str">
        <f t="shared" ref="C641:D641" si="358">C579</f>
        <v>Local Investment Decisions</v>
      </c>
      <c r="D641" s="234">
        <f t="shared" si="358"/>
        <v>0</v>
      </c>
      <c r="E641" s="234" t="s">
        <v>381</v>
      </c>
      <c r="F641" s="234">
        <f>'F5 - Cost Pressures'!B360</f>
        <v>0</v>
      </c>
      <c r="AM641" s="233">
        <f>'F5 - Cost Pressures'!T50</f>
        <v>0</v>
      </c>
      <c r="AN641" s="233">
        <f>'F5 - Cost Pressures'!U50</f>
        <v>0</v>
      </c>
    </row>
    <row r="642" spans="1:40">
      <c r="A642" s="234" t="str">
        <f>'Front Sheet and Checklist'!$C$5</f>
        <v>Swansea Bay UHB</v>
      </c>
      <c r="B642" s="234" t="s">
        <v>374</v>
      </c>
      <c r="C642" s="234" t="str">
        <f t="shared" ref="C642:D642" si="359">C580</f>
        <v>Contractual or unavoidable</v>
      </c>
      <c r="D642" s="234">
        <f t="shared" si="359"/>
        <v>0</v>
      </c>
      <c r="E642" s="234" t="s">
        <v>381</v>
      </c>
      <c r="F642" s="234">
        <f>'F5 - Cost Pressures'!B361</f>
        <v>0</v>
      </c>
      <c r="AM642" s="233">
        <f>'F5 - Cost Pressures'!T51</f>
        <v>125</v>
      </c>
      <c r="AN642" s="233">
        <f>'F5 - Cost Pressures'!U51</f>
        <v>125</v>
      </c>
    </row>
    <row r="643" spans="1:40">
      <c r="A643" s="234" t="str">
        <f>'Front Sheet and Checklist'!$C$5</f>
        <v>Swansea Bay UHB</v>
      </c>
      <c r="B643" s="234" t="s">
        <v>374</v>
      </c>
      <c r="C643" s="234">
        <f t="shared" ref="C643:D643" si="360">C581</f>
        <v>0</v>
      </c>
      <c r="D643" s="234">
        <f t="shared" si="360"/>
        <v>0</v>
      </c>
      <c r="E643" s="234" t="s">
        <v>381</v>
      </c>
      <c r="F643" s="234">
        <f>'F5 - Cost Pressures'!B362</f>
        <v>0</v>
      </c>
      <c r="AM643" s="233">
        <f>'F5 - Cost Pressures'!T52</f>
        <v>0</v>
      </c>
      <c r="AN643" s="233">
        <f>'F5 - Cost Pressures'!U52</f>
        <v>0</v>
      </c>
    </row>
    <row r="644" spans="1:40">
      <c r="A644" s="234" t="str">
        <f>'Front Sheet and Checklist'!$C$5</f>
        <v>Swansea Bay UHB</v>
      </c>
      <c r="B644" s="234" t="s">
        <v>374</v>
      </c>
      <c r="C644" s="234">
        <f t="shared" ref="C644:D644" si="361">C582</f>
        <v>0</v>
      </c>
      <c r="D644" s="234">
        <f t="shared" si="361"/>
        <v>0</v>
      </c>
      <c r="E644" s="234" t="s">
        <v>381</v>
      </c>
      <c r="F644" s="234">
        <f>'F5 - Cost Pressures'!B363</f>
        <v>0</v>
      </c>
      <c r="AM644" s="233">
        <f>'F5 - Cost Pressures'!T53</f>
        <v>0</v>
      </c>
      <c r="AN644" s="233">
        <f>'F5 - Cost Pressures'!U53</f>
        <v>0</v>
      </c>
    </row>
    <row r="645" spans="1:40">
      <c r="A645" s="234" t="str">
        <f>'Front Sheet and Checklist'!$C$5</f>
        <v>Swansea Bay UHB</v>
      </c>
      <c r="B645" s="234" t="s">
        <v>374</v>
      </c>
      <c r="C645" s="234">
        <f t="shared" ref="C645:D645" si="362">C583</f>
        <v>0</v>
      </c>
      <c r="D645" s="234">
        <f t="shared" si="362"/>
        <v>0</v>
      </c>
      <c r="E645" s="234" t="s">
        <v>381</v>
      </c>
      <c r="F645" s="234">
        <f>'F5 - Cost Pressures'!B364</f>
        <v>0</v>
      </c>
      <c r="AM645" s="233">
        <f>'F5 - Cost Pressures'!T54</f>
        <v>0</v>
      </c>
      <c r="AN645" s="233">
        <f>'F5 - Cost Pressures'!U54</f>
        <v>0</v>
      </c>
    </row>
    <row r="646" spans="1:40">
      <c r="A646" s="234" t="str">
        <f>'Front Sheet and Checklist'!$C$5</f>
        <v>Swansea Bay UHB</v>
      </c>
      <c r="B646" s="234" t="s">
        <v>374</v>
      </c>
      <c r="C646" s="234">
        <f t="shared" ref="C646:D646" si="363">C584</f>
        <v>0</v>
      </c>
      <c r="D646" s="234">
        <f t="shared" si="363"/>
        <v>0</v>
      </c>
      <c r="E646" s="234" t="s">
        <v>381</v>
      </c>
      <c r="F646" s="234">
        <f>'F5 - Cost Pressures'!B365</f>
        <v>0</v>
      </c>
      <c r="AM646" s="233">
        <f>'F5 - Cost Pressures'!T55</f>
        <v>0</v>
      </c>
      <c r="AN646" s="233">
        <f>'F5 - Cost Pressures'!U55</f>
        <v>0</v>
      </c>
    </row>
    <row r="647" spans="1:40">
      <c r="A647" s="234" t="str">
        <f>'Front Sheet and Checklist'!$C$5</f>
        <v>Swansea Bay UHB</v>
      </c>
      <c r="B647" s="234" t="s">
        <v>374</v>
      </c>
      <c r="C647" s="234">
        <f t="shared" ref="C647:D647" si="364">C585</f>
        <v>0</v>
      </c>
      <c r="D647" s="234">
        <f t="shared" si="364"/>
        <v>0</v>
      </c>
      <c r="E647" s="234" t="s">
        <v>381</v>
      </c>
      <c r="F647" s="234">
        <f>'F5 - Cost Pressures'!B366</f>
        <v>0</v>
      </c>
      <c r="AM647" s="233">
        <f>'F5 - Cost Pressures'!T56</f>
        <v>0</v>
      </c>
      <c r="AN647" s="233">
        <f>'F5 - Cost Pressures'!U56</f>
        <v>0</v>
      </c>
    </row>
    <row r="648" spans="1:40">
      <c r="A648" s="234" t="str">
        <f>'Front Sheet and Checklist'!$C$5</f>
        <v>Swansea Bay UHB</v>
      </c>
      <c r="B648" s="234" t="s">
        <v>374</v>
      </c>
      <c r="C648" s="234">
        <f t="shared" ref="C648:D648" si="365">C586</f>
        <v>0</v>
      </c>
      <c r="D648" s="234">
        <f t="shared" si="365"/>
        <v>0</v>
      </c>
      <c r="E648" s="234" t="s">
        <v>381</v>
      </c>
      <c r="F648" s="234">
        <f>'F5 - Cost Pressures'!B367</f>
        <v>0</v>
      </c>
      <c r="AM648" s="233">
        <f>'F5 - Cost Pressures'!T57</f>
        <v>0</v>
      </c>
      <c r="AN648" s="233">
        <f>'F5 - Cost Pressures'!U57</f>
        <v>0</v>
      </c>
    </row>
    <row r="649" spans="1:40">
      <c r="A649" s="234" t="str">
        <f>'Front Sheet and Checklist'!$C$5</f>
        <v>Swansea Bay UHB</v>
      </c>
      <c r="B649" s="234" t="s">
        <v>374</v>
      </c>
      <c r="C649" s="234">
        <f t="shared" ref="C649:D649" si="366">C587</f>
        <v>0</v>
      </c>
      <c r="D649" s="234">
        <f t="shared" si="366"/>
        <v>0</v>
      </c>
      <c r="E649" s="234" t="s">
        <v>381</v>
      </c>
      <c r="F649" s="234">
        <f>'F5 - Cost Pressures'!B368</f>
        <v>0</v>
      </c>
      <c r="AM649" s="233">
        <f>'F5 - Cost Pressures'!T58</f>
        <v>0</v>
      </c>
      <c r="AN649" s="233">
        <f>'F5 - Cost Pressures'!U58</f>
        <v>0</v>
      </c>
    </row>
    <row r="650" spans="1:40">
      <c r="A650" s="234" t="str">
        <f>'Front Sheet and Checklist'!$C$5</f>
        <v>Swansea Bay UHB</v>
      </c>
      <c r="B650" s="234" t="s">
        <v>374</v>
      </c>
      <c r="C650" s="234">
        <f t="shared" ref="C650:D650" si="367">C588</f>
        <v>0</v>
      </c>
      <c r="D650" s="234">
        <f t="shared" si="367"/>
        <v>0</v>
      </c>
      <c r="E650" s="234" t="s">
        <v>381</v>
      </c>
      <c r="F650" s="234">
        <f>'F5 - Cost Pressures'!B369</f>
        <v>0</v>
      </c>
      <c r="AM650" s="233">
        <f>'F5 - Cost Pressures'!T59</f>
        <v>0</v>
      </c>
      <c r="AN650" s="233">
        <f>'F5 - Cost Pressures'!U59</f>
        <v>0</v>
      </c>
    </row>
    <row r="651" spans="1:40">
      <c r="A651" s="234" t="str">
        <f>'Front Sheet and Checklist'!$C$5</f>
        <v>Swansea Bay UHB</v>
      </c>
      <c r="B651" s="234" t="s">
        <v>374</v>
      </c>
      <c r="C651" s="234">
        <f t="shared" ref="C651:D651" si="368">C589</f>
        <v>0</v>
      </c>
      <c r="D651" s="234">
        <f t="shared" si="368"/>
        <v>0</v>
      </c>
      <c r="E651" s="234" t="s">
        <v>381</v>
      </c>
      <c r="F651" s="234">
        <f>'F5 - Cost Pressures'!B370</f>
        <v>0</v>
      </c>
      <c r="AM651" s="233">
        <f>'F5 - Cost Pressures'!T60</f>
        <v>0</v>
      </c>
      <c r="AN651" s="233">
        <f>'F5 - Cost Pressures'!U60</f>
        <v>0</v>
      </c>
    </row>
    <row r="652" spans="1:40">
      <c r="A652" s="234" t="str">
        <f>'Front Sheet and Checklist'!$C$5</f>
        <v>Swansea Bay UHB</v>
      </c>
      <c r="B652" s="234" t="s">
        <v>374</v>
      </c>
      <c r="C652" s="234">
        <f t="shared" ref="C652:D652" si="369">C590</f>
        <v>0</v>
      </c>
      <c r="D652" s="234">
        <f t="shared" si="369"/>
        <v>0</v>
      </c>
      <c r="E652" s="234" t="s">
        <v>381</v>
      </c>
      <c r="F652" s="234">
        <f>'F5 - Cost Pressures'!B371</f>
        <v>0</v>
      </c>
      <c r="AM652" s="233">
        <f>'F5 - Cost Pressures'!T61</f>
        <v>0</v>
      </c>
      <c r="AN652" s="233">
        <f>'F5 - Cost Pressures'!U61</f>
        <v>0</v>
      </c>
    </row>
    <row r="653" spans="1:40">
      <c r="A653" s="234" t="str">
        <f>'Front Sheet and Checklist'!$C$5</f>
        <v>Swansea Bay UHB</v>
      </c>
      <c r="B653" s="234" t="s">
        <v>374</v>
      </c>
      <c r="C653" s="234">
        <f t="shared" ref="C653:D653" si="370">C591</f>
        <v>0</v>
      </c>
      <c r="D653" s="234">
        <f t="shared" si="370"/>
        <v>0</v>
      </c>
      <c r="E653" s="234" t="s">
        <v>381</v>
      </c>
      <c r="F653" s="234">
        <f>'F5 - Cost Pressures'!B372</f>
        <v>0</v>
      </c>
      <c r="AM653" s="233">
        <f>'F5 - Cost Pressures'!T62</f>
        <v>0</v>
      </c>
      <c r="AN653" s="233">
        <f>'F5 - Cost Pressures'!U62</f>
        <v>0</v>
      </c>
    </row>
    <row r="654" spans="1:40">
      <c r="A654" s="234" t="str">
        <f>'Front Sheet and Checklist'!$C$5</f>
        <v>Swansea Bay UHB</v>
      </c>
      <c r="B654" s="234" t="s">
        <v>374</v>
      </c>
      <c r="C654" s="234">
        <f t="shared" ref="C654:D654" si="371">C592</f>
        <v>0</v>
      </c>
      <c r="D654" s="234">
        <f t="shared" si="371"/>
        <v>0</v>
      </c>
      <c r="E654" s="234" t="s">
        <v>381</v>
      </c>
      <c r="F654" s="234">
        <f>'F5 - Cost Pressures'!B373</f>
        <v>0</v>
      </c>
      <c r="AM654" s="233">
        <f>'F5 - Cost Pressures'!T63</f>
        <v>0</v>
      </c>
      <c r="AN654" s="233">
        <f>'F5 - Cost Pressures'!U63</f>
        <v>0</v>
      </c>
    </row>
    <row r="655" spans="1:40">
      <c r="A655" s="234" t="str">
        <f>'Front Sheet and Checklist'!$C$5</f>
        <v>Swansea Bay UHB</v>
      </c>
      <c r="B655" s="234" t="s">
        <v>374</v>
      </c>
      <c r="C655" s="234">
        <f t="shared" ref="C655:D655" si="372">C593</f>
        <v>0</v>
      </c>
      <c r="D655" s="234">
        <f t="shared" si="372"/>
        <v>0</v>
      </c>
      <c r="E655" s="234" t="s">
        <v>381</v>
      </c>
      <c r="F655" s="234">
        <f>'F5 - Cost Pressures'!B374</f>
        <v>0</v>
      </c>
      <c r="AM655" s="233">
        <f>'F5 - Cost Pressures'!T64</f>
        <v>0</v>
      </c>
      <c r="AN655" s="233">
        <f>'F5 - Cost Pressures'!U64</f>
        <v>0</v>
      </c>
    </row>
    <row r="656" spans="1:40">
      <c r="A656" s="234" t="str">
        <f>'Front Sheet and Checklist'!$C$5</f>
        <v>Swansea Bay UHB</v>
      </c>
      <c r="B656" s="234" t="s">
        <v>374</v>
      </c>
      <c r="C656" s="234">
        <f t="shared" ref="C656:D656" si="373">C594</f>
        <v>0</v>
      </c>
      <c r="D656" s="234">
        <f t="shared" si="373"/>
        <v>0</v>
      </c>
      <c r="E656" s="234" t="s">
        <v>381</v>
      </c>
      <c r="F656" s="234">
        <f>'F5 - Cost Pressures'!B375</f>
        <v>0</v>
      </c>
      <c r="AM656" s="233">
        <f>'F5 - Cost Pressures'!T65</f>
        <v>7848.333333333333</v>
      </c>
      <c r="AN656" s="233">
        <f>'F5 - Cost Pressures'!U65</f>
        <v>7848.333333333333</v>
      </c>
    </row>
    <row r="657" spans="1:40">
      <c r="A657" s="234" t="str">
        <f>'Front Sheet and Checklist'!$C$5</f>
        <v>Swansea Bay UHB</v>
      </c>
      <c r="B657" s="234" t="s">
        <v>374</v>
      </c>
      <c r="C657" s="234" t="str">
        <f t="shared" ref="C657:D657" si="374">C595</f>
        <v>Macro Economic Inflation</v>
      </c>
      <c r="D657" s="234" t="str">
        <f t="shared" si="374"/>
        <v>7. Non Clinical Support</v>
      </c>
      <c r="E657" s="234" t="s">
        <v>382</v>
      </c>
      <c r="F657" s="234">
        <f>'F5 - Cost Pressures'!B376</f>
        <v>0</v>
      </c>
      <c r="AM657" s="233">
        <f>'F5 - Cost Pressures'!V4</f>
        <v>0</v>
      </c>
      <c r="AN657" s="233">
        <f>'F5 - Cost Pressures'!W4</f>
        <v>0</v>
      </c>
    </row>
    <row r="658" spans="1:40">
      <c r="A658" s="234" t="str">
        <f>'Front Sheet and Checklist'!$C$5</f>
        <v>Swansea Bay UHB</v>
      </c>
      <c r="B658" s="234" t="s">
        <v>374</v>
      </c>
      <c r="C658" s="234" t="str">
        <f t="shared" ref="C658:D658" si="375">C596</f>
        <v>Macro Economic Inflation</v>
      </c>
      <c r="D658" s="234" t="str">
        <f t="shared" si="375"/>
        <v>8. Across Service Areas</v>
      </c>
      <c r="E658" s="234" t="s">
        <v>382</v>
      </c>
      <c r="F658" s="234">
        <f>'F5 - Cost Pressures'!B377</f>
        <v>0</v>
      </c>
      <c r="AM658" s="233">
        <f>'F5 - Cost Pressures'!V5</f>
        <v>0</v>
      </c>
      <c r="AN658" s="233">
        <f>'F5 - Cost Pressures'!W5</f>
        <v>0</v>
      </c>
    </row>
    <row r="659" spans="1:40">
      <c r="A659" s="234" t="str">
        <f>'Front Sheet and Checklist'!$C$5</f>
        <v>Swansea Bay UHB</v>
      </c>
      <c r="B659" s="234" t="s">
        <v>374</v>
      </c>
      <c r="C659" s="234" t="str">
        <f t="shared" ref="C659:D659" si="376">C597</f>
        <v>National Investment Decisions</v>
      </c>
      <c r="D659" s="234" t="str">
        <f t="shared" si="376"/>
        <v>1. Secondary Care (In-house) - General</v>
      </c>
      <c r="E659" s="234" t="s">
        <v>382</v>
      </c>
      <c r="F659" s="234">
        <f>'F5 - Cost Pressures'!B378</f>
        <v>0</v>
      </c>
      <c r="AM659" s="233">
        <f>'F5 - Cost Pressures'!V6</f>
        <v>0</v>
      </c>
      <c r="AN659" s="233">
        <f>'F5 - Cost Pressures'!W6</f>
        <v>0</v>
      </c>
    </row>
    <row r="660" spans="1:40">
      <c r="A660" s="234" t="str">
        <f>'Front Sheet and Checklist'!$C$5</f>
        <v>Swansea Bay UHB</v>
      </c>
      <c r="B660" s="234" t="s">
        <v>374</v>
      </c>
      <c r="C660" s="234" t="str">
        <f t="shared" ref="C660:D660" si="377">C598</f>
        <v>National Investment Decisions</v>
      </c>
      <c r="D660" s="234" t="str">
        <f t="shared" si="377"/>
        <v>4. Commissioned Activity (inc. CHC)</v>
      </c>
      <c r="E660" s="234" t="s">
        <v>382</v>
      </c>
      <c r="F660" s="234">
        <f>'F5 - Cost Pressures'!B379</f>
        <v>0</v>
      </c>
      <c r="AM660" s="233">
        <f>'F5 - Cost Pressures'!V7</f>
        <v>0</v>
      </c>
      <c r="AN660" s="233">
        <f>'F5 - Cost Pressures'!W7</f>
        <v>0</v>
      </c>
    </row>
    <row r="661" spans="1:40">
      <c r="A661" s="234" t="str">
        <f>'Front Sheet and Checklist'!$C$5</f>
        <v>Swansea Bay UHB</v>
      </c>
      <c r="B661" s="234" t="s">
        <v>374</v>
      </c>
      <c r="C661" s="234" t="str">
        <f t="shared" ref="C661:D661" si="378">C599</f>
        <v>National Investment Decisions</v>
      </c>
      <c r="D661" s="234" t="str">
        <f t="shared" si="378"/>
        <v>3. Community Care</v>
      </c>
      <c r="E661" s="234" t="s">
        <v>382</v>
      </c>
      <c r="F661" s="234">
        <f>'F5 - Cost Pressures'!B380</f>
        <v>0</v>
      </c>
      <c r="AM661" s="233">
        <f>'F5 - Cost Pressures'!V8</f>
        <v>0</v>
      </c>
      <c r="AN661" s="233">
        <f>'F5 - Cost Pressures'!W8</f>
        <v>0</v>
      </c>
    </row>
    <row r="662" spans="1:40">
      <c r="A662" s="234" t="str">
        <f>'Front Sheet and Checklist'!$C$5</f>
        <v>Swansea Bay UHB</v>
      </c>
      <c r="B662" s="234" t="s">
        <v>374</v>
      </c>
      <c r="C662" s="234" t="str">
        <f t="shared" ref="C662:D662" si="379">C600</f>
        <v>National Investment Decisions</v>
      </c>
      <c r="D662" s="234" t="str">
        <f t="shared" si="379"/>
        <v>3. Community Care</v>
      </c>
      <c r="E662" s="234" t="s">
        <v>382</v>
      </c>
      <c r="F662" s="234">
        <f>'F5 - Cost Pressures'!B381</f>
        <v>0</v>
      </c>
      <c r="AM662" s="233">
        <f>'F5 - Cost Pressures'!V9</f>
        <v>0</v>
      </c>
      <c r="AN662" s="233">
        <f>'F5 - Cost Pressures'!W9</f>
        <v>0</v>
      </c>
    </row>
    <row r="663" spans="1:40">
      <c r="A663" s="234" t="str">
        <f>'Front Sheet and Checklist'!$C$5</f>
        <v>Swansea Bay UHB</v>
      </c>
      <c r="B663" s="234" t="s">
        <v>374</v>
      </c>
      <c r="C663" s="234" t="str">
        <f t="shared" ref="C663:D663" si="380">C601</f>
        <v>National Investment Decisions</v>
      </c>
      <c r="D663" s="234" t="str">
        <f t="shared" si="380"/>
        <v>4. Commissioned Activity (inc. CHC)</v>
      </c>
      <c r="E663" s="234" t="s">
        <v>382</v>
      </c>
      <c r="F663" s="234">
        <f>'F5 - Cost Pressures'!B382</f>
        <v>0</v>
      </c>
      <c r="AM663" s="233">
        <f>'F5 - Cost Pressures'!V10</f>
        <v>0</v>
      </c>
      <c r="AN663" s="233">
        <f>'F5 - Cost Pressures'!W10</f>
        <v>0</v>
      </c>
    </row>
    <row r="664" spans="1:40">
      <c r="A664" s="234" t="str">
        <f>'Front Sheet and Checklist'!$C$5</f>
        <v>Swansea Bay UHB</v>
      </c>
      <c r="B664" s="234" t="s">
        <v>374</v>
      </c>
      <c r="C664" s="234" t="str">
        <f t="shared" ref="C664:D664" si="381">C602</f>
        <v>National Investment Decisions</v>
      </c>
      <c r="D664" s="234">
        <f t="shared" si="381"/>
        <v>0</v>
      </c>
      <c r="E664" s="234" t="s">
        <v>382</v>
      </c>
      <c r="F664" s="234">
        <f>'F5 - Cost Pressures'!B383</f>
        <v>0</v>
      </c>
      <c r="AM664" s="233">
        <f>'F5 - Cost Pressures'!V11</f>
        <v>0</v>
      </c>
      <c r="AN664" s="233">
        <f>'F5 - Cost Pressures'!W11</f>
        <v>0</v>
      </c>
    </row>
    <row r="665" spans="1:40">
      <c r="A665" s="234" t="str">
        <f>'Front Sheet and Checklist'!$C$5</f>
        <v>Swansea Bay UHB</v>
      </c>
      <c r="B665" s="234" t="s">
        <v>374</v>
      </c>
      <c r="C665" s="234" t="str">
        <f t="shared" ref="C665:D665" si="382">C603</f>
        <v>National Investment Decisions</v>
      </c>
      <c r="D665" s="234">
        <f t="shared" si="382"/>
        <v>0</v>
      </c>
      <c r="E665" s="234" t="s">
        <v>382</v>
      </c>
      <c r="F665" s="234">
        <f>'F5 - Cost Pressures'!B384</f>
        <v>0</v>
      </c>
      <c r="AM665" s="233">
        <f>'F5 - Cost Pressures'!V12</f>
        <v>0</v>
      </c>
      <c r="AN665" s="233">
        <f>'F5 - Cost Pressures'!W12</f>
        <v>0</v>
      </c>
    </row>
    <row r="666" spans="1:40">
      <c r="A666" s="234" t="str">
        <f>'Front Sheet and Checklist'!$C$5</f>
        <v>Swansea Bay UHB</v>
      </c>
      <c r="B666" s="234" t="s">
        <v>374</v>
      </c>
      <c r="C666" s="234" t="str">
        <f t="shared" ref="C666:D666" si="383">C604</f>
        <v>National Investment Decisions</v>
      </c>
      <c r="D666" s="234">
        <f t="shared" si="383"/>
        <v>0</v>
      </c>
      <c r="E666" s="234" t="s">
        <v>382</v>
      </c>
      <c r="F666" s="234">
        <f>'F5 - Cost Pressures'!B385</f>
        <v>0</v>
      </c>
      <c r="AM666" s="233">
        <f>'F5 - Cost Pressures'!V13</f>
        <v>0</v>
      </c>
      <c r="AN666" s="233">
        <f>'F5 - Cost Pressures'!W13</f>
        <v>0</v>
      </c>
    </row>
    <row r="667" spans="1:40">
      <c r="A667" s="234" t="str">
        <f>'Front Sheet and Checklist'!$C$5</f>
        <v>Swansea Bay UHB</v>
      </c>
      <c r="B667" s="234" t="s">
        <v>374</v>
      </c>
      <c r="C667" s="234" t="str">
        <f t="shared" ref="C667:D667" si="384">C605</f>
        <v>National Investment Decisions</v>
      </c>
      <c r="D667" s="234">
        <f t="shared" si="384"/>
        <v>0</v>
      </c>
      <c r="E667" s="234" t="s">
        <v>382</v>
      </c>
      <c r="F667" s="234">
        <f>'F5 - Cost Pressures'!B386</f>
        <v>0</v>
      </c>
      <c r="AM667" s="233">
        <f>'F5 - Cost Pressures'!V14</f>
        <v>0</v>
      </c>
      <c r="AN667" s="233">
        <f>'F5 - Cost Pressures'!W14</f>
        <v>0</v>
      </c>
    </row>
    <row r="668" spans="1:40">
      <c r="A668" s="234" t="str">
        <f>'Front Sheet and Checklist'!$C$5</f>
        <v>Swansea Bay UHB</v>
      </c>
      <c r="B668" s="234" t="s">
        <v>374</v>
      </c>
      <c r="C668" s="234" t="str">
        <f t="shared" ref="C668:D668" si="385">C606</f>
        <v>National Investment Decisions</v>
      </c>
      <c r="D668" s="234">
        <f t="shared" si="385"/>
        <v>0</v>
      </c>
      <c r="E668" s="234" t="s">
        <v>382</v>
      </c>
      <c r="F668" s="234">
        <f>'F5 - Cost Pressures'!B387</f>
        <v>0</v>
      </c>
      <c r="AM668" s="233">
        <f>'F5 - Cost Pressures'!V15</f>
        <v>0</v>
      </c>
      <c r="AN668" s="233">
        <f>'F5 - Cost Pressures'!W15</f>
        <v>0</v>
      </c>
    </row>
    <row r="669" spans="1:40">
      <c r="A669" s="234" t="str">
        <f>'Front Sheet and Checklist'!$C$5</f>
        <v>Swansea Bay UHB</v>
      </c>
      <c r="B669" s="234" t="s">
        <v>374</v>
      </c>
      <c r="C669" s="234" t="str">
        <f t="shared" ref="C669:D669" si="386">C607</f>
        <v>National Investment Decisions</v>
      </c>
      <c r="D669" s="234">
        <f t="shared" si="386"/>
        <v>0</v>
      </c>
      <c r="E669" s="234" t="s">
        <v>382</v>
      </c>
      <c r="F669" s="234">
        <f>'F5 - Cost Pressures'!B388</f>
        <v>0</v>
      </c>
      <c r="AM669" s="233">
        <f>'F5 - Cost Pressures'!V16</f>
        <v>0</v>
      </c>
      <c r="AN669" s="233">
        <f>'F5 - Cost Pressures'!W16</f>
        <v>0</v>
      </c>
    </row>
    <row r="670" spans="1:40">
      <c r="A670" s="234" t="str">
        <f>'Front Sheet and Checklist'!$C$5</f>
        <v>Swansea Bay UHB</v>
      </c>
      <c r="B670" s="234" t="s">
        <v>374</v>
      </c>
      <c r="C670" s="234" t="str">
        <f t="shared" ref="C670:D670" si="387">C608</f>
        <v>National Investment Decisions</v>
      </c>
      <c r="D670" s="234">
        <f t="shared" si="387"/>
        <v>0</v>
      </c>
      <c r="E670" s="234" t="s">
        <v>382</v>
      </c>
      <c r="F670" s="234">
        <f>'F5 - Cost Pressures'!B389</f>
        <v>0</v>
      </c>
      <c r="AM670" s="233">
        <f>'F5 - Cost Pressures'!V17</f>
        <v>0</v>
      </c>
      <c r="AN670" s="233">
        <f>'F5 - Cost Pressures'!W17</f>
        <v>0</v>
      </c>
    </row>
    <row r="671" spans="1:40">
      <c r="A671" s="234" t="str">
        <f>'Front Sheet and Checklist'!$C$5</f>
        <v>Swansea Bay UHB</v>
      </c>
      <c r="B671" s="234" t="s">
        <v>374</v>
      </c>
      <c r="C671" s="234" t="str">
        <f t="shared" ref="C671:D671" si="388">C609</f>
        <v>National Investment Decisions</v>
      </c>
      <c r="D671" s="234">
        <f t="shared" si="388"/>
        <v>0</v>
      </c>
      <c r="E671" s="234" t="s">
        <v>382</v>
      </c>
      <c r="F671" s="234">
        <f>'F5 - Cost Pressures'!B390</f>
        <v>0</v>
      </c>
      <c r="AM671" s="233">
        <f>'F5 - Cost Pressures'!V18</f>
        <v>0</v>
      </c>
      <c r="AN671" s="233">
        <f>'F5 - Cost Pressures'!W18</f>
        <v>0</v>
      </c>
    </row>
    <row r="672" spans="1:40">
      <c r="A672" s="234" t="str">
        <f>'Front Sheet and Checklist'!$C$5</f>
        <v>Swansea Bay UHB</v>
      </c>
      <c r="B672" s="234" t="s">
        <v>374</v>
      </c>
      <c r="C672" s="234" t="str">
        <f t="shared" ref="C672:D672" si="389">C610</f>
        <v>National Investment Decisions</v>
      </c>
      <c r="D672" s="234">
        <f t="shared" si="389"/>
        <v>0</v>
      </c>
      <c r="E672" s="234" t="s">
        <v>382</v>
      </c>
      <c r="F672" s="234">
        <f>'F5 - Cost Pressures'!B391</f>
        <v>0</v>
      </c>
      <c r="AM672" s="233">
        <f>'F5 - Cost Pressures'!V19</f>
        <v>0</v>
      </c>
      <c r="AN672" s="233">
        <f>'F5 - Cost Pressures'!W19</f>
        <v>0</v>
      </c>
    </row>
    <row r="673" spans="1:40">
      <c r="A673" s="234" t="str">
        <f>'Front Sheet and Checklist'!$C$5</f>
        <v>Swansea Bay UHB</v>
      </c>
      <c r="B673" s="234" t="s">
        <v>374</v>
      </c>
      <c r="C673" s="234" t="str">
        <f t="shared" ref="C673:D673" si="390">C611</f>
        <v>Macro Economic Inflation</v>
      </c>
      <c r="D673" s="234">
        <f t="shared" si="390"/>
        <v>0</v>
      </c>
      <c r="E673" s="234" t="s">
        <v>382</v>
      </c>
      <c r="F673" s="234">
        <f>'F5 - Cost Pressures'!B392</f>
        <v>0</v>
      </c>
      <c r="AM673" s="233">
        <f>'F5 - Cost Pressures'!V20</f>
        <v>0</v>
      </c>
      <c r="AN673" s="233">
        <f>'F5 - Cost Pressures'!W20</f>
        <v>0</v>
      </c>
    </row>
    <row r="674" spans="1:40">
      <c r="A674" s="234" t="str">
        <f>'Front Sheet and Checklist'!$C$5</f>
        <v>Swansea Bay UHB</v>
      </c>
      <c r="B674" s="234" t="s">
        <v>374</v>
      </c>
      <c r="C674" s="234" t="str">
        <f t="shared" ref="C674:D674" si="391">C612</f>
        <v>Macro Economic Inflation</v>
      </c>
      <c r="D674" s="234">
        <f t="shared" si="391"/>
        <v>0</v>
      </c>
      <c r="E674" s="234" t="s">
        <v>382</v>
      </c>
      <c r="F674" s="234">
        <f>'F5 - Cost Pressures'!B393</f>
        <v>0</v>
      </c>
      <c r="AM674" s="233">
        <f>'F5 - Cost Pressures'!V21</f>
        <v>0</v>
      </c>
      <c r="AN674" s="233">
        <f>'F5 - Cost Pressures'!W21</f>
        <v>0</v>
      </c>
    </row>
    <row r="675" spans="1:40">
      <c r="A675" s="234" t="str">
        <f>'Front Sheet and Checklist'!$C$5</f>
        <v>Swansea Bay UHB</v>
      </c>
      <c r="B675" s="234" t="s">
        <v>374</v>
      </c>
      <c r="C675" s="234" t="str">
        <f t="shared" ref="C675:D675" si="392">C613</f>
        <v>Macro Economic Inflation</v>
      </c>
      <c r="D675" s="234">
        <f t="shared" si="392"/>
        <v>0</v>
      </c>
      <c r="E675" s="234" t="s">
        <v>382</v>
      </c>
      <c r="F675" s="234">
        <f>'F5 - Cost Pressures'!B394</f>
        <v>0</v>
      </c>
      <c r="AM675" s="233">
        <f>'F5 - Cost Pressures'!V22</f>
        <v>0</v>
      </c>
      <c r="AN675" s="233">
        <f>'F5 - Cost Pressures'!W22</f>
        <v>0</v>
      </c>
    </row>
    <row r="676" spans="1:40">
      <c r="A676" s="234" t="str">
        <f>'Front Sheet and Checklist'!$C$5</f>
        <v>Swansea Bay UHB</v>
      </c>
      <c r="B676" s="234" t="s">
        <v>374</v>
      </c>
      <c r="C676" s="234" t="str">
        <f t="shared" ref="C676:D676" si="393">C614</f>
        <v>Macro Economic Inflation</v>
      </c>
      <c r="D676" s="234">
        <f t="shared" si="393"/>
        <v>0</v>
      </c>
      <c r="E676" s="234" t="s">
        <v>382</v>
      </c>
      <c r="F676" s="234">
        <f>'F5 - Cost Pressures'!B395</f>
        <v>0</v>
      </c>
      <c r="AM676" s="233">
        <f>'F5 - Cost Pressures'!V23</f>
        <v>0</v>
      </c>
      <c r="AN676" s="233">
        <f>'F5 - Cost Pressures'!W23</f>
        <v>0</v>
      </c>
    </row>
    <row r="677" spans="1:40">
      <c r="A677" s="234" t="str">
        <f>'Front Sheet and Checklist'!$C$5</f>
        <v>Swansea Bay UHB</v>
      </c>
      <c r="B677" s="234" t="s">
        <v>374</v>
      </c>
      <c r="C677" s="234" t="str">
        <f t="shared" ref="C677:D677" si="394">C615</f>
        <v>Macro Economic Inflation</v>
      </c>
      <c r="D677" s="234">
        <f t="shared" si="394"/>
        <v>0</v>
      </c>
      <c r="E677" s="234" t="s">
        <v>382</v>
      </c>
      <c r="F677" s="234">
        <f>'F5 - Cost Pressures'!B396</f>
        <v>0</v>
      </c>
      <c r="AM677" s="233">
        <f>'F5 - Cost Pressures'!V24</f>
        <v>0</v>
      </c>
      <c r="AN677" s="233">
        <f>'F5 - Cost Pressures'!W24</f>
        <v>0</v>
      </c>
    </row>
    <row r="678" spans="1:40">
      <c r="A678" s="234" t="str">
        <f>'Front Sheet and Checklist'!$C$5</f>
        <v>Swansea Bay UHB</v>
      </c>
      <c r="B678" s="234" t="s">
        <v>374</v>
      </c>
      <c r="C678" s="234" t="str">
        <f t="shared" ref="C678:D678" si="395">C616</f>
        <v>Macro Economic Inflation</v>
      </c>
      <c r="D678" s="234">
        <f t="shared" si="395"/>
        <v>0</v>
      </c>
      <c r="E678" s="234" t="s">
        <v>382</v>
      </c>
      <c r="F678" s="234">
        <f>'F5 - Cost Pressures'!B397</f>
        <v>0</v>
      </c>
      <c r="AM678" s="233">
        <f>'F5 - Cost Pressures'!V25</f>
        <v>0</v>
      </c>
      <c r="AN678" s="233">
        <f>'F5 - Cost Pressures'!W25</f>
        <v>0</v>
      </c>
    </row>
    <row r="679" spans="1:40">
      <c r="A679" s="234" t="str">
        <f>'Front Sheet and Checklist'!$C$5</f>
        <v>Swansea Bay UHB</v>
      </c>
      <c r="B679" s="234" t="s">
        <v>374</v>
      </c>
      <c r="C679" s="234" t="str">
        <f t="shared" ref="C679:D679" si="396">C617</f>
        <v>Macro Economic Inflation</v>
      </c>
      <c r="D679" s="234">
        <f t="shared" si="396"/>
        <v>0</v>
      </c>
      <c r="E679" s="234" t="s">
        <v>382</v>
      </c>
      <c r="F679" s="234">
        <f>'F5 - Cost Pressures'!B398</f>
        <v>0</v>
      </c>
      <c r="AM679" s="233">
        <f>'F5 - Cost Pressures'!V26</f>
        <v>0</v>
      </c>
      <c r="AN679" s="233">
        <f>'F5 - Cost Pressures'!W26</f>
        <v>0</v>
      </c>
    </row>
    <row r="680" spans="1:40">
      <c r="A680" s="234" t="str">
        <f>'Front Sheet and Checklist'!$C$5</f>
        <v>Swansea Bay UHB</v>
      </c>
      <c r="B680" s="234" t="s">
        <v>374</v>
      </c>
      <c r="C680" s="234" t="str">
        <f t="shared" ref="C680:D680" si="397">C618</f>
        <v>Macro Economic Inflation</v>
      </c>
      <c r="D680" s="234">
        <f t="shared" si="397"/>
        <v>0</v>
      </c>
      <c r="E680" s="234" t="s">
        <v>382</v>
      </c>
      <c r="F680" s="234">
        <f>'F5 - Cost Pressures'!B399</f>
        <v>0</v>
      </c>
      <c r="AM680" s="233">
        <f>'F5 - Cost Pressures'!V27</f>
        <v>0</v>
      </c>
      <c r="AN680" s="233">
        <f>'F5 - Cost Pressures'!W27</f>
        <v>0</v>
      </c>
    </row>
    <row r="681" spans="1:40">
      <c r="A681" s="234" t="str">
        <f>'Front Sheet and Checklist'!$C$5</f>
        <v>Swansea Bay UHB</v>
      </c>
      <c r="B681" s="234" t="s">
        <v>374</v>
      </c>
      <c r="C681" s="234" t="str">
        <f t="shared" ref="C681:D681" si="398">C619</f>
        <v>Macro Economic Inflation</v>
      </c>
      <c r="D681" s="234">
        <f t="shared" si="398"/>
        <v>0</v>
      </c>
      <c r="E681" s="234" t="s">
        <v>382</v>
      </c>
      <c r="F681" s="234">
        <f>'F5 - Cost Pressures'!B400</f>
        <v>0</v>
      </c>
      <c r="AM681" s="233">
        <f>'F5 - Cost Pressures'!V28</f>
        <v>0</v>
      </c>
      <c r="AN681" s="233">
        <f>'F5 - Cost Pressures'!W28</f>
        <v>0</v>
      </c>
    </row>
    <row r="682" spans="1:40">
      <c r="A682" s="234" t="str">
        <f>'Front Sheet and Checklist'!$C$5</f>
        <v>Swansea Bay UHB</v>
      </c>
      <c r="B682" s="234" t="s">
        <v>374</v>
      </c>
      <c r="C682" s="234" t="str">
        <f t="shared" ref="C682:D682" si="399">C620</f>
        <v>Macro Economic Inflation</v>
      </c>
      <c r="D682" s="234">
        <f t="shared" si="399"/>
        <v>0</v>
      </c>
      <c r="E682" s="234" t="s">
        <v>382</v>
      </c>
      <c r="F682" s="234">
        <f>'F5 - Cost Pressures'!B401</f>
        <v>0</v>
      </c>
      <c r="AM682" s="233">
        <f>'F5 - Cost Pressures'!V29</f>
        <v>0</v>
      </c>
      <c r="AN682" s="233">
        <f>'F5 - Cost Pressures'!W29</f>
        <v>0</v>
      </c>
    </row>
    <row r="683" spans="1:40">
      <c r="A683" s="234" t="str">
        <f>'Front Sheet and Checklist'!$C$5</f>
        <v>Swansea Bay UHB</v>
      </c>
      <c r="B683" s="234" t="s">
        <v>374</v>
      </c>
      <c r="C683" s="234" t="str">
        <f t="shared" ref="C683:D683" si="400">C621</f>
        <v>Macro Economic Inflation</v>
      </c>
      <c r="D683" s="234">
        <f t="shared" si="400"/>
        <v>0</v>
      </c>
      <c r="E683" s="234" t="s">
        <v>382</v>
      </c>
      <c r="F683" s="234">
        <f>'F5 - Cost Pressures'!B402</f>
        <v>0</v>
      </c>
      <c r="AM683" s="233">
        <f>'F5 - Cost Pressures'!V30</f>
        <v>0</v>
      </c>
      <c r="AN683" s="233">
        <f>'F5 - Cost Pressures'!W30</f>
        <v>0</v>
      </c>
    </row>
    <row r="684" spans="1:40">
      <c r="A684" s="234" t="str">
        <f>'Front Sheet and Checklist'!$C$5</f>
        <v>Swansea Bay UHB</v>
      </c>
      <c r="B684" s="234" t="s">
        <v>374</v>
      </c>
      <c r="C684" s="234" t="str">
        <f t="shared" ref="C684:D684" si="401">C622</f>
        <v>Macro Economic Inflation</v>
      </c>
      <c r="D684" s="234">
        <f t="shared" si="401"/>
        <v>0</v>
      </c>
      <c r="E684" s="234" t="s">
        <v>382</v>
      </c>
      <c r="F684" s="234">
        <f>'F5 - Cost Pressures'!B403</f>
        <v>0</v>
      </c>
      <c r="AM684" s="233">
        <f>'F5 - Cost Pressures'!V31</f>
        <v>0</v>
      </c>
      <c r="AN684" s="233">
        <f>'F5 - Cost Pressures'!W31</f>
        <v>0</v>
      </c>
    </row>
    <row r="685" spans="1:40">
      <c r="A685" s="234" t="str">
        <f>'Front Sheet and Checklist'!$C$5</f>
        <v>Swansea Bay UHB</v>
      </c>
      <c r="B685" s="234" t="s">
        <v>374</v>
      </c>
      <c r="C685" s="234" t="str">
        <f t="shared" ref="C685:D685" si="402">C623</f>
        <v>Contractual or unavoidable</v>
      </c>
      <c r="D685" s="234">
        <f t="shared" si="402"/>
        <v>0</v>
      </c>
      <c r="E685" s="234" t="s">
        <v>382</v>
      </c>
      <c r="F685" s="234">
        <f>'F5 - Cost Pressures'!B404</f>
        <v>0</v>
      </c>
      <c r="AM685" s="233">
        <f>'F5 - Cost Pressures'!V32</f>
        <v>0</v>
      </c>
      <c r="AN685" s="233">
        <f>'F5 - Cost Pressures'!W32</f>
        <v>0</v>
      </c>
    </row>
    <row r="686" spans="1:40">
      <c r="A686" s="234" t="str">
        <f>'Front Sheet and Checklist'!$C$5</f>
        <v>Swansea Bay UHB</v>
      </c>
      <c r="B686" s="234" t="s">
        <v>374</v>
      </c>
      <c r="C686" s="234" t="str">
        <f t="shared" ref="C686:D686" si="403">C624</f>
        <v>Contractual or unavoidable</v>
      </c>
      <c r="D686" s="234">
        <f t="shared" si="403"/>
        <v>0</v>
      </c>
      <c r="E686" s="234" t="s">
        <v>382</v>
      </c>
      <c r="F686" s="234">
        <f>'F5 - Cost Pressures'!B405</f>
        <v>0</v>
      </c>
      <c r="AM686" s="233">
        <f>'F5 - Cost Pressures'!V33</f>
        <v>0</v>
      </c>
      <c r="AN686" s="233">
        <f>'F5 - Cost Pressures'!W33</f>
        <v>0</v>
      </c>
    </row>
    <row r="687" spans="1:40">
      <c r="A687" s="234" t="str">
        <f>'Front Sheet and Checklist'!$C$5</f>
        <v>Swansea Bay UHB</v>
      </c>
      <c r="B687" s="234" t="s">
        <v>374</v>
      </c>
      <c r="C687" s="234">
        <f t="shared" ref="C687:D687" si="404">C625</f>
        <v>0</v>
      </c>
      <c r="D687" s="234">
        <f t="shared" si="404"/>
        <v>0</v>
      </c>
      <c r="E687" s="234" t="s">
        <v>382</v>
      </c>
      <c r="F687" s="234">
        <f>'F5 - Cost Pressures'!B406</f>
        <v>0</v>
      </c>
      <c r="AM687" s="233">
        <f>'F5 - Cost Pressures'!V34</f>
        <v>0</v>
      </c>
      <c r="AN687" s="233">
        <f>'F5 - Cost Pressures'!W34</f>
        <v>0</v>
      </c>
    </row>
    <row r="688" spans="1:40">
      <c r="A688" s="234" t="str">
        <f>'Front Sheet and Checklist'!$C$5</f>
        <v>Swansea Bay UHB</v>
      </c>
      <c r="B688" s="234" t="s">
        <v>374</v>
      </c>
      <c r="C688" s="234">
        <f t="shared" ref="C688:D688" si="405">C626</f>
        <v>0</v>
      </c>
      <c r="D688" s="234">
        <f t="shared" si="405"/>
        <v>0</v>
      </c>
      <c r="E688" s="234" t="s">
        <v>382</v>
      </c>
      <c r="F688" s="234">
        <f>'F5 - Cost Pressures'!B407</f>
        <v>0</v>
      </c>
      <c r="AM688" s="233">
        <f>'F5 - Cost Pressures'!V35</f>
        <v>0</v>
      </c>
      <c r="AN688" s="233">
        <f>'F5 - Cost Pressures'!W35</f>
        <v>0</v>
      </c>
    </row>
    <row r="689" spans="1:40">
      <c r="A689" s="234" t="str">
        <f>'Front Sheet and Checklist'!$C$5</f>
        <v>Swansea Bay UHB</v>
      </c>
      <c r="B689" s="234" t="s">
        <v>374</v>
      </c>
      <c r="C689" s="234">
        <f t="shared" ref="C689:D689" si="406">C627</f>
        <v>0</v>
      </c>
      <c r="D689" s="234">
        <f t="shared" si="406"/>
        <v>0</v>
      </c>
      <c r="E689" s="234" t="s">
        <v>382</v>
      </c>
      <c r="F689" s="234">
        <f>'F5 - Cost Pressures'!B408</f>
        <v>0</v>
      </c>
      <c r="AM689" s="233">
        <f>'F5 - Cost Pressures'!V36</f>
        <v>0</v>
      </c>
      <c r="AN689" s="233">
        <f>'F5 - Cost Pressures'!W36</f>
        <v>0</v>
      </c>
    </row>
    <row r="690" spans="1:40">
      <c r="A690" s="234" t="str">
        <f>'Front Sheet and Checklist'!$C$5</f>
        <v>Swansea Bay UHB</v>
      </c>
      <c r="B690" s="234" t="s">
        <v>374</v>
      </c>
      <c r="C690" s="234" t="str">
        <f t="shared" ref="C690:D690" si="407">C628</f>
        <v>Macro Economic Inflation</v>
      </c>
      <c r="D690" s="234">
        <f t="shared" si="407"/>
        <v>0</v>
      </c>
      <c r="E690" s="234" t="s">
        <v>382</v>
      </c>
      <c r="F690" s="234">
        <f>'F5 - Cost Pressures'!B409</f>
        <v>0</v>
      </c>
      <c r="AM690" s="233">
        <f>'F5 - Cost Pressures'!V37</f>
        <v>0</v>
      </c>
      <c r="AN690" s="233">
        <f>'F5 - Cost Pressures'!W37</f>
        <v>0</v>
      </c>
    </row>
    <row r="691" spans="1:40">
      <c r="A691" s="234" t="str">
        <f>'Front Sheet and Checklist'!$C$5</f>
        <v>Swansea Bay UHB</v>
      </c>
      <c r="B691" s="234" t="s">
        <v>374</v>
      </c>
      <c r="C691" s="234" t="str">
        <f t="shared" ref="C691:D691" si="408">C629</f>
        <v>Macro Economic Inflation</v>
      </c>
      <c r="D691" s="234">
        <f t="shared" si="408"/>
        <v>0</v>
      </c>
      <c r="E691" s="234" t="s">
        <v>382</v>
      </c>
      <c r="F691" s="234">
        <f>'F5 - Cost Pressures'!B410</f>
        <v>0</v>
      </c>
      <c r="AM691" s="233">
        <f>'F5 - Cost Pressures'!V38</f>
        <v>0</v>
      </c>
      <c r="AN691" s="233">
        <f>'F5 - Cost Pressures'!W38</f>
        <v>0</v>
      </c>
    </row>
    <row r="692" spans="1:40">
      <c r="A692" s="234" t="str">
        <f>'Front Sheet and Checklist'!$C$5</f>
        <v>Swansea Bay UHB</v>
      </c>
      <c r="B692" s="234" t="s">
        <v>374</v>
      </c>
      <c r="C692" s="234" t="str">
        <f t="shared" ref="C692:D692" si="409">C630</f>
        <v>Macro Economic Inflation</v>
      </c>
      <c r="D692" s="234">
        <f t="shared" si="409"/>
        <v>0</v>
      </c>
      <c r="E692" s="234" t="s">
        <v>382</v>
      </c>
      <c r="F692" s="234">
        <f>'F5 - Cost Pressures'!B411</f>
        <v>0</v>
      </c>
      <c r="AM692" s="233">
        <f>'F5 - Cost Pressures'!V39</f>
        <v>0</v>
      </c>
      <c r="AN692" s="233">
        <f>'F5 - Cost Pressures'!W39</f>
        <v>0</v>
      </c>
    </row>
    <row r="693" spans="1:40">
      <c r="A693" s="234" t="str">
        <f>'Front Sheet and Checklist'!$C$5</f>
        <v>Swansea Bay UHB</v>
      </c>
      <c r="B693" s="234" t="s">
        <v>374</v>
      </c>
      <c r="C693" s="234" t="str">
        <f t="shared" ref="C693:D693" si="410">C631</f>
        <v>Macro Economic Inflation</v>
      </c>
      <c r="D693" s="234">
        <f t="shared" si="410"/>
        <v>0</v>
      </c>
      <c r="E693" s="234" t="s">
        <v>382</v>
      </c>
      <c r="F693" s="234">
        <f>'F5 - Cost Pressures'!B412</f>
        <v>0</v>
      </c>
      <c r="AM693" s="233">
        <f>'F5 - Cost Pressures'!V40</f>
        <v>0</v>
      </c>
      <c r="AN693" s="233">
        <f>'F5 - Cost Pressures'!W40</f>
        <v>0</v>
      </c>
    </row>
    <row r="694" spans="1:40">
      <c r="A694" s="234" t="str">
        <f>'Front Sheet and Checklist'!$C$5</f>
        <v>Swansea Bay UHB</v>
      </c>
      <c r="B694" s="234" t="s">
        <v>374</v>
      </c>
      <c r="C694" s="234" t="str">
        <f t="shared" ref="C694:D694" si="411">C632</f>
        <v>Local Investment Decisions</v>
      </c>
      <c r="D694" s="234">
        <f t="shared" si="411"/>
        <v>0</v>
      </c>
      <c r="E694" s="234" t="s">
        <v>382</v>
      </c>
      <c r="F694" s="234">
        <f>'F5 - Cost Pressures'!B413</f>
        <v>0</v>
      </c>
      <c r="AM694" s="233">
        <f>'F5 - Cost Pressures'!V41</f>
        <v>0</v>
      </c>
      <c r="AN694" s="233">
        <f>'F5 - Cost Pressures'!W41</f>
        <v>0</v>
      </c>
    </row>
    <row r="695" spans="1:40">
      <c r="A695" s="234" t="str">
        <f>'Front Sheet and Checklist'!$C$5</f>
        <v>Swansea Bay UHB</v>
      </c>
      <c r="B695" s="234" t="s">
        <v>374</v>
      </c>
      <c r="C695" s="234" t="str">
        <f t="shared" ref="C695:D695" si="412">C633</f>
        <v>Local Investment Decisions</v>
      </c>
      <c r="D695" s="234">
        <f t="shared" si="412"/>
        <v>0</v>
      </c>
      <c r="E695" s="234" t="s">
        <v>382</v>
      </c>
      <c r="F695" s="234">
        <f>'F5 - Cost Pressures'!B414</f>
        <v>0</v>
      </c>
      <c r="AM695" s="233">
        <f>'F5 - Cost Pressures'!V42</f>
        <v>0</v>
      </c>
      <c r="AN695" s="233">
        <f>'F5 - Cost Pressures'!W42</f>
        <v>0</v>
      </c>
    </row>
    <row r="696" spans="1:40">
      <c r="A696" s="234" t="str">
        <f>'Front Sheet and Checklist'!$C$5</f>
        <v>Swansea Bay UHB</v>
      </c>
      <c r="B696" s="234" t="s">
        <v>374</v>
      </c>
      <c r="C696" s="234" t="str">
        <f t="shared" ref="C696:D696" si="413">C634</f>
        <v>Local Investment Decisions</v>
      </c>
      <c r="D696" s="234">
        <f t="shared" si="413"/>
        <v>0</v>
      </c>
      <c r="E696" s="234" t="s">
        <v>382</v>
      </c>
      <c r="F696" s="234">
        <f>'F5 - Cost Pressures'!B415</f>
        <v>0</v>
      </c>
      <c r="AM696" s="233">
        <f>'F5 - Cost Pressures'!V43</f>
        <v>0</v>
      </c>
      <c r="AN696" s="233">
        <f>'F5 - Cost Pressures'!W43</f>
        <v>0</v>
      </c>
    </row>
    <row r="697" spans="1:40">
      <c r="A697" s="234" t="str">
        <f>'Front Sheet and Checklist'!$C$5</f>
        <v>Swansea Bay UHB</v>
      </c>
      <c r="B697" s="234" t="s">
        <v>374</v>
      </c>
      <c r="C697" s="234" t="str">
        <f t="shared" ref="C697:D697" si="414">C635</f>
        <v>Local Investment Decisions</v>
      </c>
      <c r="D697" s="234">
        <f t="shared" si="414"/>
        <v>0</v>
      </c>
      <c r="E697" s="234" t="s">
        <v>382</v>
      </c>
      <c r="F697" s="234">
        <f>'F5 - Cost Pressures'!B416</f>
        <v>0</v>
      </c>
      <c r="AM697" s="233">
        <f>'F5 - Cost Pressures'!V44</f>
        <v>0</v>
      </c>
      <c r="AN697" s="233">
        <f>'F5 - Cost Pressures'!W44</f>
        <v>0</v>
      </c>
    </row>
    <row r="698" spans="1:40">
      <c r="A698" s="234" t="str">
        <f>'Front Sheet and Checklist'!$C$5</f>
        <v>Swansea Bay UHB</v>
      </c>
      <c r="B698" s="234" t="s">
        <v>374</v>
      </c>
      <c r="C698" s="234" t="str">
        <f t="shared" ref="C698:D698" si="415">C636</f>
        <v>Local Investment Decisions</v>
      </c>
      <c r="D698" s="234">
        <f t="shared" si="415"/>
        <v>0</v>
      </c>
      <c r="E698" s="234" t="s">
        <v>382</v>
      </c>
      <c r="F698" s="234">
        <f>'F5 - Cost Pressures'!B417</f>
        <v>0</v>
      </c>
      <c r="AM698" s="233">
        <f>'F5 - Cost Pressures'!V45</f>
        <v>0</v>
      </c>
      <c r="AN698" s="233">
        <f>'F5 - Cost Pressures'!W45</f>
        <v>0</v>
      </c>
    </row>
    <row r="699" spans="1:40">
      <c r="A699" s="234" t="str">
        <f>'Front Sheet and Checklist'!$C$5</f>
        <v>Swansea Bay UHB</v>
      </c>
      <c r="B699" s="234" t="s">
        <v>374</v>
      </c>
      <c r="C699" s="234" t="str">
        <f t="shared" ref="C699:D699" si="416">C637</f>
        <v>Local Investment Decisions</v>
      </c>
      <c r="D699" s="234">
        <f t="shared" si="416"/>
        <v>0</v>
      </c>
      <c r="E699" s="234" t="s">
        <v>382</v>
      </c>
      <c r="F699" s="234">
        <f>'F5 - Cost Pressures'!B418</f>
        <v>0</v>
      </c>
      <c r="AM699" s="233">
        <f>'F5 - Cost Pressures'!V46</f>
        <v>0</v>
      </c>
      <c r="AN699" s="233">
        <f>'F5 - Cost Pressures'!W46</f>
        <v>0</v>
      </c>
    </row>
    <row r="700" spans="1:40">
      <c r="A700" s="234" t="str">
        <f>'Front Sheet and Checklist'!$C$5</f>
        <v>Swansea Bay UHB</v>
      </c>
      <c r="B700" s="234" t="s">
        <v>374</v>
      </c>
      <c r="C700" s="234" t="str">
        <f t="shared" ref="C700:D700" si="417">C638</f>
        <v>Local Investment Decisions</v>
      </c>
      <c r="D700" s="234">
        <f t="shared" si="417"/>
        <v>0</v>
      </c>
      <c r="E700" s="234" t="s">
        <v>382</v>
      </c>
      <c r="F700" s="234">
        <f>'F5 - Cost Pressures'!B419</f>
        <v>0</v>
      </c>
      <c r="AM700" s="233">
        <f>'F5 - Cost Pressures'!V47</f>
        <v>0</v>
      </c>
      <c r="AN700" s="233">
        <f>'F5 - Cost Pressures'!W47</f>
        <v>0</v>
      </c>
    </row>
    <row r="701" spans="1:40">
      <c r="A701" s="234" t="str">
        <f>'Front Sheet and Checklist'!$C$5</f>
        <v>Swansea Bay UHB</v>
      </c>
      <c r="B701" s="234" t="s">
        <v>374</v>
      </c>
      <c r="C701" s="234" t="str">
        <f t="shared" ref="C701:D701" si="418">C639</f>
        <v>Local Investment Decisions</v>
      </c>
      <c r="D701" s="234">
        <f t="shared" si="418"/>
        <v>0</v>
      </c>
      <c r="E701" s="234" t="s">
        <v>382</v>
      </c>
      <c r="F701" s="234">
        <f>'F5 - Cost Pressures'!B420</f>
        <v>0</v>
      </c>
      <c r="AM701" s="233">
        <f>'F5 - Cost Pressures'!V48</f>
        <v>0</v>
      </c>
      <c r="AN701" s="233">
        <f>'F5 - Cost Pressures'!W48</f>
        <v>0</v>
      </c>
    </row>
    <row r="702" spans="1:40">
      <c r="A702" s="234" t="str">
        <f>'Front Sheet and Checklist'!$C$5</f>
        <v>Swansea Bay UHB</v>
      </c>
      <c r="B702" s="234" t="s">
        <v>374</v>
      </c>
      <c r="C702" s="234" t="str">
        <f t="shared" ref="C702:D702" si="419">C640</f>
        <v>Local Investment Decisions</v>
      </c>
      <c r="D702" s="234">
        <f t="shared" si="419"/>
        <v>0</v>
      </c>
      <c r="E702" s="234" t="s">
        <v>382</v>
      </c>
      <c r="F702" s="234">
        <f>'F5 - Cost Pressures'!B421</f>
        <v>0</v>
      </c>
      <c r="AM702" s="233">
        <f>'F5 - Cost Pressures'!V49</f>
        <v>0</v>
      </c>
      <c r="AN702" s="233">
        <f>'F5 - Cost Pressures'!W49</f>
        <v>0</v>
      </c>
    </row>
    <row r="703" spans="1:40">
      <c r="A703" s="234" t="str">
        <f>'Front Sheet and Checklist'!$C$5</f>
        <v>Swansea Bay UHB</v>
      </c>
      <c r="B703" s="234" t="s">
        <v>374</v>
      </c>
      <c r="C703" s="234" t="str">
        <f t="shared" ref="C703:D703" si="420">C641</f>
        <v>Local Investment Decisions</v>
      </c>
      <c r="D703" s="234">
        <f t="shared" si="420"/>
        <v>0</v>
      </c>
      <c r="E703" s="234" t="s">
        <v>382</v>
      </c>
      <c r="F703" s="234">
        <f>'F5 - Cost Pressures'!B422</f>
        <v>0</v>
      </c>
      <c r="AM703" s="233">
        <f>'F5 - Cost Pressures'!V50</f>
        <v>0</v>
      </c>
      <c r="AN703" s="233">
        <f>'F5 - Cost Pressures'!W50</f>
        <v>0</v>
      </c>
    </row>
    <row r="704" spans="1:40">
      <c r="A704" s="234" t="str">
        <f>'Front Sheet and Checklist'!$C$5</f>
        <v>Swansea Bay UHB</v>
      </c>
      <c r="B704" s="234" t="s">
        <v>374</v>
      </c>
      <c r="C704" s="234" t="str">
        <f t="shared" ref="C704:D704" si="421">C642</f>
        <v>Contractual or unavoidable</v>
      </c>
      <c r="D704" s="234">
        <f t="shared" si="421"/>
        <v>0</v>
      </c>
      <c r="E704" s="234" t="s">
        <v>382</v>
      </c>
      <c r="F704" s="234">
        <f>'F5 - Cost Pressures'!B423</f>
        <v>0</v>
      </c>
      <c r="AM704" s="233">
        <f>'F5 - Cost Pressures'!V51</f>
        <v>0</v>
      </c>
      <c r="AN704" s="233">
        <f>'F5 - Cost Pressures'!W51</f>
        <v>0</v>
      </c>
    </row>
    <row r="705" spans="1:40">
      <c r="A705" s="234" t="str">
        <f>'Front Sheet and Checklist'!$C$5</f>
        <v>Swansea Bay UHB</v>
      </c>
      <c r="B705" s="234" t="s">
        <v>374</v>
      </c>
      <c r="C705" s="234">
        <f t="shared" ref="C705:D705" si="422">C643</f>
        <v>0</v>
      </c>
      <c r="D705" s="234">
        <f t="shared" si="422"/>
        <v>0</v>
      </c>
      <c r="E705" s="234" t="s">
        <v>382</v>
      </c>
      <c r="F705" s="234">
        <f>'F5 - Cost Pressures'!B424</f>
        <v>0</v>
      </c>
      <c r="AM705" s="233">
        <f>'F5 - Cost Pressures'!V52</f>
        <v>0</v>
      </c>
      <c r="AN705" s="233">
        <f>'F5 - Cost Pressures'!W52</f>
        <v>0</v>
      </c>
    </row>
    <row r="706" spans="1:40">
      <c r="A706" s="234" t="str">
        <f>'Front Sheet and Checklist'!$C$5</f>
        <v>Swansea Bay UHB</v>
      </c>
      <c r="B706" s="234" t="s">
        <v>374</v>
      </c>
      <c r="C706" s="234">
        <f t="shared" ref="C706:D706" si="423">C644</f>
        <v>0</v>
      </c>
      <c r="D706" s="234">
        <f t="shared" si="423"/>
        <v>0</v>
      </c>
      <c r="E706" s="234" t="s">
        <v>382</v>
      </c>
      <c r="F706" s="234">
        <f>'F5 - Cost Pressures'!B425</f>
        <v>0</v>
      </c>
      <c r="AM706" s="233">
        <f>'F5 - Cost Pressures'!V53</f>
        <v>0</v>
      </c>
      <c r="AN706" s="233">
        <f>'F5 - Cost Pressures'!W53</f>
        <v>0</v>
      </c>
    </row>
    <row r="707" spans="1:40">
      <c r="A707" s="234" t="str">
        <f>'Front Sheet and Checklist'!$C$5</f>
        <v>Swansea Bay UHB</v>
      </c>
      <c r="B707" s="234" t="s">
        <v>374</v>
      </c>
      <c r="C707" s="234">
        <f t="shared" ref="C707:D707" si="424">C645</f>
        <v>0</v>
      </c>
      <c r="D707" s="234">
        <f t="shared" si="424"/>
        <v>0</v>
      </c>
      <c r="E707" s="234" t="s">
        <v>382</v>
      </c>
      <c r="F707" s="234">
        <f>'F5 - Cost Pressures'!B426</f>
        <v>0</v>
      </c>
      <c r="AM707" s="233">
        <f>'F5 - Cost Pressures'!V54</f>
        <v>0</v>
      </c>
      <c r="AN707" s="233">
        <f>'F5 - Cost Pressures'!W54</f>
        <v>0</v>
      </c>
    </row>
    <row r="708" spans="1:40">
      <c r="A708" s="234" t="str">
        <f>'Front Sheet and Checklist'!$C$5</f>
        <v>Swansea Bay UHB</v>
      </c>
      <c r="B708" s="234" t="s">
        <v>374</v>
      </c>
      <c r="C708" s="234">
        <f t="shared" ref="C708:D708" si="425">C646</f>
        <v>0</v>
      </c>
      <c r="D708" s="234">
        <f t="shared" si="425"/>
        <v>0</v>
      </c>
      <c r="E708" s="234" t="s">
        <v>382</v>
      </c>
      <c r="F708" s="234">
        <f>'F5 - Cost Pressures'!B427</f>
        <v>0</v>
      </c>
      <c r="AM708" s="233">
        <f>'F5 - Cost Pressures'!V55</f>
        <v>0</v>
      </c>
      <c r="AN708" s="233">
        <f>'F5 - Cost Pressures'!W55</f>
        <v>0</v>
      </c>
    </row>
    <row r="709" spans="1:40">
      <c r="A709" s="234" t="str">
        <f>'Front Sheet and Checklist'!$C$5</f>
        <v>Swansea Bay UHB</v>
      </c>
      <c r="B709" s="234" t="s">
        <v>374</v>
      </c>
      <c r="C709" s="234">
        <f t="shared" ref="C709:D709" si="426">C647</f>
        <v>0</v>
      </c>
      <c r="D709" s="234">
        <f t="shared" si="426"/>
        <v>0</v>
      </c>
      <c r="E709" s="234" t="s">
        <v>382</v>
      </c>
      <c r="F709" s="234">
        <f>'F5 - Cost Pressures'!B428</f>
        <v>0</v>
      </c>
      <c r="AM709" s="233">
        <f>'F5 - Cost Pressures'!V56</f>
        <v>0</v>
      </c>
      <c r="AN709" s="233">
        <f>'F5 - Cost Pressures'!W56</f>
        <v>0</v>
      </c>
    </row>
    <row r="710" spans="1:40">
      <c r="A710" s="234" t="str">
        <f>'Front Sheet and Checklist'!$C$5</f>
        <v>Swansea Bay UHB</v>
      </c>
      <c r="B710" s="234" t="s">
        <v>374</v>
      </c>
      <c r="C710" s="234">
        <f t="shared" ref="C710:D710" si="427">C648</f>
        <v>0</v>
      </c>
      <c r="D710" s="234">
        <f t="shared" si="427"/>
        <v>0</v>
      </c>
      <c r="E710" s="234" t="s">
        <v>382</v>
      </c>
      <c r="F710" s="234">
        <f>'F5 - Cost Pressures'!B429</f>
        <v>0</v>
      </c>
      <c r="AM710" s="233">
        <f>'F5 - Cost Pressures'!V57</f>
        <v>0</v>
      </c>
      <c r="AN710" s="233">
        <f>'F5 - Cost Pressures'!W57</f>
        <v>0</v>
      </c>
    </row>
    <row r="711" spans="1:40">
      <c r="A711" s="234" t="str">
        <f>'Front Sheet and Checklist'!$C$5</f>
        <v>Swansea Bay UHB</v>
      </c>
      <c r="B711" s="234" t="s">
        <v>374</v>
      </c>
      <c r="C711" s="234">
        <f t="shared" ref="C711:D711" si="428">C649</f>
        <v>0</v>
      </c>
      <c r="D711" s="234">
        <f t="shared" si="428"/>
        <v>0</v>
      </c>
      <c r="E711" s="234" t="s">
        <v>382</v>
      </c>
      <c r="F711" s="234">
        <f>'F5 - Cost Pressures'!B430</f>
        <v>0</v>
      </c>
      <c r="AM711" s="233">
        <f>'F5 - Cost Pressures'!V58</f>
        <v>0</v>
      </c>
      <c r="AN711" s="233">
        <f>'F5 - Cost Pressures'!W58</f>
        <v>0</v>
      </c>
    </row>
    <row r="712" spans="1:40">
      <c r="A712" s="234" t="str">
        <f>'Front Sheet and Checklist'!$C$5</f>
        <v>Swansea Bay UHB</v>
      </c>
      <c r="B712" s="234" t="s">
        <v>374</v>
      </c>
      <c r="C712" s="234">
        <f t="shared" ref="C712:D712" si="429">C650</f>
        <v>0</v>
      </c>
      <c r="D712" s="234">
        <f t="shared" si="429"/>
        <v>0</v>
      </c>
      <c r="E712" s="234" t="s">
        <v>382</v>
      </c>
      <c r="F712" s="234">
        <f>'F5 - Cost Pressures'!B431</f>
        <v>0</v>
      </c>
      <c r="AM712" s="233">
        <f>'F5 - Cost Pressures'!V59</f>
        <v>0</v>
      </c>
      <c r="AN712" s="233">
        <f>'F5 - Cost Pressures'!W59</f>
        <v>0</v>
      </c>
    </row>
    <row r="713" spans="1:40">
      <c r="A713" s="234" t="str">
        <f>'Front Sheet and Checklist'!$C$5</f>
        <v>Swansea Bay UHB</v>
      </c>
      <c r="B713" s="234" t="s">
        <v>374</v>
      </c>
      <c r="C713" s="234">
        <f t="shared" ref="C713:D713" si="430">C651</f>
        <v>0</v>
      </c>
      <c r="D713" s="234">
        <f t="shared" si="430"/>
        <v>0</v>
      </c>
      <c r="E713" s="234" t="s">
        <v>382</v>
      </c>
      <c r="F713" s="234">
        <f>'F5 - Cost Pressures'!B432</f>
        <v>0</v>
      </c>
      <c r="AM713" s="233">
        <f>'F5 - Cost Pressures'!V60</f>
        <v>0</v>
      </c>
      <c r="AN713" s="233">
        <f>'F5 - Cost Pressures'!W60</f>
        <v>0</v>
      </c>
    </row>
    <row r="714" spans="1:40">
      <c r="A714" s="234" t="str">
        <f>'Front Sheet and Checklist'!$C$5</f>
        <v>Swansea Bay UHB</v>
      </c>
      <c r="B714" s="234" t="s">
        <v>374</v>
      </c>
      <c r="C714" s="234">
        <f t="shared" ref="C714:D714" si="431">C652</f>
        <v>0</v>
      </c>
      <c r="D714" s="234">
        <f t="shared" si="431"/>
        <v>0</v>
      </c>
      <c r="E714" s="234" t="s">
        <v>382</v>
      </c>
      <c r="F714" s="234">
        <f>'F5 - Cost Pressures'!B433</f>
        <v>0</v>
      </c>
      <c r="AM714" s="233">
        <f>'F5 - Cost Pressures'!V61</f>
        <v>0</v>
      </c>
      <c r="AN714" s="233">
        <f>'F5 - Cost Pressures'!W61</f>
        <v>0</v>
      </c>
    </row>
    <row r="715" spans="1:40">
      <c r="A715" s="234" t="str">
        <f>'Front Sheet and Checklist'!$C$5</f>
        <v>Swansea Bay UHB</v>
      </c>
      <c r="B715" s="234" t="s">
        <v>374</v>
      </c>
      <c r="C715" s="234">
        <f t="shared" ref="C715:D715" si="432">C653</f>
        <v>0</v>
      </c>
      <c r="D715" s="234">
        <f t="shared" si="432"/>
        <v>0</v>
      </c>
      <c r="E715" s="234" t="s">
        <v>382</v>
      </c>
      <c r="F715" s="234">
        <f>'F5 - Cost Pressures'!B434</f>
        <v>0</v>
      </c>
      <c r="AM715" s="233">
        <f>'F5 - Cost Pressures'!V62</f>
        <v>0</v>
      </c>
      <c r="AN715" s="233">
        <f>'F5 - Cost Pressures'!W62</f>
        <v>0</v>
      </c>
    </row>
    <row r="716" spans="1:40">
      <c r="A716" s="234" t="str">
        <f>'Front Sheet and Checklist'!$C$5</f>
        <v>Swansea Bay UHB</v>
      </c>
      <c r="B716" s="234" t="s">
        <v>374</v>
      </c>
      <c r="C716" s="234">
        <f t="shared" ref="C716:D716" si="433">C654</f>
        <v>0</v>
      </c>
      <c r="D716" s="234">
        <f t="shared" si="433"/>
        <v>0</v>
      </c>
      <c r="E716" s="234" t="s">
        <v>382</v>
      </c>
      <c r="F716" s="234">
        <f>'F5 - Cost Pressures'!B435</f>
        <v>0</v>
      </c>
      <c r="AM716" s="233">
        <f>'F5 - Cost Pressures'!V63</f>
        <v>0</v>
      </c>
      <c r="AN716" s="233">
        <f>'F5 - Cost Pressures'!W63</f>
        <v>0</v>
      </c>
    </row>
    <row r="717" spans="1:40">
      <c r="A717" s="234" t="str">
        <f>'Front Sheet and Checklist'!$C$5</f>
        <v>Swansea Bay UHB</v>
      </c>
      <c r="B717" s="234" t="s">
        <v>374</v>
      </c>
      <c r="C717" s="234">
        <f t="shared" ref="C717:D717" si="434">C655</f>
        <v>0</v>
      </c>
      <c r="D717" s="234">
        <f t="shared" si="434"/>
        <v>0</v>
      </c>
      <c r="E717" s="234" t="s">
        <v>382</v>
      </c>
      <c r="F717" s="234">
        <f>'F5 - Cost Pressures'!B436</f>
        <v>0</v>
      </c>
      <c r="AM717" s="233">
        <f>'F5 - Cost Pressures'!V64</f>
        <v>0</v>
      </c>
      <c r="AN717" s="233">
        <f>'F5 - Cost Pressures'!W64</f>
        <v>0</v>
      </c>
    </row>
    <row r="718" spans="1:40">
      <c r="A718" s="234" t="str">
        <f>'Front Sheet and Checklist'!$C$5</f>
        <v>Swansea Bay UHB</v>
      </c>
      <c r="B718" s="234" t="s">
        <v>374</v>
      </c>
      <c r="C718" s="234">
        <f t="shared" ref="C718:D718" si="435">C656</f>
        <v>0</v>
      </c>
      <c r="D718" s="234">
        <f t="shared" si="435"/>
        <v>0</v>
      </c>
      <c r="E718" s="234" t="s">
        <v>382</v>
      </c>
      <c r="F718" s="234">
        <f>'F5 - Cost Pressures'!B437</f>
        <v>0</v>
      </c>
      <c r="AM718" s="233">
        <f>'F5 - Cost Pressures'!V65</f>
        <v>0</v>
      </c>
      <c r="AN718" s="233">
        <f>'F5 - Cost Pressures'!W65</f>
        <v>0</v>
      </c>
    </row>
    <row r="719" spans="1:40">
      <c r="A719" s="234" t="str">
        <f>'Front Sheet and Checklist'!$C$5</f>
        <v>Swansea Bay UHB</v>
      </c>
      <c r="B719" s="234" t="s">
        <v>374</v>
      </c>
      <c r="C719" s="234" t="str">
        <f t="shared" ref="C719:D719" si="436">C657</f>
        <v>Macro Economic Inflation</v>
      </c>
      <c r="D719" s="234" t="str">
        <f t="shared" si="436"/>
        <v>7. Non Clinical Support</v>
      </c>
      <c r="E719" s="234" t="s">
        <v>383</v>
      </c>
      <c r="F719" s="234">
        <f>'F5 - Cost Pressures'!B438</f>
        <v>0</v>
      </c>
      <c r="AM719" s="233">
        <f>'F5 - Cost Pressures'!X4</f>
        <v>0</v>
      </c>
      <c r="AN719" s="233">
        <f>'F5 - Cost Pressures'!Y4</f>
        <v>0</v>
      </c>
    </row>
    <row r="720" spans="1:40">
      <c r="A720" s="234" t="str">
        <f>'Front Sheet and Checklist'!$C$5</f>
        <v>Swansea Bay UHB</v>
      </c>
      <c r="B720" s="234" t="s">
        <v>374</v>
      </c>
      <c r="C720" s="234" t="str">
        <f t="shared" ref="C720:D720" si="437">C658</f>
        <v>Macro Economic Inflation</v>
      </c>
      <c r="D720" s="234" t="str">
        <f t="shared" si="437"/>
        <v>8. Across Service Areas</v>
      </c>
      <c r="E720" s="234" t="s">
        <v>383</v>
      </c>
      <c r="F720" s="234">
        <f>'F5 - Cost Pressures'!B439</f>
        <v>0</v>
      </c>
      <c r="AM720" s="233">
        <f>'F5 - Cost Pressures'!X5</f>
        <v>0</v>
      </c>
      <c r="AN720" s="233">
        <f>'F5 - Cost Pressures'!Y5</f>
        <v>0</v>
      </c>
    </row>
    <row r="721" spans="1:40">
      <c r="A721" s="234" t="str">
        <f>'Front Sheet and Checklist'!$C$5</f>
        <v>Swansea Bay UHB</v>
      </c>
      <c r="B721" s="234" t="s">
        <v>374</v>
      </c>
      <c r="C721" s="234" t="str">
        <f t="shared" ref="C721:D721" si="438">C659</f>
        <v>National Investment Decisions</v>
      </c>
      <c r="D721" s="234" t="str">
        <f t="shared" si="438"/>
        <v>1. Secondary Care (In-house) - General</v>
      </c>
      <c r="E721" s="234" t="s">
        <v>383</v>
      </c>
      <c r="F721" s="234">
        <f>'F5 - Cost Pressures'!B440</f>
        <v>0</v>
      </c>
      <c r="AM721" s="233">
        <f>'F5 - Cost Pressures'!X6</f>
        <v>0</v>
      </c>
      <c r="AN721" s="233">
        <f>'F5 - Cost Pressures'!Y6</f>
        <v>0</v>
      </c>
    </row>
    <row r="722" spans="1:40">
      <c r="A722" s="234" t="str">
        <f>'Front Sheet and Checklist'!$C$5</f>
        <v>Swansea Bay UHB</v>
      </c>
      <c r="B722" s="234" t="s">
        <v>374</v>
      </c>
      <c r="C722" s="234" t="str">
        <f t="shared" ref="C722:D722" si="439">C660</f>
        <v>National Investment Decisions</v>
      </c>
      <c r="D722" s="234" t="str">
        <f t="shared" si="439"/>
        <v>4. Commissioned Activity (inc. CHC)</v>
      </c>
      <c r="E722" s="234" t="s">
        <v>383</v>
      </c>
      <c r="F722" s="234">
        <f>'F5 - Cost Pressures'!B441</f>
        <v>0</v>
      </c>
      <c r="AM722" s="233">
        <f>'F5 - Cost Pressures'!X7</f>
        <v>0</v>
      </c>
      <c r="AN722" s="233">
        <f>'F5 - Cost Pressures'!Y7</f>
        <v>0</v>
      </c>
    </row>
    <row r="723" spans="1:40">
      <c r="A723" s="234" t="str">
        <f>'Front Sheet and Checklist'!$C$5</f>
        <v>Swansea Bay UHB</v>
      </c>
      <c r="B723" s="234" t="s">
        <v>374</v>
      </c>
      <c r="C723" s="234" t="str">
        <f t="shared" ref="C723:D723" si="440">C661</f>
        <v>National Investment Decisions</v>
      </c>
      <c r="D723" s="234" t="str">
        <f t="shared" si="440"/>
        <v>3. Community Care</v>
      </c>
      <c r="E723" s="234" t="s">
        <v>383</v>
      </c>
      <c r="F723" s="234">
        <f>'F5 - Cost Pressures'!B442</f>
        <v>0</v>
      </c>
      <c r="AM723" s="233">
        <f>'F5 - Cost Pressures'!X8</f>
        <v>0</v>
      </c>
      <c r="AN723" s="233">
        <f>'F5 - Cost Pressures'!Y8</f>
        <v>0</v>
      </c>
    </row>
    <row r="724" spans="1:40">
      <c r="A724" s="234" t="str">
        <f>'Front Sheet and Checklist'!$C$5</f>
        <v>Swansea Bay UHB</v>
      </c>
      <c r="B724" s="234" t="s">
        <v>374</v>
      </c>
      <c r="C724" s="234" t="str">
        <f t="shared" ref="C724:D724" si="441">C662</f>
        <v>National Investment Decisions</v>
      </c>
      <c r="D724" s="234" t="str">
        <f t="shared" si="441"/>
        <v>3. Community Care</v>
      </c>
      <c r="E724" s="234" t="s">
        <v>383</v>
      </c>
      <c r="F724" s="234">
        <f>'F5 - Cost Pressures'!B443</f>
        <v>0</v>
      </c>
      <c r="AM724" s="233">
        <f>'F5 - Cost Pressures'!X9</f>
        <v>0</v>
      </c>
      <c r="AN724" s="233">
        <f>'F5 - Cost Pressures'!Y9</f>
        <v>0</v>
      </c>
    </row>
    <row r="725" spans="1:40">
      <c r="A725" s="234" t="str">
        <f>'Front Sheet and Checklist'!$C$5</f>
        <v>Swansea Bay UHB</v>
      </c>
      <c r="B725" s="234" t="s">
        <v>374</v>
      </c>
      <c r="C725" s="234" t="str">
        <f t="shared" ref="C725:D725" si="442">C663</f>
        <v>National Investment Decisions</v>
      </c>
      <c r="D725" s="234" t="str">
        <f t="shared" si="442"/>
        <v>4. Commissioned Activity (inc. CHC)</v>
      </c>
      <c r="E725" s="234" t="s">
        <v>383</v>
      </c>
      <c r="F725" s="234">
        <f>'F5 - Cost Pressures'!B444</f>
        <v>0</v>
      </c>
      <c r="AM725" s="233">
        <f>'F5 - Cost Pressures'!X10</f>
        <v>0</v>
      </c>
      <c r="AN725" s="233">
        <f>'F5 - Cost Pressures'!Y10</f>
        <v>0</v>
      </c>
    </row>
    <row r="726" spans="1:40">
      <c r="A726" s="234" t="str">
        <f>'Front Sheet and Checklist'!$C$5</f>
        <v>Swansea Bay UHB</v>
      </c>
      <c r="B726" s="234" t="s">
        <v>374</v>
      </c>
      <c r="C726" s="234" t="str">
        <f t="shared" ref="C726:D726" si="443">C664</f>
        <v>National Investment Decisions</v>
      </c>
      <c r="D726" s="234">
        <f t="shared" si="443"/>
        <v>0</v>
      </c>
      <c r="E726" s="234" t="s">
        <v>383</v>
      </c>
      <c r="F726" s="234">
        <f>'F5 - Cost Pressures'!B445</f>
        <v>0</v>
      </c>
      <c r="AM726" s="233">
        <f>'F5 - Cost Pressures'!X11</f>
        <v>0</v>
      </c>
      <c r="AN726" s="233">
        <f>'F5 - Cost Pressures'!Y11</f>
        <v>0</v>
      </c>
    </row>
    <row r="727" spans="1:40">
      <c r="A727" s="234" t="str">
        <f>'Front Sheet and Checklist'!$C$5</f>
        <v>Swansea Bay UHB</v>
      </c>
      <c r="B727" s="234" t="s">
        <v>374</v>
      </c>
      <c r="C727" s="234" t="str">
        <f t="shared" ref="C727:D727" si="444">C665</f>
        <v>National Investment Decisions</v>
      </c>
      <c r="D727" s="234">
        <f t="shared" si="444"/>
        <v>0</v>
      </c>
      <c r="E727" s="234" t="s">
        <v>383</v>
      </c>
      <c r="F727" s="234">
        <f>'F5 - Cost Pressures'!B446</f>
        <v>0</v>
      </c>
      <c r="AM727" s="233">
        <f>'F5 - Cost Pressures'!X12</f>
        <v>0</v>
      </c>
      <c r="AN727" s="233">
        <f>'F5 - Cost Pressures'!Y12</f>
        <v>0</v>
      </c>
    </row>
    <row r="728" spans="1:40">
      <c r="A728" s="234" t="str">
        <f>'Front Sheet and Checklist'!$C$5</f>
        <v>Swansea Bay UHB</v>
      </c>
      <c r="B728" s="234" t="s">
        <v>374</v>
      </c>
      <c r="C728" s="234" t="str">
        <f t="shared" ref="C728:D728" si="445">C666</f>
        <v>National Investment Decisions</v>
      </c>
      <c r="D728" s="234">
        <f t="shared" si="445"/>
        <v>0</v>
      </c>
      <c r="E728" s="234" t="s">
        <v>383</v>
      </c>
      <c r="F728" s="234">
        <f>'F5 - Cost Pressures'!B447</f>
        <v>0</v>
      </c>
      <c r="AM728" s="233">
        <f>'F5 - Cost Pressures'!X13</f>
        <v>0</v>
      </c>
      <c r="AN728" s="233">
        <f>'F5 - Cost Pressures'!Y13</f>
        <v>0</v>
      </c>
    </row>
    <row r="729" spans="1:40">
      <c r="A729" s="234" t="str">
        <f>'Front Sheet and Checklist'!$C$5</f>
        <v>Swansea Bay UHB</v>
      </c>
      <c r="B729" s="234" t="s">
        <v>374</v>
      </c>
      <c r="C729" s="234" t="str">
        <f t="shared" ref="C729:D729" si="446">C667</f>
        <v>National Investment Decisions</v>
      </c>
      <c r="D729" s="234">
        <f t="shared" si="446"/>
        <v>0</v>
      </c>
      <c r="E729" s="234" t="s">
        <v>383</v>
      </c>
      <c r="F729" s="234">
        <f>'F5 - Cost Pressures'!B448</f>
        <v>0</v>
      </c>
      <c r="AM729" s="233">
        <f>'F5 - Cost Pressures'!X14</f>
        <v>0</v>
      </c>
      <c r="AN729" s="233">
        <f>'F5 - Cost Pressures'!Y14</f>
        <v>0</v>
      </c>
    </row>
    <row r="730" spans="1:40">
      <c r="A730" s="234" t="str">
        <f>'Front Sheet and Checklist'!$C$5</f>
        <v>Swansea Bay UHB</v>
      </c>
      <c r="B730" s="234" t="s">
        <v>374</v>
      </c>
      <c r="C730" s="234" t="str">
        <f t="shared" ref="C730:D730" si="447">C668</f>
        <v>National Investment Decisions</v>
      </c>
      <c r="D730" s="234">
        <f t="shared" si="447"/>
        <v>0</v>
      </c>
      <c r="E730" s="234" t="s">
        <v>383</v>
      </c>
      <c r="F730" s="234">
        <f>'F5 - Cost Pressures'!B449</f>
        <v>0</v>
      </c>
      <c r="AM730" s="233">
        <f>'F5 - Cost Pressures'!X15</f>
        <v>0</v>
      </c>
      <c r="AN730" s="233">
        <f>'F5 - Cost Pressures'!Y15</f>
        <v>0</v>
      </c>
    </row>
    <row r="731" spans="1:40">
      <c r="A731" s="234" t="str">
        <f>'Front Sheet and Checklist'!$C$5</f>
        <v>Swansea Bay UHB</v>
      </c>
      <c r="B731" s="234" t="s">
        <v>374</v>
      </c>
      <c r="C731" s="234" t="str">
        <f t="shared" ref="C731:D731" si="448">C669</f>
        <v>National Investment Decisions</v>
      </c>
      <c r="D731" s="234">
        <f t="shared" si="448"/>
        <v>0</v>
      </c>
      <c r="E731" s="234" t="s">
        <v>383</v>
      </c>
      <c r="F731" s="234">
        <f>'F5 - Cost Pressures'!B450</f>
        <v>0</v>
      </c>
      <c r="AM731" s="233">
        <f>'F5 - Cost Pressures'!X16</f>
        <v>0</v>
      </c>
      <c r="AN731" s="233">
        <f>'F5 - Cost Pressures'!Y16</f>
        <v>0</v>
      </c>
    </row>
    <row r="732" spans="1:40">
      <c r="A732" s="234" t="str">
        <f>'Front Sheet and Checklist'!$C$5</f>
        <v>Swansea Bay UHB</v>
      </c>
      <c r="B732" s="234" t="s">
        <v>374</v>
      </c>
      <c r="C732" s="234" t="str">
        <f t="shared" ref="C732:D732" si="449">C670</f>
        <v>National Investment Decisions</v>
      </c>
      <c r="D732" s="234">
        <f t="shared" si="449"/>
        <v>0</v>
      </c>
      <c r="E732" s="234" t="s">
        <v>383</v>
      </c>
      <c r="F732" s="234">
        <f>'F5 - Cost Pressures'!B451</f>
        <v>0</v>
      </c>
      <c r="AM732" s="233">
        <f>'F5 - Cost Pressures'!X17</f>
        <v>0</v>
      </c>
      <c r="AN732" s="233">
        <f>'F5 - Cost Pressures'!Y17</f>
        <v>0</v>
      </c>
    </row>
    <row r="733" spans="1:40">
      <c r="A733" s="234" t="str">
        <f>'Front Sheet and Checklist'!$C$5</f>
        <v>Swansea Bay UHB</v>
      </c>
      <c r="B733" s="234" t="s">
        <v>374</v>
      </c>
      <c r="C733" s="234" t="str">
        <f t="shared" ref="C733:D733" si="450">C671</f>
        <v>National Investment Decisions</v>
      </c>
      <c r="D733" s="234">
        <f t="shared" si="450"/>
        <v>0</v>
      </c>
      <c r="E733" s="234" t="s">
        <v>383</v>
      </c>
      <c r="F733" s="234">
        <f>'F5 - Cost Pressures'!B452</f>
        <v>0</v>
      </c>
      <c r="AM733" s="233">
        <f>'F5 - Cost Pressures'!X18</f>
        <v>0</v>
      </c>
      <c r="AN733" s="233">
        <f>'F5 - Cost Pressures'!Y18</f>
        <v>0</v>
      </c>
    </row>
    <row r="734" spans="1:40">
      <c r="A734" s="234" t="str">
        <f>'Front Sheet and Checklist'!$C$5</f>
        <v>Swansea Bay UHB</v>
      </c>
      <c r="B734" s="234" t="s">
        <v>374</v>
      </c>
      <c r="C734" s="234" t="str">
        <f t="shared" ref="C734:D734" si="451">C672</f>
        <v>National Investment Decisions</v>
      </c>
      <c r="D734" s="234">
        <f t="shared" si="451"/>
        <v>0</v>
      </c>
      <c r="E734" s="234" t="s">
        <v>383</v>
      </c>
      <c r="F734" s="234">
        <f>'F5 - Cost Pressures'!B453</f>
        <v>0</v>
      </c>
      <c r="AM734" s="233">
        <f>'F5 - Cost Pressures'!X19</f>
        <v>0</v>
      </c>
      <c r="AN734" s="233">
        <f>'F5 - Cost Pressures'!Y19</f>
        <v>0</v>
      </c>
    </row>
    <row r="735" spans="1:40">
      <c r="A735" s="234" t="str">
        <f>'Front Sheet and Checklist'!$C$5</f>
        <v>Swansea Bay UHB</v>
      </c>
      <c r="B735" s="234" t="s">
        <v>374</v>
      </c>
      <c r="C735" s="234" t="str">
        <f t="shared" ref="C735:D735" si="452">C673</f>
        <v>Macro Economic Inflation</v>
      </c>
      <c r="D735" s="234">
        <f t="shared" si="452"/>
        <v>0</v>
      </c>
      <c r="E735" s="234" t="s">
        <v>383</v>
      </c>
      <c r="F735" s="234">
        <f>'F5 - Cost Pressures'!B454</f>
        <v>0</v>
      </c>
      <c r="AM735" s="233">
        <f>'F5 - Cost Pressures'!X20</f>
        <v>0</v>
      </c>
      <c r="AN735" s="233">
        <f>'F5 - Cost Pressures'!Y20</f>
        <v>0</v>
      </c>
    </row>
    <row r="736" spans="1:40">
      <c r="A736" s="234" t="str">
        <f>'Front Sheet and Checklist'!$C$5</f>
        <v>Swansea Bay UHB</v>
      </c>
      <c r="B736" s="234" t="s">
        <v>374</v>
      </c>
      <c r="C736" s="234" t="str">
        <f t="shared" ref="C736:D736" si="453">C674</f>
        <v>Macro Economic Inflation</v>
      </c>
      <c r="D736" s="234">
        <f t="shared" si="453"/>
        <v>0</v>
      </c>
      <c r="E736" s="234" t="s">
        <v>383</v>
      </c>
      <c r="F736" s="234">
        <f>'F5 - Cost Pressures'!B455</f>
        <v>0</v>
      </c>
      <c r="AM736" s="233">
        <f>'F5 - Cost Pressures'!X21</f>
        <v>0</v>
      </c>
      <c r="AN736" s="233">
        <f>'F5 - Cost Pressures'!Y21</f>
        <v>0</v>
      </c>
    </row>
    <row r="737" spans="1:40">
      <c r="A737" s="234" t="str">
        <f>'Front Sheet and Checklist'!$C$5</f>
        <v>Swansea Bay UHB</v>
      </c>
      <c r="B737" s="234" t="s">
        <v>374</v>
      </c>
      <c r="C737" s="234" t="str">
        <f t="shared" ref="C737:D737" si="454">C675</f>
        <v>Macro Economic Inflation</v>
      </c>
      <c r="D737" s="234">
        <f t="shared" si="454"/>
        <v>0</v>
      </c>
      <c r="E737" s="234" t="s">
        <v>383</v>
      </c>
      <c r="F737" s="234">
        <f>'F5 - Cost Pressures'!B456</f>
        <v>0</v>
      </c>
      <c r="AM737" s="233">
        <f>'F5 - Cost Pressures'!X22</f>
        <v>0</v>
      </c>
      <c r="AN737" s="233">
        <f>'F5 - Cost Pressures'!Y22</f>
        <v>0</v>
      </c>
    </row>
    <row r="738" spans="1:40">
      <c r="A738" s="234" t="str">
        <f>'Front Sheet and Checklist'!$C$5</f>
        <v>Swansea Bay UHB</v>
      </c>
      <c r="B738" s="234" t="s">
        <v>374</v>
      </c>
      <c r="C738" s="234" t="str">
        <f t="shared" ref="C738:D738" si="455">C676</f>
        <v>Macro Economic Inflation</v>
      </c>
      <c r="D738" s="234">
        <f t="shared" si="455"/>
        <v>0</v>
      </c>
      <c r="E738" s="234" t="s">
        <v>383</v>
      </c>
      <c r="F738" s="234">
        <f>'F5 - Cost Pressures'!B457</f>
        <v>0</v>
      </c>
      <c r="AM738" s="233">
        <f>'F5 - Cost Pressures'!X23</f>
        <v>0</v>
      </c>
      <c r="AN738" s="233">
        <f>'F5 - Cost Pressures'!Y23</f>
        <v>0</v>
      </c>
    </row>
    <row r="739" spans="1:40">
      <c r="A739" s="234" t="str">
        <f>'Front Sheet and Checklist'!$C$5</f>
        <v>Swansea Bay UHB</v>
      </c>
      <c r="B739" s="234" t="s">
        <v>374</v>
      </c>
      <c r="C739" s="234" t="str">
        <f t="shared" ref="C739:D739" si="456">C677</f>
        <v>Macro Economic Inflation</v>
      </c>
      <c r="D739" s="234">
        <f t="shared" si="456"/>
        <v>0</v>
      </c>
      <c r="E739" s="234" t="s">
        <v>383</v>
      </c>
      <c r="F739" s="234">
        <f>'F5 - Cost Pressures'!B458</f>
        <v>0</v>
      </c>
      <c r="AM739" s="233">
        <f>'F5 - Cost Pressures'!X24</f>
        <v>0</v>
      </c>
      <c r="AN739" s="233">
        <f>'F5 - Cost Pressures'!Y24</f>
        <v>0</v>
      </c>
    </row>
    <row r="740" spans="1:40">
      <c r="A740" s="234" t="str">
        <f>'Front Sheet and Checklist'!$C$5</f>
        <v>Swansea Bay UHB</v>
      </c>
      <c r="B740" s="234" t="s">
        <v>374</v>
      </c>
      <c r="C740" s="234" t="str">
        <f t="shared" ref="C740:D740" si="457">C678</f>
        <v>Macro Economic Inflation</v>
      </c>
      <c r="D740" s="234">
        <f t="shared" si="457"/>
        <v>0</v>
      </c>
      <c r="E740" s="234" t="s">
        <v>383</v>
      </c>
      <c r="F740" s="234">
        <f>'F5 - Cost Pressures'!B459</f>
        <v>0</v>
      </c>
      <c r="AM740" s="233">
        <f>'F5 - Cost Pressures'!X25</f>
        <v>0</v>
      </c>
      <c r="AN740" s="233">
        <f>'F5 - Cost Pressures'!Y25</f>
        <v>0</v>
      </c>
    </row>
    <row r="741" spans="1:40">
      <c r="A741" s="234" t="str">
        <f>'Front Sheet and Checklist'!$C$5</f>
        <v>Swansea Bay UHB</v>
      </c>
      <c r="B741" s="234" t="s">
        <v>374</v>
      </c>
      <c r="C741" s="234" t="str">
        <f t="shared" ref="C741:D741" si="458">C679</f>
        <v>Macro Economic Inflation</v>
      </c>
      <c r="D741" s="234">
        <f t="shared" si="458"/>
        <v>0</v>
      </c>
      <c r="E741" s="234" t="s">
        <v>383</v>
      </c>
      <c r="F741" s="234">
        <f>'F5 - Cost Pressures'!B460</f>
        <v>0</v>
      </c>
      <c r="AM741" s="233">
        <f>'F5 - Cost Pressures'!X26</f>
        <v>0</v>
      </c>
      <c r="AN741" s="233">
        <f>'F5 - Cost Pressures'!Y26</f>
        <v>0</v>
      </c>
    </row>
    <row r="742" spans="1:40">
      <c r="A742" s="234" t="str">
        <f>'Front Sheet and Checklist'!$C$5</f>
        <v>Swansea Bay UHB</v>
      </c>
      <c r="B742" s="234" t="s">
        <v>374</v>
      </c>
      <c r="C742" s="234" t="str">
        <f t="shared" ref="C742:D742" si="459">C680</f>
        <v>Macro Economic Inflation</v>
      </c>
      <c r="D742" s="234">
        <f t="shared" si="459"/>
        <v>0</v>
      </c>
      <c r="E742" s="234" t="s">
        <v>383</v>
      </c>
      <c r="F742" s="234">
        <f>'F5 - Cost Pressures'!B461</f>
        <v>0</v>
      </c>
      <c r="AM742" s="233">
        <f>'F5 - Cost Pressures'!X27</f>
        <v>0</v>
      </c>
      <c r="AN742" s="233">
        <f>'F5 - Cost Pressures'!Y27</f>
        <v>0</v>
      </c>
    </row>
    <row r="743" spans="1:40">
      <c r="A743" s="234" t="str">
        <f>'Front Sheet and Checklist'!$C$5</f>
        <v>Swansea Bay UHB</v>
      </c>
      <c r="B743" s="234" t="s">
        <v>374</v>
      </c>
      <c r="C743" s="234" t="str">
        <f t="shared" ref="C743:D743" si="460">C681</f>
        <v>Macro Economic Inflation</v>
      </c>
      <c r="D743" s="234">
        <f t="shared" si="460"/>
        <v>0</v>
      </c>
      <c r="E743" s="234" t="s">
        <v>383</v>
      </c>
      <c r="F743" s="234">
        <f>'F5 - Cost Pressures'!B462</f>
        <v>0</v>
      </c>
      <c r="AM743" s="233">
        <f>'F5 - Cost Pressures'!X28</f>
        <v>0</v>
      </c>
      <c r="AN743" s="233">
        <f>'F5 - Cost Pressures'!Y28</f>
        <v>0</v>
      </c>
    </row>
    <row r="744" spans="1:40">
      <c r="A744" s="234" t="str">
        <f>'Front Sheet and Checklist'!$C$5</f>
        <v>Swansea Bay UHB</v>
      </c>
      <c r="B744" s="234" t="s">
        <v>374</v>
      </c>
      <c r="C744" s="234" t="str">
        <f t="shared" ref="C744:D744" si="461">C682</f>
        <v>Macro Economic Inflation</v>
      </c>
      <c r="D744" s="234">
        <f t="shared" si="461"/>
        <v>0</v>
      </c>
      <c r="E744" s="234" t="s">
        <v>383</v>
      </c>
      <c r="F744" s="234">
        <f>'F5 - Cost Pressures'!B463</f>
        <v>0</v>
      </c>
      <c r="AM744" s="233">
        <f>'F5 - Cost Pressures'!X29</f>
        <v>0</v>
      </c>
      <c r="AN744" s="233">
        <f>'F5 - Cost Pressures'!Y29</f>
        <v>0</v>
      </c>
    </row>
    <row r="745" spans="1:40">
      <c r="A745" s="234" t="str">
        <f>'Front Sheet and Checklist'!$C$5</f>
        <v>Swansea Bay UHB</v>
      </c>
      <c r="B745" s="234" t="s">
        <v>374</v>
      </c>
      <c r="C745" s="234" t="str">
        <f t="shared" ref="C745:D745" si="462">C683</f>
        <v>Macro Economic Inflation</v>
      </c>
      <c r="D745" s="234">
        <f t="shared" si="462"/>
        <v>0</v>
      </c>
      <c r="E745" s="234" t="s">
        <v>383</v>
      </c>
      <c r="F745" s="234">
        <f>'F5 - Cost Pressures'!B464</f>
        <v>0</v>
      </c>
      <c r="AM745" s="233">
        <f>'F5 - Cost Pressures'!X30</f>
        <v>0</v>
      </c>
      <c r="AN745" s="233">
        <f>'F5 - Cost Pressures'!Y30</f>
        <v>0</v>
      </c>
    </row>
    <row r="746" spans="1:40">
      <c r="A746" s="234" t="str">
        <f>'Front Sheet and Checklist'!$C$5</f>
        <v>Swansea Bay UHB</v>
      </c>
      <c r="B746" s="234" t="s">
        <v>374</v>
      </c>
      <c r="C746" s="234" t="str">
        <f t="shared" ref="C746:D746" si="463">C684</f>
        <v>Macro Economic Inflation</v>
      </c>
      <c r="D746" s="234">
        <f t="shared" si="463"/>
        <v>0</v>
      </c>
      <c r="E746" s="234" t="s">
        <v>383</v>
      </c>
      <c r="F746" s="234">
        <f>'F5 - Cost Pressures'!B465</f>
        <v>0</v>
      </c>
      <c r="AM746" s="233">
        <f>'F5 - Cost Pressures'!X31</f>
        <v>0</v>
      </c>
      <c r="AN746" s="233">
        <f>'F5 - Cost Pressures'!Y31</f>
        <v>0</v>
      </c>
    </row>
    <row r="747" spans="1:40">
      <c r="A747" s="234" t="str">
        <f>'Front Sheet and Checklist'!$C$5</f>
        <v>Swansea Bay UHB</v>
      </c>
      <c r="B747" s="234" t="s">
        <v>374</v>
      </c>
      <c r="C747" s="234" t="str">
        <f t="shared" ref="C747:D747" si="464">C685</f>
        <v>Contractual or unavoidable</v>
      </c>
      <c r="D747" s="234">
        <f t="shared" si="464"/>
        <v>0</v>
      </c>
      <c r="E747" s="234" t="s">
        <v>383</v>
      </c>
      <c r="F747" s="234">
        <f>'F5 - Cost Pressures'!B466</f>
        <v>0</v>
      </c>
      <c r="AM747" s="233">
        <f>'F5 - Cost Pressures'!X32</f>
        <v>0</v>
      </c>
      <c r="AN747" s="233">
        <f>'F5 - Cost Pressures'!Y32</f>
        <v>0</v>
      </c>
    </row>
    <row r="748" spans="1:40">
      <c r="A748" s="234" t="str">
        <f>'Front Sheet and Checklist'!$C$5</f>
        <v>Swansea Bay UHB</v>
      </c>
      <c r="B748" s="234" t="s">
        <v>374</v>
      </c>
      <c r="C748" s="234" t="str">
        <f t="shared" ref="C748:D748" si="465">C686</f>
        <v>Contractual or unavoidable</v>
      </c>
      <c r="D748" s="234">
        <f t="shared" si="465"/>
        <v>0</v>
      </c>
      <c r="E748" s="234" t="s">
        <v>383</v>
      </c>
      <c r="F748" s="234">
        <f>'F5 - Cost Pressures'!B467</f>
        <v>0</v>
      </c>
      <c r="AM748" s="233">
        <f>'F5 - Cost Pressures'!X33</f>
        <v>0</v>
      </c>
      <c r="AN748" s="233">
        <f>'F5 - Cost Pressures'!Y33</f>
        <v>0</v>
      </c>
    </row>
    <row r="749" spans="1:40">
      <c r="A749" s="234" t="str">
        <f>'Front Sheet and Checklist'!$C$5</f>
        <v>Swansea Bay UHB</v>
      </c>
      <c r="B749" s="234" t="s">
        <v>374</v>
      </c>
      <c r="C749" s="234">
        <f t="shared" ref="C749:D749" si="466">C687</f>
        <v>0</v>
      </c>
      <c r="D749" s="234">
        <f t="shared" si="466"/>
        <v>0</v>
      </c>
      <c r="E749" s="234" t="s">
        <v>383</v>
      </c>
      <c r="F749" s="234">
        <f>'F5 - Cost Pressures'!B468</f>
        <v>0</v>
      </c>
      <c r="AM749" s="233">
        <f>'F5 - Cost Pressures'!X34</f>
        <v>0</v>
      </c>
      <c r="AN749" s="233">
        <f>'F5 - Cost Pressures'!Y34</f>
        <v>0</v>
      </c>
    </row>
    <row r="750" spans="1:40">
      <c r="A750" s="234" t="str">
        <f>'Front Sheet and Checklist'!$C$5</f>
        <v>Swansea Bay UHB</v>
      </c>
      <c r="B750" s="234" t="s">
        <v>374</v>
      </c>
      <c r="C750" s="234">
        <f t="shared" ref="C750:D750" si="467">C688</f>
        <v>0</v>
      </c>
      <c r="D750" s="234">
        <f t="shared" si="467"/>
        <v>0</v>
      </c>
      <c r="E750" s="234" t="s">
        <v>383</v>
      </c>
      <c r="F750" s="234">
        <f>'F5 - Cost Pressures'!B469</f>
        <v>0</v>
      </c>
      <c r="AM750" s="233">
        <f>'F5 - Cost Pressures'!X35</f>
        <v>0</v>
      </c>
      <c r="AN750" s="233">
        <f>'F5 - Cost Pressures'!Y35</f>
        <v>0</v>
      </c>
    </row>
    <row r="751" spans="1:40">
      <c r="A751" s="234" t="str">
        <f>'Front Sheet and Checklist'!$C$5</f>
        <v>Swansea Bay UHB</v>
      </c>
      <c r="B751" s="234" t="s">
        <v>374</v>
      </c>
      <c r="C751" s="234">
        <f t="shared" ref="C751:D751" si="468">C689</f>
        <v>0</v>
      </c>
      <c r="D751" s="234">
        <f t="shared" si="468"/>
        <v>0</v>
      </c>
      <c r="E751" s="234" t="s">
        <v>383</v>
      </c>
      <c r="F751" s="234">
        <f>'F5 - Cost Pressures'!B470</f>
        <v>0</v>
      </c>
      <c r="AM751" s="233">
        <f>'F5 - Cost Pressures'!X36</f>
        <v>0</v>
      </c>
      <c r="AN751" s="233">
        <f>'F5 - Cost Pressures'!Y36</f>
        <v>0</v>
      </c>
    </row>
    <row r="752" spans="1:40">
      <c r="A752" s="234" t="str">
        <f>'Front Sheet and Checklist'!$C$5</f>
        <v>Swansea Bay UHB</v>
      </c>
      <c r="B752" s="234" t="s">
        <v>374</v>
      </c>
      <c r="C752" s="234" t="str">
        <f t="shared" ref="C752:D752" si="469">C690</f>
        <v>Macro Economic Inflation</v>
      </c>
      <c r="D752" s="234">
        <f t="shared" si="469"/>
        <v>0</v>
      </c>
      <c r="E752" s="234" t="s">
        <v>383</v>
      </c>
      <c r="F752" s="234">
        <f>'F5 - Cost Pressures'!B471</f>
        <v>0</v>
      </c>
      <c r="AM752" s="233">
        <f>'F5 - Cost Pressures'!X37</f>
        <v>0</v>
      </c>
      <c r="AN752" s="233">
        <f>'F5 - Cost Pressures'!Y37</f>
        <v>0</v>
      </c>
    </row>
    <row r="753" spans="1:40">
      <c r="A753" s="234" t="str">
        <f>'Front Sheet and Checklist'!$C$5</f>
        <v>Swansea Bay UHB</v>
      </c>
      <c r="B753" s="234" t="s">
        <v>374</v>
      </c>
      <c r="C753" s="234" t="str">
        <f t="shared" ref="C753:D753" si="470">C691</f>
        <v>Macro Economic Inflation</v>
      </c>
      <c r="D753" s="234">
        <f t="shared" si="470"/>
        <v>0</v>
      </c>
      <c r="E753" s="234" t="s">
        <v>383</v>
      </c>
      <c r="F753" s="234">
        <f>'F5 - Cost Pressures'!B472</f>
        <v>0</v>
      </c>
      <c r="AM753" s="233">
        <f>'F5 - Cost Pressures'!X38</f>
        <v>0</v>
      </c>
      <c r="AN753" s="233">
        <f>'F5 - Cost Pressures'!Y38</f>
        <v>0</v>
      </c>
    </row>
    <row r="754" spans="1:40">
      <c r="A754" s="234" t="str">
        <f>'Front Sheet and Checklist'!$C$5</f>
        <v>Swansea Bay UHB</v>
      </c>
      <c r="B754" s="234" t="s">
        <v>374</v>
      </c>
      <c r="C754" s="234" t="str">
        <f t="shared" ref="C754:D754" si="471">C692</f>
        <v>Macro Economic Inflation</v>
      </c>
      <c r="D754" s="234">
        <f t="shared" si="471"/>
        <v>0</v>
      </c>
      <c r="E754" s="234" t="s">
        <v>383</v>
      </c>
      <c r="F754" s="234">
        <f>'F5 - Cost Pressures'!B473</f>
        <v>0</v>
      </c>
      <c r="AM754" s="233">
        <f>'F5 - Cost Pressures'!X39</f>
        <v>0</v>
      </c>
      <c r="AN754" s="233">
        <f>'F5 - Cost Pressures'!Y39</f>
        <v>0</v>
      </c>
    </row>
    <row r="755" spans="1:40">
      <c r="A755" s="234" t="str">
        <f>'Front Sheet and Checklist'!$C$5</f>
        <v>Swansea Bay UHB</v>
      </c>
      <c r="B755" s="234" t="s">
        <v>374</v>
      </c>
      <c r="C755" s="234" t="str">
        <f t="shared" ref="C755:D755" si="472">C693</f>
        <v>Macro Economic Inflation</v>
      </c>
      <c r="D755" s="234">
        <f t="shared" si="472"/>
        <v>0</v>
      </c>
      <c r="E755" s="234" t="s">
        <v>383</v>
      </c>
      <c r="F755" s="234">
        <f>'F5 - Cost Pressures'!B474</f>
        <v>0</v>
      </c>
      <c r="AM755" s="233">
        <f>'F5 - Cost Pressures'!X40</f>
        <v>0</v>
      </c>
      <c r="AN755" s="233">
        <f>'F5 - Cost Pressures'!Y40</f>
        <v>0</v>
      </c>
    </row>
    <row r="756" spans="1:40">
      <c r="A756" s="234" t="str">
        <f>'Front Sheet and Checklist'!$C$5</f>
        <v>Swansea Bay UHB</v>
      </c>
      <c r="B756" s="234" t="s">
        <v>374</v>
      </c>
      <c r="C756" s="234" t="str">
        <f t="shared" ref="C756:D756" si="473">C694</f>
        <v>Local Investment Decisions</v>
      </c>
      <c r="D756" s="234">
        <f t="shared" si="473"/>
        <v>0</v>
      </c>
      <c r="E756" s="234" t="s">
        <v>383</v>
      </c>
      <c r="F756" s="234">
        <f>'F5 - Cost Pressures'!B475</f>
        <v>0</v>
      </c>
      <c r="AM756" s="233">
        <f>'F5 - Cost Pressures'!X41</f>
        <v>0</v>
      </c>
      <c r="AN756" s="233">
        <f>'F5 - Cost Pressures'!Y41</f>
        <v>0</v>
      </c>
    </row>
    <row r="757" spans="1:40">
      <c r="A757" s="234" t="str">
        <f>'Front Sheet and Checklist'!$C$5</f>
        <v>Swansea Bay UHB</v>
      </c>
      <c r="B757" s="234" t="s">
        <v>374</v>
      </c>
      <c r="C757" s="234" t="str">
        <f t="shared" ref="C757:D757" si="474">C695</f>
        <v>Local Investment Decisions</v>
      </c>
      <c r="D757" s="234">
        <f t="shared" si="474"/>
        <v>0</v>
      </c>
      <c r="E757" s="234" t="s">
        <v>383</v>
      </c>
      <c r="F757" s="234">
        <f>'F5 - Cost Pressures'!B476</f>
        <v>0</v>
      </c>
      <c r="AM757" s="233">
        <f>'F5 - Cost Pressures'!X42</f>
        <v>0</v>
      </c>
      <c r="AN757" s="233">
        <f>'F5 - Cost Pressures'!Y42</f>
        <v>0</v>
      </c>
    </row>
    <row r="758" spans="1:40">
      <c r="A758" s="234" t="str">
        <f>'Front Sheet and Checklist'!$C$5</f>
        <v>Swansea Bay UHB</v>
      </c>
      <c r="B758" s="234" t="s">
        <v>374</v>
      </c>
      <c r="C758" s="234" t="str">
        <f t="shared" ref="C758:D758" si="475">C696</f>
        <v>Local Investment Decisions</v>
      </c>
      <c r="D758" s="234">
        <f t="shared" si="475"/>
        <v>0</v>
      </c>
      <c r="E758" s="234" t="s">
        <v>383</v>
      </c>
      <c r="F758" s="234">
        <f>'F5 - Cost Pressures'!B477</f>
        <v>0</v>
      </c>
      <c r="AM758" s="233">
        <f>'F5 - Cost Pressures'!X43</f>
        <v>0</v>
      </c>
      <c r="AN758" s="233">
        <f>'F5 - Cost Pressures'!Y43</f>
        <v>0</v>
      </c>
    </row>
    <row r="759" spans="1:40">
      <c r="A759" s="234" t="str">
        <f>'Front Sheet and Checklist'!$C$5</f>
        <v>Swansea Bay UHB</v>
      </c>
      <c r="B759" s="234" t="s">
        <v>374</v>
      </c>
      <c r="C759" s="234" t="str">
        <f t="shared" ref="C759:D759" si="476">C697</f>
        <v>Local Investment Decisions</v>
      </c>
      <c r="D759" s="234">
        <f t="shared" si="476"/>
        <v>0</v>
      </c>
      <c r="E759" s="234" t="s">
        <v>383</v>
      </c>
      <c r="F759" s="234">
        <f>'F5 - Cost Pressures'!B478</f>
        <v>0</v>
      </c>
      <c r="AM759" s="233">
        <f>'F5 - Cost Pressures'!X44</f>
        <v>0</v>
      </c>
      <c r="AN759" s="233">
        <f>'F5 - Cost Pressures'!Y44</f>
        <v>0</v>
      </c>
    </row>
    <row r="760" spans="1:40">
      <c r="A760" s="234" t="str">
        <f>'Front Sheet and Checklist'!$C$5</f>
        <v>Swansea Bay UHB</v>
      </c>
      <c r="B760" s="234" t="s">
        <v>374</v>
      </c>
      <c r="C760" s="234" t="str">
        <f t="shared" ref="C760:D760" si="477">C698</f>
        <v>Local Investment Decisions</v>
      </c>
      <c r="D760" s="234">
        <f t="shared" si="477"/>
        <v>0</v>
      </c>
      <c r="E760" s="234" t="s">
        <v>383</v>
      </c>
      <c r="F760" s="234">
        <f>'F5 - Cost Pressures'!B479</f>
        <v>0</v>
      </c>
      <c r="AM760" s="233">
        <f>'F5 - Cost Pressures'!X45</f>
        <v>0</v>
      </c>
      <c r="AN760" s="233">
        <f>'F5 - Cost Pressures'!Y45</f>
        <v>0</v>
      </c>
    </row>
    <row r="761" spans="1:40">
      <c r="A761" s="234" t="str">
        <f>'Front Sheet and Checklist'!$C$5</f>
        <v>Swansea Bay UHB</v>
      </c>
      <c r="B761" s="234" t="s">
        <v>374</v>
      </c>
      <c r="C761" s="234" t="str">
        <f t="shared" ref="C761:D761" si="478">C699</f>
        <v>Local Investment Decisions</v>
      </c>
      <c r="D761" s="234">
        <f t="shared" si="478"/>
        <v>0</v>
      </c>
      <c r="E761" s="234" t="s">
        <v>383</v>
      </c>
      <c r="F761" s="234">
        <f>'F5 - Cost Pressures'!B480</f>
        <v>0</v>
      </c>
      <c r="AM761" s="233">
        <f>'F5 - Cost Pressures'!X46</f>
        <v>0</v>
      </c>
      <c r="AN761" s="233">
        <f>'F5 - Cost Pressures'!Y46</f>
        <v>0</v>
      </c>
    </row>
    <row r="762" spans="1:40">
      <c r="A762" s="234" t="str">
        <f>'Front Sheet and Checklist'!$C$5</f>
        <v>Swansea Bay UHB</v>
      </c>
      <c r="B762" s="234" t="s">
        <v>374</v>
      </c>
      <c r="C762" s="234" t="str">
        <f t="shared" ref="C762:D762" si="479">C700</f>
        <v>Local Investment Decisions</v>
      </c>
      <c r="D762" s="234">
        <f t="shared" si="479"/>
        <v>0</v>
      </c>
      <c r="E762" s="234" t="s">
        <v>383</v>
      </c>
      <c r="F762" s="234">
        <f>'F5 - Cost Pressures'!B481</f>
        <v>0</v>
      </c>
      <c r="AM762" s="233">
        <f>'F5 - Cost Pressures'!X47</f>
        <v>0</v>
      </c>
      <c r="AN762" s="233">
        <f>'F5 - Cost Pressures'!Y47</f>
        <v>0</v>
      </c>
    </row>
    <row r="763" spans="1:40">
      <c r="A763" s="234" t="str">
        <f>'Front Sheet and Checklist'!$C$5</f>
        <v>Swansea Bay UHB</v>
      </c>
      <c r="B763" s="234" t="s">
        <v>374</v>
      </c>
      <c r="C763" s="234" t="str">
        <f t="shared" ref="C763:D763" si="480">C701</f>
        <v>Local Investment Decisions</v>
      </c>
      <c r="D763" s="234">
        <f t="shared" si="480"/>
        <v>0</v>
      </c>
      <c r="E763" s="234" t="s">
        <v>383</v>
      </c>
      <c r="F763" s="234">
        <f>'F5 - Cost Pressures'!B482</f>
        <v>0</v>
      </c>
      <c r="AM763" s="233">
        <f>'F5 - Cost Pressures'!X48</f>
        <v>0</v>
      </c>
      <c r="AN763" s="233">
        <f>'F5 - Cost Pressures'!Y48</f>
        <v>0</v>
      </c>
    </row>
    <row r="764" spans="1:40">
      <c r="A764" s="234" t="str">
        <f>'Front Sheet and Checklist'!$C$5</f>
        <v>Swansea Bay UHB</v>
      </c>
      <c r="B764" s="234" t="s">
        <v>374</v>
      </c>
      <c r="C764" s="234" t="str">
        <f t="shared" ref="C764:D764" si="481">C702</f>
        <v>Local Investment Decisions</v>
      </c>
      <c r="D764" s="234">
        <f t="shared" si="481"/>
        <v>0</v>
      </c>
      <c r="E764" s="234" t="s">
        <v>383</v>
      </c>
      <c r="F764" s="234">
        <f>'F5 - Cost Pressures'!B483</f>
        <v>0</v>
      </c>
      <c r="AM764" s="233">
        <f>'F5 - Cost Pressures'!X49</f>
        <v>0</v>
      </c>
      <c r="AN764" s="233">
        <f>'F5 - Cost Pressures'!Y49</f>
        <v>0</v>
      </c>
    </row>
    <row r="765" spans="1:40">
      <c r="A765" s="234" t="str">
        <f>'Front Sheet and Checklist'!$C$5</f>
        <v>Swansea Bay UHB</v>
      </c>
      <c r="B765" s="234" t="s">
        <v>374</v>
      </c>
      <c r="C765" s="234" t="str">
        <f t="shared" ref="C765:D765" si="482">C703</f>
        <v>Local Investment Decisions</v>
      </c>
      <c r="D765" s="234">
        <f t="shared" si="482"/>
        <v>0</v>
      </c>
      <c r="E765" s="234" t="s">
        <v>383</v>
      </c>
      <c r="F765" s="234">
        <f>'F5 - Cost Pressures'!B484</f>
        <v>0</v>
      </c>
      <c r="AM765" s="233">
        <f>'F5 - Cost Pressures'!X50</f>
        <v>0</v>
      </c>
      <c r="AN765" s="233">
        <f>'F5 - Cost Pressures'!Y50</f>
        <v>0</v>
      </c>
    </row>
    <row r="766" spans="1:40">
      <c r="A766" s="234" t="str">
        <f>'Front Sheet and Checklist'!$C$5</f>
        <v>Swansea Bay UHB</v>
      </c>
      <c r="B766" s="234" t="s">
        <v>374</v>
      </c>
      <c r="C766" s="234" t="str">
        <f t="shared" ref="C766:D766" si="483">C704</f>
        <v>Contractual or unavoidable</v>
      </c>
      <c r="D766" s="234">
        <f t="shared" si="483"/>
        <v>0</v>
      </c>
      <c r="E766" s="234" t="s">
        <v>383</v>
      </c>
      <c r="F766" s="234">
        <f>'F5 - Cost Pressures'!B485</f>
        <v>0</v>
      </c>
      <c r="AM766" s="233">
        <f>'F5 - Cost Pressures'!X51</f>
        <v>0</v>
      </c>
      <c r="AN766" s="233">
        <f>'F5 - Cost Pressures'!Y51</f>
        <v>0</v>
      </c>
    </row>
    <row r="767" spans="1:40">
      <c r="A767" s="234" t="str">
        <f>'Front Sheet and Checklist'!$C$5</f>
        <v>Swansea Bay UHB</v>
      </c>
      <c r="B767" s="234" t="s">
        <v>374</v>
      </c>
      <c r="C767" s="234">
        <f t="shared" ref="C767:D767" si="484">C705</f>
        <v>0</v>
      </c>
      <c r="D767" s="234">
        <f t="shared" si="484"/>
        <v>0</v>
      </c>
      <c r="E767" s="234" t="s">
        <v>383</v>
      </c>
      <c r="F767" s="234">
        <f>'F5 - Cost Pressures'!B486</f>
        <v>0</v>
      </c>
      <c r="AM767" s="233">
        <f>'F5 - Cost Pressures'!X52</f>
        <v>0</v>
      </c>
      <c r="AN767" s="233">
        <f>'F5 - Cost Pressures'!Y52</f>
        <v>0</v>
      </c>
    </row>
    <row r="768" spans="1:40">
      <c r="A768" s="234" t="str">
        <f>'Front Sheet and Checklist'!$C$5</f>
        <v>Swansea Bay UHB</v>
      </c>
      <c r="B768" s="234" t="s">
        <v>374</v>
      </c>
      <c r="C768" s="234">
        <f t="shared" ref="C768:D768" si="485">C706</f>
        <v>0</v>
      </c>
      <c r="D768" s="234">
        <f t="shared" si="485"/>
        <v>0</v>
      </c>
      <c r="E768" s="234" t="s">
        <v>383</v>
      </c>
      <c r="F768" s="234">
        <f>'F5 - Cost Pressures'!B487</f>
        <v>0</v>
      </c>
      <c r="AM768" s="233">
        <f>'F5 - Cost Pressures'!X53</f>
        <v>0</v>
      </c>
      <c r="AN768" s="233">
        <f>'F5 - Cost Pressures'!Y53</f>
        <v>0</v>
      </c>
    </row>
    <row r="769" spans="1:40">
      <c r="A769" s="234" t="str">
        <f>'Front Sheet and Checklist'!$C$5</f>
        <v>Swansea Bay UHB</v>
      </c>
      <c r="B769" s="234" t="s">
        <v>374</v>
      </c>
      <c r="C769" s="234">
        <f t="shared" ref="C769:D769" si="486">C707</f>
        <v>0</v>
      </c>
      <c r="D769" s="234">
        <f t="shared" si="486"/>
        <v>0</v>
      </c>
      <c r="E769" s="234" t="s">
        <v>383</v>
      </c>
      <c r="F769" s="234">
        <f>'F5 - Cost Pressures'!B488</f>
        <v>0</v>
      </c>
      <c r="AM769" s="233">
        <f>'F5 - Cost Pressures'!X54</f>
        <v>0</v>
      </c>
      <c r="AN769" s="233">
        <f>'F5 - Cost Pressures'!Y54</f>
        <v>0</v>
      </c>
    </row>
    <row r="770" spans="1:40">
      <c r="A770" s="234" t="str">
        <f>'Front Sheet and Checklist'!$C$5</f>
        <v>Swansea Bay UHB</v>
      </c>
      <c r="B770" s="234" t="s">
        <v>374</v>
      </c>
      <c r="C770" s="234">
        <f t="shared" ref="C770:D770" si="487">C708</f>
        <v>0</v>
      </c>
      <c r="D770" s="234">
        <f t="shared" si="487"/>
        <v>0</v>
      </c>
      <c r="E770" s="234" t="s">
        <v>383</v>
      </c>
      <c r="F770" s="234">
        <f>'F5 - Cost Pressures'!B489</f>
        <v>0</v>
      </c>
      <c r="AM770" s="233">
        <f>'F5 - Cost Pressures'!X55</f>
        <v>0</v>
      </c>
      <c r="AN770" s="233">
        <f>'F5 - Cost Pressures'!Y55</f>
        <v>0</v>
      </c>
    </row>
    <row r="771" spans="1:40">
      <c r="A771" s="234" t="str">
        <f>'Front Sheet and Checklist'!$C$5</f>
        <v>Swansea Bay UHB</v>
      </c>
      <c r="B771" s="234" t="s">
        <v>374</v>
      </c>
      <c r="C771" s="234">
        <f t="shared" ref="C771:D771" si="488">C709</f>
        <v>0</v>
      </c>
      <c r="D771" s="234">
        <f t="shared" si="488"/>
        <v>0</v>
      </c>
      <c r="E771" s="234" t="s">
        <v>383</v>
      </c>
      <c r="F771" s="234">
        <f>'F5 - Cost Pressures'!B490</f>
        <v>0</v>
      </c>
      <c r="AM771" s="233">
        <f>'F5 - Cost Pressures'!X56</f>
        <v>0</v>
      </c>
      <c r="AN771" s="233">
        <f>'F5 - Cost Pressures'!Y56</f>
        <v>0</v>
      </c>
    </row>
    <row r="772" spans="1:40">
      <c r="A772" s="234" t="str">
        <f>'Front Sheet and Checklist'!$C$5</f>
        <v>Swansea Bay UHB</v>
      </c>
      <c r="B772" s="234" t="s">
        <v>374</v>
      </c>
      <c r="C772" s="234">
        <f t="shared" ref="C772:D772" si="489">C710</f>
        <v>0</v>
      </c>
      <c r="D772" s="234">
        <f t="shared" si="489"/>
        <v>0</v>
      </c>
      <c r="E772" s="234" t="s">
        <v>383</v>
      </c>
      <c r="F772" s="234">
        <f>'F5 - Cost Pressures'!B491</f>
        <v>0</v>
      </c>
      <c r="AM772" s="233">
        <f>'F5 - Cost Pressures'!X57</f>
        <v>0</v>
      </c>
      <c r="AN772" s="233">
        <f>'F5 - Cost Pressures'!Y57</f>
        <v>0</v>
      </c>
    </row>
    <row r="773" spans="1:40">
      <c r="A773" s="234" t="str">
        <f>'Front Sheet and Checklist'!$C$5</f>
        <v>Swansea Bay UHB</v>
      </c>
      <c r="B773" s="234" t="s">
        <v>374</v>
      </c>
      <c r="C773" s="234">
        <f t="shared" ref="C773:D773" si="490">C711</f>
        <v>0</v>
      </c>
      <c r="D773" s="234">
        <f t="shared" si="490"/>
        <v>0</v>
      </c>
      <c r="E773" s="234" t="s">
        <v>383</v>
      </c>
      <c r="F773" s="234">
        <f>'F5 - Cost Pressures'!B492</f>
        <v>0</v>
      </c>
      <c r="AM773" s="233">
        <f>'F5 - Cost Pressures'!X58</f>
        <v>0</v>
      </c>
      <c r="AN773" s="233">
        <f>'F5 - Cost Pressures'!Y58</f>
        <v>0</v>
      </c>
    </row>
    <row r="774" spans="1:40">
      <c r="A774" s="234" t="str">
        <f>'Front Sheet and Checklist'!$C$5</f>
        <v>Swansea Bay UHB</v>
      </c>
      <c r="B774" s="234" t="s">
        <v>374</v>
      </c>
      <c r="C774" s="234">
        <f t="shared" ref="C774:D774" si="491">C712</f>
        <v>0</v>
      </c>
      <c r="D774" s="234">
        <f t="shared" si="491"/>
        <v>0</v>
      </c>
      <c r="E774" s="234" t="s">
        <v>383</v>
      </c>
      <c r="F774" s="234">
        <f>'F5 - Cost Pressures'!B493</f>
        <v>0</v>
      </c>
      <c r="AM774" s="233">
        <f>'F5 - Cost Pressures'!X59</f>
        <v>0</v>
      </c>
      <c r="AN774" s="233">
        <f>'F5 - Cost Pressures'!Y59</f>
        <v>0</v>
      </c>
    </row>
    <row r="775" spans="1:40">
      <c r="A775" s="234" t="str">
        <f>'Front Sheet and Checklist'!$C$5</f>
        <v>Swansea Bay UHB</v>
      </c>
      <c r="B775" s="234" t="s">
        <v>374</v>
      </c>
      <c r="C775" s="234">
        <f t="shared" ref="C775:D775" si="492">C713</f>
        <v>0</v>
      </c>
      <c r="D775" s="234">
        <f t="shared" si="492"/>
        <v>0</v>
      </c>
      <c r="E775" s="234" t="s">
        <v>383</v>
      </c>
      <c r="F775" s="234">
        <f>'F5 - Cost Pressures'!B494</f>
        <v>0</v>
      </c>
      <c r="AM775" s="233">
        <f>'F5 - Cost Pressures'!X60</f>
        <v>0</v>
      </c>
      <c r="AN775" s="233">
        <f>'F5 - Cost Pressures'!Y60</f>
        <v>0</v>
      </c>
    </row>
    <row r="776" spans="1:40">
      <c r="A776" s="234" t="str">
        <f>'Front Sheet and Checklist'!$C$5</f>
        <v>Swansea Bay UHB</v>
      </c>
      <c r="B776" s="234" t="s">
        <v>374</v>
      </c>
      <c r="C776" s="234">
        <f t="shared" ref="C776:D776" si="493">C714</f>
        <v>0</v>
      </c>
      <c r="D776" s="234">
        <f t="shared" si="493"/>
        <v>0</v>
      </c>
      <c r="E776" s="234" t="s">
        <v>383</v>
      </c>
      <c r="F776" s="234">
        <f>'F5 - Cost Pressures'!B495</f>
        <v>0</v>
      </c>
      <c r="AM776" s="233">
        <f>'F5 - Cost Pressures'!X61</f>
        <v>0</v>
      </c>
      <c r="AN776" s="233">
        <f>'F5 - Cost Pressures'!Y61</f>
        <v>0</v>
      </c>
    </row>
    <row r="777" spans="1:40">
      <c r="A777" s="234" t="str">
        <f>'Front Sheet and Checklist'!$C$5</f>
        <v>Swansea Bay UHB</v>
      </c>
      <c r="B777" s="234" t="s">
        <v>374</v>
      </c>
      <c r="C777" s="234">
        <f t="shared" ref="C777:D777" si="494">C715</f>
        <v>0</v>
      </c>
      <c r="D777" s="234">
        <f t="shared" si="494"/>
        <v>0</v>
      </c>
      <c r="E777" s="234" t="s">
        <v>383</v>
      </c>
      <c r="F777" s="234">
        <f>'F5 - Cost Pressures'!B496</f>
        <v>0</v>
      </c>
      <c r="AM777" s="233">
        <f>'F5 - Cost Pressures'!X62</f>
        <v>0</v>
      </c>
      <c r="AN777" s="233">
        <f>'F5 - Cost Pressures'!Y62</f>
        <v>0</v>
      </c>
    </row>
    <row r="778" spans="1:40">
      <c r="A778" s="234" t="str">
        <f>'Front Sheet and Checklist'!$C$5</f>
        <v>Swansea Bay UHB</v>
      </c>
      <c r="B778" s="234" t="s">
        <v>374</v>
      </c>
      <c r="C778" s="234">
        <f t="shared" ref="C778:D778" si="495">C716</f>
        <v>0</v>
      </c>
      <c r="D778" s="234">
        <f t="shared" si="495"/>
        <v>0</v>
      </c>
      <c r="E778" s="234" t="s">
        <v>383</v>
      </c>
      <c r="F778" s="234">
        <f>'F5 - Cost Pressures'!B497</f>
        <v>0</v>
      </c>
      <c r="AM778" s="233">
        <f>'F5 - Cost Pressures'!X63</f>
        <v>0</v>
      </c>
      <c r="AN778" s="233">
        <f>'F5 - Cost Pressures'!Y63</f>
        <v>0</v>
      </c>
    </row>
    <row r="779" spans="1:40">
      <c r="A779" s="234" t="str">
        <f>'Front Sheet and Checklist'!$C$5</f>
        <v>Swansea Bay UHB</v>
      </c>
      <c r="B779" s="234" t="s">
        <v>374</v>
      </c>
      <c r="C779" s="234">
        <f t="shared" ref="C779:D779" si="496">C717</f>
        <v>0</v>
      </c>
      <c r="D779" s="234">
        <f t="shared" si="496"/>
        <v>0</v>
      </c>
      <c r="E779" s="234" t="s">
        <v>383</v>
      </c>
      <c r="F779" s="234">
        <f>'F5 - Cost Pressures'!B498</f>
        <v>0</v>
      </c>
      <c r="AM779" s="233">
        <f>'F5 - Cost Pressures'!X64</f>
        <v>0</v>
      </c>
      <c r="AN779" s="233">
        <f>'F5 - Cost Pressures'!Y64</f>
        <v>0</v>
      </c>
    </row>
    <row r="780" spans="1:40">
      <c r="A780" s="234" t="str">
        <f>'Front Sheet and Checklist'!$C$5</f>
        <v>Swansea Bay UHB</v>
      </c>
      <c r="B780" s="234" t="s">
        <v>374</v>
      </c>
      <c r="C780" s="234">
        <f t="shared" ref="C780:D780" si="497">C718</f>
        <v>0</v>
      </c>
      <c r="D780" s="234">
        <f t="shared" si="497"/>
        <v>0</v>
      </c>
      <c r="E780" s="234" t="s">
        <v>383</v>
      </c>
      <c r="F780" s="234">
        <f>'F5 - Cost Pressures'!B499</f>
        <v>0</v>
      </c>
      <c r="AM780" s="233">
        <f>'F5 - Cost Pressures'!X65</f>
        <v>0</v>
      </c>
      <c r="AN780" s="233">
        <f>'F5 - Cost Pressures'!Y65</f>
        <v>0</v>
      </c>
    </row>
    <row r="781" spans="1:40">
      <c r="A781" s="234" t="str">
        <f>'Front Sheet and Checklist'!$C$5</f>
        <v>Swansea Bay UHB</v>
      </c>
      <c r="B781" s="234" t="s">
        <v>374</v>
      </c>
      <c r="C781" s="234" t="str">
        <f t="shared" ref="C781:D781" si="498">C719</f>
        <v>Macro Economic Inflation</v>
      </c>
      <c r="D781" s="234" t="str">
        <f t="shared" si="498"/>
        <v>7. Non Clinical Support</v>
      </c>
      <c r="E781" s="234" t="s">
        <v>384</v>
      </c>
      <c r="F781" s="234">
        <f>'F5 - Cost Pressures'!B500</f>
        <v>0</v>
      </c>
      <c r="AM781" s="233">
        <f>'F5 - Cost Pressures'!Z4</f>
        <v>0</v>
      </c>
      <c r="AN781" s="233">
        <f>'F5 - Cost Pressures'!AA4</f>
        <v>0</v>
      </c>
    </row>
    <row r="782" spans="1:40">
      <c r="A782" s="234" t="str">
        <f>'Front Sheet and Checklist'!$C$5</f>
        <v>Swansea Bay UHB</v>
      </c>
      <c r="B782" s="234" t="s">
        <v>374</v>
      </c>
      <c r="C782" s="234" t="str">
        <f t="shared" ref="C782:D782" si="499">C720</f>
        <v>Macro Economic Inflation</v>
      </c>
      <c r="D782" s="234" t="str">
        <f t="shared" si="499"/>
        <v>8. Across Service Areas</v>
      </c>
      <c r="E782" s="234" t="s">
        <v>384</v>
      </c>
      <c r="F782" s="234">
        <f>'F5 - Cost Pressures'!B501</f>
        <v>0</v>
      </c>
      <c r="AM782" s="233">
        <f>'F5 - Cost Pressures'!Z5</f>
        <v>0</v>
      </c>
      <c r="AN782" s="233">
        <f>'F5 - Cost Pressures'!AA5</f>
        <v>0</v>
      </c>
    </row>
    <row r="783" spans="1:40">
      <c r="A783" s="234" t="str">
        <f>'Front Sheet and Checklist'!$C$5</f>
        <v>Swansea Bay UHB</v>
      </c>
      <c r="B783" s="234" t="s">
        <v>374</v>
      </c>
      <c r="C783" s="234" t="str">
        <f t="shared" ref="C783:D783" si="500">C721</f>
        <v>National Investment Decisions</v>
      </c>
      <c r="D783" s="234" t="str">
        <f t="shared" si="500"/>
        <v>1. Secondary Care (In-house) - General</v>
      </c>
      <c r="E783" s="234" t="s">
        <v>384</v>
      </c>
      <c r="F783" s="234">
        <f>'F5 - Cost Pressures'!B502</f>
        <v>0</v>
      </c>
      <c r="AM783" s="233">
        <f>'F5 - Cost Pressures'!Z6</f>
        <v>0</v>
      </c>
      <c r="AN783" s="233">
        <f>'F5 - Cost Pressures'!AA6</f>
        <v>0</v>
      </c>
    </row>
    <row r="784" spans="1:40">
      <c r="A784" s="234" t="str">
        <f>'Front Sheet and Checklist'!$C$5</f>
        <v>Swansea Bay UHB</v>
      </c>
      <c r="B784" s="234" t="s">
        <v>374</v>
      </c>
      <c r="C784" s="234" t="str">
        <f t="shared" ref="C784:D784" si="501">C722</f>
        <v>National Investment Decisions</v>
      </c>
      <c r="D784" s="234" t="str">
        <f t="shared" si="501"/>
        <v>4. Commissioned Activity (inc. CHC)</v>
      </c>
      <c r="E784" s="234" t="s">
        <v>384</v>
      </c>
      <c r="F784" s="234">
        <f>'F5 - Cost Pressures'!B503</f>
        <v>0</v>
      </c>
      <c r="AM784" s="233">
        <f>'F5 - Cost Pressures'!Z7</f>
        <v>0</v>
      </c>
      <c r="AN784" s="233">
        <f>'F5 - Cost Pressures'!AA7</f>
        <v>0</v>
      </c>
    </row>
    <row r="785" spans="1:40">
      <c r="A785" s="234" t="str">
        <f>'Front Sheet and Checklist'!$C$5</f>
        <v>Swansea Bay UHB</v>
      </c>
      <c r="B785" s="234" t="s">
        <v>374</v>
      </c>
      <c r="C785" s="234" t="str">
        <f t="shared" ref="C785:D785" si="502">C723</f>
        <v>National Investment Decisions</v>
      </c>
      <c r="D785" s="234" t="str">
        <f t="shared" si="502"/>
        <v>3. Community Care</v>
      </c>
      <c r="E785" s="234" t="s">
        <v>384</v>
      </c>
      <c r="F785" s="234">
        <f>'F5 - Cost Pressures'!B504</f>
        <v>0</v>
      </c>
      <c r="AM785" s="233">
        <f>'F5 - Cost Pressures'!Z8</f>
        <v>0</v>
      </c>
      <c r="AN785" s="233">
        <f>'F5 - Cost Pressures'!AA8</f>
        <v>0</v>
      </c>
    </row>
    <row r="786" spans="1:40">
      <c r="A786" s="234" t="str">
        <f>'Front Sheet and Checklist'!$C$5</f>
        <v>Swansea Bay UHB</v>
      </c>
      <c r="B786" s="234" t="s">
        <v>374</v>
      </c>
      <c r="C786" s="234" t="str">
        <f t="shared" ref="C786:D786" si="503">C724</f>
        <v>National Investment Decisions</v>
      </c>
      <c r="D786" s="234" t="str">
        <f t="shared" si="503"/>
        <v>3. Community Care</v>
      </c>
      <c r="E786" s="234" t="s">
        <v>384</v>
      </c>
      <c r="F786" s="234">
        <f>'F5 - Cost Pressures'!B505</f>
        <v>0</v>
      </c>
      <c r="AM786" s="233">
        <f>'F5 - Cost Pressures'!Z9</f>
        <v>0</v>
      </c>
      <c r="AN786" s="233">
        <f>'F5 - Cost Pressures'!AA9</f>
        <v>0</v>
      </c>
    </row>
    <row r="787" spans="1:40">
      <c r="A787" s="234" t="str">
        <f>'Front Sheet and Checklist'!$C$5</f>
        <v>Swansea Bay UHB</v>
      </c>
      <c r="B787" s="234" t="s">
        <v>374</v>
      </c>
      <c r="C787" s="234" t="str">
        <f t="shared" ref="C787:D787" si="504">C725</f>
        <v>National Investment Decisions</v>
      </c>
      <c r="D787" s="234" t="str">
        <f t="shared" si="504"/>
        <v>4. Commissioned Activity (inc. CHC)</v>
      </c>
      <c r="E787" s="234" t="s">
        <v>384</v>
      </c>
      <c r="F787" s="234">
        <f>'F5 - Cost Pressures'!B506</f>
        <v>0</v>
      </c>
      <c r="AM787" s="233">
        <f>'F5 - Cost Pressures'!Z10</f>
        <v>0</v>
      </c>
      <c r="AN787" s="233">
        <f>'F5 - Cost Pressures'!AA10</f>
        <v>0</v>
      </c>
    </row>
    <row r="788" spans="1:40">
      <c r="A788" s="234" t="str">
        <f>'Front Sheet and Checklist'!$C$5</f>
        <v>Swansea Bay UHB</v>
      </c>
      <c r="B788" s="234" t="s">
        <v>374</v>
      </c>
      <c r="C788" s="234" t="str">
        <f t="shared" ref="C788:D788" si="505">C726</f>
        <v>National Investment Decisions</v>
      </c>
      <c r="D788" s="234">
        <f t="shared" si="505"/>
        <v>0</v>
      </c>
      <c r="E788" s="234" t="s">
        <v>384</v>
      </c>
      <c r="F788" s="234">
        <f>'F5 - Cost Pressures'!B507</f>
        <v>0</v>
      </c>
      <c r="AM788" s="233">
        <f>'F5 - Cost Pressures'!Z11</f>
        <v>0</v>
      </c>
      <c r="AN788" s="233">
        <f>'F5 - Cost Pressures'!AA11</f>
        <v>0</v>
      </c>
    </row>
    <row r="789" spans="1:40">
      <c r="A789" s="234" t="str">
        <f>'Front Sheet and Checklist'!$C$5</f>
        <v>Swansea Bay UHB</v>
      </c>
      <c r="B789" s="234" t="s">
        <v>374</v>
      </c>
      <c r="C789" s="234" t="str">
        <f t="shared" ref="C789:D789" si="506">C727</f>
        <v>National Investment Decisions</v>
      </c>
      <c r="D789" s="234">
        <f t="shared" si="506"/>
        <v>0</v>
      </c>
      <c r="E789" s="234" t="s">
        <v>384</v>
      </c>
      <c r="F789" s="234">
        <f>'F5 - Cost Pressures'!B508</f>
        <v>0</v>
      </c>
      <c r="AM789" s="233">
        <f>'F5 - Cost Pressures'!Z12</f>
        <v>0</v>
      </c>
      <c r="AN789" s="233">
        <f>'F5 - Cost Pressures'!AA12</f>
        <v>0</v>
      </c>
    </row>
    <row r="790" spans="1:40">
      <c r="A790" s="234" t="str">
        <f>'Front Sheet and Checklist'!$C$5</f>
        <v>Swansea Bay UHB</v>
      </c>
      <c r="B790" s="234" t="s">
        <v>374</v>
      </c>
      <c r="C790" s="234" t="str">
        <f t="shared" ref="C790:D790" si="507">C728</f>
        <v>National Investment Decisions</v>
      </c>
      <c r="D790" s="234">
        <f t="shared" si="507"/>
        <v>0</v>
      </c>
      <c r="E790" s="234" t="s">
        <v>384</v>
      </c>
      <c r="F790" s="234">
        <f>'F5 - Cost Pressures'!B509</f>
        <v>0</v>
      </c>
      <c r="AM790" s="233">
        <f>'F5 - Cost Pressures'!Z13</f>
        <v>0</v>
      </c>
      <c r="AN790" s="233">
        <f>'F5 - Cost Pressures'!AA13</f>
        <v>0</v>
      </c>
    </row>
    <row r="791" spans="1:40">
      <c r="A791" s="234" t="str">
        <f>'Front Sheet and Checklist'!$C$5</f>
        <v>Swansea Bay UHB</v>
      </c>
      <c r="B791" s="234" t="s">
        <v>374</v>
      </c>
      <c r="C791" s="234" t="str">
        <f t="shared" ref="C791:D791" si="508">C729</f>
        <v>National Investment Decisions</v>
      </c>
      <c r="D791" s="234">
        <f t="shared" si="508"/>
        <v>0</v>
      </c>
      <c r="E791" s="234" t="s">
        <v>384</v>
      </c>
      <c r="F791" s="234">
        <f>'F5 - Cost Pressures'!B510</f>
        <v>0</v>
      </c>
      <c r="AM791" s="233">
        <f>'F5 - Cost Pressures'!Z14</f>
        <v>0</v>
      </c>
      <c r="AN791" s="233">
        <f>'F5 - Cost Pressures'!AA14</f>
        <v>0</v>
      </c>
    </row>
    <row r="792" spans="1:40">
      <c r="A792" s="234" t="str">
        <f>'Front Sheet and Checklist'!$C$5</f>
        <v>Swansea Bay UHB</v>
      </c>
      <c r="B792" s="234" t="s">
        <v>374</v>
      </c>
      <c r="C792" s="234" t="str">
        <f t="shared" ref="C792:D792" si="509">C730</f>
        <v>National Investment Decisions</v>
      </c>
      <c r="D792" s="234">
        <f t="shared" si="509"/>
        <v>0</v>
      </c>
      <c r="E792" s="234" t="s">
        <v>384</v>
      </c>
      <c r="F792" s="234">
        <f>'F5 - Cost Pressures'!B511</f>
        <v>0</v>
      </c>
      <c r="AM792" s="233">
        <f>'F5 - Cost Pressures'!Z15</f>
        <v>0</v>
      </c>
      <c r="AN792" s="233">
        <f>'F5 - Cost Pressures'!AA15</f>
        <v>0</v>
      </c>
    </row>
    <row r="793" spans="1:40">
      <c r="A793" s="234" t="str">
        <f>'Front Sheet and Checklist'!$C$5</f>
        <v>Swansea Bay UHB</v>
      </c>
      <c r="B793" s="234" t="s">
        <v>374</v>
      </c>
      <c r="C793" s="234" t="str">
        <f t="shared" ref="C793:D793" si="510">C731</f>
        <v>National Investment Decisions</v>
      </c>
      <c r="D793" s="234">
        <f t="shared" si="510"/>
        <v>0</v>
      </c>
      <c r="E793" s="234" t="s">
        <v>384</v>
      </c>
      <c r="F793" s="234">
        <f>'F5 - Cost Pressures'!B512</f>
        <v>0</v>
      </c>
      <c r="AM793" s="233">
        <f>'F5 - Cost Pressures'!Z16</f>
        <v>0</v>
      </c>
      <c r="AN793" s="233">
        <f>'F5 - Cost Pressures'!AA16</f>
        <v>0</v>
      </c>
    </row>
    <row r="794" spans="1:40">
      <c r="A794" s="234" t="str">
        <f>'Front Sheet and Checklist'!$C$5</f>
        <v>Swansea Bay UHB</v>
      </c>
      <c r="B794" s="234" t="s">
        <v>374</v>
      </c>
      <c r="C794" s="234" t="str">
        <f t="shared" ref="C794:D794" si="511">C732</f>
        <v>National Investment Decisions</v>
      </c>
      <c r="D794" s="234">
        <f t="shared" si="511"/>
        <v>0</v>
      </c>
      <c r="E794" s="234" t="s">
        <v>384</v>
      </c>
      <c r="F794" s="234">
        <f>'F5 - Cost Pressures'!B513</f>
        <v>0</v>
      </c>
      <c r="AM794" s="233">
        <f>'F5 - Cost Pressures'!Z17</f>
        <v>0</v>
      </c>
      <c r="AN794" s="233">
        <f>'F5 - Cost Pressures'!AA17</f>
        <v>0</v>
      </c>
    </row>
    <row r="795" spans="1:40">
      <c r="A795" s="234" t="str">
        <f>'Front Sheet and Checklist'!$C$5</f>
        <v>Swansea Bay UHB</v>
      </c>
      <c r="B795" s="234" t="s">
        <v>374</v>
      </c>
      <c r="C795" s="234" t="str">
        <f t="shared" ref="C795:D795" si="512">C733</f>
        <v>National Investment Decisions</v>
      </c>
      <c r="D795" s="234">
        <f t="shared" si="512"/>
        <v>0</v>
      </c>
      <c r="E795" s="234" t="s">
        <v>384</v>
      </c>
      <c r="F795" s="234">
        <f>'F5 - Cost Pressures'!B514</f>
        <v>0</v>
      </c>
      <c r="AM795" s="233">
        <f>'F5 - Cost Pressures'!Z18</f>
        <v>0</v>
      </c>
      <c r="AN795" s="233">
        <f>'F5 - Cost Pressures'!AA18</f>
        <v>0</v>
      </c>
    </row>
    <row r="796" spans="1:40">
      <c r="A796" s="234" t="str">
        <f>'Front Sheet and Checklist'!$C$5</f>
        <v>Swansea Bay UHB</v>
      </c>
      <c r="B796" s="234" t="s">
        <v>374</v>
      </c>
      <c r="C796" s="234" t="str">
        <f t="shared" ref="C796:D796" si="513">C734</f>
        <v>National Investment Decisions</v>
      </c>
      <c r="D796" s="234">
        <f t="shared" si="513"/>
        <v>0</v>
      </c>
      <c r="E796" s="234" t="s">
        <v>384</v>
      </c>
      <c r="F796" s="234">
        <f>'F5 - Cost Pressures'!B515</f>
        <v>0</v>
      </c>
      <c r="AM796" s="233">
        <f>'F5 - Cost Pressures'!Z19</f>
        <v>0</v>
      </c>
      <c r="AN796" s="233">
        <f>'F5 - Cost Pressures'!AA19</f>
        <v>0</v>
      </c>
    </row>
    <row r="797" spans="1:40">
      <c r="A797" s="234" t="str">
        <f>'Front Sheet and Checklist'!$C$5</f>
        <v>Swansea Bay UHB</v>
      </c>
      <c r="B797" s="234" t="s">
        <v>374</v>
      </c>
      <c r="C797" s="234" t="str">
        <f t="shared" ref="C797:D797" si="514">C735</f>
        <v>Macro Economic Inflation</v>
      </c>
      <c r="D797" s="234">
        <f t="shared" si="514"/>
        <v>0</v>
      </c>
      <c r="E797" s="234" t="s">
        <v>384</v>
      </c>
      <c r="F797" s="234">
        <f>'F5 - Cost Pressures'!B516</f>
        <v>0</v>
      </c>
      <c r="AM797" s="233">
        <f>'F5 - Cost Pressures'!Z20</f>
        <v>0</v>
      </c>
      <c r="AN797" s="233">
        <f>'F5 - Cost Pressures'!AA20</f>
        <v>0</v>
      </c>
    </row>
    <row r="798" spans="1:40">
      <c r="A798" s="234" t="str">
        <f>'Front Sheet and Checklist'!$C$5</f>
        <v>Swansea Bay UHB</v>
      </c>
      <c r="B798" s="234" t="s">
        <v>374</v>
      </c>
      <c r="C798" s="234" t="str">
        <f t="shared" ref="C798:D798" si="515">C736</f>
        <v>Macro Economic Inflation</v>
      </c>
      <c r="D798" s="234">
        <f t="shared" si="515"/>
        <v>0</v>
      </c>
      <c r="E798" s="234" t="s">
        <v>384</v>
      </c>
      <c r="F798" s="234">
        <f>'F5 - Cost Pressures'!B517</f>
        <v>0</v>
      </c>
      <c r="AM798" s="233">
        <f>'F5 - Cost Pressures'!Z21</f>
        <v>0</v>
      </c>
      <c r="AN798" s="233">
        <f>'F5 - Cost Pressures'!AA21</f>
        <v>0</v>
      </c>
    </row>
    <row r="799" spans="1:40">
      <c r="A799" s="234" t="str">
        <f>'Front Sheet and Checklist'!$C$5</f>
        <v>Swansea Bay UHB</v>
      </c>
      <c r="B799" s="234" t="s">
        <v>374</v>
      </c>
      <c r="C799" s="234" t="str">
        <f t="shared" ref="C799:D799" si="516">C737</f>
        <v>Macro Economic Inflation</v>
      </c>
      <c r="D799" s="234">
        <f t="shared" si="516"/>
        <v>0</v>
      </c>
      <c r="E799" s="234" t="s">
        <v>384</v>
      </c>
      <c r="F799" s="234">
        <f>'F5 - Cost Pressures'!B518</f>
        <v>0</v>
      </c>
      <c r="AM799" s="233">
        <f>'F5 - Cost Pressures'!Z22</f>
        <v>0</v>
      </c>
      <c r="AN799" s="233">
        <f>'F5 - Cost Pressures'!AA22</f>
        <v>0</v>
      </c>
    </row>
    <row r="800" spans="1:40">
      <c r="A800" s="234" t="str">
        <f>'Front Sheet and Checklist'!$C$5</f>
        <v>Swansea Bay UHB</v>
      </c>
      <c r="B800" s="234" t="s">
        <v>374</v>
      </c>
      <c r="C800" s="234" t="str">
        <f t="shared" ref="C800:D800" si="517">C738</f>
        <v>Macro Economic Inflation</v>
      </c>
      <c r="D800" s="234">
        <f t="shared" si="517"/>
        <v>0</v>
      </c>
      <c r="E800" s="234" t="s">
        <v>384</v>
      </c>
      <c r="F800" s="234">
        <f>'F5 - Cost Pressures'!B519</f>
        <v>0</v>
      </c>
      <c r="AM800" s="233">
        <f>'F5 - Cost Pressures'!Z23</f>
        <v>0</v>
      </c>
      <c r="AN800" s="233">
        <f>'F5 - Cost Pressures'!AA23</f>
        <v>0</v>
      </c>
    </row>
    <row r="801" spans="1:40">
      <c r="A801" s="234" t="str">
        <f>'Front Sheet and Checklist'!$C$5</f>
        <v>Swansea Bay UHB</v>
      </c>
      <c r="B801" s="234" t="s">
        <v>374</v>
      </c>
      <c r="C801" s="234" t="str">
        <f t="shared" ref="C801:D801" si="518">C739</f>
        <v>Macro Economic Inflation</v>
      </c>
      <c r="D801" s="234">
        <f t="shared" si="518"/>
        <v>0</v>
      </c>
      <c r="E801" s="234" t="s">
        <v>384</v>
      </c>
      <c r="F801" s="234">
        <f>'F5 - Cost Pressures'!B520</f>
        <v>0</v>
      </c>
      <c r="AM801" s="233">
        <f>'F5 - Cost Pressures'!Z24</f>
        <v>0</v>
      </c>
      <c r="AN801" s="233">
        <f>'F5 - Cost Pressures'!AA24</f>
        <v>0</v>
      </c>
    </row>
    <row r="802" spans="1:40">
      <c r="A802" s="234" t="str">
        <f>'Front Sheet and Checklist'!$C$5</f>
        <v>Swansea Bay UHB</v>
      </c>
      <c r="B802" s="234" t="s">
        <v>374</v>
      </c>
      <c r="C802" s="234" t="str">
        <f t="shared" ref="C802:D802" si="519">C740</f>
        <v>Macro Economic Inflation</v>
      </c>
      <c r="D802" s="234">
        <f t="shared" si="519"/>
        <v>0</v>
      </c>
      <c r="E802" s="234" t="s">
        <v>384</v>
      </c>
      <c r="F802" s="234">
        <f>'F5 - Cost Pressures'!B521</f>
        <v>0</v>
      </c>
      <c r="AM802" s="233">
        <f>'F5 - Cost Pressures'!Z25</f>
        <v>0</v>
      </c>
      <c r="AN802" s="233">
        <f>'F5 - Cost Pressures'!AA25</f>
        <v>0</v>
      </c>
    </row>
    <row r="803" spans="1:40">
      <c r="A803" s="234" t="str">
        <f>'Front Sheet and Checklist'!$C$5</f>
        <v>Swansea Bay UHB</v>
      </c>
      <c r="B803" s="234" t="s">
        <v>374</v>
      </c>
      <c r="C803" s="234" t="str">
        <f t="shared" ref="C803:D803" si="520">C741</f>
        <v>Macro Economic Inflation</v>
      </c>
      <c r="D803" s="234">
        <f t="shared" si="520"/>
        <v>0</v>
      </c>
      <c r="E803" s="234" t="s">
        <v>384</v>
      </c>
      <c r="F803" s="234">
        <f>'F5 - Cost Pressures'!B522</f>
        <v>0</v>
      </c>
      <c r="AM803" s="233">
        <f>'F5 - Cost Pressures'!Z26</f>
        <v>0</v>
      </c>
      <c r="AN803" s="233">
        <f>'F5 - Cost Pressures'!AA26</f>
        <v>0</v>
      </c>
    </row>
    <row r="804" spans="1:40">
      <c r="A804" s="234" t="str">
        <f>'Front Sheet and Checklist'!$C$5</f>
        <v>Swansea Bay UHB</v>
      </c>
      <c r="B804" s="234" t="s">
        <v>374</v>
      </c>
      <c r="C804" s="234" t="str">
        <f t="shared" ref="C804:D804" si="521">C742</f>
        <v>Macro Economic Inflation</v>
      </c>
      <c r="D804" s="234">
        <f t="shared" si="521"/>
        <v>0</v>
      </c>
      <c r="E804" s="234" t="s">
        <v>384</v>
      </c>
      <c r="F804" s="234">
        <f>'F5 - Cost Pressures'!B523</f>
        <v>0</v>
      </c>
      <c r="AM804" s="233">
        <f>'F5 - Cost Pressures'!Z27</f>
        <v>0</v>
      </c>
      <c r="AN804" s="233">
        <f>'F5 - Cost Pressures'!AA27</f>
        <v>0</v>
      </c>
    </row>
    <row r="805" spans="1:40">
      <c r="A805" s="234" t="str">
        <f>'Front Sheet and Checklist'!$C$5</f>
        <v>Swansea Bay UHB</v>
      </c>
      <c r="B805" s="234" t="s">
        <v>374</v>
      </c>
      <c r="C805" s="234" t="str">
        <f t="shared" ref="C805:D805" si="522">C743</f>
        <v>Macro Economic Inflation</v>
      </c>
      <c r="D805" s="234">
        <f t="shared" si="522"/>
        <v>0</v>
      </c>
      <c r="E805" s="234" t="s">
        <v>384</v>
      </c>
      <c r="F805" s="234">
        <f>'F5 - Cost Pressures'!B524</f>
        <v>0</v>
      </c>
      <c r="AM805" s="233">
        <f>'F5 - Cost Pressures'!Z28</f>
        <v>0</v>
      </c>
      <c r="AN805" s="233">
        <f>'F5 - Cost Pressures'!AA28</f>
        <v>0</v>
      </c>
    </row>
    <row r="806" spans="1:40">
      <c r="A806" s="234" t="str">
        <f>'Front Sheet and Checklist'!$C$5</f>
        <v>Swansea Bay UHB</v>
      </c>
      <c r="B806" s="234" t="s">
        <v>374</v>
      </c>
      <c r="C806" s="234" t="str">
        <f t="shared" ref="C806:D806" si="523">C744</f>
        <v>Macro Economic Inflation</v>
      </c>
      <c r="D806" s="234">
        <f t="shared" si="523"/>
        <v>0</v>
      </c>
      <c r="E806" s="234" t="s">
        <v>384</v>
      </c>
      <c r="F806" s="234">
        <f>'F5 - Cost Pressures'!B525</f>
        <v>0</v>
      </c>
      <c r="AM806" s="233">
        <f>'F5 - Cost Pressures'!Z29</f>
        <v>0</v>
      </c>
      <c r="AN806" s="233">
        <f>'F5 - Cost Pressures'!AA29</f>
        <v>0</v>
      </c>
    </row>
    <row r="807" spans="1:40">
      <c r="A807" s="234" t="str">
        <f>'Front Sheet and Checklist'!$C$5</f>
        <v>Swansea Bay UHB</v>
      </c>
      <c r="B807" s="234" t="s">
        <v>374</v>
      </c>
      <c r="C807" s="234" t="str">
        <f t="shared" ref="C807:D807" si="524">C745</f>
        <v>Macro Economic Inflation</v>
      </c>
      <c r="D807" s="234">
        <f t="shared" si="524"/>
        <v>0</v>
      </c>
      <c r="E807" s="234" t="s">
        <v>384</v>
      </c>
      <c r="F807" s="234">
        <f>'F5 - Cost Pressures'!B526</f>
        <v>0</v>
      </c>
      <c r="AM807" s="233">
        <f>'F5 - Cost Pressures'!Z30</f>
        <v>0</v>
      </c>
      <c r="AN807" s="233">
        <f>'F5 - Cost Pressures'!AA30</f>
        <v>0</v>
      </c>
    </row>
    <row r="808" spans="1:40">
      <c r="A808" s="234" t="str">
        <f>'Front Sheet and Checklist'!$C$5</f>
        <v>Swansea Bay UHB</v>
      </c>
      <c r="B808" s="234" t="s">
        <v>374</v>
      </c>
      <c r="C808" s="234" t="str">
        <f t="shared" ref="C808:D808" si="525">C746</f>
        <v>Macro Economic Inflation</v>
      </c>
      <c r="D808" s="234">
        <f t="shared" si="525"/>
        <v>0</v>
      </c>
      <c r="E808" s="234" t="s">
        <v>384</v>
      </c>
      <c r="F808" s="234">
        <f>'F5 - Cost Pressures'!B527</f>
        <v>0</v>
      </c>
      <c r="AM808" s="233">
        <f>'F5 - Cost Pressures'!Z31</f>
        <v>0</v>
      </c>
      <c r="AN808" s="233">
        <f>'F5 - Cost Pressures'!AA31</f>
        <v>0</v>
      </c>
    </row>
    <row r="809" spans="1:40">
      <c r="A809" s="234" t="str">
        <f>'Front Sheet and Checklist'!$C$5</f>
        <v>Swansea Bay UHB</v>
      </c>
      <c r="B809" s="234" t="s">
        <v>374</v>
      </c>
      <c r="C809" s="234" t="str">
        <f t="shared" ref="C809:D809" si="526">C747</f>
        <v>Contractual or unavoidable</v>
      </c>
      <c r="D809" s="234">
        <f t="shared" si="526"/>
        <v>0</v>
      </c>
      <c r="E809" s="234" t="s">
        <v>384</v>
      </c>
      <c r="F809" s="234">
        <f>'F5 - Cost Pressures'!B528</f>
        <v>0</v>
      </c>
      <c r="AM809" s="233">
        <f>'F5 - Cost Pressures'!Z32</f>
        <v>0</v>
      </c>
      <c r="AN809" s="233">
        <f>'F5 - Cost Pressures'!AA32</f>
        <v>0</v>
      </c>
    </row>
    <row r="810" spans="1:40">
      <c r="A810" s="234" t="str">
        <f>'Front Sheet and Checklist'!$C$5</f>
        <v>Swansea Bay UHB</v>
      </c>
      <c r="B810" s="234" t="s">
        <v>374</v>
      </c>
      <c r="C810" s="234" t="str">
        <f t="shared" ref="C810:D810" si="527">C748</f>
        <v>Contractual or unavoidable</v>
      </c>
      <c r="D810" s="234">
        <f t="shared" si="527"/>
        <v>0</v>
      </c>
      <c r="E810" s="234" t="s">
        <v>384</v>
      </c>
      <c r="F810" s="234">
        <f>'F5 - Cost Pressures'!B529</f>
        <v>0</v>
      </c>
      <c r="AM810" s="233">
        <f>'F5 - Cost Pressures'!Z33</f>
        <v>0</v>
      </c>
      <c r="AN810" s="233">
        <f>'F5 - Cost Pressures'!AA33</f>
        <v>0</v>
      </c>
    </row>
    <row r="811" spans="1:40">
      <c r="A811" s="234" t="str">
        <f>'Front Sheet and Checklist'!$C$5</f>
        <v>Swansea Bay UHB</v>
      </c>
      <c r="B811" s="234" t="s">
        <v>374</v>
      </c>
      <c r="C811" s="234">
        <f t="shared" ref="C811:D811" si="528">C749</f>
        <v>0</v>
      </c>
      <c r="D811" s="234">
        <f t="shared" si="528"/>
        <v>0</v>
      </c>
      <c r="E811" s="234" t="s">
        <v>384</v>
      </c>
      <c r="F811" s="234">
        <f>'F5 - Cost Pressures'!B530</f>
        <v>0</v>
      </c>
      <c r="AM811" s="233">
        <f>'F5 - Cost Pressures'!Z34</f>
        <v>0</v>
      </c>
      <c r="AN811" s="233">
        <f>'F5 - Cost Pressures'!AA34</f>
        <v>0</v>
      </c>
    </row>
    <row r="812" spans="1:40">
      <c r="A812" s="234" t="str">
        <f>'Front Sheet and Checklist'!$C$5</f>
        <v>Swansea Bay UHB</v>
      </c>
      <c r="B812" s="234" t="s">
        <v>374</v>
      </c>
      <c r="C812" s="234">
        <f t="shared" ref="C812:D812" si="529">C750</f>
        <v>0</v>
      </c>
      <c r="D812" s="234">
        <f t="shared" si="529"/>
        <v>0</v>
      </c>
      <c r="E812" s="234" t="s">
        <v>384</v>
      </c>
      <c r="F812" s="234">
        <f>'F5 - Cost Pressures'!B531</f>
        <v>0</v>
      </c>
      <c r="AM812" s="233">
        <f>'F5 - Cost Pressures'!Z35</f>
        <v>0</v>
      </c>
      <c r="AN812" s="233">
        <f>'F5 - Cost Pressures'!AA35</f>
        <v>0</v>
      </c>
    </row>
    <row r="813" spans="1:40">
      <c r="A813" s="234" t="str">
        <f>'Front Sheet and Checklist'!$C$5</f>
        <v>Swansea Bay UHB</v>
      </c>
      <c r="B813" s="234" t="s">
        <v>374</v>
      </c>
      <c r="C813" s="234">
        <f t="shared" ref="C813:D813" si="530">C751</f>
        <v>0</v>
      </c>
      <c r="D813" s="234">
        <f t="shared" si="530"/>
        <v>0</v>
      </c>
      <c r="E813" s="234" t="s">
        <v>384</v>
      </c>
      <c r="F813" s="234">
        <f>'F5 - Cost Pressures'!B532</f>
        <v>0</v>
      </c>
      <c r="AM813" s="233">
        <f>'F5 - Cost Pressures'!Z36</f>
        <v>0</v>
      </c>
      <c r="AN813" s="233">
        <f>'F5 - Cost Pressures'!AA36</f>
        <v>0</v>
      </c>
    </row>
    <row r="814" spans="1:40">
      <c r="A814" s="234" t="str">
        <f>'Front Sheet and Checklist'!$C$5</f>
        <v>Swansea Bay UHB</v>
      </c>
      <c r="B814" s="234" t="s">
        <v>374</v>
      </c>
      <c r="C814" s="234" t="str">
        <f t="shared" ref="C814:D814" si="531">C752</f>
        <v>Macro Economic Inflation</v>
      </c>
      <c r="D814" s="234">
        <f t="shared" si="531"/>
        <v>0</v>
      </c>
      <c r="E814" s="234" t="s">
        <v>384</v>
      </c>
      <c r="F814" s="234">
        <f>'F5 - Cost Pressures'!B533</f>
        <v>0</v>
      </c>
      <c r="AM814" s="233">
        <f>'F5 - Cost Pressures'!Z37</f>
        <v>0</v>
      </c>
      <c r="AN814" s="233">
        <f>'F5 - Cost Pressures'!AA37</f>
        <v>0</v>
      </c>
    </row>
    <row r="815" spans="1:40">
      <c r="A815" s="234" t="str">
        <f>'Front Sheet and Checklist'!$C$5</f>
        <v>Swansea Bay UHB</v>
      </c>
      <c r="B815" s="234" t="s">
        <v>374</v>
      </c>
      <c r="C815" s="234" t="str">
        <f t="shared" ref="C815:D815" si="532">C753</f>
        <v>Macro Economic Inflation</v>
      </c>
      <c r="D815" s="234">
        <f t="shared" si="532"/>
        <v>0</v>
      </c>
      <c r="E815" s="234" t="s">
        <v>384</v>
      </c>
      <c r="F815" s="234">
        <f>'F5 - Cost Pressures'!B534</f>
        <v>0</v>
      </c>
      <c r="AM815" s="233">
        <f>'F5 - Cost Pressures'!Z38</f>
        <v>0</v>
      </c>
      <c r="AN815" s="233">
        <f>'F5 - Cost Pressures'!AA38</f>
        <v>0</v>
      </c>
    </row>
    <row r="816" spans="1:40">
      <c r="A816" s="234" t="str">
        <f>'Front Sheet and Checklist'!$C$5</f>
        <v>Swansea Bay UHB</v>
      </c>
      <c r="B816" s="234" t="s">
        <v>374</v>
      </c>
      <c r="C816" s="234" t="str">
        <f t="shared" ref="C816:D816" si="533">C754</f>
        <v>Macro Economic Inflation</v>
      </c>
      <c r="D816" s="234">
        <f t="shared" si="533"/>
        <v>0</v>
      </c>
      <c r="E816" s="234" t="s">
        <v>384</v>
      </c>
      <c r="F816" s="234">
        <f>'F5 - Cost Pressures'!B535</f>
        <v>0</v>
      </c>
      <c r="AM816" s="233">
        <f>'F5 - Cost Pressures'!Z39</f>
        <v>0</v>
      </c>
      <c r="AN816" s="233">
        <f>'F5 - Cost Pressures'!AA39</f>
        <v>0</v>
      </c>
    </row>
    <row r="817" spans="1:40">
      <c r="A817" s="234" t="str">
        <f>'Front Sheet and Checklist'!$C$5</f>
        <v>Swansea Bay UHB</v>
      </c>
      <c r="B817" s="234" t="s">
        <v>374</v>
      </c>
      <c r="C817" s="234" t="str">
        <f t="shared" ref="C817:D817" si="534">C755</f>
        <v>Macro Economic Inflation</v>
      </c>
      <c r="D817" s="234">
        <f t="shared" si="534"/>
        <v>0</v>
      </c>
      <c r="E817" s="234" t="s">
        <v>384</v>
      </c>
      <c r="F817" s="234">
        <f>'F5 - Cost Pressures'!B536</f>
        <v>0</v>
      </c>
      <c r="AM817" s="233">
        <f>'F5 - Cost Pressures'!Z40</f>
        <v>0</v>
      </c>
      <c r="AN817" s="233">
        <f>'F5 - Cost Pressures'!AA40</f>
        <v>0</v>
      </c>
    </row>
    <row r="818" spans="1:40">
      <c r="A818" s="234" t="str">
        <f>'Front Sheet and Checklist'!$C$5</f>
        <v>Swansea Bay UHB</v>
      </c>
      <c r="B818" s="234" t="s">
        <v>374</v>
      </c>
      <c r="C818" s="234" t="str">
        <f t="shared" ref="C818:D818" si="535">C756</f>
        <v>Local Investment Decisions</v>
      </c>
      <c r="D818" s="234">
        <f t="shared" si="535"/>
        <v>0</v>
      </c>
      <c r="E818" s="234" t="s">
        <v>384</v>
      </c>
      <c r="F818" s="234">
        <f>'F5 - Cost Pressures'!B537</f>
        <v>0</v>
      </c>
      <c r="AM818" s="233">
        <f>'F5 - Cost Pressures'!Z41</f>
        <v>0</v>
      </c>
      <c r="AN818" s="233">
        <f>'F5 - Cost Pressures'!AA41</f>
        <v>0</v>
      </c>
    </row>
    <row r="819" spans="1:40">
      <c r="A819" s="234" t="str">
        <f>'Front Sheet and Checklist'!$C$5</f>
        <v>Swansea Bay UHB</v>
      </c>
      <c r="B819" s="234" t="s">
        <v>374</v>
      </c>
      <c r="C819" s="234" t="str">
        <f t="shared" ref="C819:D819" si="536">C757</f>
        <v>Local Investment Decisions</v>
      </c>
      <c r="D819" s="234">
        <f t="shared" si="536"/>
        <v>0</v>
      </c>
      <c r="E819" s="234" t="s">
        <v>384</v>
      </c>
      <c r="F819" s="234">
        <f>'F5 - Cost Pressures'!B538</f>
        <v>0</v>
      </c>
      <c r="AM819" s="233">
        <f>'F5 - Cost Pressures'!Z42</f>
        <v>0</v>
      </c>
      <c r="AN819" s="233">
        <f>'F5 - Cost Pressures'!AA42</f>
        <v>0</v>
      </c>
    </row>
    <row r="820" spans="1:40">
      <c r="A820" s="234" t="str">
        <f>'Front Sheet and Checklist'!$C$5</f>
        <v>Swansea Bay UHB</v>
      </c>
      <c r="B820" s="234" t="s">
        <v>374</v>
      </c>
      <c r="C820" s="234" t="str">
        <f t="shared" ref="C820:D820" si="537">C758</f>
        <v>Local Investment Decisions</v>
      </c>
      <c r="D820" s="234">
        <f t="shared" si="537"/>
        <v>0</v>
      </c>
      <c r="E820" s="234" t="s">
        <v>384</v>
      </c>
      <c r="F820" s="234">
        <f>'F5 - Cost Pressures'!B539</f>
        <v>0</v>
      </c>
      <c r="AM820" s="233">
        <f>'F5 - Cost Pressures'!Z43</f>
        <v>0</v>
      </c>
      <c r="AN820" s="233">
        <f>'F5 - Cost Pressures'!AA43</f>
        <v>0</v>
      </c>
    </row>
    <row r="821" spans="1:40">
      <c r="A821" s="234" t="str">
        <f>'Front Sheet and Checklist'!$C$5</f>
        <v>Swansea Bay UHB</v>
      </c>
      <c r="B821" s="234" t="s">
        <v>374</v>
      </c>
      <c r="C821" s="234" t="str">
        <f t="shared" ref="C821:D821" si="538">C759</f>
        <v>Local Investment Decisions</v>
      </c>
      <c r="D821" s="234">
        <f t="shared" si="538"/>
        <v>0</v>
      </c>
      <c r="E821" s="234" t="s">
        <v>384</v>
      </c>
      <c r="F821" s="234">
        <f>'F5 - Cost Pressures'!B540</f>
        <v>0</v>
      </c>
      <c r="AM821" s="233">
        <f>'F5 - Cost Pressures'!Z44</f>
        <v>0</v>
      </c>
      <c r="AN821" s="233">
        <f>'F5 - Cost Pressures'!AA44</f>
        <v>0</v>
      </c>
    </row>
    <row r="822" spans="1:40">
      <c r="A822" s="234" t="str">
        <f>'Front Sheet and Checklist'!$C$5</f>
        <v>Swansea Bay UHB</v>
      </c>
      <c r="B822" s="234" t="s">
        <v>374</v>
      </c>
      <c r="C822" s="234" t="str">
        <f t="shared" ref="C822:D822" si="539">C760</f>
        <v>Local Investment Decisions</v>
      </c>
      <c r="D822" s="234">
        <f t="shared" si="539"/>
        <v>0</v>
      </c>
      <c r="E822" s="234" t="s">
        <v>384</v>
      </c>
      <c r="F822" s="234">
        <f>'F5 - Cost Pressures'!B541</f>
        <v>0</v>
      </c>
      <c r="AM822" s="233">
        <f>'F5 - Cost Pressures'!Z45</f>
        <v>0</v>
      </c>
      <c r="AN822" s="233">
        <f>'F5 - Cost Pressures'!AA45</f>
        <v>0</v>
      </c>
    </row>
    <row r="823" spans="1:40">
      <c r="A823" s="234" t="str">
        <f>'Front Sheet and Checklist'!$C$5</f>
        <v>Swansea Bay UHB</v>
      </c>
      <c r="B823" s="234" t="s">
        <v>374</v>
      </c>
      <c r="C823" s="234" t="str">
        <f t="shared" ref="C823:D823" si="540">C761</f>
        <v>Local Investment Decisions</v>
      </c>
      <c r="D823" s="234">
        <f t="shared" si="540"/>
        <v>0</v>
      </c>
      <c r="E823" s="234" t="s">
        <v>384</v>
      </c>
      <c r="F823" s="234">
        <f>'F5 - Cost Pressures'!B542</f>
        <v>0</v>
      </c>
      <c r="AM823" s="233">
        <f>'F5 - Cost Pressures'!Z46</f>
        <v>0</v>
      </c>
      <c r="AN823" s="233">
        <f>'F5 - Cost Pressures'!AA46</f>
        <v>0</v>
      </c>
    </row>
    <row r="824" spans="1:40">
      <c r="A824" s="234" t="str">
        <f>'Front Sheet and Checklist'!$C$5</f>
        <v>Swansea Bay UHB</v>
      </c>
      <c r="B824" s="234" t="s">
        <v>374</v>
      </c>
      <c r="C824" s="234" t="str">
        <f t="shared" ref="C824:D824" si="541">C762</f>
        <v>Local Investment Decisions</v>
      </c>
      <c r="D824" s="234">
        <f t="shared" si="541"/>
        <v>0</v>
      </c>
      <c r="E824" s="234" t="s">
        <v>384</v>
      </c>
      <c r="F824" s="234">
        <f>'F5 - Cost Pressures'!B543</f>
        <v>0</v>
      </c>
      <c r="AM824" s="233">
        <f>'F5 - Cost Pressures'!Z47</f>
        <v>0</v>
      </c>
      <c r="AN824" s="233">
        <f>'F5 - Cost Pressures'!AA47</f>
        <v>0</v>
      </c>
    </row>
    <row r="825" spans="1:40">
      <c r="A825" s="234" t="str">
        <f>'Front Sheet and Checklist'!$C$5</f>
        <v>Swansea Bay UHB</v>
      </c>
      <c r="B825" s="234" t="s">
        <v>374</v>
      </c>
      <c r="C825" s="234" t="str">
        <f t="shared" ref="C825:D825" si="542">C763</f>
        <v>Local Investment Decisions</v>
      </c>
      <c r="D825" s="234">
        <f t="shared" si="542"/>
        <v>0</v>
      </c>
      <c r="E825" s="234" t="s">
        <v>384</v>
      </c>
      <c r="F825" s="234">
        <f>'F5 - Cost Pressures'!B544</f>
        <v>0</v>
      </c>
      <c r="AM825" s="233">
        <f>'F5 - Cost Pressures'!Z48</f>
        <v>0</v>
      </c>
      <c r="AN825" s="233">
        <f>'F5 - Cost Pressures'!AA48</f>
        <v>0</v>
      </c>
    </row>
    <row r="826" spans="1:40">
      <c r="A826" s="234" t="str">
        <f>'Front Sheet and Checklist'!$C$5</f>
        <v>Swansea Bay UHB</v>
      </c>
      <c r="B826" s="234" t="s">
        <v>374</v>
      </c>
      <c r="C826" s="234" t="str">
        <f t="shared" ref="C826:D826" si="543">C764</f>
        <v>Local Investment Decisions</v>
      </c>
      <c r="D826" s="234">
        <f t="shared" si="543"/>
        <v>0</v>
      </c>
      <c r="E826" s="234" t="s">
        <v>384</v>
      </c>
      <c r="F826" s="234">
        <f>'F5 - Cost Pressures'!B545</f>
        <v>0</v>
      </c>
      <c r="AM826" s="233">
        <f>'F5 - Cost Pressures'!Z49</f>
        <v>0</v>
      </c>
      <c r="AN826" s="233">
        <f>'F5 - Cost Pressures'!AA49</f>
        <v>0</v>
      </c>
    </row>
    <row r="827" spans="1:40">
      <c r="A827" s="234" t="str">
        <f>'Front Sheet and Checklist'!$C$5</f>
        <v>Swansea Bay UHB</v>
      </c>
      <c r="B827" s="234" t="s">
        <v>374</v>
      </c>
      <c r="C827" s="234" t="str">
        <f t="shared" ref="C827:D827" si="544">C765</f>
        <v>Local Investment Decisions</v>
      </c>
      <c r="D827" s="234">
        <f t="shared" si="544"/>
        <v>0</v>
      </c>
      <c r="E827" s="234" t="s">
        <v>384</v>
      </c>
      <c r="F827" s="234">
        <f>'F5 - Cost Pressures'!B546</f>
        <v>0</v>
      </c>
      <c r="AM827" s="233">
        <f>'F5 - Cost Pressures'!Z50</f>
        <v>0</v>
      </c>
      <c r="AN827" s="233">
        <f>'F5 - Cost Pressures'!AA50</f>
        <v>0</v>
      </c>
    </row>
    <row r="828" spans="1:40">
      <c r="A828" s="234" t="str">
        <f>'Front Sheet and Checklist'!$C$5</f>
        <v>Swansea Bay UHB</v>
      </c>
      <c r="B828" s="234" t="s">
        <v>374</v>
      </c>
      <c r="C828" s="234" t="str">
        <f t="shared" ref="C828:D828" si="545">C766</f>
        <v>Contractual or unavoidable</v>
      </c>
      <c r="D828" s="234">
        <f t="shared" si="545"/>
        <v>0</v>
      </c>
      <c r="E828" s="234" t="s">
        <v>384</v>
      </c>
      <c r="F828" s="234">
        <f>'F5 - Cost Pressures'!B547</f>
        <v>0</v>
      </c>
      <c r="AM828" s="233">
        <f>'F5 - Cost Pressures'!Z51</f>
        <v>0</v>
      </c>
      <c r="AN828" s="233">
        <f>'F5 - Cost Pressures'!AA51</f>
        <v>0</v>
      </c>
    </row>
    <row r="829" spans="1:40">
      <c r="A829" s="234" t="str">
        <f>'Front Sheet and Checklist'!$C$5</f>
        <v>Swansea Bay UHB</v>
      </c>
      <c r="B829" s="234" t="s">
        <v>374</v>
      </c>
      <c r="C829" s="234">
        <f t="shared" ref="C829:D829" si="546">C767</f>
        <v>0</v>
      </c>
      <c r="D829" s="234">
        <f t="shared" si="546"/>
        <v>0</v>
      </c>
      <c r="E829" s="234" t="s">
        <v>384</v>
      </c>
      <c r="F829" s="234">
        <f>'F5 - Cost Pressures'!B548</f>
        <v>0</v>
      </c>
      <c r="AM829" s="233">
        <f>'F5 - Cost Pressures'!Z52</f>
        <v>0</v>
      </c>
      <c r="AN829" s="233">
        <f>'F5 - Cost Pressures'!AA52</f>
        <v>0</v>
      </c>
    </row>
    <row r="830" spans="1:40">
      <c r="A830" s="234" t="str">
        <f>'Front Sheet and Checklist'!$C$5</f>
        <v>Swansea Bay UHB</v>
      </c>
      <c r="B830" s="234" t="s">
        <v>374</v>
      </c>
      <c r="C830" s="234">
        <f t="shared" ref="C830:D830" si="547">C768</f>
        <v>0</v>
      </c>
      <c r="D830" s="234">
        <f t="shared" si="547"/>
        <v>0</v>
      </c>
      <c r="E830" s="234" t="s">
        <v>384</v>
      </c>
      <c r="F830" s="234">
        <f>'F5 - Cost Pressures'!B549</f>
        <v>0</v>
      </c>
      <c r="AM830" s="233">
        <f>'F5 - Cost Pressures'!Z53</f>
        <v>0</v>
      </c>
      <c r="AN830" s="233">
        <f>'F5 - Cost Pressures'!AA53</f>
        <v>0</v>
      </c>
    </row>
    <row r="831" spans="1:40">
      <c r="A831" s="234" t="str">
        <f>'Front Sheet and Checklist'!$C$5</f>
        <v>Swansea Bay UHB</v>
      </c>
      <c r="B831" s="234" t="s">
        <v>374</v>
      </c>
      <c r="C831" s="234">
        <f t="shared" ref="C831:D831" si="548">C769</f>
        <v>0</v>
      </c>
      <c r="D831" s="234">
        <f t="shared" si="548"/>
        <v>0</v>
      </c>
      <c r="E831" s="234" t="s">
        <v>384</v>
      </c>
      <c r="F831" s="234">
        <f>'F5 - Cost Pressures'!B550</f>
        <v>0</v>
      </c>
      <c r="AM831" s="233">
        <f>'F5 - Cost Pressures'!Z54</f>
        <v>0</v>
      </c>
      <c r="AN831" s="233">
        <f>'F5 - Cost Pressures'!AA54</f>
        <v>0</v>
      </c>
    </row>
    <row r="832" spans="1:40">
      <c r="A832" s="234" t="str">
        <f>'Front Sheet and Checklist'!$C$5</f>
        <v>Swansea Bay UHB</v>
      </c>
      <c r="B832" s="234" t="s">
        <v>374</v>
      </c>
      <c r="C832" s="234">
        <f t="shared" ref="C832:D832" si="549">C770</f>
        <v>0</v>
      </c>
      <c r="D832" s="234">
        <f t="shared" si="549"/>
        <v>0</v>
      </c>
      <c r="E832" s="234" t="s">
        <v>384</v>
      </c>
      <c r="F832" s="234">
        <f>'F5 - Cost Pressures'!B551</f>
        <v>0</v>
      </c>
      <c r="AM832" s="233">
        <f>'F5 - Cost Pressures'!Z55</f>
        <v>0</v>
      </c>
      <c r="AN832" s="233">
        <f>'F5 - Cost Pressures'!AA55</f>
        <v>0</v>
      </c>
    </row>
    <row r="833" spans="1:40">
      <c r="A833" s="234" t="str">
        <f>'Front Sheet and Checklist'!$C$5</f>
        <v>Swansea Bay UHB</v>
      </c>
      <c r="B833" s="234" t="s">
        <v>374</v>
      </c>
      <c r="C833" s="234">
        <f t="shared" ref="C833:D833" si="550">C771</f>
        <v>0</v>
      </c>
      <c r="D833" s="234">
        <f t="shared" si="550"/>
        <v>0</v>
      </c>
      <c r="E833" s="234" t="s">
        <v>384</v>
      </c>
      <c r="F833" s="234">
        <f>'F5 - Cost Pressures'!B552</f>
        <v>0</v>
      </c>
      <c r="AM833" s="233">
        <f>'F5 - Cost Pressures'!Z56</f>
        <v>0</v>
      </c>
      <c r="AN833" s="233">
        <f>'F5 - Cost Pressures'!AA56</f>
        <v>0</v>
      </c>
    </row>
    <row r="834" spans="1:40">
      <c r="A834" s="234" t="str">
        <f>'Front Sheet and Checklist'!$C$5</f>
        <v>Swansea Bay UHB</v>
      </c>
      <c r="B834" s="234" t="s">
        <v>374</v>
      </c>
      <c r="C834" s="234">
        <f t="shared" ref="C834:D834" si="551">C772</f>
        <v>0</v>
      </c>
      <c r="D834" s="234">
        <f t="shared" si="551"/>
        <v>0</v>
      </c>
      <c r="E834" s="234" t="s">
        <v>384</v>
      </c>
      <c r="F834" s="234">
        <f>'F5 - Cost Pressures'!B553</f>
        <v>0</v>
      </c>
      <c r="AM834" s="233">
        <f>'F5 - Cost Pressures'!Z57</f>
        <v>0</v>
      </c>
      <c r="AN834" s="233">
        <f>'F5 - Cost Pressures'!AA57</f>
        <v>0</v>
      </c>
    </row>
    <row r="835" spans="1:40">
      <c r="A835" s="234" t="str">
        <f>'Front Sheet and Checklist'!$C$5</f>
        <v>Swansea Bay UHB</v>
      </c>
      <c r="B835" s="234" t="s">
        <v>374</v>
      </c>
      <c r="C835" s="234">
        <f t="shared" ref="C835:D835" si="552">C773</f>
        <v>0</v>
      </c>
      <c r="D835" s="234">
        <f t="shared" si="552"/>
        <v>0</v>
      </c>
      <c r="E835" s="234" t="s">
        <v>384</v>
      </c>
      <c r="F835" s="234">
        <f>'F5 - Cost Pressures'!B554</f>
        <v>0</v>
      </c>
      <c r="AM835" s="233">
        <f>'F5 - Cost Pressures'!Z58</f>
        <v>0</v>
      </c>
      <c r="AN835" s="233">
        <f>'F5 - Cost Pressures'!AA58</f>
        <v>0</v>
      </c>
    </row>
    <row r="836" spans="1:40">
      <c r="A836" s="234" t="str">
        <f>'Front Sheet and Checklist'!$C$5</f>
        <v>Swansea Bay UHB</v>
      </c>
      <c r="B836" s="234" t="s">
        <v>374</v>
      </c>
      <c r="C836" s="234">
        <f t="shared" ref="C836:D836" si="553">C774</f>
        <v>0</v>
      </c>
      <c r="D836" s="234">
        <f t="shared" si="553"/>
        <v>0</v>
      </c>
      <c r="E836" s="234" t="s">
        <v>384</v>
      </c>
      <c r="F836" s="234">
        <f>'F5 - Cost Pressures'!B555</f>
        <v>0</v>
      </c>
      <c r="AM836" s="233">
        <f>'F5 - Cost Pressures'!Z59</f>
        <v>0</v>
      </c>
      <c r="AN836" s="233">
        <f>'F5 - Cost Pressures'!AA59</f>
        <v>0</v>
      </c>
    </row>
    <row r="837" spans="1:40">
      <c r="A837" s="234" t="str">
        <f>'Front Sheet and Checklist'!$C$5</f>
        <v>Swansea Bay UHB</v>
      </c>
      <c r="B837" s="234" t="s">
        <v>374</v>
      </c>
      <c r="C837" s="234">
        <f t="shared" ref="C837:D837" si="554">C775</f>
        <v>0</v>
      </c>
      <c r="D837" s="234">
        <f t="shared" si="554"/>
        <v>0</v>
      </c>
      <c r="E837" s="234" t="s">
        <v>384</v>
      </c>
      <c r="F837" s="234">
        <f>'F5 - Cost Pressures'!B556</f>
        <v>0</v>
      </c>
      <c r="AM837" s="233">
        <f>'F5 - Cost Pressures'!Z60</f>
        <v>0</v>
      </c>
      <c r="AN837" s="233">
        <f>'F5 - Cost Pressures'!AA60</f>
        <v>0</v>
      </c>
    </row>
    <row r="838" spans="1:40">
      <c r="A838" s="234" t="str">
        <f>'Front Sheet and Checklist'!$C$5</f>
        <v>Swansea Bay UHB</v>
      </c>
      <c r="B838" s="234" t="s">
        <v>374</v>
      </c>
      <c r="C838" s="234">
        <f t="shared" ref="C838:D838" si="555">C776</f>
        <v>0</v>
      </c>
      <c r="D838" s="234">
        <f t="shared" si="555"/>
        <v>0</v>
      </c>
      <c r="E838" s="234" t="s">
        <v>384</v>
      </c>
      <c r="F838" s="234">
        <f>'F5 - Cost Pressures'!B557</f>
        <v>0</v>
      </c>
      <c r="AM838" s="233">
        <f>'F5 - Cost Pressures'!Z61</f>
        <v>0</v>
      </c>
      <c r="AN838" s="233">
        <f>'F5 - Cost Pressures'!AA61</f>
        <v>0</v>
      </c>
    </row>
    <row r="839" spans="1:40">
      <c r="A839" s="234" t="str">
        <f>'Front Sheet and Checklist'!$C$5</f>
        <v>Swansea Bay UHB</v>
      </c>
      <c r="B839" s="234" t="s">
        <v>374</v>
      </c>
      <c r="C839" s="234">
        <f t="shared" ref="C839:D839" si="556">C777</f>
        <v>0</v>
      </c>
      <c r="D839" s="234">
        <f t="shared" si="556"/>
        <v>0</v>
      </c>
      <c r="E839" s="234" t="s">
        <v>384</v>
      </c>
      <c r="F839" s="234">
        <f>'F5 - Cost Pressures'!B558</f>
        <v>0</v>
      </c>
      <c r="AM839" s="233">
        <f>'F5 - Cost Pressures'!Z62</f>
        <v>0</v>
      </c>
      <c r="AN839" s="233">
        <f>'F5 - Cost Pressures'!AA62</f>
        <v>0</v>
      </c>
    </row>
    <row r="840" spans="1:40">
      <c r="A840" s="234" t="str">
        <f>'Front Sheet and Checklist'!$C$5</f>
        <v>Swansea Bay UHB</v>
      </c>
      <c r="B840" s="234" t="s">
        <v>374</v>
      </c>
      <c r="C840" s="234">
        <f t="shared" ref="C840:D840" si="557">C778</f>
        <v>0</v>
      </c>
      <c r="D840" s="234">
        <f t="shared" si="557"/>
        <v>0</v>
      </c>
      <c r="E840" s="234" t="s">
        <v>384</v>
      </c>
      <c r="F840" s="234">
        <f>'F5 - Cost Pressures'!B559</f>
        <v>0</v>
      </c>
      <c r="AM840" s="233">
        <f>'F5 - Cost Pressures'!Z63</f>
        <v>0</v>
      </c>
      <c r="AN840" s="233">
        <f>'F5 - Cost Pressures'!AA63</f>
        <v>0</v>
      </c>
    </row>
    <row r="841" spans="1:40">
      <c r="A841" s="234" t="str">
        <f>'Front Sheet and Checklist'!$C$5</f>
        <v>Swansea Bay UHB</v>
      </c>
      <c r="B841" s="234" t="s">
        <v>374</v>
      </c>
      <c r="C841" s="234">
        <f t="shared" ref="C841:D841" si="558">C779</f>
        <v>0</v>
      </c>
      <c r="D841" s="234">
        <f t="shared" si="558"/>
        <v>0</v>
      </c>
      <c r="E841" s="234" t="s">
        <v>384</v>
      </c>
      <c r="F841" s="234">
        <f>'F5 - Cost Pressures'!B560</f>
        <v>0</v>
      </c>
      <c r="AM841" s="233">
        <f>'F5 - Cost Pressures'!Z64</f>
        <v>0</v>
      </c>
      <c r="AN841" s="233">
        <f>'F5 - Cost Pressures'!AA64</f>
        <v>0</v>
      </c>
    </row>
    <row r="842" spans="1:40">
      <c r="A842" s="234" t="str">
        <f>'Front Sheet and Checklist'!$C$5</f>
        <v>Swansea Bay UHB</v>
      </c>
      <c r="B842" s="234" t="s">
        <v>374</v>
      </c>
      <c r="C842" s="234">
        <f t="shared" ref="C842:D842" si="559">C780</f>
        <v>0</v>
      </c>
      <c r="D842" s="234">
        <f t="shared" si="559"/>
        <v>0</v>
      </c>
      <c r="E842" s="234" t="s">
        <v>384</v>
      </c>
      <c r="F842" s="234">
        <f>'F5 - Cost Pressures'!B561</f>
        <v>0</v>
      </c>
      <c r="AM842" s="233">
        <f>'F5 - Cost Pressures'!Z65</f>
        <v>0</v>
      </c>
      <c r="AN842" s="233">
        <f>'F5 - Cost Pressures'!AA65</f>
        <v>0</v>
      </c>
    </row>
    <row r="843" spans="1:40">
      <c r="A843" s="234" t="str">
        <f>'Front Sheet and Checklist'!$C$5</f>
        <v>Swansea Bay UHB</v>
      </c>
      <c r="B843" s="234" t="s">
        <v>374</v>
      </c>
      <c r="C843" s="234" t="str">
        <f t="shared" ref="C843:D862" si="560">C781</f>
        <v>Macro Economic Inflation</v>
      </c>
      <c r="D843" s="234" t="str">
        <f t="shared" si="560"/>
        <v>7. Non Clinical Support</v>
      </c>
      <c r="E843" s="234" t="s">
        <v>385</v>
      </c>
      <c r="F843" s="234">
        <f>'F5 - Cost Pressures'!B562</f>
        <v>0</v>
      </c>
      <c r="AM843" s="233">
        <f>'F5 - Cost Pressures'!AB4</f>
        <v>0</v>
      </c>
      <c r="AN843" s="233">
        <f>'F5 - Cost Pressures'!AC4</f>
        <v>0</v>
      </c>
    </row>
    <row r="844" spans="1:40">
      <c r="A844" s="234" t="str">
        <f>'Front Sheet and Checklist'!$C$5</f>
        <v>Swansea Bay UHB</v>
      </c>
      <c r="B844" s="234" t="s">
        <v>374</v>
      </c>
      <c r="C844" s="234" t="str">
        <f t="shared" si="560"/>
        <v>Macro Economic Inflation</v>
      </c>
      <c r="D844" s="234" t="str">
        <f t="shared" si="560"/>
        <v>8. Across Service Areas</v>
      </c>
      <c r="E844" s="234" t="s">
        <v>385</v>
      </c>
      <c r="F844" s="234">
        <f>'F5 - Cost Pressures'!B563</f>
        <v>0</v>
      </c>
      <c r="AM844" s="233">
        <f>'F5 - Cost Pressures'!AB5</f>
        <v>0</v>
      </c>
      <c r="AN844" s="233">
        <f>'F5 - Cost Pressures'!AC5</f>
        <v>0</v>
      </c>
    </row>
    <row r="845" spans="1:40">
      <c r="A845" s="234" t="str">
        <f>'Front Sheet and Checklist'!$C$5</f>
        <v>Swansea Bay UHB</v>
      </c>
      <c r="B845" s="234" t="s">
        <v>374</v>
      </c>
      <c r="C845" s="234" t="str">
        <f t="shared" si="560"/>
        <v>National Investment Decisions</v>
      </c>
      <c r="D845" s="234" t="str">
        <f t="shared" si="560"/>
        <v>1. Secondary Care (In-house) - General</v>
      </c>
      <c r="E845" s="234" t="s">
        <v>385</v>
      </c>
      <c r="F845" s="234">
        <f>'F5 - Cost Pressures'!B564</f>
        <v>0</v>
      </c>
      <c r="AM845" s="233">
        <f>'F5 - Cost Pressures'!AB6</f>
        <v>0</v>
      </c>
      <c r="AN845" s="233">
        <f>'F5 - Cost Pressures'!AC6</f>
        <v>0</v>
      </c>
    </row>
    <row r="846" spans="1:40">
      <c r="A846" s="234" t="str">
        <f>'Front Sheet and Checklist'!$C$5</f>
        <v>Swansea Bay UHB</v>
      </c>
      <c r="B846" s="234" t="s">
        <v>374</v>
      </c>
      <c r="C846" s="234" t="str">
        <f t="shared" si="560"/>
        <v>National Investment Decisions</v>
      </c>
      <c r="D846" s="234" t="str">
        <f t="shared" si="560"/>
        <v>4. Commissioned Activity (inc. CHC)</v>
      </c>
      <c r="E846" s="234" t="s">
        <v>385</v>
      </c>
      <c r="F846" s="234">
        <f>'F5 - Cost Pressures'!B565</f>
        <v>0</v>
      </c>
      <c r="AM846" s="233">
        <f>'F5 - Cost Pressures'!AB7</f>
        <v>0</v>
      </c>
      <c r="AN846" s="233">
        <f>'F5 - Cost Pressures'!AC7</f>
        <v>0</v>
      </c>
    </row>
    <row r="847" spans="1:40">
      <c r="A847" s="234" t="str">
        <f>'Front Sheet and Checklist'!$C$5</f>
        <v>Swansea Bay UHB</v>
      </c>
      <c r="B847" s="234" t="s">
        <v>374</v>
      </c>
      <c r="C847" s="234" t="str">
        <f t="shared" si="560"/>
        <v>National Investment Decisions</v>
      </c>
      <c r="D847" s="234" t="str">
        <f t="shared" si="560"/>
        <v>3. Community Care</v>
      </c>
      <c r="E847" s="234" t="s">
        <v>385</v>
      </c>
      <c r="F847" s="234">
        <f>'F5 - Cost Pressures'!B566</f>
        <v>0</v>
      </c>
      <c r="AM847" s="233">
        <f>'F5 - Cost Pressures'!AB8</f>
        <v>0</v>
      </c>
      <c r="AN847" s="233">
        <f>'F5 - Cost Pressures'!AC8</f>
        <v>0</v>
      </c>
    </row>
    <row r="848" spans="1:40">
      <c r="A848" s="234" t="str">
        <f>'Front Sheet and Checklist'!$C$5</f>
        <v>Swansea Bay UHB</v>
      </c>
      <c r="B848" s="234" t="s">
        <v>374</v>
      </c>
      <c r="C848" s="234" t="str">
        <f t="shared" si="560"/>
        <v>National Investment Decisions</v>
      </c>
      <c r="D848" s="234" t="str">
        <f t="shared" si="560"/>
        <v>3. Community Care</v>
      </c>
      <c r="E848" s="234" t="s">
        <v>385</v>
      </c>
      <c r="F848" s="234">
        <f>'F5 - Cost Pressures'!B567</f>
        <v>0</v>
      </c>
      <c r="AM848" s="233">
        <f>'F5 - Cost Pressures'!AB9</f>
        <v>0</v>
      </c>
      <c r="AN848" s="233">
        <f>'F5 - Cost Pressures'!AC9</f>
        <v>0</v>
      </c>
    </row>
    <row r="849" spans="1:40">
      <c r="A849" s="234" t="str">
        <f>'Front Sheet and Checklist'!$C$5</f>
        <v>Swansea Bay UHB</v>
      </c>
      <c r="B849" s="234" t="s">
        <v>374</v>
      </c>
      <c r="C849" s="234" t="str">
        <f t="shared" si="560"/>
        <v>National Investment Decisions</v>
      </c>
      <c r="D849" s="234" t="str">
        <f t="shared" si="560"/>
        <v>4. Commissioned Activity (inc. CHC)</v>
      </c>
      <c r="E849" s="234" t="s">
        <v>385</v>
      </c>
      <c r="F849" s="234">
        <f>'F5 - Cost Pressures'!B568</f>
        <v>0</v>
      </c>
      <c r="AM849" s="233">
        <f>'F5 - Cost Pressures'!AB10</f>
        <v>0</v>
      </c>
      <c r="AN849" s="233">
        <f>'F5 - Cost Pressures'!AC10</f>
        <v>0</v>
      </c>
    </row>
    <row r="850" spans="1:40">
      <c r="A850" s="234" t="str">
        <f>'Front Sheet and Checklist'!$C$5</f>
        <v>Swansea Bay UHB</v>
      </c>
      <c r="B850" s="234" t="s">
        <v>374</v>
      </c>
      <c r="C850" s="234" t="str">
        <f t="shared" si="560"/>
        <v>National Investment Decisions</v>
      </c>
      <c r="D850" s="234">
        <f t="shared" si="560"/>
        <v>0</v>
      </c>
      <c r="E850" s="234" t="s">
        <v>385</v>
      </c>
      <c r="F850" s="234">
        <f>'F5 - Cost Pressures'!B569</f>
        <v>0</v>
      </c>
      <c r="AM850" s="233">
        <f>'F5 - Cost Pressures'!AB11</f>
        <v>0</v>
      </c>
      <c r="AN850" s="233">
        <f>'F5 - Cost Pressures'!AC11</f>
        <v>0</v>
      </c>
    </row>
    <row r="851" spans="1:40">
      <c r="A851" s="234" t="str">
        <f>'Front Sheet and Checklist'!$C$5</f>
        <v>Swansea Bay UHB</v>
      </c>
      <c r="B851" s="234" t="s">
        <v>374</v>
      </c>
      <c r="C851" s="234" t="str">
        <f t="shared" si="560"/>
        <v>National Investment Decisions</v>
      </c>
      <c r="D851" s="234">
        <f t="shared" si="560"/>
        <v>0</v>
      </c>
      <c r="E851" s="234" t="s">
        <v>385</v>
      </c>
      <c r="F851" s="234">
        <f>'F5 - Cost Pressures'!B570</f>
        <v>0</v>
      </c>
      <c r="AM851" s="233">
        <f>'F5 - Cost Pressures'!AB12</f>
        <v>0</v>
      </c>
      <c r="AN851" s="233">
        <f>'F5 - Cost Pressures'!AC12</f>
        <v>0</v>
      </c>
    </row>
    <row r="852" spans="1:40">
      <c r="A852" s="234" t="str">
        <f>'Front Sheet and Checklist'!$C$5</f>
        <v>Swansea Bay UHB</v>
      </c>
      <c r="B852" s="234" t="s">
        <v>374</v>
      </c>
      <c r="C852" s="234" t="str">
        <f t="shared" si="560"/>
        <v>National Investment Decisions</v>
      </c>
      <c r="D852" s="234">
        <f t="shared" si="560"/>
        <v>0</v>
      </c>
      <c r="E852" s="234" t="s">
        <v>385</v>
      </c>
      <c r="F852" s="234">
        <f>'F5 - Cost Pressures'!B571</f>
        <v>0</v>
      </c>
      <c r="AM852" s="233">
        <f>'F5 - Cost Pressures'!AB13</f>
        <v>0</v>
      </c>
      <c r="AN852" s="233">
        <f>'F5 - Cost Pressures'!AC13</f>
        <v>0</v>
      </c>
    </row>
    <row r="853" spans="1:40">
      <c r="A853" s="234" t="str">
        <f>'Front Sheet and Checklist'!$C$5</f>
        <v>Swansea Bay UHB</v>
      </c>
      <c r="B853" s="234" t="s">
        <v>374</v>
      </c>
      <c r="C853" s="234" t="str">
        <f t="shared" si="560"/>
        <v>National Investment Decisions</v>
      </c>
      <c r="D853" s="234">
        <f t="shared" si="560"/>
        <v>0</v>
      </c>
      <c r="E853" s="234" t="s">
        <v>385</v>
      </c>
      <c r="F853" s="234">
        <f>'F5 - Cost Pressures'!B572</f>
        <v>0</v>
      </c>
      <c r="AM853" s="233">
        <f>'F5 - Cost Pressures'!AB14</f>
        <v>0</v>
      </c>
      <c r="AN853" s="233">
        <f>'F5 - Cost Pressures'!AC14</f>
        <v>0</v>
      </c>
    </row>
    <row r="854" spans="1:40">
      <c r="A854" s="234" t="str">
        <f>'Front Sheet and Checklist'!$C$5</f>
        <v>Swansea Bay UHB</v>
      </c>
      <c r="B854" s="234" t="s">
        <v>374</v>
      </c>
      <c r="C854" s="234" t="str">
        <f t="shared" si="560"/>
        <v>National Investment Decisions</v>
      </c>
      <c r="D854" s="234">
        <f t="shared" si="560"/>
        <v>0</v>
      </c>
      <c r="E854" s="234" t="s">
        <v>385</v>
      </c>
      <c r="F854" s="234">
        <f>'F5 - Cost Pressures'!B573</f>
        <v>0</v>
      </c>
      <c r="AM854" s="233">
        <f>'F5 - Cost Pressures'!AB15</f>
        <v>0</v>
      </c>
      <c r="AN854" s="233">
        <f>'F5 - Cost Pressures'!AC15</f>
        <v>0</v>
      </c>
    </row>
    <row r="855" spans="1:40">
      <c r="A855" s="234" t="str">
        <f>'Front Sheet and Checklist'!$C$5</f>
        <v>Swansea Bay UHB</v>
      </c>
      <c r="B855" s="234" t="s">
        <v>374</v>
      </c>
      <c r="C855" s="234" t="str">
        <f t="shared" si="560"/>
        <v>National Investment Decisions</v>
      </c>
      <c r="D855" s="234">
        <f t="shared" si="560"/>
        <v>0</v>
      </c>
      <c r="E855" s="234" t="s">
        <v>385</v>
      </c>
      <c r="F855" s="234">
        <f>'F5 - Cost Pressures'!B574</f>
        <v>0</v>
      </c>
      <c r="AM855" s="233">
        <f>'F5 - Cost Pressures'!AB16</f>
        <v>0</v>
      </c>
      <c r="AN855" s="233">
        <f>'F5 - Cost Pressures'!AC16</f>
        <v>0</v>
      </c>
    </row>
    <row r="856" spans="1:40">
      <c r="A856" s="234" t="str">
        <f>'Front Sheet and Checklist'!$C$5</f>
        <v>Swansea Bay UHB</v>
      </c>
      <c r="B856" s="234" t="s">
        <v>374</v>
      </c>
      <c r="C856" s="234" t="str">
        <f t="shared" si="560"/>
        <v>National Investment Decisions</v>
      </c>
      <c r="D856" s="234">
        <f t="shared" si="560"/>
        <v>0</v>
      </c>
      <c r="E856" s="234" t="s">
        <v>385</v>
      </c>
      <c r="F856" s="234">
        <f>'F5 - Cost Pressures'!B575</f>
        <v>0</v>
      </c>
      <c r="AM856" s="233">
        <f>'F5 - Cost Pressures'!AB17</f>
        <v>0</v>
      </c>
      <c r="AN856" s="233">
        <f>'F5 - Cost Pressures'!AC17</f>
        <v>0</v>
      </c>
    </row>
    <row r="857" spans="1:40">
      <c r="A857" s="234" t="str">
        <f>'Front Sheet and Checklist'!$C$5</f>
        <v>Swansea Bay UHB</v>
      </c>
      <c r="B857" s="234" t="s">
        <v>374</v>
      </c>
      <c r="C857" s="234" t="str">
        <f t="shared" si="560"/>
        <v>National Investment Decisions</v>
      </c>
      <c r="D857" s="234">
        <f t="shared" si="560"/>
        <v>0</v>
      </c>
      <c r="E857" s="234" t="s">
        <v>385</v>
      </c>
      <c r="F857" s="234">
        <f>'F5 - Cost Pressures'!B576</f>
        <v>0</v>
      </c>
      <c r="AM857" s="233">
        <f>'F5 - Cost Pressures'!AB18</f>
        <v>0</v>
      </c>
      <c r="AN857" s="233">
        <f>'F5 - Cost Pressures'!AC18</f>
        <v>0</v>
      </c>
    </row>
    <row r="858" spans="1:40">
      <c r="A858" s="234" t="str">
        <f>'Front Sheet and Checklist'!$C$5</f>
        <v>Swansea Bay UHB</v>
      </c>
      <c r="B858" s="234" t="s">
        <v>374</v>
      </c>
      <c r="C858" s="234" t="str">
        <f t="shared" si="560"/>
        <v>National Investment Decisions</v>
      </c>
      <c r="D858" s="234">
        <f t="shared" si="560"/>
        <v>0</v>
      </c>
      <c r="E858" s="234" t="s">
        <v>385</v>
      </c>
      <c r="F858" s="234">
        <f>'F5 - Cost Pressures'!B577</f>
        <v>0</v>
      </c>
      <c r="AM858" s="233">
        <f>'F5 - Cost Pressures'!AB19</f>
        <v>0</v>
      </c>
      <c r="AN858" s="233">
        <f>'F5 - Cost Pressures'!AC19</f>
        <v>0</v>
      </c>
    </row>
    <row r="859" spans="1:40">
      <c r="A859" s="234" t="str">
        <f>'Front Sheet and Checklist'!$C$5</f>
        <v>Swansea Bay UHB</v>
      </c>
      <c r="B859" s="234" t="s">
        <v>374</v>
      </c>
      <c r="C859" s="234" t="str">
        <f t="shared" si="560"/>
        <v>Macro Economic Inflation</v>
      </c>
      <c r="D859" s="234">
        <f t="shared" si="560"/>
        <v>0</v>
      </c>
      <c r="E859" s="234" t="s">
        <v>385</v>
      </c>
      <c r="F859" s="234">
        <f>'F5 - Cost Pressures'!B578</f>
        <v>0</v>
      </c>
      <c r="AM859" s="233">
        <f>'F5 - Cost Pressures'!AB20</f>
        <v>0</v>
      </c>
      <c r="AN859" s="233">
        <f>'F5 - Cost Pressures'!AC20</f>
        <v>0</v>
      </c>
    </row>
    <row r="860" spans="1:40">
      <c r="A860" s="234" t="str">
        <f>'Front Sheet and Checklist'!$C$5</f>
        <v>Swansea Bay UHB</v>
      </c>
      <c r="B860" s="234" t="s">
        <v>374</v>
      </c>
      <c r="C860" s="234" t="str">
        <f t="shared" si="560"/>
        <v>Macro Economic Inflation</v>
      </c>
      <c r="D860" s="234">
        <f t="shared" si="560"/>
        <v>0</v>
      </c>
      <c r="E860" s="234" t="s">
        <v>385</v>
      </c>
      <c r="F860" s="234">
        <f>'F5 - Cost Pressures'!B579</f>
        <v>0</v>
      </c>
      <c r="AM860" s="233">
        <f>'F5 - Cost Pressures'!AB21</f>
        <v>0</v>
      </c>
      <c r="AN860" s="233">
        <f>'F5 - Cost Pressures'!AC21</f>
        <v>0</v>
      </c>
    </row>
    <row r="861" spans="1:40">
      <c r="A861" s="234" t="str">
        <f>'Front Sheet and Checklist'!$C$5</f>
        <v>Swansea Bay UHB</v>
      </c>
      <c r="B861" s="234" t="s">
        <v>374</v>
      </c>
      <c r="C861" s="234" t="str">
        <f t="shared" si="560"/>
        <v>Macro Economic Inflation</v>
      </c>
      <c r="D861" s="234">
        <f t="shared" si="560"/>
        <v>0</v>
      </c>
      <c r="E861" s="234" t="s">
        <v>385</v>
      </c>
      <c r="F861" s="234">
        <f>'F5 - Cost Pressures'!B580</f>
        <v>0</v>
      </c>
      <c r="AM861" s="233">
        <f>'F5 - Cost Pressures'!AB22</f>
        <v>0</v>
      </c>
      <c r="AN861" s="233">
        <f>'F5 - Cost Pressures'!AC22</f>
        <v>0</v>
      </c>
    </row>
    <row r="862" spans="1:40">
      <c r="A862" s="234" t="str">
        <f>'Front Sheet and Checklist'!$C$5</f>
        <v>Swansea Bay UHB</v>
      </c>
      <c r="B862" s="234" t="s">
        <v>374</v>
      </c>
      <c r="C862" s="234" t="str">
        <f t="shared" si="560"/>
        <v>Macro Economic Inflation</v>
      </c>
      <c r="D862" s="234">
        <f t="shared" si="560"/>
        <v>0</v>
      </c>
      <c r="E862" s="234" t="s">
        <v>385</v>
      </c>
      <c r="F862" s="234">
        <f>'F5 - Cost Pressures'!B581</f>
        <v>0</v>
      </c>
      <c r="AM862" s="233">
        <f>'F5 - Cost Pressures'!AB23</f>
        <v>0</v>
      </c>
      <c r="AN862" s="233">
        <f>'F5 - Cost Pressures'!AC23</f>
        <v>0</v>
      </c>
    </row>
    <row r="863" spans="1:40">
      <c r="A863" s="234" t="str">
        <f>'Front Sheet and Checklist'!$C$5</f>
        <v>Swansea Bay UHB</v>
      </c>
      <c r="B863" s="234" t="s">
        <v>374</v>
      </c>
      <c r="C863" s="234" t="str">
        <f t="shared" ref="C863:D882" si="561">C801</f>
        <v>Macro Economic Inflation</v>
      </c>
      <c r="D863" s="234">
        <f t="shared" si="561"/>
        <v>0</v>
      </c>
      <c r="E863" s="234" t="s">
        <v>385</v>
      </c>
      <c r="F863" s="234">
        <f>'F5 - Cost Pressures'!B582</f>
        <v>0</v>
      </c>
      <c r="AM863" s="233">
        <f>'F5 - Cost Pressures'!AB24</f>
        <v>0</v>
      </c>
      <c r="AN863" s="233">
        <f>'F5 - Cost Pressures'!AC24</f>
        <v>0</v>
      </c>
    </row>
    <row r="864" spans="1:40">
      <c r="A864" s="234" t="str">
        <f>'Front Sheet and Checklist'!$C$5</f>
        <v>Swansea Bay UHB</v>
      </c>
      <c r="B864" s="234" t="s">
        <v>374</v>
      </c>
      <c r="C864" s="234" t="str">
        <f t="shared" si="561"/>
        <v>Macro Economic Inflation</v>
      </c>
      <c r="D864" s="234">
        <f t="shared" si="561"/>
        <v>0</v>
      </c>
      <c r="E864" s="234" t="s">
        <v>385</v>
      </c>
      <c r="F864" s="234">
        <f>'F5 - Cost Pressures'!B583</f>
        <v>0</v>
      </c>
      <c r="AM864" s="233">
        <f>'F5 - Cost Pressures'!AB25</f>
        <v>0</v>
      </c>
      <c r="AN864" s="233">
        <f>'F5 - Cost Pressures'!AC25</f>
        <v>0</v>
      </c>
    </row>
    <row r="865" spans="1:40">
      <c r="A865" s="234" t="str">
        <f>'Front Sheet and Checklist'!$C$5</f>
        <v>Swansea Bay UHB</v>
      </c>
      <c r="B865" s="234" t="s">
        <v>374</v>
      </c>
      <c r="C865" s="234" t="str">
        <f t="shared" si="561"/>
        <v>Macro Economic Inflation</v>
      </c>
      <c r="D865" s="234">
        <f t="shared" si="561"/>
        <v>0</v>
      </c>
      <c r="E865" s="234" t="s">
        <v>385</v>
      </c>
      <c r="F865" s="234">
        <f>'F5 - Cost Pressures'!B584</f>
        <v>0</v>
      </c>
      <c r="AM865" s="233">
        <f>'F5 - Cost Pressures'!AB26</f>
        <v>0</v>
      </c>
      <c r="AN865" s="233">
        <f>'F5 - Cost Pressures'!AC26</f>
        <v>0</v>
      </c>
    </row>
    <row r="866" spans="1:40">
      <c r="A866" s="234" t="str">
        <f>'Front Sheet and Checklist'!$C$5</f>
        <v>Swansea Bay UHB</v>
      </c>
      <c r="B866" s="234" t="s">
        <v>374</v>
      </c>
      <c r="C866" s="234" t="str">
        <f t="shared" si="561"/>
        <v>Macro Economic Inflation</v>
      </c>
      <c r="D866" s="234">
        <f t="shared" si="561"/>
        <v>0</v>
      </c>
      <c r="E866" s="234" t="s">
        <v>385</v>
      </c>
      <c r="F866" s="234">
        <f>'F5 - Cost Pressures'!B585</f>
        <v>0</v>
      </c>
      <c r="AM866" s="233">
        <f>'F5 - Cost Pressures'!AB27</f>
        <v>0</v>
      </c>
      <c r="AN866" s="233">
        <f>'F5 - Cost Pressures'!AC27</f>
        <v>0</v>
      </c>
    </row>
    <row r="867" spans="1:40">
      <c r="A867" s="234" t="str">
        <f>'Front Sheet and Checklist'!$C$5</f>
        <v>Swansea Bay UHB</v>
      </c>
      <c r="B867" s="234" t="s">
        <v>374</v>
      </c>
      <c r="C867" s="234" t="str">
        <f t="shared" si="561"/>
        <v>Macro Economic Inflation</v>
      </c>
      <c r="D867" s="234">
        <f t="shared" si="561"/>
        <v>0</v>
      </c>
      <c r="E867" s="234" t="s">
        <v>385</v>
      </c>
      <c r="F867" s="234">
        <f>'F5 - Cost Pressures'!B586</f>
        <v>0</v>
      </c>
      <c r="AM867" s="233">
        <f>'F5 - Cost Pressures'!AB28</f>
        <v>0</v>
      </c>
      <c r="AN867" s="233">
        <f>'F5 - Cost Pressures'!AC28</f>
        <v>0</v>
      </c>
    </row>
    <row r="868" spans="1:40">
      <c r="A868" s="234" t="str">
        <f>'Front Sheet and Checklist'!$C$5</f>
        <v>Swansea Bay UHB</v>
      </c>
      <c r="B868" s="234" t="s">
        <v>374</v>
      </c>
      <c r="C868" s="234" t="str">
        <f t="shared" si="561"/>
        <v>Macro Economic Inflation</v>
      </c>
      <c r="D868" s="234">
        <f t="shared" si="561"/>
        <v>0</v>
      </c>
      <c r="E868" s="234" t="s">
        <v>385</v>
      </c>
      <c r="F868" s="234">
        <f>'F5 - Cost Pressures'!B587</f>
        <v>0</v>
      </c>
      <c r="AM868" s="233">
        <f>'F5 - Cost Pressures'!AB29</f>
        <v>0</v>
      </c>
      <c r="AN868" s="233">
        <f>'F5 - Cost Pressures'!AC29</f>
        <v>0</v>
      </c>
    </row>
    <row r="869" spans="1:40">
      <c r="A869" s="234" t="str">
        <f>'Front Sheet and Checklist'!$C$5</f>
        <v>Swansea Bay UHB</v>
      </c>
      <c r="B869" s="234" t="s">
        <v>374</v>
      </c>
      <c r="C869" s="234" t="str">
        <f t="shared" si="561"/>
        <v>Macro Economic Inflation</v>
      </c>
      <c r="D869" s="234">
        <f t="shared" si="561"/>
        <v>0</v>
      </c>
      <c r="E869" s="234" t="s">
        <v>385</v>
      </c>
      <c r="F869" s="234">
        <f>'F5 - Cost Pressures'!B588</f>
        <v>0</v>
      </c>
      <c r="AM869" s="233">
        <f>'F5 - Cost Pressures'!AB30</f>
        <v>0</v>
      </c>
      <c r="AN869" s="233">
        <f>'F5 - Cost Pressures'!AC30</f>
        <v>0</v>
      </c>
    </row>
    <row r="870" spans="1:40">
      <c r="A870" s="234" t="str">
        <f>'Front Sheet and Checklist'!$C$5</f>
        <v>Swansea Bay UHB</v>
      </c>
      <c r="B870" s="234" t="s">
        <v>374</v>
      </c>
      <c r="C870" s="234" t="str">
        <f t="shared" si="561"/>
        <v>Macro Economic Inflation</v>
      </c>
      <c r="D870" s="234">
        <f t="shared" si="561"/>
        <v>0</v>
      </c>
      <c r="E870" s="234" t="s">
        <v>385</v>
      </c>
      <c r="F870" s="234">
        <f>'F5 - Cost Pressures'!B589</f>
        <v>0</v>
      </c>
      <c r="AM870" s="233">
        <f>'F5 - Cost Pressures'!AB31</f>
        <v>0</v>
      </c>
      <c r="AN870" s="233">
        <f>'F5 - Cost Pressures'!AC31</f>
        <v>0</v>
      </c>
    </row>
    <row r="871" spans="1:40">
      <c r="A871" s="234" t="str">
        <f>'Front Sheet and Checklist'!$C$5</f>
        <v>Swansea Bay UHB</v>
      </c>
      <c r="B871" s="234" t="s">
        <v>374</v>
      </c>
      <c r="C871" s="234" t="str">
        <f t="shared" si="561"/>
        <v>Contractual or unavoidable</v>
      </c>
      <c r="D871" s="234">
        <f t="shared" si="561"/>
        <v>0</v>
      </c>
      <c r="E871" s="234" t="s">
        <v>385</v>
      </c>
      <c r="F871" s="234">
        <f>'F5 - Cost Pressures'!B590</f>
        <v>0</v>
      </c>
      <c r="AM871" s="233">
        <f>'F5 - Cost Pressures'!AB32</f>
        <v>0</v>
      </c>
      <c r="AN871" s="233">
        <f>'F5 - Cost Pressures'!AC32</f>
        <v>0</v>
      </c>
    </row>
    <row r="872" spans="1:40">
      <c r="A872" s="234" t="str">
        <f>'Front Sheet and Checklist'!$C$5</f>
        <v>Swansea Bay UHB</v>
      </c>
      <c r="B872" s="234" t="s">
        <v>374</v>
      </c>
      <c r="C872" s="234" t="str">
        <f t="shared" si="561"/>
        <v>Contractual or unavoidable</v>
      </c>
      <c r="D872" s="234">
        <f t="shared" si="561"/>
        <v>0</v>
      </c>
      <c r="E872" s="234" t="s">
        <v>385</v>
      </c>
      <c r="F872" s="234">
        <f>'F5 - Cost Pressures'!B591</f>
        <v>0</v>
      </c>
      <c r="AM872" s="233">
        <f>'F5 - Cost Pressures'!AB33</f>
        <v>0</v>
      </c>
      <c r="AN872" s="233">
        <f>'F5 - Cost Pressures'!AC33</f>
        <v>0</v>
      </c>
    </row>
    <row r="873" spans="1:40">
      <c r="A873" s="234" t="str">
        <f>'Front Sheet and Checklist'!$C$5</f>
        <v>Swansea Bay UHB</v>
      </c>
      <c r="B873" s="234" t="s">
        <v>374</v>
      </c>
      <c r="C873" s="234">
        <f t="shared" si="561"/>
        <v>0</v>
      </c>
      <c r="D873" s="234">
        <f t="shared" si="561"/>
        <v>0</v>
      </c>
      <c r="E873" s="234" t="s">
        <v>385</v>
      </c>
      <c r="F873" s="234">
        <f>'F5 - Cost Pressures'!B592</f>
        <v>0</v>
      </c>
      <c r="AM873" s="233">
        <f>'F5 - Cost Pressures'!AB34</f>
        <v>0</v>
      </c>
      <c r="AN873" s="233">
        <f>'F5 - Cost Pressures'!AC34</f>
        <v>0</v>
      </c>
    </row>
    <row r="874" spans="1:40">
      <c r="A874" s="234" t="str">
        <f>'Front Sheet and Checklist'!$C$5</f>
        <v>Swansea Bay UHB</v>
      </c>
      <c r="B874" s="234" t="s">
        <v>374</v>
      </c>
      <c r="C874" s="234">
        <f t="shared" si="561"/>
        <v>0</v>
      </c>
      <c r="D874" s="234">
        <f t="shared" si="561"/>
        <v>0</v>
      </c>
      <c r="E874" s="234" t="s">
        <v>385</v>
      </c>
      <c r="F874" s="234">
        <f>'F5 - Cost Pressures'!B593</f>
        <v>0</v>
      </c>
      <c r="AM874" s="233">
        <f>'F5 - Cost Pressures'!AB35</f>
        <v>0</v>
      </c>
      <c r="AN874" s="233">
        <f>'F5 - Cost Pressures'!AC35</f>
        <v>0</v>
      </c>
    </row>
    <row r="875" spans="1:40">
      <c r="A875" s="234" t="str">
        <f>'Front Sheet and Checklist'!$C$5</f>
        <v>Swansea Bay UHB</v>
      </c>
      <c r="B875" s="234" t="s">
        <v>374</v>
      </c>
      <c r="C875" s="234">
        <f t="shared" si="561"/>
        <v>0</v>
      </c>
      <c r="D875" s="234">
        <f t="shared" si="561"/>
        <v>0</v>
      </c>
      <c r="E875" s="234" t="s">
        <v>385</v>
      </c>
      <c r="F875" s="234">
        <f>'F5 - Cost Pressures'!B594</f>
        <v>0</v>
      </c>
      <c r="AM875" s="233">
        <f>'F5 - Cost Pressures'!AB36</f>
        <v>0</v>
      </c>
      <c r="AN875" s="233">
        <f>'F5 - Cost Pressures'!AC36</f>
        <v>0</v>
      </c>
    </row>
    <row r="876" spans="1:40">
      <c r="A876" s="234" t="str">
        <f>'Front Sheet and Checklist'!$C$5</f>
        <v>Swansea Bay UHB</v>
      </c>
      <c r="B876" s="234" t="s">
        <v>374</v>
      </c>
      <c r="C876" s="234" t="str">
        <f t="shared" si="561"/>
        <v>Macro Economic Inflation</v>
      </c>
      <c r="D876" s="234">
        <f t="shared" si="561"/>
        <v>0</v>
      </c>
      <c r="E876" s="234" t="s">
        <v>385</v>
      </c>
      <c r="F876" s="234">
        <f>'F5 - Cost Pressures'!B595</f>
        <v>0</v>
      </c>
      <c r="AM876" s="233">
        <f>'F5 - Cost Pressures'!AB37</f>
        <v>0</v>
      </c>
      <c r="AN876" s="233">
        <f>'F5 - Cost Pressures'!AC37</f>
        <v>0</v>
      </c>
    </row>
    <row r="877" spans="1:40">
      <c r="A877" s="234" t="str">
        <f>'Front Sheet and Checklist'!$C$5</f>
        <v>Swansea Bay UHB</v>
      </c>
      <c r="B877" s="234" t="s">
        <v>374</v>
      </c>
      <c r="C877" s="234" t="str">
        <f t="shared" si="561"/>
        <v>Macro Economic Inflation</v>
      </c>
      <c r="D877" s="234">
        <f t="shared" si="561"/>
        <v>0</v>
      </c>
      <c r="E877" s="234" t="s">
        <v>385</v>
      </c>
      <c r="F877" s="234">
        <f>'F5 - Cost Pressures'!B596</f>
        <v>0</v>
      </c>
      <c r="AM877" s="233">
        <f>'F5 - Cost Pressures'!AB38</f>
        <v>0</v>
      </c>
      <c r="AN877" s="233">
        <f>'F5 - Cost Pressures'!AC38</f>
        <v>0</v>
      </c>
    </row>
    <row r="878" spans="1:40">
      <c r="A878" s="234" t="str">
        <f>'Front Sheet and Checklist'!$C$5</f>
        <v>Swansea Bay UHB</v>
      </c>
      <c r="B878" s="234" t="s">
        <v>374</v>
      </c>
      <c r="C878" s="234" t="str">
        <f t="shared" si="561"/>
        <v>Macro Economic Inflation</v>
      </c>
      <c r="D878" s="234">
        <f t="shared" si="561"/>
        <v>0</v>
      </c>
      <c r="E878" s="234" t="s">
        <v>385</v>
      </c>
      <c r="F878" s="234">
        <f>'F5 - Cost Pressures'!B597</f>
        <v>0</v>
      </c>
      <c r="AM878" s="233">
        <f>'F5 - Cost Pressures'!AB39</f>
        <v>0</v>
      </c>
      <c r="AN878" s="233">
        <f>'F5 - Cost Pressures'!AC39</f>
        <v>0</v>
      </c>
    </row>
    <row r="879" spans="1:40">
      <c r="A879" s="234" t="str">
        <f>'Front Sheet and Checklist'!$C$5</f>
        <v>Swansea Bay UHB</v>
      </c>
      <c r="B879" s="234" t="s">
        <v>374</v>
      </c>
      <c r="C879" s="234" t="str">
        <f t="shared" si="561"/>
        <v>Macro Economic Inflation</v>
      </c>
      <c r="D879" s="234">
        <f t="shared" si="561"/>
        <v>0</v>
      </c>
      <c r="E879" s="234" t="s">
        <v>385</v>
      </c>
      <c r="F879" s="234">
        <f>'F5 - Cost Pressures'!B598</f>
        <v>0</v>
      </c>
      <c r="AM879" s="233">
        <f>'F5 - Cost Pressures'!AB40</f>
        <v>0</v>
      </c>
      <c r="AN879" s="233">
        <f>'F5 - Cost Pressures'!AC40</f>
        <v>0</v>
      </c>
    </row>
    <row r="880" spans="1:40">
      <c r="A880" s="234" t="str">
        <f>'Front Sheet and Checklist'!$C$5</f>
        <v>Swansea Bay UHB</v>
      </c>
      <c r="B880" s="234" t="s">
        <v>374</v>
      </c>
      <c r="C880" s="234" t="str">
        <f t="shared" si="561"/>
        <v>Local Investment Decisions</v>
      </c>
      <c r="D880" s="234">
        <f t="shared" si="561"/>
        <v>0</v>
      </c>
      <c r="E880" s="234" t="s">
        <v>385</v>
      </c>
      <c r="F880" s="234">
        <f>'F5 - Cost Pressures'!B599</f>
        <v>0</v>
      </c>
      <c r="AM880" s="233">
        <f>'F5 - Cost Pressures'!AB41</f>
        <v>0</v>
      </c>
      <c r="AN880" s="233">
        <f>'F5 - Cost Pressures'!AC41</f>
        <v>0</v>
      </c>
    </row>
    <row r="881" spans="1:40">
      <c r="A881" s="234" t="str">
        <f>'Front Sheet and Checklist'!$C$5</f>
        <v>Swansea Bay UHB</v>
      </c>
      <c r="B881" s="234" t="s">
        <v>374</v>
      </c>
      <c r="C881" s="234" t="str">
        <f t="shared" si="561"/>
        <v>Local Investment Decisions</v>
      </c>
      <c r="D881" s="234">
        <f t="shared" si="561"/>
        <v>0</v>
      </c>
      <c r="E881" s="234" t="s">
        <v>385</v>
      </c>
      <c r="F881" s="234">
        <f>'F5 - Cost Pressures'!B600</f>
        <v>0</v>
      </c>
      <c r="AM881" s="233">
        <f>'F5 - Cost Pressures'!AB42</f>
        <v>0</v>
      </c>
      <c r="AN881" s="233">
        <f>'F5 - Cost Pressures'!AC42</f>
        <v>0</v>
      </c>
    </row>
    <row r="882" spans="1:40">
      <c r="A882" s="234" t="str">
        <f>'Front Sheet and Checklist'!$C$5</f>
        <v>Swansea Bay UHB</v>
      </c>
      <c r="B882" s="234" t="s">
        <v>374</v>
      </c>
      <c r="C882" s="234" t="str">
        <f t="shared" si="561"/>
        <v>Local Investment Decisions</v>
      </c>
      <c r="D882" s="234">
        <f t="shared" si="561"/>
        <v>0</v>
      </c>
      <c r="E882" s="234" t="s">
        <v>385</v>
      </c>
      <c r="F882" s="234">
        <f>'F5 - Cost Pressures'!B601</f>
        <v>0</v>
      </c>
      <c r="AM882" s="233">
        <f>'F5 - Cost Pressures'!AB43</f>
        <v>0</v>
      </c>
      <c r="AN882" s="233">
        <f>'F5 - Cost Pressures'!AC43</f>
        <v>0</v>
      </c>
    </row>
    <row r="883" spans="1:40">
      <c r="A883" s="234" t="str">
        <f>'Front Sheet and Checklist'!$C$5</f>
        <v>Swansea Bay UHB</v>
      </c>
      <c r="B883" s="234" t="s">
        <v>374</v>
      </c>
      <c r="C883" s="234" t="str">
        <f t="shared" ref="C883:D902" si="562">C821</f>
        <v>Local Investment Decisions</v>
      </c>
      <c r="D883" s="234">
        <f t="shared" si="562"/>
        <v>0</v>
      </c>
      <c r="E883" s="234" t="s">
        <v>385</v>
      </c>
      <c r="F883" s="234">
        <f>'F5 - Cost Pressures'!B602</f>
        <v>0</v>
      </c>
      <c r="AM883" s="233">
        <f>'F5 - Cost Pressures'!AB44</f>
        <v>0</v>
      </c>
      <c r="AN883" s="233">
        <f>'F5 - Cost Pressures'!AC44</f>
        <v>0</v>
      </c>
    </row>
    <row r="884" spans="1:40">
      <c r="A884" s="234" t="str">
        <f>'Front Sheet and Checklist'!$C$5</f>
        <v>Swansea Bay UHB</v>
      </c>
      <c r="B884" s="234" t="s">
        <v>374</v>
      </c>
      <c r="C884" s="234" t="str">
        <f t="shared" si="562"/>
        <v>Local Investment Decisions</v>
      </c>
      <c r="D884" s="234">
        <f t="shared" si="562"/>
        <v>0</v>
      </c>
      <c r="E884" s="234" t="s">
        <v>385</v>
      </c>
      <c r="F884" s="234">
        <f>'F5 - Cost Pressures'!B603</f>
        <v>0</v>
      </c>
      <c r="AM884" s="233">
        <f>'F5 - Cost Pressures'!AB45</f>
        <v>0</v>
      </c>
      <c r="AN884" s="233">
        <f>'F5 - Cost Pressures'!AC45</f>
        <v>0</v>
      </c>
    </row>
    <row r="885" spans="1:40">
      <c r="A885" s="234" t="str">
        <f>'Front Sheet and Checklist'!$C$5</f>
        <v>Swansea Bay UHB</v>
      </c>
      <c r="B885" s="234" t="s">
        <v>374</v>
      </c>
      <c r="C885" s="234" t="str">
        <f t="shared" si="562"/>
        <v>Local Investment Decisions</v>
      </c>
      <c r="D885" s="234">
        <f t="shared" si="562"/>
        <v>0</v>
      </c>
      <c r="E885" s="234" t="s">
        <v>385</v>
      </c>
      <c r="F885" s="234">
        <f>'F5 - Cost Pressures'!B604</f>
        <v>0</v>
      </c>
      <c r="AM885" s="233">
        <f>'F5 - Cost Pressures'!AB46</f>
        <v>0</v>
      </c>
      <c r="AN885" s="233">
        <f>'F5 - Cost Pressures'!AC46</f>
        <v>0</v>
      </c>
    </row>
    <row r="886" spans="1:40">
      <c r="A886" s="234" t="str">
        <f>'Front Sheet and Checklist'!$C$5</f>
        <v>Swansea Bay UHB</v>
      </c>
      <c r="B886" s="234" t="s">
        <v>374</v>
      </c>
      <c r="C886" s="234" t="str">
        <f t="shared" si="562"/>
        <v>Local Investment Decisions</v>
      </c>
      <c r="D886" s="234">
        <f t="shared" si="562"/>
        <v>0</v>
      </c>
      <c r="E886" s="234" t="s">
        <v>385</v>
      </c>
      <c r="F886" s="234">
        <f>'F5 - Cost Pressures'!B605</f>
        <v>0</v>
      </c>
      <c r="AM886" s="233">
        <f>'F5 - Cost Pressures'!AB47</f>
        <v>0</v>
      </c>
      <c r="AN886" s="233">
        <f>'F5 - Cost Pressures'!AC47</f>
        <v>0</v>
      </c>
    </row>
    <row r="887" spans="1:40">
      <c r="A887" s="234" t="str">
        <f>'Front Sheet and Checklist'!$C$5</f>
        <v>Swansea Bay UHB</v>
      </c>
      <c r="B887" s="234" t="s">
        <v>374</v>
      </c>
      <c r="C887" s="234" t="str">
        <f t="shared" si="562"/>
        <v>Local Investment Decisions</v>
      </c>
      <c r="D887" s="234">
        <f t="shared" si="562"/>
        <v>0</v>
      </c>
      <c r="E887" s="234" t="s">
        <v>385</v>
      </c>
      <c r="F887" s="234">
        <f>'F5 - Cost Pressures'!B606</f>
        <v>0</v>
      </c>
      <c r="AM887" s="233">
        <f>'F5 - Cost Pressures'!AB48</f>
        <v>0</v>
      </c>
      <c r="AN887" s="233">
        <f>'F5 - Cost Pressures'!AC48</f>
        <v>0</v>
      </c>
    </row>
    <row r="888" spans="1:40">
      <c r="A888" s="234" t="str">
        <f>'Front Sheet and Checklist'!$C$5</f>
        <v>Swansea Bay UHB</v>
      </c>
      <c r="B888" s="234" t="s">
        <v>374</v>
      </c>
      <c r="C888" s="234" t="str">
        <f t="shared" si="562"/>
        <v>Local Investment Decisions</v>
      </c>
      <c r="D888" s="234">
        <f t="shared" si="562"/>
        <v>0</v>
      </c>
      <c r="E888" s="234" t="s">
        <v>385</v>
      </c>
      <c r="F888" s="234">
        <f>'F5 - Cost Pressures'!B607</f>
        <v>0</v>
      </c>
      <c r="AM888" s="233">
        <f>'F5 - Cost Pressures'!AB49</f>
        <v>0</v>
      </c>
      <c r="AN888" s="233">
        <f>'F5 - Cost Pressures'!AC49</f>
        <v>0</v>
      </c>
    </row>
    <row r="889" spans="1:40">
      <c r="A889" s="234" t="str">
        <f>'Front Sheet and Checklist'!$C$5</f>
        <v>Swansea Bay UHB</v>
      </c>
      <c r="B889" s="234" t="s">
        <v>374</v>
      </c>
      <c r="C889" s="234" t="str">
        <f t="shared" si="562"/>
        <v>Local Investment Decisions</v>
      </c>
      <c r="D889" s="234">
        <f t="shared" si="562"/>
        <v>0</v>
      </c>
      <c r="E889" s="234" t="s">
        <v>385</v>
      </c>
      <c r="F889" s="234">
        <f>'F5 - Cost Pressures'!B608</f>
        <v>0</v>
      </c>
      <c r="AM889" s="233">
        <f>'F5 - Cost Pressures'!AB50</f>
        <v>0</v>
      </c>
      <c r="AN889" s="233">
        <f>'F5 - Cost Pressures'!AC50</f>
        <v>0</v>
      </c>
    </row>
    <row r="890" spans="1:40">
      <c r="A890" s="234" t="str">
        <f>'Front Sheet and Checklist'!$C$5</f>
        <v>Swansea Bay UHB</v>
      </c>
      <c r="B890" s="234" t="s">
        <v>374</v>
      </c>
      <c r="C890" s="234" t="str">
        <f t="shared" si="562"/>
        <v>Contractual or unavoidable</v>
      </c>
      <c r="D890" s="234">
        <f t="shared" si="562"/>
        <v>0</v>
      </c>
      <c r="E890" s="234" t="s">
        <v>385</v>
      </c>
      <c r="F890" s="234">
        <f>'F5 - Cost Pressures'!B609</f>
        <v>0</v>
      </c>
      <c r="AM890" s="233">
        <f>'F5 - Cost Pressures'!AB51</f>
        <v>0</v>
      </c>
      <c r="AN890" s="233">
        <f>'F5 - Cost Pressures'!AC51</f>
        <v>0</v>
      </c>
    </row>
    <row r="891" spans="1:40">
      <c r="A891" s="234" t="str">
        <f>'Front Sheet and Checklist'!$C$5</f>
        <v>Swansea Bay UHB</v>
      </c>
      <c r="B891" s="234" t="s">
        <v>374</v>
      </c>
      <c r="C891" s="234">
        <f t="shared" si="562"/>
        <v>0</v>
      </c>
      <c r="D891" s="234">
        <f t="shared" si="562"/>
        <v>0</v>
      </c>
      <c r="E891" s="234" t="s">
        <v>385</v>
      </c>
      <c r="F891" s="234">
        <f>'F5 - Cost Pressures'!B610</f>
        <v>0</v>
      </c>
      <c r="AM891" s="233">
        <f>'F5 - Cost Pressures'!AB52</f>
        <v>0</v>
      </c>
      <c r="AN891" s="233">
        <f>'F5 - Cost Pressures'!AC52</f>
        <v>0</v>
      </c>
    </row>
    <row r="892" spans="1:40">
      <c r="A892" s="234" t="str">
        <f>'Front Sheet and Checklist'!$C$5</f>
        <v>Swansea Bay UHB</v>
      </c>
      <c r="B892" s="234" t="s">
        <v>374</v>
      </c>
      <c r="C892" s="234">
        <f t="shared" si="562"/>
        <v>0</v>
      </c>
      <c r="D892" s="234">
        <f t="shared" si="562"/>
        <v>0</v>
      </c>
      <c r="E892" s="234" t="s">
        <v>385</v>
      </c>
      <c r="F892" s="234">
        <f>'F5 - Cost Pressures'!B611</f>
        <v>0</v>
      </c>
      <c r="AM892" s="233">
        <f>'F5 - Cost Pressures'!AB53</f>
        <v>0</v>
      </c>
      <c r="AN892" s="233">
        <f>'F5 - Cost Pressures'!AC53</f>
        <v>0</v>
      </c>
    </row>
    <row r="893" spans="1:40">
      <c r="A893" s="234" t="str">
        <f>'Front Sheet and Checklist'!$C$5</f>
        <v>Swansea Bay UHB</v>
      </c>
      <c r="B893" s="234" t="s">
        <v>374</v>
      </c>
      <c r="C893" s="234">
        <f t="shared" si="562"/>
        <v>0</v>
      </c>
      <c r="D893" s="234">
        <f t="shared" si="562"/>
        <v>0</v>
      </c>
      <c r="E893" s="234" t="s">
        <v>385</v>
      </c>
      <c r="F893" s="234">
        <f>'F5 - Cost Pressures'!B612</f>
        <v>0</v>
      </c>
      <c r="AM893" s="233">
        <f>'F5 - Cost Pressures'!AB54</f>
        <v>0</v>
      </c>
      <c r="AN893" s="233">
        <f>'F5 - Cost Pressures'!AC54</f>
        <v>0</v>
      </c>
    </row>
    <row r="894" spans="1:40">
      <c r="A894" s="234" t="str">
        <f>'Front Sheet and Checklist'!$C$5</f>
        <v>Swansea Bay UHB</v>
      </c>
      <c r="B894" s="234" t="s">
        <v>374</v>
      </c>
      <c r="C894" s="234">
        <f t="shared" si="562"/>
        <v>0</v>
      </c>
      <c r="D894" s="234">
        <f t="shared" si="562"/>
        <v>0</v>
      </c>
      <c r="E894" s="234" t="s">
        <v>385</v>
      </c>
      <c r="F894" s="234">
        <f>'F5 - Cost Pressures'!B613</f>
        <v>0</v>
      </c>
      <c r="AM894" s="233">
        <f>'F5 - Cost Pressures'!AB55</f>
        <v>0</v>
      </c>
      <c r="AN894" s="233">
        <f>'F5 - Cost Pressures'!AC55</f>
        <v>0</v>
      </c>
    </row>
    <row r="895" spans="1:40">
      <c r="A895" s="234" t="str">
        <f>'Front Sheet and Checklist'!$C$5</f>
        <v>Swansea Bay UHB</v>
      </c>
      <c r="B895" s="234" t="s">
        <v>374</v>
      </c>
      <c r="C895" s="234">
        <f t="shared" si="562"/>
        <v>0</v>
      </c>
      <c r="D895" s="234">
        <f t="shared" si="562"/>
        <v>0</v>
      </c>
      <c r="E895" s="234" t="s">
        <v>385</v>
      </c>
      <c r="F895" s="234">
        <f>'F5 - Cost Pressures'!B614</f>
        <v>0</v>
      </c>
      <c r="AM895" s="233">
        <f>'F5 - Cost Pressures'!AB56</f>
        <v>0</v>
      </c>
      <c r="AN895" s="233">
        <f>'F5 - Cost Pressures'!AC56</f>
        <v>0</v>
      </c>
    </row>
    <row r="896" spans="1:40">
      <c r="A896" s="234" t="str">
        <f>'Front Sheet and Checklist'!$C$5</f>
        <v>Swansea Bay UHB</v>
      </c>
      <c r="B896" s="234" t="s">
        <v>374</v>
      </c>
      <c r="C896" s="234">
        <f t="shared" si="562"/>
        <v>0</v>
      </c>
      <c r="D896" s="234">
        <f t="shared" si="562"/>
        <v>0</v>
      </c>
      <c r="E896" s="234" t="s">
        <v>385</v>
      </c>
      <c r="F896" s="234">
        <f>'F5 - Cost Pressures'!B615</f>
        <v>0</v>
      </c>
      <c r="AM896" s="233">
        <f>'F5 - Cost Pressures'!AB57</f>
        <v>0</v>
      </c>
      <c r="AN896" s="233">
        <f>'F5 - Cost Pressures'!AC57</f>
        <v>0</v>
      </c>
    </row>
    <row r="897" spans="1:40">
      <c r="A897" s="234" t="str">
        <f>'Front Sheet and Checklist'!$C$5</f>
        <v>Swansea Bay UHB</v>
      </c>
      <c r="B897" s="234" t="s">
        <v>374</v>
      </c>
      <c r="C897" s="234">
        <f t="shared" si="562"/>
        <v>0</v>
      </c>
      <c r="D897" s="234">
        <f t="shared" si="562"/>
        <v>0</v>
      </c>
      <c r="E897" s="234" t="s">
        <v>385</v>
      </c>
      <c r="F897" s="234">
        <f>'F5 - Cost Pressures'!B616</f>
        <v>0</v>
      </c>
      <c r="AM897" s="233">
        <f>'F5 - Cost Pressures'!AB58</f>
        <v>0</v>
      </c>
      <c r="AN897" s="233">
        <f>'F5 - Cost Pressures'!AC58</f>
        <v>0</v>
      </c>
    </row>
    <row r="898" spans="1:40">
      <c r="A898" s="234" t="str">
        <f>'Front Sheet and Checklist'!$C$5</f>
        <v>Swansea Bay UHB</v>
      </c>
      <c r="B898" s="234" t="s">
        <v>374</v>
      </c>
      <c r="C898" s="234">
        <f t="shared" si="562"/>
        <v>0</v>
      </c>
      <c r="D898" s="234">
        <f t="shared" si="562"/>
        <v>0</v>
      </c>
      <c r="E898" s="234" t="s">
        <v>385</v>
      </c>
      <c r="F898" s="234">
        <f>'F5 - Cost Pressures'!B617</f>
        <v>0</v>
      </c>
      <c r="AM898" s="233">
        <f>'F5 - Cost Pressures'!AB59</f>
        <v>0</v>
      </c>
      <c r="AN898" s="233">
        <f>'F5 - Cost Pressures'!AC59</f>
        <v>0</v>
      </c>
    </row>
    <row r="899" spans="1:40">
      <c r="A899" s="234" t="str">
        <f>'Front Sheet and Checklist'!$C$5</f>
        <v>Swansea Bay UHB</v>
      </c>
      <c r="B899" s="234" t="s">
        <v>374</v>
      </c>
      <c r="C899" s="234">
        <f t="shared" si="562"/>
        <v>0</v>
      </c>
      <c r="D899" s="234">
        <f t="shared" si="562"/>
        <v>0</v>
      </c>
      <c r="E899" s="234" t="s">
        <v>385</v>
      </c>
      <c r="F899" s="234">
        <f>'F5 - Cost Pressures'!B618</f>
        <v>0</v>
      </c>
      <c r="AM899" s="233">
        <f>'F5 - Cost Pressures'!AB60</f>
        <v>0</v>
      </c>
      <c r="AN899" s="233">
        <f>'F5 - Cost Pressures'!AC60</f>
        <v>0</v>
      </c>
    </row>
    <row r="900" spans="1:40">
      <c r="A900" s="234" t="str">
        <f>'Front Sheet and Checklist'!$C$5</f>
        <v>Swansea Bay UHB</v>
      </c>
      <c r="B900" s="234" t="s">
        <v>374</v>
      </c>
      <c r="C900" s="234">
        <f t="shared" si="562"/>
        <v>0</v>
      </c>
      <c r="D900" s="234">
        <f t="shared" si="562"/>
        <v>0</v>
      </c>
      <c r="E900" s="234" t="s">
        <v>385</v>
      </c>
      <c r="F900" s="234">
        <f>'F5 - Cost Pressures'!B619</f>
        <v>0</v>
      </c>
      <c r="AM900" s="233">
        <f>'F5 - Cost Pressures'!AB61</f>
        <v>0</v>
      </c>
      <c r="AN900" s="233">
        <f>'F5 - Cost Pressures'!AC61</f>
        <v>0</v>
      </c>
    </row>
    <row r="901" spans="1:40">
      <c r="A901" s="234" t="str">
        <f>'Front Sheet and Checklist'!$C$5</f>
        <v>Swansea Bay UHB</v>
      </c>
      <c r="B901" s="234" t="s">
        <v>374</v>
      </c>
      <c r="C901" s="234">
        <f t="shared" si="562"/>
        <v>0</v>
      </c>
      <c r="D901" s="234">
        <f t="shared" si="562"/>
        <v>0</v>
      </c>
      <c r="E901" s="234" t="s">
        <v>385</v>
      </c>
      <c r="F901" s="234">
        <f>'F5 - Cost Pressures'!B620</f>
        <v>0</v>
      </c>
      <c r="AM901" s="233">
        <f>'F5 - Cost Pressures'!AB62</f>
        <v>0</v>
      </c>
      <c r="AN901" s="233">
        <f>'F5 - Cost Pressures'!AC62</f>
        <v>0</v>
      </c>
    </row>
    <row r="902" spans="1:40">
      <c r="A902" s="234" t="str">
        <f>'Front Sheet and Checklist'!$C$5</f>
        <v>Swansea Bay UHB</v>
      </c>
      <c r="B902" s="234" t="s">
        <v>374</v>
      </c>
      <c r="C902" s="234">
        <f t="shared" si="562"/>
        <v>0</v>
      </c>
      <c r="D902" s="234">
        <f t="shared" si="562"/>
        <v>0</v>
      </c>
      <c r="E902" s="234" t="s">
        <v>385</v>
      </c>
      <c r="F902" s="234">
        <f>'F5 - Cost Pressures'!B621</f>
        <v>0</v>
      </c>
      <c r="AM902" s="233">
        <f>'F5 - Cost Pressures'!AB63</f>
        <v>0</v>
      </c>
      <c r="AN902" s="233">
        <f>'F5 - Cost Pressures'!AC63</f>
        <v>0</v>
      </c>
    </row>
    <row r="903" spans="1:40">
      <c r="A903" s="234" t="str">
        <f>'Front Sheet and Checklist'!$C$5</f>
        <v>Swansea Bay UHB</v>
      </c>
      <c r="B903" s="234" t="s">
        <v>374</v>
      </c>
      <c r="C903" s="234">
        <f t="shared" ref="C903:D904" si="563">C841</f>
        <v>0</v>
      </c>
      <c r="D903" s="234">
        <f t="shared" si="563"/>
        <v>0</v>
      </c>
      <c r="E903" s="234" t="s">
        <v>385</v>
      </c>
      <c r="F903" s="234">
        <f>'F5 - Cost Pressures'!B622</f>
        <v>0</v>
      </c>
      <c r="AM903" s="233">
        <f>'F5 - Cost Pressures'!AB64</f>
        <v>0</v>
      </c>
      <c r="AN903" s="233">
        <f>'F5 - Cost Pressures'!AC64</f>
        <v>0</v>
      </c>
    </row>
    <row r="904" spans="1:40">
      <c r="A904" s="234" t="str">
        <f>'Front Sheet and Checklist'!$C$5</f>
        <v>Swansea Bay UHB</v>
      </c>
      <c r="B904" s="234" t="s">
        <v>374</v>
      </c>
      <c r="C904" s="234">
        <f t="shared" si="563"/>
        <v>0</v>
      </c>
      <c r="D904" s="234">
        <f t="shared" si="563"/>
        <v>0</v>
      </c>
      <c r="E904" s="234" t="s">
        <v>385</v>
      </c>
      <c r="F904" s="234">
        <f>'F5 - Cost Pressures'!B623</f>
        <v>0</v>
      </c>
      <c r="AM904" s="233">
        <f>'F5 - Cost Pressures'!AB65</f>
        <v>0</v>
      </c>
      <c r="AN904" s="233">
        <f>'F5 - Cost Pressures'!AC65</f>
        <v>0</v>
      </c>
    </row>
    <row r="905" spans="1:40">
      <c r="A905" s="234" t="str">
        <f>'Front Sheet and Checklist'!$C$5</f>
        <v>Swansea Bay UHB</v>
      </c>
      <c r="B905" s="234" t="s">
        <v>374</v>
      </c>
      <c r="C905" s="234" t="str">
        <f t="shared" ref="C905:D905" si="564">C781</f>
        <v>Macro Economic Inflation</v>
      </c>
      <c r="D905" s="234" t="str">
        <f t="shared" si="564"/>
        <v>7. Non Clinical Support</v>
      </c>
      <c r="E905" s="234" t="s">
        <v>268</v>
      </c>
      <c r="F905" s="234">
        <f>'F5 - Cost Pressures'!B562</f>
        <v>0</v>
      </c>
      <c r="AM905" s="233">
        <f>'F5 - Cost Pressures'!E4</f>
        <v>0</v>
      </c>
      <c r="AN905" s="233">
        <f>'F5 - Cost Pressures'!F4</f>
        <v>0</v>
      </c>
    </row>
    <row r="906" spans="1:40">
      <c r="A906" s="234" t="str">
        <f>'Front Sheet and Checklist'!$C$5</f>
        <v>Swansea Bay UHB</v>
      </c>
      <c r="B906" s="234" t="s">
        <v>374</v>
      </c>
      <c r="C906" s="234" t="str">
        <f t="shared" ref="C906:D906" si="565">C782</f>
        <v>Macro Economic Inflation</v>
      </c>
      <c r="D906" s="234" t="str">
        <f t="shared" si="565"/>
        <v>8. Across Service Areas</v>
      </c>
      <c r="E906" s="234" t="s">
        <v>268</v>
      </c>
      <c r="F906" s="234">
        <f>'F5 - Cost Pressures'!B563</f>
        <v>0</v>
      </c>
      <c r="AM906" s="233">
        <f>'F5 - Cost Pressures'!E5</f>
        <v>0</v>
      </c>
      <c r="AN906" s="233">
        <f>'F5 - Cost Pressures'!F5</f>
        <v>0</v>
      </c>
    </row>
    <row r="907" spans="1:40">
      <c r="A907" s="234" t="str">
        <f>'Front Sheet and Checklist'!$C$5</f>
        <v>Swansea Bay UHB</v>
      </c>
      <c r="B907" s="234" t="s">
        <v>374</v>
      </c>
      <c r="C907" s="234" t="str">
        <f t="shared" ref="C907:D907" si="566">C783</f>
        <v>National Investment Decisions</v>
      </c>
      <c r="D907" s="234" t="str">
        <f t="shared" si="566"/>
        <v>1. Secondary Care (In-house) - General</v>
      </c>
      <c r="E907" s="234" t="s">
        <v>268</v>
      </c>
      <c r="F907" s="234">
        <f>'F5 - Cost Pressures'!B564</f>
        <v>0</v>
      </c>
      <c r="AM907" s="233">
        <f>'F5 - Cost Pressures'!E6</f>
        <v>0</v>
      </c>
      <c r="AN907" s="233">
        <f>'F5 - Cost Pressures'!F6</f>
        <v>0</v>
      </c>
    </row>
    <row r="908" spans="1:40">
      <c r="A908" s="234" t="str">
        <f>'Front Sheet and Checklist'!$C$5</f>
        <v>Swansea Bay UHB</v>
      </c>
      <c r="B908" s="234" t="s">
        <v>374</v>
      </c>
      <c r="C908" s="234" t="str">
        <f t="shared" ref="C908:D908" si="567">C784</f>
        <v>National Investment Decisions</v>
      </c>
      <c r="D908" s="234" t="str">
        <f t="shared" si="567"/>
        <v>4. Commissioned Activity (inc. CHC)</v>
      </c>
      <c r="E908" s="234" t="s">
        <v>268</v>
      </c>
      <c r="F908" s="234">
        <f>'F5 - Cost Pressures'!B565</f>
        <v>0</v>
      </c>
      <c r="AM908" s="233">
        <f>'F5 - Cost Pressures'!E7</f>
        <v>0</v>
      </c>
      <c r="AN908" s="233">
        <f>'F5 - Cost Pressures'!F7</f>
        <v>0</v>
      </c>
    </row>
    <row r="909" spans="1:40">
      <c r="A909" s="234" t="str">
        <f>'Front Sheet and Checklist'!$C$5</f>
        <v>Swansea Bay UHB</v>
      </c>
      <c r="B909" s="234" t="s">
        <v>374</v>
      </c>
      <c r="C909" s="234" t="str">
        <f t="shared" ref="C909:D909" si="568">C785</f>
        <v>National Investment Decisions</v>
      </c>
      <c r="D909" s="234" t="str">
        <f t="shared" si="568"/>
        <v>3. Community Care</v>
      </c>
      <c r="E909" s="234" t="s">
        <v>268</v>
      </c>
      <c r="F909" s="234">
        <f>'F5 - Cost Pressures'!B566</f>
        <v>0</v>
      </c>
      <c r="AM909" s="233">
        <f>'F5 - Cost Pressures'!E8</f>
        <v>394.99</v>
      </c>
      <c r="AN909" s="233">
        <f>'F5 - Cost Pressures'!F8</f>
        <v>394.99</v>
      </c>
    </row>
    <row r="910" spans="1:40">
      <c r="A910" s="234" t="str">
        <f>'Front Sheet and Checklist'!$C$5</f>
        <v>Swansea Bay UHB</v>
      </c>
      <c r="B910" s="234" t="s">
        <v>374</v>
      </c>
      <c r="C910" s="234" t="str">
        <f t="shared" ref="C910:D910" si="569">C786</f>
        <v>National Investment Decisions</v>
      </c>
      <c r="D910" s="234" t="str">
        <f t="shared" si="569"/>
        <v>3. Community Care</v>
      </c>
      <c r="E910" s="234" t="s">
        <v>268</v>
      </c>
      <c r="F910" s="234">
        <f>'F5 - Cost Pressures'!B567</f>
        <v>0</v>
      </c>
      <c r="AM910" s="233">
        <f>'F5 - Cost Pressures'!E9</f>
        <v>500</v>
      </c>
      <c r="AN910" s="233">
        <f>'F5 - Cost Pressures'!F9</f>
        <v>500</v>
      </c>
    </row>
    <row r="911" spans="1:40">
      <c r="A911" s="234" t="str">
        <f>'Front Sheet and Checklist'!$C$5</f>
        <v>Swansea Bay UHB</v>
      </c>
      <c r="B911" s="234" t="s">
        <v>374</v>
      </c>
      <c r="C911" s="234" t="str">
        <f t="shared" ref="C911:D911" si="570">C787</f>
        <v>National Investment Decisions</v>
      </c>
      <c r="D911" s="234" t="str">
        <f t="shared" si="570"/>
        <v>4. Commissioned Activity (inc. CHC)</v>
      </c>
      <c r="E911" s="234" t="s">
        <v>268</v>
      </c>
      <c r="F911" s="234">
        <f>'F5 - Cost Pressures'!B568</f>
        <v>0</v>
      </c>
      <c r="AM911" s="233">
        <f>'F5 - Cost Pressures'!E10</f>
        <v>57.999999999999993</v>
      </c>
      <c r="AN911" s="233">
        <f>'F5 - Cost Pressures'!F10</f>
        <v>57.999999999999993</v>
      </c>
    </row>
    <row r="912" spans="1:40">
      <c r="A912" s="234" t="str">
        <f>'Front Sheet and Checklist'!$C$5</f>
        <v>Swansea Bay UHB</v>
      </c>
      <c r="B912" s="234" t="s">
        <v>374</v>
      </c>
      <c r="C912" s="234" t="str">
        <f t="shared" ref="C912:D912" si="571">C788</f>
        <v>National Investment Decisions</v>
      </c>
      <c r="D912" s="234">
        <f t="shared" si="571"/>
        <v>0</v>
      </c>
      <c r="E912" s="234" t="s">
        <v>268</v>
      </c>
      <c r="F912" s="234">
        <f>'F5 - Cost Pressures'!B569</f>
        <v>0</v>
      </c>
      <c r="AM912" s="233">
        <f>'F5 - Cost Pressures'!E11</f>
        <v>134.85900000000001</v>
      </c>
      <c r="AN912" s="233">
        <f>'F5 - Cost Pressures'!F11</f>
        <v>134.85900000000001</v>
      </c>
    </row>
    <row r="913" spans="1:40">
      <c r="A913" s="234" t="str">
        <f>'Front Sheet and Checklist'!$C$5</f>
        <v>Swansea Bay UHB</v>
      </c>
      <c r="B913" s="234" t="s">
        <v>374</v>
      </c>
      <c r="C913" s="234" t="str">
        <f t="shared" ref="C913:D913" si="572">C789</f>
        <v>National Investment Decisions</v>
      </c>
      <c r="D913" s="234">
        <f t="shared" si="572"/>
        <v>0</v>
      </c>
      <c r="E913" s="234" t="s">
        <v>268</v>
      </c>
      <c r="F913" s="234">
        <f>'F5 - Cost Pressures'!B570</f>
        <v>0</v>
      </c>
      <c r="AM913" s="233">
        <f>'F5 - Cost Pressures'!E12</f>
        <v>79.805000000000007</v>
      </c>
      <c r="AN913" s="233">
        <f>'F5 - Cost Pressures'!F12</f>
        <v>79.805000000000007</v>
      </c>
    </row>
    <row r="914" spans="1:40">
      <c r="A914" s="234" t="str">
        <f>'Front Sheet and Checklist'!$C$5</f>
        <v>Swansea Bay UHB</v>
      </c>
      <c r="B914" s="234" t="s">
        <v>374</v>
      </c>
      <c r="C914" s="234" t="str">
        <f t="shared" ref="C914:D914" si="573">C790</f>
        <v>National Investment Decisions</v>
      </c>
      <c r="D914" s="234">
        <f t="shared" si="573"/>
        <v>0</v>
      </c>
      <c r="E914" s="234" t="s">
        <v>268</v>
      </c>
      <c r="F914" s="234">
        <f>'F5 - Cost Pressures'!B571</f>
        <v>0</v>
      </c>
      <c r="AM914" s="233">
        <f>'F5 - Cost Pressures'!E13</f>
        <v>-341.00000000000017</v>
      </c>
      <c r="AN914" s="233">
        <f>'F5 - Cost Pressures'!F13</f>
        <v>-341.00000000000017</v>
      </c>
    </row>
    <row r="915" spans="1:40">
      <c r="A915" s="234" t="str">
        <f>'Front Sheet and Checklist'!$C$5</f>
        <v>Swansea Bay UHB</v>
      </c>
      <c r="B915" s="234" t="s">
        <v>374</v>
      </c>
      <c r="C915" s="234" t="str">
        <f t="shared" ref="C915:D915" si="574">C791</f>
        <v>National Investment Decisions</v>
      </c>
      <c r="D915" s="234">
        <f t="shared" si="574"/>
        <v>0</v>
      </c>
      <c r="E915" s="234" t="s">
        <v>268</v>
      </c>
      <c r="F915" s="234">
        <f>'F5 - Cost Pressures'!B572</f>
        <v>0</v>
      </c>
      <c r="AM915" s="233">
        <f>'F5 - Cost Pressures'!E14</f>
        <v>3.609</v>
      </c>
      <c r="AN915" s="233">
        <f>'F5 - Cost Pressures'!F14</f>
        <v>3.609</v>
      </c>
    </row>
    <row r="916" spans="1:40">
      <c r="A916" s="234" t="str">
        <f>'Front Sheet and Checklist'!$C$5</f>
        <v>Swansea Bay UHB</v>
      </c>
      <c r="B916" s="234" t="s">
        <v>374</v>
      </c>
      <c r="C916" s="234" t="str">
        <f t="shared" ref="C916:D916" si="575">C792</f>
        <v>National Investment Decisions</v>
      </c>
      <c r="D916" s="234">
        <f t="shared" si="575"/>
        <v>0</v>
      </c>
      <c r="E916" s="234" t="s">
        <v>268</v>
      </c>
      <c r="F916" s="234">
        <f>'F5 - Cost Pressures'!B573</f>
        <v>0</v>
      </c>
      <c r="AM916" s="233">
        <f>'F5 - Cost Pressures'!E15</f>
        <v>100</v>
      </c>
      <c r="AN916" s="233">
        <f>'F5 - Cost Pressures'!F15</f>
        <v>100</v>
      </c>
    </row>
    <row r="917" spans="1:40">
      <c r="A917" s="234" t="str">
        <f>'Front Sheet and Checklist'!$C$5</f>
        <v>Swansea Bay UHB</v>
      </c>
      <c r="B917" s="234" t="s">
        <v>374</v>
      </c>
      <c r="C917" s="234" t="str">
        <f t="shared" ref="C917:D917" si="576">C793</f>
        <v>National Investment Decisions</v>
      </c>
      <c r="D917" s="234">
        <f t="shared" si="576"/>
        <v>0</v>
      </c>
      <c r="E917" s="234" t="s">
        <v>268</v>
      </c>
      <c r="F917" s="234">
        <f>'F5 - Cost Pressures'!B574</f>
        <v>0</v>
      </c>
      <c r="AM917" s="233">
        <f>'F5 - Cost Pressures'!E16</f>
        <v>248</v>
      </c>
      <c r="AN917" s="233">
        <f>'F5 - Cost Pressures'!F16</f>
        <v>248</v>
      </c>
    </row>
    <row r="918" spans="1:40">
      <c r="A918" s="234" t="str">
        <f>'Front Sheet and Checklist'!$C$5</f>
        <v>Swansea Bay UHB</v>
      </c>
      <c r="B918" s="234" t="s">
        <v>374</v>
      </c>
      <c r="C918" s="234" t="str">
        <f t="shared" ref="C918:D918" si="577">C794</f>
        <v>National Investment Decisions</v>
      </c>
      <c r="D918" s="234">
        <f t="shared" si="577"/>
        <v>0</v>
      </c>
      <c r="E918" s="234" t="s">
        <v>268</v>
      </c>
      <c r="F918" s="234">
        <f>'F5 - Cost Pressures'!B575</f>
        <v>0</v>
      </c>
      <c r="AM918" s="233">
        <f>'F5 - Cost Pressures'!E17</f>
        <v>481</v>
      </c>
      <c r="AN918" s="233">
        <f>'F5 - Cost Pressures'!F17</f>
        <v>481</v>
      </c>
    </row>
    <row r="919" spans="1:40">
      <c r="A919" s="234" t="str">
        <f>'Front Sheet and Checklist'!$C$5</f>
        <v>Swansea Bay UHB</v>
      </c>
      <c r="B919" s="234" t="s">
        <v>374</v>
      </c>
      <c r="C919" s="234" t="str">
        <f t="shared" ref="C919:D919" si="578">C795</f>
        <v>National Investment Decisions</v>
      </c>
      <c r="D919" s="234">
        <f t="shared" si="578"/>
        <v>0</v>
      </c>
      <c r="E919" s="234" t="s">
        <v>268</v>
      </c>
      <c r="F919" s="234">
        <f>'F5 - Cost Pressures'!B576</f>
        <v>0</v>
      </c>
      <c r="AM919" s="233">
        <f>'F5 - Cost Pressures'!E18</f>
        <v>438</v>
      </c>
      <c r="AN919" s="233">
        <f>'F5 - Cost Pressures'!F18</f>
        <v>438</v>
      </c>
    </row>
    <row r="920" spans="1:40">
      <c r="A920" s="234" t="str">
        <f>'Front Sheet and Checklist'!$C$5</f>
        <v>Swansea Bay UHB</v>
      </c>
      <c r="B920" s="234" t="s">
        <v>374</v>
      </c>
      <c r="C920" s="234" t="str">
        <f t="shared" ref="C920:D920" si="579">C796</f>
        <v>National Investment Decisions</v>
      </c>
      <c r="D920" s="234">
        <f t="shared" si="579"/>
        <v>0</v>
      </c>
      <c r="E920" s="234" t="s">
        <v>268</v>
      </c>
      <c r="F920" s="234">
        <f>'F5 - Cost Pressures'!B577</f>
        <v>0</v>
      </c>
      <c r="AM920" s="233">
        <f>'F5 - Cost Pressures'!E19</f>
        <v>350</v>
      </c>
      <c r="AN920" s="233">
        <f>'F5 - Cost Pressures'!F19</f>
        <v>350</v>
      </c>
    </row>
    <row r="921" spans="1:40">
      <c r="A921" s="234" t="str">
        <f>'Front Sheet and Checklist'!$C$5</f>
        <v>Swansea Bay UHB</v>
      </c>
      <c r="B921" s="234" t="s">
        <v>374</v>
      </c>
      <c r="C921" s="234" t="str">
        <f t="shared" ref="C921:D921" si="580">C797</f>
        <v>Macro Economic Inflation</v>
      </c>
      <c r="D921" s="234">
        <f t="shared" si="580"/>
        <v>0</v>
      </c>
      <c r="E921" s="234" t="s">
        <v>268</v>
      </c>
      <c r="F921" s="234">
        <f>'F5 - Cost Pressures'!B578</f>
        <v>0</v>
      </c>
      <c r="AM921" s="233">
        <f>'F5 - Cost Pressures'!E20</f>
        <v>5618</v>
      </c>
      <c r="AN921" s="233">
        <f>'F5 - Cost Pressures'!F20</f>
        <v>5618</v>
      </c>
    </row>
    <row r="922" spans="1:40">
      <c r="A922" s="234" t="str">
        <f>'Front Sheet and Checklist'!$C$5</f>
        <v>Swansea Bay UHB</v>
      </c>
      <c r="B922" s="234" t="s">
        <v>374</v>
      </c>
      <c r="C922" s="234" t="str">
        <f t="shared" ref="C922:D922" si="581">C798</f>
        <v>Macro Economic Inflation</v>
      </c>
      <c r="D922" s="234">
        <f t="shared" si="581"/>
        <v>0</v>
      </c>
      <c r="E922" s="234" t="s">
        <v>268</v>
      </c>
      <c r="F922" s="234">
        <f>'F5 - Cost Pressures'!B579</f>
        <v>0</v>
      </c>
      <c r="AM922" s="233">
        <f>'F5 - Cost Pressures'!E21</f>
        <v>2000</v>
      </c>
      <c r="AN922" s="233">
        <f>'F5 - Cost Pressures'!F21</f>
        <v>2000</v>
      </c>
    </row>
    <row r="923" spans="1:40">
      <c r="A923" s="234" t="str">
        <f>'Front Sheet and Checklist'!$C$5</f>
        <v>Swansea Bay UHB</v>
      </c>
      <c r="B923" s="234" t="s">
        <v>374</v>
      </c>
      <c r="C923" s="234" t="str">
        <f t="shared" ref="C923:D923" si="582">C799</f>
        <v>Macro Economic Inflation</v>
      </c>
      <c r="D923" s="234">
        <f t="shared" si="582"/>
        <v>0</v>
      </c>
      <c r="E923" s="234" t="s">
        <v>268</v>
      </c>
      <c r="F923" s="234">
        <f>'F5 - Cost Pressures'!B580</f>
        <v>0</v>
      </c>
      <c r="AM923" s="233">
        <f>'F5 - Cost Pressures'!E22</f>
        <v>1000</v>
      </c>
      <c r="AN923" s="233">
        <f>'F5 - Cost Pressures'!F22</f>
        <v>1000</v>
      </c>
    </row>
    <row r="924" spans="1:40">
      <c r="A924" s="234" t="str">
        <f>'Front Sheet and Checklist'!$C$5</f>
        <v>Swansea Bay UHB</v>
      </c>
      <c r="B924" s="234" t="s">
        <v>374</v>
      </c>
      <c r="C924" s="234" t="str">
        <f t="shared" ref="C924:D924" si="583">C800</f>
        <v>Macro Economic Inflation</v>
      </c>
      <c r="D924" s="234">
        <f t="shared" si="583"/>
        <v>0</v>
      </c>
      <c r="E924" s="234" t="s">
        <v>268</v>
      </c>
      <c r="F924" s="234">
        <f>'F5 - Cost Pressures'!B581</f>
        <v>0</v>
      </c>
      <c r="AM924" s="233">
        <f>'F5 - Cost Pressures'!E23</f>
        <v>1000</v>
      </c>
      <c r="AN924" s="233">
        <f>'F5 - Cost Pressures'!F23</f>
        <v>1000</v>
      </c>
    </row>
    <row r="925" spans="1:40">
      <c r="A925" s="234" t="str">
        <f>'Front Sheet and Checklist'!$C$5</f>
        <v>Swansea Bay UHB</v>
      </c>
      <c r="B925" s="234" t="s">
        <v>374</v>
      </c>
      <c r="C925" s="234" t="str">
        <f t="shared" ref="C925:D925" si="584">C801</f>
        <v>Macro Economic Inflation</v>
      </c>
      <c r="D925" s="234">
        <f t="shared" si="584"/>
        <v>0</v>
      </c>
      <c r="E925" s="234" t="s">
        <v>268</v>
      </c>
      <c r="F925" s="234">
        <f>'F5 - Cost Pressures'!B582</f>
        <v>0</v>
      </c>
      <c r="AM925" s="233">
        <f>'F5 - Cost Pressures'!E24</f>
        <v>3644</v>
      </c>
      <c r="AN925" s="233">
        <f>'F5 - Cost Pressures'!F24</f>
        <v>3644</v>
      </c>
    </row>
    <row r="926" spans="1:40">
      <c r="A926" s="234" t="str">
        <f>'Front Sheet and Checklist'!$C$5</f>
        <v>Swansea Bay UHB</v>
      </c>
      <c r="B926" s="234" t="s">
        <v>374</v>
      </c>
      <c r="C926" s="234" t="str">
        <f t="shared" ref="C926:D926" si="585">C802</f>
        <v>Macro Economic Inflation</v>
      </c>
      <c r="D926" s="234">
        <f t="shared" si="585"/>
        <v>0</v>
      </c>
      <c r="E926" s="234" t="s">
        <v>268</v>
      </c>
      <c r="F926" s="234">
        <f>'F5 - Cost Pressures'!B583</f>
        <v>0</v>
      </c>
      <c r="AM926" s="233">
        <f>'F5 - Cost Pressures'!E25</f>
        <v>4260</v>
      </c>
      <c r="AN926" s="233">
        <f>'F5 - Cost Pressures'!F25</f>
        <v>4260</v>
      </c>
    </row>
    <row r="927" spans="1:40">
      <c r="A927" s="234" t="str">
        <f>'Front Sheet and Checklist'!$C$5</f>
        <v>Swansea Bay UHB</v>
      </c>
      <c r="B927" s="234" t="s">
        <v>374</v>
      </c>
      <c r="C927" s="234" t="str">
        <f t="shared" ref="C927:D927" si="586">C803</f>
        <v>Macro Economic Inflation</v>
      </c>
      <c r="D927" s="234">
        <f t="shared" si="586"/>
        <v>0</v>
      </c>
      <c r="E927" s="234" t="s">
        <v>268</v>
      </c>
      <c r="F927" s="234">
        <f>'F5 - Cost Pressures'!B584</f>
        <v>0</v>
      </c>
      <c r="AM927" s="233">
        <f>'F5 - Cost Pressures'!E26</f>
        <v>3200</v>
      </c>
      <c r="AN927" s="233">
        <f>'F5 - Cost Pressures'!F26</f>
        <v>3200</v>
      </c>
    </row>
    <row r="928" spans="1:40">
      <c r="A928" s="234" t="str">
        <f>'Front Sheet and Checklist'!$C$5</f>
        <v>Swansea Bay UHB</v>
      </c>
      <c r="B928" s="234" t="s">
        <v>374</v>
      </c>
      <c r="C928" s="234" t="str">
        <f t="shared" ref="C928:D928" si="587">C804</f>
        <v>Macro Economic Inflation</v>
      </c>
      <c r="D928" s="234">
        <f t="shared" si="587"/>
        <v>0</v>
      </c>
      <c r="E928" s="234" t="s">
        <v>268</v>
      </c>
      <c r="F928" s="234">
        <f>'F5 - Cost Pressures'!B585</f>
        <v>0</v>
      </c>
      <c r="AM928" s="233">
        <f>'F5 - Cost Pressures'!E27</f>
        <v>1223.3333333333333</v>
      </c>
      <c r="AN928" s="233">
        <f>'F5 - Cost Pressures'!F27</f>
        <v>1223.3333333333333</v>
      </c>
    </row>
    <row r="929" spans="1:40">
      <c r="A929" s="234" t="str">
        <f>'Front Sheet and Checklist'!$C$5</f>
        <v>Swansea Bay UHB</v>
      </c>
      <c r="B929" s="234" t="s">
        <v>374</v>
      </c>
      <c r="C929" s="234" t="str">
        <f t="shared" ref="C929:D929" si="588">C805</f>
        <v>Macro Economic Inflation</v>
      </c>
      <c r="D929" s="234">
        <f t="shared" si="588"/>
        <v>0</v>
      </c>
      <c r="E929" s="234" t="s">
        <v>268</v>
      </c>
      <c r="F929" s="234">
        <f>'F5 - Cost Pressures'!B586</f>
        <v>0</v>
      </c>
      <c r="AM929" s="233">
        <f>'F5 - Cost Pressures'!E28</f>
        <v>4986.9996553860965</v>
      </c>
      <c r="AN929" s="233">
        <f>'F5 - Cost Pressures'!F28</f>
        <v>4986.9996553860965</v>
      </c>
    </row>
    <row r="930" spans="1:40">
      <c r="A930" s="234" t="str">
        <f>'Front Sheet and Checklist'!$C$5</f>
        <v>Swansea Bay UHB</v>
      </c>
      <c r="B930" s="234" t="s">
        <v>374</v>
      </c>
      <c r="C930" s="234" t="str">
        <f t="shared" ref="C930:D930" si="589">C806</f>
        <v>Macro Economic Inflation</v>
      </c>
      <c r="D930" s="234">
        <f t="shared" si="589"/>
        <v>0</v>
      </c>
      <c r="E930" s="234" t="s">
        <v>268</v>
      </c>
      <c r="F930" s="234">
        <f>'F5 - Cost Pressures'!B587</f>
        <v>0</v>
      </c>
      <c r="AM930" s="233">
        <f>'F5 - Cost Pressures'!E29</f>
        <v>2700</v>
      </c>
      <c r="AN930" s="233">
        <f>'F5 - Cost Pressures'!F29</f>
        <v>2700</v>
      </c>
    </row>
    <row r="931" spans="1:40">
      <c r="A931" s="234" t="str">
        <f>'Front Sheet and Checklist'!$C$5</f>
        <v>Swansea Bay UHB</v>
      </c>
      <c r="B931" s="234" t="s">
        <v>374</v>
      </c>
      <c r="C931" s="234" t="str">
        <f t="shared" ref="C931:D931" si="590">C807</f>
        <v>Macro Economic Inflation</v>
      </c>
      <c r="D931" s="234">
        <f t="shared" si="590"/>
        <v>0</v>
      </c>
      <c r="E931" s="234" t="s">
        <v>268</v>
      </c>
      <c r="F931" s="234">
        <f>'F5 - Cost Pressures'!B588</f>
        <v>0</v>
      </c>
      <c r="AM931" s="233">
        <f>'F5 - Cost Pressures'!E30</f>
        <v>1200</v>
      </c>
      <c r="AN931" s="233">
        <f>'F5 - Cost Pressures'!F30</f>
        <v>1200</v>
      </c>
    </row>
    <row r="932" spans="1:40">
      <c r="A932" s="234" t="str">
        <f>'Front Sheet and Checklist'!$C$5</f>
        <v>Swansea Bay UHB</v>
      </c>
      <c r="B932" s="234" t="s">
        <v>374</v>
      </c>
      <c r="C932" s="234" t="str">
        <f t="shared" ref="C932:D932" si="591">C808</f>
        <v>Macro Economic Inflation</v>
      </c>
      <c r="D932" s="234">
        <f t="shared" si="591"/>
        <v>0</v>
      </c>
      <c r="E932" s="234" t="s">
        <v>268</v>
      </c>
      <c r="F932" s="234">
        <f>'F5 - Cost Pressures'!B589</f>
        <v>0</v>
      </c>
      <c r="AM932" s="233">
        <f>'F5 - Cost Pressures'!E31</f>
        <v>1675</v>
      </c>
      <c r="AN932" s="233">
        <f>'F5 - Cost Pressures'!F31</f>
        <v>1675</v>
      </c>
    </row>
    <row r="933" spans="1:40">
      <c r="A933" s="234" t="str">
        <f>'Front Sheet and Checklist'!$C$5</f>
        <v>Swansea Bay UHB</v>
      </c>
      <c r="B933" s="234" t="s">
        <v>374</v>
      </c>
      <c r="C933" s="234" t="str">
        <f t="shared" ref="C933:D933" si="592">C809</f>
        <v>Contractual or unavoidable</v>
      </c>
      <c r="D933" s="234">
        <f t="shared" si="592"/>
        <v>0</v>
      </c>
      <c r="E933" s="234" t="s">
        <v>268</v>
      </c>
      <c r="F933" s="234">
        <f>'F5 - Cost Pressures'!B590</f>
        <v>0</v>
      </c>
      <c r="AM933" s="233">
        <f>'F5 - Cost Pressures'!E32</f>
        <v>2800</v>
      </c>
      <c r="AN933" s="233">
        <f>'F5 - Cost Pressures'!F32</f>
        <v>2800</v>
      </c>
    </row>
    <row r="934" spans="1:40">
      <c r="A934" s="234" t="str">
        <f>'Front Sheet and Checklist'!$C$5</f>
        <v>Swansea Bay UHB</v>
      </c>
      <c r="B934" s="234" t="s">
        <v>374</v>
      </c>
      <c r="C934" s="234" t="str">
        <f t="shared" ref="C934:D934" si="593">C810</f>
        <v>Contractual or unavoidable</v>
      </c>
      <c r="D934" s="234">
        <f t="shared" si="593"/>
        <v>0</v>
      </c>
      <c r="E934" s="234" t="s">
        <v>268</v>
      </c>
      <c r="F934" s="234">
        <f>'F5 - Cost Pressures'!B591</f>
        <v>0</v>
      </c>
      <c r="AM934" s="233">
        <f>'F5 - Cost Pressures'!E33</f>
        <v>500</v>
      </c>
      <c r="AN934" s="233">
        <f>'F5 - Cost Pressures'!F33</f>
        <v>500</v>
      </c>
    </row>
    <row r="935" spans="1:40">
      <c r="A935" s="234" t="str">
        <f>'Front Sheet and Checklist'!$C$5</f>
        <v>Swansea Bay UHB</v>
      </c>
      <c r="B935" s="234" t="s">
        <v>374</v>
      </c>
      <c r="C935" s="234">
        <f t="shared" ref="C935:D935" si="594">C811</f>
        <v>0</v>
      </c>
      <c r="D935" s="234">
        <f t="shared" si="594"/>
        <v>0</v>
      </c>
      <c r="E935" s="234" t="s">
        <v>268</v>
      </c>
      <c r="F935" s="234">
        <f>'F5 - Cost Pressures'!B592</f>
        <v>0</v>
      </c>
      <c r="AM935" s="233">
        <f>'F5 - Cost Pressures'!E34</f>
        <v>0</v>
      </c>
      <c r="AN935" s="233">
        <f>'F5 - Cost Pressures'!F34</f>
        <v>0</v>
      </c>
    </row>
    <row r="936" spans="1:40">
      <c r="A936" s="234" t="str">
        <f>'Front Sheet and Checklist'!$C$5</f>
        <v>Swansea Bay UHB</v>
      </c>
      <c r="B936" s="234" t="s">
        <v>374</v>
      </c>
      <c r="C936" s="234">
        <f t="shared" ref="C936:D936" si="595">C812</f>
        <v>0</v>
      </c>
      <c r="D936" s="234">
        <f t="shared" si="595"/>
        <v>0</v>
      </c>
      <c r="E936" s="234" t="s">
        <v>268</v>
      </c>
      <c r="F936" s="234">
        <f>'F5 - Cost Pressures'!B593</f>
        <v>0</v>
      </c>
      <c r="AM936" s="233">
        <f>'F5 - Cost Pressures'!E35</f>
        <v>0</v>
      </c>
      <c r="AN936" s="233">
        <f>'F5 - Cost Pressures'!F35</f>
        <v>0</v>
      </c>
    </row>
    <row r="937" spans="1:40">
      <c r="A937" s="234" t="str">
        <f>'Front Sheet and Checklist'!$C$5</f>
        <v>Swansea Bay UHB</v>
      </c>
      <c r="B937" s="234" t="s">
        <v>374</v>
      </c>
      <c r="C937" s="234">
        <f t="shared" ref="C937:D937" si="596">C813</f>
        <v>0</v>
      </c>
      <c r="D937" s="234">
        <f t="shared" si="596"/>
        <v>0</v>
      </c>
      <c r="E937" s="234" t="s">
        <v>268</v>
      </c>
      <c r="F937" s="234">
        <f>'F5 - Cost Pressures'!B594</f>
        <v>0</v>
      </c>
      <c r="AM937" s="233">
        <f>'F5 - Cost Pressures'!E36</f>
        <v>0</v>
      </c>
      <c r="AN937" s="233">
        <f>'F5 - Cost Pressures'!F36</f>
        <v>0</v>
      </c>
    </row>
    <row r="938" spans="1:40">
      <c r="A938" s="234" t="str">
        <f>'Front Sheet and Checklist'!$C$5</f>
        <v>Swansea Bay UHB</v>
      </c>
      <c r="B938" s="234" t="s">
        <v>374</v>
      </c>
      <c r="C938" s="234" t="str">
        <f t="shared" ref="C938:D938" si="597">C814</f>
        <v>Macro Economic Inflation</v>
      </c>
      <c r="D938" s="234">
        <f t="shared" si="597"/>
        <v>0</v>
      </c>
      <c r="E938" s="234" t="s">
        <v>268</v>
      </c>
      <c r="F938" s="234">
        <f>'F5 - Cost Pressures'!B595</f>
        <v>0</v>
      </c>
      <c r="AM938" s="233">
        <f>'F5 - Cost Pressures'!E37</f>
        <v>3600</v>
      </c>
      <c r="AN938" s="233">
        <f>'F5 - Cost Pressures'!F37</f>
        <v>3600</v>
      </c>
    </row>
    <row r="939" spans="1:40">
      <c r="A939" s="234" t="str">
        <f>'Front Sheet and Checklist'!$C$5</f>
        <v>Swansea Bay UHB</v>
      </c>
      <c r="B939" s="234" t="s">
        <v>374</v>
      </c>
      <c r="C939" s="234" t="str">
        <f t="shared" ref="C939:D939" si="598">C815</f>
        <v>Macro Economic Inflation</v>
      </c>
      <c r="D939" s="234">
        <f t="shared" si="598"/>
        <v>0</v>
      </c>
      <c r="E939" s="234" t="s">
        <v>268</v>
      </c>
      <c r="F939" s="234">
        <f>'F5 - Cost Pressures'!B596</f>
        <v>0</v>
      </c>
      <c r="AM939" s="233">
        <f>'F5 - Cost Pressures'!E38</f>
        <v>200</v>
      </c>
      <c r="AN939" s="233">
        <f>'F5 - Cost Pressures'!F38</f>
        <v>200</v>
      </c>
    </row>
    <row r="940" spans="1:40">
      <c r="A940" s="234" t="str">
        <f>'Front Sheet and Checklist'!$C$5</f>
        <v>Swansea Bay UHB</v>
      </c>
      <c r="B940" s="234" t="s">
        <v>374</v>
      </c>
      <c r="C940" s="234" t="str">
        <f t="shared" ref="C940:D940" si="599">C816</f>
        <v>Macro Economic Inflation</v>
      </c>
      <c r="D940" s="234">
        <f t="shared" si="599"/>
        <v>0</v>
      </c>
      <c r="E940" s="234" t="s">
        <v>268</v>
      </c>
      <c r="F940" s="234">
        <f>'F5 - Cost Pressures'!B597</f>
        <v>0</v>
      </c>
      <c r="AM940" s="233">
        <f>'F5 - Cost Pressures'!E39</f>
        <v>3000</v>
      </c>
      <c r="AN940" s="233">
        <f>'F5 - Cost Pressures'!F39</f>
        <v>3000</v>
      </c>
    </row>
    <row r="941" spans="1:40">
      <c r="A941" s="234" t="str">
        <f>'Front Sheet and Checklist'!$C$5</f>
        <v>Swansea Bay UHB</v>
      </c>
      <c r="B941" s="234" t="s">
        <v>374</v>
      </c>
      <c r="C941" s="234" t="str">
        <f t="shared" ref="C941:D941" si="600">C817</f>
        <v>Macro Economic Inflation</v>
      </c>
      <c r="D941" s="234">
        <f t="shared" si="600"/>
        <v>0</v>
      </c>
      <c r="E941" s="234" t="s">
        <v>268</v>
      </c>
      <c r="F941" s="234">
        <f>'F5 - Cost Pressures'!B598</f>
        <v>0</v>
      </c>
      <c r="AM941" s="233">
        <f>'F5 - Cost Pressures'!E40</f>
        <v>4600</v>
      </c>
      <c r="AN941" s="233">
        <f>'F5 - Cost Pressures'!F40</f>
        <v>4600</v>
      </c>
    </row>
    <row r="942" spans="1:40">
      <c r="A942" s="234" t="str">
        <f>'Front Sheet and Checklist'!$C$5</f>
        <v>Swansea Bay UHB</v>
      </c>
      <c r="B942" s="234" t="s">
        <v>374</v>
      </c>
      <c r="C942" s="234" t="str">
        <f t="shared" ref="C942:D942" si="601">C818</f>
        <v>Local Investment Decisions</v>
      </c>
      <c r="D942" s="234">
        <f t="shared" si="601"/>
        <v>0</v>
      </c>
      <c r="E942" s="234" t="s">
        <v>268</v>
      </c>
      <c r="F942" s="234">
        <f>'F5 - Cost Pressures'!B599</f>
        <v>0</v>
      </c>
      <c r="AM942" s="233">
        <f>'F5 - Cost Pressures'!E41</f>
        <v>23600</v>
      </c>
      <c r="AN942" s="233">
        <f>'F5 - Cost Pressures'!F41</f>
        <v>23600</v>
      </c>
    </row>
    <row r="943" spans="1:40">
      <c r="A943" s="234" t="str">
        <f>'Front Sheet and Checklist'!$C$5</f>
        <v>Swansea Bay UHB</v>
      </c>
      <c r="B943" s="234" t="s">
        <v>374</v>
      </c>
      <c r="C943" s="234" t="str">
        <f t="shared" ref="C943:D943" si="602">C819</f>
        <v>Local Investment Decisions</v>
      </c>
      <c r="D943" s="234">
        <f t="shared" si="602"/>
        <v>0</v>
      </c>
      <c r="E943" s="234" t="s">
        <v>268</v>
      </c>
      <c r="F943" s="234">
        <f>'F5 - Cost Pressures'!B600</f>
        <v>0</v>
      </c>
      <c r="AM943" s="233">
        <f>'F5 - Cost Pressures'!E42</f>
        <v>600</v>
      </c>
      <c r="AN943" s="233">
        <f>'F5 - Cost Pressures'!F42</f>
        <v>600</v>
      </c>
    </row>
    <row r="944" spans="1:40">
      <c r="A944" s="234" t="str">
        <f>'Front Sheet and Checklist'!$C$5</f>
        <v>Swansea Bay UHB</v>
      </c>
      <c r="B944" s="234" t="s">
        <v>374</v>
      </c>
      <c r="C944" s="234" t="str">
        <f t="shared" ref="C944:D944" si="603">C820</f>
        <v>Local Investment Decisions</v>
      </c>
      <c r="D944" s="234">
        <f t="shared" si="603"/>
        <v>0</v>
      </c>
      <c r="E944" s="234" t="s">
        <v>268</v>
      </c>
      <c r="F944" s="234">
        <f>'F5 - Cost Pressures'!B601</f>
        <v>0</v>
      </c>
      <c r="AM944" s="233">
        <f>'F5 - Cost Pressures'!E43</f>
        <v>150</v>
      </c>
      <c r="AN944" s="233">
        <f>'F5 - Cost Pressures'!F43</f>
        <v>150</v>
      </c>
    </row>
    <row r="945" spans="1:40">
      <c r="A945" s="234" t="str">
        <f>'Front Sheet and Checklist'!$C$5</f>
        <v>Swansea Bay UHB</v>
      </c>
      <c r="B945" s="234" t="s">
        <v>374</v>
      </c>
      <c r="C945" s="234" t="str">
        <f t="shared" ref="C945:D945" si="604">C821</f>
        <v>Local Investment Decisions</v>
      </c>
      <c r="D945" s="234">
        <f t="shared" si="604"/>
        <v>0</v>
      </c>
      <c r="E945" s="234" t="s">
        <v>268</v>
      </c>
      <c r="F945" s="234">
        <f>'F5 - Cost Pressures'!B602</f>
        <v>0</v>
      </c>
      <c r="AM945" s="233">
        <f>'F5 - Cost Pressures'!E44</f>
        <v>40</v>
      </c>
      <c r="AN945" s="233">
        <f>'F5 - Cost Pressures'!F44</f>
        <v>40</v>
      </c>
    </row>
    <row r="946" spans="1:40">
      <c r="A946" s="234" t="str">
        <f>'Front Sheet and Checklist'!$C$5</f>
        <v>Swansea Bay UHB</v>
      </c>
      <c r="B946" s="234" t="s">
        <v>374</v>
      </c>
      <c r="C946" s="234" t="str">
        <f t="shared" ref="C946:D946" si="605">C822</f>
        <v>Local Investment Decisions</v>
      </c>
      <c r="D946" s="234">
        <f t="shared" si="605"/>
        <v>0</v>
      </c>
      <c r="E946" s="234" t="s">
        <v>268</v>
      </c>
      <c r="F946" s="234">
        <f>'F5 - Cost Pressures'!B603</f>
        <v>0</v>
      </c>
      <c r="AM946" s="233">
        <f>'F5 - Cost Pressures'!E45</f>
        <v>50</v>
      </c>
      <c r="AN946" s="233">
        <f>'F5 - Cost Pressures'!F45</f>
        <v>50</v>
      </c>
    </row>
    <row r="947" spans="1:40">
      <c r="A947" s="234" t="str">
        <f>'Front Sheet and Checklist'!$C$5</f>
        <v>Swansea Bay UHB</v>
      </c>
      <c r="B947" s="234" t="s">
        <v>374</v>
      </c>
      <c r="C947" s="234" t="str">
        <f t="shared" ref="C947:D947" si="606">C823</f>
        <v>Local Investment Decisions</v>
      </c>
      <c r="D947" s="234">
        <f t="shared" si="606"/>
        <v>0</v>
      </c>
      <c r="E947" s="234" t="s">
        <v>268</v>
      </c>
      <c r="F947" s="234">
        <f>'F5 - Cost Pressures'!B604</f>
        <v>0</v>
      </c>
      <c r="AM947" s="233">
        <f>'F5 - Cost Pressures'!E46</f>
        <v>300</v>
      </c>
      <c r="AN947" s="233">
        <f>'F5 - Cost Pressures'!F46</f>
        <v>300</v>
      </c>
    </row>
    <row r="948" spans="1:40">
      <c r="A948" s="234" t="str">
        <f>'Front Sheet and Checklist'!$C$5</f>
        <v>Swansea Bay UHB</v>
      </c>
      <c r="B948" s="234" t="s">
        <v>374</v>
      </c>
      <c r="C948" s="234" t="str">
        <f t="shared" ref="C948:D948" si="607">C824</f>
        <v>Local Investment Decisions</v>
      </c>
      <c r="D948" s="234">
        <f t="shared" si="607"/>
        <v>0</v>
      </c>
      <c r="E948" s="234" t="s">
        <v>268</v>
      </c>
      <c r="F948" s="234">
        <f>'F5 - Cost Pressures'!B605</f>
        <v>0</v>
      </c>
      <c r="AM948" s="233">
        <f>'F5 - Cost Pressures'!E47</f>
        <v>250</v>
      </c>
      <c r="AN948" s="233">
        <f>'F5 - Cost Pressures'!F47</f>
        <v>250</v>
      </c>
    </row>
    <row r="949" spans="1:40">
      <c r="A949" s="234" t="str">
        <f>'Front Sheet and Checklist'!$C$5</f>
        <v>Swansea Bay UHB</v>
      </c>
      <c r="B949" s="234" t="s">
        <v>374</v>
      </c>
      <c r="C949" s="234" t="str">
        <f t="shared" ref="C949:D949" si="608">C825</f>
        <v>Local Investment Decisions</v>
      </c>
      <c r="D949" s="234">
        <f t="shared" si="608"/>
        <v>0</v>
      </c>
      <c r="E949" s="234" t="s">
        <v>268</v>
      </c>
      <c r="F949" s="234">
        <f>'F5 - Cost Pressures'!B606</f>
        <v>0</v>
      </c>
      <c r="AM949" s="233">
        <f>'F5 - Cost Pressures'!E48</f>
        <v>200</v>
      </c>
      <c r="AN949" s="233">
        <f>'F5 - Cost Pressures'!F48</f>
        <v>200</v>
      </c>
    </row>
    <row r="950" spans="1:40">
      <c r="A950" s="234" t="str">
        <f>'Front Sheet and Checklist'!$C$5</f>
        <v>Swansea Bay UHB</v>
      </c>
      <c r="B950" s="234" t="s">
        <v>374</v>
      </c>
      <c r="C950" s="234" t="str">
        <f t="shared" ref="C950:D950" si="609">C826</f>
        <v>Local Investment Decisions</v>
      </c>
      <c r="D950" s="234">
        <f t="shared" si="609"/>
        <v>0</v>
      </c>
      <c r="E950" s="234" t="s">
        <v>268</v>
      </c>
      <c r="F950" s="234">
        <f>'F5 - Cost Pressures'!B607</f>
        <v>0</v>
      </c>
      <c r="AM950" s="233">
        <f>'F5 - Cost Pressures'!E49</f>
        <v>200</v>
      </c>
      <c r="AN950" s="233">
        <f>'F5 - Cost Pressures'!F49</f>
        <v>200</v>
      </c>
    </row>
    <row r="951" spans="1:40">
      <c r="A951" s="234" t="str">
        <f>'Front Sheet and Checklist'!$C$5</f>
        <v>Swansea Bay UHB</v>
      </c>
      <c r="B951" s="234" t="s">
        <v>374</v>
      </c>
      <c r="C951" s="234" t="str">
        <f t="shared" ref="C951:D951" si="610">C827</f>
        <v>Local Investment Decisions</v>
      </c>
      <c r="D951" s="234">
        <f t="shared" si="610"/>
        <v>0</v>
      </c>
      <c r="E951" s="234" t="s">
        <v>268</v>
      </c>
      <c r="F951" s="234">
        <f>'F5 - Cost Pressures'!B608</f>
        <v>0</v>
      </c>
      <c r="AM951" s="233">
        <f>'F5 - Cost Pressures'!E50</f>
        <v>150</v>
      </c>
      <c r="AN951" s="233">
        <f>'F5 - Cost Pressures'!F50</f>
        <v>150</v>
      </c>
    </row>
    <row r="952" spans="1:40">
      <c r="A952" s="234" t="str">
        <f>'Front Sheet and Checklist'!$C$5</f>
        <v>Swansea Bay UHB</v>
      </c>
      <c r="B952" s="234" t="s">
        <v>374</v>
      </c>
      <c r="C952" s="234" t="str">
        <f t="shared" ref="C952:D952" si="611">C828</f>
        <v>Contractual or unavoidable</v>
      </c>
      <c r="D952" s="234">
        <f t="shared" si="611"/>
        <v>0</v>
      </c>
      <c r="E952" s="234" t="s">
        <v>268</v>
      </c>
      <c r="F952" s="234">
        <f>'F5 - Cost Pressures'!B609</f>
        <v>0</v>
      </c>
      <c r="AM952" s="233">
        <f>'F5 - Cost Pressures'!E51</f>
        <v>125</v>
      </c>
      <c r="AN952" s="233">
        <f>'F5 - Cost Pressures'!F51</f>
        <v>125</v>
      </c>
    </row>
    <row r="953" spans="1:40">
      <c r="A953" s="234" t="str">
        <f>'Front Sheet and Checklist'!$C$5</f>
        <v>Swansea Bay UHB</v>
      </c>
      <c r="B953" s="234" t="s">
        <v>374</v>
      </c>
      <c r="C953" s="234">
        <f t="shared" ref="C953:D953" si="612">C829</f>
        <v>0</v>
      </c>
      <c r="D953" s="234">
        <f t="shared" si="612"/>
        <v>0</v>
      </c>
      <c r="E953" s="234" t="s">
        <v>268</v>
      </c>
      <c r="F953" s="234">
        <f>'F5 - Cost Pressures'!B610</f>
        <v>0</v>
      </c>
      <c r="AM953" s="233">
        <f>'F5 - Cost Pressures'!E52</f>
        <v>0</v>
      </c>
      <c r="AN953" s="233">
        <f>'F5 - Cost Pressures'!F52</f>
        <v>0</v>
      </c>
    </row>
    <row r="954" spans="1:40">
      <c r="A954" s="234" t="str">
        <f>'Front Sheet and Checklist'!$C$5</f>
        <v>Swansea Bay UHB</v>
      </c>
      <c r="B954" s="234" t="s">
        <v>374</v>
      </c>
      <c r="C954" s="234">
        <f t="shared" ref="C954:D954" si="613">C830</f>
        <v>0</v>
      </c>
      <c r="D954" s="234">
        <f t="shared" si="613"/>
        <v>0</v>
      </c>
      <c r="E954" s="234" t="s">
        <v>268</v>
      </c>
      <c r="F954" s="234">
        <f>'F5 - Cost Pressures'!B611</f>
        <v>0</v>
      </c>
      <c r="AM954" s="233">
        <f>'F5 - Cost Pressures'!E53</f>
        <v>0</v>
      </c>
      <c r="AN954" s="233">
        <f>'F5 - Cost Pressures'!F53</f>
        <v>0</v>
      </c>
    </row>
    <row r="955" spans="1:40">
      <c r="A955" s="234" t="str">
        <f>'Front Sheet and Checklist'!$C$5</f>
        <v>Swansea Bay UHB</v>
      </c>
      <c r="B955" s="234" t="s">
        <v>374</v>
      </c>
      <c r="C955" s="234">
        <f t="shared" ref="C955:D955" si="614">C831</f>
        <v>0</v>
      </c>
      <c r="D955" s="234">
        <f t="shared" si="614"/>
        <v>0</v>
      </c>
      <c r="E955" s="234" t="s">
        <v>268</v>
      </c>
      <c r="F955" s="234">
        <f>'F5 - Cost Pressures'!B612</f>
        <v>0</v>
      </c>
      <c r="AM955" s="233">
        <f>'F5 - Cost Pressures'!E54</f>
        <v>0</v>
      </c>
      <c r="AN955" s="233">
        <f>'F5 - Cost Pressures'!F54</f>
        <v>0</v>
      </c>
    </row>
    <row r="956" spans="1:40">
      <c r="A956" s="234" t="str">
        <f>'Front Sheet and Checklist'!$C$5</f>
        <v>Swansea Bay UHB</v>
      </c>
      <c r="B956" s="234" t="s">
        <v>374</v>
      </c>
      <c r="C956" s="234">
        <f t="shared" ref="C956:D956" si="615">C832</f>
        <v>0</v>
      </c>
      <c r="D956" s="234">
        <f t="shared" si="615"/>
        <v>0</v>
      </c>
      <c r="E956" s="234" t="s">
        <v>268</v>
      </c>
      <c r="F956" s="234">
        <f>'F5 - Cost Pressures'!B613</f>
        <v>0</v>
      </c>
      <c r="AM956" s="233">
        <f>'F5 - Cost Pressures'!E55</f>
        <v>0</v>
      </c>
      <c r="AN956" s="233">
        <f>'F5 - Cost Pressures'!F55</f>
        <v>0</v>
      </c>
    </row>
    <row r="957" spans="1:40">
      <c r="A957" s="234" t="str">
        <f>'Front Sheet and Checklist'!$C$5</f>
        <v>Swansea Bay UHB</v>
      </c>
      <c r="B957" s="234" t="s">
        <v>374</v>
      </c>
      <c r="C957" s="234">
        <f t="shared" ref="C957:D957" si="616">C833</f>
        <v>0</v>
      </c>
      <c r="D957" s="234">
        <f t="shared" si="616"/>
        <v>0</v>
      </c>
      <c r="E957" s="234" t="s">
        <v>268</v>
      </c>
      <c r="F957" s="234">
        <f>'F5 - Cost Pressures'!B614</f>
        <v>0</v>
      </c>
      <c r="AM957" s="233">
        <f>'F5 - Cost Pressures'!E56</f>
        <v>0</v>
      </c>
      <c r="AN957" s="233">
        <f>'F5 - Cost Pressures'!F56</f>
        <v>0</v>
      </c>
    </row>
    <row r="958" spans="1:40">
      <c r="A958" s="234" t="str">
        <f>'Front Sheet and Checklist'!$C$5</f>
        <v>Swansea Bay UHB</v>
      </c>
      <c r="B958" s="234" t="s">
        <v>374</v>
      </c>
      <c r="C958" s="234">
        <f t="shared" ref="C958:D958" si="617">C834</f>
        <v>0</v>
      </c>
      <c r="D958" s="234">
        <f t="shared" si="617"/>
        <v>0</v>
      </c>
      <c r="E958" s="234" t="s">
        <v>268</v>
      </c>
      <c r="F958" s="234">
        <f>'F5 - Cost Pressures'!B615</f>
        <v>0</v>
      </c>
      <c r="AM958" s="233">
        <f>'F5 - Cost Pressures'!E57</f>
        <v>0</v>
      </c>
      <c r="AN958" s="233">
        <f>'F5 - Cost Pressures'!F57</f>
        <v>0</v>
      </c>
    </row>
    <row r="959" spans="1:40">
      <c r="A959" s="234" t="str">
        <f>'Front Sheet and Checklist'!$C$5</f>
        <v>Swansea Bay UHB</v>
      </c>
      <c r="B959" s="234" t="s">
        <v>374</v>
      </c>
      <c r="C959" s="234">
        <f t="shared" ref="C959:D959" si="618">C835</f>
        <v>0</v>
      </c>
      <c r="D959" s="234">
        <f t="shared" si="618"/>
        <v>0</v>
      </c>
      <c r="E959" s="234" t="s">
        <v>268</v>
      </c>
      <c r="F959" s="234">
        <f>'F5 - Cost Pressures'!B616</f>
        <v>0</v>
      </c>
      <c r="AM959" s="233">
        <f>'F5 - Cost Pressures'!E58</f>
        <v>0</v>
      </c>
      <c r="AN959" s="233">
        <f>'F5 - Cost Pressures'!F58</f>
        <v>0</v>
      </c>
    </row>
    <row r="960" spans="1:40">
      <c r="A960" s="234" t="str">
        <f>'Front Sheet and Checklist'!$C$5</f>
        <v>Swansea Bay UHB</v>
      </c>
      <c r="B960" s="234" t="s">
        <v>374</v>
      </c>
      <c r="C960" s="234">
        <f t="shared" ref="C960:D960" si="619">C836</f>
        <v>0</v>
      </c>
      <c r="D960" s="234">
        <f t="shared" si="619"/>
        <v>0</v>
      </c>
      <c r="E960" s="234" t="s">
        <v>268</v>
      </c>
      <c r="F960" s="234">
        <f>'F5 - Cost Pressures'!B617</f>
        <v>0</v>
      </c>
      <c r="AM960" s="233">
        <f>'F5 - Cost Pressures'!E59</f>
        <v>0</v>
      </c>
      <c r="AN960" s="233">
        <f>'F5 - Cost Pressures'!F59</f>
        <v>0</v>
      </c>
    </row>
    <row r="961" spans="1:43">
      <c r="A961" s="234" t="str">
        <f>'Front Sheet and Checklist'!$C$5</f>
        <v>Swansea Bay UHB</v>
      </c>
      <c r="B961" s="234" t="s">
        <v>374</v>
      </c>
      <c r="C961" s="234">
        <f t="shared" ref="C961:D961" si="620">C837</f>
        <v>0</v>
      </c>
      <c r="D961" s="234">
        <f t="shared" si="620"/>
        <v>0</v>
      </c>
      <c r="E961" s="234" t="s">
        <v>268</v>
      </c>
      <c r="F961" s="234">
        <f>'F5 - Cost Pressures'!B618</f>
        <v>0</v>
      </c>
      <c r="AM961" s="233">
        <f>'F5 - Cost Pressures'!E60</f>
        <v>0</v>
      </c>
      <c r="AN961" s="233">
        <f>'F5 - Cost Pressures'!F60</f>
        <v>0</v>
      </c>
    </row>
    <row r="962" spans="1:43">
      <c r="A962" s="234" t="str">
        <f>'Front Sheet and Checklist'!$C$5</f>
        <v>Swansea Bay UHB</v>
      </c>
      <c r="B962" s="234" t="s">
        <v>374</v>
      </c>
      <c r="C962" s="234">
        <f t="shared" ref="C962:D962" si="621">C838</f>
        <v>0</v>
      </c>
      <c r="D962" s="234">
        <f t="shared" si="621"/>
        <v>0</v>
      </c>
      <c r="E962" s="234" t="s">
        <v>268</v>
      </c>
      <c r="F962" s="234">
        <f>'F5 - Cost Pressures'!B619</f>
        <v>0</v>
      </c>
      <c r="AM962" s="233">
        <f>'F5 - Cost Pressures'!E61</f>
        <v>0</v>
      </c>
      <c r="AN962" s="233">
        <f>'F5 - Cost Pressures'!F61</f>
        <v>0</v>
      </c>
    </row>
    <row r="963" spans="1:43">
      <c r="A963" s="234" t="str">
        <f>'Front Sheet and Checklist'!$C$5</f>
        <v>Swansea Bay UHB</v>
      </c>
      <c r="B963" s="234" t="s">
        <v>374</v>
      </c>
      <c r="C963" s="234">
        <f t="shared" ref="C963:D963" si="622">C839</f>
        <v>0</v>
      </c>
      <c r="D963" s="234">
        <f t="shared" si="622"/>
        <v>0</v>
      </c>
      <c r="E963" s="234" t="s">
        <v>268</v>
      </c>
      <c r="F963" s="234">
        <f>'F5 - Cost Pressures'!B620</f>
        <v>0</v>
      </c>
      <c r="AM963" s="233">
        <f>'F5 - Cost Pressures'!E62</f>
        <v>0</v>
      </c>
      <c r="AN963" s="233">
        <f>'F5 - Cost Pressures'!F62</f>
        <v>0</v>
      </c>
    </row>
    <row r="964" spans="1:43">
      <c r="A964" s="234" t="str">
        <f>'Front Sheet and Checklist'!$C$5</f>
        <v>Swansea Bay UHB</v>
      </c>
      <c r="B964" s="234" t="s">
        <v>374</v>
      </c>
      <c r="C964" s="234">
        <f t="shared" ref="C964:D964" si="623">C840</f>
        <v>0</v>
      </c>
      <c r="D964" s="234">
        <f t="shared" si="623"/>
        <v>0</v>
      </c>
      <c r="E964" s="234" t="s">
        <v>268</v>
      </c>
      <c r="F964" s="234">
        <f>'F5 - Cost Pressures'!B621</f>
        <v>0</v>
      </c>
      <c r="AM964" s="233">
        <f>'F5 - Cost Pressures'!E63</f>
        <v>0</v>
      </c>
      <c r="AN964" s="233">
        <f>'F5 - Cost Pressures'!F63</f>
        <v>0</v>
      </c>
    </row>
    <row r="965" spans="1:43">
      <c r="A965" s="234" t="str">
        <f>'Front Sheet and Checklist'!$C$5</f>
        <v>Swansea Bay UHB</v>
      </c>
      <c r="B965" s="234" t="s">
        <v>374</v>
      </c>
      <c r="C965" s="234">
        <f t="shared" ref="C965:D965" si="624">C841</f>
        <v>0</v>
      </c>
      <c r="D965" s="234">
        <f t="shared" si="624"/>
        <v>0</v>
      </c>
      <c r="E965" s="234" t="s">
        <v>268</v>
      </c>
      <c r="F965" s="234">
        <f>'F5 - Cost Pressures'!B622</f>
        <v>0</v>
      </c>
      <c r="AM965" s="233">
        <f>'F5 - Cost Pressures'!E64</f>
        <v>0</v>
      </c>
      <c r="AN965" s="233">
        <f>'F5 - Cost Pressures'!F64</f>
        <v>0</v>
      </c>
    </row>
    <row r="966" spans="1:43">
      <c r="A966" s="234" t="str">
        <f>'Front Sheet and Checklist'!$C$5</f>
        <v>Swansea Bay UHB</v>
      </c>
      <c r="B966" s="234" t="s">
        <v>374</v>
      </c>
      <c r="C966" s="234">
        <f t="shared" ref="C966:D966" si="625">C842</f>
        <v>0</v>
      </c>
      <c r="D966" s="234">
        <f t="shared" si="625"/>
        <v>0</v>
      </c>
      <c r="E966" s="234" t="s">
        <v>268</v>
      </c>
      <c r="F966" s="234">
        <f>'F5 - Cost Pressures'!B623</f>
        <v>0</v>
      </c>
      <c r="AM966" s="233">
        <f>'F5 - Cost Pressures'!E65</f>
        <v>75319.595988719433</v>
      </c>
      <c r="AN966" s="233">
        <f>'F5 - Cost Pressures'!F65</f>
        <v>75319.595988719433</v>
      </c>
    </row>
    <row r="967" spans="1:43">
      <c r="A967" s="234" t="str">
        <f>'Front Sheet and Checklist'!$C$5</f>
        <v>Swansea Bay UHB</v>
      </c>
      <c r="B967" s="234" t="s">
        <v>167</v>
      </c>
      <c r="C967" s="235" t="str">
        <f>'F7 - Opportunity Pipeline'!H4</f>
        <v>5 - High</v>
      </c>
      <c r="D967" s="234" t="str">
        <f>'F7 - Opportunity Pipeline'!C4</f>
        <v>Health Board wide</v>
      </c>
      <c r="F967" s="234" t="str">
        <f>'F7 - Opportunity Pipeline'!B4</f>
        <v>UEC Improvement</v>
      </c>
      <c r="AK967" s="233" t="str">
        <f>'F7 - Opportunity Pipeline'!G4</f>
        <v>Pathway</v>
      </c>
      <c r="AO967" s="233">
        <f>'F7 - Opportunity Pipeline'!D4</f>
        <v>3600</v>
      </c>
      <c r="AP967" s="233">
        <f>'F7 - Opportunity Pipeline'!E4</f>
        <v>3600</v>
      </c>
      <c r="AQ967" s="233">
        <f>'F7 - Opportunity Pipeline'!F4</f>
        <v>0</v>
      </c>
    </row>
    <row r="968" spans="1:43">
      <c r="A968" s="234" t="str">
        <f>'Front Sheet and Checklist'!$C$5</f>
        <v>Swansea Bay UHB</v>
      </c>
      <c r="B968" s="234" t="s">
        <v>167</v>
      </c>
      <c r="C968" s="235" t="str">
        <f>'F7 - Opportunity Pipeline'!H5</f>
        <v>5 - High</v>
      </c>
      <c r="D968" s="234" t="str">
        <f>'F7 - Opportunity Pipeline'!C5</f>
        <v>Health Board wide</v>
      </c>
      <c r="F968" s="234" t="str">
        <f>'F7 - Opportunity Pipeline'!B5</f>
        <v>Planned Care (Delivery/Efficiency/Productivity)</v>
      </c>
      <c r="AK968" s="233" t="str">
        <f>'F7 - Opportunity Pipeline'!G5</f>
        <v>Pathway</v>
      </c>
      <c r="AO968" s="233">
        <f>'F7 - Opportunity Pipeline'!D5</f>
        <v>9600</v>
      </c>
      <c r="AP968" s="233">
        <f>'F7 - Opportunity Pipeline'!E5</f>
        <v>9600</v>
      </c>
      <c r="AQ968" s="233">
        <f>'F7 - Opportunity Pipeline'!F5</f>
        <v>0</v>
      </c>
    </row>
    <row r="969" spans="1:43">
      <c r="A969" s="234" t="str">
        <f>'Front Sheet and Checklist'!$C$5</f>
        <v>Swansea Bay UHB</v>
      </c>
      <c r="B969" s="234" t="s">
        <v>167</v>
      </c>
      <c r="C969" s="235" t="str">
        <f>'F7 - Opportunity Pipeline'!H6</f>
        <v>5 - High</v>
      </c>
      <c r="D969" s="234" t="str">
        <f>'F7 - Opportunity Pipeline'!C6</f>
        <v>Health Board wide</v>
      </c>
      <c r="F969" s="234" t="str">
        <f>'F7 - Opportunity Pipeline'!B6</f>
        <v>Workforce (VP, Absence, Recruitment, Skill Mixing)</v>
      </c>
      <c r="AK969" s="233" t="str">
        <f>'F7 - Opportunity Pipeline'!G6</f>
        <v>Workforce</v>
      </c>
      <c r="AO969" s="233">
        <f>'F7 - Opportunity Pipeline'!D6</f>
        <v>2660</v>
      </c>
      <c r="AP969" s="233">
        <f>'F7 - Opportunity Pipeline'!E6</f>
        <v>2660</v>
      </c>
      <c r="AQ969" s="233">
        <f>'F7 - Opportunity Pipeline'!F6</f>
        <v>0</v>
      </c>
    </row>
    <row r="970" spans="1:43">
      <c r="A970" s="234" t="str">
        <f>'Front Sheet and Checklist'!$C$5</f>
        <v>Swansea Bay UHB</v>
      </c>
      <c r="B970" s="234" t="s">
        <v>167</v>
      </c>
      <c r="C970" s="235" t="str">
        <f>'F7 - Opportunity Pipeline'!H7</f>
        <v>5 - High</v>
      </c>
      <c r="D970" s="234" t="str">
        <f>'F7 - Opportunity Pipeline'!C7</f>
        <v>Health Board wide</v>
      </c>
      <c r="F970" s="234" t="str">
        <f>'F7 - Opportunity Pipeline'!B7</f>
        <v>CHC</v>
      </c>
      <c r="AK970" s="233" t="str">
        <f>'F7 - Opportunity Pipeline'!G7</f>
        <v>CHC</v>
      </c>
      <c r="AO970" s="233">
        <f>'F7 - Opportunity Pipeline'!D7</f>
        <v>2600</v>
      </c>
      <c r="AP970" s="233">
        <f>'F7 - Opportunity Pipeline'!E7</f>
        <v>2600</v>
      </c>
      <c r="AQ970" s="233">
        <f>'F7 - Opportunity Pipeline'!F7</f>
        <v>0</v>
      </c>
    </row>
    <row r="971" spans="1:43">
      <c r="A971" s="234" t="str">
        <f>'Front Sheet and Checklist'!$C$5</f>
        <v>Swansea Bay UHB</v>
      </c>
      <c r="B971" s="234" t="s">
        <v>167</v>
      </c>
      <c r="C971" s="235" t="str">
        <f>'F7 - Opportunity Pipeline'!H8</f>
        <v>5 - High</v>
      </c>
      <c r="D971" s="234" t="str">
        <f>'F7 - Opportunity Pipeline'!C8</f>
        <v>Health Board wide</v>
      </c>
      <c r="F971" s="234" t="str">
        <f>'F7 - Opportunity Pipeline'!B8</f>
        <v>Medicine</v>
      </c>
      <c r="AK971" s="233" t="str">
        <f>'F7 - Opportunity Pipeline'!G8</f>
        <v>Medicines Management</v>
      </c>
      <c r="AO971" s="233">
        <f>'F7 - Opportunity Pipeline'!D8</f>
        <v>3478.7000000000003</v>
      </c>
      <c r="AP971" s="233">
        <f>'F7 - Opportunity Pipeline'!E8</f>
        <v>3478.7000000000003</v>
      </c>
      <c r="AQ971" s="233">
        <f>'F7 - Opportunity Pipeline'!F8</f>
        <v>0</v>
      </c>
    </row>
    <row r="972" spans="1:43">
      <c r="A972" s="234" t="str">
        <f>'Front Sheet and Checklist'!$C$5</f>
        <v>Swansea Bay UHB</v>
      </c>
      <c r="B972" s="234" t="s">
        <v>167</v>
      </c>
      <c r="C972" s="235" t="str">
        <f>'F7 - Opportunity Pipeline'!H9</f>
        <v>5 - High</v>
      </c>
      <c r="D972" s="234" t="str">
        <f>'F7 - Opportunity Pipeline'!C9</f>
        <v>Health Board wide</v>
      </c>
      <c r="F972" s="234" t="str">
        <f>'F7 - Opportunity Pipeline'!B9</f>
        <v>Techincal (Financial Assumptions, In Year &amp; Accountancy Gains, )</v>
      </c>
      <c r="AK972" s="233" t="str">
        <f>'F7 - Opportunity Pipeline'!G9</f>
        <v>N/A</v>
      </c>
      <c r="AO972" s="233">
        <f>'F7 - Opportunity Pipeline'!D9</f>
        <v>2647.0000000000005</v>
      </c>
      <c r="AP972" s="233">
        <f>'F7 - Opportunity Pipeline'!E9</f>
        <v>2647.0000000000005</v>
      </c>
      <c r="AQ972" s="233">
        <f>'F7 - Opportunity Pipeline'!F9</f>
        <v>0</v>
      </c>
    </row>
    <row r="973" spans="1:43">
      <c r="A973" s="234" t="str">
        <f>'Front Sheet and Checklist'!$C$5</f>
        <v>Swansea Bay UHB</v>
      </c>
      <c r="B973" s="234" t="s">
        <v>167</v>
      </c>
      <c r="C973" s="235" t="str">
        <f>'F7 - Opportunity Pipeline'!H10</f>
        <v>5 - High</v>
      </c>
      <c r="D973" s="234" t="str">
        <f>'F7 - Opportunity Pipeline'!C10</f>
        <v>Health Board wide</v>
      </c>
      <c r="F973" s="234" t="str">
        <f>'F7 - Opportunity Pipeline'!B10</f>
        <v xml:space="preserve">Cost Reduction/Run Rate Programme </v>
      </c>
      <c r="AK973" s="233" t="str">
        <f>'F7 - Opportunity Pipeline'!G10</f>
        <v>N/A</v>
      </c>
      <c r="AO973" s="233">
        <f>'F7 - Opportunity Pipeline'!D10</f>
        <v>0</v>
      </c>
      <c r="AP973" s="233">
        <f>'F7 - Opportunity Pipeline'!E10</f>
        <v>0</v>
      </c>
      <c r="AQ973" s="233">
        <f>'F7 - Opportunity Pipeline'!F10</f>
        <v>0</v>
      </c>
    </row>
    <row r="974" spans="1:43">
      <c r="A974" s="234" t="str">
        <f>'Front Sheet and Checklist'!$C$5</f>
        <v>Swansea Bay UHB</v>
      </c>
      <c r="B974" s="234" t="s">
        <v>167</v>
      </c>
      <c r="C974" s="235" t="str">
        <f>'F7 - Opportunity Pipeline'!H11</f>
        <v>5 - High</v>
      </c>
      <c r="D974" s="234" t="str">
        <f>'F7 - Opportunity Pipeline'!C11</f>
        <v>Health Board wide</v>
      </c>
      <c r="F974" s="234" t="str">
        <f>'F7 - Opportunity Pipeline'!B11</f>
        <v xml:space="preserve">Transformational Change </v>
      </c>
      <c r="AK974" s="233" t="str">
        <f>'F7 - Opportunity Pipeline'!G11</f>
        <v>Pathway</v>
      </c>
      <c r="AO974" s="233">
        <f>'F7 - Opportunity Pipeline'!D11</f>
        <v>1050</v>
      </c>
      <c r="AP974" s="233">
        <f>'F7 - Opportunity Pipeline'!E11</f>
        <v>1050</v>
      </c>
      <c r="AQ974" s="233">
        <f>'F7 - Opportunity Pipeline'!F11</f>
        <v>0</v>
      </c>
    </row>
    <row r="975" spans="1:43">
      <c r="A975" s="234" t="str">
        <f>'Front Sheet and Checklist'!$C$5</f>
        <v>Swansea Bay UHB</v>
      </c>
      <c r="B975" s="234" t="s">
        <v>167</v>
      </c>
      <c r="C975" s="235">
        <f>'F7 - Opportunity Pipeline'!H12</f>
        <v>0</v>
      </c>
      <c r="D975" s="234">
        <f>'F7 - Opportunity Pipeline'!C12</f>
        <v>0</v>
      </c>
      <c r="F975" s="234">
        <f>'F7 - Opportunity Pipeline'!B12</f>
        <v>0</v>
      </c>
      <c r="AK975" s="233">
        <f>'F7 - Opportunity Pipeline'!G12</f>
        <v>0</v>
      </c>
      <c r="AO975" s="233">
        <f>'F7 - Opportunity Pipeline'!D12</f>
        <v>0</v>
      </c>
      <c r="AP975" s="233">
        <f>'F7 - Opportunity Pipeline'!E12</f>
        <v>0</v>
      </c>
      <c r="AQ975" s="233">
        <f>'F7 - Opportunity Pipeline'!F12</f>
        <v>0</v>
      </c>
    </row>
    <row r="976" spans="1:43">
      <c r="A976" s="234" t="str">
        <f>'Front Sheet and Checklist'!$C$5</f>
        <v>Swansea Bay UHB</v>
      </c>
      <c r="B976" s="234" t="s">
        <v>167</v>
      </c>
      <c r="C976" s="235">
        <f>'F7 - Opportunity Pipeline'!H13</f>
        <v>0</v>
      </c>
      <c r="D976" s="234">
        <f>'F7 - Opportunity Pipeline'!C13</f>
        <v>0</v>
      </c>
      <c r="F976" s="234">
        <f>'F7 - Opportunity Pipeline'!B13</f>
        <v>0</v>
      </c>
      <c r="AK976" s="233">
        <f>'F7 - Opportunity Pipeline'!G13</f>
        <v>0</v>
      </c>
      <c r="AO976" s="233">
        <f>'F7 - Opportunity Pipeline'!D13</f>
        <v>0</v>
      </c>
      <c r="AP976" s="233">
        <f>'F7 - Opportunity Pipeline'!E13</f>
        <v>0</v>
      </c>
      <c r="AQ976" s="233">
        <f>'F7 - Opportunity Pipeline'!F13</f>
        <v>0</v>
      </c>
    </row>
    <row r="977" spans="1:43">
      <c r="A977" s="234" t="str">
        <f>'Front Sheet and Checklist'!$C$5</f>
        <v>Swansea Bay UHB</v>
      </c>
      <c r="B977" s="234" t="s">
        <v>167</v>
      </c>
      <c r="C977" s="235">
        <f>'F7 - Opportunity Pipeline'!H14</f>
        <v>0</v>
      </c>
      <c r="D977" s="234">
        <f>'F7 - Opportunity Pipeline'!C14</f>
        <v>0</v>
      </c>
      <c r="F977" s="234">
        <f>'F7 - Opportunity Pipeline'!B14</f>
        <v>0</v>
      </c>
      <c r="AK977" s="233">
        <f>'F7 - Opportunity Pipeline'!G14</f>
        <v>0</v>
      </c>
      <c r="AO977" s="233">
        <f>'F7 - Opportunity Pipeline'!D14</f>
        <v>0</v>
      </c>
      <c r="AP977" s="233">
        <f>'F7 - Opportunity Pipeline'!E14</f>
        <v>0</v>
      </c>
      <c r="AQ977" s="233">
        <f>'F7 - Opportunity Pipeline'!F14</f>
        <v>0</v>
      </c>
    </row>
    <row r="978" spans="1:43">
      <c r="A978" s="234" t="str">
        <f>'Front Sheet and Checklist'!$C$5</f>
        <v>Swansea Bay UHB</v>
      </c>
      <c r="B978" s="234" t="s">
        <v>167</v>
      </c>
      <c r="C978" s="235">
        <f>'F7 - Opportunity Pipeline'!H15</f>
        <v>0</v>
      </c>
      <c r="D978" s="234">
        <f>'F7 - Opportunity Pipeline'!C15</f>
        <v>0</v>
      </c>
      <c r="F978" s="234">
        <f>'F7 - Opportunity Pipeline'!B15</f>
        <v>0</v>
      </c>
      <c r="AK978" s="233">
        <f>'F7 - Opportunity Pipeline'!G15</f>
        <v>0</v>
      </c>
      <c r="AO978" s="233">
        <f>'F7 - Opportunity Pipeline'!D15</f>
        <v>0</v>
      </c>
      <c r="AP978" s="233">
        <f>'F7 - Opportunity Pipeline'!E15</f>
        <v>0</v>
      </c>
      <c r="AQ978" s="233">
        <f>'F7 - Opportunity Pipeline'!F15</f>
        <v>0</v>
      </c>
    </row>
    <row r="979" spans="1:43">
      <c r="A979" s="234" t="str">
        <f>'Front Sheet and Checklist'!$C$5</f>
        <v>Swansea Bay UHB</v>
      </c>
      <c r="B979" s="234" t="s">
        <v>167</v>
      </c>
      <c r="C979" s="235">
        <f>'F7 - Opportunity Pipeline'!H16</f>
        <v>0</v>
      </c>
      <c r="D979" s="234">
        <f>'F7 - Opportunity Pipeline'!C16</f>
        <v>0</v>
      </c>
      <c r="F979" s="234">
        <f>'F7 - Opportunity Pipeline'!B16</f>
        <v>0</v>
      </c>
      <c r="AK979" s="233">
        <f>'F7 - Opportunity Pipeline'!G16</f>
        <v>0</v>
      </c>
      <c r="AO979" s="233">
        <f>'F7 - Opportunity Pipeline'!D16</f>
        <v>0</v>
      </c>
      <c r="AP979" s="233">
        <f>'F7 - Opportunity Pipeline'!E16</f>
        <v>0</v>
      </c>
      <c r="AQ979" s="233">
        <f>'F7 - Opportunity Pipeline'!F16</f>
        <v>0</v>
      </c>
    </row>
    <row r="980" spans="1:43">
      <c r="A980" s="234" t="str">
        <f>'Front Sheet and Checklist'!$C$5</f>
        <v>Swansea Bay UHB</v>
      </c>
      <c r="B980" s="234" t="s">
        <v>167</v>
      </c>
      <c r="C980" s="235">
        <f>'F7 - Opportunity Pipeline'!H17</f>
        <v>0</v>
      </c>
      <c r="D980" s="234">
        <f>'F7 - Opportunity Pipeline'!C17</f>
        <v>0</v>
      </c>
      <c r="F980" s="234">
        <f>'F7 - Opportunity Pipeline'!B17</f>
        <v>0</v>
      </c>
      <c r="AK980" s="233">
        <f>'F7 - Opportunity Pipeline'!G17</f>
        <v>0</v>
      </c>
      <c r="AO980" s="233">
        <f>'F7 - Opportunity Pipeline'!D17</f>
        <v>0</v>
      </c>
      <c r="AP980" s="233">
        <f>'F7 - Opportunity Pipeline'!E17</f>
        <v>0</v>
      </c>
      <c r="AQ980" s="233">
        <f>'F7 - Opportunity Pipeline'!F17</f>
        <v>0</v>
      </c>
    </row>
    <row r="981" spans="1:43">
      <c r="A981" s="234" t="str">
        <f>'Front Sheet and Checklist'!$C$5</f>
        <v>Swansea Bay UHB</v>
      </c>
      <c r="B981" s="234" t="s">
        <v>167</v>
      </c>
      <c r="C981" s="235">
        <f>'F7 - Opportunity Pipeline'!H18</f>
        <v>0</v>
      </c>
      <c r="D981" s="234">
        <f>'F7 - Opportunity Pipeline'!C18</f>
        <v>0</v>
      </c>
      <c r="F981" s="234">
        <f>'F7 - Opportunity Pipeline'!B18</f>
        <v>0</v>
      </c>
      <c r="AK981" s="233">
        <f>'F7 - Opportunity Pipeline'!G18</f>
        <v>0</v>
      </c>
      <c r="AO981" s="233">
        <f>'F7 - Opportunity Pipeline'!D18</f>
        <v>0</v>
      </c>
      <c r="AP981" s="233">
        <f>'F7 - Opportunity Pipeline'!E18</f>
        <v>0</v>
      </c>
      <c r="AQ981" s="233">
        <f>'F7 - Opportunity Pipeline'!F18</f>
        <v>0</v>
      </c>
    </row>
    <row r="982" spans="1:43">
      <c r="A982" s="234" t="str">
        <f>'Front Sheet and Checklist'!$C$5</f>
        <v>Swansea Bay UHB</v>
      </c>
      <c r="B982" s="234" t="s">
        <v>167</v>
      </c>
      <c r="C982" s="235">
        <f>'F7 - Opportunity Pipeline'!H19</f>
        <v>0</v>
      </c>
      <c r="D982" s="234">
        <f>'F7 - Opportunity Pipeline'!C19</f>
        <v>0</v>
      </c>
      <c r="F982" s="234">
        <f>'F7 - Opportunity Pipeline'!B19</f>
        <v>0</v>
      </c>
      <c r="AK982" s="233">
        <f>'F7 - Opportunity Pipeline'!G19</f>
        <v>0</v>
      </c>
      <c r="AO982" s="233">
        <f>'F7 - Opportunity Pipeline'!D19</f>
        <v>0</v>
      </c>
      <c r="AP982" s="233">
        <f>'F7 - Opportunity Pipeline'!E19</f>
        <v>0</v>
      </c>
      <c r="AQ982" s="233">
        <f>'F7 - Opportunity Pipeline'!F19</f>
        <v>0</v>
      </c>
    </row>
    <row r="983" spans="1:43">
      <c r="A983" s="234" t="str">
        <f>'Front Sheet and Checklist'!$C$5</f>
        <v>Swansea Bay UHB</v>
      </c>
      <c r="B983" s="234" t="s">
        <v>167</v>
      </c>
      <c r="C983" s="235">
        <f>'F7 - Opportunity Pipeline'!H20</f>
        <v>0</v>
      </c>
      <c r="D983" s="234">
        <f>'F7 - Opportunity Pipeline'!C20</f>
        <v>0</v>
      </c>
      <c r="F983" s="234">
        <f>'F7 - Opportunity Pipeline'!B20</f>
        <v>0</v>
      </c>
      <c r="AK983" s="233">
        <f>'F7 - Opportunity Pipeline'!G20</f>
        <v>0</v>
      </c>
      <c r="AO983" s="233">
        <f>'F7 - Opportunity Pipeline'!D20</f>
        <v>0</v>
      </c>
      <c r="AP983" s="233">
        <f>'F7 - Opportunity Pipeline'!E20</f>
        <v>0</v>
      </c>
      <c r="AQ983" s="233">
        <f>'F7 - Opportunity Pipeline'!F20</f>
        <v>0</v>
      </c>
    </row>
    <row r="984" spans="1:43">
      <c r="A984" s="234" t="str">
        <f>'Front Sheet and Checklist'!$C$5</f>
        <v>Swansea Bay UHB</v>
      </c>
      <c r="B984" s="234" t="s">
        <v>167</v>
      </c>
      <c r="C984" s="235">
        <f>'F7 - Opportunity Pipeline'!H21</f>
        <v>0</v>
      </c>
      <c r="D984" s="234">
        <f>'F7 - Opportunity Pipeline'!C21</f>
        <v>0</v>
      </c>
      <c r="F984" s="234">
        <f>'F7 - Opportunity Pipeline'!B21</f>
        <v>0</v>
      </c>
      <c r="AK984" s="233">
        <f>'F7 - Opportunity Pipeline'!G21</f>
        <v>0</v>
      </c>
      <c r="AO984" s="233">
        <f>'F7 - Opportunity Pipeline'!D21</f>
        <v>0</v>
      </c>
      <c r="AP984" s="233">
        <f>'F7 - Opportunity Pipeline'!E21</f>
        <v>0</v>
      </c>
      <c r="AQ984" s="233">
        <f>'F7 - Opportunity Pipeline'!F21</f>
        <v>0</v>
      </c>
    </row>
    <row r="985" spans="1:43">
      <c r="A985" s="234" t="str">
        <f>'Front Sheet and Checklist'!$C$5</f>
        <v>Swansea Bay UHB</v>
      </c>
      <c r="B985" s="234" t="s">
        <v>167</v>
      </c>
      <c r="C985" s="235">
        <f>'F7 - Opportunity Pipeline'!H22</f>
        <v>0</v>
      </c>
      <c r="D985" s="234">
        <f>'F7 - Opportunity Pipeline'!C22</f>
        <v>0</v>
      </c>
      <c r="F985" s="234">
        <f>'F7 - Opportunity Pipeline'!B22</f>
        <v>0</v>
      </c>
      <c r="AK985" s="233">
        <f>'F7 - Opportunity Pipeline'!G22</f>
        <v>0</v>
      </c>
      <c r="AO985" s="233">
        <f>'F7 - Opportunity Pipeline'!D22</f>
        <v>0</v>
      </c>
      <c r="AP985" s="233">
        <f>'F7 - Opportunity Pipeline'!E22</f>
        <v>0</v>
      </c>
      <c r="AQ985" s="233">
        <f>'F7 - Opportunity Pipeline'!F22</f>
        <v>0</v>
      </c>
    </row>
    <row r="986" spans="1:43">
      <c r="A986" s="234" t="str">
        <f>'Front Sheet and Checklist'!$C$5</f>
        <v>Swansea Bay UHB</v>
      </c>
      <c r="B986" s="234" t="s">
        <v>167</v>
      </c>
      <c r="C986" s="235">
        <f>'F7 - Opportunity Pipeline'!H23</f>
        <v>0</v>
      </c>
      <c r="D986" s="234">
        <f>'F7 - Opportunity Pipeline'!C23</f>
        <v>0</v>
      </c>
      <c r="F986" s="234">
        <f>'F7 - Opportunity Pipeline'!B23</f>
        <v>0</v>
      </c>
      <c r="AK986" s="233">
        <f>'F7 - Opportunity Pipeline'!G23</f>
        <v>0</v>
      </c>
      <c r="AO986" s="233">
        <f>'F7 - Opportunity Pipeline'!D23</f>
        <v>0</v>
      </c>
      <c r="AP986" s="233">
        <f>'F7 - Opportunity Pipeline'!E23</f>
        <v>0</v>
      </c>
      <c r="AQ986" s="233">
        <f>'F7 - Opportunity Pipeline'!F23</f>
        <v>0</v>
      </c>
    </row>
    <row r="987" spans="1:43">
      <c r="A987" s="234" t="str">
        <f>'Front Sheet and Checklist'!$C$5</f>
        <v>Swansea Bay UHB</v>
      </c>
      <c r="B987" s="234" t="s">
        <v>167</v>
      </c>
      <c r="C987" s="235">
        <f>'F7 - Opportunity Pipeline'!H24</f>
        <v>0</v>
      </c>
      <c r="D987" s="234">
        <f>'F7 - Opportunity Pipeline'!C24</f>
        <v>0</v>
      </c>
      <c r="F987" s="234">
        <f>'F7 - Opportunity Pipeline'!B24</f>
        <v>0</v>
      </c>
      <c r="AK987" s="233">
        <f>'F7 - Opportunity Pipeline'!G24</f>
        <v>0</v>
      </c>
      <c r="AO987" s="233">
        <f>'F7 - Opportunity Pipeline'!D24</f>
        <v>0</v>
      </c>
      <c r="AP987" s="233">
        <f>'F7 - Opportunity Pipeline'!E24</f>
        <v>0</v>
      </c>
      <c r="AQ987" s="233">
        <f>'F7 - Opportunity Pipeline'!F24</f>
        <v>0</v>
      </c>
    </row>
    <row r="988" spans="1:43">
      <c r="A988" s="234" t="str">
        <f>'Front Sheet and Checklist'!$C$5</f>
        <v>Swansea Bay UHB</v>
      </c>
      <c r="B988" s="234" t="s">
        <v>167</v>
      </c>
      <c r="C988" s="235">
        <f>'F7 - Opportunity Pipeline'!H25</f>
        <v>0</v>
      </c>
      <c r="D988" s="234">
        <f>'F7 - Opportunity Pipeline'!C25</f>
        <v>0</v>
      </c>
      <c r="F988" s="234">
        <f>'F7 - Opportunity Pipeline'!B25</f>
        <v>0</v>
      </c>
      <c r="AK988" s="233">
        <f>'F7 - Opportunity Pipeline'!G25</f>
        <v>0</v>
      </c>
      <c r="AO988" s="233">
        <f>'F7 - Opportunity Pipeline'!D25</f>
        <v>0</v>
      </c>
      <c r="AP988" s="233">
        <f>'F7 - Opportunity Pipeline'!E25</f>
        <v>0</v>
      </c>
      <c r="AQ988" s="233">
        <f>'F7 - Opportunity Pipeline'!F25</f>
        <v>0</v>
      </c>
    </row>
    <row r="989" spans="1:43">
      <c r="A989" s="234" t="str">
        <f>'Front Sheet and Checklist'!$C$5</f>
        <v>Swansea Bay UHB</v>
      </c>
      <c r="B989" s="234" t="s">
        <v>167</v>
      </c>
      <c r="C989" s="235">
        <f>'F7 - Opportunity Pipeline'!H26</f>
        <v>0</v>
      </c>
      <c r="D989" s="234">
        <f>'F7 - Opportunity Pipeline'!C26</f>
        <v>0</v>
      </c>
      <c r="F989" s="234">
        <f>'F7 - Opportunity Pipeline'!B26</f>
        <v>0</v>
      </c>
      <c r="AK989" s="233">
        <f>'F7 - Opportunity Pipeline'!G26</f>
        <v>0</v>
      </c>
      <c r="AO989" s="233">
        <f>'F7 - Opportunity Pipeline'!D26</f>
        <v>0</v>
      </c>
      <c r="AP989" s="233">
        <f>'F7 - Opportunity Pipeline'!E26</f>
        <v>0</v>
      </c>
      <c r="AQ989" s="233">
        <f>'F7 - Opportunity Pipeline'!F26</f>
        <v>0</v>
      </c>
    </row>
    <row r="990" spans="1:43">
      <c r="A990" s="234" t="str">
        <f>'Front Sheet and Checklist'!$C$5</f>
        <v>Swansea Bay UHB</v>
      </c>
      <c r="B990" s="234" t="s">
        <v>167</v>
      </c>
      <c r="C990" s="235">
        <f>'F7 - Opportunity Pipeline'!H27</f>
        <v>0</v>
      </c>
      <c r="D990" s="234">
        <f>'F7 - Opportunity Pipeline'!C27</f>
        <v>0</v>
      </c>
      <c r="F990" s="234">
        <f>'F7 - Opportunity Pipeline'!B27</f>
        <v>0</v>
      </c>
      <c r="AK990" s="233">
        <f>'F7 - Opportunity Pipeline'!G27</f>
        <v>0</v>
      </c>
      <c r="AO990" s="233">
        <f>'F7 - Opportunity Pipeline'!D27</f>
        <v>0</v>
      </c>
      <c r="AP990" s="233">
        <f>'F7 - Opportunity Pipeline'!E27</f>
        <v>0</v>
      </c>
      <c r="AQ990" s="233">
        <f>'F7 - Opportunity Pipeline'!F27</f>
        <v>0</v>
      </c>
    </row>
    <row r="991" spans="1:43">
      <c r="A991" s="234" t="str">
        <f>'Front Sheet and Checklist'!$C$5</f>
        <v>Swansea Bay UHB</v>
      </c>
      <c r="B991" s="234" t="s">
        <v>167</v>
      </c>
      <c r="C991" s="235">
        <f>'F7 - Opportunity Pipeline'!H28</f>
        <v>0</v>
      </c>
      <c r="D991" s="234">
        <f>'F7 - Opportunity Pipeline'!C28</f>
        <v>0</v>
      </c>
      <c r="F991" s="234">
        <f>'F7 - Opportunity Pipeline'!B28</f>
        <v>0</v>
      </c>
      <c r="AK991" s="233">
        <f>'F7 - Opportunity Pipeline'!G28</f>
        <v>0</v>
      </c>
      <c r="AO991" s="233">
        <f>'F7 - Opportunity Pipeline'!D28</f>
        <v>0</v>
      </c>
      <c r="AP991" s="233">
        <f>'F7 - Opportunity Pipeline'!E28</f>
        <v>0</v>
      </c>
      <c r="AQ991" s="233">
        <f>'F7 - Opportunity Pipeline'!F28</f>
        <v>0</v>
      </c>
    </row>
    <row r="992" spans="1:43">
      <c r="A992" s="234" t="str">
        <f>'Front Sheet and Checklist'!$C$5</f>
        <v>Swansea Bay UHB</v>
      </c>
      <c r="B992" s="234" t="s">
        <v>167</v>
      </c>
      <c r="C992" s="235">
        <f>'F7 - Opportunity Pipeline'!H29</f>
        <v>0</v>
      </c>
      <c r="D992" s="234">
        <f>'F7 - Opportunity Pipeline'!C29</f>
        <v>0</v>
      </c>
      <c r="F992" s="234">
        <f>'F7 - Opportunity Pipeline'!B29</f>
        <v>0</v>
      </c>
      <c r="AK992" s="233">
        <f>'F7 - Opportunity Pipeline'!G29</f>
        <v>0</v>
      </c>
      <c r="AO992" s="233">
        <f>'F7 - Opportunity Pipeline'!D29</f>
        <v>0</v>
      </c>
      <c r="AP992" s="233">
        <f>'F7 - Opportunity Pipeline'!E29</f>
        <v>0</v>
      </c>
      <c r="AQ992" s="233">
        <f>'F7 - Opportunity Pipeline'!F29</f>
        <v>0</v>
      </c>
    </row>
    <row r="993" spans="1:43">
      <c r="A993" s="234" t="str">
        <f>'Front Sheet and Checklist'!$C$5</f>
        <v>Swansea Bay UHB</v>
      </c>
      <c r="B993" s="234" t="s">
        <v>167</v>
      </c>
      <c r="C993" s="235">
        <f>'F7 - Opportunity Pipeline'!H30</f>
        <v>0</v>
      </c>
      <c r="D993" s="234">
        <f>'F7 - Opportunity Pipeline'!C30</f>
        <v>0</v>
      </c>
      <c r="F993" s="234">
        <f>'F7 - Opportunity Pipeline'!B30</f>
        <v>0</v>
      </c>
      <c r="AK993" s="233">
        <f>'F7 - Opportunity Pipeline'!G30</f>
        <v>0</v>
      </c>
      <c r="AO993" s="233">
        <f>'F7 - Opportunity Pipeline'!D30</f>
        <v>0</v>
      </c>
      <c r="AP993" s="233">
        <f>'F7 - Opportunity Pipeline'!E30</f>
        <v>0</v>
      </c>
      <c r="AQ993" s="233">
        <f>'F7 - Opportunity Pipeline'!F30</f>
        <v>0</v>
      </c>
    </row>
    <row r="994" spans="1:43">
      <c r="A994" s="234" t="str">
        <f>'Front Sheet and Checklist'!$C$5</f>
        <v>Swansea Bay UHB</v>
      </c>
      <c r="B994" s="234" t="s">
        <v>167</v>
      </c>
      <c r="C994" s="235">
        <f>'F7 - Opportunity Pipeline'!H31</f>
        <v>0</v>
      </c>
      <c r="D994" s="234">
        <f>'F7 - Opportunity Pipeline'!C31</f>
        <v>0</v>
      </c>
      <c r="F994" s="234">
        <f>'F7 - Opportunity Pipeline'!B31</f>
        <v>0</v>
      </c>
      <c r="AK994" s="233">
        <f>'F7 - Opportunity Pipeline'!G31</f>
        <v>0</v>
      </c>
      <c r="AO994" s="233">
        <f>'F7 - Opportunity Pipeline'!D31</f>
        <v>0</v>
      </c>
      <c r="AP994" s="233">
        <f>'F7 - Opportunity Pipeline'!E31</f>
        <v>0</v>
      </c>
      <c r="AQ994" s="233">
        <f>'F7 - Opportunity Pipeline'!F31</f>
        <v>0</v>
      </c>
    </row>
    <row r="995" spans="1:43">
      <c r="A995" s="234" t="str">
        <f>'Front Sheet and Checklist'!$C$5</f>
        <v>Swansea Bay UHB</v>
      </c>
      <c r="B995" s="234" t="s">
        <v>167</v>
      </c>
      <c r="C995" s="235">
        <f>'F7 - Opportunity Pipeline'!H32</f>
        <v>0</v>
      </c>
      <c r="D995" s="234">
        <f>'F7 - Opportunity Pipeline'!C32</f>
        <v>0</v>
      </c>
      <c r="F995" s="234">
        <f>'F7 - Opportunity Pipeline'!B32</f>
        <v>0</v>
      </c>
      <c r="AK995" s="233">
        <f>'F7 - Opportunity Pipeline'!G32</f>
        <v>0</v>
      </c>
      <c r="AO995" s="233">
        <f>'F7 - Opportunity Pipeline'!D32</f>
        <v>0</v>
      </c>
      <c r="AP995" s="233">
        <f>'F7 - Opportunity Pipeline'!E32</f>
        <v>0</v>
      </c>
      <c r="AQ995" s="233">
        <f>'F7 - Opportunity Pipeline'!F32</f>
        <v>0</v>
      </c>
    </row>
    <row r="996" spans="1:43">
      <c r="A996" s="234" t="str">
        <f>'Front Sheet and Checklist'!$C$5</f>
        <v>Swansea Bay UHB</v>
      </c>
      <c r="B996" s="234" t="s">
        <v>167</v>
      </c>
      <c r="C996" s="235">
        <f>'F7 - Opportunity Pipeline'!H33</f>
        <v>0</v>
      </c>
      <c r="D996" s="234">
        <f>'F7 - Opportunity Pipeline'!C33</f>
        <v>0</v>
      </c>
      <c r="F996" s="234">
        <f>'F7 - Opportunity Pipeline'!B33</f>
        <v>0</v>
      </c>
      <c r="AK996" s="233">
        <f>'F7 - Opportunity Pipeline'!G33</f>
        <v>0</v>
      </c>
      <c r="AO996" s="233">
        <f>'F7 - Opportunity Pipeline'!D33</f>
        <v>0</v>
      </c>
      <c r="AP996" s="233">
        <f>'F7 - Opportunity Pipeline'!E33</f>
        <v>0</v>
      </c>
      <c r="AQ996" s="233">
        <f>'F7 - Opportunity Pipeline'!F33</f>
        <v>0</v>
      </c>
    </row>
    <row r="997" spans="1:43">
      <c r="A997" s="234" t="str">
        <f>'Front Sheet and Checklist'!$C$5</f>
        <v>Swansea Bay UHB</v>
      </c>
      <c r="B997" s="234" t="s">
        <v>167</v>
      </c>
      <c r="C997" s="235">
        <f>'F7 - Opportunity Pipeline'!H34</f>
        <v>0</v>
      </c>
      <c r="D997" s="234">
        <f>'F7 - Opportunity Pipeline'!C34</f>
        <v>0</v>
      </c>
      <c r="F997" s="234">
        <f>'F7 - Opportunity Pipeline'!B34</f>
        <v>0</v>
      </c>
      <c r="AK997" s="233">
        <f>'F7 - Opportunity Pipeline'!G34</f>
        <v>0</v>
      </c>
      <c r="AO997" s="233">
        <f>'F7 - Opportunity Pipeline'!D34</f>
        <v>0</v>
      </c>
      <c r="AP997" s="233">
        <f>'F7 - Opportunity Pipeline'!E34</f>
        <v>0</v>
      </c>
      <c r="AQ997" s="233">
        <f>'F7 - Opportunity Pipeline'!F34</f>
        <v>0</v>
      </c>
    </row>
    <row r="998" spans="1:43">
      <c r="A998" s="234" t="str">
        <f>'Front Sheet and Checklist'!$C$5</f>
        <v>Swansea Bay UHB</v>
      </c>
      <c r="B998" s="234" t="s">
        <v>167</v>
      </c>
      <c r="C998" s="235">
        <f>'F7 - Opportunity Pipeline'!H35</f>
        <v>0</v>
      </c>
      <c r="D998" s="234">
        <f>'F7 - Opportunity Pipeline'!C35</f>
        <v>0</v>
      </c>
      <c r="F998" s="234">
        <f>'F7 - Opportunity Pipeline'!B35</f>
        <v>0</v>
      </c>
      <c r="AK998" s="233">
        <f>'F7 - Opportunity Pipeline'!G35</f>
        <v>0</v>
      </c>
      <c r="AO998" s="233">
        <f>'F7 - Opportunity Pipeline'!D35</f>
        <v>0</v>
      </c>
      <c r="AP998" s="233">
        <f>'F7 - Opportunity Pipeline'!E35</f>
        <v>0</v>
      </c>
      <c r="AQ998" s="233">
        <f>'F7 - Opportunity Pipeline'!F35</f>
        <v>0</v>
      </c>
    </row>
    <row r="999" spans="1:43">
      <c r="A999" s="234" t="str">
        <f>'Front Sheet and Checklist'!$C$5</f>
        <v>Swansea Bay UHB</v>
      </c>
      <c r="B999" s="234" t="s">
        <v>167</v>
      </c>
      <c r="C999" s="235">
        <f>'F7 - Opportunity Pipeline'!H36</f>
        <v>0</v>
      </c>
      <c r="D999" s="234">
        <f>'F7 - Opportunity Pipeline'!C36</f>
        <v>0</v>
      </c>
      <c r="F999" s="234">
        <f>'F7 - Opportunity Pipeline'!B36</f>
        <v>0</v>
      </c>
      <c r="AK999" s="233">
        <f>'F7 - Opportunity Pipeline'!G36</f>
        <v>0</v>
      </c>
      <c r="AO999" s="233">
        <f>'F7 - Opportunity Pipeline'!D36</f>
        <v>0</v>
      </c>
      <c r="AP999" s="233">
        <f>'F7 - Opportunity Pipeline'!E36</f>
        <v>0</v>
      </c>
      <c r="AQ999" s="233">
        <f>'F7 - Opportunity Pipeline'!F36</f>
        <v>0</v>
      </c>
    </row>
    <row r="1000" spans="1:43">
      <c r="A1000" s="234" t="str">
        <f>'Front Sheet and Checklist'!$C$5</f>
        <v>Swansea Bay UHB</v>
      </c>
      <c r="B1000" s="234" t="s">
        <v>167</v>
      </c>
      <c r="C1000" s="235">
        <f>'F7 - Opportunity Pipeline'!H37</f>
        <v>0</v>
      </c>
      <c r="D1000" s="234">
        <f>'F7 - Opportunity Pipeline'!C37</f>
        <v>0</v>
      </c>
      <c r="F1000" s="234">
        <f>'F7 - Opportunity Pipeline'!B37</f>
        <v>0</v>
      </c>
      <c r="AK1000" s="233">
        <f>'F7 - Opportunity Pipeline'!G37</f>
        <v>0</v>
      </c>
      <c r="AO1000" s="233">
        <f>'F7 - Opportunity Pipeline'!D37</f>
        <v>0</v>
      </c>
      <c r="AP1000" s="233">
        <f>'F7 - Opportunity Pipeline'!E37</f>
        <v>0</v>
      </c>
      <c r="AQ1000" s="233">
        <f>'F7 - Opportunity Pipeline'!F37</f>
        <v>0</v>
      </c>
    </row>
    <row r="1001" spans="1:43">
      <c r="A1001" s="234" t="str">
        <f>'Front Sheet and Checklist'!$C$5</f>
        <v>Swansea Bay UHB</v>
      </c>
      <c r="B1001" s="234" t="s">
        <v>167</v>
      </c>
      <c r="C1001" s="235">
        <f>'F7 - Opportunity Pipeline'!H38</f>
        <v>0</v>
      </c>
      <c r="D1001" s="234">
        <f>'F7 - Opportunity Pipeline'!C38</f>
        <v>0</v>
      </c>
      <c r="F1001" s="234">
        <f>'F7 - Opportunity Pipeline'!B38</f>
        <v>0</v>
      </c>
      <c r="AK1001" s="233">
        <f>'F7 - Opportunity Pipeline'!G38</f>
        <v>0</v>
      </c>
      <c r="AO1001" s="233">
        <f>'F7 - Opportunity Pipeline'!D38</f>
        <v>0</v>
      </c>
      <c r="AP1001" s="233">
        <f>'F7 - Opportunity Pipeline'!E38</f>
        <v>0</v>
      </c>
      <c r="AQ1001" s="233">
        <f>'F7 - Opportunity Pipeline'!F38</f>
        <v>0</v>
      </c>
    </row>
    <row r="1002" spans="1:43">
      <c r="A1002" s="234" t="str">
        <f>'Front Sheet and Checklist'!$C$5</f>
        <v>Swansea Bay UHB</v>
      </c>
      <c r="B1002" s="234" t="s">
        <v>167</v>
      </c>
      <c r="C1002" s="235">
        <f>'F7 - Opportunity Pipeline'!H39</f>
        <v>0</v>
      </c>
      <c r="D1002" s="234">
        <f>'F7 - Opportunity Pipeline'!C39</f>
        <v>0</v>
      </c>
      <c r="F1002" s="234">
        <f>'F7 - Opportunity Pipeline'!B39</f>
        <v>0</v>
      </c>
      <c r="AK1002" s="233">
        <f>'F7 - Opportunity Pipeline'!G39</f>
        <v>0</v>
      </c>
      <c r="AO1002" s="233">
        <f>'F7 - Opportunity Pipeline'!D39</f>
        <v>0</v>
      </c>
      <c r="AP1002" s="233">
        <f>'F7 - Opportunity Pipeline'!E39</f>
        <v>0</v>
      </c>
      <c r="AQ1002" s="233">
        <f>'F7 - Opportunity Pipeline'!F39</f>
        <v>0</v>
      </c>
    </row>
    <row r="1003" spans="1:43">
      <c r="A1003" s="234" t="str">
        <f>'Front Sheet and Checklist'!$C$5</f>
        <v>Swansea Bay UHB</v>
      </c>
      <c r="B1003" s="234" t="s">
        <v>167</v>
      </c>
      <c r="C1003" s="235">
        <f>'F7 - Opportunity Pipeline'!H40</f>
        <v>0</v>
      </c>
      <c r="D1003" s="234">
        <f>'F7 - Opportunity Pipeline'!C40</f>
        <v>0</v>
      </c>
      <c r="F1003" s="234">
        <f>'F7 - Opportunity Pipeline'!B40</f>
        <v>0</v>
      </c>
      <c r="AK1003" s="233">
        <f>'F7 - Opportunity Pipeline'!G40</f>
        <v>0</v>
      </c>
      <c r="AO1003" s="233">
        <f>'F7 - Opportunity Pipeline'!D40</f>
        <v>0</v>
      </c>
      <c r="AP1003" s="233">
        <f>'F7 - Opportunity Pipeline'!E40</f>
        <v>0</v>
      </c>
      <c r="AQ1003" s="233">
        <f>'F7 - Opportunity Pipeline'!F40</f>
        <v>0</v>
      </c>
    </row>
    <row r="1004" spans="1:43">
      <c r="A1004" s="234" t="str">
        <f>'Front Sheet and Checklist'!$C$5</f>
        <v>Swansea Bay UHB</v>
      </c>
      <c r="B1004" s="234" t="s">
        <v>167</v>
      </c>
      <c r="C1004" s="235">
        <f>'F7 - Opportunity Pipeline'!H41</f>
        <v>0</v>
      </c>
      <c r="D1004" s="234">
        <f>'F7 - Opportunity Pipeline'!C41</f>
        <v>0</v>
      </c>
      <c r="F1004" s="234">
        <f>'F7 - Opportunity Pipeline'!B41</f>
        <v>0</v>
      </c>
      <c r="AK1004" s="233">
        <f>'F7 - Opportunity Pipeline'!G41</f>
        <v>0</v>
      </c>
      <c r="AO1004" s="233">
        <f>'F7 - Opportunity Pipeline'!D41</f>
        <v>0</v>
      </c>
      <c r="AP1004" s="233">
        <f>'F7 - Opportunity Pipeline'!E41</f>
        <v>0</v>
      </c>
      <c r="AQ1004" s="233">
        <f>'F7 - Opportunity Pipeline'!F41</f>
        <v>0</v>
      </c>
    </row>
    <row r="1005" spans="1:43">
      <c r="A1005" s="234" t="str">
        <f>'Front Sheet and Checklist'!$C$5</f>
        <v>Swansea Bay UHB</v>
      </c>
      <c r="B1005" s="234" t="s">
        <v>167</v>
      </c>
      <c r="C1005" s="235">
        <f>'F7 - Opportunity Pipeline'!H42</f>
        <v>0</v>
      </c>
      <c r="D1005" s="234">
        <f>'F7 - Opportunity Pipeline'!C42</f>
        <v>0</v>
      </c>
      <c r="F1005" s="234">
        <f>'F7 - Opportunity Pipeline'!B42</f>
        <v>0</v>
      </c>
      <c r="AK1005" s="233">
        <f>'F7 - Opportunity Pipeline'!G42</f>
        <v>0</v>
      </c>
      <c r="AO1005" s="233">
        <f>'F7 - Opportunity Pipeline'!D42</f>
        <v>0</v>
      </c>
      <c r="AP1005" s="233">
        <f>'F7 - Opportunity Pipeline'!E42</f>
        <v>0</v>
      </c>
      <c r="AQ1005" s="233">
        <f>'F7 - Opportunity Pipeline'!F42</f>
        <v>0</v>
      </c>
    </row>
    <row r="1006" spans="1:43">
      <c r="A1006" s="234" t="str">
        <f>'Front Sheet and Checklist'!$C$5</f>
        <v>Swansea Bay UHB</v>
      </c>
      <c r="B1006" s="234" t="s">
        <v>167</v>
      </c>
      <c r="C1006" s="235">
        <f>'F7 - Opportunity Pipeline'!H43</f>
        <v>0</v>
      </c>
      <c r="D1006" s="234">
        <f>'F7 - Opportunity Pipeline'!C43</f>
        <v>0</v>
      </c>
      <c r="F1006" s="234">
        <f>'F7 - Opportunity Pipeline'!B43</f>
        <v>0</v>
      </c>
      <c r="AK1006" s="233">
        <f>'F7 - Opportunity Pipeline'!G43</f>
        <v>0</v>
      </c>
      <c r="AO1006" s="233">
        <f>'F7 - Opportunity Pipeline'!D43</f>
        <v>0</v>
      </c>
      <c r="AP1006" s="233">
        <f>'F7 - Opportunity Pipeline'!E43</f>
        <v>0</v>
      </c>
      <c r="AQ1006" s="233">
        <f>'F7 - Opportunity Pipeline'!F43</f>
        <v>0</v>
      </c>
    </row>
    <row r="1007" spans="1:43">
      <c r="A1007" s="234" t="str">
        <f>'Front Sheet and Checklist'!$C$5</f>
        <v>Swansea Bay UHB</v>
      </c>
      <c r="B1007" s="234" t="s">
        <v>167</v>
      </c>
      <c r="C1007" s="235">
        <f>'F7 - Opportunity Pipeline'!H44</f>
        <v>0</v>
      </c>
      <c r="D1007" s="234">
        <f>'F7 - Opportunity Pipeline'!C44</f>
        <v>0</v>
      </c>
      <c r="F1007" s="234">
        <f>'F7 - Opportunity Pipeline'!B44</f>
        <v>0</v>
      </c>
      <c r="AK1007" s="233">
        <f>'F7 - Opportunity Pipeline'!G44</f>
        <v>0</v>
      </c>
      <c r="AO1007" s="233">
        <f>'F7 - Opportunity Pipeline'!D44</f>
        <v>0</v>
      </c>
      <c r="AP1007" s="233">
        <f>'F7 - Opportunity Pipeline'!E44</f>
        <v>0</v>
      </c>
      <c r="AQ1007" s="233">
        <f>'F7 - Opportunity Pipeline'!F44</f>
        <v>0</v>
      </c>
    </row>
    <row r="1008" spans="1:43">
      <c r="A1008" s="234" t="str">
        <f>'Front Sheet and Checklist'!$C$5</f>
        <v>Swansea Bay UHB</v>
      </c>
      <c r="B1008" s="234" t="s">
        <v>167</v>
      </c>
      <c r="C1008" s="235">
        <f>'F7 - Opportunity Pipeline'!H45</f>
        <v>0</v>
      </c>
      <c r="D1008" s="234">
        <f>'F7 - Opportunity Pipeline'!C45</f>
        <v>0</v>
      </c>
      <c r="F1008" s="234">
        <f>'F7 - Opportunity Pipeline'!B45</f>
        <v>0</v>
      </c>
      <c r="AK1008" s="233">
        <f>'F7 - Opportunity Pipeline'!G45</f>
        <v>0</v>
      </c>
      <c r="AO1008" s="233">
        <f>'F7 - Opportunity Pipeline'!D45</f>
        <v>0</v>
      </c>
      <c r="AP1008" s="233">
        <f>'F7 - Opportunity Pipeline'!E45</f>
        <v>0</v>
      </c>
      <c r="AQ1008" s="233">
        <f>'F7 - Opportunity Pipeline'!F45</f>
        <v>0</v>
      </c>
    </row>
    <row r="1009" spans="1:43">
      <c r="A1009" s="234" t="str">
        <f>'Front Sheet and Checklist'!$C$5</f>
        <v>Swansea Bay UHB</v>
      </c>
      <c r="B1009" s="234" t="s">
        <v>167</v>
      </c>
      <c r="C1009" s="235">
        <f>'F7 - Opportunity Pipeline'!H46</f>
        <v>0</v>
      </c>
      <c r="D1009" s="234">
        <f>'F7 - Opportunity Pipeline'!C46</f>
        <v>0</v>
      </c>
      <c r="F1009" s="234">
        <f>'F7 - Opportunity Pipeline'!B46</f>
        <v>0</v>
      </c>
      <c r="AK1009" s="233">
        <f>'F7 - Opportunity Pipeline'!G46</f>
        <v>0</v>
      </c>
      <c r="AO1009" s="233">
        <f>'F7 - Opportunity Pipeline'!D46</f>
        <v>0</v>
      </c>
      <c r="AP1009" s="233">
        <f>'F7 - Opportunity Pipeline'!E46</f>
        <v>0</v>
      </c>
      <c r="AQ1009" s="233">
        <f>'F7 - Opportunity Pipeline'!F46</f>
        <v>0</v>
      </c>
    </row>
    <row r="1010" spans="1:43">
      <c r="A1010" s="234" t="str">
        <f>'Front Sheet and Checklist'!$C$5</f>
        <v>Swansea Bay UHB</v>
      </c>
      <c r="B1010" s="234" t="s">
        <v>167</v>
      </c>
      <c r="C1010" s="235">
        <f>'F7 - Opportunity Pipeline'!H47</f>
        <v>0</v>
      </c>
      <c r="D1010" s="234">
        <f>'F7 - Opportunity Pipeline'!C47</f>
        <v>0</v>
      </c>
      <c r="F1010" s="234">
        <f>'F7 - Opportunity Pipeline'!B47</f>
        <v>0</v>
      </c>
      <c r="AK1010" s="233">
        <f>'F7 - Opportunity Pipeline'!G47</f>
        <v>0</v>
      </c>
      <c r="AO1010" s="233">
        <f>'F7 - Opportunity Pipeline'!D47</f>
        <v>0</v>
      </c>
      <c r="AP1010" s="233">
        <f>'F7 - Opportunity Pipeline'!E47</f>
        <v>0</v>
      </c>
      <c r="AQ1010" s="233">
        <f>'F7 - Opportunity Pipeline'!F47</f>
        <v>0</v>
      </c>
    </row>
    <row r="1011" spans="1:43">
      <c r="A1011" s="234" t="str">
        <f>'Front Sheet and Checklist'!$C$5</f>
        <v>Swansea Bay UHB</v>
      </c>
      <c r="B1011" s="234" t="s">
        <v>167</v>
      </c>
      <c r="C1011" s="235">
        <f>'F7 - Opportunity Pipeline'!H48</f>
        <v>0</v>
      </c>
      <c r="D1011" s="234">
        <f>'F7 - Opportunity Pipeline'!C48</f>
        <v>0</v>
      </c>
      <c r="F1011" s="234">
        <f>'F7 - Opportunity Pipeline'!B48</f>
        <v>0</v>
      </c>
      <c r="AK1011" s="233">
        <f>'F7 - Opportunity Pipeline'!G48</f>
        <v>0</v>
      </c>
      <c r="AO1011" s="233">
        <f>'F7 - Opportunity Pipeline'!D48</f>
        <v>0</v>
      </c>
      <c r="AP1011" s="233">
        <f>'F7 - Opportunity Pipeline'!E48</f>
        <v>0</v>
      </c>
      <c r="AQ1011" s="233">
        <f>'F7 - Opportunity Pipeline'!F48</f>
        <v>0</v>
      </c>
    </row>
    <row r="1012" spans="1:43">
      <c r="A1012" s="234" t="str">
        <f>'Front Sheet and Checklist'!$C$5</f>
        <v>Swansea Bay UHB</v>
      </c>
      <c r="B1012" s="234" t="s">
        <v>167</v>
      </c>
      <c r="C1012" s="235">
        <f>'F7 - Opportunity Pipeline'!H49</f>
        <v>0</v>
      </c>
      <c r="D1012" s="234">
        <f>'F7 - Opportunity Pipeline'!C49</f>
        <v>0</v>
      </c>
      <c r="F1012" s="234">
        <f>'F7 - Opportunity Pipeline'!B49</f>
        <v>0</v>
      </c>
      <c r="AK1012" s="233">
        <f>'F7 - Opportunity Pipeline'!G49</f>
        <v>0</v>
      </c>
      <c r="AO1012" s="233">
        <f>'F7 - Opportunity Pipeline'!D49</f>
        <v>0</v>
      </c>
      <c r="AP1012" s="233">
        <f>'F7 - Opportunity Pipeline'!E49</f>
        <v>0</v>
      </c>
      <c r="AQ1012" s="233">
        <f>'F7 - Opportunity Pipeline'!F49</f>
        <v>0</v>
      </c>
    </row>
    <row r="1013" spans="1:43">
      <c r="A1013" s="234" t="str">
        <f>'Front Sheet and Checklist'!$C$5</f>
        <v>Swansea Bay UHB</v>
      </c>
      <c r="B1013" s="234" t="s">
        <v>167</v>
      </c>
      <c r="C1013" s="235">
        <f>'F7 - Opportunity Pipeline'!H50</f>
        <v>0</v>
      </c>
      <c r="D1013" s="234">
        <f>'F7 - Opportunity Pipeline'!C50</f>
        <v>0</v>
      </c>
      <c r="F1013" s="234">
        <f>'F7 - Opportunity Pipeline'!B50</f>
        <v>0</v>
      </c>
      <c r="AK1013" s="233">
        <f>'F7 - Opportunity Pipeline'!G50</f>
        <v>0</v>
      </c>
      <c r="AO1013" s="233">
        <f>'F7 - Opportunity Pipeline'!D50</f>
        <v>0</v>
      </c>
      <c r="AP1013" s="233">
        <f>'F7 - Opportunity Pipeline'!E50</f>
        <v>0</v>
      </c>
      <c r="AQ1013" s="233">
        <f>'F7 - Opportunity Pipeline'!F50</f>
        <v>0</v>
      </c>
    </row>
    <row r="1014" spans="1:43">
      <c r="A1014" s="234" t="str">
        <f>'Front Sheet and Checklist'!$C$5</f>
        <v>Swansea Bay UHB</v>
      </c>
      <c r="B1014" s="234" t="s">
        <v>167</v>
      </c>
      <c r="C1014" s="235">
        <f>'F7 - Opportunity Pipeline'!H51</f>
        <v>0</v>
      </c>
      <c r="D1014" s="234">
        <f>'F7 - Opportunity Pipeline'!C51</f>
        <v>0</v>
      </c>
      <c r="F1014" s="234">
        <f>'F7 - Opportunity Pipeline'!B51</f>
        <v>0</v>
      </c>
      <c r="AK1014" s="233">
        <f>'F7 - Opportunity Pipeline'!G51</f>
        <v>0</v>
      </c>
      <c r="AO1014" s="233">
        <f>'F7 - Opportunity Pipeline'!D51</f>
        <v>0</v>
      </c>
      <c r="AP1014" s="233">
        <f>'F7 - Opportunity Pipeline'!E51</f>
        <v>0</v>
      </c>
      <c r="AQ1014" s="233">
        <f>'F7 - Opportunity Pipeline'!F51</f>
        <v>0</v>
      </c>
    </row>
    <row r="1015" spans="1:43">
      <c r="A1015" s="234" t="str">
        <f>'Front Sheet and Checklist'!$C$5</f>
        <v>Swansea Bay UHB</v>
      </c>
      <c r="B1015" s="234" t="s">
        <v>167</v>
      </c>
      <c r="C1015" s="235">
        <f>'F7 - Opportunity Pipeline'!H52</f>
        <v>0</v>
      </c>
      <c r="D1015" s="234">
        <f>'F7 - Opportunity Pipeline'!C52</f>
        <v>0</v>
      </c>
      <c r="F1015" s="234">
        <f>'F7 - Opportunity Pipeline'!B52</f>
        <v>0</v>
      </c>
      <c r="AK1015" s="233">
        <f>'F7 - Opportunity Pipeline'!G52</f>
        <v>0</v>
      </c>
      <c r="AO1015" s="233">
        <f>'F7 - Opportunity Pipeline'!D52</f>
        <v>0</v>
      </c>
      <c r="AP1015" s="233">
        <f>'F7 - Opportunity Pipeline'!E52</f>
        <v>0</v>
      </c>
      <c r="AQ1015" s="233">
        <f>'F7 - Opportunity Pipeline'!F52</f>
        <v>0</v>
      </c>
    </row>
    <row r="1016" spans="1:43">
      <c r="A1016" s="234" t="str">
        <f>'Front Sheet and Checklist'!$C$5</f>
        <v>Swansea Bay UHB</v>
      </c>
      <c r="B1016" s="234" t="s">
        <v>167</v>
      </c>
      <c r="C1016" s="235">
        <f>'F7 - Opportunity Pipeline'!H53</f>
        <v>0</v>
      </c>
      <c r="D1016" s="234">
        <f>'F7 - Opportunity Pipeline'!C53</f>
        <v>0</v>
      </c>
      <c r="F1016" s="234">
        <f>'F7 - Opportunity Pipeline'!B53</f>
        <v>0</v>
      </c>
      <c r="AK1016" s="233">
        <f>'F7 - Opportunity Pipeline'!G53</f>
        <v>0</v>
      </c>
      <c r="AO1016" s="233">
        <f>'F7 - Opportunity Pipeline'!D53</f>
        <v>0</v>
      </c>
      <c r="AP1016" s="233">
        <f>'F7 - Opportunity Pipeline'!E53</f>
        <v>0</v>
      </c>
      <c r="AQ1016" s="233">
        <f>'F7 - Opportunity Pipeline'!F53</f>
        <v>0</v>
      </c>
    </row>
    <row r="1017" spans="1:43">
      <c r="A1017" s="234" t="str">
        <f>'Front Sheet and Checklist'!$C$5</f>
        <v>Swansea Bay UHB</v>
      </c>
      <c r="B1017" s="234" t="s">
        <v>167</v>
      </c>
      <c r="C1017" s="235">
        <f>'F7 - Opportunity Pipeline'!H54</f>
        <v>0</v>
      </c>
      <c r="D1017" s="234">
        <f>'F7 - Opportunity Pipeline'!C54</f>
        <v>0</v>
      </c>
      <c r="F1017" s="234">
        <f>'F7 - Opportunity Pipeline'!B54</f>
        <v>0</v>
      </c>
      <c r="AK1017" s="233">
        <f>'F7 - Opportunity Pipeline'!G54</f>
        <v>0</v>
      </c>
      <c r="AO1017" s="233">
        <f>'F7 - Opportunity Pipeline'!D54</f>
        <v>0</v>
      </c>
      <c r="AP1017" s="233">
        <f>'F7 - Opportunity Pipeline'!E54</f>
        <v>0</v>
      </c>
      <c r="AQ1017" s="233">
        <f>'F7 - Opportunity Pipeline'!F54</f>
        <v>0</v>
      </c>
    </row>
    <row r="1018" spans="1:43">
      <c r="A1018" s="234" t="str">
        <f>'Front Sheet and Checklist'!$C$5</f>
        <v>Swansea Bay UHB</v>
      </c>
      <c r="B1018" s="234" t="s">
        <v>167</v>
      </c>
      <c r="C1018" s="235">
        <f>'F7 - Opportunity Pipeline'!H55</f>
        <v>0</v>
      </c>
      <c r="D1018" s="234">
        <f>'F7 - Opportunity Pipeline'!C55</f>
        <v>0</v>
      </c>
      <c r="F1018" s="234">
        <f>'F7 - Opportunity Pipeline'!B55</f>
        <v>0</v>
      </c>
      <c r="AK1018" s="233">
        <f>'F7 - Opportunity Pipeline'!G55</f>
        <v>0</v>
      </c>
      <c r="AO1018" s="233">
        <f>'F7 - Opportunity Pipeline'!D55</f>
        <v>0</v>
      </c>
      <c r="AP1018" s="233">
        <f>'F7 - Opportunity Pipeline'!E55</f>
        <v>0</v>
      </c>
      <c r="AQ1018" s="233">
        <f>'F7 - Opportunity Pipeline'!F55</f>
        <v>0</v>
      </c>
    </row>
    <row r="1019" spans="1:43">
      <c r="A1019" s="234" t="str">
        <f>'Front Sheet and Checklist'!$C$5</f>
        <v>Swansea Bay UHB</v>
      </c>
      <c r="B1019" s="234" t="s">
        <v>167</v>
      </c>
      <c r="C1019" s="235">
        <f>'F7 - Opportunity Pipeline'!H56</f>
        <v>0</v>
      </c>
      <c r="D1019" s="234">
        <f>'F7 - Opportunity Pipeline'!C56</f>
        <v>0</v>
      </c>
      <c r="F1019" s="234">
        <f>'F7 - Opportunity Pipeline'!B56</f>
        <v>0</v>
      </c>
      <c r="AK1019" s="233">
        <f>'F7 - Opportunity Pipeline'!G56</f>
        <v>0</v>
      </c>
      <c r="AO1019" s="233">
        <f>'F7 - Opportunity Pipeline'!D56</f>
        <v>0</v>
      </c>
      <c r="AP1019" s="233">
        <f>'F7 - Opportunity Pipeline'!E56</f>
        <v>0</v>
      </c>
      <c r="AQ1019" s="233">
        <f>'F7 - Opportunity Pipeline'!F56</f>
        <v>0</v>
      </c>
    </row>
    <row r="1020" spans="1:43">
      <c r="A1020" s="234" t="str">
        <f>'Front Sheet and Checklist'!$C$5</f>
        <v>Swansea Bay UHB</v>
      </c>
      <c r="B1020" s="234" t="s">
        <v>167</v>
      </c>
      <c r="C1020" s="235">
        <f>'F7 - Opportunity Pipeline'!H57</f>
        <v>0</v>
      </c>
      <c r="D1020" s="234">
        <f>'F7 - Opportunity Pipeline'!C57</f>
        <v>0</v>
      </c>
      <c r="F1020" s="234">
        <f>'F7 - Opportunity Pipeline'!B57</f>
        <v>0</v>
      </c>
      <c r="AK1020" s="233">
        <f>'F7 - Opportunity Pipeline'!G57</f>
        <v>0</v>
      </c>
      <c r="AO1020" s="233">
        <f>'F7 - Opportunity Pipeline'!D57</f>
        <v>0</v>
      </c>
      <c r="AP1020" s="233">
        <f>'F7 - Opportunity Pipeline'!E57</f>
        <v>0</v>
      </c>
      <c r="AQ1020" s="233">
        <f>'F7 - Opportunity Pipeline'!F57</f>
        <v>0</v>
      </c>
    </row>
    <row r="1021" spans="1:43">
      <c r="A1021" s="234" t="str">
        <f>'Front Sheet and Checklist'!$C$5</f>
        <v>Swansea Bay UHB</v>
      </c>
      <c r="B1021" s="234" t="s">
        <v>167</v>
      </c>
      <c r="C1021" s="235">
        <f>'F7 - Opportunity Pipeline'!H58</f>
        <v>0</v>
      </c>
      <c r="D1021" s="234">
        <f>'F7 - Opportunity Pipeline'!C58</f>
        <v>0</v>
      </c>
      <c r="F1021" s="234">
        <f>'F7 - Opportunity Pipeline'!B58</f>
        <v>0</v>
      </c>
      <c r="AK1021" s="233">
        <f>'F7 - Opportunity Pipeline'!G58</f>
        <v>0</v>
      </c>
      <c r="AO1021" s="233">
        <f>'F7 - Opportunity Pipeline'!D58</f>
        <v>0</v>
      </c>
      <c r="AP1021" s="233">
        <f>'F7 - Opportunity Pipeline'!E58</f>
        <v>0</v>
      </c>
      <c r="AQ1021" s="233">
        <f>'F7 - Opportunity Pipeline'!F58</f>
        <v>0</v>
      </c>
    </row>
    <row r="1022" spans="1:43">
      <c r="A1022" s="234" t="str">
        <f>'Front Sheet and Checklist'!$C$5</f>
        <v>Swansea Bay UHB</v>
      </c>
      <c r="B1022" s="234" t="s">
        <v>167</v>
      </c>
      <c r="C1022" s="235">
        <f>'F7 - Opportunity Pipeline'!H59</f>
        <v>0</v>
      </c>
      <c r="D1022" s="234">
        <f>'F7 - Opportunity Pipeline'!C59</f>
        <v>0</v>
      </c>
      <c r="F1022" s="234">
        <f>'F7 - Opportunity Pipeline'!B59</f>
        <v>0</v>
      </c>
      <c r="AK1022" s="233">
        <f>'F7 - Opportunity Pipeline'!G59</f>
        <v>0</v>
      </c>
      <c r="AO1022" s="233">
        <f>'F7 - Opportunity Pipeline'!D59</f>
        <v>0</v>
      </c>
      <c r="AP1022" s="233">
        <f>'F7 - Opportunity Pipeline'!E59</f>
        <v>0</v>
      </c>
      <c r="AQ1022" s="233">
        <f>'F7 - Opportunity Pipeline'!F59</f>
        <v>0</v>
      </c>
    </row>
    <row r="1023" spans="1:43">
      <c r="A1023" s="234" t="str">
        <f>'Front Sheet and Checklist'!$C$5</f>
        <v>Swansea Bay UHB</v>
      </c>
      <c r="B1023" s="234" t="s">
        <v>167</v>
      </c>
      <c r="C1023" s="235">
        <f>'F7 - Opportunity Pipeline'!H60</f>
        <v>0</v>
      </c>
      <c r="D1023" s="234">
        <f>'F7 - Opportunity Pipeline'!C60</f>
        <v>0</v>
      </c>
      <c r="F1023" s="234">
        <f>'F7 - Opportunity Pipeline'!B60</f>
        <v>0</v>
      </c>
      <c r="AK1023" s="233">
        <f>'F7 - Opportunity Pipeline'!G60</f>
        <v>0</v>
      </c>
      <c r="AO1023" s="233">
        <f>'F7 - Opportunity Pipeline'!D60</f>
        <v>0</v>
      </c>
      <c r="AP1023" s="233">
        <f>'F7 - Opportunity Pipeline'!E60</f>
        <v>0</v>
      </c>
      <c r="AQ1023" s="233">
        <f>'F7 - Opportunity Pipeline'!F60</f>
        <v>0</v>
      </c>
    </row>
    <row r="1024" spans="1:43">
      <c r="A1024" s="234" t="str">
        <f>'Front Sheet and Checklist'!$C$5</f>
        <v>Swansea Bay UHB</v>
      </c>
      <c r="B1024" s="234" t="s">
        <v>167</v>
      </c>
      <c r="C1024" s="235">
        <f>'F7 - Opportunity Pipeline'!H61</f>
        <v>0</v>
      </c>
      <c r="D1024" s="234">
        <f>'F7 - Opportunity Pipeline'!C61</f>
        <v>0</v>
      </c>
      <c r="F1024" s="234">
        <f>'F7 - Opportunity Pipeline'!B61</f>
        <v>0</v>
      </c>
      <c r="AK1024" s="233">
        <f>'F7 - Opportunity Pipeline'!G61</f>
        <v>0</v>
      </c>
      <c r="AO1024" s="233">
        <f>'F7 - Opportunity Pipeline'!D61</f>
        <v>0</v>
      </c>
      <c r="AP1024" s="233">
        <f>'F7 - Opportunity Pipeline'!E61</f>
        <v>0</v>
      </c>
      <c r="AQ1024" s="233">
        <f>'F7 - Opportunity Pipeline'!F61</f>
        <v>0</v>
      </c>
    </row>
    <row r="1025" spans="1:43">
      <c r="A1025" s="234" t="str">
        <f>'Front Sheet and Checklist'!$C$5</f>
        <v>Swansea Bay UHB</v>
      </c>
      <c r="B1025" s="234" t="s">
        <v>167</v>
      </c>
      <c r="C1025" s="235">
        <f>'F7 - Opportunity Pipeline'!H62</f>
        <v>0</v>
      </c>
      <c r="D1025" s="234">
        <f>'F7 - Opportunity Pipeline'!C62</f>
        <v>0</v>
      </c>
      <c r="F1025" s="234">
        <f>'F7 - Opportunity Pipeline'!B62</f>
        <v>0</v>
      </c>
      <c r="AK1025" s="233">
        <f>'F7 - Opportunity Pipeline'!G62</f>
        <v>0</v>
      </c>
      <c r="AO1025" s="233">
        <f>'F7 - Opportunity Pipeline'!D62</f>
        <v>0</v>
      </c>
      <c r="AP1025" s="233">
        <f>'F7 - Opportunity Pipeline'!E62</f>
        <v>0</v>
      </c>
      <c r="AQ1025" s="233">
        <f>'F7 - Opportunity Pipeline'!F62</f>
        <v>0</v>
      </c>
    </row>
    <row r="1026" spans="1:43">
      <c r="A1026" s="234" t="str">
        <f>'Front Sheet and Checklist'!$C$5</f>
        <v>Swansea Bay UHB</v>
      </c>
      <c r="B1026" s="234" t="s">
        <v>167</v>
      </c>
      <c r="C1026" s="235">
        <f>'F7 - Opportunity Pipeline'!H63</f>
        <v>0</v>
      </c>
      <c r="D1026" s="234">
        <f>'F7 - Opportunity Pipeline'!C63</f>
        <v>0</v>
      </c>
      <c r="F1026" s="234">
        <f>'F7 - Opportunity Pipeline'!B63</f>
        <v>0</v>
      </c>
      <c r="AK1026" s="233">
        <f>'F7 - Opportunity Pipeline'!G63</f>
        <v>0</v>
      </c>
      <c r="AO1026" s="233">
        <f>'F7 - Opportunity Pipeline'!D63</f>
        <v>0</v>
      </c>
      <c r="AP1026" s="233">
        <f>'F7 - Opportunity Pipeline'!E63</f>
        <v>0</v>
      </c>
      <c r="AQ1026" s="233">
        <f>'F7 - Opportunity Pipeline'!F63</f>
        <v>0</v>
      </c>
    </row>
    <row r="1027" spans="1:43">
      <c r="A1027" s="234" t="str">
        <f>'Front Sheet and Checklist'!$C$5</f>
        <v>Swansea Bay UHB</v>
      </c>
      <c r="B1027" s="234" t="s">
        <v>167</v>
      </c>
      <c r="C1027" s="235">
        <f>'F7 - Opportunity Pipeline'!H64</f>
        <v>0</v>
      </c>
      <c r="D1027" s="234">
        <f>'F7 - Opportunity Pipeline'!C64</f>
        <v>0</v>
      </c>
      <c r="F1027" s="234">
        <f>'F7 - Opportunity Pipeline'!B64</f>
        <v>0</v>
      </c>
      <c r="AK1027" s="233">
        <f>'F7 - Opportunity Pipeline'!G64</f>
        <v>0</v>
      </c>
      <c r="AO1027" s="233">
        <f>'F7 - Opportunity Pipeline'!D64</f>
        <v>0</v>
      </c>
      <c r="AP1027" s="233">
        <f>'F7 - Opportunity Pipeline'!E64</f>
        <v>0</v>
      </c>
      <c r="AQ1027" s="233">
        <f>'F7 - Opportunity Pipeline'!F64</f>
        <v>0</v>
      </c>
    </row>
    <row r="1028" spans="1:43">
      <c r="A1028" s="234" t="str">
        <f>'Front Sheet and Checklist'!$C$5</f>
        <v>Swansea Bay UHB</v>
      </c>
      <c r="B1028" s="234" t="s">
        <v>167</v>
      </c>
      <c r="C1028" s="235">
        <f>'F7 - Opportunity Pipeline'!H65</f>
        <v>0</v>
      </c>
      <c r="D1028" s="234">
        <f>'F7 - Opportunity Pipeline'!C65</f>
        <v>0</v>
      </c>
      <c r="F1028" s="234">
        <f>'F7 - Opportunity Pipeline'!B65</f>
        <v>0</v>
      </c>
      <c r="AK1028" s="233">
        <f>'F7 - Opportunity Pipeline'!G65</f>
        <v>0</v>
      </c>
      <c r="AO1028" s="233">
        <f>'F7 - Opportunity Pipeline'!D65</f>
        <v>0</v>
      </c>
      <c r="AP1028" s="233">
        <f>'F7 - Opportunity Pipeline'!E65</f>
        <v>0</v>
      </c>
      <c r="AQ1028" s="233">
        <f>'F7 - Opportunity Pipeline'!F65</f>
        <v>0</v>
      </c>
    </row>
    <row r="1029" spans="1:43">
      <c r="A1029" s="234" t="str">
        <f>'Front Sheet and Checklist'!$C$5</f>
        <v>Swansea Bay UHB</v>
      </c>
      <c r="B1029" s="234" t="s">
        <v>167</v>
      </c>
      <c r="C1029" s="235">
        <f>'F7 - Opportunity Pipeline'!H66</f>
        <v>0</v>
      </c>
      <c r="D1029" s="234">
        <f>'F7 - Opportunity Pipeline'!C66</f>
        <v>0</v>
      </c>
      <c r="F1029" s="234">
        <f>'F7 - Opportunity Pipeline'!B66</f>
        <v>0</v>
      </c>
      <c r="AK1029" s="233">
        <f>'F7 - Opportunity Pipeline'!G66</f>
        <v>0</v>
      </c>
      <c r="AO1029" s="233">
        <f>'F7 - Opportunity Pipeline'!D66</f>
        <v>0</v>
      </c>
      <c r="AP1029" s="233">
        <f>'F7 - Opportunity Pipeline'!E66</f>
        <v>0</v>
      </c>
      <c r="AQ1029" s="233">
        <f>'F7 - Opportunity Pipeline'!F66</f>
        <v>0</v>
      </c>
    </row>
    <row r="1030" spans="1:43">
      <c r="A1030" s="234" t="str">
        <f>'Front Sheet and Checklist'!$C$5</f>
        <v>Swansea Bay UHB</v>
      </c>
      <c r="B1030" s="234" t="s">
        <v>167</v>
      </c>
      <c r="C1030" s="235">
        <f>'F7 - Opportunity Pipeline'!H67</f>
        <v>0</v>
      </c>
      <c r="D1030" s="234">
        <f>'F7 - Opportunity Pipeline'!C67</f>
        <v>0</v>
      </c>
      <c r="F1030" s="234">
        <f>'F7 - Opportunity Pipeline'!B67</f>
        <v>0</v>
      </c>
      <c r="AK1030" s="233">
        <f>'F7 - Opportunity Pipeline'!G67</f>
        <v>0</v>
      </c>
      <c r="AO1030" s="233">
        <f>'F7 - Opportunity Pipeline'!D67</f>
        <v>0</v>
      </c>
      <c r="AP1030" s="233">
        <f>'F7 - Opportunity Pipeline'!E67</f>
        <v>0</v>
      </c>
      <c r="AQ1030" s="233">
        <f>'F7 - Opportunity Pipeline'!F67</f>
        <v>0</v>
      </c>
    </row>
    <row r="1031" spans="1:43">
      <c r="A1031" s="234" t="str">
        <f>'Front Sheet and Checklist'!$C$5</f>
        <v>Swansea Bay UHB</v>
      </c>
      <c r="B1031" s="234" t="s">
        <v>167</v>
      </c>
      <c r="C1031" s="235">
        <f>'F7 - Opportunity Pipeline'!H68</f>
        <v>0</v>
      </c>
      <c r="D1031" s="234">
        <f>'F7 - Opportunity Pipeline'!C68</f>
        <v>0</v>
      </c>
      <c r="F1031" s="234">
        <f>'F7 - Opportunity Pipeline'!B68</f>
        <v>0</v>
      </c>
      <c r="AK1031" s="233">
        <f>'F7 - Opportunity Pipeline'!G68</f>
        <v>0</v>
      </c>
      <c r="AO1031" s="233">
        <f>'F7 - Opportunity Pipeline'!D68</f>
        <v>0</v>
      </c>
      <c r="AP1031" s="233">
        <f>'F7 - Opportunity Pipeline'!E68</f>
        <v>0</v>
      </c>
      <c r="AQ1031" s="233">
        <f>'F7 - Opportunity Pipeline'!F68</f>
        <v>0</v>
      </c>
    </row>
    <row r="1032" spans="1:43">
      <c r="A1032" s="234" t="str">
        <f>'Front Sheet and Checklist'!$C$5</f>
        <v>Swansea Bay UHB</v>
      </c>
      <c r="B1032" s="234" t="s">
        <v>386</v>
      </c>
      <c r="C1032" s="235" t="str">
        <f>'F8 - Pay Split'!$B$4</f>
        <v>SUBSTANTIVE WORKFORCE</v>
      </c>
      <c r="F1032" s="234" t="str">
        <f>'F8 - Pay Split'!B5</f>
        <v xml:space="preserve">Administrative, Clerical &amp; Board Members </v>
      </c>
      <c r="AG1032" s="233">
        <f>'F8 - Pay Split'!C5</f>
        <v>101242</v>
      </c>
      <c r="AH1032" s="233">
        <f>'F8 - Pay Split'!D5</f>
        <v>99076.5419535892</v>
      </c>
    </row>
    <row r="1033" spans="1:43">
      <c r="A1033" s="234" t="str">
        <f>'Front Sheet and Checklist'!$C$5</f>
        <v>Swansea Bay UHB</v>
      </c>
      <c r="B1033" s="234" t="s">
        <v>386</v>
      </c>
      <c r="C1033" s="235" t="str">
        <f>'F8 - Pay Split'!$B$4</f>
        <v>SUBSTANTIVE WORKFORCE</v>
      </c>
      <c r="F1033" s="234" t="str">
        <f>'F8 - Pay Split'!B6</f>
        <v xml:space="preserve">Medical &amp; Dental </v>
      </c>
      <c r="AG1033" s="233">
        <f>'F8 - Pay Split'!C6</f>
        <v>167736</v>
      </c>
      <c r="AH1033" s="233">
        <f>'F8 - Pay Split'!D6</f>
        <v>164148.30644522273</v>
      </c>
    </row>
    <row r="1034" spans="1:43">
      <c r="A1034" s="234" t="str">
        <f>'Front Sheet and Checklist'!$C$5</f>
        <v>Swansea Bay UHB</v>
      </c>
      <c r="B1034" s="234" t="s">
        <v>386</v>
      </c>
      <c r="C1034" s="235" t="str">
        <f>'F8 - Pay Split'!$B$4</f>
        <v>SUBSTANTIVE WORKFORCE</v>
      </c>
      <c r="F1034" s="234" t="str">
        <f>'F8 - Pay Split'!B7</f>
        <v xml:space="preserve">Nursing &amp; Midwifery Registered </v>
      </c>
      <c r="AG1034" s="233">
        <f>'F8 - Pay Split'!C7</f>
        <v>202810</v>
      </c>
      <c r="AH1034" s="233">
        <f>'F8 - Pay Split'!D7</f>
        <v>198472.11111601337</v>
      </c>
    </row>
    <row r="1035" spans="1:43">
      <c r="A1035" s="234" t="str">
        <f>'Front Sheet and Checklist'!$C$5</f>
        <v>Swansea Bay UHB</v>
      </c>
      <c r="B1035" s="234" t="s">
        <v>386</v>
      </c>
      <c r="C1035" s="235" t="str">
        <f>'F8 - Pay Split'!$B$4</f>
        <v>SUBSTANTIVE WORKFORCE</v>
      </c>
      <c r="F1035" s="234" t="str">
        <f>'F8 - Pay Split'!B8</f>
        <v>Prof Scientific &amp; Technical</v>
      </c>
      <c r="AG1035" s="233">
        <f>'F8 - Pay Split'!C8</f>
        <v>24218</v>
      </c>
      <c r="AH1035" s="233">
        <f>'F8 - Pay Split'!D8</f>
        <v>23700.00289437213</v>
      </c>
    </row>
    <row r="1036" spans="1:43">
      <c r="A1036" s="234" t="str">
        <f>'Front Sheet and Checklist'!$C$5</f>
        <v>Swansea Bay UHB</v>
      </c>
      <c r="B1036" s="234" t="s">
        <v>386</v>
      </c>
      <c r="C1036" s="235" t="str">
        <f>'F8 - Pay Split'!$B$4</f>
        <v>SUBSTANTIVE WORKFORCE</v>
      </c>
      <c r="F1036" s="234" t="str">
        <f>'F8 - Pay Split'!B9</f>
        <v xml:space="preserve">Additional Clinical Services </v>
      </c>
      <c r="AG1036" s="233">
        <f>'F8 - Pay Split'!C9</f>
        <v>91477</v>
      </c>
      <c r="AH1036" s="233">
        <f>'F8 - Pay Split'!D9</f>
        <v>89520.404854590772</v>
      </c>
    </row>
    <row r="1037" spans="1:43">
      <c r="A1037" s="234" t="str">
        <f>'Front Sheet and Checklist'!$C$5</f>
        <v>Swansea Bay UHB</v>
      </c>
      <c r="B1037" s="234" t="s">
        <v>386</v>
      </c>
      <c r="C1037" s="235" t="str">
        <f>'F8 - Pay Split'!$B$4</f>
        <v>SUBSTANTIVE WORKFORCE</v>
      </c>
      <c r="F1037" s="234" t="str">
        <f>'F8 - Pay Split'!B10</f>
        <v>Allied Health Professionals</v>
      </c>
      <c r="AG1037" s="233">
        <f>'F8 - Pay Split'!C10</f>
        <v>52482</v>
      </c>
      <c r="AH1037" s="233">
        <f>'F8 - Pay Split'!D10</f>
        <v>51359.466178150062</v>
      </c>
    </row>
    <row r="1038" spans="1:43">
      <c r="A1038" s="234" t="str">
        <f>'Front Sheet and Checklist'!$C$5</f>
        <v>Swansea Bay UHB</v>
      </c>
      <c r="B1038" s="234" t="s">
        <v>386</v>
      </c>
      <c r="C1038" s="235" t="str">
        <f>'F8 - Pay Split'!$B$4</f>
        <v>SUBSTANTIVE WORKFORCE</v>
      </c>
      <c r="F1038" s="234" t="str">
        <f>'F8 - Pay Split'!B11</f>
        <v xml:space="preserve">Healthcare Scientists </v>
      </c>
      <c r="AG1038" s="233">
        <f>'F8 - Pay Split'!C11</f>
        <v>20851</v>
      </c>
      <c r="AH1038" s="233">
        <f>'F8 - Pay Split'!D11</f>
        <v>20405.019421527511</v>
      </c>
    </row>
    <row r="1039" spans="1:43">
      <c r="A1039" s="234" t="str">
        <f>'Front Sheet and Checklist'!$C$5</f>
        <v>Swansea Bay UHB</v>
      </c>
      <c r="B1039" s="234" t="s">
        <v>386</v>
      </c>
      <c r="C1039" s="235" t="str">
        <f>'F8 - Pay Split'!$B$4</f>
        <v>SUBSTANTIVE WORKFORCE</v>
      </c>
      <c r="F1039" s="234" t="str">
        <f>'F8 - Pay Split'!B12</f>
        <v xml:space="preserve">Estates &amp; Ancillary </v>
      </c>
      <c r="AG1039" s="233">
        <f>'F8 - Pay Split'!C12</f>
        <v>35936</v>
      </c>
      <c r="AH1039" s="233">
        <f>'F8 - Pay Split'!D12</f>
        <v>35167.367413170243</v>
      </c>
    </row>
    <row r="1040" spans="1:43">
      <c r="A1040" s="234" t="str">
        <f>'Front Sheet and Checklist'!$C$5</f>
        <v>Swansea Bay UHB</v>
      </c>
      <c r="B1040" s="234" t="s">
        <v>386</v>
      </c>
      <c r="C1040" s="235" t="str">
        <f>'F8 - Pay Split'!$B$4</f>
        <v>SUBSTANTIVE WORKFORCE</v>
      </c>
      <c r="F1040" s="234" t="str">
        <f>'F8 - Pay Split'!B13</f>
        <v xml:space="preserve">Students </v>
      </c>
      <c r="AG1040" s="233">
        <f>'F8 - Pay Split'!C13</f>
        <v>10.298628145717664</v>
      </c>
      <c r="AH1040" s="233">
        <f>'F8 - Pay Split'!D13</f>
        <v>10.07835150968581</v>
      </c>
    </row>
    <row r="1041" spans="1:34">
      <c r="A1041" s="234" t="str">
        <f>'Front Sheet and Checklist'!$C$5</f>
        <v>Swansea Bay UHB</v>
      </c>
      <c r="B1041" s="234" t="s">
        <v>386</v>
      </c>
      <c r="C1041" s="235" t="str">
        <f>'F8 - Pay Split'!$B$4</f>
        <v>SUBSTANTIVE WORKFORCE</v>
      </c>
      <c r="F1041" s="234" t="str">
        <f>'F8 - Pay Split'!B14</f>
        <v>TOTAL SUBSTANTIVE WORKFORCE</v>
      </c>
      <c r="AG1041" s="233">
        <f>'F8 - Pay Split'!C14</f>
        <v>696762.29862814571</v>
      </c>
      <c r="AH1041" s="233">
        <f>'F8 - Pay Split'!D14</f>
        <v>681859.29862814571</v>
      </c>
    </row>
    <row r="1042" spans="1:34">
      <c r="A1042" s="234" t="str">
        <f>'Front Sheet and Checklist'!$C$5</f>
        <v>Swansea Bay UHB</v>
      </c>
      <c r="B1042" s="234" t="s">
        <v>386</v>
      </c>
      <c r="F1042" s="234">
        <f>'F8 - Pay Split'!B15</f>
        <v>0</v>
      </c>
      <c r="AG1042" s="233">
        <f>'F8 - Pay Split'!C15</f>
        <v>0</v>
      </c>
      <c r="AH1042" s="233">
        <f>'F8 - Pay Split'!D15</f>
        <v>0</v>
      </c>
    </row>
    <row r="1043" spans="1:34">
      <c r="A1043" s="234" t="str">
        <f>'Front Sheet and Checklist'!$C$5</f>
        <v>Swansea Bay UHB</v>
      </c>
      <c r="B1043" s="234" t="s">
        <v>386</v>
      </c>
      <c r="C1043" s="235" t="str">
        <f>'F8 - Pay Split'!$B$16</f>
        <v>VARIABLE PAY</v>
      </c>
      <c r="F1043" s="234" t="str">
        <f>'F8 - Pay Split'!B16</f>
        <v>VARIABLE PAY</v>
      </c>
      <c r="AG1043" s="233">
        <f>'F8 - Pay Split'!C16</f>
        <v>0</v>
      </c>
      <c r="AH1043" s="233">
        <f>'F8 - Pay Split'!D16</f>
        <v>0</v>
      </c>
    </row>
    <row r="1044" spans="1:34">
      <c r="A1044" s="234" t="str">
        <f>'Front Sheet and Checklist'!$C$5</f>
        <v>Swansea Bay UHB</v>
      </c>
      <c r="B1044" s="234" t="s">
        <v>386</v>
      </c>
      <c r="C1044" s="235" t="str">
        <f>'F8 - Pay Split'!$B$16</f>
        <v>VARIABLE PAY</v>
      </c>
      <c r="F1044" s="234" t="str">
        <f>'F8 - Pay Split'!B17</f>
        <v xml:space="preserve">Administrative, Clerical &amp; Board Members </v>
      </c>
      <c r="AG1044" s="233">
        <f>'F8 - Pay Split'!C17</f>
        <v>873.5</v>
      </c>
      <c r="AH1044" s="233">
        <f>'F8 - Pay Split'!D17</f>
        <v>873.5</v>
      </c>
    </row>
    <row r="1045" spans="1:34">
      <c r="A1045" s="234" t="str">
        <f>'Front Sheet and Checklist'!$C$5</f>
        <v>Swansea Bay UHB</v>
      </c>
      <c r="B1045" s="234" t="s">
        <v>386</v>
      </c>
      <c r="C1045" s="235" t="str">
        <f>'F8 - Pay Split'!$B$16</f>
        <v>VARIABLE PAY</v>
      </c>
      <c r="F1045" s="234" t="str">
        <f>'F8 - Pay Split'!B18</f>
        <v xml:space="preserve">Medical &amp; Dental </v>
      </c>
      <c r="AG1045" s="233">
        <f>'F8 - Pay Split'!C18</f>
        <v>13855</v>
      </c>
      <c r="AH1045" s="233">
        <f>'F8 - Pay Split'!D18</f>
        <v>12855</v>
      </c>
    </row>
    <row r="1046" spans="1:34">
      <c r="A1046" s="234" t="str">
        <f>'Front Sheet and Checklist'!$C$5</f>
        <v>Swansea Bay UHB</v>
      </c>
      <c r="B1046" s="234" t="s">
        <v>386</v>
      </c>
      <c r="C1046" s="235" t="str">
        <f>'F8 - Pay Split'!$B$16</f>
        <v>VARIABLE PAY</v>
      </c>
      <c r="F1046" s="234" t="str">
        <f>'F8 - Pay Split'!B19</f>
        <v xml:space="preserve">Nursing &amp; Midwifery Registered </v>
      </c>
      <c r="AG1046" s="233">
        <f>'F8 - Pay Split'!C19</f>
        <v>8156</v>
      </c>
      <c r="AH1046" s="233">
        <f>'F8 - Pay Split'!D19</f>
        <v>7856</v>
      </c>
    </row>
    <row r="1047" spans="1:34">
      <c r="A1047" s="234" t="str">
        <f>'Front Sheet and Checklist'!$C$5</f>
        <v>Swansea Bay UHB</v>
      </c>
      <c r="B1047" s="234" t="s">
        <v>386</v>
      </c>
      <c r="C1047" s="235" t="str">
        <f>'F8 - Pay Split'!$B$16</f>
        <v>VARIABLE PAY</v>
      </c>
      <c r="F1047" s="234" t="str">
        <f>'F8 - Pay Split'!B20</f>
        <v>Prof Scientific &amp; Technical</v>
      </c>
      <c r="AG1047" s="233">
        <f>'F8 - Pay Split'!C20</f>
        <v>106</v>
      </c>
      <c r="AH1047" s="233">
        <f>'F8 - Pay Split'!D20</f>
        <v>106</v>
      </c>
    </row>
    <row r="1048" spans="1:34">
      <c r="A1048" s="234" t="str">
        <f>'Front Sheet and Checklist'!$C$5</f>
        <v>Swansea Bay UHB</v>
      </c>
      <c r="B1048" s="234" t="s">
        <v>386</v>
      </c>
      <c r="C1048" s="235" t="str">
        <f>'F8 - Pay Split'!$B$16</f>
        <v>VARIABLE PAY</v>
      </c>
      <c r="F1048" s="234" t="str">
        <f>'F8 - Pay Split'!B21</f>
        <v xml:space="preserve">Additional Clinical Services </v>
      </c>
      <c r="AG1048" s="233">
        <f>'F8 - Pay Split'!C21</f>
        <v>13026</v>
      </c>
      <c r="AH1048" s="233">
        <f>'F8 - Pay Split'!D21</f>
        <v>13026</v>
      </c>
    </row>
    <row r="1049" spans="1:34">
      <c r="A1049" s="234" t="str">
        <f>'Front Sheet and Checklist'!$C$5</f>
        <v>Swansea Bay UHB</v>
      </c>
      <c r="B1049" s="234" t="s">
        <v>386</v>
      </c>
      <c r="C1049" s="235" t="str">
        <f>'F8 - Pay Split'!$B$16</f>
        <v>VARIABLE PAY</v>
      </c>
      <c r="F1049" s="234" t="str">
        <f>'F8 - Pay Split'!B22</f>
        <v>Allied Health Professionals</v>
      </c>
      <c r="AG1049" s="233">
        <f>'F8 - Pay Split'!C22</f>
        <v>1003</v>
      </c>
      <c r="AH1049" s="233">
        <f>'F8 - Pay Split'!D22</f>
        <v>1003</v>
      </c>
    </row>
    <row r="1050" spans="1:34">
      <c r="A1050" s="234" t="str">
        <f>'Front Sheet and Checklist'!$C$5</f>
        <v>Swansea Bay UHB</v>
      </c>
      <c r="B1050" s="234" t="s">
        <v>386</v>
      </c>
      <c r="C1050" s="235" t="str">
        <f>'F8 - Pay Split'!$B$16</f>
        <v>VARIABLE PAY</v>
      </c>
      <c r="F1050" s="234" t="str">
        <f>'F8 - Pay Split'!B23</f>
        <v xml:space="preserve">Healthcare Scientists </v>
      </c>
      <c r="AG1050" s="233">
        <f>'F8 - Pay Split'!C23</f>
        <v>623</v>
      </c>
      <c r="AH1050" s="233">
        <f>'F8 - Pay Split'!D23</f>
        <v>623</v>
      </c>
    </row>
    <row r="1051" spans="1:34">
      <c r="A1051" s="234" t="str">
        <f>'Front Sheet and Checklist'!$C$5</f>
        <v>Swansea Bay UHB</v>
      </c>
      <c r="B1051" s="234" t="s">
        <v>386</v>
      </c>
      <c r="C1051" s="235" t="str">
        <f>'F8 - Pay Split'!$B$16</f>
        <v>VARIABLE PAY</v>
      </c>
      <c r="F1051" s="234" t="str">
        <f>'F8 - Pay Split'!B24</f>
        <v xml:space="preserve">Estates &amp; Ancillary </v>
      </c>
      <c r="AG1051" s="233">
        <f>'F8 - Pay Split'!C24</f>
        <v>1432</v>
      </c>
      <c r="AH1051" s="233">
        <f>'F8 - Pay Split'!D24</f>
        <v>1432</v>
      </c>
    </row>
    <row r="1052" spans="1:34">
      <c r="A1052" s="234" t="str">
        <f>'Front Sheet and Checklist'!$C$5</f>
        <v>Swansea Bay UHB</v>
      </c>
      <c r="B1052" s="234" t="s">
        <v>386</v>
      </c>
      <c r="C1052" s="235" t="str">
        <f>'F8 - Pay Split'!$B$16</f>
        <v>VARIABLE PAY</v>
      </c>
      <c r="F1052" s="234" t="str">
        <f>'F8 - Pay Split'!B25</f>
        <v xml:space="preserve">Students </v>
      </c>
      <c r="AG1052" s="233">
        <f>'F8 - Pay Split'!C25</f>
        <v>0</v>
      </c>
      <c r="AH1052" s="233">
        <f>'F8 - Pay Split'!D25</f>
        <v>0</v>
      </c>
    </row>
    <row r="1053" spans="1:34">
      <c r="A1053" s="234" t="str">
        <f>'Front Sheet and Checklist'!$C$5</f>
        <v>Swansea Bay UHB</v>
      </c>
      <c r="B1053" s="234" t="s">
        <v>386</v>
      </c>
      <c r="C1053" s="235" t="str">
        <f>'F8 - Pay Split'!$B$16</f>
        <v>VARIABLE PAY</v>
      </c>
      <c r="F1053" s="234" t="str">
        <f>'F8 - Pay Split'!B26</f>
        <v>TOTAL VARIABLE PAY</v>
      </c>
      <c r="AG1053" s="233">
        <f>'F8 - Pay Split'!C26</f>
        <v>39074.5</v>
      </c>
      <c r="AH1053" s="233">
        <f>'F8 - Pay Split'!D26</f>
        <v>37774.5</v>
      </c>
    </row>
    <row r="1054" spans="1:34">
      <c r="A1054" s="234" t="str">
        <f>'Front Sheet and Checklist'!$C$5</f>
        <v>Swansea Bay UHB</v>
      </c>
      <c r="B1054" s="234" t="s">
        <v>386</v>
      </c>
      <c r="F1054" s="234">
        <f>'F8 - Pay Split'!B27</f>
        <v>0</v>
      </c>
      <c r="AG1054" s="233">
        <f>'F8 - Pay Split'!C27</f>
        <v>0</v>
      </c>
      <c r="AH1054" s="233">
        <f>'F8 - Pay Split'!D27</f>
        <v>0</v>
      </c>
    </row>
    <row r="1055" spans="1:34">
      <c r="A1055" s="234" t="str">
        <f>'Front Sheet and Checklist'!$C$5</f>
        <v>Swansea Bay UHB</v>
      </c>
      <c r="B1055" s="234" t="s">
        <v>386</v>
      </c>
      <c r="C1055" s="235" t="str">
        <f>'F8 - Pay Split'!$B$28</f>
        <v>AGENCY/LOCUM</v>
      </c>
      <c r="F1055" s="234" t="str">
        <f>'F8 - Pay Split'!B28</f>
        <v>AGENCY/LOCUM</v>
      </c>
      <c r="AG1055" s="233">
        <f>'F8 - Pay Split'!C28</f>
        <v>0</v>
      </c>
      <c r="AH1055" s="233">
        <f>'F8 - Pay Split'!D28</f>
        <v>0</v>
      </c>
    </row>
    <row r="1056" spans="1:34">
      <c r="A1056" s="234" t="str">
        <f>'Front Sheet and Checklist'!$C$5</f>
        <v>Swansea Bay UHB</v>
      </c>
      <c r="B1056" s="234" t="s">
        <v>386</v>
      </c>
      <c r="C1056" s="235" t="str">
        <f>'F8 - Pay Split'!$B$28</f>
        <v>AGENCY/LOCUM</v>
      </c>
      <c r="F1056" s="234" t="str">
        <f>'F8 - Pay Split'!B29</f>
        <v xml:space="preserve">Administrative, Clerical &amp; Board Members </v>
      </c>
      <c r="AG1056" s="233">
        <f>'F8 - Pay Split'!C29</f>
        <v>1800.220596666667</v>
      </c>
      <c r="AH1056" s="233">
        <f>'F8 - Pay Split'!D29</f>
        <v>1800.220596666667</v>
      </c>
    </row>
    <row r="1057" spans="1:34">
      <c r="A1057" s="234" t="str">
        <f>'Front Sheet and Checklist'!$C$5</f>
        <v>Swansea Bay UHB</v>
      </c>
      <c r="B1057" s="234" t="s">
        <v>386</v>
      </c>
      <c r="C1057" s="235" t="str">
        <f>'F8 - Pay Split'!$B$28</f>
        <v>AGENCY/LOCUM</v>
      </c>
      <c r="F1057" s="234" t="str">
        <f>'F8 - Pay Split'!B30</f>
        <v xml:space="preserve">Medical &amp; Dental </v>
      </c>
      <c r="AG1057" s="233">
        <f>'F8 - Pay Split'!C30</f>
        <v>6320.6126866666673</v>
      </c>
      <c r="AH1057" s="233">
        <f>'F8 - Pay Split'!D30</f>
        <v>5320.6126866666673</v>
      </c>
    </row>
    <row r="1058" spans="1:34">
      <c r="A1058" s="234" t="str">
        <f>'Front Sheet and Checklist'!$C$5</f>
        <v>Swansea Bay UHB</v>
      </c>
      <c r="B1058" s="234" t="s">
        <v>386</v>
      </c>
      <c r="C1058" s="235" t="str">
        <f>'F8 - Pay Split'!$B$28</f>
        <v>AGENCY/LOCUM</v>
      </c>
      <c r="F1058" s="234" t="str">
        <f>'F8 - Pay Split'!B31</f>
        <v xml:space="preserve">Nursing &amp; Midwifery Registered </v>
      </c>
      <c r="AG1058" s="233">
        <f>'F8 - Pay Split'!C31</f>
        <v>20061.612150000001</v>
      </c>
      <c r="AH1058" s="233">
        <f>'F8 - Pay Split'!D31</f>
        <v>16061.612150000001</v>
      </c>
    </row>
    <row r="1059" spans="1:34">
      <c r="A1059" s="234" t="str">
        <f>'Front Sheet and Checklist'!$C$5</f>
        <v>Swansea Bay UHB</v>
      </c>
      <c r="B1059" s="234" t="s">
        <v>386</v>
      </c>
      <c r="C1059" s="235" t="str">
        <f>'F8 - Pay Split'!$B$28</f>
        <v>AGENCY/LOCUM</v>
      </c>
      <c r="F1059" s="234" t="str">
        <f>'F8 - Pay Split'!B32</f>
        <v>Prof Scientific &amp; Technical</v>
      </c>
      <c r="AG1059" s="233">
        <f>'F8 - Pay Split'!C32</f>
        <v>90.495319999999992</v>
      </c>
      <c r="AH1059" s="233">
        <f>'F8 - Pay Split'!D32</f>
        <v>90.495319999999992</v>
      </c>
    </row>
    <row r="1060" spans="1:34">
      <c r="A1060" s="234" t="str">
        <f>'Front Sheet and Checklist'!$C$5</f>
        <v>Swansea Bay UHB</v>
      </c>
      <c r="B1060" s="234" t="s">
        <v>386</v>
      </c>
      <c r="C1060" s="235" t="str">
        <f>'F8 - Pay Split'!$B$28</f>
        <v>AGENCY/LOCUM</v>
      </c>
      <c r="F1060" s="234" t="str">
        <f>'F8 - Pay Split'!B33</f>
        <v xml:space="preserve">Additional Clinical Services </v>
      </c>
      <c r="AG1060" s="233">
        <f>'F8 - Pay Split'!C33</f>
        <v>3137.7550033333332</v>
      </c>
      <c r="AH1060" s="233">
        <f>'F8 - Pay Split'!D33</f>
        <v>3137.7550033333332</v>
      </c>
    </row>
    <row r="1061" spans="1:34">
      <c r="A1061" s="234" t="str">
        <f>'Front Sheet and Checklist'!$C$5</f>
        <v>Swansea Bay UHB</v>
      </c>
      <c r="B1061" s="234" t="s">
        <v>386</v>
      </c>
      <c r="C1061" s="235" t="str">
        <f>'F8 - Pay Split'!$B$28</f>
        <v>AGENCY/LOCUM</v>
      </c>
      <c r="F1061" s="234" t="str">
        <f>'F8 - Pay Split'!B34</f>
        <v>Allied Health Professionals</v>
      </c>
      <c r="AG1061" s="233">
        <f>'F8 - Pay Split'!C34</f>
        <v>760.99339666666674</v>
      </c>
      <c r="AH1061" s="233">
        <f>'F8 - Pay Split'!D34</f>
        <v>760.99339666666674</v>
      </c>
    </row>
    <row r="1062" spans="1:34">
      <c r="A1062" s="234" t="str">
        <f>'Front Sheet and Checklist'!$C$5</f>
        <v>Swansea Bay UHB</v>
      </c>
      <c r="B1062" s="234" t="s">
        <v>386</v>
      </c>
      <c r="C1062" s="235" t="str">
        <f>'F8 - Pay Split'!$B$28</f>
        <v>AGENCY/LOCUM</v>
      </c>
      <c r="F1062" s="234" t="str">
        <f>'F8 - Pay Split'!B35</f>
        <v xml:space="preserve">Healthcare Scientists </v>
      </c>
      <c r="AG1062" s="233">
        <f>'F8 - Pay Split'!C35</f>
        <v>2076.6736699999997</v>
      </c>
      <c r="AH1062" s="233">
        <f>'F8 - Pay Split'!D35</f>
        <v>2076.6736699999997</v>
      </c>
    </row>
    <row r="1063" spans="1:34">
      <c r="A1063" s="234" t="str">
        <f>'Front Sheet and Checklist'!$C$5</f>
        <v>Swansea Bay UHB</v>
      </c>
      <c r="B1063" s="234" t="s">
        <v>386</v>
      </c>
      <c r="C1063" s="235" t="str">
        <f>'F8 - Pay Split'!$B$28</f>
        <v>AGENCY/LOCUM</v>
      </c>
      <c r="F1063" s="234" t="str">
        <f>'F8 - Pay Split'!B36</f>
        <v xml:space="preserve">Estates &amp; Ancillary </v>
      </c>
      <c r="AG1063" s="233">
        <f>'F8 - Pay Split'!C36</f>
        <v>410.69821666666667</v>
      </c>
      <c r="AH1063" s="233">
        <f>'F8 - Pay Split'!D36</f>
        <v>410.69821666666667</v>
      </c>
    </row>
    <row r="1064" spans="1:34">
      <c r="A1064" s="234" t="str">
        <f>'Front Sheet and Checklist'!$C$5</f>
        <v>Swansea Bay UHB</v>
      </c>
      <c r="B1064" s="234" t="s">
        <v>386</v>
      </c>
      <c r="C1064" s="235" t="str">
        <f>'F8 - Pay Split'!$B$28</f>
        <v>AGENCY/LOCUM</v>
      </c>
      <c r="F1064" s="234" t="str">
        <f>'F8 - Pay Split'!B37</f>
        <v xml:space="preserve">Students </v>
      </c>
      <c r="AG1064" s="233">
        <f>'F8 - Pay Split'!C37</f>
        <v>0</v>
      </c>
      <c r="AH1064" s="233">
        <f>'F8 - Pay Split'!D37</f>
        <v>0</v>
      </c>
    </row>
    <row r="1065" spans="1:34">
      <c r="A1065" s="234" t="str">
        <f>'Front Sheet and Checklist'!$C$5</f>
        <v>Swansea Bay UHB</v>
      </c>
      <c r="B1065" s="234" t="s">
        <v>386</v>
      </c>
      <c r="C1065" s="235" t="str">
        <f>'F8 - Pay Split'!$B$28</f>
        <v>AGENCY/LOCUM</v>
      </c>
      <c r="F1065" s="234" t="str">
        <f>'F8 - Pay Split'!B38</f>
        <v>TOTAL AGENCY/LOCUM</v>
      </c>
      <c r="AG1065" s="233">
        <f>'F8 - Pay Split'!C38</f>
        <v>34659.061039999993</v>
      </c>
      <c r="AH1065" s="233">
        <f>'F8 - Pay Split'!D38</f>
        <v>29659.061040000001</v>
      </c>
    </row>
    <row r="1066" spans="1:34">
      <c r="A1066" s="234" t="str">
        <f>'Front Sheet and Checklist'!$C$5</f>
        <v>Swansea Bay UHB</v>
      </c>
      <c r="B1066" s="234" t="s">
        <v>386</v>
      </c>
      <c r="F1066" s="234">
        <f>'F8 - Pay Split'!B39</f>
        <v>0</v>
      </c>
      <c r="AG1066" s="233">
        <f>'F8 - Pay Split'!C39</f>
        <v>0</v>
      </c>
      <c r="AH1066" s="233">
        <f>'F8 - Pay Split'!D39</f>
        <v>0</v>
      </c>
    </row>
    <row r="1067" spans="1:34">
      <c r="A1067" s="234" t="str">
        <f>'Front Sheet and Checklist'!$C$5</f>
        <v>Swansea Bay UHB</v>
      </c>
      <c r="B1067" s="234" t="s">
        <v>386</v>
      </c>
      <c r="C1067" s="235" t="str">
        <f>'F8 - Pay Split'!$B$40</f>
        <v>Summary</v>
      </c>
      <c r="F1067" s="234" t="str">
        <f>'F8 - Pay Split'!B40</f>
        <v>Summary</v>
      </c>
      <c r="AG1067" s="233" t="str">
        <f>'F8 - Pay Split'!C40</f>
        <v>FORECAST 2023/24</v>
      </c>
      <c r="AH1067" s="233" t="str">
        <f>'F8 - Pay Split'!D40</f>
        <v>PLAN YEAR-END POSITION 2024/25</v>
      </c>
    </row>
    <row r="1068" spans="1:34">
      <c r="A1068" s="234" t="str">
        <f>'Front Sheet and Checklist'!$C$5</f>
        <v>Swansea Bay UHB</v>
      </c>
      <c r="B1068" s="234" t="s">
        <v>386</v>
      </c>
      <c r="C1068" s="235" t="str">
        <f>'F8 - Pay Split'!$B$40</f>
        <v>Summary</v>
      </c>
      <c r="F1068" s="234" t="str">
        <f>'F8 - Pay Split'!B41</f>
        <v xml:space="preserve">Administrative, Clerical &amp; Board Members </v>
      </c>
      <c r="AG1068" s="233">
        <f>'F8 - Pay Split'!C41</f>
        <v>103915.72059666667</v>
      </c>
      <c r="AH1068" s="233">
        <f>'F8 - Pay Split'!D41</f>
        <v>101750.26255025587</v>
      </c>
    </row>
    <row r="1069" spans="1:34">
      <c r="A1069" s="234" t="str">
        <f>'Front Sheet and Checklist'!$C$5</f>
        <v>Swansea Bay UHB</v>
      </c>
      <c r="B1069" s="234" t="s">
        <v>386</v>
      </c>
      <c r="C1069" s="235" t="str">
        <f>'F8 - Pay Split'!$B$40</f>
        <v>Summary</v>
      </c>
      <c r="F1069" s="234" t="str">
        <f>'F8 - Pay Split'!B42</f>
        <v xml:space="preserve">Medical &amp; Dental </v>
      </c>
      <c r="AG1069" s="233">
        <f>'F8 - Pay Split'!C42</f>
        <v>187911.61268666666</v>
      </c>
      <c r="AH1069" s="233">
        <f>'F8 - Pay Split'!D42</f>
        <v>182323.91913188939</v>
      </c>
    </row>
    <row r="1070" spans="1:34">
      <c r="A1070" s="234" t="str">
        <f>'Front Sheet and Checklist'!$C$5</f>
        <v>Swansea Bay UHB</v>
      </c>
      <c r="B1070" s="234" t="s">
        <v>386</v>
      </c>
      <c r="C1070" s="235" t="str">
        <f>'F8 - Pay Split'!$B$40</f>
        <v>Summary</v>
      </c>
      <c r="F1070" s="234" t="str">
        <f>'F8 - Pay Split'!B43</f>
        <v xml:space="preserve">Nursing &amp; Midwifery Registered </v>
      </c>
      <c r="AG1070" s="233">
        <f>'F8 - Pay Split'!C43</f>
        <v>231027.61215</v>
      </c>
      <c r="AH1070" s="233">
        <f>'F8 - Pay Split'!D43</f>
        <v>222389.72326601337</v>
      </c>
    </row>
    <row r="1071" spans="1:34">
      <c r="A1071" s="234" t="str">
        <f>'Front Sheet and Checklist'!$C$5</f>
        <v>Swansea Bay UHB</v>
      </c>
      <c r="B1071" s="234" t="s">
        <v>386</v>
      </c>
      <c r="C1071" s="235" t="str">
        <f>'F8 - Pay Split'!$B$40</f>
        <v>Summary</v>
      </c>
      <c r="F1071" s="234" t="str">
        <f>'F8 - Pay Split'!B44</f>
        <v>Prof Scientific &amp; Technical</v>
      </c>
      <c r="AG1071" s="233">
        <f>'F8 - Pay Split'!C44</f>
        <v>24414.495320000002</v>
      </c>
      <c r="AH1071" s="233">
        <f>'F8 - Pay Split'!D44</f>
        <v>23896.498214372128</v>
      </c>
    </row>
    <row r="1072" spans="1:34">
      <c r="A1072" s="234" t="str">
        <f>'Front Sheet and Checklist'!$C$5</f>
        <v>Swansea Bay UHB</v>
      </c>
      <c r="B1072" s="234" t="s">
        <v>386</v>
      </c>
      <c r="C1072" s="235" t="str">
        <f>'F8 - Pay Split'!$B$40</f>
        <v>Summary</v>
      </c>
      <c r="F1072" s="234" t="str">
        <f>'F8 - Pay Split'!B45</f>
        <v xml:space="preserve">Additional Clinical Services </v>
      </c>
      <c r="AG1072" s="233">
        <f>'F8 - Pay Split'!C45</f>
        <v>107640.75500333334</v>
      </c>
      <c r="AH1072" s="233">
        <f>'F8 - Pay Split'!D45</f>
        <v>105684.15985792411</v>
      </c>
    </row>
    <row r="1073" spans="1:34">
      <c r="A1073" s="234" t="str">
        <f>'Front Sheet and Checklist'!$C$5</f>
        <v>Swansea Bay UHB</v>
      </c>
      <c r="B1073" s="234" t="s">
        <v>386</v>
      </c>
      <c r="C1073" s="235" t="str">
        <f>'F8 - Pay Split'!$B$40</f>
        <v>Summary</v>
      </c>
      <c r="F1073" s="234" t="str">
        <f>'F8 - Pay Split'!B46</f>
        <v>Allied Health Professionals</v>
      </c>
      <c r="AG1073" s="233">
        <f>'F8 - Pay Split'!C46</f>
        <v>54245.993396666665</v>
      </c>
      <c r="AH1073" s="233">
        <f>'F8 - Pay Split'!D46</f>
        <v>53123.459574816727</v>
      </c>
    </row>
    <row r="1074" spans="1:34">
      <c r="A1074" s="234" t="str">
        <f>'Front Sheet and Checklist'!$C$5</f>
        <v>Swansea Bay UHB</v>
      </c>
      <c r="B1074" s="234" t="s">
        <v>386</v>
      </c>
      <c r="C1074" s="235" t="str">
        <f>'F8 - Pay Split'!$B$40</f>
        <v>Summary</v>
      </c>
      <c r="F1074" s="234" t="str">
        <f>'F8 - Pay Split'!B47</f>
        <v xml:space="preserve">Healthcare Scientists </v>
      </c>
      <c r="AG1074" s="233">
        <f>'F8 - Pay Split'!C47</f>
        <v>23550.67367</v>
      </c>
      <c r="AH1074" s="233">
        <f>'F8 - Pay Split'!D47</f>
        <v>23104.693091527512</v>
      </c>
    </row>
    <row r="1075" spans="1:34">
      <c r="A1075" s="234" t="str">
        <f>'Front Sheet and Checklist'!$C$5</f>
        <v>Swansea Bay UHB</v>
      </c>
      <c r="B1075" s="234" t="s">
        <v>386</v>
      </c>
      <c r="C1075" s="235" t="str">
        <f>'F8 - Pay Split'!$B$40</f>
        <v>Summary</v>
      </c>
      <c r="F1075" s="234" t="str">
        <f>'F8 - Pay Split'!B48</f>
        <v xml:space="preserve">Estates &amp; Ancillary </v>
      </c>
      <c r="AG1075" s="233">
        <f>'F8 - Pay Split'!C48</f>
        <v>37778.698216666664</v>
      </c>
      <c r="AH1075" s="233">
        <f>'F8 - Pay Split'!D48</f>
        <v>37010.065629836907</v>
      </c>
    </row>
    <row r="1076" spans="1:34">
      <c r="A1076" s="234" t="str">
        <f>'Front Sheet and Checklist'!$C$5</f>
        <v>Swansea Bay UHB</v>
      </c>
      <c r="B1076" s="234" t="s">
        <v>386</v>
      </c>
      <c r="C1076" s="235" t="str">
        <f>'F8 - Pay Split'!$B$40</f>
        <v>Summary</v>
      </c>
      <c r="F1076" s="234" t="str">
        <f>'F8 - Pay Split'!B49</f>
        <v xml:space="preserve">Students </v>
      </c>
      <c r="AG1076" s="233">
        <f>'F8 - Pay Split'!C49</f>
        <v>10.298628145717664</v>
      </c>
      <c r="AH1076" s="233">
        <f>'F8 - Pay Split'!D49</f>
        <v>10.07835150968581</v>
      </c>
    </row>
    <row r="1077" spans="1:34">
      <c r="A1077" s="234" t="str">
        <f>'Front Sheet and Checklist'!$C$5</f>
        <v>Swansea Bay UHB</v>
      </c>
      <c r="B1077" s="234" t="s">
        <v>386</v>
      </c>
      <c r="C1077" s="235" t="str">
        <f>'F8 - Pay Split'!$B$40</f>
        <v>Summary</v>
      </c>
      <c r="F1077" s="234" t="str">
        <f>'F8 - Pay Split'!B50</f>
        <v>SUMMARY - TOTAL PAY</v>
      </c>
      <c r="AG1077" s="233">
        <f>'F8 - Pay Split'!C50</f>
        <v>770495.85966814589</v>
      </c>
      <c r="AH1077" s="233">
        <f>'F8 - Pay Split'!D50</f>
        <v>749292.85966814565</v>
      </c>
    </row>
    <row r="1078" spans="1:34">
      <c r="A1078" s="234" t="str">
        <f>'Front Sheet and Checklist'!$C$5</f>
        <v>Swansea Bay UHB</v>
      </c>
      <c r="B1078" s="234" t="s">
        <v>387</v>
      </c>
      <c r="C1078" s="235" t="str">
        <f>'F9 - Project Profile'!$B$6</f>
        <v>Activity</v>
      </c>
      <c r="D1078" s="235"/>
      <c r="E1078" s="235"/>
      <c r="F1078" s="235" t="str">
        <f>'F9 - Project Profile'!B7</f>
        <v>Learning Disabilities</v>
      </c>
      <c r="G1078" s="235">
        <f>'F9 - Project Profile'!H7</f>
        <v>0</v>
      </c>
      <c r="H1078" s="235">
        <f>'F9 - Project Profile'!I7</f>
        <v>0</v>
      </c>
      <c r="I1078" s="235">
        <f>'F9 - Project Profile'!J7</f>
        <v>0</v>
      </c>
      <c r="J1078" s="235">
        <f>'F9 - Project Profile'!K7</f>
        <v>0</v>
      </c>
      <c r="K1078" s="235">
        <f>'F9 - Project Profile'!L7</f>
        <v>0</v>
      </c>
      <c r="L1078" s="235">
        <f>'F9 - Project Profile'!M7</f>
        <v>0</v>
      </c>
      <c r="M1078" s="235">
        <f>'F9 - Project Profile'!N7</f>
        <v>0</v>
      </c>
      <c r="N1078" s="235">
        <f>'F9 - Project Profile'!O7</f>
        <v>0</v>
      </c>
      <c r="O1078" s="235">
        <f>'F9 - Project Profile'!P7</f>
        <v>0</v>
      </c>
      <c r="P1078" s="235">
        <f>'F9 - Project Profile'!Q7</f>
        <v>0</v>
      </c>
      <c r="Q1078" s="235">
        <f>'F9 - Project Profile'!R7</f>
        <v>0</v>
      </c>
      <c r="R1078" s="235">
        <f>'F9 - Project Profile'!S7</f>
        <v>0</v>
      </c>
      <c r="S1078" s="235"/>
      <c r="AG1078" s="233">
        <f>'F9 - Project Profile'!C7</f>
        <v>0</v>
      </c>
      <c r="AH1078" s="233">
        <f>'F9 - Project Profile'!D7</f>
        <v>0</v>
      </c>
    </row>
    <row r="1079" spans="1:34">
      <c r="A1079" s="234" t="str">
        <f>'Front Sheet and Checklist'!$C$5</f>
        <v>Swansea Bay UHB</v>
      </c>
      <c r="B1079" s="234" t="s">
        <v>387</v>
      </c>
      <c r="C1079" s="235" t="str">
        <f>'F9 - Project Profile'!$B$6</f>
        <v>Activity</v>
      </c>
      <c r="D1079" s="235"/>
      <c r="E1079" s="235"/>
      <c r="F1079" s="235" t="str">
        <f>'F9 - Project Profile'!B8</f>
        <v>Mental Health Services</v>
      </c>
      <c r="G1079" s="235">
        <f>'F9 - Project Profile'!H8</f>
        <v>0</v>
      </c>
      <c r="H1079" s="235">
        <f>'F9 - Project Profile'!I8</f>
        <v>0</v>
      </c>
      <c r="I1079" s="235">
        <f>'F9 - Project Profile'!J8</f>
        <v>0</v>
      </c>
      <c r="J1079" s="235">
        <f>'F9 - Project Profile'!K8</f>
        <v>0</v>
      </c>
      <c r="K1079" s="235">
        <f>'F9 - Project Profile'!L8</f>
        <v>0</v>
      </c>
      <c r="L1079" s="235">
        <f>'F9 - Project Profile'!M8</f>
        <v>0</v>
      </c>
      <c r="M1079" s="235">
        <f>'F9 - Project Profile'!N8</f>
        <v>0</v>
      </c>
      <c r="N1079" s="235">
        <f>'F9 - Project Profile'!O8</f>
        <v>0</v>
      </c>
      <c r="O1079" s="235">
        <f>'F9 - Project Profile'!P8</f>
        <v>0</v>
      </c>
      <c r="P1079" s="235">
        <f>'F9 - Project Profile'!Q8</f>
        <v>0</v>
      </c>
      <c r="Q1079" s="235">
        <f>'F9 - Project Profile'!R8</f>
        <v>0</v>
      </c>
      <c r="R1079" s="235">
        <f>'F9 - Project Profile'!S8</f>
        <v>0</v>
      </c>
      <c r="S1079" s="235"/>
      <c r="AG1079" s="233">
        <f>'F9 - Project Profile'!C8</f>
        <v>0</v>
      </c>
      <c r="AH1079" s="233">
        <f>'F9 - Project Profile'!D8</f>
        <v>0</v>
      </c>
    </row>
    <row r="1080" spans="1:34">
      <c r="A1080" s="234" t="str">
        <f>'Front Sheet and Checklist'!$C$5</f>
        <v>Swansea Bay UHB</v>
      </c>
      <c r="B1080" s="234" t="s">
        <v>387</v>
      </c>
      <c r="C1080" s="235" t="str">
        <f>'F9 - Project Profile'!$B$6</f>
        <v>Activity</v>
      </c>
      <c r="D1080" s="235"/>
      <c r="E1080" s="235"/>
      <c r="F1080" s="235" t="str">
        <f>'F9 - Project Profile'!B9</f>
        <v>Palliative Care/ Bereavement/ Hospice Funding</v>
      </c>
      <c r="G1080" s="235">
        <f>'F9 - Project Profile'!H9</f>
        <v>36.416666666666664</v>
      </c>
      <c r="H1080" s="235">
        <f>'F9 - Project Profile'!I9</f>
        <v>36.416666666666664</v>
      </c>
      <c r="I1080" s="235">
        <f>'F9 - Project Profile'!J9</f>
        <v>36.416666666666664</v>
      </c>
      <c r="J1080" s="235">
        <f>'F9 - Project Profile'!K9</f>
        <v>36.416666666666664</v>
      </c>
      <c r="K1080" s="235">
        <f>'F9 - Project Profile'!L9</f>
        <v>36.416666666666664</v>
      </c>
      <c r="L1080" s="235">
        <f>'F9 - Project Profile'!M9</f>
        <v>36.416666666666664</v>
      </c>
      <c r="M1080" s="235">
        <f>'F9 - Project Profile'!N9</f>
        <v>36.416666666666664</v>
      </c>
      <c r="N1080" s="235">
        <f>'F9 - Project Profile'!O9</f>
        <v>36.416666666666664</v>
      </c>
      <c r="O1080" s="235">
        <f>'F9 - Project Profile'!P9</f>
        <v>36.416666666666664</v>
      </c>
      <c r="P1080" s="235">
        <f>'F9 - Project Profile'!Q9</f>
        <v>36.416666666666664</v>
      </c>
      <c r="Q1080" s="235">
        <f>'F9 - Project Profile'!R9</f>
        <v>36.416666666666664</v>
      </c>
      <c r="R1080" s="235">
        <f>'F9 - Project Profile'!S9</f>
        <v>36.416666666666664</v>
      </c>
      <c r="S1080" s="235"/>
      <c r="AG1080" s="233">
        <f>'F9 - Project Profile'!C9</f>
        <v>0</v>
      </c>
      <c r="AH1080" s="233">
        <f>'F9 - Project Profile'!D9</f>
        <v>437.00000000000006</v>
      </c>
    </row>
    <row r="1081" spans="1:34">
      <c r="A1081" s="234" t="str">
        <f>'Front Sheet and Checklist'!$C$5</f>
        <v>Swansea Bay UHB</v>
      </c>
      <c r="B1081" s="234" t="s">
        <v>387</v>
      </c>
      <c r="C1081" s="235" t="str">
        <f>'F9 - Project Profile'!$B$6</f>
        <v>Activity</v>
      </c>
      <c r="D1081" s="235"/>
      <c r="E1081" s="235"/>
      <c r="F1081" s="235" t="str">
        <f>'F9 - Project Profile'!B10</f>
        <v>Genomics for Precision Medicine Strategy</v>
      </c>
      <c r="G1081" s="235">
        <f>'F9 - Project Profile'!H10</f>
        <v>102.41666666666667</v>
      </c>
      <c r="H1081" s="235">
        <f>'F9 - Project Profile'!I10</f>
        <v>102.41666666666667</v>
      </c>
      <c r="I1081" s="235">
        <f>'F9 - Project Profile'!J10</f>
        <v>102.41666666666667</v>
      </c>
      <c r="J1081" s="235">
        <f>'F9 - Project Profile'!K10</f>
        <v>102.41666666666667</v>
      </c>
      <c r="K1081" s="235">
        <f>'F9 - Project Profile'!L10</f>
        <v>102.41666666666667</v>
      </c>
      <c r="L1081" s="235">
        <f>'F9 - Project Profile'!M10</f>
        <v>102.41666666666667</v>
      </c>
      <c r="M1081" s="235">
        <f>'F9 - Project Profile'!N10</f>
        <v>102.41666666666667</v>
      </c>
      <c r="N1081" s="235">
        <f>'F9 - Project Profile'!O10</f>
        <v>102.41666666666667</v>
      </c>
      <c r="O1081" s="235">
        <f>'F9 - Project Profile'!P10</f>
        <v>102.41666666666667</v>
      </c>
      <c r="P1081" s="235">
        <f>'F9 - Project Profile'!Q10</f>
        <v>102.41666666666667</v>
      </c>
      <c r="Q1081" s="235">
        <f>'F9 - Project Profile'!R10</f>
        <v>102.41666666666667</v>
      </c>
      <c r="R1081" s="235">
        <f>'F9 - Project Profile'!S10</f>
        <v>102.41666666666667</v>
      </c>
      <c r="S1081" s="235"/>
      <c r="AG1081" s="233">
        <f>'F9 - Project Profile'!C10</f>
        <v>0</v>
      </c>
      <c r="AH1081" s="233">
        <f>'F9 - Project Profile'!D10</f>
        <v>1229</v>
      </c>
    </row>
    <row r="1082" spans="1:34">
      <c r="A1082" s="234" t="str">
        <f>'Front Sheet and Checklist'!$C$5</f>
        <v>Swansea Bay UHB</v>
      </c>
      <c r="B1082" s="234" t="s">
        <v>387</v>
      </c>
      <c r="C1082" s="235" t="str">
        <f>'F9 - Project Profile'!$B$6</f>
        <v>Activity</v>
      </c>
      <c r="D1082" s="235"/>
      <c r="E1082" s="235"/>
      <c r="F1082" s="235" t="str">
        <f>'F9 - Project Profile'!B11</f>
        <v>Critical Care Funding</v>
      </c>
      <c r="G1082" s="235">
        <f>'F9 - Project Profile'!H11</f>
        <v>180.58333333333334</v>
      </c>
      <c r="H1082" s="235">
        <f>'F9 - Project Profile'!I11</f>
        <v>180.58333333333334</v>
      </c>
      <c r="I1082" s="235">
        <f>'F9 - Project Profile'!J11</f>
        <v>180.58333333333334</v>
      </c>
      <c r="J1082" s="235">
        <f>'F9 - Project Profile'!K11</f>
        <v>180.58333333333334</v>
      </c>
      <c r="K1082" s="235">
        <f>'F9 - Project Profile'!L11</f>
        <v>180.58333333333334</v>
      </c>
      <c r="L1082" s="235">
        <f>'F9 - Project Profile'!M11</f>
        <v>180.58333333333334</v>
      </c>
      <c r="M1082" s="235">
        <f>'F9 - Project Profile'!N11</f>
        <v>180.58333333333334</v>
      </c>
      <c r="N1082" s="235">
        <f>'F9 - Project Profile'!O11</f>
        <v>180.58333333333334</v>
      </c>
      <c r="O1082" s="235">
        <f>'F9 - Project Profile'!P11</f>
        <v>180.58333333333334</v>
      </c>
      <c r="P1082" s="235">
        <f>'F9 - Project Profile'!Q11</f>
        <v>180.58333333333334</v>
      </c>
      <c r="Q1082" s="235">
        <f>'F9 - Project Profile'!R11</f>
        <v>180.58333333333334</v>
      </c>
      <c r="R1082" s="235">
        <f>'F9 - Project Profile'!S11</f>
        <v>180.58333333333334</v>
      </c>
      <c r="S1082" s="235"/>
      <c r="AG1082" s="233">
        <f>'F9 - Project Profile'!C11</f>
        <v>0</v>
      </c>
      <c r="AH1082" s="233">
        <f>'F9 - Project Profile'!D11</f>
        <v>2166.9999999999995</v>
      </c>
    </row>
    <row r="1083" spans="1:34">
      <c r="A1083" s="234" t="str">
        <f>'Front Sheet and Checklist'!$C$5</f>
        <v>Swansea Bay UHB</v>
      </c>
      <c r="B1083" s="234" t="s">
        <v>387</v>
      </c>
      <c r="C1083" s="235" t="str">
        <f>'F9 - Project Profile'!$B$6</f>
        <v>Activity</v>
      </c>
      <c r="D1083" s="235"/>
      <c r="E1083" s="235"/>
      <c r="F1083" s="235" t="str">
        <f>'F9 - Project Profile'!B12</f>
        <v>Planned Care Recovery and Sustainability</v>
      </c>
      <c r="G1083" s="235">
        <f>'F9 - Project Profile'!H12</f>
        <v>2895.6666666666665</v>
      </c>
      <c r="H1083" s="235">
        <f>'F9 - Project Profile'!I12</f>
        <v>2895.6666666666665</v>
      </c>
      <c r="I1083" s="235">
        <f>'F9 - Project Profile'!J12</f>
        <v>2895.6666666666665</v>
      </c>
      <c r="J1083" s="235">
        <f>'F9 - Project Profile'!K12</f>
        <v>2895.6666666666665</v>
      </c>
      <c r="K1083" s="235">
        <f>'F9 - Project Profile'!L12</f>
        <v>2895.6666666666665</v>
      </c>
      <c r="L1083" s="235">
        <f>'F9 - Project Profile'!M12</f>
        <v>2895.6666666666665</v>
      </c>
      <c r="M1083" s="235">
        <f>'F9 - Project Profile'!N12</f>
        <v>2895.6666666666665</v>
      </c>
      <c r="N1083" s="235">
        <f>'F9 - Project Profile'!O12</f>
        <v>2895.6666666666665</v>
      </c>
      <c r="O1083" s="235">
        <f>'F9 - Project Profile'!P12</f>
        <v>2895.6666666666665</v>
      </c>
      <c r="P1083" s="235">
        <f>'F9 - Project Profile'!Q12</f>
        <v>2895.6666666666665</v>
      </c>
      <c r="Q1083" s="235">
        <f>'F9 - Project Profile'!R12</f>
        <v>2895.6666666666665</v>
      </c>
      <c r="R1083" s="235">
        <f>'F9 - Project Profile'!S12</f>
        <v>2895.6666666666665</v>
      </c>
      <c r="S1083" s="235"/>
      <c r="AG1083" s="233">
        <f>'F9 - Project Profile'!C12</f>
        <v>0</v>
      </c>
      <c r="AH1083" s="233">
        <f>'F9 - Project Profile'!D12</f>
        <v>34748.000000000007</v>
      </c>
    </row>
    <row r="1084" spans="1:34">
      <c r="A1084" s="234" t="str">
        <f>'Front Sheet and Checklist'!$C$5</f>
        <v>Swansea Bay UHB</v>
      </c>
      <c r="B1084" s="234" t="s">
        <v>387</v>
      </c>
      <c r="C1084" s="235" t="str">
        <f>'F9 - Project Profile'!$B$6</f>
        <v>Activity</v>
      </c>
      <c r="D1084" s="235"/>
      <c r="E1084" s="235"/>
      <c r="F1084" s="235" t="str">
        <f>'F9 - Project Profile'!B13</f>
        <v>Value Based Recovery</v>
      </c>
      <c r="G1084" s="235">
        <f>'F9 - Project Profile'!H13</f>
        <v>152.33333333333334</v>
      </c>
      <c r="H1084" s="235">
        <f>'F9 - Project Profile'!I13</f>
        <v>152.33333333333334</v>
      </c>
      <c r="I1084" s="235">
        <f>'F9 - Project Profile'!J13</f>
        <v>152.33333333333334</v>
      </c>
      <c r="J1084" s="235">
        <f>'F9 - Project Profile'!K13</f>
        <v>152.33333333333334</v>
      </c>
      <c r="K1084" s="235">
        <f>'F9 - Project Profile'!L13</f>
        <v>152.33333333333334</v>
      </c>
      <c r="L1084" s="235">
        <f>'F9 - Project Profile'!M13</f>
        <v>152.33333333333334</v>
      </c>
      <c r="M1084" s="235">
        <f>'F9 - Project Profile'!N13</f>
        <v>152.33333333333334</v>
      </c>
      <c r="N1084" s="235">
        <f>'F9 - Project Profile'!O13</f>
        <v>152.33333333333334</v>
      </c>
      <c r="O1084" s="235">
        <f>'F9 - Project Profile'!P13</f>
        <v>152.33333333333334</v>
      </c>
      <c r="P1084" s="235">
        <f>'F9 - Project Profile'!Q13</f>
        <v>152.33333333333334</v>
      </c>
      <c r="Q1084" s="235">
        <f>'F9 - Project Profile'!R13</f>
        <v>152.33333333333334</v>
      </c>
      <c r="R1084" s="235">
        <f>'F9 - Project Profile'!S13</f>
        <v>152.33333333333334</v>
      </c>
      <c r="S1084" s="235"/>
      <c r="AG1084" s="233">
        <f>'F9 - Project Profile'!C13</f>
        <v>0</v>
      </c>
      <c r="AH1084" s="233">
        <f>'F9 - Project Profile'!D13</f>
        <v>1827.9999999999998</v>
      </c>
    </row>
    <row r="1085" spans="1:34">
      <c r="A1085" s="234" t="str">
        <f>'Front Sheet and Checklist'!$C$5</f>
        <v>Swansea Bay UHB</v>
      </c>
      <c r="B1085" s="234" t="s">
        <v>387</v>
      </c>
      <c r="C1085" s="235" t="str">
        <f>'F9 - Project Profile'!$B$6</f>
        <v>Activity</v>
      </c>
      <c r="D1085" s="235"/>
      <c r="E1085" s="235"/>
      <c r="F1085" s="235" t="str">
        <f>'F9 - Project Profile'!B14</f>
        <v>Regional Integration Fund</v>
      </c>
      <c r="G1085" s="235">
        <f>'F9 - Project Profile'!H14</f>
        <v>1410.4166666666667</v>
      </c>
      <c r="H1085" s="235">
        <f>'F9 - Project Profile'!I14</f>
        <v>1410.4166666666667</v>
      </c>
      <c r="I1085" s="235">
        <f>'F9 - Project Profile'!J14</f>
        <v>1410.4166666666667</v>
      </c>
      <c r="J1085" s="235">
        <f>'F9 - Project Profile'!K14</f>
        <v>1410.4166666666667</v>
      </c>
      <c r="K1085" s="235">
        <f>'F9 - Project Profile'!L14</f>
        <v>1410.4166666666667</v>
      </c>
      <c r="L1085" s="235">
        <f>'F9 - Project Profile'!M14</f>
        <v>1410.4166666666667</v>
      </c>
      <c r="M1085" s="235">
        <f>'F9 - Project Profile'!N14</f>
        <v>1410.4166666666667</v>
      </c>
      <c r="N1085" s="235">
        <f>'F9 - Project Profile'!O14</f>
        <v>1410.4166666666667</v>
      </c>
      <c r="O1085" s="235">
        <f>'F9 - Project Profile'!P14</f>
        <v>1410.4166666666667</v>
      </c>
      <c r="P1085" s="235">
        <f>'F9 - Project Profile'!Q14</f>
        <v>1410.4166666666667</v>
      </c>
      <c r="Q1085" s="235">
        <f>'F9 - Project Profile'!R14</f>
        <v>1410.4166666666667</v>
      </c>
      <c r="R1085" s="235">
        <f>'F9 - Project Profile'!S14</f>
        <v>1410.4166666666667</v>
      </c>
      <c r="S1085" s="235"/>
      <c r="AG1085" s="233">
        <f>'F9 - Project Profile'!C14</f>
        <v>0</v>
      </c>
      <c r="AH1085" s="233">
        <f>'F9 - Project Profile'!D14</f>
        <v>16924.999999999996</v>
      </c>
    </row>
    <row r="1086" spans="1:34">
      <c r="A1086" s="234" t="str">
        <f>'Front Sheet and Checklist'!$C$5</f>
        <v>Swansea Bay UHB</v>
      </c>
      <c r="B1086" s="234" t="s">
        <v>387</v>
      </c>
      <c r="C1086" s="235" t="str">
        <f>'F9 - Project Profile'!$B$6</f>
        <v>Activity</v>
      </c>
      <c r="D1086" s="235"/>
      <c r="E1086" s="235"/>
      <c r="F1086" s="235" t="str">
        <f>'F9 - Project Profile'!B15</f>
        <v>Further Faster</v>
      </c>
      <c r="G1086" s="235">
        <f>'F9 - Project Profile'!H15</f>
        <v>128.25</v>
      </c>
      <c r="H1086" s="235">
        <f>'F9 - Project Profile'!I15</f>
        <v>128.25</v>
      </c>
      <c r="I1086" s="235">
        <f>'F9 - Project Profile'!J15</f>
        <v>128.25</v>
      </c>
      <c r="J1086" s="235">
        <f>'F9 - Project Profile'!K15</f>
        <v>128.25</v>
      </c>
      <c r="K1086" s="235">
        <f>'F9 - Project Profile'!L15</f>
        <v>128.25</v>
      </c>
      <c r="L1086" s="235">
        <f>'F9 - Project Profile'!M15</f>
        <v>128.25</v>
      </c>
      <c r="M1086" s="235">
        <f>'F9 - Project Profile'!N15</f>
        <v>128.25</v>
      </c>
      <c r="N1086" s="235">
        <f>'F9 - Project Profile'!O15</f>
        <v>128.25</v>
      </c>
      <c r="O1086" s="235">
        <f>'F9 - Project Profile'!P15</f>
        <v>128.25</v>
      </c>
      <c r="P1086" s="235">
        <f>'F9 - Project Profile'!Q15</f>
        <v>128.25</v>
      </c>
      <c r="Q1086" s="235">
        <f>'F9 - Project Profile'!R15</f>
        <v>128.25</v>
      </c>
      <c r="R1086" s="235">
        <f>'F9 - Project Profile'!S15</f>
        <v>128.25</v>
      </c>
      <c r="S1086" s="235"/>
      <c r="AG1086" s="233">
        <f>'F9 - Project Profile'!C15</f>
        <v>0</v>
      </c>
      <c r="AH1086" s="233">
        <f>'F9 - Project Profile'!D15</f>
        <v>1539</v>
      </c>
    </row>
    <row r="1087" spans="1:34">
      <c r="A1087" s="234" t="str">
        <f>'Front Sheet and Checklist'!$C$5</f>
        <v>Swansea Bay UHB</v>
      </c>
      <c r="B1087" s="234" t="s">
        <v>387</v>
      </c>
      <c r="C1087" s="235" t="str">
        <f>'F9 - Project Profile'!$B$6</f>
        <v>Activity</v>
      </c>
      <c r="D1087" s="235"/>
      <c r="E1087" s="235"/>
      <c r="F1087" s="235" t="str">
        <f>'F9 - Project Profile'!B16</f>
        <v>Health Protection / Vaccination and PPE</v>
      </c>
      <c r="G1087" s="235">
        <f>'F9 - Project Profile'!H16</f>
        <v>699.5</v>
      </c>
      <c r="H1087" s="235">
        <f>'F9 - Project Profile'!I16</f>
        <v>699.5</v>
      </c>
      <c r="I1087" s="235">
        <f>'F9 - Project Profile'!J16</f>
        <v>699.5</v>
      </c>
      <c r="J1087" s="235">
        <f>'F9 - Project Profile'!K16</f>
        <v>699.5</v>
      </c>
      <c r="K1087" s="235">
        <f>'F9 - Project Profile'!L16</f>
        <v>699.5</v>
      </c>
      <c r="L1087" s="235">
        <f>'F9 - Project Profile'!M16</f>
        <v>699.5</v>
      </c>
      <c r="M1087" s="235">
        <f>'F9 - Project Profile'!N16</f>
        <v>699.5</v>
      </c>
      <c r="N1087" s="235">
        <f>'F9 - Project Profile'!O16</f>
        <v>699.5</v>
      </c>
      <c r="O1087" s="235">
        <f>'F9 - Project Profile'!P16</f>
        <v>699.5</v>
      </c>
      <c r="P1087" s="235">
        <f>'F9 - Project Profile'!Q16</f>
        <v>699.5</v>
      </c>
      <c r="Q1087" s="235">
        <f>'F9 - Project Profile'!R16</f>
        <v>699.5</v>
      </c>
      <c r="R1087" s="235">
        <f>'F9 - Project Profile'!S16</f>
        <v>699.5</v>
      </c>
      <c r="S1087" s="235"/>
      <c r="AG1087" s="233">
        <f>'F9 - Project Profile'!C16</f>
        <v>0</v>
      </c>
      <c r="AH1087" s="233">
        <f>'F9 - Project Profile'!D16</f>
        <v>8394</v>
      </c>
    </row>
    <row r="1088" spans="1:34">
      <c r="A1088" s="234" t="str">
        <f>'Front Sheet and Checklist'!$C$5</f>
        <v>Swansea Bay UHB</v>
      </c>
      <c r="B1088" s="234" t="s">
        <v>387</v>
      </c>
      <c r="C1088" s="235" t="str">
        <f>'F9 - Project Profile'!$B$6</f>
        <v>Activity</v>
      </c>
      <c r="D1088" s="235"/>
      <c r="E1088" s="235"/>
      <c r="F1088" s="235" t="str">
        <f>'F9 - Project Profile'!B17</f>
        <v>Urgent Emergency Care Allocations</v>
      </c>
      <c r="G1088" s="235">
        <f>'F9 - Project Profile'!H17</f>
        <v>246.66666666666666</v>
      </c>
      <c r="H1088" s="235">
        <f>'F9 - Project Profile'!I17</f>
        <v>246.66666666666666</v>
      </c>
      <c r="I1088" s="235">
        <f>'F9 - Project Profile'!J17</f>
        <v>246.66666666666666</v>
      </c>
      <c r="J1088" s="235">
        <f>'F9 - Project Profile'!K17</f>
        <v>246.66666666666666</v>
      </c>
      <c r="K1088" s="235">
        <f>'F9 - Project Profile'!L17</f>
        <v>246.66666666666666</v>
      </c>
      <c r="L1088" s="235">
        <f>'F9 - Project Profile'!M17</f>
        <v>246.66666666666666</v>
      </c>
      <c r="M1088" s="235">
        <f>'F9 - Project Profile'!N17</f>
        <v>246.66666666666666</v>
      </c>
      <c r="N1088" s="235">
        <f>'F9 - Project Profile'!O17</f>
        <v>246.66666666666666</v>
      </c>
      <c r="O1088" s="235">
        <f>'F9 - Project Profile'!P17</f>
        <v>246.66666666666666</v>
      </c>
      <c r="P1088" s="235">
        <f>'F9 - Project Profile'!Q17</f>
        <v>246.66666666666666</v>
      </c>
      <c r="Q1088" s="235">
        <f>'F9 - Project Profile'!R17</f>
        <v>246.66666666666666</v>
      </c>
      <c r="R1088" s="235">
        <f>'F9 - Project Profile'!S17</f>
        <v>246.66666666666666</v>
      </c>
      <c r="S1088" s="235"/>
      <c r="AG1088" s="233">
        <f>'F9 - Project Profile'!C17</f>
        <v>0</v>
      </c>
      <c r="AH1088" s="233">
        <f>'F9 - Project Profile'!D17</f>
        <v>2959.9999999999995</v>
      </c>
    </row>
    <row r="1089" spans="1:34">
      <c r="A1089" s="234" t="str">
        <f>'Front Sheet and Checklist'!$C$5</f>
        <v>Swansea Bay UHB</v>
      </c>
      <c r="B1089" s="234" t="s">
        <v>387</v>
      </c>
      <c r="C1089" s="235" t="str">
        <f>'F9 - Project Profile'!$B$6</f>
        <v>Activity</v>
      </c>
      <c r="D1089" s="235"/>
      <c r="E1089" s="235"/>
      <c r="F1089" s="235" t="str">
        <f>'F9 - Project Profile'!B18</f>
        <v>Mental Health (SIF)</v>
      </c>
      <c r="G1089" s="235">
        <f>'F9 - Project Profile'!H18</f>
        <v>227.66666666666666</v>
      </c>
      <c r="H1089" s="235">
        <f>'F9 - Project Profile'!I18</f>
        <v>227.66666666666666</v>
      </c>
      <c r="I1089" s="235">
        <f>'F9 - Project Profile'!J18</f>
        <v>227.66666666666666</v>
      </c>
      <c r="J1089" s="235">
        <f>'F9 - Project Profile'!K18</f>
        <v>227.66666666666666</v>
      </c>
      <c r="K1089" s="235">
        <f>'F9 - Project Profile'!L18</f>
        <v>227.66666666666666</v>
      </c>
      <c r="L1089" s="235">
        <f>'F9 - Project Profile'!M18</f>
        <v>227.66666666666666</v>
      </c>
      <c r="M1089" s="235">
        <f>'F9 - Project Profile'!N18</f>
        <v>227.66666666666666</v>
      </c>
      <c r="N1089" s="235">
        <f>'F9 - Project Profile'!O18</f>
        <v>227.66666666666666</v>
      </c>
      <c r="O1089" s="235">
        <f>'F9 - Project Profile'!P18</f>
        <v>227.66666666666666</v>
      </c>
      <c r="P1089" s="235">
        <f>'F9 - Project Profile'!Q18</f>
        <v>227.66666666666666</v>
      </c>
      <c r="Q1089" s="235">
        <f>'F9 - Project Profile'!R18</f>
        <v>227.66666666666666</v>
      </c>
      <c r="R1089" s="235">
        <f>'F9 - Project Profile'!S18</f>
        <v>227.66666666666666</v>
      </c>
      <c r="S1089" s="235"/>
      <c r="AG1089" s="233">
        <f>'F9 - Project Profile'!C18</f>
        <v>0</v>
      </c>
      <c r="AH1089" s="233">
        <f>'F9 - Project Profile'!D18</f>
        <v>2731.9999999999995</v>
      </c>
    </row>
    <row r="1090" spans="1:34">
      <c r="A1090" s="234" t="str">
        <f>'Front Sheet and Checklist'!$C$5</f>
        <v>Swansea Bay UHB</v>
      </c>
      <c r="B1090" s="234" t="s">
        <v>387</v>
      </c>
      <c r="C1090" s="235" t="str">
        <f>'F9 - Project Profile'!$B$6</f>
        <v>Activity</v>
      </c>
      <c r="D1090" s="235"/>
      <c r="E1090" s="235"/>
      <c r="F1090" s="235" t="str">
        <f>'F9 - Project Profile'!B19</f>
        <v>Value Based Health Care £5m</v>
      </c>
      <c r="G1090" s="235">
        <f>'F9 - Project Profile'!H19</f>
        <v>122.58333333333333</v>
      </c>
      <c r="H1090" s="235">
        <f>'F9 - Project Profile'!I19</f>
        <v>122.58333333333333</v>
      </c>
      <c r="I1090" s="235">
        <f>'F9 - Project Profile'!J19</f>
        <v>122.58333333333333</v>
      </c>
      <c r="J1090" s="235">
        <f>'F9 - Project Profile'!K19</f>
        <v>122.58333333333333</v>
      </c>
      <c r="K1090" s="235">
        <f>'F9 - Project Profile'!L19</f>
        <v>122.58333333333333</v>
      </c>
      <c r="L1090" s="235">
        <f>'F9 - Project Profile'!M19</f>
        <v>122.58333333333333</v>
      </c>
      <c r="M1090" s="235">
        <f>'F9 - Project Profile'!N19</f>
        <v>122.58333333333333</v>
      </c>
      <c r="N1090" s="235">
        <f>'F9 - Project Profile'!O19</f>
        <v>122.58333333333333</v>
      </c>
      <c r="O1090" s="235">
        <f>'F9 - Project Profile'!P19</f>
        <v>122.58333333333333</v>
      </c>
      <c r="P1090" s="235">
        <f>'F9 - Project Profile'!Q19</f>
        <v>122.58333333333333</v>
      </c>
      <c r="Q1090" s="235">
        <f>'F9 - Project Profile'!R19</f>
        <v>122.58333333333333</v>
      </c>
      <c r="R1090" s="235">
        <f>'F9 - Project Profile'!S19</f>
        <v>122.58333333333333</v>
      </c>
      <c r="S1090" s="235"/>
      <c r="AG1090" s="233">
        <f>'F9 - Project Profile'!C19</f>
        <v>0</v>
      </c>
      <c r="AH1090" s="233">
        <f>'F9 - Project Profile'!D19</f>
        <v>1470.9999999999998</v>
      </c>
    </row>
    <row r="1091" spans="1:34">
      <c r="A1091" s="234" t="str">
        <f>'Front Sheet and Checklist'!$C$5</f>
        <v>Swansea Bay UHB</v>
      </c>
      <c r="B1091" s="234" t="s">
        <v>387</v>
      </c>
      <c r="C1091" s="235" t="str">
        <f>'F9 - Project Profile'!$B$6</f>
        <v>Activity</v>
      </c>
      <c r="D1091" s="235"/>
      <c r="E1091" s="235"/>
      <c r="F1091" s="235">
        <f>'F9 - Project Profile'!B20</f>
        <v>0</v>
      </c>
      <c r="G1091" s="235">
        <f>'F9 - Project Profile'!H20</f>
        <v>0</v>
      </c>
      <c r="H1091" s="235">
        <f>'F9 - Project Profile'!I20</f>
        <v>0</v>
      </c>
      <c r="I1091" s="235">
        <f>'F9 - Project Profile'!J20</f>
        <v>0</v>
      </c>
      <c r="J1091" s="235">
        <f>'F9 - Project Profile'!K20</f>
        <v>0</v>
      </c>
      <c r="K1091" s="235">
        <f>'F9 - Project Profile'!L20</f>
        <v>0</v>
      </c>
      <c r="L1091" s="235">
        <f>'F9 - Project Profile'!M20</f>
        <v>0</v>
      </c>
      <c r="M1091" s="235">
        <f>'F9 - Project Profile'!N20</f>
        <v>0</v>
      </c>
      <c r="N1091" s="235">
        <f>'F9 - Project Profile'!O20</f>
        <v>0</v>
      </c>
      <c r="O1091" s="235">
        <f>'F9 - Project Profile'!P20</f>
        <v>0</v>
      </c>
      <c r="P1091" s="235">
        <f>'F9 - Project Profile'!Q20</f>
        <v>0</v>
      </c>
      <c r="Q1091" s="235">
        <f>'F9 - Project Profile'!R20</f>
        <v>0</v>
      </c>
      <c r="R1091" s="235">
        <f>'F9 - Project Profile'!S20</f>
        <v>0</v>
      </c>
      <c r="S1091" s="235"/>
      <c r="AG1091" s="233">
        <f>'F9 - Project Profile'!C20</f>
        <v>0</v>
      </c>
      <c r="AH1091" s="233">
        <f>'F9 - Project Profile'!D20</f>
        <v>0</v>
      </c>
    </row>
    <row r="1092" spans="1:34">
      <c r="A1092" s="234" t="str">
        <f>'Front Sheet and Checklist'!$C$5</f>
        <v>Swansea Bay UHB</v>
      </c>
      <c r="B1092" s="234" t="s">
        <v>387</v>
      </c>
      <c r="C1092" s="235" t="str">
        <f>'F9 - Project Profile'!$B$6</f>
        <v>Activity</v>
      </c>
      <c r="D1092" s="235"/>
      <c r="E1092" s="235"/>
      <c r="F1092" s="235">
        <f>'F9 - Project Profile'!B21</f>
        <v>0</v>
      </c>
      <c r="G1092" s="235">
        <f>'F9 - Project Profile'!H21</f>
        <v>0</v>
      </c>
      <c r="H1092" s="235">
        <f>'F9 - Project Profile'!I21</f>
        <v>0</v>
      </c>
      <c r="I1092" s="235">
        <f>'F9 - Project Profile'!J21</f>
        <v>0</v>
      </c>
      <c r="J1092" s="235">
        <f>'F9 - Project Profile'!K21</f>
        <v>0</v>
      </c>
      <c r="K1092" s="235">
        <f>'F9 - Project Profile'!L21</f>
        <v>0</v>
      </c>
      <c r="L1092" s="235">
        <f>'F9 - Project Profile'!M21</f>
        <v>0</v>
      </c>
      <c r="M1092" s="235">
        <f>'F9 - Project Profile'!N21</f>
        <v>0</v>
      </c>
      <c r="N1092" s="235">
        <f>'F9 - Project Profile'!O21</f>
        <v>0</v>
      </c>
      <c r="O1092" s="235">
        <f>'F9 - Project Profile'!P21</f>
        <v>0</v>
      </c>
      <c r="P1092" s="235">
        <f>'F9 - Project Profile'!Q21</f>
        <v>0</v>
      </c>
      <c r="Q1092" s="235">
        <f>'F9 - Project Profile'!R21</f>
        <v>0</v>
      </c>
      <c r="R1092" s="235">
        <f>'F9 - Project Profile'!S21</f>
        <v>0</v>
      </c>
      <c r="S1092" s="235"/>
      <c r="AG1092" s="233">
        <f>'F9 - Project Profile'!C21</f>
        <v>0</v>
      </c>
      <c r="AH1092" s="233">
        <f>'F9 - Project Profile'!D21</f>
        <v>0</v>
      </c>
    </row>
    <row r="1093" spans="1:34">
      <c r="A1093" s="234" t="str">
        <f>'Front Sheet and Checklist'!$C$5</f>
        <v>Swansea Bay UHB</v>
      </c>
      <c r="B1093" s="234" t="s">
        <v>387</v>
      </c>
      <c r="C1093" s="235" t="str">
        <f>'F9 - Project Profile'!$B$6</f>
        <v>Activity</v>
      </c>
      <c r="D1093" s="235"/>
      <c r="E1093" s="235"/>
      <c r="F1093" s="235">
        <f>'F9 - Project Profile'!B22</f>
        <v>0</v>
      </c>
      <c r="G1093" s="235">
        <f>'F9 - Project Profile'!H22</f>
        <v>0</v>
      </c>
      <c r="H1093" s="235">
        <f>'F9 - Project Profile'!I22</f>
        <v>0</v>
      </c>
      <c r="I1093" s="235">
        <f>'F9 - Project Profile'!J22</f>
        <v>0</v>
      </c>
      <c r="J1093" s="235">
        <f>'F9 - Project Profile'!K22</f>
        <v>0</v>
      </c>
      <c r="K1093" s="235">
        <f>'F9 - Project Profile'!L22</f>
        <v>0</v>
      </c>
      <c r="L1093" s="235">
        <f>'F9 - Project Profile'!M22</f>
        <v>0</v>
      </c>
      <c r="M1093" s="235">
        <f>'F9 - Project Profile'!N22</f>
        <v>0</v>
      </c>
      <c r="N1093" s="235">
        <f>'F9 - Project Profile'!O22</f>
        <v>0</v>
      </c>
      <c r="O1093" s="235">
        <f>'F9 - Project Profile'!P22</f>
        <v>0</v>
      </c>
      <c r="P1093" s="235">
        <f>'F9 - Project Profile'!Q22</f>
        <v>0</v>
      </c>
      <c r="Q1093" s="235">
        <f>'F9 - Project Profile'!R22</f>
        <v>0</v>
      </c>
      <c r="R1093" s="235">
        <f>'F9 - Project Profile'!S22</f>
        <v>0</v>
      </c>
      <c r="S1093" s="235"/>
      <c r="AG1093" s="233">
        <f>'F9 - Project Profile'!C22</f>
        <v>0</v>
      </c>
      <c r="AH1093" s="233">
        <f>'F9 - Project Profile'!D22</f>
        <v>0</v>
      </c>
    </row>
    <row r="1094" spans="1:34">
      <c r="A1094" s="234" t="str">
        <f>'Front Sheet and Checklist'!$C$5</f>
        <v>Swansea Bay UHB</v>
      </c>
      <c r="B1094" s="234" t="s">
        <v>387</v>
      </c>
      <c r="C1094" s="235" t="str">
        <f>'F9 - Project Profile'!$B$6</f>
        <v>Activity</v>
      </c>
      <c r="D1094" s="235"/>
      <c r="E1094" s="235"/>
      <c r="F1094" s="235">
        <f>'F9 - Project Profile'!B23</f>
        <v>0</v>
      </c>
      <c r="G1094" s="235">
        <f>'F9 - Project Profile'!H23</f>
        <v>0</v>
      </c>
      <c r="H1094" s="235">
        <f>'F9 - Project Profile'!I23</f>
        <v>0</v>
      </c>
      <c r="I1094" s="235">
        <f>'F9 - Project Profile'!J23</f>
        <v>0</v>
      </c>
      <c r="J1094" s="235">
        <f>'F9 - Project Profile'!K23</f>
        <v>0</v>
      </c>
      <c r="K1094" s="235">
        <f>'F9 - Project Profile'!L23</f>
        <v>0</v>
      </c>
      <c r="L1094" s="235">
        <f>'F9 - Project Profile'!M23</f>
        <v>0</v>
      </c>
      <c r="M1094" s="235">
        <f>'F9 - Project Profile'!N23</f>
        <v>0</v>
      </c>
      <c r="N1094" s="235">
        <f>'F9 - Project Profile'!O23</f>
        <v>0</v>
      </c>
      <c r="O1094" s="235">
        <f>'F9 - Project Profile'!P23</f>
        <v>0</v>
      </c>
      <c r="P1094" s="235">
        <f>'F9 - Project Profile'!Q23</f>
        <v>0</v>
      </c>
      <c r="Q1094" s="235">
        <f>'F9 - Project Profile'!R23</f>
        <v>0</v>
      </c>
      <c r="R1094" s="235">
        <f>'F9 - Project Profile'!S23</f>
        <v>0</v>
      </c>
      <c r="S1094" s="235"/>
      <c r="AG1094" s="233">
        <f>'F9 - Project Profile'!C23</f>
        <v>0</v>
      </c>
      <c r="AH1094" s="233">
        <f>'F9 - Project Profile'!D23</f>
        <v>0</v>
      </c>
    </row>
    <row r="1095" spans="1:34">
      <c r="A1095" s="234" t="str">
        <f>'Front Sheet and Checklist'!$C$5</f>
        <v>Swansea Bay UHB</v>
      </c>
      <c r="B1095" s="234" t="s">
        <v>387</v>
      </c>
      <c r="C1095" s="235" t="str">
        <f>'F9 - Project Profile'!$B$6</f>
        <v>Activity</v>
      </c>
      <c r="D1095" s="235"/>
      <c r="E1095" s="235"/>
      <c r="F1095" s="235">
        <f>'F9 - Project Profile'!B24</f>
        <v>0</v>
      </c>
      <c r="G1095" s="235">
        <f>'F9 - Project Profile'!H24</f>
        <v>0</v>
      </c>
      <c r="H1095" s="235">
        <f>'F9 - Project Profile'!I24</f>
        <v>0</v>
      </c>
      <c r="I1095" s="235">
        <f>'F9 - Project Profile'!J24</f>
        <v>0</v>
      </c>
      <c r="J1095" s="235">
        <f>'F9 - Project Profile'!K24</f>
        <v>0</v>
      </c>
      <c r="K1095" s="235">
        <f>'F9 - Project Profile'!L24</f>
        <v>0</v>
      </c>
      <c r="L1095" s="235">
        <f>'F9 - Project Profile'!M24</f>
        <v>0</v>
      </c>
      <c r="M1095" s="235">
        <f>'F9 - Project Profile'!N24</f>
        <v>0</v>
      </c>
      <c r="N1095" s="235">
        <f>'F9 - Project Profile'!O24</f>
        <v>0</v>
      </c>
      <c r="O1095" s="235">
        <f>'F9 - Project Profile'!P24</f>
        <v>0</v>
      </c>
      <c r="P1095" s="235">
        <f>'F9 - Project Profile'!Q24</f>
        <v>0</v>
      </c>
      <c r="Q1095" s="235">
        <f>'F9 - Project Profile'!R24</f>
        <v>0</v>
      </c>
      <c r="R1095" s="235">
        <f>'F9 - Project Profile'!S24</f>
        <v>0</v>
      </c>
      <c r="S1095" s="235"/>
      <c r="AG1095" s="233">
        <f>'F9 - Project Profile'!C24</f>
        <v>0</v>
      </c>
      <c r="AH1095" s="233">
        <f>'F9 - Project Profile'!D24</f>
        <v>0</v>
      </c>
    </row>
    <row r="1096" spans="1:34">
      <c r="A1096" s="234" t="str">
        <f>'Front Sheet and Checklist'!$C$5</f>
        <v>Swansea Bay UHB</v>
      </c>
      <c r="B1096" s="234" t="s">
        <v>387</v>
      </c>
      <c r="C1096" s="235" t="str">
        <f>'F9 - Project Profile'!$B$6</f>
        <v>Activity</v>
      </c>
      <c r="D1096" s="235"/>
      <c r="E1096" s="235"/>
      <c r="F1096" s="235">
        <f>'F9 - Project Profile'!B25</f>
        <v>0</v>
      </c>
      <c r="G1096" s="235">
        <f>'F9 - Project Profile'!H25</f>
        <v>0</v>
      </c>
      <c r="H1096" s="235">
        <f>'F9 - Project Profile'!I25</f>
        <v>0</v>
      </c>
      <c r="I1096" s="235">
        <f>'F9 - Project Profile'!J25</f>
        <v>0</v>
      </c>
      <c r="J1096" s="235">
        <f>'F9 - Project Profile'!K25</f>
        <v>0</v>
      </c>
      <c r="K1096" s="235">
        <f>'F9 - Project Profile'!L25</f>
        <v>0</v>
      </c>
      <c r="L1096" s="235">
        <f>'F9 - Project Profile'!M25</f>
        <v>0</v>
      </c>
      <c r="M1096" s="235">
        <f>'F9 - Project Profile'!N25</f>
        <v>0</v>
      </c>
      <c r="N1096" s="235">
        <f>'F9 - Project Profile'!O25</f>
        <v>0</v>
      </c>
      <c r="O1096" s="235">
        <f>'F9 - Project Profile'!P25</f>
        <v>0</v>
      </c>
      <c r="P1096" s="235">
        <f>'F9 - Project Profile'!Q25</f>
        <v>0</v>
      </c>
      <c r="Q1096" s="235">
        <f>'F9 - Project Profile'!R25</f>
        <v>0</v>
      </c>
      <c r="R1096" s="235">
        <f>'F9 - Project Profile'!S25</f>
        <v>0</v>
      </c>
      <c r="S1096" s="235"/>
      <c r="AG1096" s="233">
        <f>'F9 - Project Profile'!C25</f>
        <v>0</v>
      </c>
      <c r="AH1096" s="233">
        <f>'F9 - Project Profile'!D25</f>
        <v>0</v>
      </c>
    </row>
    <row r="1097" spans="1:34">
      <c r="A1097" s="234" t="str">
        <f>'Front Sheet and Checklist'!$C$5</f>
        <v>Swansea Bay UHB</v>
      </c>
      <c r="B1097" s="234" t="s">
        <v>387</v>
      </c>
      <c r="C1097" s="235" t="str">
        <f>'F9 - Project Profile'!$B$6</f>
        <v>Activity</v>
      </c>
      <c r="D1097" s="235"/>
      <c r="E1097" s="235"/>
      <c r="F1097" s="235">
        <f>'F9 - Project Profile'!B26</f>
        <v>0</v>
      </c>
      <c r="G1097" s="235">
        <f>'F9 - Project Profile'!H26</f>
        <v>0</v>
      </c>
      <c r="H1097" s="235">
        <f>'F9 - Project Profile'!I26</f>
        <v>0</v>
      </c>
      <c r="I1097" s="235">
        <f>'F9 - Project Profile'!J26</f>
        <v>0</v>
      </c>
      <c r="J1097" s="235">
        <f>'F9 - Project Profile'!K26</f>
        <v>0</v>
      </c>
      <c r="K1097" s="235">
        <f>'F9 - Project Profile'!L26</f>
        <v>0</v>
      </c>
      <c r="L1097" s="235">
        <f>'F9 - Project Profile'!M26</f>
        <v>0</v>
      </c>
      <c r="M1097" s="235">
        <f>'F9 - Project Profile'!N26</f>
        <v>0</v>
      </c>
      <c r="N1097" s="235">
        <f>'F9 - Project Profile'!O26</f>
        <v>0</v>
      </c>
      <c r="O1097" s="235">
        <f>'F9 - Project Profile'!P26</f>
        <v>0</v>
      </c>
      <c r="P1097" s="235">
        <f>'F9 - Project Profile'!Q26</f>
        <v>0</v>
      </c>
      <c r="Q1097" s="235">
        <f>'F9 - Project Profile'!R26</f>
        <v>0</v>
      </c>
      <c r="R1097" s="235">
        <f>'F9 - Project Profile'!S26</f>
        <v>0</v>
      </c>
      <c r="S1097" s="235"/>
      <c r="AG1097" s="233">
        <f>'F9 - Project Profile'!C26</f>
        <v>0</v>
      </c>
      <c r="AH1097" s="233">
        <f>'F9 - Project Profile'!D26</f>
        <v>0</v>
      </c>
    </row>
    <row r="1098" spans="1:34">
      <c r="A1098" s="234" t="str">
        <f>'Front Sheet and Checklist'!$C$5</f>
        <v>Swansea Bay UHB</v>
      </c>
      <c r="B1098" s="234" t="s">
        <v>387</v>
      </c>
      <c r="C1098" s="235" t="str">
        <f>'F9 - Project Profile'!$B$6</f>
        <v>Activity</v>
      </c>
      <c r="D1098" s="235"/>
      <c r="E1098" s="235"/>
      <c r="F1098" s="235">
        <f>'F9 - Project Profile'!B27</f>
        <v>0</v>
      </c>
      <c r="G1098" s="235">
        <f>'F9 - Project Profile'!H27</f>
        <v>0</v>
      </c>
      <c r="H1098" s="235">
        <f>'F9 - Project Profile'!I27</f>
        <v>0</v>
      </c>
      <c r="I1098" s="235">
        <f>'F9 - Project Profile'!J27</f>
        <v>0</v>
      </c>
      <c r="J1098" s="235">
        <f>'F9 - Project Profile'!K27</f>
        <v>0</v>
      </c>
      <c r="K1098" s="235">
        <f>'F9 - Project Profile'!L27</f>
        <v>0</v>
      </c>
      <c r="L1098" s="235">
        <f>'F9 - Project Profile'!M27</f>
        <v>0</v>
      </c>
      <c r="M1098" s="235">
        <f>'F9 - Project Profile'!N27</f>
        <v>0</v>
      </c>
      <c r="N1098" s="235">
        <f>'F9 - Project Profile'!O27</f>
        <v>0</v>
      </c>
      <c r="O1098" s="235">
        <f>'F9 - Project Profile'!P27</f>
        <v>0</v>
      </c>
      <c r="P1098" s="235">
        <f>'F9 - Project Profile'!Q27</f>
        <v>0</v>
      </c>
      <c r="Q1098" s="235">
        <f>'F9 - Project Profile'!R27</f>
        <v>0</v>
      </c>
      <c r="R1098" s="235">
        <f>'F9 - Project Profile'!S27</f>
        <v>0</v>
      </c>
      <c r="S1098" s="235"/>
      <c r="AG1098" s="233">
        <f>'F9 - Project Profile'!C27</f>
        <v>0</v>
      </c>
      <c r="AH1098" s="233">
        <f>'F9 - Project Profile'!D27</f>
        <v>0</v>
      </c>
    </row>
    <row r="1099" spans="1:34">
      <c r="A1099" s="234" t="str">
        <f>'Front Sheet and Checklist'!$C$5</f>
        <v>Swansea Bay UHB</v>
      </c>
      <c r="B1099" s="234" t="s">
        <v>387</v>
      </c>
      <c r="C1099" s="235" t="str">
        <f>'F9 - Project Profile'!$B$29</f>
        <v>Specifically Spend Breakdowns</v>
      </c>
      <c r="D1099" s="235"/>
      <c r="E1099" s="235"/>
      <c r="F1099" s="235" t="str">
        <f>'F9 - Project Profile'!B30</f>
        <v>Non-Pay spend - Energy</v>
      </c>
      <c r="G1099" s="235"/>
      <c r="H1099" s="235"/>
      <c r="I1099" s="235"/>
      <c r="J1099" s="235"/>
      <c r="K1099" s="235"/>
      <c r="L1099" s="235"/>
      <c r="M1099" s="235"/>
      <c r="N1099" s="235"/>
      <c r="O1099" s="235"/>
      <c r="P1099" s="235"/>
      <c r="Q1099" s="235"/>
      <c r="R1099" s="235"/>
      <c r="S1099" s="235"/>
      <c r="AG1099" s="233">
        <f>'F9 - Project Profile'!C30</f>
        <v>123</v>
      </c>
      <c r="AH1099" s="233">
        <f>'F9 - Project Profile'!D30</f>
        <v>123</v>
      </c>
    </row>
    <row r="1100" spans="1:34">
      <c r="A1100" s="234" t="str">
        <f>'Front Sheet and Checklist'!$C$5</f>
        <v>Swansea Bay UHB</v>
      </c>
      <c r="B1100" s="234" t="s">
        <v>387</v>
      </c>
      <c r="C1100" s="235" t="str">
        <f>'F9 - Project Profile'!$B$29</f>
        <v>Specifically Spend Breakdowns</v>
      </c>
      <c r="D1100" s="235"/>
      <c r="E1100" s="235"/>
      <c r="F1100" s="235" t="str">
        <f>'F9 - Project Profile'!B31</f>
        <v>Non-Pay spend - Clinical Services inc. Appliances and Consumables</v>
      </c>
      <c r="G1100" s="235"/>
      <c r="H1100" s="235"/>
      <c r="I1100" s="235"/>
      <c r="J1100" s="235"/>
      <c r="K1100" s="235"/>
      <c r="L1100" s="235"/>
      <c r="M1100" s="235"/>
      <c r="N1100" s="235"/>
      <c r="O1100" s="235"/>
      <c r="P1100" s="235"/>
      <c r="Q1100" s="235"/>
      <c r="R1100" s="235"/>
      <c r="S1100" s="235"/>
      <c r="AG1100" s="233">
        <f>'F9 - Project Profile'!C31</f>
        <v>123</v>
      </c>
      <c r="AH1100" s="233">
        <f>'F9 - Project Profile'!D31</f>
        <v>123</v>
      </c>
    </row>
    <row r="1101" spans="1:34">
      <c r="A1101" s="234" t="str">
        <f>'Front Sheet and Checklist'!$C$5</f>
        <v>Swansea Bay UHB</v>
      </c>
      <c r="B1101" s="234" t="s">
        <v>387</v>
      </c>
      <c r="C1101" s="235" t="str">
        <f>'F9 - Project Profile'!$B$29</f>
        <v>Specifically Spend Breakdowns</v>
      </c>
      <c r="D1101" s="235"/>
      <c r="E1101" s="235"/>
      <c r="F1101" s="235" t="str">
        <f>'F9 - Project Profile'!B32</f>
        <v>Non-Pay spend - IT and Digital</v>
      </c>
      <c r="G1101" s="235"/>
      <c r="H1101" s="235"/>
      <c r="I1101" s="235"/>
      <c r="J1101" s="235"/>
      <c r="K1101" s="235"/>
      <c r="L1101" s="235"/>
      <c r="M1101" s="235"/>
      <c r="N1101" s="235"/>
      <c r="O1101" s="235"/>
      <c r="P1101" s="235"/>
      <c r="Q1101" s="235"/>
      <c r="R1101" s="235"/>
      <c r="S1101" s="235"/>
      <c r="AG1101" s="233">
        <f>'F9 - Project Profile'!C32</f>
        <v>123</v>
      </c>
      <c r="AH1101" s="233">
        <f>'F9 - Project Profile'!D32</f>
        <v>123</v>
      </c>
    </row>
    <row r="1102" spans="1:34">
      <c r="A1102" s="234" t="str">
        <f>'Front Sheet and Checklist'!$C$5</f>
        <v>Swansea Bay UHB</v>
      </c>
      <c r="B1102" s="234" t="s">
        <v>387</v>
      </c>
      <c r="C1102" s="235" t="str">
        <f>'F9 - Project Profile'!$B$29</f>
        <v>Specifically Spend Breakdowns</v>
      </c>
      <c r="D1102" s="235"/>
      <c r="E1102" s="235"/>
      <c r="F1102" s="235" t="str">
        <f>'F9 - Project Profile'!B33</f>
        <v>Non-Pay spend - Other Estates and Facilities, Hard FM and Soft FM</v>
      </c>
      <c r="G1102" s="235"/>
      <c r="H1102" s="235"/>
      <c r="I1102" s="235"/>
      <c r="J1102" s="235"/>
      <c r="K1102" s="235"/>
      <c r="L1102" s="235"/>
      <c r="M1102" s="235"/>
      <c r="N1102" s="235"/>
      <c r="O1102" s="235"/>
      <c r="P1102" s="235"/>
      <c r="Q1102" s="235"/>
      <c r="R1102" s="235"/>
      <c r="S1102" s="235"/>
      <c r="AG1102" s="233">
        <f>'F9 - Project Profile'!C33</f>
        <v>123</v>
      </c>
      <c r="AH1102" s="233">
        <f>'F9 - Project Profile'!D33</f>
        <v>123</v>
      </c>
    </row>
    <row r="1103" spans="1:34">
      <c r="A1103" s="234" t="str">
        <f>'Front Sheet and Checklist'!$C$5</f>
        <v>Swansea Bay UHB</v>
      </c>
      <c r="B1103" s="234" t="s">
        <v>387</v>
      </c>
      <c r="C1103" s="235" t="str">
        <f>'F9 - Project Profile'!$B$29</f>
        <v>Specifically Spend Breakdowns</v>
      </c>
      <c r="D1103" s="235"/>
      <c r="E1103" s="235"/>
      <c r="F1103" s="235" t="str">
        <f>'F9 - Project Profile'!B34</f>
        <v>Non-Pay spend - Other</v>
      </c>
      <c r="G1103" s="235"/>
      <c r="H1103" s="235"/>
      <c r="I1103" s="235"/>
      <c r="J1103" s="235"/>
      <c r="K1103" s="235"/>
      <c r="L1103" s="235"/>
      <c r="M1103" s="235"/>
      <c r="N1103" s="235"/>
      <c r="O1103" s="235"/>
      <c r="P1103" s="235"/>
      <c r="Q1103" s="235"/>
      <c r="R1103" s="235"/>
      <c r="S1103" s="235"/>
      <c r="AG1103" s="233">
        <f>'F9 - Project Profile'!C34</f>
        <v>123</v>
      </c>
      <c r="AH1103" s="233">
        <f>'F9 - Project Profile'!D34</f>
        <v>123</v>
      </c>
    </row>
    <row r="1104" spans="1:34">
      <c r="A1104" s="234" t="str">
        <f>'Front Sheet and Checklist'!$C$5</f>
        <v>Swansea Bay UHB</v>
      </c>
      <c r="B1104" s="234" t="s">
        <v>387</v>
      </c>
      <c r="C1104" s="235" t="str">
        <f>'F9 - Project Profile'!$B$29</f>
        <v>Specifically Spend Breakdowns</v>
      </c>
      <c r="D1104" s="235"/>
      <c r="E1104" s="235"/>
      <c r="F1104" s="235" t="str">
        <f>'F9 - Project Profile'!B35</f>
        <v>Health Services provided by Other NHS Bodies - WHSSC costs</v>
      </c>
      <c r="G1104" s="235"/>
      <c r="H1104" s="235"/>
      <c r="I1104" s="235"/>
      <c r="J1104" s="235"/>
      <c r="K1104" s="235"/>
      <c r="L1104" s="235"/>
      <c r="M1104" s="235"/>
      <c r="N1104" s="235"/>
      <c r="O1104" s="235"/>
      <c r="P1104" s="235"/>
      <c r="Q1104" s="235"/>
      <c r="R1104" s="235"/>
      <c r="S1104" s="235"/>
      <c r="AG1104" s="233">
        <f>'F9 - Project Profile'!C35</f>
        <v>123</v>
      </c>
      <c r="AH1104" s="233">
        <f>'F9 - Project Profile'!D35</f>
        <v>123</v>
      </c>
    </row>
    <row r="1105" spans="1:37">
      <c r="A1105" s="234" t="str">
        <f>'Front Sheet and Checklist'!$C$5</f>
        <v>Swansea Bay UHB</v>
      </c>
      <c r="B1105" s="234" t="s">
        <v>387</v>
      </c>
      <c r="C1105" s="235" t="str">
        <f>'F9 - Project Profile'!$B$29</f>
        <v>Specifically Spend Breakdowns</v>
      </c>
      <c r="D1105" s="235"/>
      <c r="E1105" s="235"/>
      <c r="F1105" s="235" t="str">
        <f>'F9 - Project Profile'!B36</f>
        <v>Health Services provided by Other NHS Bodies - Other Welsh NHS costs</v>
      </c>
      <c r="G1105" s="235"/>
      <c r="H1105" s="235"/>
      <c r="I1105" s="235"/>
      <c r="J1105" s="235"/>
      <c r="K1105" s="235"/>
      <c r="L1105" s="235"/>
      <c r="M1105" s="235"/>
      <c r="N1105" s="235"/>
      <c r="O1105" s="235"/>
      <c r="P1105" s="235"/>
      <c r="Q1105" s="235"/>
      <c r="R1105" s="235"/>
      <c r="S1105" s="235"/>
      <c r="AG1105" s="233">
        <f>'F9 - Project Profile'!C36</f>
        <v>123</v>
      </c>
      <c r="AH1105" s="233">
        <f>'F9 - Project Profile'!D36</f>
        <v>123</v>
      </c>
    </row>
    <row r="1106" spans="1:37">
      <c r="A1106" s="234" t="str">
        <f>'Front Sheet and Checklist'!$C$5</f>
        <v>Swansea Bay UHB</v>
      </c>
      <c r="B1106" s="234" t="s">
        <v>387</v>
      </c>
      <c r="C1106" s="235" t="str">
        <f>'F9 - Project Profile'!$B$29</f>
        <v>Specifically Spend Breakdowns</v>
      </c>
      <c r="D1106" s="235"/>
      <c r="E1106" s="235"/>
      <c r="F1106" s="235" t="str">
        <f>'F9 - Project Profile'!B37</f>
        <v>Health Services provided by Other NHS Bodies - English NHS costs</v>
      </c>
      <c r="G1106" s="235"/>
      <c r="H1106" s="235"/>
      <c r="I1106" s="235"/>
      <c r="J1106" s="235"/>
      <c r="K1106" s="235"/>
      <c r="L1106" s="235"/>
      <c r="M1106" s="235"/>
      <c r="N1106" s="235"/>
      <c r="O1106" s="235"/>
      <c r="P1106" s="235"/>
      <c r="Q1106" s="235"/>
      <c r="R1106" s="235"/>
      <c r="S1106" s="235"/>
      <c r="AG1106" s="233">
        <f>'F9 - Project Profile'!C37</f>
        <v>123</v>
      </c>
      <c r="AH1106" s="233">
        <f>'F9 - Project Profile'!D37</f>
        <v>123</v>
      </c>
    </row>
    <row r="1107" spans="1:37">
      <c r="A1107" s="234" t="str">
        <f>'Front Sheet and Checklist'!$C$5</f>
        <v>Swansea Bay UHB</v>
      </c>
      <c r="B1107" s="234" t="s">
        <v>387</v>
      </c>
      <c r="C1107" s="235" t="str">
        <f>'F9 - Project Profile'!$B$29</f>
        <v>Specifically Spend Breakdowns</v>
      </c>
      <c r="D1107" s="235"/>
      <c r="E1107" s="235"/>
      <c r="F1107" s="235">
        <f>'F9 - Project Profile'!B38</f>
        <v>0</v>
      </c>
      <c r="G1107" s="235"/>
      <c r="H1107" s="235"/>
      <c r="I1107" s="235"/>
      <c r="J1107" s="235"/>
      <c r="K1107" s="235"/>
      <c r="L1107" s="235"/>
      <c r="M1107" s="235"/>
      <c r="N1107" s="235"/>
      <c r="O1107" s="235"/>
      <c r="P1107" s="235"/>
      <c r="Q1107" s="235"/>
      <c r="R1107" s="235"/>
      <c r="S1107" s="235"/>
      <c r="AG1107" s="233">
        <f>'F9 - Project Profile'!C38</f>
        <v>123</v>
      </c>
      <c r="AH1107" s="233">
        <f>'F9 - Project Profile'!D38</f>
        <v>123</v>
      </c>
    </row>
    <row r="1108" spans="1:37">
      <c r="A1108" s="234" t="str">
        <f>'Front Sheet and Checklist'!$C$5</f>
        <v>Swansea Bay UHB</v>
      </c>
      <c r="B1108" s="234" t="s">
        <v>387</v>
      </c>
      <c r="C1108" s="235" t="str">
        <f>'F9 - Project Profile'!$B$29</f>
        <v>Specifically Spend Breakdowns</v>
      </c>
      <c r="D1108" s="235"/>
      <c r="E1108" s="235"/>
      <c r="F1108" s="235">
        <f>'F9 - Project Profile'!B39</f>
        <v>0</v>
      </c>
      <c r="G1108" s="235"/>
      <c r="H1108" s="235"/>
      <c r="I1108" s="235"/>
      <c r="J1108" s="235"/>
      <c r="K1108" s="235"/>
      <c r="L1108" s="235"/>
      <c r="M1108" s="235"/>
      <c r="N1108" s="235"/>
      <c r="O1108" s="235"/>
      <c r="P1108" s="235"/>
      <c r="Q1108" s="235"/>
      <c r="R1108" s="235"/>
      <c r="S1108" s="235"/>
      <c r="AG1108" s="233">
        <f>'F9 - Project Profile'!C39</f>
        <v>123</v>
      </c>
      <c r="AH1108" s="233">
        <f>'F9 - Project Profile'!D39</f>
        <v>123</v>
      </c>
    </row>
    <row r="1109" spans="1:37">
      <c r="A1109" s="234" t="str">
        <f>'Front Sheet and Checklist'!$C$5</f>
        <v>Swansea Bay UHB</v>
      </c>
      <c r="B1109" s="234" t="s">
        <v>387</v>
      </c>
      <c r="C1109" s="235" t="str">
        <f>'F9 - Project Profile'!$B$29</f>
        <v>Specifically Spend Breakdowns</v>
      </c>
      <c r="D1109" s="235"/>
      <c r="E1109" s="235"/>
      <c r="F1109" s="235">
        <f>'F9 - Project Profile'!B40</f>
        <v>0</v>
      </c>
      <c r="G1109" s="235"/>
      <c r="H1109" s="235"/>
      <c r="I1109" s="235"/>
      <c r="J1109" s="235"/>
      <c r="K1109" s="235"/>
      <c r="L1109" s="235"/>
      <c r="M1109" s="235"/>
      <c r="N1109" s="235"/>
      <c r="O1109" s="235"/>
      <c r="P1109" s="235"/>
      <c r="Q1109" s="235"/>
      <c r="R1109" s="235"/>
      <c r="S1109" s="235"/>
      <c r="AG1109" s="233">
        <f>'F9 - Project Profile'!C40</f>
        <v>123</v>
      </c>
      <c r="AH1109" s="233">
        <f>'F9 - Project Profile'!D40</f>
        <v>123</v>
      </c>
    </row>
    <row r="1110" spans="1:37">
      <c r="A1110" s="234" t="str">
        <f>'Front Sheet and Checklist'!$C$5</f>
        <v>Swansea Bay UHB</v>
      </c>
      <c r="B1110" s="234" t="s">
        <v>387</v>
      </c>
      <c r="C1110" s="235" t="str">
        <f>'F9 - Project Profile'!$B$29</f>
        <v>Specifically Spend Breakdowns</v>
      </c>
      <c r="D1110" s="235"/>
      <c r="E1110" s="235"/>
      <c r="F1110" s="235">
        <f>'F9 - Project Profile'!B41</f>
        <v>0</v>
      </c>
      <c r="G1110" s="235"/>
      <c r="H1110" s="235"/>
      <c r="I1110" s="235"/>
      <c r="J1110" s="235"/>
      <c r="K1110" s="235"/>
      <c r="L1110" s="235"/>
      <c r="M1110" s="235"/>
      <c r="N1110" s="235"/>
      <c r="O1110" s="235"/>
      <c r="P1110" s="235"/>
      <c r="Q1110" s="235"/>
      <c r="R1110" s="235"/>
      <c r="S1110" s="235"/>
      <c r="AG1110" s="233">
        <f>'F9 - Project Profile'!C41</f>
        <v>123</v>
      </c>
      <c r="AH1110" s="233">
        <f>'F9 - Project Profile'!D41</f>
        <v>123</v>
      </c>
    </row>
    <row r="1111" spans="1:37">
      <c r="A1111" s="234" t="str">
        <f>'Front Sheet and Checklist'!$C$5</f>
        <v>Swansea Bay UHB</v>
      </c>
      <c r="B1111" s="234" t="s">
        <v>387</v>
      </c>
      <c r="C1111" s="235" t="str">
        <f>'F9 - Project Profile'!$B$29</f>
        <v>Specifically Spend Breakdowns</v>
      </c>
      <c r="D1111" s="235"/>
      <c r="E1111" s="235"/>
      <c r="F1111" s="235">
        <f>'F9 - Project Profile'!B42</f>
        <v>0</v>
      </c>
      <c r="G1111" s="235"/>
      <c r="H1111" s="235"/>
      <c r="I1111" s="235"/>
      <c r="J1111" s="235"/>
      <c r="K1111" s="235"/>
      <c r="L1111" s="235"/>
      <c r="M1111" s="235"/>
      <c r="N1111" s="235"/>
      <c r="O1111" s="235"/>
      <c r="P1111" s="235"/>
      <c r="Q1111" s="235"/>
      <c r="R1111" s="235"/>
      <c r="S1111" s="235"/>
      <c r="AG1111" s="233">
        <f>'F9 - Project Profile'!C42</f>
        <v>123</v>
      </c>
      <c r="AH1111" s="233">
        <f>'F9 - Project Profile'!D42</f>
        <v>123</v>
      </c>
    </row>
    <row r="1112" spans="1:37">
      <c r="A1112" s="234" t="str">
        <f>'Front Sheet and Checklist'!$C$5</f>
        <v>Swansea Bay UHB</v>
      </c>
      <c r="B1112" s="234" t="s">
        <v>388</v>
      </c>
      <c r="C1112" s="235" t="s">
        <v>389</v>
      </c>
      <c r="D1112" s="234" t="str">
        <f>'F10 - Risks &amp; Opportunities'!B8</f>
        <v>Service / Performance Pressures</v>
      </c>
      <c r="F1112" s="234" t="str">
        <f>'F10 - Risks &amp; Opportunities'!C8</f>
        <v>NSA MH Requirements</v>
      </c>
      <c r="S1112" s="233">
        <f>'F10 - Risks &amp; Opportunities'!D8</f>
        <v>-3455</v>
      </c>
      <c r="AK1112" s="233" t="str">
        <f>'F10 - Risks &amp; Opportunities'!E8</f>
        <v>Low</v>
      </c>
    </row>
    <row r="1113" spans="1:37">
      <c r="A1113" s="234" t="str">
        <f>'Front Sheet and Checklist'!$C$5</f>
        <v>Swansea Bay UHB</v>
      </c>
      <c r="B1113" s="234" t="s">
        <v>388</v>
      </c>
      <c r="C1113" s="235" t="s">
        <v>389</v>
      </c>
      <c r="D1113" s="234" t="str">
        <f>'F10 - Risks &amp; Opportunities'!B9</f>
        <v>Service / Performance Pressures</v>
      </c>
      <c r="F1113" s="234" t="str">
        <f>'F10 - Risks &amp; Opportunities'!C9</f>
        <v xml:space="preserve"> - HIW Prison </v>
      </c>
      <c r="S1113" s="233">
        <f>'F10 - Risks &amp; Opportunities'!D9</f>
        <v>-500</v>
      </c>
      <c r="AK1113" s="233" t="str">
        <f>'F10 - Risks &amp; Opportunities'!E9</f>
        <v>Medium</v>
      </c>
    </row>
    <row r="1114" spans="1:37">
      <c r="A1114" s="234" t="str">
        <f>'Front Sheet and Checklist'!$C$5</f>
        <v>Swansea Bay UHB</v>
      </c>
      <c r="B1114" s="234" t="s">
        <v>388</v>
      </c>
      <c r="C1114" s="235" t="s">
        <v>389</v>
      </c>
      <c r="D1114" s="234" t="str">
        <f>'F10 - Risks &amp; Opportunities'!B10</f>
        <v>Income</v>
      </c>
      <c r="F1114" s="234" t="str">
        <f>'F10 - Risks &amp; Opportunities'!C10</f>
        <v xml:space="preserve"> - Potential end of funding from WG linked Pre-diabetes /ACD SPCC  Funding</v>
      </c>
      <c r="S1114" s="233">
        <f>'F10 - Risks &amp; Opportunities'!D10</f>
        <v>-470</v>
      </c>
      <c r="AK1114" s="233" t="str">
        <f>'F10 - Risks &amp; Opportunities'!E10</f>
        <v>Low</v>
      </c>
    </row>
    <row r="1115" spans="1:37">
      <c r="A1115" s="234" t="str">
        <f>'Front Sheet and Checklist'!$C$5</f>
        <v>Swansea Bay UHB</v>
      </c>
      <c r="B1115" s="234" t="s">
        <v>388</v>
      </c>
      <c r="C1115" s="235" t="s">
        <v>389</v>
      </c>
      <c r="D1115" s="234" t="str">
        <f>'F10 - Risks &amp; Opportunities'!B11</f>
        <v>Income</v>
      </c>
      <c r="F1115" s="234" t="str">
        <f>'F10 - Risks &amp; Opportunities'!C11</f>
        <v xml:space="preserve"> - Loss Income for Local Authorities linked ALN </v>
      </c>
      <c r="S1115" s="233">
        <f>'F10 - Risks &amp; Opportunities'!D11</f>
        <v>-283</v>
      </c>
      <c r="AK1115" s="233" t="str">
        <f>'F10 - Risks &amp; Opportunities'!E11</f>
        <v>Low</v>
      </c>
    </row>
    <row r="1116" spans="1:37">
      <c r="A1116" s="234" t="str">
        <f>'Front Sheet and Checklist'!$C$5</f>
        <v>Swansea Bay UHB</v>
      </c>
      <c r="B1116" s="234" t="s">
        <v>388</v>
      </c>
      <c r="C1116" s="235" t="s">
        <v>389</v>
      </c>
      <c r="D1116" s="234" t="str">
        <f>'F10 - Risks &amp; Opportunities'!B12</f>
        <v>NICE</v>
      </c>
      <c r="F1116" s="234" t="str">
        <f>'F10 - Risks &amp; Opportunities'!C12</f>
        <v xml:space="preserve"> - NICE Diabetes Hybrid Closed Loop System – above standard NICE Growth</v>
      </c>
      <c r="S1116" s="233">
        <f>'F10 - Risks &amp; Opportunities'!D12</f>
        <v>-3870</v>
      </c>
      <c r="AK1116" s="233" t="str">
        <f>'F10 - Risks &amp; Opportunities'!E12</f>
        <v>Medium</v>
      </c>
    </row>
    <row r="1117" spans="1:37">
      <c r="A1117" s="234" t="str">
        <f>'Front Sheet and Checklist'!$C$5</f>
        <v>Swansea Bay UHB</v>
      </c>
      <c r="B1117" s="234" t="s">
        <v>388</v>
      </c>
      <c r="C1117" s="235" t="s">
        <v>389</v>
      </c>
      <c r="D1117" s="234" t="str">
        <f>'F10 - Risks &amp; Opportunities'!B13</f>
        <v>Non Pay</v>
      </c>
      <c r="F1117" s="234" t="str">
        <f>'F10 - Risks &amp; Opportunities'!C13</f>
        <v xml:space="preserve"> - Extension of FUJI Contract if RISP implementation is delayed</v>
      </c>
      <c r="S1117" s="233">
        <f>'F10 - Risks &amp; Opportunities'!D13</f>
        <v>-390</v>
      </c>
      <c r="AK1117" s="233" t="str">
        <f>'F10 - Risks &amp; Opportunities'!E13</f>
        <v>High</v>
      </c>
    </row>
    <row r="1118" spans="1:37">
      <c r="A1118" s="234" t="str">
        <f>'Front Sheet and Checklist'!$C$5</f>
        <v>Swansea Bay UHB</v>
      </c>
      <c r="B1118" s="234" t="s">
        <v>388</v>
      </c>
      <c r="C1118" s="235" t="s">
        <v>389</v>
      </c>
      <c r="D1118" s="234" t="str">
        <f>'F10 - Risks &amp; Opportunities'!B14</f>
        <v>Commissioning</v>
      </c>
      <c r="F1118" s="234" t="str">
        <f>'F10 - Risks &amp; Opportunities'!C14</f>
        <v xml:space="preserve"> - LTA Contracting Arrangements </v>
      </c>
      <c r="S1118" s="233">
        <f>'F10 - Risks &amp; Opportunities'!D14</f>
        <v>-4000</v>
      </c>
      <c r="AK1118" s="233" t="str">
        <f>'F10 - Risks &amp; Opportunities'!E14</f>
        <v>Medium</v>
      </c>
    </row>
    <row r="1119" spans="1:37">
      <c r="A1119" s="234" t="str">
        <f>'Front Sheet and Checklist'!$C$5</f>
        <v>Swansea Bay UHB</v>
      </c>
      <c r="B1119" s="234" t="s">
        <v>388</v>
      </c>
      <c r="C1119" s="235" t="s">
        <v>389</v>
      </c>
      <c r="D1119" s="234" t="str">
        <f>'F10 - Risks &amp; Opportunities'!B15</f>
        <v>Savings</v>
      </c>
      <c r="F1119" s="234" t="str">
        <f>'F10 - Risks &amp; Opportunities'!C15</f>
        <v xml:space="preserve"> - Non Delivery Run Rate Reduction 2.5% Target (to 23/24 level only of £23m)</v>
      </c>
      <c r="S1119" s="233">
        <f>'F10 - Risks &amp; Opportunities'!D15</f>
        <v>-3100</v>
      </c>
      <c r="AK1119" s="233" t="str">
        <f>'F10 - Risks &amp; Opportunities'!E15</f>
        <v>High</v>
      </c>
    </row>
    <row r="1120" spans="1:37">
      <c r="A1120" s="234" t="str">
        <f>'Front Sheet and Checklist'!$C$5</f>
        <v>Swansea Bay UHB</v>
      </c>
      <c r="B1120" s="234" t="s">
        <v>388</v>
      </c>
      <c r="C1120" s="235" t="s">
        <v>389</v>
      </c>
      <c r="D1120" s="234" t="str">
        <f>'F10 - Risks &amp; Opportunities'!B16</f>
        <v>Service / Performance Pressures</v>
      </c>
      <c r="F1120" s="234" t="str">
        <f>'F10 - Risks &amp; Opportunities'!C16</f>
        <v xml:space="preserve"> - Operational Run Rate Pressures above Sustainability Investments</v>
      </c>
      <c r="S1120" s="233">
        <f>'F10 - Risks &amp; Opportunities'!D16</f>
        <v>-21895.454545454544</v>
      </c>
      <c r="AK1120" s="233" t="str">
        <f>'F10 - Risks &amp; Opportunities'!E16</f>
        <v>High</v>
      </c>
    </row>
    <row r="1121" spans="1:37">
      <c r="A1121" s="234" t="str">
        <f>'Front Sheet and Checklist'!$C$5</f>
        <v>Swansea Bay UHB</v>
      </c>
      <c r="B1121" s="234" t="s">
        <v>388</v>
      </c>
      <c r="C1121" s="235" t="s">
        <v>389</v>
      </c>
      <c r="D1121" s="234" t="str">
        <f>'F10 - Risks &amp; Opportunities'!B17</f>
        <v>Service / Performance Pressures</v>
      </c>
      <c r="F1121" s="234" t="str">
        <f>'F10 - Risks &amp; Opportunities'!C17</f>
        <v xml:space="preserve"> - Planned Care COVID Recovery assessment (above £15.2m)</v>
      </c>
      <c r="S1121" s="233">
        <f>'F10 - Risks &amp; Opportunities'!D17</f>
        <v>-7010</v>
      </c>
      <c r="AK1121" s="233" t="str">
        <f>'F10 - Risks &amp; Opportunities'!E17</f>
        <v>Medium</v>
      </c>
    </row>
    <row r="1122" spans="1:37">
      <c r="A1122" s="234" t="str">
        <f>'Front Sheet and Checklist'!$C$5</f>
        <v>Swansea Bay UHB</v>
      </c>
      <c r="B1122" s="234" t="s">
        <v>388</v>
      </c>
      <c r="C1122" s="235" t="s">
        <v>389</v>
      </c>
      <c r="D1122" s="234" t="str">
        <f>'F10 - Risks &amp; Opportunities'!B18</f>
        <v>Workforce</v>
      </c>
      <c r="F1122" s="234" t="str">
        <f>'F10 - Risks &amp; Opportunities'!C18</f>
        <v xml:space="preserve"> - Industrial Action Jnr Drs (basis 1 strike per Mth 24/25)</v>
      </c>
      <c r="S1122" s="233">
        <f>'F10 - Risks &amp; Opportunities'!D18</f>
        <v>-12000</v>
      </c>
      <c r="AK1122" s="233" t="str">
        <f>'F10 - Risks &amp; Opportunities'!E18</f>
        <v>High</v>
      </c>
    </row>
    <row r="1123" spans="1:37">
      <c r="A1123" s="234" t="str">
        <f>'Front Sheet and Checklist'!$C$5</f>
        <v>Swansea Bay UHB</v>
      </c>
      <c r="B1123" s="234" t="s">
        <v>388</v>
      </c>
      <c r="C1123" s="235" t="s">
        <v>389</v>
      </c>
      <c r="D1123" s="234" t="str">
        <f>'F10 - Risks &amp; Opportunities'!B19</f>
        <v>Workforce</v>
      </c>
      <c r="F1123" s="234" t="str">
        <f>'F10 - Risks &amp; Opportunities'!C19</f>
        <v xml:space="preserve"> - Re-banding of A4C Band 2 to Band 3 across the organisation (championed by Trade unions)</v>
      </c>
      <c r="S1123" s="233" t="str">
        <f>'F10 - Risks &amp; Opportunities'!D19</f>
        <v>TBC</v>
      </c>
      <c r="AK1123" s="233" t="str">
        <f>'F10 - Risks &amp; Opportunities'!E19</f>
        <v>Medium</v>
      </c>
    </row>
    <row r="1124" spans="1:37">
      <c r="A1124" s="234" t="str">
        <f>'Front Sheet and Checklist'!$C$5</f>
        <v>Swansea Bay UHB</v>
      </c>
      <c r="B1124" s="234" t="s">
        <v>388</v>
      </c>
      <c r="C1124" s="235" t="s">
        <v>389</v>
      </c>
      <c r="D1124" s="234" t="str">
        <f>'F10 - Risks &amp; Opportunities'!B20</f>
        <v>Workforce</v>
      </c>
      <c r="F1124" s="234" t="str">
        <f>'F10 - Risks &amp; Opportunities'!C20</f>
        <v xml:space="preserve"> - Ongoing Impact IR35 GP OOH</v>
      </c>
      <c r="S1124" s="233" t="str">
        <f>'F10 - Risks &amp; Opportunities'!D20</f>
        <v>TBC</v>
      </c>
      <c r="AK1124" s="233" t="str">
        <f>'F10 - Risks &amp; Opportunities'!E20</f>
        <v>High</v>
      </c>
    </row>
    <row r="1125" spans="1:37">
      <c r="A1125" s="234" t="str">
        <f>'Front Sheet and Checklist'!$C$5</f>
        <v>Swansea Bay UHB</v>
      </c>
      <c r="B1125" s="234" t="s">
        <v>388</v>
      </c>
      <c r="C1125" s="235" t="s">
        <v>389</v>
      </c>
      <c r="D1125" s="234" t="str">
        <f>'F10 - Risks &amp; Opportunities'!B21</f>
        <v>Non Pay</v>
      </c>
      <c r="F1125" s="234" t="str">
        <f>'F10 - Risks &amp; Opportunities'!C21</f>
        <v xml:space="preserve"> - National digital development linked Attend Anywhere system</v>
      </c>
      <c r="S1125" s="233" t="str">
        <f>'F10 - Risks &amp; Opportunities'!D21</f>
        <v>TBC</v>
      </c>
      <c r="AK1125" s="233" t="str">
        <f>'F10 - Risks &amp; Opportunities'!E21</f>
        <v>Low</v>
      </c>
    </row>
    <row r="1126" spans="1:37">
      <c r="A1126" s="234" t="str">
        <f>'Front Sheet and Checklist'!$C$5</f>
        <v>Swansea Bay UHB</v>
      </c>
      <c r="B1126" s="234" t="s">
        <v>388</v>
      </c>
      <c r="C1126" s="235" t="s">
        <v>389</v>
      </c>
      <c r="D1126" s="234" t="str">
        <f>'F10 - Risks &amp; Opportunities'!B22</f>
        <v>Workforce</v>
      </c>
      <c r="F1126" s="234" t="str">
        <f>'F10 - Risks &amp; Opportunities'!C22</f>
        <v xml:space="preserve"> - Industrial Action Consultants &amp; SAS</v>
      </c>
      <c r="S1126" s="233" t="str">
        <f>'F10 - Risks &amp; Opportunities'!D22</f>
        <v>TBC</v>
      </c>
      <c r="AK1126" s="233" t="str">
        <f>'F10 - Risks &amp; Opportunities'!E22</f>
        <v>High</v>
      </c>
    </row>
    <row r="1127" spans="1:37">
      <c r="A1127" s="234" t="str">
        <f>'Front Sheet and Checklist'!$C$5</f>
        <v>Swansea Bay UHB</v>
      </c>
      <c r="B1127" s="234" t="s">
        <v>388</v>
      </c>
      <c r="C1127" s="235" t="s">
        <v>389</v>
      </c>
      <c r="D1127" s="234" t="str">
        <f>'F10 - Risks &amp; Opportunities'!B23</f>
        <v>Commissioning</v>
      </c>
      <c r="F1127" s="234" t="str">
        <f>'F10 - Risks &amp; Opportunities'!C23</f>
        <v xml:space="preserve"> - EASC IMTP 2024/25 Unsighted</v>
      </c>
      <c r="S1127" s="233" t="str">
        <f>'F10 - Risks &amp; Opportunities'!D23</f>
        <v>TBC</v>
      </c>
      <c r="AK1127" s="233" t="str">
        <f>'F10 - Risks &amp; Opportunities'!E23</f>
        <v>Low</v>
      </c>
    </row>
    <row r="1128" spans="1:37">
      <c r="A1128" s="234" t="str">
        <f>'Front Sheet and Checklist'!$C$5</f>
        <v>Swansea Bay UHB</v>
      </c>
      <c r="B1128" s="234" t="s">
        <v>388</v>
      </c>
      <c r="C1128" s="235" t="s">
        <v>389</v>
      </c>
      <c r="D1128" s="234">
        <f>'F10 - Risks &amp; Opportunities'!B24</f>
        <v>0</v>
      </c>
      <c r="F1128" s="234">
        <f>'F10 - Risks &amp; Opportunities'!C24</f>
        <v>0</v>
      </c>
      <c r="S1128" s="233">
        <f>'F10 - Risks &amp; Opportunities'!D24</f>
        <v>0</v>
      </c>
      <c r="AK1128" s="233">
        <f>'F10 - Risks &amp; Opportunities'!E24</f>
        <v>0</v>
      </c>
    </row>
    <row r="1129" spans="1:37">
      <c r="A1129" s="234" t="str">
        <f>'Front Sheet and Checklist'!$C$5</f>
        <v>Swansea Bay UHB</v>
      </c>
      <c r="B1129" s="234" t="s">
        <v>388</v>
      </c>
      <c r="C1129" s="235" t="s">
        <v>389</v>
      </c>
      <c r="D1129" s="234">
        <f>'F10 - Risks &amp; Opportunities'!B25</f>
        <v>0</v>
      </c>
      <c r="F1129" s="234">
        <f>'F10 - Risks &amp; Opportunities'!C25</f>
        <v>0</v>
      </c>
      <c r="S1129" s="233">
        <f>'F10 - Risks &amp; Opportunities'!D25</f>
        <v>0</v>
      </c>
      <c r="AK1129" s="233">
        <f>'F10 - Risks &amp; Opportunities'!E25</f>
        <v>0</v>
      </c>
    </row>
    <row r="1130" spans="1:37">
      <c r="A1130" s="234" t="str">
        <f>'Front Sheet and Checklist'!$C$5</f>
        <v>Swansea Bay UHB</v>
      </c>
      <c r="B1130" s="234" t="s">
        <v>388</v>
      </c>
      <c r="C1130" s="235" t="s">
        <v>389</v>
      </c>
      <c r="D1130" s="234">
        <f>'F10 - Risks &amp; Opportunities'!B26</f>
        <v>0</v>
      </c>
      <c r="F1130" s="234">
        <f>'F10 - Risks &amp; Opportunities'!C26</f>
        <v>0</v>
      </c>
      <c r="S1130" s="233">
        <f>'F10 - Risks &amp; Opportunities'!D26</f>
        <v>0</v>
      </c>
      <c r="AK1130" s="233">
        <f>'F10 - Risks &amp; Opportunities'!E26</f>
        <v>0</v>
      </c>
    </row>
    <row r="1131" spans="1:37">
      <c r="A1131" s="234" t="str">
        <f>'Front Sheet and Checklist'!$C$5</f>
        <v>Swansea Bay UHB</v>
      </c>
      <c r="B1131" s="234" t="s">
        <v>388</v>
      </c>
      <c r="C1131" s="235" t="s">
        <v>389</v>
      </c>
      <c r="D1131" s="234" t="str">
        <f>'F10 - Risks &amp; Opportunities'!B27</f>
        <v>TOTAL RISKS</v>
      </c>
      <c r="E1131" s="234" t="s">
        <v>268</v>
      </c>
      <c r="F1131" s="234">
        <f>'F10 - Risks &amp; Opportunities'!C27</f>
        <v>0</v>
      </c>
      <c r="S1131" s="233">
        <f>'F10 - Risks &amp; Opportunities'!D27</f>
        <v>-56973.454545454544</v>
      </c>
      <c r="AK1131" s="233">
        <f>'F10 - Risks &amp; Opportunities'!E27</f>
        <v>0</v>
      </c>
    </row>
    <row r="1132" spans="1:37">
      <c r="A1132" s="234" t="str">
        <f>'Front Sheet and Checklist'!$C$5</f>
        <v>Swansea Bay UHB</v>
      </c>
      <c r="B1132" s="234" t="s">
        <v>388</v>
      </c>
      <c r="C1132" s="235" t="s">
        <v>390</v>
      </c>
      <c r="D1132" s="234" t="str">
        <f>'F10 - Risks &amp; Opportunities'!B28</f>
        <v>OPPORTUNITIES</v>
      </c>
      <c r="F1132" s="234">
        <f>'F10 - Risks &amp; Opportunities'!C28</f>
        <v>0</v>
      </c>
      <c r="S1132" s="233">
        <f>'F10 - Risks &amp; Opportunities'!D28</f>
        <v>0</v>
      </c>
      <c r="AK1132" s="233">
        <f>'F10 - Risks &amp; Opportunities'!E28</f>
        <v>0</v>
      </c>
    </row>
    <row r="1133" spans="1:37">
      <c r="A1133" s="234" t="str">
        <f>'Front Sheet and Checklist'!$C$5</f>
        <v>Swansea Bay UHB</v>
      </c>
      <c r="B1133" s="234" t="s">
        <v>388</v>
      </c>
      <c r="C1133" s="235" t="s">
        <v>390</v>
      </c>
      <c r="D1133" s="234" t="str">
        <f>'F10 - Risks &amp; Opportunities'!B29</f>
        <v>Opportunities (positive values): ENTER BELOW</v>
      </c>
      <c r="F1133" s="234">
        <f>'F10 - Risks &amp; Opportunities'!C29</f>
        <v>0</v>
      </c>
      <c r="S1133" s="233">
        <f>'F10 - Risks &amp; Opportunities'!D29</f>
        <v>0</v>
      </c>
      <c r="AK1133" s="233">
        <f>'F10 - Risks &amp; Opportunities'!E29</f>
        <v>0</v>
      </c>
    </row>
    <row r="1134" spans="1:37">
      <c r="A1134" s="234" t="str">
        <f>'Front Sheet and Checklist'!$C$5</f>
        <v>Swansea Bay UHB</v>
      </c>
      <c r="B1134" s="234" t="s">
        <v>388</v>
      </c>
      <c r="C1134" s="235" t="s">
        <v>390</v>
      </c>
      <c r="D1134" s="234" t="str">
        <f>'F10 - Risks &amp; Opportunities'!B30</f>
        <v>All opportunities recorded tab F7</v>
      </c>
      <c r="F1134" s="234" t="str">
        <f>'F10 - Risks &amp; Opportunities'!C30</f>
        <v xml:space="preserve">At this point no opportuntities identified outside control of the HB. </v>
      </c>
      <c r="S1134" s="233">
        <f>'F10 - Risks &amp; Opportunities'!D30</f>
        <v>0</v>
      </c>
      <c r="AK1134" s="233">
        <f>'F10 - Risks &amp; Opportunities'!E30</f>
        <v>0</v>
      </c>
    </row>
    <row r="1135" spans="1:37">
      <c r="A1135" s="234" t="str">
        <f>'Front Sheet and Checklist'!$C$5</f>
        <v>Swansea Bay UHB</v>
      </c>
      <c r="B1135" s="234" t="s">
        <v>388</v>
      </c>
      <c r="C1135" s="235" t="s">
        <v>390</v>
      </c>
      <c r="D1135" s="234">
        <f>'F10 - Risks &amp; Opportunities'!B31</f>
        <v>0</v>
      </c>
      <c r="F1135" s="234">
        <f>'F10 - Risks &amp; Opportunities'!C31</f>
        <v>0</v>
      </c>
      <c r="S1135" s="233">
        <f>'F10 - Risks &amp; Opportunities'!D31</f>
        <v>0</v>
      </c>
      <c r="AK1135" s="233">
        <f>'F10 - Risks &amp; Opportunities'!E31</f>
        <v>0</v>
      </c>
    </row>
    <row r="1136" spans="1:37">
      <c r="A1136" s="234" t="str">
        <f>'Front Sheet and Checklist'!$C$5</f>
        <v>Swansea Bay UHB</v>
      </c>
      <c r="B1136" s="234" t="s">
        <v>388</v>
      </c>
      <c r="C1136" s="235" t="s">
        <v>390</v>
      </c>
      <c r="D1136" s="234">
        <f>'F10 - Risks &amp; Opportunities'!B32</f>
        <v>0</v>
      </c>
      <c r="F1136" s="234">
        <f>'F10 - Risks &amp; Opportunities'!C32</f>
        <v>0</v>
      </c>
      <c r="S1136" s="233">
        <f>'F10 - Risks &amp; Opportunities'!D32</f>
        <v>0</v>
      </c>
      <c r="AK1136" s="233">
        <f>'F10 - Risks &amp; Opportunities'!E32</f>
        <v>0</v>
      </c>
    </row>
    <row r="1137" spans="1:37">
      <c r="A1137" s="234" t="str">
        <f>'Front Sheet and Checklist'!$C$5</f>
        <v>Swansea Bay UHB</v>
      </c>
      <c r="B1137" s="234" t="s">
        <v>388</v>
      </c>
      <c r="C1137" s="235" t="s">
        <v>390</v>
      </c>
      <c r="D1137" s="234">
        <f>'F10 - Risks &amp; Opportunities'!B33</f>
        <v>0</v>
      </c>
      <c r="F1137" s="234">
        <f>'F10 - Risks &amp; Opportunities'!C33</f>
        <v>0</v>
      </c>
      <c r="S1137" s="233">
        <f>'F10 - Risks &amp; Opportunities'!D33</f>
        <v>0</v>
      </c>
      <c r="AK1137" s="233">
        <f>'F10 - Risks &amp; Opportunities'!E33</f>
        <v>0</v>
      </c>
    </row>
    <row r="1138" spans="1:37">
      <c r="A1138" s="234" t="str">
        <f>'Front Sheet and Checklist'!$C$5</f>
        <v>Swansea Bay UHB</v>
      </c>
      <c r="B1138" s="234" t="s">
        <v>388</v>
      </c>
      <c r="C1138" s="235" t="s">
        <v>390</v>
      </c>
      <c r="D1138" s="234">
        <f>'F10 - Risks &amp; Opportunities'!B34</f>
        <v>0</v>
      </c>
      <c r="F1138" s="234">
        <f>'F10 - Risks &amp; Opportunities'!C34</f>
        <v>0</v>
      </c>
      <c r="S1138" s="233">
        <f>'F10 - Risks &amp; Opportunities'!D34</f>
        <v>0</v>
      </c>
      <c r="AK1138" s="233">
        <f>'F10 - Risks &amp; Opportunities'!E34</f>
        <v>0</v>
      </c>
    </row>
    <row r="1139" spans="1:37">
      <c r="A1139" s="234" t="str">
        <f>'Front Sheet and Checklist'!$C$5</f>
        <v>Swansea Bay UHB</v>
      </c>
      <c r="B1139" s="234" t="s">
        <v>388</v>
      </c>
      <c r="C1139" s="235" t="s">
        <v>390</v>
      </c>
      <c r="D1139" s="234">
        <f>'F10 - Risks &amp; Opportunities'!B35</f>
        <v>0</v>
      </c>
      <c r="F1139" s="234">
        <f>'F10 - Risks &amp; Opportunities'!C35</f>
        <v>0</v>
      </c>
      <c r="S1139" s="233">
        <f>'F10 - Risks &amp; Opportunities'!D35</f>
        <v>0</v>
      </c>
      <c r="AK1139" s="233">
        <f>'F10 - Risks &amp; Opportunities'!E35</f>
        <v>0</v>
      </c>
    </row>
    <row r="1140" spans="1:37">
      <c r="A1140" s="234" t="str">
        <f>'Front Sheet and Checklist'!$C$5</f>
        <v>Swansea Bay UHB</v>
      </c>
      <c r="B1140" s="234" t="s">
        <v>388</v>
      </c>
      <c r="C1140" s="235" t="s">
        <v>390</v>
      </c>
      <c r="D1140" s="234">
        <f>'F10 - Risks &amp; Opportunities'!B36</f>
        <v>0</v>
      </c>
      <c r="F1140" s="234">
        <f>'F10 - Risks &amp; Opportunities'!C36</f>
        <v>0</v>
      </c>
      <c r="S1140" s="233">
        <f>'F10 - Risks &amp; Opportunities'!D36</f>
        <v>0</v>
      </c>
      <c r="AK1140" s="233">
        <f>'F10 - Risks &amp; Opportunities'!E36</f>
        <v>0</v>
      </c>
    </row>
    <row r="1141" spans="1:37">
      <c r="A1141" s="234" t="str">
        <f>'Front Sheet and Checklist'!$C$5</f>
        <v>Swansea Bay UHB</v>
      </c>
      <c r="B1141" s="234" t="s">
        <v>388</v>
      </c>
      <c r="C1141" s="235" t="s">
        <v>390</v>
      </c>
      <c r="D1141" s="234">
        <f>'F10 - Risks &amp; Opportunities'!B37</f>
        <v>0</v>
      </c>
      <c r="F1141" s="234">
        <f>'F10 - Risks &amp; Opportunities'!C37</f>
        <v>0</v>
      </c>
      <c r="S1141" s="233">
        <f>'F10 - Risks &amp; Opportunities'!D37</f>
        <v>0</v>
      </c>
      <c r="AK1141" s="233">
        <f>'F10 - Risks &amp; Opportunities'!E37</f>
        <v>0</v>
      </c>
    </row>
    <row r="1142" spans="1:37">
      <c r="A1142" s="234" t="str">
        <f>'Front Sheet and Checklist'!$C$5</f>
        <v>Swansea Bay UHB</v>
      </c>
      <c r="B1142" s="234" t="s">
        <v>388</v>
      </c>
      <c r="C1142" s="235" t="s">
        <v>390</v>
      </c>
      <c r="D1142" s="234">
        <f>'F10 - Risks &amp; Opportunities'!B38</f>
        <v>0</v>
      </c>
      <c r="F1142" s="234">
        <f>'F10 - Risks &amp; Opportunities'!C38</f>
        <v>0</v>
      </c>
      <c r="S1142" s="233">
        <f>'F10 - Risks &amp; Opportunities'!D38</f>
        <v>0</v>
      </c>
      <c r="AK1142" s="233">
        <f>'F10 - Risks &amp; Opportunities'!E38</f>
        <v>0</v>
      </c>
    </row>
    <row r="1143" spans="1:37">
      <c r="A1143" s="234" t="str">
        <f>'Front Sheet and Checklist'!$C$5</f>
        <v>Swansea Bay UHB</v>
      </c>
      <c r="B1143" s="234" t="s">
        <v>388</v>
      </c>
      <c r="C1143" s="235" t="s">
        <v>390</v>
      </c>
      <c r="D1143" s="234">
        <f>'F10 - Risks &amp; Opportunities'!B39</f>
        <v>0</v>
      </c>
      <c r="F1143" s="234">
        <f>'F10 - Risks &amp; Opportunities'!C39</f>
        <v>0</v>
      </c>
      <c r="S1143" s="233">
        <f>'F10 - Risks &amp; Opportunities'!D39</f>
        <v>0</v>
      </c>
      <c r="AK1143" s="233">
        <f>'F10 - Risks &amp; Opportunities'!E39</f>
        <v>0</v>
      </c>
    </row>
    <row r="1144" spans="1:37">
      <c r="A1144" s="234" t="str">
        <f>'Front Sheet and Checklist'!$C$5</f>
        <v>Swansea Bay UHB</v>
      </c>
      <c r="B1144" s="234" t="s">
        <v>388</v>
      </c>
      <c r="C1144" s="235" t="s">
        <v>390</v>
      </c>
      <c r="D1144" s="234">
        <f>'F10 - Risks &amp; Opportunities'!B40</f>
        <v>0</v>
      </c>
      <c r="F1144" s="234">
        <f>'F10 - Risks &amp; Opportunities'!C40</f>
        <v>0</v>
      </c>
      <c r="S1144" s="233">
        <f>'F10 - Risks &amp; Opportunities'!D40</f>
        <v>0</v>
      </c>
      <c r="AK1144" s="233">
        <f>'F10 - Risks &amp; Opportunities'!E40</f>
        <v>0</v>
      </c>
    </row>
    <row r="1145" spans="1:37">
      <c r="A1145" s="234" t="str">
        <f>'Front Sheet and Checklist'!$C$5</f>
        <v>Swansea Bay UHB</v>
      </c>
      <c r="B1145" s="234" t="s">
        <v>388</v>
      </c>
      <c r="C1145" s="235" t="s">
        <v>390</v>
      </c>
      <c r="D1145" s="234">
        <f>'F10 - Risks &amp; Opportunities'!B41</f>
        <v>0</v>
      </c>
      <c r="F1145" s="234">
        <f>'F10 - Risks &amp; Opportunities'!C41</f>
        <v>0</v>
      </c>
      <c r="S1145" s="233">
        <f>'F10 - Risks &amp; Opportunities'!D41</f>
        <v>0</v>
      </c>
      <c r="AK1145" s="233">
        <f>'F10 - Risks &amp; Opportunities'!E41</f>
        <v>0</v>
      </c>
    </row>
    <row r="1146" spans="1:37">
      <c r="A1146" s="234" t="str">
        <f>'Front Sheet and Checklist'!$C$5</f>
        <v>Swansea Bay UHB</v>
      </c>
      <c r="B1146" s="234" t="s">
        <v>388</v>
      </c>
      <c r="C1146" s="235" t="s">
        <v>390</v>
      </c>
      <c r="D1146" s="234">
        <f>'F10 - Risks &amp; Opportunities'!B42</f>
        <v>0</v>
      </c>
      <c r="F1146" s="234">
        <f>'F10 - Risks &amp; Opportunities'!C42</f>
        <v>0</v>
      </c>
      <c r="S1146" s="233">
        <f>'F10 - Risks &amp; Opportunities'!D42</f>
        <v>0</v>
      </c>
      <c r="AK1146" s="233">
        <f>'F10 - Risks &amp; Opportunities'!E42</f>
        <v>0</v>
      </c>
    </row>
    <row r="1147" spans="1:37">
      <c r="A1147" s="234" t="str">
        <f>'Front Sheet and Checklist'!$C$5</f>
        <v>Swansea Bay UHB</v>
      </c>
      <c r="B1147" s="234" t="s">
        <v>388</v>
      </c>
      <c r="C1147" s="235" t="s">
        <v>390</v>
      </c>
      <c r="D1147" s="234">
        <f>'F10 - Risks &amp; Opportunities'!B43</f>
        <v>0</v>
      </c>
      <c r="F1147" s="234">
        <f>'F10 - Risks &amp; Opportunities'!C43</f>
        <v>0</v>
      </c>
      <c r="S1147" s="233">
        <f>'F10 - Risks &amp; Opportunities'!D43</f>
        <v>0</v>
      </c>
      <c r="AK1147" s="233">
        <f>'F10 - Risks &amp; Opportunities'!E43</f>
        <v>0</v>
      </c>
    </row>
    <row r="1148" spans="1:37">
      <c r="A1148" s="234" t="str">
        <f>'Front Sheet and Checklist'!$C$5</f>
        <v>Swansea Bay UHB</v>
      </c>
      <c r="B1148" s="234" t="s">
        <v>388</v>
      </c>
      <c r="C1148" s="235" t="s">
        <v>390</v>
      </c>
      <c r="D1148" s="234">
        <f>'F10 - Risks &amp; Opportunities'!B44</f>
        <v>0</v>
      </c>
      <c r="F1148" s="234">
        <f>'F10 - Risks &amp; Opportunities'!C44</f>
        <v>0</v>
      </c>
      <c r="S1148" s="233">
        <f>'F10 - Risks &amp; Opportunities'!D44</f>
        <v>0</v>
      </c>
      <c r="AK1148" s="233">
        <f>'F10 - Risks &amp; Opportunities'!E44</f>
        <v>0</v>
      </c>
    </row>
    <row r="1149" spans="1:37">
      <c r="A1149" s="234" t="str">
        <f>'Front Sheet and Checklist'!$C$5</f>
        <v>Swansea Bay UHB</v>
      </c>
      <c r="B1149" s="234" t="s">
        <v>388</v>
      </c>
      <c r="C1149" s="235" t="s">
        <v>390</v>
      </c>
      <c r="D1149" s="234">
        <f>'F10 - Risks &amp; Opportunities'!B45</f>
        <v>0</v>
      </c>
      <c r="F1149" s="234">
        <f>'F10 - Risks &amp; Opportunities'!C45</f>
        <v>0</v>
      </c>
      <c r="S1149" s="233">
        <f>'F10 - Risks &amp; Opportunities'!D45</f>
        <v>0</v>
      </c>
      <c r="AK1149" s="233">
        <f>'F10 - Risks &amp; Opportunities'!E45</f>
        <v>0</v>
      </c>
    </row>
    <row r="1150" spans="1:37">
      <c r="A1150" s="234" t="str">
        <f>'Front Sheet and Checklist'!$C$5</f>
        <v>Swansea Bay UHB</v>
      </c>
      <c r="B1150" s="234" t="s">
        <v>388</v>
      </c>
      <c r="C1150" s="235" t="s">
        <v>390</v>
      </c>
      <c r="D1150" s="234">
        <f>'F10 - Risks &amp; Opportunities'!B46</f>
        <v>0</v>
      </c>
      <c r="F1150" s="234">
        <f>'F10 - Risks &amp; Opportunities'!C46</f>
        <v>0</v>
      </c>
      <c r="S1150" s="233">
        <f>'F10 - Risks &amp; Opportunities'!D46</f>
        <v>0</v>
      </c>
      <c r="AK1150" s="233">
        <f>'F10 - Risks &amp; Opportunities'!E46</f>
        <v>0</v>
      </c>
    </row>
    <row r="1151" spans="1:37">
      <c r="A1151" s="234" t="str">
        <f>'Front Sheet and Checklist'!$C$5</f>
        <v>Swansea Bay UHB</v>
      </c>
      <c r="B1151" s="234" t="s">
        <v>388</v>
      </c>
      <c r="C1151" s="235" t="s">
        <v>390</v>
      </c>
      <c r="D1151" s="234">
        <f>'F10 - Risks &amp; Opportunities'!B47</f>
        <v>0</v>
      </c>
      <c r="F1151" s="234">
        <f>'F10 - Risks &amp; Opportunities'!C47</f>
        <v>0</v>
      </c>
      <c r="S1151" s="233">
        <f>'F10 - Risks &amp; Opportunities'!D47</f>
        <v>0</v>
      </c>
      <c r="AK1151" s="233">
        <f>'F10 - Risks &amp; Opportunities'!E47</f>
        <v>0</v>
      </c>
    </row>
    <row r="1152" spans="1:37">
      <c r="A1152" s="234" t="str">
        <f>'Front Sheet and Checklist'!$C$5</f>
        <v>Swansea Bay UHB</v>
      </c>
      <c r="B1152" s="234" t="s">
        <v>388</v>
      </c>
      <c r="C1152" s="235" t="s">
        <v>390</v>
      </c>
      <c r="D1152" s="234" t="str">
        <f>'F10 - Risks &amp; Opportunities'!B48</f>
        <v>TOTAL OPPORTUNITIES</v>
      </c>
      <c r="E1152" s="234" t="s">
        <v>268</v>
      </c>
      <c r="F1152" s="234">
        <f>'F10 - Risks &amp; Opportunities'!C48</f>
        <v>0</v>
      </c>
      <c r="S1152" s="233">
        <f>'F10 - Risks &amp; Opportunities'!D48</f>
        <v>0</v>
      </c>
      <c r="AK1152" s="233">
        <f>'F10 - Risks &amp; Opportunities'!E48</f>
        <v>0</v>
      </c>
    </row>
    <row r="1153" spans="1:37">
      <c r="A1153" s="234" t="str">
        <f>'Front Sheet and Checklist'!$C$5</f>
        <v>Swansea Bay UHB</v>
      </c>
      <c r="B1153" s="234" t="s">
        <v>388</v>
      </c>
      <c r="C1153" s="235" t="s">
        <v>390</v>
      </c>
      <c r="D1153" s="234">
        <f>'F10 - Risks &amp; Opportunities'!B49</f>
        <v>0</v>
      </c>
      <c r="F1153" s="234">
        <f>'F10 - Risks &amp; Opportunities'!C49</f>
        <v>0</v>
      </c>
      <c r="S1153" s="233">
        <f>'F10 - Risks &amp; Opportunities'!D49</f>
        <v>0</v>
      </c>
      <c r="AK1153" s="233">
        <f>'F10 - Risks &amp; Opportunities'!E49</f>
        <v>0</v>
      </c>
    </row>
    <row r="1154" spans="1:37">
      <c r="A1154" s="234" t="str">
        <f>'Front Sheet and Checklist'!$C$5</f>
        <v>Swansea Bay UHB</v>
      </c>
      <c r="B1154" s="234" t="s">
        <v>388</v>
      </c>
      <c r="C1154" s="235" t="s">
        <v>391</v>
      </c>
      <c r="D1154" s="234" t="str">
        <f>'F10 - Risks &amp; Opportunities'!B50</f>
        <v xml:space="preserve">Current Reported Forecast Outturn </v>
      </c>
      <c r="E1154" s="234" t="s">
        <v>268</v>
      </c>
      <c r="F1154" s="234">
        <f>'F10 - Risks &amp; Opportunities'!C50</f>
        <v>0</v>
      </c>
      <c r="S1154" s="233">
        <f>'F10 - Risks &amp; Opportunities'!D50</f>
        <v>-50100.11716871924</v>
      </c>
      <c r="AK1154" s="233">
        <f>'F10 - Risks &amp; Opportunities'!E50</f>
        <v>0</v>
      </c>
    </row>
    <row r="1155" spans="1:37">
      <c r="A1155" s="234" t="str">
        <f>'Front Sheet and Checklist'!$C$5</f>
        <v>Swansea Bay UHB</v>
      </c>
      <c r="B1155" s="234" t="s">
        <v>388</v>
      </c>
      <c r="C1155" s="235" t="s">
        <v>391</v>
      </c>
      <c r="D1155" s="234" t="str">
        <f>'F10 - Risks &amp; Opportunities'!B51</f>
        <v>Worst Case Risk Scenario</v>
      </c>
      <c r="E1155" s="234" t="s">
        <v>268</v>
      </c>
      <c r="F1155" s="234">
        <f>'F10 - Risks &amp; Opportunities'!C51</f>
        <v>0</v>
      </c>
      <c r="S1155" s="233">
        <f>'F10 - Risks &amp; Opportunities'!D51</f>
        <v>-107073.57171417378</v>
      </c>
      <c r="AK1155" s="233">
        <f>'F10 - Risks &amp; Opportunities'!E51</f>
        <v>0</v>
      </c>
    </row>
    <row r="1156" spans="1:37">
      <c r="A1156" s="234" t="str">
        <f>'Front Sheet and Checklist'!$C$5</f>
        <v>Swansea Bay UHB</v>
      </c>
      <c r="B1156" s="234" t="s">
        <v>388</v>
      </c>
      <c r="C1156" s="235" t="s">
        <v>391</v>
      </c>
      <c r="D1156" s="234" t="str">
        <f>'F10 - Risks &amp; Opportunities'!B52</f>
        <v>Best Case Risk Scenario</v>
      </c>
      <c r="E1156" s="234" t="s">
        <v>268</v>
      </c>
      <c r="F1156" s="234">
        <f>'F10 - Risks &amp; Opportunities'!C52</f>
        <v>0</v>
      </c>
      <c r="S1156" s="233">
        <f>'F10 - Risks &amp; Opportunities'!D52</f>
        <v>-50100.11716871924</v>
      </c>
      <c r="AK1156" s="233">
        <f>'F10 - Risks &amp; Opportunities'!E52</f>
        <v>0</v>
      </c>
    </row>
  </sheetData>
  <autoFilter ref="A1:AT2426" xr:uid="{00000000-0009-0000-0000-00001E000000}"/>
  <customSheetViews>
    <customSheetView guid="{95B84344-25FE-4A71-9083-825DAB5E8F01}" showAutoFilter="1" state="hidden">
      <pane ySplit="1" topLeftCell="A586" activePane="bottomLeft" state="frozen"/>
      <selection pane="bottomLeft" activeCell="A594" sqref="A594"/>
      <pageMargins left="0" right="0" top="0" bottom="0" header="0" footer="0"/>
      <autoFilter ref="A1:AQ2233" xr:uid="{062B80E2-7F9A-4B2E-8C2D-275384F79140}"/>
    </customSheetView>
  </customSheetViews>
  <pageMargins left="0" right="0" top="0" bottom="0" header="0" footer="0"/>
  <pageSetup paperSize="9" scale="44"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79998168889431442"/>
    <pageSetUpPr fitToPage="1"/>
  </sheetPr>
  <dimension ref="A1:X73"/>
  <sheetViews>
    <sheetView zoomScale="85" zoomScaleNormal="85" workbookViewId="0">
      <pane ySplit="5" topLeftCell="A6" activePane="bottomLeft" state="frozenSplit"/>
      <selection activeCell="A22" sqref="A22"/>
      <selection pane="bottomLeft" activeCell="K17" sqref="K17"/>
    </sheetView>
  </sheetViews>
  <sheetFormatPr defaultRowHeight="20.149999999999999" customHeight="1"/>
  <cols>
    <col min="1" max="1" width="3.3046875" style="343" customWidth="1"/>
    <col min="2" max="2" width="22.69140625" style="343" customWidth="1"/>
    <col min="3" max="3" width="49.07421875" style="343" customWidth="1"/>
    <col min="4" max="4" width="20.765625" style="14" customWidth="1"/>
    <col min="5" max="5" width="21.23046875" style="347" customWidth="1"/>
    <col min="6" max="6" width="11.3046875" style="343" customWidth="1"/>
    <col min="7" max="7" width="11.3046875" style="348" customWidth="1"/>
    <col min="8" max="24" width="11.3046875" style="343" customWidth="1"/>
    <col min="25" max="29" width="9.07421875" style="343" customWidth="1"/>
    <col min="30" max="227" width="8.84375" style="343"/>
    <col min="228" max="228" width="3.07421875" style="343" customWidth="1"/>
    <col min="229" max="229" width="66.07421875" style="343" customWidth="1"/>
    <col min="230" max="232" width="13.69140625" style="343" customWidth="1"/>
    <col min="233" max="233" width="4.07421875" style="343" customWidth="1"/>
    <col min="234" max="235" width="13.69140625" style="343" customWidth="1"/>
    <col min="236" max="483" width="8.84375" style="343"/>
    <col min="484" max="484" width="3.07421875" style="343" customWidth="1"/>
    <col min="485" max="485" width="66.07421875" style="343" customWidth="1"/>
    <col min="486" max="488" width="13.69140625" style="343" customWidth="1"/>
    <col min="489" max="489" width="4.07421875" style="343" customWidth="1"/>
    <col min="490" max="491" width="13.69140625" style="343" customWidth="1"/>
    <col min="492" max="739" width="8.84375" style="343"/>
    <col min="740" max="740" width="3.07421875" style="343" customWidth="1"/>
    <col min="741" max="741" width="66.07421875" style="343" customWidth="1"/>
    <col min="742" max="744" width="13.69140625" style="343" customWidth="1"/>
    <col min="745" max="745" width="4.07421875" style="343" customWidth="1"/>
    <col min="746" max="747" width="13.69140625" style="343" customWidth="1"/>
    <col min="748" max="995" width="8.84375" style="343"/>
    <col min="996" max="996" width="3.07421875" style="343" customWidth="1"/>
    <col min="997" max="997" width="66.07421875" style="343" customWidth="1"/>
    <col min="998" max="1000" width="13.69140625" style="343" customWidth="1"/>
    <col min="1001" max="1001" width="4.07421875" style="343" customWidth="1"/>
    <col min="1002" max="1003" width="13.69140625" style="343" customWidth="1"/>
    <col min="1004" max="1251" width="8.84375" style="343"/>
    <col min="1252" max="1252" width="3.07421875" style="343" customWidth="1"/>
    <col min="1253" max="1253" width="66.07421875" style="343" customWidth="1"/>
    <col min="1254" max="1256" width="13.69140625" style="343" customWidth="1"/>
    <col min="1257" max="1257" width="4.07421875" style="343" customWidth="1"/>
    <col min="1258" max="1259" width="13.69140625" style="343" customWidth="1"/>
    <col min="1260" max="1507" width="8.84375" style="343"/>
    <col min="1508" max="1508" width="3.07421875" style="343" customWidth="1"/>
    <col min="1509" max="1509" width="66.07421875" style="343" customWidth="1"/>
    <col min="1510" max="1512" width="13.69140625" style="343" customWidth="1"/>
    <col min="1513" max="1513" width="4.07421875" style="343" customWidth="1"/>
    <col min="1514" max="1515" width="13.69140625" style="343" customWidth="1"/>
    <col min="1516" max="1763" width="8.84375" style="343"/>
    <col min="1764" max="1764" width="3.07421875" style="343" customWidth="1"/>
    <col min="1765" max="1765" width="66.07421875" style="343" customWidth="1"/>
    <col min="1766" max="1768" width="13.69140625" style="343" customWidth="1"/>
    <col min="1769" max="1769" width="4.07421875" style="343" customWidth="1"/>
    <col min="1770" max="1771" width="13.69140625" style="343" customWidth="1"/>
    <col min="1772" max="2019" width="8.84375" style="343"/>
    <col min="2020" max="2020" width="3.07421875" style="343" customWidth="1"/>
    <col min="2021" max="2021" width="66.07421875" style="343" customWidth="1"/>
    <col min="2022" max="2024" width="13.69140625" style="343" customWidth="1"/>
    <col min="2025" max="2025" width="4.07421875" style="343" customWidth="1"/>
    <col min="2026" max="2027" width="13.69140625" style="343" customWidth="1"/>
    <col min="2028" max="2275" width="8.84375" style="343"/>
    <col min="2276" max="2276" width="3.07421875" style="343" customWidth="1"/>
    <col min="2277" max="2277" width="66.07421875" style="343" customWidth="1"/>
    <col min="2278" max="2280" width="13.69140625" style="343" customWidth="1"/>
    <col min="2281" max="2281" width="4.07421875" style="343" customWidth="1"/>
    <col min="2282" max="2283" width="13.69140625" style="343" customWidth="1"/>
    <col min="2284" max="2531" width="8.84375" style="343"/>
    <col min="2532" max="2532" width="3.07421875" style="343" customWidth="1"/>
    <col min="2533" max="2533" width="66.07421875" style="343" customWidth="1"/>
    <col min="2534" max="2536" width="13.69140625" style="343" customWidth="1"/>
    <col min="2537" max="2537" width="4.07421875" style="343" customWidth="1"/>
    <col min="2538" max="2539" width="13.69140625" style="343" customWidth="1"/>
    <col min="2540" max="2787" width="8.84375" style="343"/>
    <col min="2788" max="2788" width="3.07421875" style="343" customWidth="1"/>
    <col min="2789" max="2789" width="66.07421875" style="343" customWidth="1"/>
    <col min="2790" max="2792" width="13.69140625" style="343" customWidth="1"/>
    <col min="2793" max="2793" width="4.07421875" style="343" customWidth="1"/>
    <col min="2794" max="2795" width="13.69140625" style="343" customWidth="1"/>
    <col min="2796" max="3043" width="8.84375" style="343"/>
    <col min="3044" max="3044" width="3.07421875" style="343" customWidth="1"/>
    <col min="3045" max="3045" width="66.07421875" style="343" customWidth="1"/>
    <col min="3046" max="3048" width="13.69140625" style="343" customWidth="1"/>
    <col min="3049" max="3049" width="4.07421875" style="343" customWidth="1"/>
    <col min="3050" max="3051" width="13.69140625" style="343" customWidth="1"/>
    <col min="3052" max="3299" width="8.84375" style="343"/>
    <col min="3300" max="3300" width="3.07421875" style="343" customWidth="1"/>
    <col min="3301" max="3301" width="66.07421875" style="343" customWidth="1"/>
    <col min="3302" max="3304" width="13.69140625" style="343" customWidth="1"/>
    <col min="3305" max="3305" width="4.07421875" style="343" customWidth="1"/>
    <col min="3306" max="3307" width="13.69140625" style="343" customWidth="1"/>
    <col min="3308" max="3555" width="8.84375" style="343"/>
    <col min="3556" max="3556" width="3.07421875" style="343" customWidth="1"/>
    <col min="3557" max="3557" width="66.07421875" style="343" customWidth="1"/>
    <col min="3558" max="3560" width="13.69140625" style="343" customWidth="1"/>
    <col min="3561" max="3561" width="4.07421875" style="343" customWidth="1"/>
    <col min="3562" max="3563" width="13.69140625" style="343" customWidth="1"/>
    <col min="3564" max="3811" width="8.84375" style="343"/>
    <col min="3812" max="3812" width="3.07421875" style="343" customWidth="1"/>
    <col min="3813" max="3813" width="66.07421875" style="343" customWidth="1"/>
    <col min="3814" max="3816" width="13.69140625" style="343" customWidth="1"/>
    <col min="3817" max="3817" width="4.07421875" style="343" customWidth="1"/>
    <col min="3818" max="3819" width="13.69140625" style="343" customWidth="1"/>
    <col min="3820" max="4067" width="8.84375" style="343"/>
    <col min="4068" max="4068" width="3.07421875" style="343" customWidth="1"/>
    <col min="4069" max="4069" width="66.07421875" style="343" customWidth="1"/>
    <col min="4070" max="4072" width="13.69140625" style="343" customWidth="1"/>
    <col min="4073" max="4073" width="4.07421875" style="343" customWidth="1"/>
    <col min="4074" max="4075" width="13.69140625" style="343" customWidth="1"/>
    <col min="4076" max="4323" width="8.84375" style="343"/>
    <col min="4324" max="4324" width="3.07421875" style="343" customWidth="1"/>
    <col min="4325" max="4325" width="66.07421875" style="343" customWidth="1"/>
    <col min="4326" max="4328" width="13.69140625" style="343" customWidth="1"/>
    <col min="4329" max="4329" width="4.07421875" style="343" customWidth="1"/>
    <col min="4330" max="4331" width="13.69140625" style="343" customWidth="1"/>
    <col min="4332" max="4579" width="8.84375" style="343"/>
    <col min="4580" max="4580" width="3.07421875" style="343" customWidth="1"/>
    <col min="4581" max="4581" width="66.07421875" style="343" customWidth="1"/>
    <col min="4582" max="4584" width="13.69140625" style="343" customWidth="1"/>
    <col min="4585" max="4585" width="4.07421875" style="343" customWidth="1"/>
    <col min="4586" max="4587" width="13.69140625" style="343" customWidth="1"/>
    <col min="4588" max="4835" width="8.84375" style="343"/>
    <col min="4836" max="4836" width="3.07421875" style="343" customWidth="1"/>
    <col min="4837" max="4837" width="66.07421875" style="343" customWidth="1"/>
    <col min="4838" max="4840" width="13.69140625" style="343" customWidth="1"/>
    <col min="4841" max="4841" width="4.07421875" style="343" customWidth="1"/>
    <col min="4842" max="4843" width="13.69140625" style="343" customWidth="1"/>
    <col min="4844" max="5091" width="8.84375" style="343"/>
    <col min="5092" max="5092" width="3.07421875" style="343" customWidth="1"/>
    <col min="5093" max="5093" width="66.07421875" style="343" customWidth="1"/>
    <col min="5094" max="5096" width="13.69140625" style="343" customWidth="1"/>
    <col min="5097" max="5097" width="4.07421875" style="343" customWidth="1"/>
    <col min="5098" max="5099" width="13.69140625" style="343" customWidth="1"/>
    <col min="5100" max="5347" width="8.84375" style="343"/>
    <col min="5348" max="5348" width="3.07421875" style="343" customWidth="1"/>
    <col min="5349" max="5349" width="66.07421875" style="343" customWidth="1"/>
    <col min="5350" max="5352" width="13.69140625" style="343" customWidth="1"/>
    <col min="5353" max="5353" width="4.07421875" style="343" customWidth="1"/>
    <col min="5354" max="5355" width="13.69140625" style="343" customWidth="1"/>
    <col min="5356" max="5603" width="8.84375" style="343"/>
    <col min="5604" max="5604" width="3.07421875" style="343" customWidth="1"/>
    <col min="5605" max="5605" width="66.07421875" style="343" customWidth="1"/>
    <col min="5606" max="5608" width="13.69140625" style="343" customWidth="1"/>
    <col min="5609" max="5609" width="4.07421875" style="343" customWidth="1"/>
    <col min="5610" max="5611" width="13.69140625" style="343" customWidth="1"/>
    <col min="5612" max="5859" width="8.84375" style="343"/>
    <col min="5860" max="5860" width="3.07421875" style="343" customWidth="1"/>
    <col min="5861" max="5861" width="66.07421875" style="343" customWidth="1"/>
    <col min="5862" max="5864" width="13.69140625" style="343" customWidth="1"/>
    <col min="5865" max="5865" width="4.07421875" style="343" customWidth="1"/>
    <col min="5866" max="5867" width="13.69140625" style="343" customWidth="1"/>
    <col min="5868" max="6115" width="8.84375" style="343"/>
    <col min="6116" max="6116" width="3.07421875" style="343" customWidth="1"/>
    <col min="6117" max="6117" width="66.07421875" style="343" customWidth="1"/>
    <col min="6118" max="6120" width="13.69140625" style="343" customWidth="1"/>
    <col min="6121" max="6121" width="4.07421875" style="343" customWidth="1"/>
    <col min="6122" max="6123" width="13.69140625" style="343" customWidth="1"/>
    <col min="6124" max="6371" width="8.84375" style="343"/>
    <col min="6372" max="6372" width="3.07421875" style="343" customWidth="1"/>
    <col min="6373" max="6373" width="66.07421875" style="343" customWidth="1"/>
    <col min="6374" max="6376" width="13.69140625" style="343" customWidth="1"/>
    <col min="6377" max="6377" width="4.07421875" style="343" customWidth="1"/>
    <col min="6378" max="6379" width="13.69140625" style="343" customWidth="1"/>
    <col min="6380" max="6627" width="8.84375" style="343"/>
    <col min="6628" max="6628" width="3.07421875" style="343" customWidth="1"/>
    <col min="6629" max="6629" width="66.07421875" style="343" customWidth="1"/>
    <col min="6630" max="6632" width="13.69140625" style="343" customWidth="1"/>
    <col min="6633" max="6633" width="4.07421875" style="343" customWidth="1"/>
    <col min="6634" max="6635" width="13.69140625" style="343" customWidth="1"/>
    <col min="6636" max="6883" width="8.84375" style="343"/>
    <col min="6884" max="6884" width="3.07421875" style="343" customWidth="1"/>
    <col min="6885" max="6885" width="66.07421875" style="343" customWidth="1"/>
    <col min="6886" max="6888" width="13.69140625" style="343" customWidth="1"/>
    <col min="6889" max="6889" width="4.07421875" style="343" customWidth="1"/>
    <col min="6890" max="6891" width="13.69140625" style="343" customWidth="1"/>
    <col min="6892" max="7139" width="8.84375" style="343"/>
    <col min="7140" max="7140" width="3.07421875" style="343" customWidth="1"/>
    <col min="7141" max="7141" width="66.07421875" style="343" customWidth="1"/>
    <col min="7142" max="7144" width="13.69140625" style="343" customWidth="1"/>
    <col min="7145" max="7145" width="4.07421875" style="343" customWidth="1"/>
    <col min="7146" max="7147" width="13.69140625" style="343" customWidth="1"/>
    <col min="7148" max="7395" width="8.84375" style="343"/>
    <col min="7396" max="7396" width="3.07421875" style="343" customWidth="1"/>
    <col min="7397" max="7397" width="66.07421875" style="343" customWidth="1"/>
    <col min="7398" max="7400" width="13.69140625" style="343" customWidth="1"/>
    <col min="7401" max="7401" width="4.07421875" style="343" customWidth="1"/>
    <col min="7402" max="7403" width="13.69140625" style="343" customWidth="1"/>
    <col min="7404" max="7651" width="8.84375" style="343"/>
    <col min="7652" max="7652" width="3.07421875" style="343" customWidth="1"/>
    <col min="7653" max="7653" width="66.07421875" style="343" customWidth="1"/>
    <col min="7654" max="7656" width="13.69140625" style="343" customWidth="1"/>
    <col min="7657" max="7657" width="4.07421875" style="343" customWidth="1"/>
    <col min="7658" max="7659" width="13.69140625" style="343" customWidth="1"/>
    <col min="7660" max="7907" width="8.84375" style="343"/>
    <col min="7908" max="7908" width="3.07421875" style="343" customWidth="1"/>
    <col min="7909" max="7909" width="66.07421875" style="343" customWidth="1"/>
    <col min="7910" max="7912" width="13.69140625" style="343" customWidth="1"/>
    <col min="7913" max="7913" width="4.07421875" style="343" customWidth="1"/>
    <col min="7914" max="7915" width="13.69140625" style="343" customWidth="1"/>
    <col min="7916" max="8163" width="8.84375" style="343"/>
    <col min="8164" max="8164" width="3.07421875" style="343" customWidth="1"/>
    <col min="8165" max="8165" width="66.07421875" style="343" customWidth="1"/>
    <col min="8166" max="8168" width="13.69140625" style="343" customWidth="1"/>
    <col min="8169" max="8169" width="4.07421875" style="343" customWidth="1"/>
    <col min="8170" max="8171" width="13.69140625" style="343" customWidth="1"/>
    <col min="8172" max="8419" width="8.84375" style="343"/>
    <col min="8420" max="8420" width="3.07421875" style="343" customWidth="1"/>
    <col min="8421" max="8421" width="66.07421875" style="343" customWidth="1"/>
    <col min="8422" max="8424" width="13.69140625" style="343" customWidth="1"/>
    <col min="8425" max="8425" width="4.07421875" style="343" customWidth="1"/>
    <col min="8426" max="8427" width="13.69140625" style="343" customWidth="1"/>
    <col min="8428" max="8675" width="8.84375" style="343"/>
    <col min="8676" max="8676" width="3.07421875" style="343" customWidth="1"/>
    <col min="8677" max="8677" width="66.07421875" style="343" customWidth="1"/>
    <col min="8678" max="8680" width="13.69140625" style="343" customWidth="1"/>
    <col min="8681" max="8681" width="4.07421875" style="343" customWidth="1"/>
    <col min="8682" max="8683" width="13.69140625" style="343" customWidth="1"/>
    <col min="8684" max="8931" width="8.84375" style="343"/>
    <col min="8932" max="8932" width="3.07421875" style="343" customWidth="1"/>
    <col min="8933" max="8933" width="66.07421875" style="343" customWidth="1"/>
    <col min="8934" max="8936" width="13.69140625" style="343" customWidth="1"/>
    <col min="8937" max="8937" width="4.07421875" style="343" customWidth="1"/>
    <col min="8938" max="8939" width="13.69140625" style="343" customWidth="1"/>
    <col min="8940" max="9187" width="8.84375" style="343"/>
    <col min="9188" max="9188" width="3.07421875" style="343" customWidth="1"/>
    <col min="9189" max="9189" width="66.07421875" style="343" customWidth="1"/>
    <col min="9190" max="9192" width="13.69140625" style="343" customWidth="1"/>
    <col min="9193" max="9193" width="4.07421875" style="343" customWidth="1"/>
    <col min="9194" max="9195" width="13.69140625" style="343" customWidth="1"/>
    <col min="9196" max="9443" width="8.84375" style="343"/>
    <col min="9444" max="9444" width="3.07421875" style="343" customWidth="1"/>
    <col min="9445" max="9445" width="66.07421875" style="343" customWidth="1"/>
    <col min="9446" max="9448" width="13.69140625" style="343" customWidth="1"/>
    <col min="9449" max="9449" width="4.07421875" style="343" customWidth="1"/>
    <col min="9450" max="9451" width="13.69140625" style="343" customWidth="1"/>
    <col min="9452" max="9699" width="8.84375" style="343"/>
    <col min="9700" max="9700" width="3.07421875" style="343" customWidth="1"/>
    <col min="9701" max="9701" width="66.07421875" style="343" customWidth="1"/>
    <col min="9702" max="9704" width="13.69140625" style="343" customWidth="1"/>
    <col min="9705" max="9705" width="4.07421875" style="343" customWidth="1"/>
    <col min="9706" max="9707" width="13.69140625" style="343" customWidth="1"/>
    <col min="9708" max="9955" width="8.84375" style="343"/>
    <col min="9956" max="9956" width="3.07421875" style="343" customWidth="1"/>
    <col min="9957" max="9957" width="66.07421875" style="343" customWidth="1"/>
    <col min="9958" max="9960" width="13.69140625" style="343" customWidth="1"/>
    <col min="9961" max="9961" width="4.07421875" style="343" customWidth="1"/>
    <col min="9962" max="9963" width="13.69140625" style="343" customWidth="1"/>
    <col min="9964" max="10211" width="8.84375" style="343"/>
    <col min="10212" max="10212" width="3.07421875" style="343" customWidth="1"/>
    <col min="10213" max="10213" width="66.07421875" style="343" customWidth="1"/>
    <col min="10214" max="10216" width="13.69140625" style="343" customWidth="1"/>
    <col min="10217" max="10217" width="4.07421875" style="343" customWidth="1"/>
    <col min="10218" max="10219" width="13.69140625" style="343" customWidth="1"/>
    <col min="10220" max="10467" width="8.84375" style="343"/>
    <col min="10468" max="10468" width="3.07421875" style="343" customWidth="1"/>
    <col min="10469" max="10469" width="66.07421875" style="343" customWidth="1"/>
    <col min="10470" max="10472" width="13.69140625" style="343" customWidth="1"/>
    <col min="10473" max="10473" width="4.07421875" style="343" customWidth="1"/>
    <col min="10474" max="10475" width="13.69140625" style="343" customWidth="1"/>
    <col min="10476" max="10723" width="8.84375" style="343"/>
    <col min="10724" max="10724" width="3.07421875" style="343" customWidth="1"/>
    <col min="10725" max="10725" width="66.07421875" style="343" customWidth="1"/>
    <col min="10726" max="10728" width="13.69140625" style="343" customWidth="1"/>
    <col min="10729" max="10729" width="4.07421875" style="343" customWidth="1"/>
    <col min="10730" max="10731" width="13.69140625" style="343" customWidth="1"/>
    <col min="10732" max="10979" width="8.84375" style="343"/>
    <col min="10980" max="10980" width="3.07421875" style="343" customWidth="1"/>
    <col min="10981" max="10981" width="66.07421875" style="343" customWidth="1"/>
    <col min="10982" max="10984" width="13.69140625" style="343" customWidth="1"/>
    <col min="10985" max="10985" width="4.07421875" style="343" customWidth="1"/>
    <col min="10986" max="10987" width="13.69140625" style="343" customWidth="1"/>
    <col min="10988" max="11235" width="8.84375" style="343"/>
    <col min="11236" max="11236" width="3.07421875" style="343" customWidth="1"/>
    <col min="11237" max="11237" width="66.07421875" style="343" customWidth="1"/>
    <col min="11238" max="11240" width="13.69140625" style="343" customWidth="1"/>
    <col min="11241" max="11241" width="4.07421875" style="343" customWidth="1"/>
    <col min="11242" max="11243" width="13.69140625" style="343" customWidth="1"/>
    <col min="11244" max="11491" width="8.84375" style="343"/>
    <col min="11492" max="11492" width="3.07421875" style="343" customWidth="1"/>
    <col min="11493" max="11493" width="66.07421875" style="343" customWidth="1"/>
    <col min="11494" max="11496" width="13.69140625" style="343" customWidth="1"/>
    <col min="11497" max="11497" width="4.07421875" style="343" customWidth="1"/>
    <col min="11498" max="11499" width="13.69140625" style="343" customWidth="1"/>
    <col min="11500" max="11747" width="8.84375" style="343"/>
    <col min="11748" max="11748" width="3.07421875" style="343" customWidth="1"/>
    <col min="11749" max="11749" width="66.07421875" style="343" customWidth="1"/>
    <col min="11750" max="11752" width="13.69140625" style="343" customWidth="1"/>
    <col min="11753" max="11753" width="4.07421875" style="343" customWidth="1"/>
    <col min="11754" max="11755" width="13.69140625" style="343" customWidth="1"/>
    <col min="11756" max="12003" width="8.84375" style="343"/>
    <col min="12004" max="12004" width="3.07421875" style="343" customWidth="1"/>
    <col min="12005" max="12005" width="66.07421875" style="343" customWidth="1"/>
    <col min="12006" max="12008" width="13.69140625" style="343" customWidth="1"/>
    <col min="12009" max="12009" width="4.07421875" style="343" customWidth="1"/>
    <col min="12010" max="12011" width="13.69140625" style="343" customWidth="1"/>
    <col min="12012" max="12259" width="8.84375" style="343"/>
    <col min="12260" max="12260" width="3.07421875" style="343" customWidth="1"/>
    <col min="12261" max="12261" width="66.07421875" style="343" customWidth="1"/>
    <col min="12262" max="12264" width="13.69140625" style="343" customWidth="1"/>
    <col min="12265" max="12265" width="4.07421875" style="343" customWidth="1"/>
    <col min="12266" max="12267" width="13.69140625" style="343" customWidth="1"/>
    <col min="12268" max="12515" width="8.84375" style="343"/>
    <col min="12516" max="12516" width="3.07421875" style="343" customWidth="1"/>
    <col min="12517" max="12517" width="66.07421875" style="343" customWidth="1"/>
    <col min="12518" max="12520" width="13.69140625" style="343" customWidth="1"/>
    <col min="12521" max="12521" width="4.07421875" style="343" customWidth="1"/>
    <col min="12522" max="12523" width="13.69140625" style="343" customWidth="1"/>
    <col min="12524" max="12771" width="8.84375" style="343"/>
    <col min="12772" max="12772" width="3.07421875" style="343" customWidth="1"/>
    <col min="12773" max="12773" width="66.07421875" style="343" customWidth="1"/>
    <col min="12774" max="12776" width="13.69140625" style="343" customWidth="1"/>
    <col min="12777" max="12777" width="4.07421875" style="343" customWidth="1"/>
    <col min="12778" max="12779" width="13.69140625" style="343" customWidth="1"/>
    <col min="12780" max="13027" width="8.84375" style="343"/>
    <col min="13028" max="13028" width="3.07421875" style="343" customWidth="1"/>
    <col min="13029" max="13029" width="66.07421875" style="343" customWidth="1"/>
    <col min="13030" max="13032" width="13.69140625" style="343" customWidth="1"/>
    <col min="13033" max="13033" width="4.07421875" style="343" customWidth="1"/>
    <col min="13034" max="13035" width="13.69140625" style="343" customWidth="1"/>
    <col min="13036" max="13283" width="8.84375" style="343"/>
    <col min="13284" max="13284" width="3.07421875" style="343" customWidth="1"/>
    <col min="13285" max="13285" width="66.07421875" style="343" customWidth="1"/>
    <col min="13286" max="13288" width="13.69140625" style="343" customWidth="1"/>
    <col min="13289" max="13289" width="4.07421875" style="343" customWidth="1"/>
    <col min="13290" max="13291" width="13.69140625" style="343" customWidth="1"/>
    <col min="13292" max="13539" width="8.84375" style="343"/>
    <col min="13540" max="13540" width="3.07421875" style="343" customWidth="1"/>
    <col min="13541" max="13541" width="66.07421875" style="343" customWidth="1"/>
    <col min="13542" max="13544" width="13.69140625" style="343" customWidth="1"/>
    <col min="13545" max="13545" width="4.07421875" style="343" customWidth="1"/>
    <col min="13546" max="13547" width="13.69140625" style="343" customWidth="1"/>
    <col min="13548" max="13795" width="8.84375" style="343"/>
    <col min="13796" max="13796" width="3.07421875" style="343" customWidth="1"/>
    <col min="13797" max="13797" width="66.07421875" style="343" customWidth="1"/>
    <col min="13798" max="13800" width="13.69140625" style="343" customWidth="1"/>
    <col min="13801" max="13801" width="4.07421875" style="343" customWidth="1"/>
    <col min="13802" max="13803" width="13.69140625" style="343" customWidth="1"/>
    <col min="13804" max="14051" width="8.84375" style="343"/>
    <col min="14052" max="14052" width="3.07421875" style="343" customWidth="1"/>
    <col min="14053" max="14053" width="66.07421875" style="343" customWidth="1"/>
    <col min="14054" max="14056" width="13.69140625" style="343" customWidth="1"/>
    <col min="14057" max="14057" width="4.07421875" style="343" customWidth="1"/>
    <col min="14058" max="14059" width="13.69140625" style="343" customWidth="1"/>
    <col min="14060" max="14307" width="8.84375" style="343"/>
    <col min="14308" max="14308" width="3.07421875" style="343" customWidth="1"/>
    <col min="14309" max="14309" width="66.07421875" style="343" customWidth="1"/>
    <col min="14310" max="14312" width="13.69140625" style="343" customWidth="1"/>
    <col min="14313" max="14313" width="4.07421875" style="343" customWidth="1"/>
    <col min="14314" max="14315" width="13.69140625" style="343" customWidth="1"/>
    <col min="14316" max="14563" width="8.84375" style="343"/>
    <col min="14564" max="14564" width="3.07421875" style="343" customWidth="1"/>
    <col min="14565" max="14565" width="66.07421875" style="343" customWidth="1"/>
    <col min="14566" max="14568" width="13.69140625" style="343" customWidth="1"/>
    <col min="14569" max="14569" width="4.07421875" style="343" customWidth="1"/>
    <col min="14570" max="14571" width="13.69140625" style="343" customWidth="1"/>
    <col min="14572" max="14819" width="8.84375" style="343"/>
    <col min="14820" max="14820" width="3.07421875" style="343" customWidth="1"/>
    <col min="14821" max="14821" width="66.07421875" style="343" customWidth="1"/>
    <col min="14822" max="14824" width="13.69140625" style="343" customWidth="1"/>
    <col min="14825" max="14825" width="4.07421875" style="343" customWidth="1"/>
    <col min="14826" max="14827" width="13.69140625" style="343" customWidth="1"/>
    <col min="14828" max="15075" width="8.84375" style="343"/>
    <col min="15076" max="15076" width="3.07421875" style="343" customWidth="1"/>
    <col min="15077" max="15077" width="66.07421875" style="343" customWidth="1"/>
    <col min="15078" max="15080" width="13.69140625" style="343" customWidth="1"/>
    <col min="15081" max="15081" width="4.07421875" style="343" customWidth="1"/>
    <col min="15082" max="15083" width="13.69140625" style="343" customWidth="1"/>
    <col min="15084" max="15331" width="8.84375" style="343"/>
    <col min="15332" max="15332" width="3.07421875" style="343" customWidth="1"/>
    <col min="15333" max="15333" width="66.07421875" style="343" customWidth="1"/>
    <col min="15334" max="15336" width="13.69140625" style="343" customWidth="1"/>
    <col min="15337" max="15337" width="4.07421875" style="343" customWidth="1"/>
    <col min="15338" max="15339" width="13.69140625" style="343" customWidth="1"/>
    <col min="15340" max="15587" width="8.84375" style="343"/>
    <col min="15588" max="15588" width="3.07421875" style="343" customWidth="1"/>
    <col min="15589" max="15589" width="66.07421875" style="343" customWidth="1"/>
    <col min="15590" max="15592" width="13.69140625" style="343" customWidth="1"/>
    <col min="15593" max="15593" width="4.07421875" style="343" customWidth="1"/>
    <col min="15594" max="15595" width="13.69140625" style="343" customWidth="1"/>
    <col min="15596" max="15843" width="8.84375" style="343"/>
    <col min="15844" max="15844" width="3.07421875" style="343" customWidth="1"/>
    <col min="15845" max="15845" width="66.07421875" style="343" customWidth="1"/>
    <col min="15846" max="15848" width="13.69140625" style="343" customWidth="1"/>
    <col min="15849" max="15849" width="4.07421875" style="343" customWidth="1"/>
    <col min="15850" max="15851" width="13.69140625" style="343" customWidth="1"/>
    <col min="15852" max="16099" width="8.84375" style="343"/>
    <col min="16100" max="16100" width="3.07421875" style="343" customWidth="1"/>
    <col min="16101" max="16101" width="66.07421875" style="343" customWidth="1"/>
    <col min="16102" max="16104" width="13.69140625" style="343" customWidth="1"/>
    <col min="16105" max="16105" width="4.07421875" style="343" customWidth="1"/>
    <col min="16106" max="16107" width="13.69140625" style="343" customWidth="1"/>
    <col min="16108" max="16384" width="8.84375" style="343"/>
  </cols>
  <sheetData>
    <row r="1" spans="1:24" ht="7.5" customHeight="1">
      <c r="A1" s="342"/>
      <c r="B1" s="342"/>
      <c r="C1" s="342"/>
      <c r="D1" s="342"/>
      <c r="E1" s="342"/>
      <c r="F1" s="342"/>
      <c r="G1" s="8"/>
      <c r="H1" s="342"/>
      <c r="I1" s="342"/>
      <c r="J1" s="342"/>
      <c r="K1" s="342"/>
      <c r="L1" s="342"/>
      <c r="M1" s="342"/>
      <c r="N1" s="342"/>
      <c r="O1" s="342"/>
      <c r="P1" s="342"/>
      <c r="Q1" s="342"/>
      <c r="R1" s="342"/>
      <c r="S1" s="342"/>
      <c r="T1" s="342"/>
      <c r="U1" s="342"/>
      <c r="V1" s="342"/>
      <c r="W1" s="342"/>
      <c r="X1" s="342"/>
    </row>
    <row r="2" spans="1:24" ht="19.5" customHeight="1">
      <c r="A2" s="2"/>
      <c r="B2" s="865" t="s">
        <v>915</v>
      </c>
      <c r="C2" s="862"/>
      <c r="D2" s="862"/>
      <c r="E2" s="879"/>
      <c r="F2" s="2"/>
      <c r="G2" s="1"/>
      <c r="H2" s="2"/>
      <c r="I2" s="2"/>
      <c r="J2" s="2"/>
      <c r="K2" s="2"/>
      <c r="L2" s="2"/>
      <c r="M2" s="2"/>
      <c r="N2" s="2"/>
      <c r="O2" s="2"/>
      <c r="P2" s="2"/>
      <c r="Q2" s="2"/>
      <c r="R2" s="2"/>
      <c r="S2" s="2"/>
      <c r="T2" s="2"/>
      <c r="U2" s="2"/>
      <c r="V2" s="2"/>
      <c r="W2" s="2"/>
      <c r="X2" s="2"/>
    </row>
    <row r="3" spans="1:24" ht="16.5" customHeight="1">
      <c r="A3" s="2"/>
      <c r="B3" s="880"/>
      <c r="C3" s="881"/>
      <c r="D3" s="881"/>
      <c r="E3" s="882"/>
      <c r="F3" s="2"/>
      <c r="G3" s="1"/>
      <c r="H3" s="2"/>
      <c r="I3" s="2"/>
      <c r="J3" s="2"/>
      <c r="K3" s="2"/>
      <c r="L3" s="2"/>
      <c r="M3" s="2"/>
      <c r="N3" s="2"/>
      <c r="O3" s="2"/>
      <c r="P3" s="2"/>
      <c r="Q3" s="2"/>
      <c r="R3" s="2"/>
      <c r="S3" s="2"/>
      <c r="T3" s="2"/>
      <c r="U3" s="2"/>
      <c r="V3" s="2"/>
      <c r="W3" s="2"/>
      <c r="X3" s="2"/>
    </row>
    <row r="4" spans="1:24" ht="15.75" customHeight="1">
      <c r="A4" s="2"/>
      <c r="B4" s="2"/>
      <c r="C4" s="2"/>
      <c r="D4" s="4"/>
      <c r="E4" s="8"/>
      <c r="F4" s="2"/>
      <c r="G4" s="1"/>
      <c r="H4" s="2"/>
      <c r="I4" s="2"/>
      <c r="J4" s="2"/>
      <c r="K4" s="2"/>
      <c r="L4" s="2"/>
      <c r="M4" s="2"/>
      <c r="N4" s="2"/>
      <c r="O4" s="2"/>
      <c r="P4" s="2"/>
      <c r="Q4" s="2"/>
      <c r="R4" s="2"/>
      <c r="S4" s="2"/>
      <c r="T4" s="2"/>
      <c r="U4" s="2"/>
      <c r="V4" s="2"/>
      <c r="W4" s="2"/>
      <c r="X4" s="2"/>
    </row>
    <row r="5" spans="1:24" ht="15.75" customHeight="1">
      <c r="A5" s="2"/>
      <c r="B5" s="42" t="s">
        <v>557</v>
      </c>
      <c r="C5" s="42" t="s">
        <v>916</v>
      </c>
      <c r="D5" s="42" t="s">
        <v>398</v>
      </c>
      <c r="E5" s="42" t="s">
        <v>917</v>
      </c>
      <c r="F5" s="2"/>
      <c r="G5" s="1"/>
      <c r="H5" s="2"/>
      <c r="I5" s="2"/>
      <c r="J5" s="2"/>
      <c r="K5" s="2"/>
      <c r="L5" s="2"/>
      <c r="M5" s="2"/>
      <c r="N5" s="2"/>
      <c r="O5" s="2"/>
      <c r="P5" s="2"/>
      <c r="Q5" s="2"/>
      <c r="R5" s="2"/>
      <c r="S5" s="2"/>
      <c r="T5" s="2"/>
      <c r="U5" s="2"/>
      <c r="V5" s="2"/>
      <c r="W5" s="2"/>
      <c r="X5" s="2"/>
    </row>
    <row r="6" spans="1:24" ht="20.149999999999999" customHeight="1">
      <c r="A6" s="2"/>
      <c r="B6" s="118" t="s">
        <v>389</v>
      </c>
      <c r="C6" s="119"/>
      <c r="D6" s="119"/>
      <c r="E6" s="120"/>
      <c r="F6" s="2"/>
      <c r="G6" s="1"/>
      <c r="H6" s="2"/>
      <c r="I6" s="2"/>
      <c r="J6" s="2"/>
      <c r="K6" s="2"/>
      <c r="L6" s="2"/>
      <c r="M6" s="2"/>
      <c r="N6" s="2"/>
      <c r="O6" s="2"/>
      <c r="P6" s="2"/>
      <c r="Q6" s="2"/>
      <c r="R6" s="2"/>
      <c r="S6" s="2"/>
      <c r="T6" s="2"/>
      <c r="U6" s="2"/>
      <c r="V6" s="2"/>
      <c r="W6" s="2"/>
      <c r="X6" s="2"/>
    </row>
    <row r="7" spans="1:24" ht="20.149999999999999" customHeight="1">
      <c r="A7" s="2"/>
      <c r="B7" s="883" t="s">
        <v>918</v>
      </c>
      <c r="C7" s="884"/>
      <c r="D7" s="884"/>
      <c r="E7" s="885"/>
      <c r="F7" s="2"/>
      <c r="G7" s="1"/>
      <c r="H7" s="2"/>
      <c r="I7" s="2"/>
      <c r="J7" s="2"/>
      <c r="K7" s="2"/>
      <c r="L7" s="2"/>
      <c r="M7" s="2"/>
      <c r="N7" s="2"/>
      <c r="O7" s="2"/>
      <c r="P7" s="2"/>
      <c r="Q7" s="2"/>
      <c r="R7" s="2"/>
      <c r="S7" s="2"/>
      <c r="T7" s="2"/>
      <c r="U7" s="2"/>
      <c r="V7" s="2"/>
      <c r="W7" s="2"/>
      <c r="X7" s="2"/>
    </row>
    <row r="8" spans="1:24" ht="20.149999999999999" customHeight="1">
      <c r="A8" s="2"/>
      <c r="B8" s="212" t="s">
        <v>1197</v>
      </c>
      <c r="C8" s="212" t="s">
        <v>1201</v>
      </c>
      <c r="D8" s="213">
        <f>-[3]Risks!D7*1000</f>
        <v>-3455</v>
      </c>
      <c r="E8" s="213" t="s">
        <v>1198</v>
      </c>
      <c r="F8" s="342"/>
      <c r="G8" s="8" t="e">
        <f>IF(AND(#REF!&lt;&gt;0,B8=""),"Please give a title for each Risk value","")</f>
        <v>#REF!</v>
      </c>
      <c r="H8" s="4"/>
      <c r="I8" s="342"/>
      <c r="J8" s="342"/>
      <c r="K8" s="342"/>
      <c r="L8" s="342"/>
      <c r="M8" s="342"/>
      <c r="N8" s="342"/>
      <c r="O8" s="342"/>
      <c r="P8" s="342"/>
      <c r="Q8" s="342"/>
      <c r="R8" s="342"/>
      <c r="S8" s="342"/>
      <c r="T8" s="342"/>
      <c r="U8" s="342"/>
      <c r="V8" s="342"/>
      <c r="W8" s="342"/>
      <c r="X8" s="342"/>
    </row>
    <row r="9" spans="1:24" ht="20.149999999999999" customHeight="1">
      <c r="A9" s="2"/>
      <c r="B9" s="212" t="s">
        <v>1197</v>
      </c>
      <c r="C9" s="212" t="s">
        <v>1252</v>
      </c>
      <c r="D9" s="213">
        <f>-[3]Risks!D8*1000</f>
        <v>-500</v>
      </c>
      <c r="E9" s="213" t="s">
        <v>1199</v>
      </c>
      <c r="F9" s="342"/>
      <c r="G9" s="8" t="e">
        <f>IF(AND(#REF!&lt;&gt;0,B9=""),"Please give a title for each Risk value","")</f>
        <v>#REF!</v>
      </c>
      <c r="H9" s="342"/>
      <c r="I9" s="342"/>
      <c r="J9" s="342"/>
      <c r="K9" s="342"/>
      <c r="L9" s="342"/>
      <c r="M9" s="342"/>
      <c r="N9" s="342"/>
      <c r="O9" s="342"/>
      <c r="P9" s="342"/>
      <c r="Q9" s="342"/>
      <c r="R9" s="342"/>
      <c r="S9" s="342"/>
      <c r="T9" s="342"/>
      <c r="U9" s="342"/>
      <c r="V9" s="342"/>
      <c r="W9" s="342"/>
      <c r="X9" s="342"/>
    </row>
    <row r="10" spans="1:24" ht="20.149999999999999" customHeight="1">
      <c r="A10" s="2"/>
      <c r="B10" s="212" t="s">
        <v>369</v>
      </c>
      <c r="C10" s="212" t="s">
        <v>1253</v>
      </c>
      <c r="D10" s="213">
        <f>-[3]Risks!D9*1000</f>
        <v>-470</v>
      </c>
      <c r="E10" s="213" t="s">
        <v>1198</v>
      </c>
      <c r="F10" s="342"/>
      <c r="G10" s="8" t="e">
        <f>IF(AND(#REF!&lt;&gt;0,B10=""),"Please give a title for each Risk value","")</f>
        <v>#REF!</v>
      </c>
      <c r="H10" s="342"/>
      <c r="I10" s="342"/>
      <c r="J10" s="342"/>
      <c r="K10" s="342"/>
      <c r="L10" s="342"/>
      <c r="M10" s="342"/>
      <c r="N10" s="342"/>
      <c r="O10" s="342"/>
      <c r="P10" s="342"/>
      <c r="Q10" s="342"/>
      <c r="R10" s="342"/>
      <c r="S10" s="342"/>
      <c r="T10" s="342"/>
      <c r="U10" s="342"/>
      <c r="V10" s="342"/>
      <c r="W10" s="342"/>
      <c r="X10" s="342"/>
    </row>
    <row r="11" spans="1:24" ht="20.149999999999999" customHeight="1">
      <c r="A11" s="2"/>
      <c r="B11" s="212" t="s">
        <v>369</v>
      </c>
      <c r="C11" s="212" t="s">
        <v>1254</v>
      </c>
      <c r="D11" s="213">
        <f>-[3]Risks!D10*1000</f>
        <v>-283</v>
      </c>
      <c r="E11" s="213" t="s">
        <v>1198</v>
      </c>
      <c r="F11" s="342"/>
      <c r="G11" s="8" t="e">
        <f>IF(AND(#REF!&lt;&gt;0,B11=""),"Please give a title for each Risk value","")</f>
        <v>#REF!</v>
      </c>
      <c r="H11" s="342"/>
      <c r="I11" s="342"/>
      <c r="J11" s="342"/>
      <c r="K11" s="342"/>
      <c r="L11" s="342"/>
      <c r="M11" s="342"/>
      <c r="N11" s="342"/>
      <c r="O11" s="342"/>
      <c r="P11" s="342"/>
      <c r="Q11" s="342"/>
      <c r="R11" s="342"/>
      <c r="S11" s="342"/>
      <c r="T11" s="342"/>
      <c r="U11" s="342"/>
      <c r="V11" s="342"/>
      <c r="W11" s="342"/>
      <c r="X11" s="342"/>
    </row>
    <row r="12" spans="1:24" ht="20.149999999999999" customHeight="1">
      <c r="A12" s="2"/>
      <c r="B12" s="212" t="s">
        <v>1196</v>
      </c>
      <c r="C12" s="212" t="s">
        <v>1255</v>
      </c>
      <c r="D12" s="213">
        <f>-[3]Risks!D11*1000</f>
        <v>-3870</v>
      </c>
      <c r="E12" s="213" t="s">
        <v>1199</v>
      </c>
      <c r="F12" s="342"/>
      <c r="G12" s="8" t="str">
        <f t="shared" ref="G12:G26" si="0">IF(AND(D8&lt;&gt;0,B12=""),"Please give a title for each Risk value","")</f>
        <v/>
      </c>
      <c r="H12" s="342"/>
      <c r="I12" s="342"/>
      <c r="J12" s="342"/>
      <c r="K12" s="342"/>
      <c r="L12" s="342"/>
      <c r="M12" s="342"/>
      <c r="N12" s="342"/>
      <c r="O12" s="342"/>
      <c r="P12" s="342"/>
      <c r="Q12" s="342"/>
      <c r="R12" s="342"/>
      <c r="S12" s="342"/>
      <c r="T12" s="342"/>
      <c r="U12" s="342"/>
      <c r="V12" s="342"/>
      <c r="W12" s="342"/>
      <c r="X12" s="342"/>
    </row>
    <row r="13" spans="1:24" ht="20.149999999999999" customHeight="1">
      <c r="A13" s="2"/>
      <c r="B13" s="212" t="s">
        <v>549</v>
      </c>
      <c r="C13" s="212" t="s">
        <v>1256</v>
      </c>
      <c r="D13" s="213">
        <f>-[3]Risks!D12*1000</f>
        <v>-390</v>
      </c>
      <c r="E13" s="213" t="s">
        <v>1200</v>
      </c>
      <c r="F13" s="342"/>
      <c r="G13" s="8" t="str">
        <f t="shared" si="0"/>
        <v/>
      </c>
      <c r="H13" s="342"/>
      <c r="I13" s="342"/>
      <c r="J13" s="342"/>
      <c r="K13" s="342"/>
      <c r="L13" s="342"/>
      <c r="M13" s="342"/>
      <c r="N13" s="342"/>
      <c r="O13" s="342"/>
      <c r="P13" s="342"/>
      <c r="Q13" s="342"/>
      <c r="R13" s="342"/>
      <c r="S13" s="342"/>
      <c r="T13" s="342"/>
      <c r="U13" s="342"/>
      <c r="V13" s="342"/>
      <c r="W13" s="342"/>
      <c r="X13" s="342"/>
    </row>
    <row r="14" spans="1:24" ht="20.149999999999999" customHeight="1">
      <c r="A14" s="2"/>
      <c r="B14" s="212" t="s">
        <v>1067</v>
      </c>
      <c r="C14" s="212" t="s">
        <v>1257</v>
      </c>
      <c r="D14" s="213">
        <f>-[3]Risks!D13*1000</f>
        <v>-4000</v>
      </c>
      <c r="E14" s="213" t="s">
        <v>1199</v>
      </c>
      <c r="F14" s="342"/>
      <c r="G14" s="8" t="str">
        <f t="shared" si="0"/>
        <v/>
      </c>
      <c r="H14" s="342"/>
      <c r="I14" s="342"/>
      <c r="J14" s="342"/>
      <c r="K14" s="342"/>
      <c r="L14" s="342"/>
      <c r="M14" s="342"/>
      <c r="N14" s="342"/>
      <c r="O14" s="342"/>
      <c r="P14" s="342"/>
      <c r="Q14" s="342"/>
      <c r="R14" s="342"/>
      <c r="S14" s="342"/>
      <c r="T14" s="342"/>
      <c r="U14" s="342"/>
      <c r="V14" s="342"/>
      <c r="W14" s="342"/>
      <c r="X14" s="342"/>
    </row>
    <row r="15" spans="1:24" ht="20.149999999999999" customHeight="1">
      <c r="A15" s="2"/>
      <c r="B15" s="212" t="s">
        <v>1025</v>
      </c>
      <c r="C15" s="212" t="s">
        <v>1258</v>
      </c>
      <c r="D15" s="213">
        <f>-[3]Risks!D14*1000</f>
        <v>-3100</v>
      </c>
      <c r="E15" s="213" t="s">
        <v>1200</v>
      </c>
      <c r="F15" s="342"/>
      <c r="G15" s="8" t="str">
        <f t="shared" si="0"/>
        <v/>
      </c>
      <c r="H15" s="342"/>
      <c r="I15" s="342"/>
      <c r="J15" s="342"/>
      <c r="K15" s="342"/>
      <c r="L15" s="342"/>
      <c r="M15" s="342"/>
      <c r="N15" s="342"/>
      <c r="O15" s="342"/>
      <c r="P15" s="342"/>
      <c r="Q15" s="342"/>
      <c r="R15" s="342"/>
      <c r="S15" s="342"/>
      <c r="T15" s="342"/>
      <c r="U15" s="342"/>
      <c r="V15" s="342"/>
      <c r="W15" s="342"/>
      <c r="X15" s="342"/>
    </row>
    <row r="16" spans="1:24" ht="20.149999999999999" customHeight="1">
      <c r="A16" s="2"/>
      <c r="B16" s="212" t="s">
        <v>1197</v>
      </c>
      <c r="C16" s="212" t="s">
        <v>1259</v>
      </c>
      <c r="D16" s="213">
        <f>-[3]Risks!D15*1000</f>
        <v>-21895.454545454544</v>
      </c>
      <c r="E16" s="213" t="s">
        <v>1200</v>
      </c>
      <c r="F16" s="342"/>
      <c r="G16" s="8" t="str">
        <f t="shared" si="0"/>
        <v/>
      </c>
      <c r="H16" s="342"/>
      <c r="I16" s="342"/>
      <c r="J16" s="342"/>
      <c r="K16" s="342"/>
      <c r="L16" s="342"/>
      <c r="M16" s="342"/>
      <c r="N16" s="342"/>
      <c r="O16" s="342"/>
      <c r="P16" s="342"/>
      <c r="Q16" s="342"/>
      <c r="R16" s="342"/>
      <c r="S16" s="342"/>
      <c r="T16" s="342"/>
      <c r="U16" s="342"/>
      <c r="V16" s="342"/>
      <c r="W16" s="342"/>
      <c r="X16" s="342"/>
    </row>
    <row r="17" spans="1:24" ht="20.149999999999999" customHeight="1">
      <c r="A17" s="2"/>
      <c r="B17" s="212" t="s">
        <v>1197</v>
      </c>
      <c r="C17" s="212" t="s">
        <v>1260</v>
      </c>
      <c r="D17" s="213">
        <f>-[3]Risks!D16*1000</f>
        <v>-7010</v>
      </c>
      <c r="E17" s="213" t="s">
        <v>1199</v>
      </c>
      <c r="F17" s="342"/>
      <c r="G17" s="8" t="str">
        <f t="shared" si="0"/>
        <v/>
      </c>
      <c r="H17" s="342"/>
      <c r="I17" s="342"/>
      <c r="J17" s="342"/>
      <c r="K17" s="342"/>
      <c r="L17" s="342"/>
      <c r="M17" s="342"/>
      <c r="N17" s="342"/>
      <c r="O17" s="342"/>
      <c r="P17" s="342"/>
      <c r="Q17" s="342"/>
      <c r="R17" s="342"/>
      <c r="S17" s="342"/>
      <c r="T17" s="342"/>
      <c r="U17" s="342"/>
      <c r="V17" s="342"/>
      <c r="W17" s="342"/>
      <c r="X17" s="342"/>
    </row>
    <row r="18" spans="1:24" ht="20.149999999999999" customHeight="1">
      <c r="A18" s="2"/>
      <c r="B18" s="212" t="s">
        <v>1193</v>
      </c>
      <c r="C18" s="212" t="s">
        <v>1261</v>
      </c>
      <c r="D18" s="213">
        <f>-[3]Risks!D17*1000</f>
        <v>-12000</v>
      </c>
      <c r="E18" s="213" t="s">
        <v>1200</v>
      </c>
      <c r="F18" s="342"/>
      <c r="G18" s="8" t="str">
        <f t="shared" si="0"/>
        <v/>
      </c>
      <c r="H18" s="342"/>
      <c r="I18" s="342"/>
      <c r="J18" s="342"/>
      <c r="K18" s="342"/>
      <c r="L18" s="342"/>
      <c r="M18" s="342"/>
      <c r="N18" s="342"/>
      <c r="O18" s="342"/>
      <c r="P18" s="342"/>
      <c r="Q18" s="342"/>
      <c r="R18" s="342"/>
      <c r="S18" s="342"/>
      <c r="T18" s="342"/>
      <c r="U18" s="342"/>
      <c r="V18" s="342"/>
      <c r="W18" s="342"/>
      <c r="X18" s="342"/>
    </row>
    <row r="19" spans="1:24" ht="20.149999999999999" customHeight="1">
      <c r="A19" s="2"/>
      <c r="B19" s="212" t="s">
        <v>1193</v>
      </c>
      <c r="C19" s="212" t="s">
        <v>1262</v>
      </c>
      <c r="D19" s="213" t="str">
        <f>[3]Risks!D19</f>
        <v>TBC</v>
      </c>
      <c r="E19" s="213" t="s">
        <v>1199</v>
      </c>
      <c r="F19" s="342"/>
      <c r="G19" s="8" t="str">
        <f t="shared" si="0"/>
        <v/>
      </c>
      <c r="H19" s="342"/>
      <c r="I19" s="342"/>
      <c r="J19" s="342"/>
      <c r="K19" s="342"/>
      <c r="L19" s="342"/>
      <c r="M19" s="342"/>
      <c r="N19" s="342"/>
      <c r="O19" s="342"/>
      <c r="P19" s="342"/>
      <c r="Q19" s="342"/>
      <c r="R19" s="342"/>
      <c r="S19" s="342"/>
      <c r="T19" s="342"/>
      <c r="U19" s="342"/>
      <c r="V19" s="342"/>
      <c r="W19" s="342"/>
      <c r="X19" s="342"/>
    </row>
    <row r="20" spans="1:24" ht="20.149999999999999" customHeight="1">
      <c r="A20" s="2"/>
      <c r="B20" s="212" t="s">
        <v>1193</v>
      </c>
      <c r="C20" s="212" t="s">
        <v>1263</v>
      </c>
      <c r="D20" s="213" t="str">
        <f>[3]Risks!D20</f>
        <v>TBC</v>
      </c>
      <c r="E20" s="213" t="s">
        <v>1200</v>
      </c>
      <c r="F20" s="342"/>
      <c r="G20" s="8" t="str">
        <f t="shared" si="0"/>
        <v/>
      </c>
      <c r="H20" s="342"/>
      <c r="I20" s="342"/>
      <c r="J20" s="342"/>
      <c r="K20" s="342"/>
      <c r="L20" s="342"/>
      <c r="M20" s="342"/>
      <c r="N20" s="342"/>
      <c r="O20" s="342"/>
      <c r="P20" s="342"/>
      <c r="Q20" s="342"/>
      <c r="R20" s="342"/>
      <c r="S20" s="342"/>
      <c r="T20" s="342"/>
      <c r="U20" s="342"/>
      <c r="V20" s="342"/>
      <c r="W20" s="342"/>
      <c r="X20" s="342"/>
    </row>
    <row r="21" spans="1:24" ht="20.149999999999999" customHeight="1">
      <c r="A21" s="2"/>
      <c r="B21" s="212" t="s">
        <v>549</v>
      </c>
      <c r="C21" s="212" t="s">
        <v>1264</v>
      </c>
      <c r="D21" s="213" t="str">
        <f>[3]Risks!D21</f>
        <v>TBC</v>
      </c>
      <c r="E21" s="213" t="s">
        <v>1198</v>
      </c>
      <c r="F21" s="342"/>
      <c r="G21" s="8" t="str">
        <f t="shared" si="0"/>
        <v/>
      </c>
      <c r="H21" s="342"/>
      <c r="I21" s="342"/>
      <c r="J21" s="342"/>
      <c r="K21" s="342"/>
      <c r="L21" s="342"/>
      <c r="M21" s="342"/>
      <c r="N21" s="342"/>
      <c r="O21" s="342"/>
      <c r="P21" s="342"/>
      <c r="Q21" s="342"/>
      <c r="R21" s="342"/>
      <c r="S21" s="342"/>
      <c r="T21" s="342"/>
      <c r="U21" s="342"/>
      <c r="V21" s="342"/>
      <c r="W21" s="342"/>
      <c r="X21" s="342"/>
    </row>
    <row r="22" spans="1:24" ht="20.149999999999999" customHeight="1">
      <c r="A22" s="2"/>
      <c r="B22" s="212" t="s">
        <v>1193</v>
      </c>
      <c r="C22" s="212" t="s">
        <v>1265</v>
      </c>
      <c r="D22" s="213" t="str">
        <f>[3]Risks!D22</f>
        <v>TBC</v>
      </c>
      <c r="E22" s="213" t="s">
        <v>1200</v>
      </c>
      <c r="F22" s="342"/>
      <c r="G22" s="8" t="str">
        <f t="shared" si="0"/>
        <v/>
      </c>
      <c r="H22" s="342"/>
      <c r="I22" s="342"/>
      <c r="J22" s="342"/>
      <c r="K22" s="342"/>
      <c r="L22" s="342"/>
      <c r="M22" s="342"/>
      <c r="N22" s="342"/>
      <c r="O22" s="342"/>
      <c r="P22" s="342"/>
      <c r="Q22" s="342"/>
      <c r="R22" s="342"/>
      <c r="S22" s="342"/>
      <c r="T22" s="342"/>
      <c r="U22" s="342"/>
      <c r="V22" s="342"/>
      <c r="W22" s="342"/>
      <c r="X22" s="342"/>
    </row>
    <row r="23" spans="1:24" ht="20.149999999999999" customHeight="1">
      <c r="A23" s="2"/>
      <c r="B23" s="212" t="s">
        <v>1067</v>
      </c>
      <c r="C23" s="212" t="s">
        <v>1266</v>
      </c>
      <c r="D23" s="213" t="str">
        <f>[3]Risks!D23</f>
        <v>TBC</v>
      </c>
      <c r="E23" s="213" t="s">
        <v>1198</v>
      </c>
      <c r="F23" s="342"/>
      <c r="G23" s="8" t="str">
        <f t="shared" si="0"/>
        <v/>
      </c>
      <c r="H23" s="342"/>
      <c r="I23" s="342"/>
      <c r="J23" s="342"/>
      <c r="K23" s="342"/>
      <c r="L23" s="342"/>
      <c r="M23" s="342"/>
      <c r="N23" s="342"/>
      <c r="O23" s="342"/>
      <c r="P23" s="342"/>
      <c r="Q23" s="342"/>
      <c r="R23" s="342"/>
      <c r="S23" s="342"/>
      <c r="T23" s="342"/>
      <c r="U23" s="342"/>
      <c r="V23" s="342"/>
      <c r="W23" s="342"/>
      <c r="X23" s="342"/>
    </row>
    <row r="24" spans="1:24" ht="20.149999999999999" customHeight="1">
      <c r="A24" s="2"/>
      <c r="B24" s="212"/>
      <c r="C24" s="212"/>
      <c r="D24" s="213"/>
      <c r="E24" s="213"/>
      <c r="F24" s="342"/>
      <c r="G24" s="8" t="str">
        <f t="shared" si="0"/>
        <v>Please give a title for each Risk value</v>
      </c>
      <c r="H24" s="342"/>
      <c r="I24" s="342"/>
      <c r="J24" s="342"/>
      <c r="K24" s="342"/>
      <c r="L24" s="342"/>
      <c r="M24" s="342"/>
      <c r="N24" s="342"/>
      <c r="O24" s="342"/>
      <c r="P24" s="342"/>
      <c r="Q24" s="342"/>
      <c r="R24" s="342"/>
      <c r="S24" s="342"/>
      <c r="T24" s="342"/>
      <c r="U24" s="342"/>
      <c r="V24" s="342"/>
      <c r="W24" s="342"/>
      <c r="X24" s="342"/>
    </row>
    <row r="25" spans="1:24" ht="20.149999999999999" customHeight="1">
      <c r="A25" s="2"/>
      <c r="B25" s="212"/>
      <c r="C25" s="212"/>
      <c r="D25" s="213"/>
      <c r="E25" s="213"/>
      <c r="F25" s="342"/>
      <c r="G25" s="8" t="str">
        <f t="shared" si="0"/>
        <v>Please give a title for each Risk value</v>
      </c>
      <c r="H25" s="342"/>
      <c r="I25" s="342"/>
      <c r="J25" s="342"/>
      <c r="K25" s="342"/>
      <c r="L25" s="342"/>
      <c r="M25" s="342"/>
      <c r="N25" s="342"/>
      <c r="O25" s="342"/>
      <c r="P25" s="342"/>
      <c r="Q25" s="342"/>
      <c r="R25" s="342"/>
      <c r="S25" s="342"/>
      <c r="T25" s="342"/>
      <c r="U25" s="342"/>
      <c r="V25" s="342"/>
      <c r="W25" s="342"/>
      <c r="X25" s="342"/>
    </row>
    <row r="26" spans="1:24" ht="20.149999999999999" customHeight="1">
      <c r="A26" s="2"/>
      <c r="B26" s="214"/>
      <c r="C26" s="212"/>
      <c r="D26" s="213"/>
      <c r="E26" s="213"/>
      <c r="F26" s="342"/>
      <c r="G26" s="8" t="str">
        <f t="shared" si="0"/>
        <v>Please give a title for each Risk value</v>
      </c>
      <c r="H26" s="342"/>
      <c r="I26" s="342"/>
      <c r="J26" s="342"/>
      <c r="K26" s="342"/>
      <c r="L26" s="342"/>
      <c r="M26" s="342"/>
      <c r="N26" s="342"/>
      <c r="O26" s="342"/>
      <c r="P26" s="342"/>
      <c r="Q26" s="342"/>
      <c r="R26" s="342"/>
      <c r="S26" s="342"/>
      <c r="T26" s="342"/>
      <c r="U26" s="342"/>
      <c r="V26" s="342"/>
      <c r="W26" s="342"/>
      <c r="X26" s="342"/>
    </row>
    <row r="27" spans="1:24" ht="20.149999999999999" customHeight="1">
      <c r="A27" s="2"/>
      <c r="B27" s="344" t="s">
        <v>919</v>
      </c>
      <c r="C27" s="344"/>
      <c r="D27" s="124">
        <f>SUM(D8:D22)</f>
        <v>-56973.454545454544</v>
      </c>
      <c r="E27" s="345"/>
      <c r="F27" s="57"/>
      <c r="G27" s="1"/>
      <c r="H27" s="57"/>
      <c r="I27" s="57"/>
      <c r="J27" s="57"/>
      <c r="K27" s="57"/>
      <c r="L27" s="57"/>
      <c r="M27" s="57"/>
      <c r="N27" s="57"/>
      <c r="O27" s="57"/>
      <c r="P27" s="57"/>
      <c r="Q27" s="57"/>
      <c r="R27" s="57"/>
      <c r="S27" s="57"/>
      <c r="T27" s="57"/>
      <c r="U27" s="57"/>
      <c r="V27" s="57"/>
      <c r="W27" s="57"/>
      <c r="X27" s="57"/>
    </row>
    <row r="28" spans="1:24" ht="20.149999999999999" customHeight="1">
      <c r="A28" s="2"/>
      <c r="B28" s="118" t="s">
        <v>390</v>
      </c>
      <c r="C28" s="119"/>
      <c r="D28" s="119"/>
      <c r="E28" s="120"/>
      <c r="F28" s="2"/>
      <c r="G28" s="1"/>
      <c r="H28" s="57"/>
      <c r="I28" s="57"/>
      <c r="J28" s="57"/>
      <c r="K28" s="57"/>
      <c r="L28" s="57"/>
      <c r="M28" s="57"/>
      <c r="N28" s="57"/>
      <c r="O28" s="57"/>
      <c r="P28" s="57"/>
      <c r="Q28" s="57"/>
      <c r="R28" s="57"/>
      <c r="S28" s="57"/>
      <c r="T28" s="57"/>
      <c r="U28" s="57"/>
      <c r="V28" s="57"/>
      <c r="W28" s="57"/>
      <c r="X28" s="57"/>
    </row>
    <row r="29" spans="1:24" ht="20.149999999999999" customHeight="1">
      <c r="A29" s="2"/>
      <c r="B29" s="876" t="s">
        <v>920</v>
      </c>
      <c r="C29" s="877"/>
      <c r="D29" s="877"/>
      <c r="E29" s="878"/>
      <c r="F29" s="2"/>
      <c r="G29" s="1"/>
      <c r="H29" s="57"/>
      <c r="I29" s="57"/>
      <c r="J29" s="57"/>
      <c r="K29" s="57"/>
      <c r="L29" s="57"/>
      <c r="M29" s="57"/>
      <c r="N29" s="57"/>
      <c r="O29" s="57"/>
      <c r="P29" s="57"/>
      <c r="Q29" s="57"/>
      <c r="R29" s="57"/>
      <c r="S29" s="57"/>
      <c r="T29" s="57"/>
      <c r="U29" s="57"/>
      <c r="V29" s="57"/>
      <c r="W29" s="57"/>
      <c r="X29" s="57"/>
    </row>
    <row r="30" spans="1:24" ht="20.149999999999999" customHeight="1">
      <c r="A30" s="2"/>
      <c r="B30" s="212" t="s">
        <v>1267</v>
      </c>
      <c r="C30" s="212" t="s">
        <v>1268</v>
      </c>
      <c r="D30" s="213"/>
      <c r="E30" s="213"/>
      <c r="F30" s="342"/>
      <c r="G30" s="8" t="str">
        <f>IF(AND(D30&lt;&gt;0,B30=""),"Please give a title for each Opportunity value","")</f>
        <v/>
      </c>
      <c r="H30" s="342"/>
      <c r="I30" s="342"/>
      <c r="J30" s="342"/>
      <c r="K30" s="342"/>
      <c r="L30" s="342"/>
      <c r="M30" s="342"/>
      <c r="N30" s="342"/>
      <c r="O30" s="342"/>
      <c r="P30" s="342"/>
      <c r="Q30" s="342"/>
      <c r="R30" s="342"/>
      <c r="S30" s="342"/>
      <c r="T30" s="342"/>
      <c r="U30" s="342"/>
      <c r="V30" s="342"/>
      <c r="W30" s="342"/>
      <c r="X30" s="342"/>
    </row>
    <row r="31" spans="1:24" ht="20.149999999999999" customHeight="1">
      <c r="A31" s="2"/>
      <c r="B31" s="212"/>
      <c r="C31" s="212"/>
      <c r="D31" s="213"/>
      <c r="E31" s="213"/>
      <c r="F31" s="342"/>
      <c r="G31" s="8" t="str">
        <f t="shared" ref="G31:G47" si="1">IF(AND(D31&lt;&gt;0,B31=""),"Please give a title for each Opportunity value","")</f>
        <v/>
      </c>
      <c r="H31" s="342"/>
      <c r="I31" s="342"/>
      <c r="J31" s="342"/>
      <c r="K31" s="342"/>
      <c r="L31" s="342"/>
      <c r="M31" s="342"/>
      <c r="N31" s="342"/>
      <c r="O31" s="342"/>
      <c r="P31" s="342"/>
      <c r="Q31" s="342"/>
      <c r="R31" s="342"/>
      <c r="S31" s="342"/>
      <c r="T31" s="342"/>
      <c r="U31" s="342"/>
      <c r="V31" s="342"/>
      <c r="W31" s="342"/>
      <c r="X31" s="342"/>
    </row>
    <row r="32" spans="1:24" ht="20.149999999999999" customHeight="1">
      <c r="A32" s="2"/>
      <c r="B32" s="212"/>
      <c r="C32" s="212"/>
      <c r="D32" s="213"/>
      <c r="E32" s="213"/>
      <c r="F32" s="342"/>
      <c r="G32" s="8" t="str">
        <f t="shared" si="1"/>
        <v/>
      </c>
      <c r="H32" s="342"/>
      <c r="I32" s="342"/>
      <c r="J32" s="342"/>
      <c r="K32" s="342"/>
      <c r="L32" s="342"/>
      <c r="M32" s="342"/>
      <c r="N32" s="342"/>
      <c r="O32" s="342"/>
      <c r="P32" s="342"/>
      <c r="Q32" s="342"/>
      <c r="R32" s="342"/>
      <c r="S32" s="342"/>
      <c r="T32" s="342"/>
      <c r="U32" s="342"/>
      <c r="V32" s="342"/>
      <c r="W32" s="342"/>
      <c r="X32" s="342"/>
    </row>
    <row r="33" spans="1:24" ht="20.149999999999999" customHeight="1">
      <c r="A33" s="2"/>
      <c r="B33" s="212"/>
      <c r="C33" s="212"/>
      <c r="D33" s="213"/>
      <c r="E33" s="213"/>
      <c r="F33" s="342"/>
      <c r="G33" s="8" t="str">
        <f t="shared" si="1"/>
        <v/>
      </c>
      <c r="H33" s="342"/>
      <c r="I33" s="342"/>
      <c r="J33" s="342"/>
      <c r="K33" s="342"/>
      <c r="L33" s="342"/>
      <c r="M33" s="342"/>
      <c r="N33" s="342"/>
      <c r="O33" s="342"/>
      <c r="P33" s="342"/>
      <c r="Q33" s="342"/>
      <c r="R33" s="342"/>
      <c r="S33" s="342"/>
      <c r="T33" s="342"/>
      <c r="U33" s="342"/>
      <c r="V33" s="342"/>
      <c r="W33" s="342"/>
      <c r="X33" s="342"/>
    </row>
    <row r="34" spans="1:24" ht="20.149999999999999" customHeight="1">
      <c r="A34" s="2"/>
      <c r="B34" s="212"/>
      <c r="C34" s="212"/>
      <c r="D34" s="213"/>
      <c r="E34" s="213"/>
      <c r="F34" s="342"/>
      <c r="G34" s="8" t="str">
        <f t="shared" si="1"/>
        <v/>
      </c>
      <c r="H34" s="342"/>
      <c r="I34" s="342"/>
      <c r="J34" s="342"/>
      <c r="K34" s="342"/>
      <c r="L34" s="342"/>
      <c r="M34" s="342"/>
      <c r="N34" s="342"/>
      <c r="O34" s="342"/>
      <c r="P34" s="342"/>
      <c r="Q34" s="342"/>
      <c r="R34" s="342"/>
      <c r="S34" s="342"/>
      <c r="T34" s="342"/>
      <c r="U34" s="342"/>
      <c r="V34" s="342"/>
      <c r="W34" s="342"/>
      <c r="X34" s="342"/>
    </row>
    <row r="35" spans="1:24" ht="20.149999999999999" customHeight="1">
      <c r="A35" s="2"/>
      <c r="B35" s="212"/>
      <c r="C35" s="212"/>
      <c r="D35" s="213"/>
      <c r="E35" s="213"/>
      <c r="F35" s="342"/>
      <c r="G35" s="8" t="str">
        <f t="shared" si="1"/>
        <v/>
      </c>
      <c r="H35" s="342"/>
      <c r="I35" s="342"/>
      <c r="J35" s="342"/>
      <c r="K35" s="342"/>
      <c r="L35" s="342"/>
      <c r="M35" s="342"/>
      <c r="N35" s="342"/>
      <c r="O35" s="342"/>
      <c r="P35" s="342"/>
      <c r="Q35" s="342"/>
      <c r="R35" s="342"/>
      <c r="S35" s="342"/>
      <c r="T35" s="342"/>
      <c r="U35" s="342"/>
      <c r="V35" s="342"/>
      <c r="W35" s="342"/>
      <c r="X35" s="342"/>
    </row>
    <row r="36" spans="1:24" ht="20.149999999999999" customHeight="1">
      <c r="A36" s="2"/>
      <c r="B36" s="212"/>
      <c r="C36" s="212"/>
      <c r="D36" s="213"/>
      <c r="E36" s="213"/>
      <c r="F36" s="342"/>
      <c r="G36" s="8" t="str">
        <f t="shared" si="1"/>
        <v/>
      </c>
      <c r="H36" s="342"/>
      <c r="I36" s="342"/>
      <c r="J36" s="342"/>
      <c r="K36" s="342"/>
      <c r="L36" s="342"/>
      <c r="M36" s="342"/>
      <c r="N36" s="342"/>
      <c r="O36" s="342"/>
      <c r="P36" s="342"/>
      <c r="Q36" s="342"/>
      <c r="R36" s="342"/>
      <c r="S36" s="342"/>
      <c r="T36" s="342"/>
      <c r="U36" s="342"/>
      <c r="V36" s="342"/>
      <c r="W36" s="342"/>
      <c r="X36" s="342"/>
    </row>
    <row r="37" spans="1:24" ht="20.149999999999999" customHeight="1">
      <c r="A37" s="2"/>
      <c r="B37" s="212"/>
      <c r="C37" s="212"/>
      <c r="D37" s="213"/>
      <c r="E37" s="213"/>
      <c r="F37" s="342"/>
      <c r="G37" s="8" t="str">
        <f t="shared" si="1"/>
        <v/>
      </c>
      <c r="H37" s="342"/>
      <c r="I37" s="342"/>
      <c r="J37" s="342"/>
      <c r="K37" s="342"/>
      <c r="L37" s="342"/>
      <c r="M37" s="342"/>
      <c r="N37" s="342"/>
      <c r="O37" s="342"/>
      <c r="P37" s="342"/>
      <c r="Q37" s="342"/>
      <c r="R37" s="342"/>
      <c r="S37" s="342"/>
      <c r="T37" s="342"/>
      <c r="U37" s="342"/>
      <c r="V37" s="342"/>
      <c r="W37" s="342"/>
      <c r="X37" s="342"/>
    </row>
    <row r="38" spans="1:24" ht="20.149999999999999" customHeight="1">
      <c r="A38" s="2"/>
      <c r="B38" s="212"/>
      <c r="C38" s="212"/>
      <c r="D38" s="213"/>
      <c r="E38" s="213"/>
      <c r="F38" s="342"/>
      <c r="G38" s="8" t="str">
        <f t="shared" si="1"/>
        <v/>
      </c>
      <c r="H38" s="342"/>
      <c r="I38" s="342"/>
      <c r="J38" s="342"/>
      <c r="K38" s="342"/>
      <c r="L38" s="342"/>
      <c r="M38" s="342"/>
      <c r="N38" s="342"/>
      <c r="O38" s="342"/>
      <c r="P38" s="342"/>
      <c r="Q38" s="342"/>
      <c r="R38" s="342"/>
      <c r="S38" s="342"/>
      <c r="T38" s="342"/>
      <c r="U38" s="342"/>
      <c r="V38" s="342"/>
      <c r="W38" s="342"/>
      <c r="X38" s="342"/>
    </row>
    <row r="39" spans="1:24" ht="20.149999999999999" customHeight="1">
      <c r="A39" s="2"/>
      <c r="B39" s="212"/>
      <c r="C39" s="212"/>
      <c r="D39" s="213"/>
      <c r="E39" s="213"/>
      <c r="F39" s="342"/>
      <c r="G39" s="8" t="str">
        <f t="shared" si="1"/>
        <v/>
      </c>
      <c r="H39" s="342"/>
      <c r="I39" s="342"/>
      <c r="J39" s="342"/>
      <c r="K39" s="342"/>
      <c r="L39" s="342"/>
      <c r="M39" s="342"/>
      <c r="N39" s="342"/>
      <c r="O39" s="342"/>
      <c r="P39" s="342"/>
      <c r="Q39" s="342"/>
      <c r="R39" s="342"/>
      <c r="S39" s="342"/>
      <c r="T39" s="342"/>
      <c r="U39" s="342"/>
      <c r="V39" s="342"/>
      <c r="W39" s="342"/>
      <c r="X39" s="342"/>
    </row>
    <row r="40" spans="1:24" ht="20.149999999999999" customHeight="1">
      <c r="A40" s="2"/>
      <c r="B40" s="212"/>
      <c r="C40" s="212"/>
      <c r="D40" s="213"/>
      <c r="E40" s="213"/>
      <c r="F40" s="342"/>
      <c r="G40" s="8" t="str">
        <f t="shared" si="1"/>
        <v/>
      </c>
      <c r="H40" s="342"/>
      <c r="I40" s="342"/>
      <c r="J40" s="342"/>
      <c r="K40" s="342"/>
      <c r="L40" s="342"/>
      <c r="M40" s="342"/>
      <c r="N40" s="342"/>
      <c r="O40" s="342"/>
      <c r="P40" s="342"/>
      <c r="Q40" s="342"/>
      <c r="R40" s="342"/>
      <c r="S40" s="342"/>
      <c r="T40" s="342"/>
      <c r="U40" s="342"/>
      <c r="V40" s="342"/>
      <c r="W40" s="342"/>
      <c r="X40" s="342"/>
    </row>
    <row r="41" spans="1:24" ht="20.149999999999999" customHeight="1">
      <c r="A41" s="2"/>
      <c r="B41" s="212"/>
      <c r="C41" s="212"/>
      <c r="D41" s="213"/>
      <c r="E41" s="213"/>
      <c r="F41" s="342"/>
      <c r="G41" s="8" t="str">
        <f t="shared" si="1"/>
        <v/>
      </c>
      <c r="H41" s="342"/>
      <c r="I41" s="342"/>
      <c r="J41" s="342"/>
      <c r="K41" s="342"/>
      <c r="L41" s="342"/>
      <c r="M41" s="342"/>
      <c r="N41" s="342"/>
      <c r="O41" s="342"/>
      <c r="P41" s="342"/>
      <c r="Q41" s="342"/>
      <c r="R41" s="342"/>
      <c r="S41" s="342"/>
      <c r="T41" s="342"/>
      <c r="U41" s="342"/>
      <c r="V41" s="342"/>
      <c r="W41" s="342"/>
      <c r="X41" s="342"/>
    </row>
    <row r="42" spans="1:24" ht="20.149999999999999" customHeight="1">
      <c r="A42" s="2"/>
      <c r="B42" s="212"/>
      <c r="C42" s="212"/>
      <c r="D42" s="213"/>
      <c r="E42" s="213"/>
      <c r="F42" s="342"/>
      <c r="G42" s="8" t="str">
        <f t="shared" si="1"/>
        <v/>
      </c>
      <c r="H42" s="342"/>
      <c r="I42" s="342"/>
      <c r="J42" s="342"/>
      <c r="K42" s="342"/>
      <c r="L42" s="342"/>
      <c r="M42" s="342"/>
      <c r="N42" s="342"/>
      <c r="O42" s="342"/>
      <c r="P42" s="342"/>
      <c r="Q42" s="342"/>
      <c r="R42" s="342"/>
      <c r="S42" s="342"/>
      <c r="T42" s="342"/>
      <c r="U42" s="342"/>
      <c r="V42" s="342"/>
      <c r="W42" s="342"/>
      <c r="X42" s="342"/>
    </row>
    <row r="43" spans="1:24" ht="20.149999999999999" customHeight="1">
      <c r="A43" s="2"/>
      <c r="B43" s="212"/>
      <c r="C43" s="212"/>
      <c r="D43" s="213"/>
      <c r="E43" s="213"/>
      <c r="F43" s="342"/>
      <c r="G43" s="8" t="str">
        <f t="shared" si="1"/>
        <v/>
      </c>
      <c r="H43" s="342"/>
      <c r="I43" s="342"/>
      <c r="J43" s="342"/>
      <c r="K43" s="342"/>
      <c r="L43" s="342"/>
      <c r="M43" s="342"/>
      <c r="N43" s="342"/>
      <c r="O43" s="342"/>
      <c r="P43" s="342"/>
      <c r="Q43" s="342"/>
      <c r="R43" s="342"/>
      <c r="S43" s="342"/>
      <c r="T43" s="342"/>
      <c r="U43" s="342"/>
      <c r="V43" s="342"/>
      <c r="W43" s="342"/>
      <c r="X43" s="342"/>
    </row>
    <row r="44" spans="1:24" ht="20.149999999999999" customHeight="1">
      <c r="A44" s="2"/>
      <c r="B44" s="212"/>
      <c r="C44" s="212"/>
      <c r="D44" s="213"/>
      <c r="E44" s="213"/>
      <c r="F44" s="342"/>
      <c r="G44" s="8" t="str">
        <f t="shared" si="1"/>
        <v/>
      </c>
      <c r="H44" s="342"/>
      <c r="I44" s="342"/>
      <c r="J44" s="342"/>
      <c r="K44" s="342"/>
      <c r="L44" s="342"/>
      <c r="M44" s="342"/>
      <c r="N44" s="342"/>
      <c r="O44" s="342"/>
      <c r="P44" s="342"/>
      <c r="Q44" s="342"/>
      <c r="R44" s="342"/>
      <c r="S44" s="342"/>
      <c r="T44" s="342"/>
      <c r="U44" s="342"/>
      <c r="V44" s="342"/>
      <c r="W44" s="342"/>
      <c r="X44" s="342"/>
    </row>
    <row r="45" spans="1:24" ht="20.149999999999999" customHeight="1">
      <c r="A45" s="2"/>
      <c r="B45" s="212"/>
      <c r="C45" s="212"/>
      <c r="D45" s="213"/>
      <c r="E45" s="213"/>
      <c r="F45" s="342"/>
      <c r="G45" s="8" t="str">
        <f t="shared" si="1"/>
        <v/>
      </c>
      <c r="H45" s="342"/>
      <c r="I45" s="342"/>
      <c r="J45" s="342"/>
      <c r="K45" s="342"/>
      <c r="L45" s="342"/>
      <c r="M45" s="342"/>
      <c r="N45" s="342"/>
      <c r="O45" s="342"/>
      <c r="P45" s="342"/>
      <c r="Q45" s="342"/>
      <c r="R45" s="342"/>
      <c r="S45" s="342"/>
      <c r="T45" s="342"/>
      <c r="U45" s="342"/>
      <c r="V45" s="342"/>
      <c r="W45" s="342"/>
      <c r="X45" s="342"/>
    </row>
    <row r="46" spans="1:24" ht="20.149999999999999" customHeight="1">
      <c r="A46" s="2"/>
      <c r="B46" s="212"/>
      <c r="C46" s="212"/>
      <c r="D46" s="213"/>
      <c r="E46" s="213"/>
      <c r="F46" s="342"/>
      <c r="G46" s="8" t="str">
        <f t="shared" si="1"/>
        <v/>
      </c>
      <c r="H46" s="342"/>
      <c r="I46" s="342"/>
      <c r="J46" s="342"/>
      <c r="K46" s="342"/>
      <c r="L46" s="342"/>
      <c r="M46" s="342"/>
      <c r="N46" s="342"/>
      <c r="O46" s="342"/>
      <c r="P46" s="342"/>
      <c r="Q46" s="342"/>
      <c r="R46" s="342"/>
      <c r="S46" s="342"/>
      <c r="T46" s="342"/>
      <c r="U46" s="342"/>
      <c r="V46" s="342"/>
      <c r="W46" s="342"/>
      <c r="X46" s="342"/>
    </row>
    <row r="47" spans="1:24" ht="20.149999999999999" customHeight="1">
      <c r="A47" s="2"/>
      <c r="B47" s="214"/>
      <c r="C47" s="214"/>
      <c r="D47" s="213"/>
      <c r="E47" s="213"/>
      <c r="F47" s="342"/>
      <c r="G47" s="8" t="str">
        <f t="shared" si="1"/>
        <v/>
      </c>
      <c r="H47" s="342"/>
      <c r="I47" s="342"/>
      <c r="J47" s="342"/>
      <c r="K47" s="342"/>
      <c r="L47" s="342"/>
      <c r="M47" s="342"/>
      <c r="N47" s="342"/>
      <c r="O47" s="342"/>
      <c r="P47" s="342"/>
      <c r="Q47" s="342"/>
      <c r="R47" s="342"/>
      <c r="S47" s="342"/>
      <c r="T47" s="342"/>
      <c r="U47" s="342"/>
      <c r="V47" s="342"/>
      <c r="W47" s="342"/>
      <c r="X47" s="342"/>
    </row>
    <row r="48" spans="1:24" ht="20.149999999999999" customHeight="1">
      <c r="A48" s="2"/>
      <c r="B48" s="108" t="s">
        <v>921</v>
      </c>
      <c r="C48" s="108"/>
      <c r="D48" s="26">
        <f>SUM(D30:D47)</f>
        <v>0</v>
      </c>
      <c r="E48" s="345"/>
      <c r="F48" s="57"/>
      <c r="G48" s="342">
        <f>COUNTIFS(G8:G47,"Please*")</f>
        <v>3</v>
      </c>
      <c r="H48" s="8"/>
      <c r="I48" s="57"/>
      <c r="J48" s="57"/>
      <c r="K48" s="57"/>
      <c r="L48" s="57"/>
      <c r="M48" s="57"/>
      <c r="N48" s="57"/>
      <c r="O48" s="57"/>
      <c r="P48" s="57"/>
      <c r="Q48" s="57"/>
      <c r="R48" s="57"/>
      <c r="S48" s="57"/>
      <c r="T48" s="57"/>
      <c r="U48" s="57"/>
      <c r="V48" s="57"/>
      <c r="W48" s="57"/>
      <c r="X48" s="57"/>
    </row>
    <row r="49" spans="1:24" ht="15.75" customHeight="1">
      <c r="A49" s="2"/>
      <c r="B49" s="12"/>
      <c r="C49" s="12"/>
      <c r="D49" s="13"/>
      <c r="E49" s="345"/>
      <c r="F49" s="2"/>
      <c r="G49" s="1"/>
      <c r="H49" s="2"/>
      <c r="I49" s="2"/>
      <c r="J49" s="2"/>
      <c r="K49" s="2"/>
      <c r="L49" s="2"/>
      <c r="M49" s="2"/>
      <c r="N49" s="2"/>
      <c r="O49" s="2"/>
      <c r="P49" s="2"/>
      <c r="Q49" s="2"/>
      <c r="R49" s="2"/>
      <c r="S49" s="2"/>
      <c r="T49" s="2"/>
      <c r="U49" s="2"/>
      <c r="V49" s="2"/>
      <c r="W49" s="2"/>
      <c r="X49" s="2"/>
    </row>
    <row r="50" spans="1:24" ht="15.75" customHeight="1">
      <c r="A50" s="2"/>
      <c r="B50" s="108" t="s">
        <v>922</v>
      </c>
      <c r="C50" s="108"/>
      <c r="D50" s="26">
        <f>'F1 - Revenue Plan'!B36</f>
        <v>-50100.11716871924</v>
      </c>
      <c r="E50" s="345"/>
      <c r="F50" s="2"/>
      <c r="G50" s="1"/>
      <c r="H50" s="2"/>
      <c r="I50" s="2"/>
      <c r="J50" s="2"/>
      <c r="K50" s="2"/>
      <c r="L50" s="2"/>
      <c r="M50" s="2"/>
      <c r="N50" s="2"/>
      <c r="O50" s="2"/>
      <c r="P50" s="2"/>
      <c r="Q50" s="2"/>
      <c r="R50" s="2"/>
      <c r="S50" s="2"/>
      <c r="T50" s="2"/>
      <c r="U50" s="2"/>
      <c r="V50" s="2"/>
      <c r="W50" s="2"/>
      <c r="X50" s="2"/>
    </row>
    <row r="51" spans="1:24" ht="15.75" customHeight="1">
      <c r="A51" s="2"/>
      <c r="B51" s="108" t="s">
        <v>923</v>
      </c>
      <c r="C51" s="108"/>
      <c r="D51" s="26">
        <f>D50+'F10 - Risks &amp; Opportunities'!D27</f>
        <v>-107073.57171417378</v>
      </c>
      <c r="E51" s="345"/>
      <c r="F51" s="2"/>
      <c r="G51" s="1"/>
      <c r="H51" s="2"/>
      <c r="I51" s="2"/>
      <c r="J51" s="2"/>
      <c r="K51" s="2"/>
      <c r="L51" s="2"/>
      <c r="M51" s="2"/>
      <c r="N51" s="2"/>
      <c r="O51" s="2"/>
      <c r="P51" s="2"/>
      <c r="Q51" s="2"/>
      <c r="R51" s="2"/>
      <c r="S51" s="2"/>
      <c r="T51" s="2"/>
      <c r="U51" s="2"/>
      <c r="V51" s="2"/>
      <c r="W51" s="2"/>
      <c r="X51" s="2"/>
    </row>
    <row r="52" spans="1:24" ht="15.75" customHeight="1">
      <c r="A52" s="2"/>
      <c r="B52" s="108" t="s">
        <v>924</v>
      </c>
      <c r="C52" s="108"/>
      <c r="D52" s="26">
        <f>+D50+D48</f>
        <v>-50100.11716871924</v>
      </c>
      <c r="E52" s="345"/>
      <c r="F52" s="2"/>
      <c r="G52" s="57">
        <f>COUNTIFS(G1:G51,"Please*")</f>
        <v>3</v>
      </c>
      <c r="H52" s="2"/>
      <c r="I52" s="2"/>
      <c r="J52" s="2"/>
      <c r="K52" s="2"/>
      <c r="L52" s="2"/>
      <c r="M52" s="2"/>
      <c r="N52" s="2"/>
      <c r="O52" s="2"/>
      <c r="P52" s="2"/>
      <c r="Q52" s="2"/>
      <c r="R52" s="2"/>
      <c r="S52" s="2"/>
      <c r="T52" s="2"/>
      <c r="U52" s="2"/>
      <c r="V52" s="2"/>
      <c r="W52" s="2"/>
      <c r="X52" s="2"/>
    </row>
    <row r="53" spans="1:24" ht="15.75" customHeight="1">
      <c r="A53" s="2"/>
      <c r="B53" s="10"/>
      <c r="C53" s="10"/>
      <c r="D53" s="10"/>
      <c r="E53" s="345"/>
      <c r="F53" s="2"/>
      <c r="G53" s="1"/>
      <c r="H53" s="2"/>
      <c r="I53" s="2"/>
      <c r="J53" s="2"/>
      <c r="K53" s="2"/>
      <c r="L53" s="2"/>
      <c r="M53" s="2"/>
      <c r="N53" s="2"/>
      <c r="O53" s="2"/>
      <c r="P53" s="2"/>
      <c r="Q53" s="2"/>
      <c r="R53" s="2"/>
      <c r="S53" s="2"/>
      <c r="T53" s="2"/>
      <c r="U53" s="2"/>
      <c r="V53" s="2"/>
      <c r="W53" s="2"/>
      <c r="X53" s="2"/>
    </row>
    <row r="54" spans="1:24" ht="15.65" customHeight="1">
      <c r="A54" s="13"/>
      <c r="B54" s="13"/>
      <c r="C54" s="13"/>
      <c r="D54" s="13"/>
      <c r="E54" s="346"/>
      <c r="F54" s="2"/>
      <c r="G54" s="1"/>
      <c r="H54" s="2"/>
      <c r="I54" s="2"/>
      <c r="J54" s="2"/>
      <c r="K54" s="2"/>
      <c r="L54" s="2"/>
      <c r="M54" s="2"/>
      <c r="N54" s="2"/>
      <c r="O54" s="2"/>
      <c r="P54" s="2"/>
      <c r="Q54" s="2"/>
      <c r="R54" s="2"/>
      <c r="S54" s="2"/>
      <c r="T54" s="2"/>
      <c r="U54" s="2"/>
      <c r="V54" s="2"/>
      <c r="W54" s="2"/>
      <c r="X54" s="2"/>
    </row>
    <row r="55" spans="1:24" ht="15.65" customHeight="1">
      <c r="A55" s="13"/>
      <c r="B55" s="13"/>
      <c r="C55" s="13"/>
      <c r="D55" s="13"/>
      <c r="E55" s="346"/>
      <c r="F55" s="2"/>
      <c r="G55" s="1"/>
      <c r="H55" s="2"/>
      <c r="I55" s="2"/>
      <c r="J55" s="2"/>
      <c r="K55" s="2"/>
      <c r="L55" s="2"/>
      <c r="M55" s="2"/>
      <c r="N55" s="2"/>
      <c r="O55" s="2"/>
      <c r="P55" s="2"/>
      <c r="Q55" s="2"/>
      <c r="R55" s="2"/>
      <c r="S55" s="2"/>
      <c r="T55" s="2"/>
      <c r="U55" s="2"/>
      <c r="V55" s="2"/>
      <c r="W55" s="2"/>
      <c r="X55" s="2"/>
    </row>
    <row r="56" spans="1:24" ht="15.65" customHeight="1">
      <c r="A56" s="13"/>
      <c r="B56" s="13"/>
      <c r="C56" s="13"/>
      <c r="D56" s="13"/>
      <c r="E56" s="346"/>
      <c r="F56" s="2"/>
      <c r="G56" s="1"/>
      <c r="H56" s="2"/>
      <c r="I56" s="2"/>
      <c r="J56" s="2"/>
      <c r="K56" s="2"/>
      <c r="L56" s="2"/>
      <c r="M56" s="2"/>
      <c r="N56" s="2"/>
      <c r="O56" s="2"/>
      <c r="P56" s="2"/>
      <c r="Q56" s="2"/>
      <c r="R56" s="2"/>
      <c r="S56" s="2"/>
      <c r="T56" s="2"/>
      <c r="U56" s="2"/>
      <c r="V56" s="2"/>
      <c r="W56" s="2"/>
      <c r="X56" s="2"/>
    </row>
    <row r="57" spans="1:24" ht="15.65" customHeight="1">
      <c r="A57" s="13"/>
      <c r="B57" s="13"/>
      <c r="C57" s="13"/>
      <c r="D57" s="13"/>
      <c r="E57" s="346"/>
      <c r="F57" s="2"/>
      <c r="G57" s="1"/>
      <c r="H57" s="2"/>
      <c r="I57" s="2"/>
      <c r="J57" s="2"/>
      <c r="K57" s="2"/>
      <c r="L57" s="2"/>
      <c r="M57" s="2"/>
      <c r="N57" s="2"/>
      <c r="O57" s="2"/>
      <c r="P57" s="2"/>
      <c r="Q57" s="2"/>
      <c r="R57" s="2"/>
      <c r="S57" s="2"/>
      <c r="T57" s="2"/>
      <c r="U57" s="2"/>
      <c r="V57" s="2"/>
      <c r="W57" s="2"/>
      <c r="X57" s="2"/>
    </row>
    <row r="58" spans="1:24" ht="15.65" customHeight="1">
      <c r="A58" s="13"/>
      <c r="B58" s="13"/>
      <c r="C58" s="13"/>
      <c r="D58" s="13"/>
      <c r="E58" s="346"/>
      <c r="F58" s="2"/>
      <c r="G58" s="1"/>
      <c r="H58" s="2"/>
      <c r="I58" s="2"/>
      <c r="J58" s="2"/>
      <c r="K58" s="2"/>
      <c r="L58" s="2"/>
      <c r="M58" s="2"/>
      <c r="N58" s="2"/>
      <c r="O58" s="2"/>
      <c r="P58" s="2"/>
      <c r="Q58" s="2"/>
      <c r="R58" s="2"/>
      <c r="S58" s="2"/>
      <c r="T58" s="2"/>
      <c r="U58" s="2"/>
      <c r="V58" s="2"/>
      <c r="W58" s="2"/>
      <c r="X58" s="2"/>
    </row>
    <row r="59" spans="1:24" ht="15.65" customHeight="1">
      <c r="A59" s="13"/>
      <c r="B59" s="13"/>
      <c r="C59" s="13"/>
      <c r="D59" s="13"/>
      <c r="E59" s="346"/>
      <c r="F59" s="2"/>
      <c r="G59" s="1"/>
      <c r="H59" s="2"/>
      <c r="I59" s="2"/>
      <c r="J59" s="2"/>
      <c r="K59" s="2"/>
      <c r="L59" s="2"/>
      <c r="M59" s="2"/>
      <c r="N59" s="2"/>
      <c r="O59" s="2"/>
      <c r="P59" s="2"/>
      <c r="Q59" s="2"/>
      <c r="R59" s="2"/>
      <c r="S59" s="2"/>
      <c r="T59" s="2"/>
      <c r="U59" s="2"/>
      <c r="V59" s="2"/>
      <c r="W59" s="2"/>
      <c r="X59" s="2"/>
    </row>
    <row r="60" spans="1:24" ht="15.65" customHeight="1">
      <c r="A60" s="13"/>
      <c r="B60" s="13"/>
      <c r="C60" s="13"/>
      <c r="D60" s="13"/>
      <c r="E60" s="346"/>
      <c r="F60" s="2"/>
      <c r="G60" s="1"/>
      <c r="H60" s="2"/>
      <c r="I60" s="2"/>
      <c r="J60" s="2"/>
      <c r="K60" s="2"/>
      <c r="L60" s="2"/>
      <c r="M60" s="2"/>
      <c r="N60" s="2"/>
      <c r="O60" s="2"/>
      <c r="P60" s="2"/>
      <c r="Q60" s="2"/>
      <c r="R60" s="2"/>
      <c r="S60" s="2"/>
      <c r="T60" s="2"/>
      <c r="U60" s="2"/>
      <c r="V60" s="2"/>
      <c r="W60" s="2"/>
      <c r="X60" s="2"/>
    </row>
    <row r="61" spans="1:24" ht="15.65" customHeight="1">
      <c r="A61" s="13"/>
      <c r="B61" s="13"/>
      <c r="C61" s="13"/>
      <c r="D61" s="13"/>
      <c r="E61" s="346"/>
      <c r="F61" s="2"/>
      <c r="G61" s="1"/>
      <c r="H61" s="2"/>
      <c r="I61" s="2"/>
      <c r="J61" s="2"/>
      <c r="K61" s="2"/>
      <c r="L61" s="2"/>
      <c r="M61" s="2"/>
      <c r="N61" s="2"/>
      <c r="O61" s="2"/>
      <c r="P61" s="2"/>
      <c r="Q61" s="2"/>
      <c r="R61" s="2"/>
      <c r="S61" s="2"/>
      <c r="T61" s="2"/>
      <c r="U61" s="2"/>
      <c r="V61" s="2"/>
      <c r="W61" s="2"/>
      <c r="X61" s="2"/>
    </row>
    <row r="62" spans="1:24" ht="15.65" customHeight="1">
      <c r="A62" s="13"/>
      <c r="B62" s="13"/>
      <c r="C62" s="13"/>
      <c r="D62" s="13"/>
      <c r="E62" s="346"/>
      <c r="F62" s="2"/>
      <c r="G62" s="1"/>
      <c r="H62" s="2"/>
      <c r="I62" s="2"/>
      <c r="J62" s="2"/>
      <c r="K62" s="2"/>
      <c r="L62" s="2"/>
      <c r="M62" s="2"/>
      <c r="N62" s="2"/>
      <c r="O62" s="2"/>
      <c r="P62" s="2"/>
      <c r="Q62" s="2"/>
      <c r="R62" s="2"/>
      <c r="S62" s="2"/>
      <c r="T62" s="2"/>
      <c r="U62" s="2"/>
      <c r="V62" s="2"/>
      <c r="W62" s="2"/>
      <c r="X62" s="2"/>
    </row>
    <row r="63" spans="1:24" ht="15.65" customHeight="1">
      <c r="A63" s="13"/>
      <c r="B63" s="13"/>
      <c r="C63" s="13"/>
      <c r="D63" s="13"/>
      <c r="E63" s="346"/>
      <c r="F63" s="2"/>
      <c r="G63" s="1"/>
      <c r="H63" s="2"/>
      <c r="I63" s="2"/>
      <c r="J63" s="2"/>
      <c r="K63" s="2"/>
      <c r="L63" s="2"/>
      <c r="M63" s="2"/>
      <c r="N63" s="2"/>
      <c r="O63" s="2"/>
      <c r="P63" s="2"/>
      <c r="Q63" s="2"/>
      <c r="R63" s="2"/>
      <c r="S63" s="2"/>
      <c r="T63" s="2"/>
      <c r="U63" s="2"/>
      <c r="V63" s="2"/>
      <c r="W63" s="2"/>
      <c r="X63" s="2"/>
    </row>
    <row r="64" spans="1:24" ht="15.65" customHeight="1">
      <c r="A64" s="13"/>
      <c r="B64" s="13"/>
      <c r="C64" s="13"/>
      <c r="D64" s="13"/>
      <c r="E64" s="346"/>
      <c r="F64" s="2"/>
      <c r="G64" s="1"/>
      <c r="H64" s="2"/>
      <c r="I64" s="2"/>
      <c r="J64" s="2"/>
      <c r="K64" s="2"/>
      <c r="L64" s="2"/>
      <c r="M64" s="2"/>
      <c r="N64" s="2"/>
      <c r="O64" s="2"/>
      <c r="P64" s="2"/>
      <c r="Q64" s="2"/>
      <c r="R64" s="2"/>
      <c r="S64" s="2"/>
      <c r="T64" s="2"/>
      <c r="U64" s="2"/>
      <c r="V64" s="2"/>
      <c r="W64" s="2"/>
      <c r="X64" s="2"/>
    </row>
    <row r="65" spans="1:24" ht="15.65" customHeight="1">
      <c r="A65" s="13"/>
      <c r="B65" s="13"/>
      <c r="C65" s="13"/>
      <c r="D65" s="13"/>
      <c r="E65" s="346"/>
      <c r="F65" s="2"/>
      <c r="G65" s="1"/>
      <c r="H65" s="2"/>
      <c r="I65" s="2"/>
      <c r="J65" s="2"/>
      <c r="K65" s="2"/>
      <c r="L65" s="2"/>
      <c r="M65" s="2"/>
      <c r="N65" s="2"/>
      <c r="O65" s="2"/>
      <c r="P65" s="2"/>
      <c r="Q65" s="2"/>
      <c r="R65" s="2"/>
      <c r="S65" s="2"/>
      <c r="T65" s="2"/>
      <c r="U65" s="2"/>
      <c r="V65" s="2"/>
      <c r="W65" s="2"/>
      <c r="X65" s="2"/>
    </row>
    <row r="66" spans="1:24" ht="15.65" customHeight="1">
      <c r="A66" s="13"/>
      <c r="B66" s="13"/>
      <c r="C66" s="13"/>
      <c r="D66" s="13"/>
      <c r="E66" s="346"/>
      <c r="F66" s="2"/>
      <c r="G66" s="1"/>
      <c r="H66" s="2"/>
      <c r="I66" s="2"/>
      <c r="J66" s="2"/>
      <c r="K66" s="2"/>
      <c r="L66" s="2"/>
      <c r="M66" s="2"/>
      <c r="N66" s="2"/>
      <c r="O66" s="2"/>
      <c r="P66" s="2"/>
      <c r="Q66" s="2"/>
      <c r="R66" s="2"/>
      <c r="S66" s="2"/>
      <c r="T66" s="2"/>
      <c r="U66" s="2"/>
      <c r="V66" s="2"/>
      <c r="W66" s="2"/>
      <c r="X66" s="2"/>
    </row>
    <row r="67" spans="1:24" ht="15.65" customHeight="1">
      <c r="A67" s="13"/>
      <c r="B67" s="13"/>
      <c r="C67" s="13"/>
      <c r="D67" s="13"/>
      <c r="E67" s="346"/>
      <c r="F67" s="2"/>
      <c r="G67" s="1"/>
      <c r="H67" s="2"/>
      <c r="I67" s="2"/>
      <c r="J67" s="2"/>
      <c r="K67" s="2"/>
      <c r="L67" s="2"/>
      <c r="M67" s="2"/>
      <c r="N67" s="2"/>
      <c r="O67" s="2"/>
      <c r="P67" s="2"/>
      <c r="Q67" s="2"/>
      <c r="R67" s="2"/>
      <c r="S67" s="2"/>
      <c r="T67" s="2"/>
      <c r="U67" s="2"/>
      <c r="V67" s="2"/>
      <c r="W67" s="2"/>
      <c r="X67" s="2"/>
    </row>
    <row r="68" spans="1:24" ht="15.65" customHeight="1">
      <c r="A68" s="13"/>
      <c r="B68" s="13"/>
      <c r="C68" s="13"/>
      <c r="D68" s="13"/>
      <c r="E68" s="346"/>
      <c r="F68" s="2"/>
      <c r="G68" s="1"/>
      <c r="H68" s="2"/>
      <c r="I68" s="2"/>
      <c r="J68" s="2"/>
      <c r="K68" s="2"/>
      <c r="L68" s="2"/>
      <c r="M68" s="2"/>
      <c r="N68" s="2"/>
      <c r="O68" s="2"/>
      <c r="P68" s="2"/>
      <c r="Q68" s="2"/>
      <c r="R68" s="2"/>
      <c r="S68" s="2"/>
      <c r="T68" s="2"/>
      <c r="U68" s="2"/>
      <c r="V68" s="2"/>
      <c r="W68" s="2"/>
      <c r="X68" s="2"/>
    </row>
    <row r="69" spans="1:24" ht="15.65" customHeight="1">
      <c r="A69" s="13"/>
      <c r="B69" s="13"/>
      <c r="C69" s="13"/>
      <c r="D69" s="13"/>
      <c r="E69" s="346"/>
      <c r="F69" s="2"/>
      <c r="G69" s="1"/>
      <c r="H69" s="2"/>
      <c r="I69" s="2"/>
      <c r="J69" s="2"/>
      <c r="K69" s="2"/>
      <c r="L69" s="2"/>
      <c r="M69" s="2"/>
      <c r="N69" s="2"/>
      <c r="O69" s="2"/>
      <c r="P69" s="2"/>
      <c r="Q69" s="2"/>
      <c r="R69" s="2"/>
      <c r="S69" s="2"/>
      <c r="T69" s="2"/>
      <c r="U69" s="2"/>
      <c r="V69" s="2"/>
      <c r="W69" s="2"/>
      <c r="X69" s="2"/>
    </row>
    <row r="70" spans="1:24" ht="15.65" customHeight="1">
      <c r="A70" s="13"/>
      <c r="B70" s="13"/>
      <c r="C70" s="13"/>
      <c r="D70" s="13"/>
      <c r="E70" s="346"/>
      <c r="F70" s="2"/>
      <c r="G70" s="1"/>
      <c r="H70" s="2"/>
      <c r="I70" s="2"/>
      <c r="J70" s="2"/>
      <c r="K70" s="2"/>
      <c r="L70" s="2"/>
      <c r="M70" s="2"/>
      <c r="N70" s="2"/>
      <c r="O70" s="2"/>
      <c r="P70" s="2"/>
      <c r="Q70" s="2"/>
      <c r="R70" s="2"/>
      <c r="S70" s="2"/>
      <c r="T70" s="2"/>
      <c r="U70" s="2"/>
      <c r="V70" s="2"/>
      <c r="W70" s="2"/>
      <c r="X70" s="2"/>
    </row>
    <row r="71" spans="1:24" ht="15.65" customHeight="1">
      <c r="A71" s="13"/>
      <c r="B71" s="13"/>
      <c r="C71" s="13"/>
      <c r="D71" s="13"/>
      <c r="E71" s="346"/>
      <c r="F71" s="2"/>
      <c r="G71" s="1"/>
      <c r="H71" s="2"/>
      <c r="I71" s="2"/>
      <c r="J71" s="2"/>
      <c r="K71" s="2"/>
      <c r="L71" s="2"/>
      <c r="M71" s="2"/>
      <c r="N71" s="2"/>
      <c r="O71" s="2"/>
      <c r="P71" s="2"/>
      <c r="Q71" s="2"/>
      <c r="R71" s="2"/>
      <c r="S71" s="2"/>
      <c r="T71" s="2"/>
      <c r="U71" s="2"/>
      <c r="V71" s="2"/>
      <c r="W71" s="2"/>
      <c r="X71" s="2"/>
    </row>
    <row r="72" spans="1:24" ht="15.65" customHeight="1">
      <c r="A72" s="13"/>
      <c r="B72" s="13"/>
      <c r="C72" s="13"/>
      <c r="D72" s="13"/>
      <c r="E72" s="346"/>
      <c r="F72" s="2"/>
      <c r="G72" s="1"/>
      <c r="H72" s="2"/>
      <c r="I72" s="2"/>
      <c r="J72" s="2"/>
      <c r="K72" s="2"/>
      <c r="L72" s="2"/>
      <c r="M72" s="2"/>
      <c r="N72" s="2"/>
      <c r="O72" s="2"/>
      <c r="P72" s="2"/>
      <c r="Q72" s="2"/>
      <c r="R72" s="2"/>
      <c r="S72" s="2"/>
      <c r="T72" s="2"/>
      <c r="U72" s="2"/>
      <c r="V72" s="2"/>
      <c r="W72" s="2"/>
      <c r="X72" s="2"/>
    </row>
    <row r="73" spans="1:24" ht="15.65" customHeight="1">
      <c r="A73" s="13"/>
      <c r="B73" s="13"/>
      <c r="C73" s="13"/>
      <c r="D73" s="13"/>
      <c r="E73" s="346"/>
      <c r="F73" s="2"/>
      <c r="G73" s="1"/>
      <c r="H73" s="2"/>
      <c r="I73" s="2"/>
      <c r="J73" s="2"/>
      <c r="K73" s="2"/>
      <c r="L73" s="2"/>
      <c r="M73" s="2"/>
      <c r="N73" s="2"/>
      <c r="O73" s="2"/>
      <c r="P73" s="2"/>
      <c r="Q73" s="2"/>
      <c r="R73" s="2"/>
      <c r="S73" s="2"/>
      <c r="T73" s="2"/>
      <c r="U73" s="2"/>
      <c r="V73" s="2"/>
      <c r="W73" s="2"/>
      <c r="X73" s="2"/>
    </row>
  </sheetData>
  <sheetProtection sheet="1" objects="1" scenarios="1"/>
  <customSheetViews>
    <customSheetView guid="{95B84344-25FE-4A71-9083-825DAB5E8F01}" scale="80">
      <pane ySplit="10" topLeftCell="A29" activePane="bottomLeft" state="frozen"/>
      <selection pane="bottomLeft" activeCell="B35" activeCellId="1" sqref="B13:C31 B35:C52"/>
      <pageMargins left="0" right="0" top="0" bottom="0" header="0" footer="0"/>
      <pageSetup paperSize="9" scale="52" orientation="portrait" r:id="rId1"/>
    </customSheetView>
  </customSheetViews>
  <mergeCells count="3">
    <mergeCell ref="B29:E29"/>
    <mergeCell ref="B2:E3"/>
    <mergeCell ref="B7:E7"/>
  </mergeCells>
  <dataValidations count="3">
    <dataValidation allowBlank="1" showErrorMessage="1" errorTitle="Insufficient Data" error="Please complete the &quot;Overview Of Key Risk Affecting Forecast Outturn&quot; column before inputting data" promptTitle="Insufficient data" prompt="Please complete the &quot;Overview Of Key Risk Affecting Forecast Outturn&quot; column before inputting data" sqref="HV9 RR9 ABN9 ALJ9 AVF9 BFB9 BOX9 BYT9 CIP9 CSL9 DCH9 DMD9 DVZ9 EFV9 EPR9 EZN9 FJJ9 FTF9 GDB9 GMX9 GWT9 HGP9 HQL9 IAH9 IKD9 ITZ9 JDV9 JNR9 JXN9 KHJ9 KRF9 LBB9 LKX9 LUT9 MEP9 MOL9 MYH9 NID9 NRZ9 OBV9 OLR9 OVN9 PFJ9 PPF9 PZB9 QIX9 QST9 RCP9 RML9 RWH9 SGD9 SPZ9 SZV9 TJR9 TTN9 UDJ9 UNF9 UXB9 VGX9 VQT9 WAP9 WKL9 WUH9 HV65543 RR65543 ABN65543 ALJ65543 AVF65543 BFB65543 BOX65543 BYT65543 CIP65543 CSL65543 DCH65543 DMD65543 DVZ65543 EFV65543 EPR65543 EZN65543 FJJ65543 FTF65543 GDB65543 GMX65543 GWT65543 HGP65543 HQL65543 IAH65543 IKD65543 ITZ65543 JDV65543 JNR65543 JXN65543 KHJ65543 KRF65543 LBB65543 LKX65543 LUT65543 MEP65543 MOL65543 MYH65543 NID65543 NRZ65543 OBV65543 OLR65543 OVN65543 PFJ65543 PPF65543 PZB65543 QIX65543 QST65543 RCP65543 RML65543 RWH65543 SGD65543 SPZ65543 SZV65543 TJR65543 TTN65543 UDJ65543 UNF65543 UXB65543 VGX65543 VQT65543 WAP65543 WKL65543 WUH65543 HV131079 RR131079 ABN131079 ALJ131079 AVF131079 BFB131079 BOX131079 BYT131079 CIP131079 CSL131079 DCH131079 DMD131079 DVZ131079 EFV131079 EPR131079 EZN131079 FJJ131079 FTF131079 GDB131079 GMX131079 GWT131079 HGP131079 HQL131079 IAH131079 IKD131079 ITZ131079 JDV131079 JNR131079 JXN131079 KHJ131079 KRF131079 LBB131079 LKX131079 LUT131079 MEP131079 MOL131079 MYH131079 NID131079 NRZ131079 OBV131079 OLR131079 OVN131079 PFJ131079 PPF131079 PZB131079 QIX131079 QST131079 RCP131079 RML131079 RWH131079 SGD131079 SPZ131079 SZV131079 TJR131079 TTN131079 UDJ131079 UNF131079 UXB131079 VGX131079 VQT131079 WAP131079 WKL131079 WUH131079 HV196615 RR196615 ABN196615 ALJ196615 AVF196615 BFB196615 BOX196615 BYT196615 CIP196615 CSL196615 DCH196615 DMD196615 DVZ196615 EFV196615 EPR196615 EZN196615 FJJ196615 FTF196615 GDB196615 GMX196615 GWT196615 HGP196615 HQL196615 IAH196615 IKD196615 ITZ196615 JDV196615 JNR196615 JXN196615 KHJ196615 KRF196615 LBB196615 LKX196615 LUT196615 MEP196615 MOL196615 MYH196615 NID196615 NRZ196615 OBV196615 OLR196615 OVN196615 PFJ196615 PPF196615 PZB196615 QIX196615 QST196615 RCP196615 RML196615 RWH196615 SGD196615 SPZ196615 SZV196615 TJR196615 TTN196615 UDJ196615 UNF196615 UXB196615 VGX196615 VQT196615 WAP196615 WKL196615 WUH196615 HV262151 RR262151 ABN262151 ALJ262151 AVF262151 BFB262151 BOX262151 BYT262151 CIP262151 CSL262151 DCH262151 DMD262151 DVZ262151 EFV262151 EPR262151 EZN262151 FJJ262151 FTF262151 GDB262151 GMX262151 GWT262151 HGP262151 HQL262151 IAH262151 IKD262151 ITZ262151 JDV262151 JNR262151 JXN262151 KHJ262151 KRF262151 LBB262151 LKX262151 LUT262151 MEP262151 MOL262151 MYH262151 NID262151 NRZ262151 OBV262151 OLR262151 OVN262151 PFJ262151 PPF262151 PZB262151 QIX262151 QST262151 RCP262151 RML262151 RWH262151 SGD262151 SPZ262151 SZV262151 TJR262151 TTN262151 UDJ262151 UNF262151 UXB262151 VGX262151 VQT262151 WAP262151 WKL262151 WUH262151 HV327687 RR327687 ABN327687 ALJ327687 AVF327687 BFB327687 BOX327687 BYT327687 CIP327687 CSL327687 DCH327687 DMD327687 DVZ327687 EFV327687 EPR327687 EZN327687 FJJ327687 FTF327687 GDB327687 GMX327687 GWT327687 HGP327687 HQL327687 IAH327687 IKD327687 ITZ327687 JDV327687 JNR327687 JXN327687 KHJ327687 KRF327687 LBB327687 LKX327687 LUT327687 MEP327687 MOL327687 MYH327687 NID327687 NRZ327687 OBV327687 OLR327687 OVN327687 PFJ327687 PPF327687 PZB327687 QIX327687 QST327687 RCP327687 RML327687 RWH327687 SGD327687 SPZ327687 SZV327687 TJR327687 TTN327687 UDJ327687 UNF327687 UXB327687 VGX327687 VQT327687 WAP327687 WKL327687 WUH327687 HV393223 RR393223 ABN393223 ALJ393223 AVF393223 BFB393223 BOX393223 BYT393223 CIP393223 CSL393223 DCH393223 DMD393223 DVZ393223 EFV393223 EPR393223 EZN393223 FJJ393223 FTF393223 GDB393223 GMX393223 GWT393223 HGP393223 HQL393223 IAH393223 IKD393223 ITZ393223 JDV393223 JNR393223 JXN393223 KHJ393223 KRF393223 LBB393223 LKX393223 LUT393223 MEP393223 MOL393223 MYH393223 NID393223 NRZ393223 OBV393223 OLR393223 OVN393223 PFJ393223 PPF393223 PZB393223 QIX393223 QST393223 RCP393223 RML393223 RWH393223 SGD393223 SPZ393223 SZV393223 TJR393223 TTN393223 UDJ393223 UNF393223 UXB393223 VGX393223 VQT393223 WAP393223 WKL393223 WUH393223 HV458759 RR458759 ABN458759 ALJ458759 AVF458759 BFB458759 BOX458759 BYT458759 CIP458759 CSL458759 DCH458759 DMD458759 DVZ458759 EFV458759 EPR458759 EZN458759 FJJ458759 FTF458759 GDB458759 GMX458759 GWT458759 HGP458759 HQL458759 IAH458759 IKD458759 ITZ458759 JDV458759 JNR458759 JXN458759 KHJ458759 KRF458759 LBB458759 LKX458759 LUT458759 MEP458759 MOL458759 MYH458759 NID458759 NRZ458759 OBV458759 OLR458759 OVN458759 PFJ458759 PPF458759 PZB458759 QIX458759 QST458759 RCP458759 RML458759 RWH458759 SGD458759 SPZ458759 SZV458759 TJR458759 TTN458759 UDJ458759 UNF458759 UXB458759 VGX458759 VQT458759 WAP458759 WKL458759 WUH458759 HV524295 RR524295 ABN524295 ALJ524295 AVF524295 BFB524295 BOX524295 BYT524295 CIP524295 CSL524295 DCH524295 DMD524295 DVZ524295 EFV524295 EPR524295 EZN524295 FJJ524295 FTF524295 GDB524295 GMX524295 GWT524295 HGP524295 HQL524295 IAH524295 IKD524295 ITZ524295 JDV524295 JNR524295 JXN524295 KHJ524295 KRF524295 LBB524295 LKX524295 LUT524295 MEP524295 MOL524295 MYH524295 NID524295 NRZ524295 OBV524295 OLR524295 OVN524295 PFJ524295 PPF524295 PZB524295 QIX524295 QST524295 RCP524295 RML524295 RWH524295 SGD524295 SPZ524295 SZV524295 TJR524295 TTN524295 UDJ524295 UNF524295 UXB524295 VGX524295 VQT524295 WAP524295 WKL524295 WUH524295 HV589831 RR589831 ABN589831 ALJ589831 AVF589831 BFB589831 BOX589831 BYT589831 CIP589831 CSL589831 DCH589831 DMD589831 DVZ589831 EFV589831 EPR589831 EZN589831 FJJ589831 FTF589831 GDB589831 GMX589831 GWT589831 HGP589831 HQL589831 IAH589831 IKD589831 ITZ589831 JDV589831 JNR589831 JXN589831 KHJ589831 KRF589831 LBB589831 LKX589831 LUT589831 MEP589831 MOL589831 MYH589831 NID589831 NRZ589831 OBV589831 OLR589831 OVN589831 PFJ589831 PPF589831 PZB589831 QIX589831 QST589831 RCP589831 RML589831 RWH589831 SGD589831 SPZ589831 SZV589831 TJR589831 TTN589831 UDJ589831 UNF589831 UXB589831 VGX589831 VQT589831 WAP589831 WKL589831 WUH589831 HV655367 RR655367 ABN655367 ALJ655367 AVF655367 BFB655367 BOX655367 BYT655367 CIP655367 CSL655367 DCH655367 DMD655367 DVZ655367 EFV655367 EPR655367 EZN655367 FJJ655367 FTF655367 GDB655367 GMX655367 GWT655367 HGP655367 HQL655367 IAH655367 IKD655367 ITZ655367 JDV655367 JNR655367 JXN655367 KHJ655367 KRF655367 LBB655367 LKX655367 LUT655367 MEP655367 MOL655367 MYH655367 NID655367 NRZ655367 OBV655367 OLR655367 OVN655367 PFJ655367 PPF655367 PZB655367 QIX655367 QST655367 RCP655367 RML655367 RWH655367 SGD655367 SPZ655367 SZV655367 TJR655367 TTN655367 UDJ655367 UNF655367 UXB655367 VGX655367 VQT655367 WAP655367 WKL655367 WUH655367 HV720903 RR720903 ABN720903 ALJ720903 AVF720903 BFB720903 BOX720903 BYT720903 CIP720903 CSL720903 DCH720903 DMD720903 DVZ720903 EFV720903 EPR720903 EZN720903 FJJ720903 FTF720903 GDB720903 GMX720903 GWT720903 HGP720903 HQL720903 IAH720903 IKD720903 ITZ720903 JDV720903 JNR720903 JXN720903 KHJ720903 KRF720903 LBB720903 LKX720903 LUT720903 MEP720903 MOL720903 MYH720903 NID720903 NRZ720903 OBV720903 OLR720903 OVN720903 PFJ720903 PPF720903 PZB720903 QIX720903 QST720903 RCP720903 RML720903 RWH720903 SGD720903 SPZ720903 SZV720903 TJR720903 TTN720903 UDJ720903 UNF720903 UXB720903 VGX720903 VQT720903 WAP720903 WKL720903 WUH720903 HV786439 RR786439 ABN786439 ALJ786439 AVF786439 BFB786439 BOX786439 BYT786439 CIP786439 CSL786439 DCH786439 DMD786439 DVZ786439 EFV786439 EPR786439 EZN786439 FJJ786439 FTF786439 GDB786439 GMX786439 GWT786439 HGP786439 HQL786439 IAH786439 IKD786439 ITZ786439 JDV786439 JNR786439 JXN786439 KHJ786439 KRF786439 LBB786439 LKX786439 LUT786439 MEP786439 MOL786439 MYH786439 NID786439 NRZ786439 OBV786439 OLR786439 OVN786439 PFJ786439 PPF786439 PZB786439 QIX786439 QST786439 RCP786439 RML786439 RWH786439 SGD786439 SPZ786439 SZV786439 TJR786439 TTN786439 UDJ786439 UNF786439 UXB786439 VGX786439 VQT786439 WAP786439 WKL786439 WUH786439 HV851975 RR851975 ABN851975 ALJ851975 AVF851975 BFB851975 BOX851975 BYT851975 CIP851975 CSL851975 DCH851975 DMD851975 DVZ851975 EFV851975 EPR851975 EZN851975 FJJ851975 FTF851975 GDB851975 GMX851975 GWT851975 HGP851975 HQL851975 IAH851975 IKD851975 ITZ851975 JDV851975 JNR851975 JXN851975 KHJ851975 KRF851975 LBB851975 LKX851975 LUT851975 MEP851975 MOL851975 MYH851975 NID851975 NRZ851975 OBV851975 OLR851975 OVN851975 PFJ851975 PPF851975 PZB851975 QIX851975 QST851975 RCP851975 RML851975 RWH851975 SGD851975 SPZ851975 SZV851975 TJR851975 TTN851975 UDJ851975 UNF851975 UXB851975 VGX851975 VQT851975 WAP851975 WKL851975 WUH851975 HV917511 RR917511 ABN917511 ALJ917511 AVF917511 BFB917511 BOX917511 BYT917511 CIP917511 CSL917511 DCH917511 DMD917511 DVZ917511 EFV917511 EPR917511 EZN917511 FJJ917511 FTF917511 GDB917511 GMX917511 GWT917511 HGP917511 HQL917511 IAH917511 IKD917511 ITZ917511 JDV917511 JNR917511 JXN917511 KHJ917511 KRF917511 LBB917511 LKX917511 LUT917511 MEP917511 MOL917511 MYH917511 NID917511 NRZ917511 OBV917511 OLR917511 OVN917511 PFJ917511 PPF917511 PZB917511 QIX917511 QST917511 RCP917511 RML917511 RWH917511 SGD917511 SPZ917511 SZV917511 TJR917511 TTN917511 UDJ917511 UNF917511 UXB917511 VGX917511 VQT917511 WAP917511 WKL917511 WUH917511 HV983047 RR983047 ABN983047 ALJ983047 AVF983047 BFB983047 BOX983047 BYT983047 CIP983047 CSL983047 DCH983047 DMD983047 DVZ983047 EFV983047 EPR983047 EZN983047 FJJ983047 FTF983047 GDB983047 GMX983047 GWT983047 HGP983047 HQL983047 IAH983047 IKD983047 ITZ983047 JDV983047 JNR983047 JXN983047 KHJ983047 KRF983047 LBB983047 LKX983047 LUT983047 MEP983047 MOL983047 MYH983047 NID983047 NRZ983047 OBV983047 OLR983047 OVN983047 PFJ983047 PPF983047 PZB983047 QIX983047 QST983047 RCP983047 RML983047 RWH983047 SGD983047 SPZ983047 SZV983047 TJR983047 TTN983047 UDJ983047 UNF983047 UXB983047 VGX983047 VQT983047 WAP983047 WKL983047 WUH983047 HZ9 RV9 ABR9 ALN9 AVJ9 BFF9 BPB9 BYX9 CIT9 CSP9 DCL9 DMH9 DWD9 EFZ9 EPV9 EZR9 FJN9 FTJ9 GDF9 GNB9 GWX9 HGT9 HQP9 IAL9 IKH9 IUD9 JDZ9 JNV9 JXR9 KHN9 KRJ9 LBF9 LLB9 LUX9 MET9 MOP9 MYL9 NIH9 NSD9 OBZ9 OLV9 OVR9 PFN9 PPJ9 PZF9 QJB9 QSX9 RCT9 RMP9 RWL9 SGH9 SQD9 SZZ9 TJV9 TTR9 UDN9 UNJ9 UXF9 VHB9 VQX9 WAT9 WKP9 WUL9 HZ65543 RV65543 ABR65543 ALN65543 AVJ65543 BFF65543 BPB65543 BYX65543 CIT65543 CSP65543 DCL65543 DMH65543 DWD65543 EFZ65543 EPV65543 EZR65543 FJN65543 FTJ65543 GDF65543 GNB65543 GWX65543 HGT65543 HQP65543 IAL65543 IKH65543 IUD65543 JDZ65543 JNV65543 JXR65543 KHN65543 KRJ65543 LBF65543 LLB65543 LUX65543 MET65543 MOP65543 MYL65543 NIH65543 NSD65543 OBZ65543 OLV65543 OVR65543 PFN65543 PPJ65543 PZF65543 QJB65543 QSX65543 RCT65543 RMP65543 RWL65543 SGH65543 SQD65543 SZZ65543 TJV65543 TTR65543 UDN65543 UNJ65543 UXF65543 VHB65543 VQX65543 WAT65543 WKP65543 WUL65543 HZ131079 RV131079 ABR131079 ALN131079 AVJ131079 BFF131079 BPB131079 BYX131079 CIT131079 CSP131079 DCL131079 DMH131079 DWD131079 EFZ131079 EPV131079 EZR131079 FJN131079 FTJ131079 GDF131079 GNB131079 GWX131079 HGT131079 HQP131079 IAL131079 IKH131079 IUD131079 JDZ131079 JNV131079 JXR131079 KHN131079 KRJ131079 LBF131079 LLB131079 LUX131079 MET131079 MOP131079 MYL131079 NIH131079 NSD131079 OBZ131079 OLV131079 OVR131079 PFN131079 PPJ131079 PZF131079 QJB131079 QSX131079 RCT131079 RMP131079 RWL131079 SGH131079 SQD131079 SZZ131079 TJV131079 TTR131079 UDN131079 UNJ131079 UXF131079 VHB131079 VQX131079 WAT131079 WKP131079 WUL131079 HZ196615 RV196615 ABR196615 ALN196615 AVJ196615 BFF196615 BPB196615 BYX196615 CIT196615 CSP196615 DCL196615 DMH196615 DWD196615 EFZ196615 EPV196615 EZR196615 FJN196615 FTJ196615 GDF196615 GNB196615 GWX196615 HGT196615 HQP196615 IAL196615 IKH196615 IUD196615 JDZ196615 JNV196615 JXR196615 KHN196615 KRJ196615 LBF196615 LLB196615 LUX196615 MET196615 MOP196615 MYL196615 NIH196615 NSD196615 OBZ196615 OLV196615 OVR196615 PFN196615 PPJ196615 PZF196615 QJB196615 QSX196615 RCT196615 RMP196615 RWL196615 SGH196615 SQD196615 SZZ196615 TJV196615 TTR196615 UDN196615 UNJ196615 UXF196615 VHB196615 VQX196615 WAT196615 WKP196615 WUL196615 HZ262151 RV262151 ABR262151 ALN262151 AVJ262151 BFF262151 BPB262151 BYX262151 CIT262151 CSP262151 DCL262151 DMH262151 DWD262151 EFZ262151 EPV262151 EZR262151 FJN262151 FTJ262151 GDF262151 GNB262151 GWX262151 HGT262151 HQP262151 IAL262151 IKH262151 IUD262151 JDZ262151 JNV262151 JXR262151 KHN262151 KRJ262151 LBF262151 LLB262151 LUX262151 MET262151 MOP262151 MYL262151 NIH262151 NSD262151 OBZ262151 OLV262151 OVR262151 PFN262151 PPJ262151 PZF262151 QJB262151 QSX262151 RCT262151 RMP262151 RWL262151 SGH262151 SQD262151 SZZ262151 TJV262151 TTR262151 UDN262151 UNJ262151 UXF262151 VHB262151 VQX262151 WAT262151 WKP262151 WUL262151 HZ327687 RV327687 ABR327687 ALN327687 AVJ327687 BFF327687 BPB327687 BYX327687 CIT327687 CSP327687 DCL327687 DMH327687 DWD327687 EFZ327687 EPV327687 EZR327687 FJN327687 FTJ327687 GDF327687 GNB327687 GWX327687 HGT327687 HQP327687 IAL327687 IKH327687 IUD327687 JDZ327687 JNV327687 JXR327687 KHN327687 KRJ327687 LBF327687 LLB327687 LUX327687 MET327687 MOP327687 MYL327687 NIH327687 NSD327687 OBZ327687 OLV327687 OVR327687 PFN327687 PPJ327687 PZF327687 QJB327687 QSX327687 RCT327687 RMP327687 RWL327687 SGH327687 SQD327687 SZZ327687 TJV327687 TTR327687 UDN327687 UNJ327687 UXF327687 VHB327687 VQX327687 WAT327687 WKP327687 WUL327687 HZ393223 RV393223 ABR393223 ALN393223 AVJ393223 BFF393223 BPB393223 BYX393223 CIT393223 CSP393223 DCL393223 DMH393223 DWD393223 EFZ393223 EPV393223 EZR393223 FJN393223 FTJ393223 GDF393223 GNB393223 GWX393223 HGT393223 HQP393223 IAL393223 IKH393223 IUD393223 JDZ393223 JNV393223 JXR393223 KHN393223 KRJ393223 LBF393223 LLB393223 LUX393223 MET393223 MOP393223 MYL393223 NIH393223 NSD393223 OBZ393223 OLV393223 OVR393223 PFN393223 PPJ393223 PZF393223 QJB393223 QSX393223 RCT393223 RMP393223 RWL393223 SGH393223 SQD393223 SZZ393223 TJV393223 TTR393223 UDN393223 UNJ393223 UXF393223 VHB393223 VQX393223 WAT393223 WKP393223 WUL393223 HZ458759 RV458759 ABR458759 ALN458759 AVJ458759 BFF458759 BPB458759 BYX458759 CIT458759 CSP458759 DCL458759 DMH458759 DWD458759 EFZ458759 EPV458759 EZR458759 FJN458759 FTJ458759 GDF458759 GNB458759 GWX458759 HGT458759 HQP458759 IAL458759 IKH458759 IUD458759 JDZ458759 JNV458759 JXR458759 KHN458759 KRJ458759 LBF458759 LLB458759 LUX458759 MET458759 MOP458759 MYL458759 NIH458759 NSD458759 OBZ458759 OLV458759 OVR458759 PFN458759 PPJ458759 PZF458759 QJB458759 QSX458759 RCT458759 RMP458759 RWL458759 SGH458759 SQD458759 SZZ458759 TJV458759 TTR458759 UDN458759 UNJ458759 UXF458759 VHB458759 VQX458759 WAT458759 WKP458759 WUL458759 HZ524295 RV524295 ABR524295 ALN524295 AVJ524295 BFF524295 BPB524295 BYX524295 CIT524295 CSP524295 DCL524295 DMH524295 DWD524295 EFZ524295 EPV524295 EZR524295 FJN524295 FTJ524295 GDF524295 GNB524295 GWX524295 HGT524295 HQP524295 IAL524295 IKH524295 IUD524295 JDZ524295 JNV524295 JXR524295 KHN524295 KRJ524295 LBF524295 LLB524295 LUX524295 MET524295 MOP524295 MYL524295 NIH524295 NSD524295 OBZ524295 OLV524295 OVR524295 PFN524295 PPJ524295 PZF524295 QJB524295 QSX524295 RCT524295 RMP524295 RWL524295 SGH524295 SQD524295 SZZ524295 TJV524295 TTR524295 UDN524295 UNJ524295 UXF524295 VHB524295 VQX524295 WAT524295 WKP524295 WUL524295 HZ589831 RV589831 ABR589831 ALN589831 AVJ589831 BFF589831 BPB589831 BYX589831 CIT589831 CSP589831 DCL589831 DMH589831 DWD589831 EFZ589831 EPV589831 EZR589831 FJN589831 FTJ589831 GDF589831 GNB589831 GWX589831 HGT589831 HQP589831 IAL589831 IKH589831 IUD589831 JDZ589831 JNV589831 JXR589831 KHN589831 KRJ589831 LBF589831 LLB589831 LUX589831 MET589831 MOP589831 MYL589831 NIH589831 NSD589831 OBZ589831 OLV589831 OVR589831 PFN589831 PPJ589831 PZF589831 QJB589831 QSX589831 RCT589831 RMP589831 RWL589831 SGH589831 SQD589831 SZZ589831 TJV589831 TTR589831 UDN589831 UNJ589831 UXF589831 VHB589831 VQX589831 WAT589831 WKP589831 WUL589831 HZ655367 RV655367 ABR655367 ALN655367 AVJ655367 BFF655367 BPB655367 BYX655367 CIT655367 CSP655367 DCL655367 DMH655367 DWD655367 EFZ655367 EPV655367 EZR655367 FJN655367 FTJ655367 GDF655367 GNB655367 GWX655367 HGT655367 HQP655367 IAL655367 IKH655367 IUD655367 JDZ655367 JNV655367 JXR655367 KHN655367 KRJ655367 LBF655367 LLB655367 LUX655367 MET655367 MOP655367 MYL655367 NIH655367 NSD655367 OBZ655367 OLV655367 OVR655367 PFN655367 PPJ655367 PZF655367 QJB655367 QSX655367 RCT655367 RMP655367 RWL655367 SGH655367 SQD655367 SZZ655367 TJV655367 TTR655367 UDN655367 UNJ655367 UXF655367 VHB655367 VQX655367 WAT655367 WKP655367 WUL655367 HZ720903 RV720903 ABR720903 ALN720903 AVJ720903 BFF720903 BPB720903 BYX720903 CIT720903 CSP720903 DCL720903 DMH720903 DWD720903 EFZ720903 EPV720903 EZR720903 FJN720903 FTJ720903 GDF720903 GNB720903 GWX720903 HGT720903 HQP720903 IAL720903 IKH720903 IUD720903 JDZ720903 JNV720903 JXR720903 KHN720903 KRJ720903 LBF720903 LLB720903 LUX720903 MET720903 MOP720903 MYL720903 NIH720903 NSD720903 OBZ720903 OLV720903 OVR720903 PFN720903 PPJ720903 PZF720903 QJB720903 QSX720903 RCT720903 RMP720903 RWL720903 SGH720903 SQD720903 SZZ720903 TJV720903 TTR720903 UDN720903 UNJ720903 UXF720903 VHB720903 VQX720903 WAT720903 WKP720903 WUL720903 HZ786439 RV786439 ABR786439 ALN786439 AVJ786439 BFF786439 BPB786439 BYX786439 CIT786439 CSP786439 DCL786439 DMH786439 DWD786439 EFZ786439 EPV786439 EZR786439 FJN786439 FTJ786439 GDF786439 GNB786439 GWX786439 HGT786439 HQP786439 IAL786439 IKH786439 IUD786439 JDZ786439 JNV786439 JXR786439 KHN786439 KRJ786439 LBF786439 LLB786439 LUX786439 MET786439 MOP786439 MYL786439 NIH786439 NSD786439 OBZ786439 OLV786439 OVR786439 PFN786439 PPJ786439 PZF786439 QJB786439 QSX786439 RCT786439 RMP786439 RWL786439 SGH786439 SQD786439 SZZ786439 TJV786439 TTR786439 UDN786439 UNJ786439 UXF786439 VHB786439 VQX786439 WAT786439 WKP786439 WUL786439 HZ851975 RV851975 ABR851975 ALN851975 AVJ851975 BFF851975 BPB851975 BYX851975 CIT851975 CSP851975 DCL851975 DMH851975 DWD851975 EFZ851975 EPV851975 EZR851975 FJN851975 FTJ851975 GDF851975 GNB851975 GWX851975 HGT851975 HQP851975 IAL851975 IKH851975 IUD851975 JDZ851975 JNV851975 JXR851975 KHN851975 KRJ851975 LBF851975 LLB851975 LUX851975 MET851975 MOP851975 MYL851975 NIH851975 NSD851975 OBZ851975 OLV851975 OVR851975 PFN851975 PPJ851975 PZF851975 QJB851975 QSX851975 RCT851975 RMP851975 RWL851975 SGH851975 SQD851975 SZZ851975 TJV851975 TTR851975 UDN851975 UNJ851975 UXF851975 VHB851975 VQX851975 WAT851975 WKP851975 WUL851975 HZ917511 RV917511 ABR917511 ALN917511 AVJ917511 BFF917511 BPB917511 BYX917511 CIT917511 CSP917511 DCL917511 DMH917511 DWD917511 EFZ917511 EPV917511 EZR917511 FJN917511 FTJ917511 GDF917511 GNB917511 GWX917511 HGT917511 HQP917511 IAL917511 IKH917511 IUD917511 JDZ917511 JNV917511 JXR917511 KHN917511 KRJ917511 LBF917511 LLB917511 LUX917511 MET917511 MOP917511 MYL917511 NIH917511 NSD917511 OBZ917511 OLV917511 OVR917511 PFN917511 PPJ917511 PZF917511 QJB917511 QSX917511 RCT917511 RMP917511 RWL917511 SGH917511 SQD917511 SZZ917511 TJV917511 TTR917511 UDN917511 UNJ917511 UXF917511 VHB917511 VQX917511 WAT917511 WKP917511 WUL917511 HZ983047 RV983047 ABR983047 ALN983047 AVJ983047 BFF983047 BPB983047 BYX983047 CIT983047 CSP983047 DCL983047 DMH983047 DWD983047 EFZ983047 EPV983047 EZR983047 FJN983047 FTJ983047 GDF983047 GNB983047 GWX983047 HGT983047 HQP983047 IAL983047 IKH983047 IUD983047 JDZ983047 JNV983047 JXR983047 KHN983047 KRJ983047 LBF983047 LLB983047 LUX983047 MET983047 MOP983047 MYL983047 NIH983047 NSD983047 OBZ983047 OLV983047 OVR983047 PFN983047 PPJ983047 PZF983047 QJB983047 QSX983047 RCT983047 RMP983047 RWL983047 SGH983047 SQD983047 SZZ983047 TJV983047 TTR983047 UDN983047 UNJ983047 UXF983047 VHB983047 VQX983047 WAT983047 WKP983047 WUL983047 D65444 D130980 D196516 D262052 D327588 D393124 D458660 D524196 D589732 D655268 D720804 D786340 D851876 D917412 D982948" xr:uid="{00000000-0002-0000-1F00-000000000000}"/>
    <dataValidation type="decimal" errorStyle="information" operator="lessThanOrEqual" allowBlank="1" showInputMessage="1" showErrorMessage="1" errorTitle="Information:" error="Please enter risks as negative." sqref="D8:D22" xr:uid="{00000000-0002-0000-1F00-000001000000}">
      <formula1>0</formula1>
    </dataValidation>
    <dataValidation type="decimal" errorStyle="information" operator="greaterThanOrEqual" allowBlank="1" showInputMessage="1" showErrorMessage="1" errorTitle="Information" error="Please enter opportunities as positive values." sqref="D30:D47" xr:uid="{00000000-0002-0000-1F00-000002000000}">
      <formula1>0</formula1>
    </dataValidation>
  </dataValidations>
  <pageMargins left="0.25" right="0.25" top="0.75" bottom="0.75" header="0.3" footer="0.3"/>
  <pageSetup paperSize="9" scale="73" orientation="portrait" r:id="rId2"/>
  <headerFooter>
    <oddHeader>&amp;C&amp;A</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0.499984740745262"/>
  </sheetPr>
  <dimension ref="A1:W141"/>
  <sheetViews>
    <sheetView zoomScaleNormal="70" workbookViewId="0">
      <pane ySplit="1" topLeftCell="A106" activePane="bottomLeft" state="frozen"/>
      <selection pane="bottomLeft" activeCell="H121" sqref="H121"/>
    </sheetView>
  </sheetViews>
  <sheetFormatPr defaultColWidth="6.23046875" defaultRowHeight="14"/>
  <cols>
    <col min="1" max="1" width="4" style="234" customWidth="1"/>
    <col min="2" max="2" width="11.23046875" style="234" customWidth="1"/>
    <col min="3" max="3" width="13.765625" style="235" customWidth="1"/>
    <col min="4" max="5" width="11.765625" style="234" customWidth="1"/>
    <col min="6" max="6" width="26.765625" style="234" customWidth="1"/>
    <col min="7" max="7" width="9.07421875" style="234" customWidth="1"/>
    <col min="8" max="17" width="8.3046875" style="233" customWidth="1"/>
    <col min="18" max="18" width="6.23046875" style="233"/>
    <col min="19" max="21" width="13.23046875" style="233" customWidth="1"/>
    <col min="22" max="16384" width="6.23046875" style="233"/>
  </cols>
  <sheetData>
    <row r="1" spans="1:23" s="237" customFormat="1" ht="70">
      <c r="A1" s="236" t="s">
        <v>176</v>
      </c>
      <c r="B1" s="236" t="s">
        <v>177</v>
      </c>
      <c r="C1" s="238" t="s">
        <v>178</v>
      </c>
      <c r="D1" s="236" t="s">
        <v>179</v>
      </c>
      <c r="E1" s="236" t="s">
        <v>180</v>
      </c>
      <c r="F1" s="236" t="s">
        <v>181</v>
      </c>
      <c r="G1" s="236" t="s">
        <v>925</v>
      </c>
      <c r="H1" s="251" t="s">
        <v>926</v>
      </c>
      <c r="I1" s="251" t="s">
        <v>927</v>
      </c>
      <c r="J1" s="251" t="s">
        <v>928</v>
      </c>
      <c r="K1" s="251" t="s">
        <v>929</v>
      </c>
      <c r="L1" s="251" t="s">
        <v>930</v>
      </c>
      <c r="M1" s="251" t="s">
        <v>931</v>
      </c>
      <c r="N1" s="237" t="s">
        <v>360</v>
      </c>
      <c r="O1" s="251" t="s">
        <v>932</v>
      </c>
      <c r="P1" s="251" t="s">
        <v>933</v>
      </c>
      <c r="Q1" s="251" t="s">
        <v>934</v>
      </c>
      <c r="R1" s="237" t="s">
        <v>935</v>
      </c>
      <c r="S1" s="237" t="s">
        <v>936</v>
      </c>
      <c r="T1" s="237" t="s">
        <v>937</v>
      </c>
      <c r="U1" s="237" t="s">
        <v>938</v>
      </c>
      <c r="V1" s="237" t="s">
        <v>40</v>
      </c>
      <c r="W1" s="237" t="s">
        <v>939</v>
      </c>
    </row>
    <row r="2" spans="1:23">
      <c r="A2" s="234" t="str">
        <f>'Front Sheet and Checklist'!$C$5</f>
        <v>Swansea Bay UHB</v>
      </c>
      <c r="B2" s="234" t="s">
        <v>940</v>
      </c>
      <c r="C2" s="235" t="str">
        <f>'F11 - Capital Data'!$B$8</f>
        <v>DISCRETIONARY CAPITAL SPEND</v>
      </c>
      <c r="D2" s="235"/>
      <c r="E2" s="235" t="s">
        <v>941</v>
      </c>
      <c r="F2" s="235" t="str">
        <f>'F11 - Capital Data'!B9</f>
        <v>IT</v>
      </c>
      <c r="G2" s="235"/>
      <c r="H2" s="235">
        <f>'F11 - Capital Data'!C9</f>
        <v>1.976</v>
      </c>
      <c r="I2" s="235" t="str">
        <f>'F11 - Capital Data'!D9</f>
        <v>N/A</v>
      </c>
      <c r="J2" s="235" t="str">
        <f>'F11 - Capital Data'!E9</f>
        <v>N/A</v>
      </c>
      <c r="K2" s="235" t="str">
        <f>'F11 - Capital Data'!F9</f>
        <v>N/A</v>
      </c>
      <c r="L2" s="235" t="str">
        <f>'F11 - Capital Data'!G9</f>
        <v>N/A</v>
      </c>
      <c r="M2" s="235" t="str">
        <f>'F11 - Capital Data'!H9</f>
        <v>N/A</v>
      </c>
      <c r="N2" s="235">
        <f>'F11 - Capital Data'!I9</f>
        <v>0</v>
      </c>
      <c r="O2" s="235" t="str">
        <f>'F11 - Capital Data'!K9</f>
        <v>N/A</v>
      </c>
      <c r="P2" s="235" t="str">
        <f>'F11 - Capital Data'!L9</f>
        <v>N/A</v>
      </c>
      <c r="Q2" s="235" t="str">
        <f>'F11 - Capital Data'!M9</f>
        <v>N/A</v>
      </c>
      <c r="R2" s="235" t="str">
        <f>'F11 - Capital Data'!N9</f>
        <v>N/A</v>
      </c>
      <c r="S2" s="235" t="str">
        <f>'F11 - Capital Data'!O9</f>
        <v>N/A</v>
      </c>
      <c r="T2" s="235" t="str">
        <f>'F11 - Capital Data'!P9</f>
        <v>N/A</v>
      </c>
      <c r="U2" s="235" t="str">
        <f>'F11 - Capital Data'!Q9</f>
        <v>N/A</v>
      </c>
    </row>
    <row r="3" spans="1:23">
      <c r="A3" s="234" t="str">
        <f>'Front Sheet and Checklist'!$C$5</f>
        <v>Swansea Bay UHB</v>
      </c>
      <c r="B3" s="234" t="s">
        <v>940</v>
      </c>
      <c r="C3" s="235" t="str">
        <f>'F11 - Capital Data'!$B$8</f>
        <v>DISCRETIONARY CAPITAL SPEND</v>
      </c>
      <c r="D3" s="235"/>
      <c r="E3" s="235" t="s">
        <v>941</v>
      </c>
      <c r="F3" s="235" t="str">
        <f>'F11 - Capital Data'!B10</f>
        <v>Equipment</v>
      </c>
      <c r="G3" s="235"/>
      <c r="H3" s="235">
        <f>'F11 - Capital Data'!C10</f>
        <v>1.0609999999999999</v>
      </c>
      <c r="I3" s="235" t="str">
        <f>'F11 - Capital Data'!D10</f>
        <v>N/A</v>
      </c>
      <c r="J3" s="235" t="str">
        <f>'F11 - Capital Data'!E10</f>
        <v>N/A</v>
      </c>
      <c r="K3" s="235" t="str">
        <f>'F11 - Capital Data'!F10</f>
        <v>N/A</v>
      </c>
      <c r="L3" s="235" t="str">
        <f>'F11 - Capital Data'!G10</f>
        <v>N/A</v>
      </c>
      <c r="M3" s="235" t="str">
        <f>'F11 - Capital Data'!H10</f>
        <v>N/A</v>
      </c>
      <c r="N3" s="235">
        <f>'F11 - Capital Data'!I10</f>
        <v>0</v>
      </c>
      <c r="O3" s="235" t="str">
        <f>'F11 - Capital Data'!K10</f>
        <v>N/A</v>
      </c>
      <c r="P3" s="235" t="str">
        <f>'F11 - Capital Data'!L10</f>
        <v>N/A</v>
      </c>
      <c r="Q3" s="235" t="str">
        <f>'F11 - Capital Data'!M10</f>
        <v>N/A</v>
      </c>
      <c r="R3" s="235" t="str">
        <f>'F11 - Capital Data'!N10</f>
        <v>N/A</v>
      </c>
      <c r="S3" s="235" t="str">
        <f>'F11 - Capital Data'!O10</f>
        <v>N/A</v>
      </c>
      <c r="T3" s="235" t="str">
        <f>'F11 - Capital Data'!P10</f>
        <v>N/A</v>
      </c>
      <c r="U3" s="235" t="str">
        <f>'F11 - Capital Data'!Q10</f>
        <v>N/A</v>
      </c>
    </row>
    <row r="4" spans="1:23">
      <c r="A4" s="234" t="str">
        <f>'Front Sheet and Checklist'!$C$5</f>
        <v>Swansea Bay UHB</v>
      </c>
      <c r="B4" s="234" t="s">
        <v>940</v>
      </c>
      <c r="C4" s="235" t="str">
        <f>'F11 - Capital Data'!$B$8</f>
        <v>DISCRETIONARY CAPITAL SPEND</v>
      </c>
      <c r="D4" s="235"/>
      <c r="E4" s="235" t="s">
        <v>941</v>
      </c>
      <c r="F4" s="235" t="str">
        <f>'F11 - Capital Data'!B11</f>
        <v>Statutory Compliance</v>
      </c>
      <c r="G4" s="235"/>
      <c r="H4" s="235">
        <f>'F11 - Capital Data'!C11</f>
        <v>0</v>
      </c>
      <c r="I4" s="235" t="str">
        <f>'F11 - Capital Data'!D11</f>
        <v>N/A</v>
      </c>
      <c r="J4" s="235" t="str">
        <f>'F11 - Capital Data'!E11</f>
        <v>N/A</v>
      </c>
      <c r="K4" s="235" t="str">
        <f>'F11 - Capital Data'!F11</f>
        <v>N/A</v>
      </c>
      <c r="L4" s="235" t="str">
        <f>'F11 - Capital Data'!G11</f>
        <v>N/A</v>
      </c>
      <c r="M4" s="235" t="str">
        <f>'F11 - Capital Data'!H11</f>
        <v>N/A</v>
      </c>
      <c r="N4" s="235">
        <f>'F11 - Capital Data'!I11</f>
        <v>0</v>
      </c>
      <c r="O4" s="235" t="str">
        <f>'F11 - Capital Data'!K11</f>
        <v>N/A</v>
      </c>
      <c r="P4" s="235" t="str">
        <f>'F11 - Capital Data'!L11</f>
        <v>N/A</v>
      </c>
      <c r="Q4" s="235" t="str">
        <f>'F11 - Capital Data'!M11</f>
        <v>N/A</v>
      </c>
      <c r="R4" s="235" t="str">
        <f>'F11 - Capital Data'!N11</f>
        <v>N/A</v>
      </c>
      <c r="S4" s="235" t="str">
        <f>'F11 - Capital Data'!O11</f>
        <v>N/A</v>
      </c>
      <c r="T4" s="235" t="str">
        <f>'F11 - Capital Data'!P11</f>
        <v>N/A</v>
      </c>
      <c r="U4" s="235" t="str">
        <f>'F11 - Capital Data'!Q11</f>
        <v>N/A</v>
      </c>
    </row>
    <row r="5" spans="1:23">
      <c r="A5" s="234" t="str">
        <f>'Front Sheet and Checklist'!$C$5</f>
        <v>Swansea Bay UHB</v>
      </c>
      <c r="B5" s="234" t="s">
        <v>940</v>
      </c>
      <c r="C5" s="235" t="str">
        <f>'F11 - Capital Data'!$B$8</f>
        <v>DISCRETIONARY CAPITAL SPEND</v>
      </c>
      <c r="D5" s="235"/>
      <c r="E5" s="235" t="s">
        <v>941</v>
      </c>
      <c r="F5" s="235" t="str">
        <f>'F11 - Capital Data'!B12</f>
        <v>Estates</v>
      </c>
      <c r="G5" s="235"/>
      <c r="H5" s="235">
        <f>'F11 - Capital Data'!C12</f>
        <v>7.4930000000000003</v>
      </c>
      <c r="I5" s="235" t="str">
        <f>'F11 - Capital Data'!D12</f>
        <v>N/A</v>
      </c>
      <c r="J5" s="235" t="str">
        <f>'F11 - Capital Data'!E12</f>
        <v>N/A</v>
      </c>
      <c r="K5" s="235" t="str">
        <f>'F11 - Capital Data'!F12</f>
        <v>N/A</v>
      </c>
      <c r="L5" s="235" t="str">
        <f>'F11 - Capital Data'!G12</f>
        <v>N/A</v>
      </c>
      <c r="M5" s="235" t="str">
        <f>'F11 - Capital Data'!H12</f>
        <v>N/A</v>
      </c>
      <c r="N5" s="235">
        <f>'F11 - Capital Data'!I12</f>
        <v>0</v>
      </c>
      <c r="O5" s="235" t="str">
        <f>'F11 - Capital Data'!K12</f>
        <v>N/A</v>
      </c>
      <c r="P5" s="235" t="str">
        <f>'F11 - Capital Data'!L12</f>
        <v>N/A</v>
      </c>
      <c r="Q5" s="235" t="str">
        <f>'F11 - Capital Data'!M12</f>
        <v>N/A</v>
      </c>
      <c r="R5" s="235" t="str">
        <f>'F11 - Capital Data'!N12</f>
        <v>N/A</v>
      </c>
      <c r="S5" s="235" t="str">
        <f>'F11 - Capital Data'!O12</f>
        <v>N/A</v>
      </c>
      <c r="T5" s="235" t="str">
        <f>'F11 - Capital Data'!P12</f>
        <v>N/A</v>
      </c>
      <c r="U5" s="235" t="str">
        <f>'F11 - Capital Data'!Q12</f>
        <v>N/A</v>
      </c>
    </row>
    <row r="6" spans="1:23">
      <c r="A6" s="234" t="str">
        <f>'Front Sheet and Checklist'!$C$5</f>
        <v>Swansea Bay UHB</v>
      </c>
      <c r="B6" s="234" t="s">
        <v>940</v>
      </c>
      <c r="C6" s="235" t="str">
        <f>'F11 - Capital Data'!$B$8</f>
        <v>DISCRETIONARY CAPITAL SPEND</v>
      </c>
      <c r="D6" s="235"/>
      <c r="E6" s="235" t="s">
        <v>941</v>
      </c>
      <c r="F6" s="235" t="str">
        <f>'F11 - Capital Data'!B13</f>
        <v>Other</v>
      </c>
      <c r="G6" s="235"/>
      <c r="H6" s="235">
        <f>'F11 - Capital Data'!C13</f>
        <v>0</v>
      </c>
      <c r="I6" s="235" t="str">
        <f>'F11 - Capital Data'!D13</f>
        <v>N/A</v>
      </c>
      <c r="J6" s="235" t="str">
        <f>'F11 - Capital Data'!E13</f>
        <v>N/A</v>
      </c>
      <c r="K6" s="235" t="str">
        <f>'F11 - Capital Data'!F13</f>
        <v>N/A</v>
      </c>
      <c r="L6" s="235" t="str">
        <f>'F11 - Capital Data'!G13</f>
        <v>N/A</v>
      </c>
      <c r="M6" s="235" t="str">
        <f>'F11 - Capital Data'!H13</f>
        <v>N/A</v>
      </c>
      <c r="N6" s="235">
        <f>'F11 - Capital Data'!I13</f>
        <v>0</v>
      </c>
      <c r="O6" s="235" t="str">
        <f>'F11 - Capital Data'!K13</f>
        <v>N/A</v>
      </c>
      <c r="P6" s="235" t="str">
        <f>'F11 - Capital Data'!L13</f>
        <v>N/A</v>
      </c>
      <c r="Q6" s="235" t="str">
        <f>'F11 - Capital Data'!M13</f>
        <v>N/A</v>
      </c>
      <c r="R6" s="235" t="str">
        <f>'F11 - Capital Data'!N13</f>
        <v>N/A</v>
      </c>
      <c r="S6" s="235" t="str">
        <f>'F11 - Capital Data'!O13</f>
        <v>N/A</v>
      </c>
      <c r="T6" s="235" t="str">
        <f>'F11 - Capital Data'!P13</f>
        <v>N/A</v>
      </c>
      <c r="U6" s="235" t="str">
        <f>'F11 - Capital Data'!Q13</f>
        <v>N/A</v>
      </c>
    </row>
    <row r="7" spans="1:23">
      <c r="A7" s="234" t="str">
        <f>'Front Sheet and Checklist'!$C$5</f>
        <v>Swansea Bay UHB</v>
      </c>
      <c r="B7" s="234" t="s">
        <v>940</v>
      </c>
      <c r="C7" s="235" t="str">
        <f>'F11 - Capital Data'!$B$8</f>
        <v>DISCRETIONARY CAPITAL SPEND</v>
      </c>
      <c r="D7" s="235"/>
      <c r="E7" s="235" t="s">
        <v>268</v>
      </c>
      <c r="F7" s="235" t="str">
        <f>'F11 - Capital Data'!B14</f>
        <v>SUB TOTAL DISCRETIONARY EXPENDITURE</v>
      </c>
      <c r="G7" s="235"/>
      <c r="H7" s="235">
        <f>'F11 - Capital Data'!C14</f>
        <v>10.530000000000001</v>
      </c>
      <c r="I7" s="235" t="str">
        <f>'F11 - Capital Data'!D14</f>
        <v>N/A</v>
      </c>
      <c r="J7" s="235" t="str">
        <f>'F11 - Capital Data'!E14</f>
        <v>N/A</v>
      </c>
      <c r="K7" s="235" t="str">
        <f>'F11 - Capital Data'!F14</f>
        <v>N/A</v>
      </c>
      <c r="L7" s="235" t="str">
        <f>'F11 - Capital Data'!G14</f>
        <v>N/A</v>
      </c>
      <c r="M7" s="235" t="str">
        <f>'F11 - Capital Data'!H14</f>
        <v>N/A</v>
      </c>
      <c r="N7" s="235">
        <f>'F11 - Capital Data'!I14</f>
        <v>0</v>
      </c>
      <c r="O7" s="235">
        <f>'F11 - Capital Data'!K14</f>
        <v>0</v>
      </c>
      <c r="P7" s="235">
        <f>'F11 - Capital Data'!L14</f>
        <v>0</v>
      </c>
      <c r="Q7" s="235">
        <f>'F11 - Capital Data'!M14</f>
        <v>0</v>
      </c>
      <c r="R7" s="235">
        <f>'F11 - Capital Data'!N14</f>
        <v>0</v>
      </c>
      <c r="S7" s="235">
        <f>'F11 - Capital Data'!O14</f>
        <v>0</v>
      </c>
      <c r="T7" s="235">
        <f>'F11 - Capital Data'!P14</f>
        <v>0</v>
      </c>
      <c r="U7" s="235">
        <f>'F11 - Capital Data'!Q14</f>
        <v>0</v>
      </c>
    </row>
    <row r="8" spans="1:23">
      <c r="A8" s="234" t="str">
        <f>'Front Sheet and Checklist'!$C$5</f>
        <v>Swansea Bay UHB</v>
      </c>
      <c r="B8" s="234" t="s">
        <v>940</v>
      </c>
      <c r="C8" s="235" t="str">
        <f>'F11 - Capital Data'!$B$8</f>
        <v>DISCRETIONARY CAPITAL SPEND</v>
      </c>
      <c r="D8" s="235"/>
      <c r="E8" s="235" t="s">
        <v>941</v>
      </c>
      <c r="F8" s="235">
        <f>'F11 - Capital Data'!B15</f>
        <v>0</v>
      </c>
      <c r="G8" s="235"/>
      <c r="H8" s="235">
        <f>'F11 - Capital Data'!C15</f>
        <v>0</v>
      </c>
      <c r="I8" s="235">
        <f>'F11 - Capital Data'!D15</f>
        <v>0</v>
      </c>
      <c r="J8" s="235">
        <f>'F11 - Capital Data'!E15</f>
        <v>0</v>
      </c>
      <c r="K8" s="235">
        <f>'F11 - Capital Data'!F15</f>
        <v>0</v>
      </c>
      <c r="L8" s="235">
        <f>'F11 - Capital Data'!G15</f>
        <v>0</v>
      </c>
      <c r="M8" s="235">
        <f>'F11 - Capital Data'!H15</f>
        <v>0</v>
      </c>
      <c r="N8" s="235">
        <f>'F11 - Capital Data'!I15</f>
        <v>0</v>
      </c>
      <c r="O8" s="235">
        <f>'F11 - Capital Data'!K15</f>
        <v>0</v>
      </c>
      <c r="P8" s="235">
        <f>'F11 - Capital Data'!L15</f>
        <v>0</v>
      </c>
      <c r="Q8" s="235">
        <f>'F11 - Capital Data'!M15</f>
        <v>0</v>
      </c>
      <c r="R8" s="235">
        <f>'F11 - Capital Data'!N15</f>
        <v>0</v>
      </c>
      <c r="S8" s="235">
        <f>'F11 - Capital Data'!O15</f>
        <v>0</v>
      </c>
      <c r="T8" s="235">
        <f>'F11 - Capital Data'!P15</f>
        <v>0</v>
      </c>
      <c r="U8" s="235">
        <f>'F11 - Capital Data'!Q15</f>
        <v>0</v>
      </c>
    </row>
    <row r="9" spans="1:23">
      <c r="A9" s="234" t="str">
        <f>'Front Sheet and Checklist'!$C$5</f>
        <v>Swansea Bay UHB</v>
      </c>
      <c r="B9" s="234" t="s">
        <v>940</v>
      </c>
      <c r="C9" s="235" t="str">
        <f>'F11 - Capital Data'!$B$16</f>
        <v xml:space="preserve"> NBV OF DISPOSALS (NEGATIVE)</v>
      </c>
      <c r="D9" s="235"/>
      <c r="E9" s="235" t="s">
        <v>941</v>
      </c>
      <c r="F9" s="235" t="str">
        <f>'F11 - Capital Data'!B16</f>
        <v xml:space="preserve"> NBV OF DISPOSALS (NEGATIVE)</v>
      </c>
      <c r="G9" s="235"/>
      <c r="H9" s="235">
        <f>'F11 - Capital Data'!C16</f>
        <v>0</v>
      </c>
      <c r="I9" s="235">
        <f>'F11 - Capital Data'!D16</f>
        <v>0</v>
      </c>
      <c r="J9" s="235">
        <f>'F11 - Capital Data'!E16</f>
        <v>0</v>
      </c>
      <c r="K9" s="235">
        <f>'F11 - Capital Data'!F16</f>
        <v>0</v>
      </c>
      <c r="L9" s="235">
        <f>'F11 - Capital Data'!G16</f>
        <v>0</v>
      </c>
      <c r="M9" s="235">
        <f>'F11 - Capital Data'!H16</f>
        <v>0</v>
      </c>
      <c r="N9" s="235">
        <f>'F11 - Capital Data'!I16</f>
        <v>0</v>
      </c>
      <c r="O9" s="235">
        <f>'F11 - Capital Data'!K16</f>
        <v>0</v>
      </c>
      <c r="P9" s="235">
        <f>'F11 - Capital Data'!L16</f>
        <v>0</v>
      </c>
      <c r="Q9" s="235">
        <f>'F11 - Capital Data'!M16</f>
        <v>0</v>
      </c>
      <c r="R9" s="235">
        <f>'F11 - Capital Data'!N16</f>
        <v>0</v>
      </c>
      <c r="S9" s="235">
        <f>'F11 - Capital Data'!O16</f>
        <v>0</v>
      </c>
      <c r="T9" s="235">
        <f>'F11 - Capital Data'!P16</f>
        <v>0</v>
      </c>
      <c r="U9" s="235">
        <f>'F11 - Capital Data'!Q16</f>
        <v>0</v>
      </c>
    </row>
    <row r="10" spans="1:23">
      <c r="A10" s="234" t="str">
        <f>'Front Sheet and Checklist'!$C$5</f>
        <v>Swansea Bay UHB</v>
      </c>
      <c r="B10" s="234" t="s">
        <v>940</v>
      </c>
      <c r="C10" s="235" t="str">
        <f>'F11 - Capital Data'!$B$16</f>
        <v xml:space="preserve"> NBV OF DISPOSALS (NEGATIVE)</v>
      </c>
      <c r="D10" s="235"/>
      <c r="E10" s="235" t="s">
        <v>941</v>
      </c>
      <c r="F10" s="235" t="str">
        <f>'F11 - Capital Data'!B17</f>
        <v>Garngoch</v>
      </c>
      <c r="G10" s="235"/>
      <c r="H10" s="235">
        <f>'F11 - Capital Data'!C17</f>
        <v>-0.2</v>
      </c>
      <c r="I10" s="235" t="str">
        <f>'F11 - Capital Data'!D17</f>
        <v>N/A</v>
      </c>
      <c r="J10" s="235" t="str">
        <f>'F11 - Capital Data'!E17</f>
        <v>N/A</v>
      </c>
      <c r="K10" s="235" t="str">
        <f>'F11 - Capital Data'!F17</f>
        <v>N/A</v>
      </c>
      <c r="L10" s="235" t="str">
        <f>'F11 - Capital Data'!G17</f>
        <v>N/A</v>
      </c>
      <c r="M10" s="235" t="str">
        <f>'F11 - Capital Data'!H17</f>
        <v>N/A</v>
      </c>
      <c r="N10" s="235">
        <f>'F11 - Capital Data'!I17</f>
        <v>0</v>
      </c>
      <c r="O10" s="235" t="str">
        <f>'F11 - Capital Data'!K17</f>
        <v>N/A</v>
      </c>
      <c r="P10" s="235" t="str">
        <f>'F11 - Capital Data'!L17</f>
        <v>N/A</v>
      </c>
      <c r="Q10" s="235" t="str">
        <f>'F11 - Capital Data'!M17</f>
        <v>N/A</v>
      </c>
      <c r="R10" s="235" t="str">
        <f>'F11 - Capital Data'!N17</f>
        <v>N/A</v>
      </c>
      <c r="S10" s="235" t="str">
        <f>'F11 - Capital Data'!O17</f>
        <v>N/A</v>
      </c>
      <c r="T10" s="235" t="str">
        <f>'F11 - Capital Data'!P17</f>
        <v>N/A</v>
      </c>
      <c r="U10" s="235" t="str">
        <f>'F11 - Capital Data'!Q17</f>
        <v>N/A</v>
      </c>
    </row>
    <row r="11" spans="1:23">
      <c r="A11" s="234" t="str">
        <f>'Front Sheet and Checklist'!$C$5</f>
        <v>Swansea Bay UHB</v>
      </c>
      <c r="B11" s="234" t="s">
        <v>940</v>
      </c>
      <c r="C11" s="235" t="str">
        <f>'F11 - Capital Data'!$B$16</f>
        <v xml:space="preserve"> NBV OF DISPOSALS (NEGATIVE)</v>
      </c>
      <c r="D11" s="235"/>
      <c r="E11" s="235" t="s">
        <v>941</v>
      </c>
      <c r="F11" s="235" t="str">
        <f>'F11 - Capital Data'!B18</f>
        <v>Morriston</v>
      </c>
      <c r="G11" s="235"/>
      <c r="H11" s="235">
        <f>'F11 - Capital Data'!C18</f>
        <v>-0.5</v>
      </c>
      <c r="I11" s="235" t="str">
        <f>'F11 - Capital Data'!D18</f>
        <v>N/A</v>
      </c>
      <c r="J11" s="235" t="str">
        <f>'F11 - Capital Data'!E18</f>
        <v>N/A</v>
      </c>
      <c r="K11" s="235" t="str">
        <f>'F11 - Capital Data'!F18</f>
        <v>N/A</v>
      </c>
      <c r="L11" s="235" t="str">
        <f>'F11 - Capital Data'!G18</f>
        <v>N/A</v>
      </c>
      <c r="M11" s="235" t="str">
        <f>'F11 - Capital Data'!H18</f>
        <v>N/A</v>
      </c>
      <c r="N11" s="235">
        <f>'F11 - Capital Data'!I18</f>
        <v>0</v>
      </c>
      <c r="O11" s="235" t="str">
        <f>'F11 - Capital Data'!K18</f>
        <v>N/A</v>
      </c>
      <c r="P11" s="235" t="str">
        <f>'F11 - Capital Data'!L18</f>
        <v>N/A</v>
      </c>
      <c r="Q11" s="235" t="str">
        <f>'F11 - Capital Data'!M18</f>
        <v>N/A</v>
      </c>
      <c r="R11" s="235" t="str">
        <f>'F11 - Capital Data'!N18</f>
        <v>N/A</v>
      </c>
      <c r="S11" s="235" t="str">
        <f>'F11 - Capital Data'!O18</f>
        <v>N/A</v>
      </c>
      <c r="T11" s="235" t="str">
        <f>'F11 - Capital Data'!P18</f>
        <v>N/A</v>
      </c>
      <c r="U11" s="235" t="str">
        <f>'F11 - Capital Data'!Q18</f>
        <v>N/A</v>
      </c>
    </row>
    <row r="12" spans="1:23">
      <c r="A12" s="234" t="str">
        <f>'Front Sheet and Checklist'!$C$5</f>
        <v>Swansea Bay UHB</v>
      </c>
      <c r="B12" s="234" t="s">
        <v>940</v>
      </c>
      <c r="C12" s="235" t="str">
        <f>'F11 - Capital Data'!$B$16</f>
        <v xml:space="preserve"> NBV OF DISPOSALS (NEGATIVE)</v>
      </c>
      <c r="D12" s="235"/>
      <c r="E12" s="235" t="s">
        <v>941</v>
      </c>
      <c r="F12" s="235" t="str">
        <f>'F11 - Capital Data'!B19</f>
        <v>Phillips Parade</v>
      </c>
      <c r="G12" s="235"/>
      <c r="H12" s="235">
        <f>'F11 - Capital Data'!C19</f>
        <v>-0.15</v>
      </c>
      <c r="I12" s="235" t="str">
        <f>'F11 - Capital Data'!D19</f>
        <v>N/A</v>
      </c>
      <c r="J12" s="235" t="str">
        <f>'F11 - Capital Data'!E19</f>
        <v>N/A</v>
      </c>
      <c r="K12" s="235" t="str">
        <f>'F11 - Capital Data'!F19</f>
        <v>N/A</v>
      </c>
      <c r="L12" s="235" t="str">
        <f>'F11 - Capital Data'!G19</f>
        <v>N/A</v>
      </c>
      <c r="M12" s="235" t="str">
        <f>'F11 - Capital Data'!H19</f>
        <v>N/A</v>
      </c>
      <c r="N12" s="235">
        <f>'F11 - Capital Data'!I19</f>
        <v>0</v>
      </c>
      <c r="O12" s="235" t="str">
        <f>'F11 - Capital Data'!K19</f>
        <v>N/A</v>
      </c>
      <c r="P12" s="235" t="str">
        <f>'F11 - Capital Data'!L19</f>
        <v>N/A</v>
      </c>
      <c r="Q12" s="235" t="str">
        <f>'F11 - Capital Data'!M19</f>
        <v>N/A</v>
      </c>
      <c r="R12" s="235" t="str">
        <f>'F11 - Capital Data'!N19</f>
        <v>N/A</v>
      </c>
      <c r="S12" s="235" t="str">
        <f>'F11 - Capital Data'!O19</f>
        <v>N/A</v>
      </c>
      <c r="T12" s="235" t="str">
        <f>'F11 - Capital Data'!P19</f>
        <v>N/A</v>
      </c>
      <c r="U12" s="235" t="str">
        <f>'F11 - Capital Data'!Q19</f>
        <v>N/A</v>
      </c>
    </row>
    <row r="13" spans="1:23">
      <c r="A13" s="234" t="str">
        <f>'Front Sheet and Checklist'!$C$5</f>
        <v>Swansea Bay UHB</v>
      </c>
      <c r="B13" s="234" t="s">
        <v>940</v>
      </c>
      <c r="C13" s="235" t="str">
        <f>'F11 - Capital Data'!$B$16</f>
        <v xml:space="preserve"> NBV OF DISPOSALS (NEGATIVE)</v>
      </c>
      <c r="D13" s="235"/>
      <c r="E13" s="235" t="s">
        <v>941</v>
      </c>
      <c r="F13" s="235">
        <f>'F11 - Capital Data'!B20</f>
        <v>0</v>
      </c>
      <c r="G13" s="235"/>
      <c r="H13" s="235">
        <f>'F11 - Capital Data'!C20</f>
        <v>0</v>
      </c>
      <c r="I13" s="235" t="str">
        <f>'F11 - Capital Data'!D20</f>
        <v>N/A</v>
      </c>
      <c r="J13" s="235" t="str">
        <f>'F11 - Capital Data'!E20</f>
        <v>N/A</v>
      </c>
      <c r="K13" s="235" t="str">
        <f>'F11 - Capital Data'!F20</f>
        <v>N/A</v>
      </c>
      <c r="L13" s="235" t="str">
        <f>'F11 - Capital Data'!G20</f>
        <v>N/A</v>
      </c>
      <c r="M13" s="235" t="str">
        <f>'F11 - Capital Data'!H20</f>
        <v>N/A</v>
      </c>
      <c r="N13" s="235">
        <f>'F11 - Capital Data'!I20</f>
        <v>0</v>
      </c>
      <c r="O13" s="235" t="str">
        <f>'F11 - Capital Data'!K20</f>
        <v>N/A</v>
      </c>
      <c r="P13" s="235" t="str">
        <f>'F11 - Capital Data'!L20</f>
        <v>N/A</v>
      </c>
      <c r="Q13" s="235" t="str">
        <f>'F11 - Capital Data'!M20</f>
        <v>N/A</v>
      </c>
      <c r="R13" s="235" t="str">
        <f>'F11 - Capital Data'!N20</f>
        <v>N/A</v>
      </c>
      <c r="S13" s="235" t="str">
        <f>'F11 - Capital Data'!O20</f>
        <v>N/A</v>
      </c>
      <c r="T13" s="235" t="str">
        <f>'F11 - Capital Data'!P20</f>
        <v>N/A</v>
      </c>
      <c r="U13" s="235" t="str">
        <f>'F11 - Capital Data'!Q20</f>
        <v>N/A</v>
      </c>
    </row>
    <row r="14" spans="1:23">
      <c r="A14" s="234" t="str">
        <f>'Front Sheet and Checklist'!$C$5</f>
        <v>Swansea Bay UHB</v>
      </c>
      <c r="B14" s="234" t="s">
        <v>940</v>
      </c>
      <c r="C14" s="235" t="str">
        <f>'F11 - Capital Data'!$B$16</f>
        <v xml:space="preserve"> NBV OF DISPOSALS (NEGATIVE)</v>
      </c>
      <c r="D14" s="235"/>
      <c r="E14" s="235" t="s">
        <v>941</v>
      </c>
      <c r="F14" s="235">
        <f>'F11 - Capital Data'!B21</f>
        <v>0</v>
      </c>
      <c r="G14" s="235"/>
      <c r="H14" s="235">
        <f>'F11 - Capital Data'!C21</f>
        <v>0</v>
      </c>
      <c r="I14" s="235" t="str">
        <f>'F11 - Capital Data'!D21</f>
        <v>N/A</v>
      </c>
      <c r="J14" s="235" t="str">
        <f>'F11 - Capital Data'!E21</f>
        <v>N/A</v>
      </c>
      <c r="K14" s="235" t="str">
        <f>'F11 - Capital Data'!F21</f>
        <v>N/A</v>
      </c>
      <c r="L14" s="235" t="str">
        <f>'F11 - Capital Data'!G21</f>
        <v>N/A</v>
      </c>
      <c r="M14" s="235" t="str">
        <f>'F11 - Capital Data'!H21</f>
        <v>N/A</v>
      </c>
      <c r="N14" s="235">
        <f>'F11 - Capital Data'!I21</f>
        <v>0</v>
      </c>
      <c r="O14" s="235" t="str">
        <f>'F11 - Capital Data'!K21</f>
        <v>N/A</v>
      </c>
      <c r="P14" s="235" t="str">
        <f>'F11 - Capital Data'!L21</f>
        <v>N/A</v>
      </c>
      <c r="Q14" s="235" t="str">
        <f>'F11 - Capital Data'!M21</f>
        <v>N/A</v>
      </c>
      <c r="R14" s="235" t="str">
        <f>'F11 - Capital Data'!N21</f>
        <v>N/A</v>
      </c>
      <c r="S14" s="235" t="str">
        <f>'F11 - Capital Data'!O21</f>
        <v>N/A</v>
      </c>
      <c r="T14" s="235" t="str">
        <f>'F11 - Capital Data'!P21</f>
        <v>N/A</v>
      </c>
      <c r="U14" s="235" t="str">
        <f>'F11 - Capital Data'!Q21</f>
        <v>N/A</v>
      </c>
    </row>
    <row r="15" spans="1:23">
      <c r="A15" s="234" t="str">
        <f>'Front Sheet and Checklist'!$C$5</f>
        <v>Swansea Bay UHB</v>
      </c>
      <c r="B15" s="234" t="s">
        <v>940</v>
      </c>
      <c r="C15" s="235" t="str">
        <f>'F11 - Capital Data'!$B$16</f>
        <v xml:space="preserve"> NBV OF DISPOSALS (NEGATIVE)</v>
      </c>
      <c r="D15" s="235"/>
      <c r="E15" s="235" t="s">
        <v>941</v>
      </c>
      <c r="F15" s="235">
        <f>'F11 - Capital Data'!B22</f>
        <v>0</v>
      </c>
      <c r="G15" s="235"/>
      <c r="H15" s="235">
        <f>'F11 - Capital Data'!C22</f>
        <v>0</v>
      </c>
      <c r="I15" s="235" t="str">
        <f>'F11 - Capital Data'!D22</f>
        <v>N/A</v>
      </c>
      <c r="J15" s="235" t="str">
        <f>'F11 - Capital Data'!E22</f>
        <v>N/A</v>
      </c>
      <c r="K15" s="235" t="str">
        <f>'F11 - Capital Data'!F22</f>
        <v>N/A</v>
      </c>
      <c r="L15" s="235" t="str">
        <f>'F11 - Capital Data'!G22</f>
        <v>N/A</v>
      </c>
      <c r="M15" s="235" t="str">
        <f>'F11 - Capital Data'!H22</f>
        <v>N/A</v>
      </c>
      <c r="N15" s="235">
        <f>'F11 - Capital Data'!I22</f>
        <v>0</v>
      </c>
      <c r="O15" s="235" t="str">
        <f>'F11 - Capital Data'!K22</f>
        <v>N/A</v>
      </c>
      <c r="P15" s="235" t="str">
        <f>'F11 - Capital Data'!L22</f>
        <v>N/A</v>
      </c>
      <c r="Q15" s="235" t="str">
        <f>'F11 - Capital Data'!M22</f>
        <v>N/A</v>
      </c>
      <c r="R15" s="235" t="str">
        <f>'F11 - Capital Data'!N22</f>
        <v>N/A</v>
      </c>
      <c r="S15" s="235" t="str">
        <f>'F11 - Capital Data'!O22</f>
        <v>N/A</v>
      </c>
      <c r="T15" s="235" t="str">
        <f>'F11 - Capital Data'!P22</f>
        <v>N/A</v>
      </c>
      <c r="U15" s="235" t="str">
        <f>'F11 - Capital Data'!Q22</f>
        <v>N/A</v>
      </c>
    </row>
    <row r="16" spans="1:23">
      <c r="A16" s="234" t="str">
        <f>'Front Sheet and Checklist'!$C$5</f>
        <v>Swansea Bay UHB</v>
      </c>
      <c r="B16" s="234" t="s">
        <v>940</v>
      </c>
      <c r="C16" s="235" t="str">
        <f>'F11 - Capital Data'!$B$16</f>
        <v xml:space="preserve"> NBV OF DISPOSALS (NEGATIVE)</v>
      </c>
      <c r="D16" s="235"/>
      <c r="E16" s="235" t="s">
        <v>941</v>
      </c>
      <c r="F16" s="235">
        <f>'F11 - Capital Data'!B23</f>
        <v>0</v>
      </c>
      <c r="G16" s="235"/>
      <c r="H16" s="235">
        <f>'F11 - Capital Data'!C23</f>
        <v>0</v>
      </c>
      <c r="I16" s="235" t="str">
        <f>'F11 - Capital Data'!D23</f>
        <v>N/A</v>
      </c>
      <c r="J16" s="235" t="str">
        <f>'F11 - Capital Data'!E23</f>
        <v>N/A</v>
      </c>
      <c r="K16" s="235" t="str">
        <f>'F11 - Capital Data'!F23</f>
        <v>N/A</v>
      </c>
      <c r="L16" s="235" t="str">
        <f>'F11 - Capital Data'!G23</f>
        <v>N/A</v>
      </c>
      <c r="M16" s="235" t="str">
        <f>'F11 - Capital Data'!H23</f>
        <v>N/A</v>
      </c>
      <c r="N16" s="235">
        <f>'F11 - Capital Data'!I23</f>
        <v>0</v>
      </c>
      <c r="O16" s="235" t="str">
        <f>'F11 - Capital Data'!K23</f>
        <v>N/A</v>
      </c>
      <c r="P16" s="235" t="str">
        <f>'F11 - Capital Data'!L23</f>
        <v>N/A</v>
      </c>
      <c r="Q16" s="235" t="str">
        <f>'F11 - Capital Data'!M23</f>
        <v>N/A</v>
      </c>
      <c r="R16" s="235" t="str">
        <f>'F11 - Capital Data'!N23</f>
        <v>N/A</v>
      </c>
      <c r="S16" s="235" t="str">
        <f>'F11 - Capital Data'!O23</f>
        <v>N/A</v>
      </c>
      <c r="T16" s="235" t="str">
        <f>'F11 - Capital Data'!P23</f>
        <v>N/A</v>
      </c>
      <c r="U16" s="235" t="str">
        <f>'F11 - Capital Data'!Q23</f>
        <v>N/A</v>
      </c>
    </row>
    <row r="17" spans="1:21">
      <c r="A17" s="234" t="str">
        <f>'Front Sheet and Checklist'!$C$5</f>
        <v>Swansea Bay UHB</v>
      </c>
      <c r="B17" s="234" t="s">
        <v>940</v>
      </c>
      <c r="C17" s="235" t="str">
        <f>'F11 - Capital Data'!$B$16</f>
        <v xml:space="preserve"> NBV OF DISPOSALS (NEGATIVE)</v>
      </c>
      <c r="D17" s="235"/>
      <c r="E17" s="235" t="s">
        <v>941</v>
      </c>
      <c r="F17" s="235">
        <f>'F11 - Capital Data'!B24</f>
        <v>0</v>
      </c>
      <c r="G17" s="235"/>
      <c r="H17" s="235">
        <f>'F11 - Capital Data'!C24</f>
        <v>0</v>
      </c>
      <c r="I17" s="235" t="str">
        <f>'F11 - Capital Data'!D24</f>
        <v>N/A</v>
      </c>
      <c r="J17" s="235" t="str">
        <f>'F11 - Capital Data'!E24</f>
        <v>N/A</v>
      </c>
      <c r="K17" s="235" t="str">
        <f>'F11 - Capital Data'!F24</f>
        <v>N/A</v>
      </c>
      <c r="L17" s="235" t="str">
        <f>'F11 - Capital Data'!G24</f>
        <v>N/A</v>
      </c>
      <c r="M17" s="235" t="str">
        <f>'F11 - Capital Data'!H24</f>
        <v>N/A</v>
      </c>
      <c r="N17" s="235">
        <f>'F11 - Capital Data'!I24</f>
        <v>0</v>
      </c>
      <c r="O17" s="235" t="str">
        <f>'F11 - Capital Data'!K24</f>
        <v>N/A</v>
      </c>
      <c r="P17" s="235" t="str">
        <f>'F11 - Capital Data'!L24</f>
        <v>N/A</v>
      </c>
      <c r="Q17" s="235" t="str">
        <f>'F11 - Capital Data'!M24</f>
        <v>N/A</v>
      </c>
      <c r="R17" s="235" t="str">
        <f>'F11 - Capital Data'!N24</f>
        <v>N/A</v>
      </c>
      <c r="S17" s="235" t="str">
        <f>'F11 - Capital Data'!O24</f>
        <v>N/A</v>
      </c>
      <c r="T17" s="235" t="str">
        <f>'F11 - Capital Data'!P24</f>
        <v>N/A</v>
      </c>
      <c r="U17" s="235" t="str">
        <f>'F11 - Capital Data'!Q24</f>
        <v>N/A</v>
      </c>
    </row>
    <row r="18" spans="1:21">
      <c r="A18" s="234" t="str">
        <f>'Front Sheet and Checklist'!$C$5</f>
        <v>Swansea Bay UHB</v>
      </c>
      <c r="B18" s="234" t="s">
        <v>940</v>
      </c>
      <c r="C18" s="235" t="str">
        <f>'F11 - Capital Data'!$B$16</f>
        <v xml:space="preserve"> NBV OF DISPOSALS (NEGATIVE)</v>
      </c>
      <c r="D18" s="235"/>
      <c r="E18" s="235" t="s">
        <v>941</v>
      </c>
      <c r="F18" s="235">
        <f>'F11 - Capital Data'!B25</f>
        <v>0</v>
      </c>
      <c r="G18" s="235"/>
      <c r="H18" s="235">
        <f>'F11 - Capital Data'!C25</f>
        <v>0</v>
      </c>
      <c r="I18" s="235" t="str">
        <f>'F11 - Capital Data'!D25</f>
        <v>N/A</v>
      </c>
      <c r="J18" s="235" t="str">
        <f>'F11 - Capital Data'!E25</f>
        <v>N/A</v>
      </c>
      <c r="K18" s="235" t="str">
        <f>'F11 - Capital Data'!F25</f>
        <v>N/A</v>
      </c>
      <c r="L18" s="235" t="str">
        <f>'F11 - Capital Data'!G25</f>
        <v>N/A</v>
      </c>
      <c r="M18" s="235" t="str">
        <f>'F11 - Capital Data'!H25</f>
        <v>N/A</v>
      </c>
      <c r="N18" s="235">
        <f>'F11 - Capital Data'!I25</f>
        <v>0</v>
      </c>
      <c r="O18" s="235" t="str">
        <f>'F11 - Capital Data'!K25</f>
        <v>N/A</v>
      </c>
      <c r="P18" s="235" t="str">
        <f>'F11 - Capital Data'!L25</f>
        <v>N/A</v>
      </c>
      <c r="Q18" s="235" t="str">
        <f>'F11 - Capital Data'!M25</f>
        <v>N/A</v>
      </c>
      <c r="R18" s="235" t="str">
        <f>'F11 - Capital Data'!N25</f>
        <v>N/A</v>
      </c>
      <c r="S18" s="235" t="str">
        <f>'F11 - Capital Data'!O25</f>
        <v>N/A</v>
      </c>
      <c r="T18" s="235" t="str">
        <f>'F11 - Capital Data'!P25</f>
        <v>N/A</v>
      </c>
      <c r="U18" s="235" t="str">
        <f>'F11 - Capital Data'!Q25</f>
        <v>N/A</v>
      </c>
    </row>
    <row r="19" spans="1:21">
      <c r="A19" s="234" t="str">
        <f>'Front Sheet and Checklist'!$C$5</f>
        <v>Swansea Bay UHB</v>
      </c>
      <c r="B19" s="234" t="s">
        <v>940</v>
      </c>
      <c r="C19" s="235" t="str">
        <f>'F11 - Capital Data'!$B$16</f>
        <v xml:space="preserve"> NBV OF DISPOSALS (NEGATIVE)</v>
      </c>
      <c r="D19" s="235"/>
      <c r="E19" s="235" t="s">
        <v>941</v>
      </c>
      <c r="F19" s="235">
        <f>'F11 - Capital Data'!B26</f>
        <v>0</v>
      </c>
      <c r="G19" s="235"/>
      <c r="H19" s="235">
        <f>'F11 - Capital Data'!C26</f>
        <v>0</v>
      </c>
      <c r="I19" s="235" t="str">
        <f>'F11 - Capital Data'!D26</f>
        <v>N/A</v>
      </c>
      <c r="J19" s="235" t="str">
        <f>'F11 - Capital Data'!E26</f>
        <v>N/A</v>
      </c>
      <c r="K19" s="235" t="str">
        <f>'F11 - Capital Data'!F26</f>
        <v>N/A</v>
      </c>
      <c r="L19" s="235" t="str">
        <f>'F11 - Capital Data'!G26</f>
        <v>N/A</v>
      </c>
      <c r="M19" s="235" t="str">
        <f>'F11 - Capital Data'!H26</f>
        <v>N/A</v>
      </c>
      <c r="N19" s="235">
        <f>'F11 - Capital Data'!I26</f>
        <v>0</v>
      </c>
      <c r="O19" s="235" t="str">
        <f>'F11 - Capital Data'!K26</f>
        <v>N/A</v>
      </c>
      <c r="P19" s="235" t="str">
        <f>'F11 - Capital Data'!L26</f>
        <v>N/A</v>
      </c>
      <c r="Q19" s="235" t="str">
        <f>'F11 - Capital Data'!M26</f>
        <v>N/A</v>
      </c>
      <c r="R19" s="235" t="str">
        <f>'F11 - Capital Data'!N26</f>
        <v>N/A</v>
      </c>
      <c r="S19" s="235" t="str">
        <f>'F11 - Capital Data'!O26</f>
        <v>N/A</v>
      </c>
      <c r="T19" s="235" t="str">
        <f>'F11 - Capital Data'!P26</f>
        <v>N/A</v>
      </c>
      <c r="U19" s="235" t="str">
        <f>'F11 - Capital Data'!Q26</f>
        <v>N/A</v>
      </c>
    </row>
    <row r="20" spans="1:21">
      <c r="A20" s="234" t="str">
        <f>'Front Sheet and Checklist'!$C$5</f>
        <v>Swansea Bay UHB</v>
      </c>
      <c r="B20" s="234" t="s">
        <v>940</v>
      </c>
      <c r="C20" s="235" t="str">
        <f>'F11 - Capital Data'!$B$16</f>
        <v xml:space="preserve"> NBV OF DISPOSALS (NEGATIVE)</v>
      </c>
      <c r="D20" s="235"/>
      <c r="E20" s="235" t="s">
        <v>941</v>
      </c>
      <c r="F20" s="235">
        <f>'F11 - Capital Data'!B27</f>
        <v>0</v>
      </c>
      <c r="G20" s="235"/>
      <c r="H20" s="235">
        <f>'F11 - Capital Data'!C27</f>
        <v>0</v>
      </c>
      <c r="I20" s="235" t="str">
        <f>'F11 - Capital Data'!D27</f>
        <v>N/A</v>
      </c>
      <c r="J20" s="235" t="str">
        <f>'F11 - Capital Data'!E27</f>
        <v>N/A</v>
      </c>
      <c r="K20" s="235" t="str">
        <f>'F11 - Capital Data'!F27</f>
        <v>N/A</v>
      </c>
      <c r="L20" s="235" t="str">
        <f>'F11 - Capital Data'!G27</f>
        <v>N/A</v>
      </c>
      <c r="M20" s="235" t="str">
        <f>'F11 - Capital Data'!H27</f>
        <v>N/A</v>
      </c>
      <c r="N20" s="235">
        <f>'F11 - Capital Data'!I27</f>
        <v>0</v>
      </c>
      <c r="O20" s="235" t="str">
        <f>'F11 - Capital Data'!K27</f>
        <v>N/A</v>
      </c>
      <c r="P20" s="235" t="str">
        <f>'F11 - Capital Data'!L27</f>
        <v>N/A</v>
      </c>
      <c r="Q20" s="235" t="str">
        <f>'F11 - Capital Data'!M27</f>
        <v>N/A</v>
      </c>
      <c r="R20" s="235" t="str">
        <f>'F11 - Capital Data'!N27</f>
        <v>N/A</v>
      </c>
      <c r="S20" s="235" t="str">
        <f>'F11 - Capital Data'!O27</f>
        <v>N/A</v>
      </c>
      <c r="T20" s="235" t="str">
        <f>'F11 - Capital Data'!P27</f>
        <v>N/A</v>
      </c>
      <c r="U20" s="235" t="str">
        <f>'F11 - Capital Data'!Q27</f>
        <v>N/A</v>
      </c>
    </row>
    <row r="21" spans="1:21">
      <c r="A21" s="234" t="str">
        <f>'Front Sheet and Checklist'!$C$5</f>
        <v>Swansea Bay UHB</v>
      </c>
      <c r="B21" s="234" t="s">
        <v>940</v>
      </c>
      <c r="C21" s="235" t="str">
        <f>'F11 - Capital Data'!$B$16</f>
        <v xml:space="preserve"> NBV OF DISPOSALS (NEGATIVE)</v>
      </c>
      <c r="D21" s="235"/>
      <c r="E21" s="235" t="s">
        <v>941</v>
      </c>
      <c r="F21" s="235">
        <f>'F11 - Capital Data'!B28</f>
        <v>0</v>
      </c>
      <c r="G21" s="235"/>
      <c r="H21" s="235">
        <f>'F11 - Capital Data'!C28</f>
        <v>0</v>
      </c>
      <c r="I21" s="235" t="str">
        <f>'F11 - Capital Data'!D28</f>
        <v>N/A</v>
      </c>
      <c r="J21" s="235" t="str">
        <f>'F11 - Capital Data'!E28</f>
        <v>N/A</v>
      </c>
      <c r="K21" s="235" t="str">
        <f>'F11 - Capital Data'!F28</f>
        <v>N/A</v>
      </c>
      <c r="L21" s="235" t="str">
        <f>'F11 - Capital Data'!G28</f>
        <v>N/A</v>
      </c>
      <c r="M21" s="235" t="str">
        <f>'F11 - Capital Data'!H28</f>
        <v>N/A</v>
      </c>
      <c r="N21" s="235">
        <f>'F11 - Capital Data'!I28</f>
        <v>0</v>
      </c>
      <c r="O21" s="235" t="str">
        <f>'F11 - Capital Data'!K28</f>
        <v>N/A</v>
      </c>
      <c r="P21" s="235" t="str">
        <f>'F11 - Capital Data'!L28</f>
        <v>N/A</v>
      </c>
      <c r="Q21" s="235" t="str">
        <f>'F11 - Capital Data'!M28</f>
        <v>N/A</v>
      </c>
      <c r="R21" s="235" t="str">
        <f>'F11 - Capital Data'!N28</f>
        <v>N/A</v>
      </c>
      <c r="S21" s="235" t="str">
        <f>'F11 - Capital Data'!O28</f>
        <v>N/A</v>
      </c>
      <c r="T21" s="235" t="str">
        <f>'F11 - Capital Data'!P28</f>
        <v>N/A</v>
      </c>
      <c r="U21" s="235" t="str">
        <f>'F11 - Capital Data'!Q28</f>
        <v>N/A</v>
      </c>
    </row>
    <row r="22" spans="1:21">
      <c r="A22" s="234" t="str">
        <f>'Front Sheet and Checklist'!$C$5</f>
        <v>Swansea Bay UHB</v>
      </c>
      <c r="B22" s="234" t="s">
        <v>940</v>
      </c>
      <c r="C22" s="235" t="str">
        <f>'F11 - Capital Data'!$B$16</f>
        <v xml:space="preserve"> NBV OF DISPOSALS (NEGATIVE)</v>
      </c>
      <c r="D22" s="235"/>
      <c r="E22" s="235" t="s">
        <v>941</v>
      </c>
      <c r="F22" s="235">
        <f>'F11 - Capital Data'!B29</f>
        <v>0</v>
      </c>
      <c r="G22" s="235"/>
      <c r="H22" s="235">
        <f>'F11 - Capital Data'!C29</f>
        <v>0</v>
      </c>
      <c r="I22" s="235" t="str">
        <f>'F11 - Capital Data'!D29</f>
        <v>N/A</v>
      </c>
      <c r="J22" s="235" t="str">
        <f>'F11 - Capital Data'!E29</f>
        <v>N/A</v>
      </c>
      <c r="K22" s="235" t="str">
        <f>'F11 - Capital Data'!F29</f>
        <v>N/A</v>
      </c>
      <c r="L22" s="235" t="str">
        <f>'F11 - Capital Data'!G29</f>
        <v>N/A</v>
      </c>
      <c r="M22" s="235" t="str">
        <f>'F11 - Capital Data'!H29</f>
        <v>N/A</v>
      </c>
      <c r="N22" s="235">
        <f>'F11 - Capital Data'!I29</f>
        <v>0</v>
      </c>
      <c r="O22" s="235" t="str">
        <f>'F11 - Capital Data'!K29</f>
        <v>N/A</v>
      </c>
      <c r="P22" s="235" t="str">
        <f>'F11 - Capital Data'!L29</f>
        <v>N/A</v>
      </c>
      <c r="Q22" s="235" t="str">
        <f>'F11 - Capital Data'!M29</f>
        <v>N/A</v>
      </c>
      <c r="R22" s="235" t="str">
        <f>'F11 - Capital Data'!N29</f>
        <v>N/A</v>
      </c>
      <c r="S22" s="235" t="str">
        <f>'F11 - Capital Data'!O29</f>
        <v>N/A</v>
      </c>
      <c r="T22" s="235" t="str">
        <f>'F11 - Capital Data'!P29</f>
        <v>N/A</v>
      </c>
      <c r="U22" s="235" t="str">
        <f>'F11 - Capital Data'!Q29</f>
        <v>N/A</v>
      </c>
    </row>
    <row r="23" spans="1:21">
      <c r="A23" s="234" t="str">
        <f>'Front Sheet and Checklist'!$C$5</f>
        <v>Swansea Bay UHB</v>
      </c>
      <c r="B23" s="234" t="s">
        <v>940</v>
      </c>
      <c r="C23" s="235" t="str">
        <f>'F11 - Capital Data'!$B$16</f>
        <v xml:space="preserve"> NBV OF DISPOSALS (NEGATIVE)</v>
      </c>
      <c r="D23" s="235"/>
      <c r="E23" s="235" t="s">
        <v>941</v>
      </c>
      <c r="F23" s="235">
        <f>'F11 - Capital Data'!B30</f>
        <v>0</v>
      </c>
      <c r="G23" s="235"/>
      <c r="H23" s="235">
        <f>'F11 - Capital Data'!C30</f>
        <v>0</v>
      </c>
      <c r="I23" s="235" t="str">
        <f>'F11 - Capital Data'!D30</f>
        <v>N/A</v>
      </c>
      <c r="J23" s="235" t="str">
        <f>'F11 - Capital Data'!E30</f>
        <v>N/A</v>
      </c>
      <c r="K23" s="235" t="str">
        <f>'F11 - Capital Data'!F30</f>
        <v>N/A</v>
      </c>
      <c r="L23" s="235" t="str">
        <f>'F11 - Capital Data'!G30</f>
        <v>N/A</v>
      </c>
      <c r="M23" s="235" t="str">
        <f>'F11 - Capital Data'!H30</f>
        <v>N/A</v>
      </c>
      <c r="N23" s="235">
        <f>'F11 - Capital Data'!I30</f>
        <v>0</v>
      </c>
      <c r="O23" s="235" t="str">
        <f>'F11 - Capital Data'!K30</f>
        <v>N/A</v>
      </c>
      <c r="P23" s="235" t="str">
        <f>'F11 - Capital Data'!L30</f>
        <v>N/A</v>
      </c>
      <c r="Q23" s="235" t="str">
        <f>'F11 - Capital Data'!M30</f>
        <v>N/A</v>
      </c>
      <c r="R23" s="235" t="str">
        <f>'F11 - Capital Data'!N30</f>
        <v>N/A</v>
      </c>
      <c r="S23" s="235" t="str">
        <f>'F11 - Capital Data'!O30</f>
        <v>N/A</v>
      </c>
      <c r="T23" s="235" t="str">
        <f>'F11 - Capital Data'!P30</f>
        <v>N/A</v>
      </c>
      <c r="U23" s="235" t="str">
        <f>'F11 - Capital Data'!Q30</f>
        <v>N/A</v>
      </c>
    </row>
    <row r="24" spans="1:21">
      <c r="A24" s="234" t="str">
        <f>'Front Sheet and Checklist'!$C$5</f>
        <v>Swansea Bay UHB</v>
      </c>
      <c r="B24" s="234" t="s">
        <v>940</v>
      </c>
      <c r="C24" s="235" t="str">
        <f>'F11 - Capital Data'!$B$16</f>
        <v xml:space="preserve"> NBV OF DISPOSALS (NEGATIVE)</v>
      </c>
      <c r="D24" s="235"/>
      <c r="E24" s="235" t="s">
        <v>941</v>
      </c>
      <c r="F24" s="235">
        <f>'F11 - Capital Data'!B31</f>
        <v>0</v>
      </c>
      <c r="G24" s="235"/>
      <c r="H24" s="235">
        <f>'F11 - Capital Data'!C31</f>
        <v>0</v>
      </c>
      <c r="I24" s="235" t="str">
        <f>'F11 - Capital Data'!D31</f>
        <v>N/A</v>
      </c>
      <c r="J24" s="235" t="str">
        <f>'F11 - Capital Data'!E31</f>
        <v>N/A</v>
      </c>
      <c r="K24" s="235" t="str">
        <f>'F11 - Capital Data'!F31</f>
        <v>N/A</v>
      </c>
      <c r="L24" s="235" t="str">
        <f>'F11 - Capital Data'!G31</f>
        <v>N/A</v>
      </c>
      <c r="M24" s="235" t="str">
        <f>'F11 - Capital Data'!H31</f>
        <v>N/A</v>
      </c>
      <c r="N24" s="235">
        <f>'F11 - Capital Data'!I31</f>
        <v>0</v>
      </c>
      <c r="O24" s="235" t="str">
        <f>'F11 - Capital Data'!K31</f>
        <v>N/A</v>
      </c>
      <c r="P24" s="235" t="str">
        <f>'F11 - Capital Data'!L31</f>
        <v>N/A</v>
      </c>
      <c r="Q24" s="235" t="str">
        <f>'F11 - Capital Data'!M31</f>
        <v>N/A</v>
      </c>
      <c r="R24" s="235" t="str">
        <f>'F11 - Capital Data'!N31</f>
        <v>N/A</v>
      </c>
      <c r="S24" s="235" t="str">
        <f>'F11 - Capital Data'!O31</f>
        <v>N/A</v>
      </c>
      <c r="T24" s="235" t="str">
        <f>'F11 - Capital Data'!P31</f>
        <v>N/A</v>
      </c>
      <c r="U24" s="235" t="str">
        <f>'F11 - Capital Data'!Q31</f>
        <v>N/A</v>
      </c>
    </row>
    <row r="25" spans="1:21">
      <c r="A25" s="234" t="str">
        <f>'Front Sheet and Checklist'!$C$5</f>
        <v>Swansea Bay UHB</v>
      </c>
      <c r="B25" s="234" t="s">
        <v>940</v>
      </c>
      <c r="C25" s="235" t="str">
        <f>'F11 - Capital Data'!$B$16</f>
        <v xml:space="preserve"> NBV OF DISPOSALS (NEGATIVE)</v>
      </c>
      <c r="D25" s="235"/>
      <c r="E25" s="235" t="s">
        <v>941</v>
      </c>
      <c r="F25" s="235">
        <f>'F11 - Capital Data'!B32</f>
        <v>0</v>
      </c>
      <c r="G25" s="235"/>
      <c r="H25" s="235">
        <f>'F11 - Capital Data'!C32</f>
        <v>0</v>
      </c>
      <c r="I25" s="235" t="str">
        <f>'F11 - Capital Data'!D32</f>
        <v>N/A</v>
      </c>
      <c r="J25" s="235" t="str">
        <f>'F11 - Capital Data'!E32</f>
        <v>N/A</v>
      </c>
      <c r="K25" s="235" t="str">
        <f>'F11 - Capital Data'!F32</f>
        <v>N/A</v>
      </c>
      <c r="L25" s="235" t="str">
        <f>'F11 - Capital Data'!G32</f>
        <v>N/A</v>
      </c>
      <c r="M25" s="235" t="str">
        <f>'F11 - Capital Data'!H32</f>
        <v>N/A</v>
      </c>
      <c r="N25" s="235">
        <f>'F11 - Capital Data'!I32</f>
        <v>0</v>
      </c>
      <c r="O25" s="235" t="str">
        <f>'F11 - Capital Data'!K32</f>
        <v>N/A</v>
      </c>
      <c r="P25" s="235" t="str">
        <f>'F11 - Capital Data'!L32</f>
        <v>N/A</v>
      </c>
      <c r="Q25" s="235" t="str">
        <f>'F11 - Capital Data'!M32</f>
        <v>N/A</v>
      </c>
      <c r="R25" s="235" t="str">
        <f>'F11 - Capital Data'!N32</f>
        <v>N/A</v>
      </c>
      <c r="S25" s="235" t="str">
        <f>'F11 - Capital Data'!O32</f>
        <v>N/A</v>
      </c>
      <c r="T25" s="235" t="str">
        <f>'F11 - Capital Data'!P32</f>
        <v>N/A</v>
      </c>
      <c r="U25" s="235" t="str">
        <f>'F11 - Capital Data'!Q32</f>
        <v>N/A</v>
      </c>
    </row>
    <row r="26" spans="1:21">
      <c r="A26" s="234" t="str">
        <f>'Front Sheet and Checklist'!$C$5</f>
        <v>Swansea Bay UHB</v>
      </c>
      <c r="B26" s="234" t="s">
        <v>940</v>
      </c>
      <c r="C26" s="235" t="str">
        <f>'F11 - Capital Data'!$B$16</f>
        <v xml:space="preserve"> NBV OF DISPOSALS (NEGATIVE)</v>
      </c>
      <c r="D26" s="235"/>
      <c r="E26" s="235" t="s">
        <v>941</v>
      </c>
      <c r="F26" s="235">
        <f>'F11 - Capital Data'!B33</f>
        <v>0</v>
      </c>
      <c r="G26" s="235"/>
      <c r="H26" s="235">
        <f>'F11 - Capital Data'!C33</f>
        <v>0</v>
      </c>
      <c r="I26" s="235" t="str">
        <f>'F11 - Capital Data'!D33</f>
        <v>N/A</v>
      </c>
      <c r="J26" s="235" t="str">
        <f>'F11 - Capital Data'!E33</f>
        <v>N/A</v>
      </c>
      <c r="K26" s="235" t="str">
        <f>'F11 - Capital Data'!F33</f>
        <v>N/A</v>
      </c>
      <c r="L26" s="235" t="str">
        <f>'F11 - Capital Data'!G33</f>
        <v>N/A</v>
      </c>
      <c r="M26" s="235" t="str">
        <f>'F11 - Capital Data'!H33</f>
        <v>N/A</v>
      </c>
      <c r="N26" s="235">
        <f>'F11 - Capital Data'!I33</f>
        <v>0</v>
      </c>
      <c r="O26" s="235" t="str">
        <f>'F11 - Capital Data'!K33</f>
        <v>N/A</v>
      </c>
      <c r="P26" s="235" t="str">
        <f>'F11 - Capital Data'!L33</f>
        <v>N/A</v>
      </c>
      <c r="Q26" s="235" t="str">
        <f>'F11 - Capital Data'!M33</f>
        <v>N/A</v>
      </c>
      <c r="R26" s="235" t="str">
        <f>'F11 - Capital Data'!N33</f>
        <v>N/A</v>
      </c>
      <c r="S26" s="235" t="str">
        <f>'F11 - Capital Data'!O33</f>
        <v>N/A</v>
      </c>
      <c r="T26" s="235" t="str">
        <f>'F11 - Capital Data'!P33</f>
        <v>N/A</v>
      </c>
      <c r="U26" s="235" t="str">
        <f>'F11 - Capital Data'!Q33</f>
        <v>N/A</v>
      </c>
    </row>
    <row r="27" spans="1:21">
      <c r="A27" s="234" t="str">
        <f>'Front Sheet and Checklist'!$C$5</f>
        <v>Swansea Bay UHB</v>
      </c>
      <c r="B27" s="234" t="s">
        <v>940</v>
      </c>
      <c r="C27" s="235" t="str">
        <f>'F11 - Capital Data'!$B$16</f>
        <v xml:space="preserve"> NBV OF DISPOSALS (NEGATIVE)</v>
      </c>
      <c r="D27" s="235"/>
      <c r="E27" s="235" t="s">
        <v>941</v>
      </c>
      <c r="F27" s="235">
        <f>'F11 - Capital Data'!B34</f>
        <v>0</v>
      </c>
      <c r="G27" s="235"/>
      <c r="H27" s="235">
        <f>'F11 - Capital Data'!C34</f>
        <v>0</v>
      </c>
      <c r="I27" s="235" t="str">
        <f>'F11 - Capital Data'!D34</f>
        <v>N/A</v>
      </c>
      <c r="J27" s="235" t="str">
        <f>'F11 - Capital Data'!E34</f>
        <v>N/A</v>
      </c>
      <c r="K27" s="235" t="str">
        <f>'F11 - Capital Data'!F34</f>
        <v>N/A</v>
      </c>
      <c r="L27" s="235" t="str">
        <f>'F11 - Capital Data'!G34</f>
        <v>N/A</v>
      </c>
      <c r="M27" s="235" t="str">
        <f>'F11 - Capital Data'!H34</f>
        <v>N/A</v>
      </c>
      <c r="N27" s="235">
        <f>'F11 - Capital Data'!I34</f>
        <v>0</v>
      </c>
      <c r="O27" s="235" t="str">
        <f>'F11 - Capital Data'!K34</f>
        <v>N/A</v>
      </c>
      <c r="P27" s="235" t="str">
        <f>'F11 - Capital Data'!L34</f>
        <v>N/A</v>
      </c>
      <c r="Q27" s="235" t="str">
        <f>'F11 - Capital Data'!M34</f>
        <v>N/A</v>
      </c>
      <c r="R27" s="235" t="str">
        <f>'F11 - Capital Data'!N34</f>
        <v>N/A</v>
      </c>
      <c r="S27" s="235" t="str">
        <f>'F11 - Capital Data'!O34</f>
        <v>N/A</v>
      </c>
      <c r="T27" s="235" t="str">
        <f>'F11 - Capital Data'!P34</f>
        <v>N/A</v>
      </c>
      <c r="U27" s="235" t="str">
        <f>'F11 - Capital Data'!Q34</f>
        <v>N/A</v>
      </c>
    </row>
    <row r="28" spans="1:21">
      <c r="A28" s="234" t="str">
        <f>'Front Sheet and Checklist'!$C$5</f>
        <v>Swansea Bay UHB</v>
      </c>
      <c r="B28" s="234" t="s">
        <v>940</v>
      </c>
      <c r="C28" s="235" t="str">
        <f>'F11 - Capital Data'!$B$16</f>
        <v xml:space="preserve"> NBV OF DISPOSALS (NEGATIVE)</v>
      </c>
      <c r="D28" s="235"/>
      <c r="E28" s="235" t="s">
        <v>941</v>
      </c>
      <c r="F28" s="235">
        <f>'F11 - Capital Data'!B35</f>
        <v>0</v>
      </c>
      <c r="G28" s="235"/>
      <c r="H28" s="235">
        <f>'F11 - Capital Data'!C35</f>
        <v>0</v>
      </c>
      <c r="I28" s="235" t="str">
        <f>'F11 - Capital Data'!D35</f>
        <v>N/A</v>
      </c>
      <c r="J28" s="235" t="str">
        <f>'F11 - Capital Data'!E35</f>
        <v>N/A</v>
      </c>
      <c r="K28" s="235" t="str">
        <f>'F11 - Capital Data'!F35</f>
        <v>N/A</v>
      </c>
      <c r="L28" s="235" t="str">
        <f>'F11 - Capital Data'!G35</f>
        <v>N/A</v>
      </c>
      <c r="M28" s="235" t="str">
        <f>'F11 - Capital Data'!H35</f>
        <v>N/A</v>
      </c>
      <c r="N28" s="235">
        <f>'F11 - Capital Data'!I35</f>
        <v>0</v>
      </c>
      <c r="O28" s="235" t="str">
        <f>'F11 - Capital Data'!K35</f>
        <v>N/A</v>
      </c>
      <c r="P28" s="235" t="str">
        <f>'F11 - Capital Data'!L35</f>
        <v>N/A</v>
      </c>
      <c r="Q28" s="235" t="str">
        <f>'F11 - Capital Data'!M35</f>
        <v>N/A</v>
      </c>
      <c r="R28" s="235" t="str">
        <f>'F11 - Capital Data'!N35</f>
        <v>N/A</v>
      </c>
      <c r="S28" s="235" t="str">
        <f>'F11 - Capital Data'!O35</f>
        <v>N/A</v>
      </c>
      <c r="T28" s="235" t="str">
        <f>'F11 - Capital Data'!P35</f>
        <v>N/A</v>
      </c>
      <c r="U28" s="235" t="str">
        <f>'F11 - Capital Data'!Q35</f>
        <v>N/A</v>
      </c>
    </row>
    <row r="29" spans="1:21">
      <c r="A29" s="234" t="str">
        <f>'Front Sheet and Checklist'!$C$5</f>
        <v>Swansea Bay UHB</v>
      </c>
      <c r="B29" s="234" t="s">
        <v>940</v>
      </c>
      <c r="C29" s="235" t="str">
        <f>'F11 - Capital Data'!$B$16</f>
        <v xml:space="preserve"> NBV OF DISPOSALS (NEGATIVE)</v>
      </c>
      <c r="D29" s="235"/>
      <c r="E29" s="235" t="s">
        <v>941</v>
      </c>
      <c r="F29" s="235">
        <f>'F11 - Capital Data'!B36</f>
        <v>0</v>
      </c>
      <c r="G29" s="235"/>
      <c r="H29" s="235">
        <f>'F11 - Capital Data'!C36</f>
        <v>0</v>
      </c>
      <c r="I29" s="235" t="str">
        <f>'F11 - Capital Data'!D36</f>
        <v>N/A</v>
      </c>
      <c r="J29" s="235" t="str">
        <f>'F11 - Capital Data'!E36</f>
        <v>N/A</v>
      </c>
      <c r="K29" s="235" t="str">
        <f>'F11 - Capital Data'!F36</f>
        <v>N/A</v>
      </c>
      <c r="L29" s="235" t="str">
        <f>'F11 - Capital Data'!G36</f>
        <v>N/A</v>
      </c>
      <c r="M29" s="235" t="str">
        <f>'F11 - Capital Data'!H36</f>
        <v>N/A</v>
      </c>
      <c r="N29" s="235">
        <f>'F11 - Capital Data'!I36</f>
        <v>0</v>
      </c>
      <c r="O29" s="235" t="str">
        <f>'F11 - Capital Data'!K36</f>
        <v>N/A</v>
      </c>
      <c r="P29" s="235" t="str">
        <f>'F11 - Capital Data'!L36</f>
        <v>N/A</v>
      </c>
      <c r="Q29" s="235" t="str">
        <f>'F11 - Capital Data'!M36</f>
        <v>N/A</v>
      </c>
      <c r="R29" s="235" t="str">
        <f>'F11 - Capital Data'!N36</f>
        <v>N/A</v>
      </c>
      <c r="S29" s="235" t="str">
        <f>'F11 - Capital Data'!O36</f>
        <v>N/A</v>
      </c>
      <c r="T29" s="235" t="str">
        <f>'F11 - Capital Data'!P36</f>
        <v>N/A</v>
      </c>
      <c r="U29" s="235" t="str">
        <f>'F11 - Capital Data'!Q36</f>
        <v>N/A</v>
      </c>
    </row>
    <row r="30" spans="1:21">
      <c r="A30" s="234" t="str">
        <f>'Front Sheet and Checklist'!$C$5</f>
        <v>Swansea Bay UHB</v>
      </c>
      <c r="B30" s="234" t="s">
        <v>940</v>
      </c>
      <c r="C30" s="235" t="str">
        <f>'F11 - Capital Data'!$B$16</f>
        <v xml:space="preserve"> NBV OF DISPOSALS (NEGATIVE)</v>
      </c>
      <c r="D30" s="235"/>
      <c r="E30" s="235" t="s">
        <v>941</v>
      </c>
      <c r="F30" s="235">
        <f>'F11 - Capital Data'!B37</f>
        <v>0</v>
      </c>
      <c r="G30" s="235"/>
      <c r="H30" s="235">
        <f>'F11 - Capital Data'!C37</f>
        <v>0</v>
      </c>
      <c r="I30" s="235" t="str">
        <f>'F11 - Capital Data'!D37</f>
        <v>N/A</v>
      </c>
      <c r="J30" s="235" t="str">
        <f>'F11 - Capital Data'!E37</f>
        <v>N/A</v>
      </c>
      <c r="K30" s="235" t="str">
        <f>'F11 - Capital Data'!F37</f>
        <v>N/A</v>
      </c>
      <c r="L30" s="235" t="str">
        <f>'F11 - Capital Data'!G37</f>
        <v>N/A</v>
      </c>
      <c r="M30" s="235" t="str">
        <f>'F11 - Capital Data'!H37</f>
        <v>N/A</v>
      </c>
      <c r="N30" s="235">
        <f>'F11 - Capital Data'!I37</f>
        <v>0</v>
      </c>
      <c r="O30" s="235" t="str">
        <f>'F11 - Capital Data'!K37</f>
        <v>N/A</v>
      </c>
      <c r="P30" s="235" t="str">
        <f>'F11 - Capital Data'!L37</f>
        <v>N/A</v>
      </c>
      <c r="Q30" s="235" t="str">
        <f>'F11 - Capital Data'!M37</f>
        <v>N/A</v>
      </c>
      <c r="R30" s="235" t="str">
        <f>'F11 - Capital Data'!N37</f>
        <v>N/A</v>
      </c>
      <c r="S30" s="235" t="str">
        <f>'F11 - Capital Data'!O37</f>
        <v>N/A</v>
      </c>
      <c r="T30" s="235" t="str">
        <f>'F11 - Capital Data'!P37</f>
        <v>N/A</v>
      </c>
      <c r="U30" s="235" t="str">
        <f>'F11 - Capital Data'!Q37</f>
        <v>N/A</v>
      </c>
    </row>
    <row r="31" spans="1:21">
      <c r="A31" s="234" t="str">
        <f>'Front Sheet and Checklist'!$C$5</f>
        <v>Swansea Bay UHB</v>
      </c>
      <c r="B31" s="234" t="s">
        <v>940</v>
      </c>
      <c r="C31" s="235" t="str">
        <f>'F11 - Capital Data'!$B$16</f>
        <v xml:space="preserve"> NBV OF DISPOSALS (NEGATIVE)</v>
      </c>
      <c r="D31" s="235"/>
      <c r="E31" s="235" t="s">
        <v>941</v>
      </c>
      <c r="F31" s="235">
        <f>'F11 - Capital Data'!B38</f>
        <v>0</v>
      </c>
      <c r="G31" s="235"/>
      <c r="H31" s="235">
        <f>'F11 - Capital Data'!C38</f>
        <v>0</v>
      </c>
      <c r="I31" s="235" t="str">
        <f>'F11 - Capital Data'!D38</f>
        <v>N/A</v>
      </c>
      <c r="J31" s="235" t="str">
        <f>'F11 - Capital Data'!E38</f>
        <v>N/A</v>
      </c>
      <c r="K31" s="235" t="str">
        <f>'F11 - Capital Data'!F38</f>
        <v>N/A</v>
      </c>
      <c r="L31" s="235" t="str">
        <f>'F11 - Capital Data'!G38</f>
        <v>N/A</v>
      </c>
      <c r="M31" s="235" t="str">
        <f>'F11 - Capital Data'!H38</f>
        <v>N/A</v>
      </c>
      <c r="N31" s="235">
        <f>'F11 - Capital Data'!I38</f>
        <v>0</v>
      </c>
      <c r="O31" s="235" t="str">
        <f>'F11 - Capital Data'!K38</f>
        <v>N/A</v>
      </c>
      <c r="P31" s="235" t="str">
        <f>'F11 - Capital Data'!L38</f>
        <v>N/A</v>
      </c>
      <c r="Q31" s="235" t="str">
        <f>'F11 - Capital Data'!M38</f>
        <v>N/A</v>
      </c>
      <c r="R31" s="235" t="str">
        <f>'F11 - Capital Data'!N38</f>
        <v>N/A</v>
      </c>
      <c r="S31" s="235" t="str">
        <f>'F11 - Capital Data'!O38</f>
        <v>N/A</v>
      </c>
      <c r="T31" s="235" t="str">
        <f>'F11 - Capital Data'!P38</f>
        <v>N/A</v>
      </c>
      <c r="U31" s="235" t="str">
        <f>'F11 - Capital Data'!Q38</f>
        <v>N/A</v>
      </c>
    </row>
    <row r="32" spans="1:21">
      <c r="A32" s="234" t="str">
        <f>'Front Sheet and Checklist'!$C$5</f>
        <v>Swansea Bay UHB</v>
      </c>
      <c r="B32" s="234" t="s">
        <v>940</v>
      </c>
      <c r="C32" s="235" t="str">
        <f>'F11 - Capital Data'!$B$16</f>
        <v xml:space="preserve"> NBV OF DISPOSALS (NEGATIVE)</v>
      </c>
      <c r="D32" s="235"/>
      <c r="E32" s="235" t="s">
        <v>268</v>
      </c>
      <c r="F32" s="235" t="str">
        <f>'F11 - Capital Data'!B39</f>
        <v>SUB TOTAL CAPITAL RECEIPTS</v>
      </c>
      <c r="G32" s="235"/>
      <c r="H32" s="235">
        <f>'F11 - Capital Data'!C39</f>
        <v>-0.85</v>
      </c>
      <c r="I32" s="235" t="str">
        <f>'F11 - Capital Data'!D39</f>
        <v>N/A</v>
      </c>
      <c r="J32" s="235" t="str">
        <f>'F11 - Capital Data'!E39</f>
        <v>N/A</v>
      </c>
      <c r="K32" s="235" t="str">
        <f>'F11 - Capital Data'!F39</f>
        <v>N/A</v>
      </c>
      <c r="L32" s="235" t="str">
        <f>'F11 - Capital Data'!G39</f>
        <v>N/A</v>
      </c>
      <c r="M32" s="235" t="str">
        <f>'F11 - Capital Data'!H39</f>
        <v>N/A</v>
      </c>
      <c r="N32" s="235">
        <f>'F11 - Capital Data'!I39</f>
        <v>0</v>
      </c>
      <c r="O32" s="235">
        <f>'F11 - Capital Data'!K39</f>
        <v>0</v>
      </c>
      <c r="P32" s="235">
        <f>'F11 - Capital Data'!L39</f>
        <v>0</v>
      </c>
      <c r="Q32" s="235">
        <f>'F11 - Capital Data'!M39</f>
        <v>0</v>
      </c>
      <c r="R32" s="235">
        <f>'F11 - Capital Data'!N39</f>
        <v>0</v>
      </c>
      <c r="S32" s="235">
        <f>'F11 - Capital Data'!O39</f>
        <v>0</v>
      </c>
      <c r="T32" s="235">
        <f>'F11 - Capital Data'!P39</f>
        <v>0</v>
      </c>
      <c r="U32" s="235">
        <f>'F11 - Capital Data'!Q39</f>
        <v>0</v>
      </c>
    </row>
    <row r="33" spans="1:21">
      <c r="A33" s="234" t="str">
        <f>'Front Sheet and Checklist'!$C$5</f>
        <v>Swansea Bay UHB</v>
      </c>
      <c r="B33" s="234" t="s">
        <v>940</v>
      </c>
      <c r="C33" s="235" t="str">
        <f>'F11 - Capital Data'!$B$16</f>
        <v xml:space="preserve"> NBV OF DISPOSALS (NEGATIVE)</v>
      </c>
      <c r="D33" s="235"/>
      <c r="E33" s="235" t="s">
        <v>941</v>
      </c>
      <c r="F33" s="235">
        <f>'F11 - Capital Data'!B40</f>
        <v>0</v>
      </c>
      <c r="G33" s="235"/>
      <c r="H33" s="235">
        <f>'F11 - Capital Data'!C40</f>
        <v>0</v>
      </c>
      <c r="I33" s="235">
        <f>'F11 - Capital Data'!D40</f>
        <v>0</v>
      </c>
      <c r="J33" s="235">
        <f>'F11 - Capital Data'!E40</f>
        <v>0</v>
      </c>
      <c r="K33" s="235">
        <f>'F11 - Capital Data'!F40</f>
        <v>0</v>
      </c>
      <c r="L33" s="235">
        <f>'F11 - Capital Data'!G40</f>
        <v>0</v>
      </c>
      <c r="M33" s="235">
        <f>'F11 - Capital Data'!H40</f>
        <v>0</v>
      </c>
      <c r="N33" s="235">
        <f>'F11 - Capital Data'!I40</f>
        <v>0</v>
      </c>
      <c r="O33" s="235">
        <f>'F11 - Capital Data'!K40</f>
        <v>0</v>
      </c>
      <c r="P33" s="235">
        <f>'F11 - Capital Data'!L40</f>
        <v>0</v>
      </c>
      <c r="Q33" s="235">
        <f>'F11 - Capital Data'!M40</f>
        <v>0</v>
      </c>
      <c r="R33" s="235">
        <f>'F11 - Capital Data'!N40</f>
        <v>0</v>
      </c>
      <c r="S33" s="235">
        <f>'F11 - Capital Data'!O40</f>
        <v>0</v>
      </c>
      <c r="T33" s="235">
        <f>'F11 - Capital Data'!P40</f>
        <v>0</v>
      </c>
      <c r="U33" s="235">
        <f>'F11 - Capital Data'!Q40</f>
        <v>0</v>
      </c>
    </row>
    <row r="34" spans="1:21">
      <c r="A34" s="234" t="str">
        <f>'Front Sheet and Checklist'!$C$5</f>
        <v>Swansea Bay UHB</v>
      </c>
      <c r="B34" s="234" t="s">
        <v>940</v>
      </c>
      <c r="C34" s="235" t="str">
        <f>'F11 - Capital Data'!$B$41</f>
        <v>CAPITAL IMPACT OF IFRS 16</v>
      </c>
      <c r="D34" s="235"/>
      <c r="E34" s="235" t="s">
        <v>941</v>
      </c>
      <c r="F34" s="235" t="str">
        <f>'F11 - Capital Data'!B41</f>
        <v>CAPITAL IMPACT OF IFRS 16</v>
      </c>
      <c r="G34" s="235"/>
      <c r="H34" s="235">
        <f>'F11 - Capital Data'!C41</f>
        <v>0</v>
      </c>
      <c r="I34" s="235">
        <f>'F11 - Capital Data'!D41</f>
        <v>0</v>
      </c>
      <c r="J34" s="235">
        <f>'F11 - Capital Data'!E41</f>
        <v>0</v>
      </c>
      <c r="K34" s="235">
        <f>'F11 - Capital Data'!F41</f>
        <v>0</v>
      </c>
      <c r="L34" s="235">
        <f>'F11 - Capital Data'!G41</f>
        <v>0</v>
      </c>
      <c r="M34" s="235">
        <f>'F11 - Capital Data'!H41</f>
        <v>0</v>
      </c>
      <c r="N34" s="235">
        <f>'F11 - Capital Data'!I41</f>
        <v>0</v>
      </c>
      <c r="O34" s="235">
        <f>'F11 - Capital Data'!K41</f>
        <v>0</v>
      </c>
      <c r="P34" s="235">
        <f>'F11 - Capital Data'!L41</f>
        <v>0</v>
      </c>
      <c r="Q34" s="235">
        <f>'F11 - Capital Data'!M41</f>
        <v>0</v>
      </c>
      <c r="R34" s="235">
        <f>'F11 - Capital Data'!N41</f>
        <v>0</v>
      </c>
      <c r="S34" s="235">
        <f>'F11 - Capital Data'!O41</f>
        <v>0</v>
      </c>
      <c r="T34" s="235">
        <f>'F11 - Capital Data'!P41</f>
        <v>0</v>
      </c>
      <c r="U34" s="235">
        <f>'F11 - Capital Data'!Q41</f>
        <v>0</v>
      </c>
    </row>
    <row r="35" spans="1:21">
      <c r="A35" s="234" t="str">
        <f>'Front Sheet and Checklist'!$C$5</f>
        <v>Swansea Bay UHB</v>
      </c>
      <c r="B35" s="234" t="s">
        <v>940</v>
      </c>
      <c r="C35" s="235" t="str">
        <f>'F11 - Capital Data'!$B$41</f>
        <v>CAPITAL IMPACT OF IFRS 16</v>
      </c>
      <c r="D35" s="235"/>
      <c r="E35" s="235" t="s">
        <v>941</v>
      </c>
      <c r="F35" s="235" t="str">
        <f>'F11 - Capital Data'!B42</f>
        <v>Property Lease Renewals</v>
      </c>
      <c r="G35" s="235"/>
      <c r="H35" s="235">
        <f>'F11 - Capital Data'!C42</f>
        <v>0.78700000000000003</v>
      </c>
      <c r="I35" s="235">
        <f>'F11 - Capital Data'!D42</f>
        <v>0.5</v>
      </c>
      <c r="J35" s="235">
        <f>'F11 - Capital Data'!E42</f>
        <v>0.5</v>
      </c>
      <c r="K35" s="235">
        <f>'F11 - Capital Data'!F42</f>
        <v>0.5</v>
      </c>
      <c r="L35" s="235" t="str">
        <f>'F11 - Capital Data'!G42</f>
        <v>N/A</v>
      </c>
      <c r="M35" s="235" t="str">
        <f>'F11 - Capital Data'!H42</f>
        <v>N/A</v>
      </c>
      <c r="N35" s="235">
        <f>'F11 - Capital Data'!I42</f>
        <v>0</v>
      </c>
      <c r="O35" s="235">
        <f>'F11 - Capital Data'!K42</f>
        <v>0</v>
      </c>
      <c r="P35" s="235">
        <f>'F11 - Capital Data'!L42</f>
        <v>0</v>
      </c>
      <c r="Q35" s="235">
        <f>'F11 - Capital Data'!M42</f>
        <v>0</v>
      </c>
      <c r="R35" s="235">
        <f>'F11 - Capital Data'!N42</f>
        <v>0</v>
      </c>
      <c r="S35" s="235">
        <f>'F11 - Capital Data'!O42</f>
        <v>0</v>
      </c>
      <c r="T35" s="235">
        <f>'F11 - Capital Data'!P42</f>
        <v>0</v>
      </c>
      <c r="U35" s="235" t="str">
        <f>'F11 - Capital Data'!Q42</f>
        <v>N/A</v>
      </c>
    </row>
    <row r="36" spans="1:21">
      <c r="A36" s="234" t="str">
        <f>'Front Sheet and Checklist'!$C$5</f>
        <v>Swansea Bay UHB</v>
      </c>
      <c r="B36" s="234" t="s">
        <v>940</v>
      </c>
      <c r="C36" s="235" t="str">
        <f>'F11 - Capital Data'!$B$41</f>
        <v>CAPITAL IMPACT OF IFRS 16</v>
      </c>
      <c r="D36" s="235"/>
      <c r="E36" s="235" t="s">
        <v>941</v>
      </c>
      <c r="F36" s="235" t="str">
        <f>'F11 - Capital Data'!B43</f>
        <v xml:space="preserve">Other Lease Renewals </v>
      </c>
      <c r="G36" s="235"/>
      <c r="H36" s="235">
        <f>'F11 - Capital Data'!C43</f>
        <v>3.3519999999999999</v>
      </c>
      <c r="I36" s="235">
        <f>'F11 - Capital Data'!D43</f>
        <v>0.25</v>
      </c>
      <c r="J36" s="235">
        <f>'F11 - Capital Data'!E43</f>
        <v>0.25</v>
      </c>
      <c r="K36" s="235">
        <f>'F11 - Capital Data'!F43</f>
        <v>0.25</v>
      </c>
      <c r="L36" s="235" t="str">
        <f>'F11 - Capital Data'!G43</f>
        <v>N/A</v>
      </c>
      <c r="M36" s="235" t="str">
        <f>'F11 - Capital Data'!H43</f>
        <v>N/A</v>
      </c>
      <c r="N36" s="235">
        <f>'F11 - Capital Data'!I43</f>
        <v>0</v>
      </c>
      <c r="O36" s="235">
        <f>'F11 - Capital Data'!K43</f>
        <v>0</v>
      </c>
      <c r="P36" s="235">
        <f>'F11 - Capital Data'!L43</f>
        <v>0</v>
      </c>
      <c r="Q36" s="235">
        <f>'F11 - Capital Data'!M43</f>
        <v>0</v>
      </c>
      <c r="R36" s="235">
        <f>'F11 - Capital Data'!N43</f>
        <v>0</v>
      </c>
      <c r="S36" s="235">
        <f>'F11 - Capital Data'!O43</f>
        <v>0</v>
      </c>
      <c r="T36" s="235">
        <f>'F11 - Capital Data'!P43</f>
        <v>0</v>
      </c>
      <c r="U36" s="235" t="str">
        <f>'F11 - Capital Data'!Q43</f>
        <v>N/A</v>
      </c>
    </row>
    <row r="37" spans="1:21">
      <c r="A37" s="234" t="str">
        <f>'Front Sheet and Checklist'!$C$5</f>
        <v>Swansea Bay UHB</v>
      </c>
      <c r="B37" s="234" t="s">
        <v>940</v>
      </c>
      <c r="C37" s="235" t="str">
        <f>'F11 - Capital Data'!$B$41</f>
        <v>CAPITAL IMPACT OF IFRS 16</v>
      </c>
      <c r="D37" s="235"/>
      <c r="E37" s="235" t="s">
        <v>941</v>
      </c>
      <c r="F37" s="235" t="str">
        <f>'F11 - Capital Data'!B44</f>
        <v xml:space="preserve">PFI impacts </v>
      </c>
      <c r="G37" s="235"/>
      <c r="H37" s="235" t="str">
        <f>'F11 - Capital Data'!C44</f>
        <v>TBC</v>
      </c>
      <c r="I37" s="235" t="str">
        <f>'F11 - Capital Data'!D44</f>
        <v>TBC</v>
      </c>
      <c r="J37" s="235" t="str">
        <f>'F11 - Capital Data'!E44</f>
        <v>TBC</v>
      </c>
      <c r="K37" s="235" t="str">
        <f>'F11 - Capital Data'!F44</f>
        <v>TBC</v>
      </c>
      <c r="L37" s="235" t="str">
        <f>'F11 - Capital Data'!G44</f>
        <v>N/A</v>
      </c>
      <c r="M37" s="235" t="str">
        <f>'F11 - Capital Data'!H44</f>
        <v>N/A</v>
      </c>
      <c r="N37" s="235">
        <f>'F11 - Capital Data'!I44</f>
        <v>0</v>
      </c>
      <c r="O37" s="235" t="str">
        <f>'F11 - Capital Data'!K44</f>
        <v>tbc</v>
      </c>
      <c r="P37" s="235" t="str">
        <f>'F11 - Capital Data'!L44</f>
        <v>tbc</v>
      </c>
      <c r="Q37" s="235" t="str">
        <f>'F11 - Capital Data'!M44</f>
        <v>tbc</v>
      </c>
      <c r="R37" s="235" t="str">
        <f>'F11 - Capital Data'!N44</f>
        <v>tbc</v>
      </c>
      <c r="S37" s="235">
        <f>'F11 - Capital Data'!O44</f>
        <v>0</v>
      </c>
      <c r="T37" s="235" t="str">
        <f>'F11 - Capital Data'!P44</f>
        <v>tbc</v>
      </c>
      <c r="U37" s="235" t="str">
        <f>'F11 - Capital Data'!Q44</f>
        <v>N/A</v>
      </c>
    </row>
    <row r="38" spans="1:21">
      <c r="A38" s="234" t="str">
        <f>'Front Sheet and Checklist'!$C$5</f>
        <v>Swansea Bay UHB</v>
      </c>
      <c r="B38" s="234" t="s">
        <v>940</v>
      </c>
      <c r="C38" s="235" t="str">
        <f>'F11 - Capital Data'!$B$41</f>
        <v>CAPITAL IMPACT OF IFRS 16</v>
      </c>
      <c r="D38" s="235"/>
      <c r="E38" s="235" t="s">
        <v>941</v>
      </c>
      <c r="F38" s="235" t="str">
        <f>'F11 - Capital Data'!B45</f>
        <v>New Leases ( please list by scheme)</v>
      </c>
      <c r="G38" s="235"/>
      <c r="H38" s="235">
        <f>'F11 - Capital Data'!C45</f>
        <v>0</v>
      </c>
      <c r="I38" s="235">
        <f>'F11 - Capital Data'!D45</f>
        <v>0</v>
      </c>
      <c r="J38" s="235">
        <f>'F11 - Capital Data'!E45</f>
        <v>0</v>
      </c>
      <c r="K38" s="235">
        <f>'F11 - Capital Data'!F45</f>
        <v>0</v>
      </c>
      <c r="L38" s="235" t="str">
        <f>'F11 - Capital Data'!G45</f>
        <v>N/A</v>
      </c>
      <c r="M38" s="235" t="str">
        <f>'F11 - Capital Data'!H45</f>
        <v>N/A</v>
      </c>
      <c r="N38" s="235">
        <f>'F11 - Capital Data'!I45</f>
        <v>0</v>
      </c>
      <c r="O38" s="235">
        <f>'F11 - Capital Data'!K45</f>
        <v>0</v>
      </c>
      <c r="P38" s="235">
        <f>'F11 - Capital Data'!L45</f>
        <v>0</v>
      </c>
      <c r="Q38" s="235">
        <f>'F11 - Capital Data'!M45</f>
        <v>0</v>
      </c>
      <c r="R38" s="235">
        <f>'F11 - Capital Data'!N45</f>
        <v>0</v>
      </c>
      <c r="S38" s="235">
        <f>'F11 - Capital Data'!O45</f>
        <v>0</v>
      </c>
      <c r="T38" s="235">
        <f>'F11 - Capital Data'!P45</f>
        <v>0</v>
      </c>
      <c r="U38" s="235" t="str">
        <f>'F11 - Capital Data'!Q45</f>
        <v>N/A</v>
      </c>
    </row>
    <row r="39" spans="1:21">
      <c r="A39" s="234" t="str">
        <f>'Front Sheet and Checklist'!$C$5</f>
        <v>Swansea Bay UHB</v>
      </c>
      <c r="B39" s="234" t="s">
        <v>940</v>
      </c>
      <c r="C39" s="235" t="str">
        <f>'F11 - Capital Data'!$B$41</f>
        <v>CAPITAL IMPACT OF IFRS 16</v>
      </c>
      <c r="D39" s="235"/>
      <c r="E39" s="235" t="s">
        <v>941</v>
      </c>
      <c r="F39" s="235" t="e">
        <f>'F11 - Capital Data'!#REF!</f>
        <v>#REF!</v>
      </c>
      <c r="G39" s="235"/>
      <c r="H39" s="235">
        <f>'F11 - Capital Data'!C46</f>
        <v>0.443</v>
      </c>
      <c r="I39" s="235">
        <f>'F11 - Capital Data'!D46</f>
        <v>0</v>
      </c>
      <c r="J39" s="235">
        <f>'F11 - Capital Data'!E46</f>
        <v>0</v>
      </c>
      <c r="K39" s="235">
        <f>'F11 - Capital Data'!F46</f>
        <v>0</v>
      </c>
      <c r="L39" s="235" t="str">
        <f>'F11 - Capital Data'!G46</f>
        <v>N/A</v>
      </c>
      <c r="M39" s="235" t="str">
        <f>'F11 - Capital Data'!H46</f>
        <v>N/A</v>
      </c>
      <c r="N39" s="235">
        <f>'F11 - Capital Data'!I46</f>
        <v>0</v>
      </c>
      <c r="O39" s="235">
        <f>'F11 - Capital Data'!K46</f>
        <v>1.0999999999999999E-2</v>
      </c>
      <c r="P39" s="235">
        <f>'F11 - Capital Data'!L46</f>
        <v>0</v>
      </c>
      <c r="Q39" s="235">
        <f>'F11 - Capital Data'!M46</f>
        <v>0</v>
      </c>
      <c r="R39" s="235">
        <f>'F11 - Capital Data'!N46</f>
        <v>0</v>
      </c>
      <c r="S39" s="235">
        <f>'F11 - Capital Data'!O46</f>
        <v>1.0999999999999999E-2</v>
      </c>
      <c r="T39" s="235">
        <f>'F11 - Capital Data'!P46</f>
        <v>0</v>
      </c>
      <c r="U39" s="235" t="str">
        <f>'F11 - Capital Data'!Q46</f>
        <v>N/A</v>
      </c>
    </row>
    <row r="40" spans="1:21">
      <c r="A40" s="234" t="str">
        <f>'Front Sheet and Checklist'!$C$5</f>
        <v>Swansea Bay UHB</v>
      </c>
      <c r="B40" s="234" t="s">
        <v>940</v>
      </c>
      <c r="C40" s="235" t="str">
        <f>'F11 - Capital Data'!$B$41</f>
        <v>CAPITAL IMPACT OF IFRS 16</v>
      </c>
      <c r="D40" s="235"/>
      <c r="E40" s="235" t="s">
        <v>941</v>
      </c>
      <c r="F40" s="235" t="str">
        <f>'F11 - Capital Data'!B46</f>
        <v>LD Property, Cardiff</v>
      </c>
      <c r="G40" s="235"/>
      <c r="H40" s="235">
        <f>'F11 - Capital Data'!C47</f>
        <v>3.452</v>
      </c>
      <c r="I40" s="235">
        <f>'F11 - Capital Data'!D47</f>
        <v>0</v>
      </c>
      <c r="J40" s="235">
        <f>'F11 - Capital Data'!E47</f>
        <v>0</v>
      </c>
      <c r="K40" s="235">
        <f>'F11 - Capital Data'!F47</f>
        <v>0</v>
      </c>
      <c r="L40" s="235" t="str">
        <f>'F11 - Capital Data'!G47</f>
        <v>N/A</v>
      </c>
      <c r="M40" s="235" t="str">
        <f>'F11 - Capital Data'!H47</f>
        <v>N/A</v>
      </c>
      <c r="N40" s="235">
        <f>'F11 - Capital Data'!I47</f>
        <v>0</v>
      </c>
      <c r="O40" s="235">
        <f>'F11 - Capital Data'!K47</f>
        <v>0.115</v>
      </c>
      <c r="P40" s="235">
        <f>'F11 - Capital Data'!L47</f>
        <v>0</v>
      </c>
      <c r="Q40" s="235">
        <f>'F11 - Capital Data'!M47</f>
        <v>0</v>
      </c>
      <c r="R40" s="235">
        <f>'F11 - Capital Data'!N47</f>
        <v>0</v>
      </c>
      <c r="S40" s="235">
        <f>'F11 - Capital Data'!O47</f>
        <v>0.115</v>
      </c>
      <c r="T40" s="235">
        <f>'F11 - Capital Data'!P47</f>
        <v>0</v>
      </c>
      <c r="U40" s="235" t="str">
        <f>'F11 - Capital Data'!Q47</f>
        <v>N/A</v>
      </c>
    </row>
    <row r="41" spans="1:21">
      <c r="A41" s="234" t="str">
        <f>'Front Sheet and Checklist'!$C$5</f>
        <v>Swansea Bay UHB</v>
      </c>
      <c r="B41" s="234" t="s">
        <v>940</v>
      </c>
      <c r="C41" s="235" t="str">
        <f>'F11 - Capital Data'!$B$41</f>
        <v>CAPITAL IMPACT OF IFRS 16</v>
      </c>
      <c r="D41" s="235"/>
      <c r="E41" s="235" t="s">
        <v>941</v>
      </c>
      <c r="F41" s="235" t="str">
        <f>'F11 - Capital Data'!B47</f>
        <v>Medical Records Unit</v>
      </c>
      <c r="G41" s="235"/>
      <c r="H41" s="235">
        <f>'F11 - Capital Data'!C48</f>
        <v>0.57399999999999995</v>
      </c>
      <c r="I41" s="235">
        <f>'F11 - Capital Data'!D48</f>
        <v>0</v>
      </c>
      <c r="J41" s="235">
        <f>'F11 - Capital Data'!E48</f>
        <v>0</v>
      </c>
      <c r="K41" s="235">
        <f>'F11 - Capital Data'!F48</f>
        <v>0</v>
      </c>
      <c r="L41" s="235" t="str">
        <f>'F11 - Capital Data'!G48</f>
        <v>N/A</v>
      </c>
      <c r="M41" s="235" t="str">
        <f>'F11 - Capital Data'!H48</f>
        <v>N/A</v>
      </c>
      <c r="N41" s="235">
        <f>'F11 - Capital Data'!I48</f>
        <v>0</v>
      </c>
      <c r="O41" s="235">
        <f>'F11 - Capital Data'!K48</f>
        <v>0.28999999999999998</v>
      </c>
      <c r="P41" s="235">
        <f>'F11 - Capital Data'!L48</f>
        <v>0</v>
      </c>
      <c r="Q41" s="235">
        <f>'F11 - Capital Data'!M48</f>
        <v>0</v>
      </c>
      <c r="R41" s="235">
        <f>'F11 - Capital Data'!N48</f>
        <v>0</v>
      </c>
      <c r="S41" s="235">
        <f>'F11 - Capital Data'!O48</f>
        <v>0.28999999999999998</v>
      </c>
      <c r="T41" s="235">
        <f>'F11 - Capital Data'!P48</f>
        <v>0</v>
      </c>
      <c r="U41" s="235" t="str">
        <f>'F11 - Capital Data'!Q48</f>
        <v>N/A</v>
      </c>
    </row>
    <row r="42" spans="1:21">
      <c r="A42" s="234" t="str">
        <f>'Front Sheet and Checklist'!$C$5</f>
        <v>Swansea Bay UHB</v>
      </c>
      <c r="B42" s="234" t="s">
        <v>940</v>
      </c>
      <c r="C42" s="235" t="str">
        <f>'F11 - Capital Data'!$B$41</f>
        <v>CAPITAL IMPACT OF IFRS 16</v>
      </c>
      <c r="D42" s="235"/>
      <c r="E42" s="235" t="s">
        <v>941</v>
      </c>
      <c r="F42" s="235" t="str">
        <f>'F11 - Capital Data'!B48</f>
        <v>Medical Records Unit - Racking</v>
      </c>
      <c r="G42" s="235"/>
      <c r="H42" s="235">
        <f>'F11 - Capital Data'!C49</f>
        <v>10.737</v>
      </c>
      <c r="I42" s="235">
        <f>'F11 - Capital Data'!D49</f>
        <v>0</v>
      </c>
      <c r="J42" s="235">
        <f>'F11 - Capital Data'!E49</f>
        <v>0</v>
      </c>
      <c r="K42" s="235">
        <f>'F11 - Capital Data'!F49</f>
        <v>0</v>
      </c>
      <c r="L42" s="235" t="str">
        <f>'F11 - Capital Data'!G49</f>
        <v>N/A</v>
      </c>
      <c r="M42" s="235" t="str">
        <f>'F11 - Capital Data'!H49</f>
        <v>N/A</v>
      </c>
      <c r="N42" s="235">
        <f>'F11 - Capital Data'!I49</f>
        <v>0</v>
      </c>
      <c r="O42" s="235">
        <f>'F11 - Capital Data'!K49</f>
        <v>0</v>
      </c>
      <c r="P42" s="235">
        <f>'F11 - Capital Data'!L49</f>
        <v>0</v>
      </c>
      <c r="Q42" s="235">
        <f>'F11 - Capital Data'!M49</f>
        <v>0</v>
      </c>
      <c r="R42" s="235">
        <f>'F11 - Capital Data'!N49</f>
        <v>0</v>
      </c>
      <c r="S42" s="235">
        <f>'F11 - Capital Data'!O49</f>
        <v>0</v>
      </c>
      <c r="T42" s="235">
        <f>'F11 - Capital Data'!P49</f>
        <v>0</v>
      </c>
      <c r="U42" s="235" t="str">
        <f>'F11 - Capital Data'!Q49</f>
        <v>N/A</v>
      </c>
    </row>
    <row r="43" spans="1:21">
      <c r="A43" s="234" t="str">
        <f>'Front Sheet and Checklist'!$C$5</f>
        <v>Swansea Bay UHB</v>
      </c>
      <c r="B43" s="234" t="s">
        <v>940</v>
      </c>
      <c r="C43" s="235" t="str">
        <f>'F11 - Capital Data'!$B$41</f>
        <v>CAPITAL IMPACT OF IFRS 16</v>
      </c>
      <c r="D43" s="235"/>
      <c r="E43" s="235" t="s">
        <v>941</v>
      </c>
      <c r="F43" s="235" t="str">
        <f>'F11 - Capital Data'!B49</f>
        <v>Modular Theatres, Sing</v>
      </c>
      <c r="G43" s="235"/>
      <c r="H43" s="235">
        <f>'F11 - Capital Data'!C50</f>
        <v>0.41</v>
      </c>
      <c r="I43" s="235">
        <f>'F11 - Capital Data'!D50</f>
        <v>0</v>
      </c>
      <c r="J43" s="235">
        <f>'F11 - Capital Data'!E50</f>
        <v>0</v>
      </c>
      <c r="K43" s="235">
        <f>'F11 - Capital Data'!F50</f>
        <v>0</v>
      </c>
      <c r="L43" s="235" t="str">
        <f>'F11 - Capital Data'!G50</f>
        <v>N/A</v>
      </c>
      <c r="M43" s="235" t="str">
        <f>'F11 - Capital Data'!H50</f>
        <v>N/A</v>
      </c>
      <c r="N43" s="235">
        <f>'F11 - Capital Data'!I50</f>
        <v>0</v>
      </c>
      <c r="O43" s="235">
        <f>'F11 - Capital Data'!K50</f>
        <v>0.01</v>
      </c>
      <c r="P43" s="235">
        <f>'F11 - Capital Data'!L50</f>
        <v>0</v>
      </c>
      <c r="Q43" s="235">
        <f>'F11 - Capital Data'!M50</f>
        <v>0</v>
      </c>
      <c r="R43" s="235">
        <f>'F11 - Capital Data'!N50</f>
        <v>0</v>
      </c>
      <c r="S43" s="235">
        <f>'F11 - Capital Data'!O50</f>
        <v>0.01</v>
      </c>
      <c r="T43" s="235">
        <f>'F11 - Capital Data'!P50</f>
        <v>0</v>
      </c>
      <c r="U43" s="235" t="str">
        <f>'F11 - Capital Data'!Q50</f>
        <v>N/A</v>
      </c>
    </row>
    <row r="44" spans="1:21">
      <c r="A44" s="234" t="str">
        <f>'Front Sheet and Checklist'!$C$5</f>
        <v>Swansea Bay UHB</v>
      </c>
      <c r="B44" s="234" t="s">
        <v>940</v>
      </c>
      <c r="C44" s="235" t="str">
        <f>'F11 - Capital Data'!$B$41</f>
        <v>CAPITAL IMPACT OF IFRS 16</v>
      </c>
      <c r="D44" s="235"/>
      <c r="E44" s="235" t="s">
        <v>941</v>
      </c>
      <c r="F44" s="235" t="str">
        <f>'F11 - Capital Data'!B50</f>
        <v>Phlebotomy Hubs</v>
      </c>
      <c r="G44" s="235"/>
      <c r="H44" s="235">
        <f>'F11 - Capital Data'!C51</f>
        <v>14.397</v>
      </c>
      <c r="I44" s="235">
        <f>'F11 - Capital Data'!D51</f>
        <v>0</v>
      </c>
      <c r="J44" s="235">
        <f>'F11 - Capital Data'!E51</f>
        <v>0</v>
      </c>
      <c r="K44" s="235">
        <f>'F11 - Capital Data'!F51</f>
        <v>0</v>
      </c>
      <c r="L44" s="235" t="str">
        <f>'F11 - Capital Data'!G51</f>
        <v>N/A</v>
      </c>
      <c r="M44" s="235" t="str">
        <f>'F11 - Capital Data'!H51</f>
        <v>N/A</v>
      </c>
      <c r="N44" s="235">
        <f>'F11 - Capital Data'!I51</f>
        <v>0</v>
      </c>
      <c r="O44" s="235">
        <f>'F11 - Capital Data'!K51</f>
        <v>0.71899999999999997</v>
      </c>
      <c r="P44" s="235">
        <f>'F11 - Capital Data'!L51</f>
        <v>0</v>
      </c>
      <c r="Q44" s="235">
        <f>'F11 - Capital Data'!M51</f>
        <v>0</v>
      </c>
      <c r="R44" s="235">
        <f>'F11 - Capital Data'!N51</f>
        <v>0</v>
      </c>
      <c r="S44" s="235">
        <f>'F11 - Capital Data'!O51</f>
        <v>0.71899999999999997</v>
      </c>
      <c r="T44" s="235">
        <f>'F11 - Capital Data'!P51</f>
        <v>0</v>
      </c>
      <c r="U44" s="235" t="str">
        <f>'F11 - Capital Data'!Q51</f>
        <v>N/A</v>
      </c>
    </row>
    <row r="45" spans="1:21">
      <c r="A45" s="234" t="str">
        <f>'Front Sheet and Checklist'!$C$5</f>
        <v>Swansea Bay UHB</v>
      </c>
      <c r="B45" s="234" t="s">
        <v>940</v>
      </c>
      <c r="C45" s="235" t="str">
        <f>'F11 - Capital Data'!$B$41</f>
        <v>CAPITAL IMPACT OF IFRS 16</v>
      </c>
      <c r="D45" s="235"/>
      <c r="E45" s="235" t="s">
        <v>941</v>
      </c>
      <c r="F45" s="235" t="str">
        <f>'F11 - Capital Data'!B51</f>
        <v>Renal Dialysis Buildings &amp; Machines - East of Swansea</v>
      </c>
      <c r="G45" s="235"/>
      <c r="H45" s="235">
        <f>'F11 - Capital Data'!C52</f>
        <v>0</v>
      </c>
      <c r="I45" s="235">
        <f>'F11 - Capital Data'!D52</f>
        <v>0</v>
      </c>
      <c r="J45" s="235">
        <f>'F11 - Capital Data'!E52</f>
        <v>0</v>
      </c>
      <c r="K45" s="235">
        <f>'F11 - Capital Data'!F52</f>
        <v>8.7210000000000001</v>
      </c>
      <c r="L45" s="235" t="str">
        <f>'F11 - Capital Data'!G52</f>
        <v>N/A</v>
      </c>
      <c r="M45" s="235" t="str">
        <f>'F11 - Capital Data'!H52</f>
        <v>N/A</v>
      </c>
      <c r="N45" s="235">
        <f>'F11 - Capital Data'!I52</f>
        <v>0</v>
      </c>
      <c r="O45" s="235">
        <f>'F11 - Capital Data'!K52</f>
        <v>0</v>
      </c>
      <c r="P45" s="235">
        <f>'F11 - Capital Data'!L52</f>
        <v>0</v>
      </c>
      <c r="Q45" s="235">
        <f>'F11 - Capital Data'!M52</f>
        <v>0</v>
      </c>
      <c r="R45" s="235">
        <f>'F11 - Capital Data'!N52</f>
        <v>0</v>
      </c>
      <c r="S45" s="235">
        <f>'F11 - Capital Data'!O52</f>
        <v>0</v>
      </c>
      <c r="T45" s="235">
        <f>'F11 - Capital Data'!P52</f>
        <v>0</v>
      </c>
      <c r="U45" s="235" t="str">
        <f>'F11 - Capital Data'!Q52</f>
        <v>N/A</v>
      </c>
    </row>
    <row r="46" spans="1:21">
      <c r="A46" s="234" t="str">
        <f>'Front Sheet and Checklist'!$C$5</f>
        <v>Swansea Bay UHB</v>
      </c>
      <c r="B46" s="234" t="s">
        <v>940</v>
      </c>
      <c r="C46" s="235" t="str">
        <f>'F11 - Capital Data'!$B$41</f>
        <v>CAPITAL IMPACT OF IFRS 16</v>
      </c>
      <c r="D46" s="235"/>
      <c r="E46" s="235" t="s">
        <v>941</v>
      </c>
      <c r="F46" s="235" t="str">
        <f>'F11 - Capital Data'!B52</f>
        <v>Short Stay Unit (Modular), Morriston</v>
      </c>
      <c r="G46" s="235"/>
      <c r="H46" s="235">
        <f>'F11 - Capital Data'!C53</f>
        <v>5.0999999999999997E-2</v>
      </c>
      <c r="I46" s="235">
        <f>'F11 - Capital Data'!D53</f>
        <v>0</v>
      </c>
      <c r="J46" s="235">
        <f>'F11 - Capital Data'!E53</f>
        <v>0</v>
      </c>
      <c r="K46" s="235">
        <f>'F11 - Capital Data'!F53</f>
        <v>0</v>
      </c>
      <c r="L46" s="235" t="str">
        <f>'F11 - Capital Data'!G53</f>
        <v>N/A</v>
      </c>
      <c r="M46" s="235" t="str">
        <f>'F11 - Capital Data'!H53</f>
        <v>N/A</v>
      </c>
      <c r="N46" s="235">
        <f>'F11 - Capital Data'!I53</f>
        <v>0</v>
      </c>
      <c r="O46" s="235">
        <f>'F11 - Capital Data'!K53</f>
        <v>3.0000000000000001E-3</v>
      </c>
      <c r="P46" s="235">
        <f>'F11 - Capital Data'!L53</f>
        <v>0</v>
      </c>
      <c r="Q46" s="235">
        <f>'F11 - Capital Data'!M53</f>
        <v>0</v>
      </c>
      <c r="R46" s="235">
        <f>'F11 - Capital Data'!N53</f>
        <v>0</v>
      </c>
      <c r="S46" s="235">
        <f>'F11 - Capital Data'!O53</f>
        <v>3.0000000000000001E-3</v>
      </c>
      <c r="T46" s="235">
        <f>'F11 - Capital Data'!P53</f>
        <v>0</v>
      </c>
      <c r="U46" s="235" t="str">
        <f>'F11 - Capital Data'!Q53</f>
        <v>N/A</v>
      </c>
    </row>
    <row r="47" spans="1:21">
      <c r="A47" s="234" t="str">
        <f>'Front Sheet and Checklist'!$C$5</f>
        <v>Swansea Bay UHB</v>
      </c>
      <c r="B47" s="234" t="s">
        <v>940</v>
      </c>
      <c r="C47" s="235" t="str">
        <f>'F11 - Capital Data'!$B$41</f>
        <v>CAPITAL IMPACT OF IFRS 16</v>
      </c>
      <c r="D47" s="235"/>
      <c r="E47" s="235" t="s">
        <v>941</v>
      </c>
      <c r="F47" s="235" t="str">
        <f>'F11 - Capital Data'!B53</f>
        <v>Virtual Ward Base, NPT Area</v>
      </c>
      <c r="G47" s="235"/>
      <c r="H47" s="235">
        <f>'F11 - Capital Data'!C54</f>
        <v>1.2050000000000001</v>
      </c>
      <c r="I47" s="235">
        <f>'F11 - Capital Data'!D54</f>
        <v>0</v>
      </c>
      <c r="J47" s="235">
        <f>'F11 - Capital Data'!E54</f>
        <v>0</v>
      </c>
      <c r="K47" s="235">
        <f>'F11 - Capital Data'!F54</f>
        <v>0</v>
      </c>
      <c r="L47" s="235" t="str">
        <f>'F11 - Capital Data'!G54</f>
        <v>N/A</v>
      </c>
      <c r="M47" s="235" t="str">
        <f>'F11 - Capital Data'!H54</f>
        <v>N/A</v>
      </c>
      <c r="N47" s="235">
        <f>'F11 - Capital Data'!I54</f>
        <v>0</v>
      </c>
      <c r="O47" s="235">
        <f>'F11 - Capital Data'!K54</f>
        <v>4.2999999999999997E-2</v>
      </c>
      <c r="P47" s="235">
        <f>'F11 - Capital Data'!L54</f>
        <v>0</v>
      </c>
      <c r="Q47" s="235">
        <f>'F11 - Capital Data'!M54</f>
        <v>0</v>
      </c>
      <c r="R47" s="235">
        <f>'F11 - Capital Data'!N54</f>
        <v>0</v>
      </c>
      <c r="S47" s="235">
        <f>'F11 - Capital Data'!O54</f>
        <v>4.2999999999999997E-2</v>
      </c>
      <c r="T47" s="235">
        <f>'F11 - Capital Data'!P54</f>
        <v>0</v>
      </c>
      <c r="U47" s="235" t="str">
        <f>'F11 - Capital Data'!Q54</f>
        <v>N/A</v>
      </c>
    </row>
    <row r="48" spans="1:21">
      <c r="A48" s="234" t="str">
        <f>'Front Sheet and Checklist'!$C$5</f>
        <v>Swansea Bay UHB</v>
      </c>
      <c r="B48" s="234" t="s">
        <v>940</v>
      </c>
      <c r="C48" s="235" t="str">
        <f>'F11 - Capital Data'!$B$41</f>
        <v>CAPITAL IMPACT OF IFRS 16</v>
      </c>
      <c r="D48" s="235"/>
      <c r="E48" s="235" t="s">
        <v>941</v>
      </c>
      <c r="F48" s="235" t="str">
        <f>'F11 - Capital Data'!B54</f>
        <v>OR1 - Morriston</v>
      </c>
      <c r="G48" s="235"/>
      <c r="H48" s="235">
        <f>'F11 - Capital Data'!C55</f>
        <v>1.01</v>
      </c>
      <c r="I48" s="235">
        <f>'F11 - Capital Data'!D55</f>
        <v>0</v>
      </c>
      <c r="J48" s="235">
        <f>'F11 - Capital Data'!E55</f>
        <v>0</v>
      </c>
      <c r="K48" s="235">
        <f>'F11 - Capital Data'!F55</f>
        <v>0</v>
      </c>
      <c r="L48" s="235" t="str">
        <f>'F11 - Capital Data'!G55</f>
        <v>N/A</v>
      </c>
      <c r="M48" s="235" t="str">
        <f>'F11 - Capital Data'!H55</f>
        <v>N/A</v>
      </c>
      <c r="N48" s="235">
        <f>'F11 - Capital Data'!I55</f>
        <v>0</v>
      </c>
      <c r="O48" s="235">
        <f>'F11 - Capital Data'!K55</f>
        <v>3.5999999999999997E-2</v>
      </c>
      <c r="P48" s="235">
        <f>'F11 - Capital Data'!L55</f>
        <v>0</v>
      </c>
      <c r="Q48" s="235">
        <f>'F11 - Capital Data'!M55</f>
        <v>0</v>
      </c>
      <c r="R48" s="235">
        <f>'F11 - Capital Data'!N55</f>
        <v>0</v>
      </c>
      <c r="S48" s="235">
        <f>'F11 - Capital Data'!O55</f>
        <v>3.5999999999999997E-2</v>
      </c>
      <c r="T48" s="235">
        <f>'F11 - Capital Data'!P55</f>
        <v>0</v>
      </c>
      <c r="U48" s="235" t="str">
        <f>'F11 - Capital Data'!Q55</f>
        <v>N/A</v>
      </c>
    </row>
    <row r="49" spans="1:21">
      <c r="A49" s="234" t="str">
        <f>'Front Sheet and Checklist'!$C$5</f>
        <v>Swansea Bay UHB</v>
      </c>
      <c r="B49" s="234" t="s">
        <v>940</v>
      </c>
      <c r="C49" s="235" t="str">
        <f>'F11 - Capital Data'!$B$41</f>
        <v>CAPITAL IMPACT OF IFRS 16</v>
      </c>
      <c r="D49" s="235"/>
      <c r="E49" s="235" t="s">
        <v>941</v>
      </c>
      <c r="F49" s="235" t="str">
        <f>'F11 - Capital Data'!B55</f>
        <v>OR1 - Singleton</v>
      </c>
      <c r="G49" s="235"/>
      <c r="H49" s="235">
        <f>'F11 - Capital Data'!C56</f>
        <v>0.93</v>
      </c>
      <c r="I49" s="235">
        <f>'F11 - Capital Data'!D56</f>
        <v>0</v>
      </c>
      <c r="J49" s="235">
        <f>'F11 - Capital Data'!E56</f>
        <v>0</v>
      </c>
      <c r="K49" s="235">
        <f>'F11 - Capital Data'!F56</f>
        <v>0</v>
      </c>
      <c r="L49" s="235" t="str">
        <f>'F11 - Capital Data'!G56</f>
        <v>N/A</v>
      </c>
      <c r="M49" s="235" t="str">
        <f>'F11 - Capital Data'!H56</f>
        <v>N/A</v>
      </c>
      <c r="N49" s="235">
        <f>'F11 - Capital Data'!I56</f>
        <v>0</v>
      </c>
      <c r="O49" s="235">
        <f>'F11 - Capital Data'!K56</f>
        <v>3.3000000000000002E-2</v>
      </c>
      <c r="P49" s="235">
        <f>'F11 - Capital Data'!L56</f>
        <v>0</v>
      </c>
      <c r="Q49" s="235">
        <f>'F11 - Capital Data'!M56</f>
        <v>0</v>
      </c>
      <c r="R49" s="235">
        <f>'F11 - Capital Data'!N56</f>
        <v>0</v>
      </c>
      <c r="S49" s="235">
        <f>'F11 - Capital Data'!O56</f>
        <v>3.3000000000000002E-2</v>
      </c>
      <c r="T49" s="235">
        <f>'F11 - Capital Data'!P56</f>
        <v>0</v>
      </c>
      <c r="U49" s="235" t="str">
        <f>'F11 - Capital Data'!Q56</f>
        <v>N/A</v>
      </c>
    </row>
    <row r="50" spans="1:21">
      <c r="A50" s="234" t="str">
        <f>'Front Sheet and Checklist'!$C$5</f>
        <v>Swansea Bay UHB</v>
      </c>
      <c r="B50" s="234" t="s">
        <v>940</v>
      </c>
      <c r="C50" s="235" t="str">
        <f>'F11 - Capital Data'!$B$41</f>
        <v>CAPITAL IMPACT OF IFRS 16</v>
      </c>
      <c r="D50" s="235"/>
      <c r="E50" s="235" t="s">
        <v>941</v>
      </c>
      <c r="F50" s="235" t="str">
        <f>'F11 - Capital Data'!B56</f>
        <v>OR1 - NPT</v>
      </c>
      <c r="G50" s="235"/>
      <c r="H50" s="235">
        <f>'F11 - Capital Data'!C57</f>
        <v>2.758</v>
      </c>
      <c r="I50" s="235">
        <f>'F11 - Capital Data'!D57</f>
        <v>0</v>
      </c>
      <c r="J50" s="235">
        <f>'F11 - Capital Data'!E57</f>
        <v>0</v>
      </c>
      <c r="K50" s="235">
        <f>'F11 - Capital Data'!F57</f>
        <v>0</v>
      </c>
      <c r="L50" s="235" t="str">
        <f>'F11 - Capital Data'!G57</f>
        <v>N/A</v>
      </c>
      <c r="M50" s="235" t="str">
        <f>'F11 - Capital Data'!H57</f>
        <v>N/A</v>
      </c>
      <c r="N50" s="235">
        <f>'F11 - Capital Data'!I57</f>
        <v>0</v>
      </c>
      <c r="O50" s="235">
        <f>'F11 - Capital Data'!K57</f>
        <v>0.39400000000000002</v>
      </c>
      <c r="P50" s="235">
        <f>'F11 - Capital Data'!L57</f>
        <v>0</v>
      </c>
      <c r="Q50" s="235">
        <f>'F11 - Capital Data'!M57</f>
        <v>0</v>
      </c>
      <c r="R50" s="235">
        <f>'F11 - Capital Data'!N57</f>
        <v>0</v>
      </c>
      <c r="S50" s="235">
        <f>'F11 - Capital Data'!O57</f>
        <v>0.39400000000000002</v>
      </c>
      <c r="T50" s="235">
        <f>'F11 - Capital Data'!P57</f>
        <v>0</v>
      </c>
      <c r="U50" s="235" t="str">
        <f>'F11 - Capital Data'!Q57</f>
        <v>N/A</v>
      </c>
    </row>
    <row r="51" spans="1:21">
      <c r="A51" s="234" t="str">
        <f>'Front Sheet and Checklist'!$C$5</f>
        <v>Swansea Bay UHB</v>
      </c>
      <c r="B51" s="234" t="s">
        <v>940</v>
      </c>
      <c r="C51" s="235" t="str">
        <f>'F11 - Capital Data'!$B$41</f>
        <v>CAPITAL IMPACT OF IFRS 16</v>
      </c>
      <c r="D51" s="235"/>
      <c r="E51" s="235" t="s">
        <v>941</v>
      </c>
      <c r="F51" s="235" t="str">
        <f>'F11 - Capital Data'!B57</f>
        <v>Surgical Robot</v>
      </c>
      <c r="G51" s="235"/>
      <c r="H51" s="235">
        <f>'F11 - Capital Data'!C58</f>
        <v>0</v>
      </c>
      <c r="I51" s="235">
        <f>'F11 - Capital Data'!D58</f>
        <v>0</v>
      </c>
      <c r="J51" s="235">
        <f>'F11 - Capital Data'!E58</f>
        <v>0</v>
      </c>
      <c r="K51" s="235">
        <f>'F11 - Capital Data'!F58</f>
        <v>0</v>
      </c>
      <c r="L51" s="235" t="str">
        <f>'F11 - Capital Data'!G58</f>
        <v>N/A</v>
      </c>
      <c r="M51" s="235" t="str">
        <f>'F11 - Capital Data'!H58</f>
        <v>N/A</v>
      </c>
      <c r="N51" s="235">
        <f>'F11 - Capital Data'!I58</f>
        <v>0</v>
      </c>
      <c r="O51" s="235">
        <f>'F11 - Capital Data'!K58</f>
        <v>0</v>
      </c>
      <c r="P51" s="235">
        <f>'F11 - Capital Data'!L58</f>
        <v>0</v>
      </c>
      <c r="Q51" s="235">
        <f>'F11 - Capital Data'!M58</f>
        <v>0</v>
      </c>
      <c r="R51" s="235">
        <f>'F11 - Capital Data'!N58</f>
        <v>0</v>
      </c>
      <c r="S51" s="235">
        <f>'F11 - Capital Data'!O58</f>
        <v>0</v>
      </c>
      <c r="T51" s="235">
        <f>'F11 - Capital Data'!P58</f>
        <v>0</v>
      </c>
      <c r="U51" s="235" t="str">
        <f>'F11 - Capital Data'!Q58</f>
        <v>N/A</v>
      </c>
    </row>
    <row r="52" spans="1:21">
      <c r="A52" s="234" t="str">
        <f>'Front Sheet and Checklist'!$C$5</f>
        <v>Swansea Bay UHB</v>
      </c>
      <c r="B52" s="234" t="s">
        <v>940</v>
      </c>
      <c r="C52" s="235" t="str">
        <f>'F11 - Capital Data'!$B$41</f>
        <v>CAPITAL IMPACT OF IFRS 16</v>
      </c>
      <c r="D52" s="235"/>
      <c r="E52" s="235" t="s">
        <v>941</v>
      </c>
      <c r="F52" s="235">
        <f>'F11 - Capital Data'!B58</f>
        <v>0</v>
      </c>
      <c r="G52" s="235"/>
      <c r="H52" s="235">
        <f>'F11 - Capital Data'!C59</f>
        <v>0</v>
      </c>
      <c r="I52" s="235">
        <f>'F11 - Capital Data'!D59</f>
        <v>0</v>
      </c>
      <c r="J52" s="235">
        <f>'F11 - Capital Data'!E59</f>
        <v>0</v>
      </c>
      <c r="K52" s="235">
        <f>'F11 - Capital Data'!F59</f>
        <v>0</v>
      </c>
      <c r="L52" s="235" t="str">
        <f>'F11 - Capital Data'!G59</f>
        <v>N/A</v>
      </c>
      <c r="M52" s="235" t="str">
        <f>'F11 - Capital Data'!H59</f>
        <v>N/A</v>
      </c>
      <c r="N52" s="235">
        <f>'F11 - Capital Data'!I59</f>
        <v>0</v>
      </c>
      <c r="O52" s="235">
        <f>'F11 - Capital Data'!K59</f>
        <v>0</v>
      </c>
      <c r="P52" s="235">
        <f>'F11 - Capital Data'!L59</f>
        <v>0</v>
      </c>
      <c r="Q52" s="235">
        <f>'F11 - Capital Data'!M59</f>
        <v>0</v>
      </c>
      <c r="R52" s="235">
        <f>'F11 - Capital Data'!N59</f>
        <v>0</v>
      </c>
      <c r="S52" s="235">
        <f>'F11 - Capital Data'!O59</f>
        <v>0</v>
      </c>
      <c r="T52" s="235">
        <f>'F11 - Capital Data'!P59</f>
        <v>0</v>
      </c>
      <c r="U52" s="235" t="str">
        <f>'F11 - Capital Data'!Q59</f>
        <v>N/A</v>
      </c>
    </row>
    <row r="53" spans="1:21">
      <c r="A53" s="234" t="str">
        <f>'Front Sheet and Checklist'!$C$5</f>
        <v>Swansea Bay UHB</v>
      </c>
      <c r="B53" s="234" t="s">
        <v>940</v>
      </c>
      <c r="C53" s="235" t="str">
        <f>'F11 - Capital Data'!$B$41</f>
        <v>CAPITAL IMPACT OF IFRS 16</v>
      </c>
      <c r="D53" s="235"/>
      <c r="E53" s="235" t="s">
        <v>941</v>
      </c>
      <c r="F53" s="235">
        <f>'F11 - Capital Data'!B60</f>
        <v>0</v>
      </c>
      <c r="G53" s="235"/>
      <c r="H53" s="235">
        <f>'F11 - Capital Data'!C60</f>
        <v>0</v>
      </c>
      <c r="I53" s="235">
        <f>'F11 - Capital Data'!D60</f>
        <v>0</v>
      </c>
      <c r="J53" s="235">
        <f>'F11 - Capital Data'!E60</f>
        <v>0</v>
      </c>
      <c r="K53" s="235">
        <f>'F11 - Capital Data'!F60</f>
        <v>0</v>
      </c>
      <c r="L53" s="235" t="str">
        <f>'F11 - Capital Data'!G60</f>
        <v>N/A</v>
      </c>
      <c r="M53" s="235" t="str">
        <f>'F11 - Capital Data'!H60</f>
        <v>N/A</v>
      </c>
      <c r="N53" s="235">
        <f>'F11 - Capital Data'!I60</f>
        <v>0</v>
      </c>
      <c r="O53" s="235">
        <f>'F11 - Capital Data'!K60</f>
        <v>0</v>
      </c>
      <c r="P53" s="235">
        <f>'F11 - Capital Data'!L60</f>
        <v>0</v>
      </c>
      <c r="Q53" s="235">
        <f>'F11 - Capital Data'!M60</f>
        <v>0</v>
      </c>
      <c r="R53" s="235">
        <f>'F11 - Capital Data'!N60</f>
        <v>0</v>
      </c>
      <c r="S53" s="235">
        <f>'F11 - Capital Data'!O60</f>
        <v>0</v>
      </c>
      <c r="T53" s="235">
        <f>'F11 - Capital Data'!P60</f>
        <v>0</v>
      </c>
      <c r="U53" s="235" t="str">
        <f>'F11 - Capital Data'!Q60</f>
        <v>N/A</v>
      </c>
    </row>
    <row r="54" spans="1:21">
      <c r="A54" s="234" t="str">
        <f>'Front Sheet and Checklist'!$C$5</f>
        <v>Swansea Bay UHB</v>
      </c>
      <c r="B54" s="234" t="s">
        <v>940</v>
      </c>
      <c r="C54" s="235" t="str">
        <f>'F11 - Capital Data'!$B$41</f>
        <v>CAPITAL IMPACT OF IFRS 16</v>
      </c>
      <c r="D54" s="235"/>
      <c r="E54" s="235" t="s">
        <v>941</v>
      </c>
      <c r="F54" s="235">
        <f>'F11 - Capital Data'!B61</f>
        <v>0</v>
      </c>
      <c r="G54" s="235"/>
      <c r="H54" s="235">
        <f>'F11 - Capital Data'!C61</f>
        <v>0</v>
      </c>
      <c r="I54" s="235">
        <f>'F11 - Capital Data'!D61</f>
        <v>0</v>
      </c>
      <c r="J54" s="235">
        <f>'F11 - Capital Data'!E61</f>
        <v>0</v>
      </c>
      <c r="K54" s="235">
        <f>'F11 - Capital Data'!F61</f>
        <v>0</v>
      </c>
      <c r="L54" s="235" t="str">
        <f>'F11 - Capital Data'!G61</f>
        <v>N/A</v>
      </c>
      <c r="M54" s="235" t="str">
        <f>'F11 - Capital Data'!H61</f>
        <v>N/A</v>
      </c>
      <c r="N54" s="235">
        <f>'F11 - Capital Data'!I61</f>
        <v>0</v>
      </c>
      <c r="O54" s="235">
        <f>'F11 - Capital Data'!K61</f>
        <v>0</v>
      </c>
      <c r="P54" s="235">
        <f>'F11 - Capital Data'!L61</f>
        <v>0</v>
      </c>
      <c r="Q54" s="235">
        <f>'F11 - Capital Data'!M61</f>
        <v>0</v>
      </c>
      <c r="R54" s="235">
        <f>'F11 - Capital Data'!N61</f>
        <v>0</v>
      </c>
      <c r="S54" s="235">
        <f>'F11 - Capital Data'!O61</f>
        <v>0</v>
      </c>
      <c r="T54" s="235">
        <f>'F11 - Capital Data'!P61</f>
        <v>0</v>
      </c>
      <c r="U54" s="235" t="str">
        <f>'F11 - Capital Data'!Q61</f>
        <v>N/A</v>
      </c>
    </row>
    <row r="55" spans="1:21">
      <c r="A55" s="234" t="str">
        <f>'Front Sheet and Checklist'!$C$5</f>
        <v>Swansea Bay UHB</v>
      </c>
      <c r="B55" s="234" t="s">
        <v>940</v>
      </c>
      <c r="C55" s="235" t="str">
        <f>'F11 - Capital Data'!$B$41</f>
        <v>CAPITAL IMPACT OF IFRS 16</v>
      </c>
      <c r="D55" s="235"/>
      <c r="E55" s="235" t="s">
        <v>268</v>
      </c>
      <c r="F55" s="235" t="str">
        <f>'F11 - Capital Data'!B62</f>
        <v>TOTAL CAPITAL IMPACT OF IFRS 16</v>
      </c>
      <c r="G55" s="235"/>
      <c r="H55" s="235">
        <f>'F11 - Capital Data'!C62</f>
        <v>40.106000000000002</v>
      </c>
      <c r="I55" s="235">
        <f>'F11 - Capital Data'!D62</f>
        <v>0.75</v>
      </c>
      <c r="J55" s="235">
        <f>'F11 - Capital Data'!E62</f>
        <v>0.75</v>
      </c>
      <c r="K55" s="235">
        <f>'F11 - Capital Data'!F62</f>
        <v>9.4710000000000001</v>
      </c>
      <c r="L55" s="235" t="str">
        <f>'F11 - Capital Data'!G62</f>
        <v>N/A</v>
      </c>
      <c r="M55" s="235" t="str">
        <f>'F11 - Capital Data'!H62</f>
        <v>N/A</v>
      </c>
      <c r="N55" s="235">
        <f>'F11 - Capital Data'!I62</f>
        <v>0</v>
      </c>
      <c r="O55" s="235">
        <f>'F11 - Capital Data'!K62</f>
        <v>1.6539999999999999</v>
      </c>
      <c r="P55" s="235">
        <f>'F11 - Capital Data'!L62</f>
        <v>0</v>
      </c>
      <c r="Q55" s="235">
        <f>'F11 - Capital Data'!M62</f>
        <v>0</v>
      </c>
      <c r="R55" s="235">
        <f>'F11 - Capital Data'!N62</f>
        <v>0</v>
      </c>
      <c r="S55" s="235">
        <f>'F11 - Capital Data'!O62</f>
        <v>1.6539999999999999</v>
      </c>
      <c r="T55" s="235">
        <f>'F11 - Capital Data'!P62</f>
        <v>0</v>
      </c>
      <c r="U55" s="235">
        <f>'F11 - Capital Data'!Q62</f>
        <v>0</v>
      </c>
    </row>
    <row r="56" spans="1:21">
      <c r="A56" s="234" t="str">
        <f>'Front Sheet and Checklist'!$C$5</f>
        <v>Swansea Bay UHB</v>
      </c>
      <c r="B56" s="234" t="s">
        <v>940</v>
      </c>
      <c r="C56" s="235" t="str">
        <f>'F11 - Capital Data'!$B$41</f>
        <v>CAPITAL IMPACT OF IFRS 16</v>
      </c>
      <c r="D56" s="235"/>
      <c r="E56" s="235" t="s">
        <v>941</v>
      </c>
      <c r="F56" s="235">
        <f>'F11 - Capital Data'!B63</f>
        <v>0</v>
      </c>
      <c r="G56" s="235"/>
      <c r="H56" s="235">
        <f>'F11 - Capital Data'!C63</f>
        <v>0</v>
      </c>
      <c r="I56" s="235">
        <f>'F11 - Capital Data'!D63</f>
        <v>0</v>
      </c>
      <c r="J56" s="235">
        <f>'F11 - Capital Data'!E63</f>
        <v>0</v>
      </c>
      <c r="K56" s="235">
        <f>'F11 - Capital Data'!F63</f>
        <v>0</v>
      </c>
      <c r="L56" s="235">
        <f>'F11 - Capital Data'!G63</f>
        <v>0</v>
      </c>
      <c r="M56" s="235">
        <f>'F11 - Capital Data'!H63</f>
        <v>0</v>
      </c>
      <c r="N56" s="235">
        <f>'F11 - Capital Data'!I63</f>
        <v>0</v>
      </c>
      <c r="O56" s="235">
        <f>'F11 - Capital Data'!K63</f>
        <v>0</v>
      </c>
      <c r="P56" s="235">
        <f>'F11 - Capital Data'!L63</f>
        <v>0</v>
      </c>
      <c r="Q56" s="235">
        <f>'F11 - Capital Data'!M63</f>
        <v>0</v>
      </c>
      <c r="R56" s="235">
        <f>'F11 - Capital Data'!N63</f>
        <v>0</v>
      </c>
      <c r="S56" s="235">
        <f>'F11 - Capital Data'!O63</f>
        <v>0</v>
      </c>
      <c r="T56" s="235">
        <f>'F11 - Capital Data'!P63</f>
        <v>0</v>
      </c>
      <c r="U56" s="235">
        <f>'F11 - Capital Data'!Q63</f>
        <v>0</v>
      </c>
    </row>
    <row r="57" spans="1:21">
      <c r="A57" s="234" t="str">
        <f>'Front Sheet and Checklist'!$C$5</f>
        <v>Swansea Bay UHB</v>
      </c>
      <c r="B57" s="234" t="s">
        <v>940</v>
      </c>
      <c r="C57" s="235" t="str">
        <f>'F11 - Capital Data'!$B$64</f>
        <v>APPROVED SCHEMES (AWCP)</v>
      </c>
      <c r="D57" s="235"/>
      <c r="E57" s="235" t="s">
        <v>941</v>
      </c>
      <c r="F57" s="235" t="str">
        <f>'F11 - Capital Data'!B64</f>
        <v>APPROVED SCHEMES (AWCP)</v>
      </c>
      <c r="G57" s="235"/>
      <c r="H57" s="235" t="str">
        <f>'F11 - Capital Data'!C64</f>
        <v>Insert scheme name and forecast spend for schemes approved under the All Wales Capital Programme</v>
      </c>
      <c r="I57" s="235">
        <f>'F11 - Capital Data'!D64</f>
        <v>0</v>
      </c>
      <c r="J57" s="235">
        <f>'F11 - Capital Data'!E64</f>
        <v>0</v>
      </c>
      <c r="K57" s="235">
        <f>'F11 - Capital Data'!F64</f>
        <v>0</v>
      </c>
      <c r="L57" s="235">
        <f>'F11 - Capital Data'!G64</f>
        <v>0</v>
      </c>
      <c r="M57" s="235">
        <f>'F11 - Capital Data'!H64</f>
        <v>0</v>
      </c>
      <c r="N57" s="235">
        <f>'F11 - Capital Data'!I64</f>
        <v>0</v>
      </c>
      <c r="O57" s="235">
        <f>'F11 - Capital Data'!K64</f>
        <v>0</v>
      </c>
      <c r="P57" s="235">
        <f>'F11 - Capital Data'!L64</f>
        <v>0</v>
      </c>
      <c r="Q57" s="235">
        <f>'F11 - Capital Data'!M64</f>
        <v>0</v>
      </c>
      <c r="R57" s="235">
        <f>'F11 - Capital Data'!N64</f>
        <v>0</v>
      </c>
      <c r="S57" s="235">
        <f>'F11 - Capital Data'!O64</f>
        <v>0</v>
      </c>
      <c r="T57" s="235">
        <f>'F11 - Capital Data'!P64</f>
        <v>0</v>
      </c>
      <c r="U57" s="235">
        <f>'F11 - Capital Data'!Q64</f>
        <v>0</v>
      </c>
    </row>
    <row r="58" spans="1:21">
      <c r="A58" s="234" t="str">
        <f>'Front Sheet and Checklist'!$C$5</f>
        <v>Swansea Bay UHB</v>
      </c>
      <c r="B58" s="234" t="s">
        <v>940</v>
      </c>
      <c r="C58" s="235" t="str">
        <f>'F11 - Capital Data'!$B$64</f>
        <v>APPROVED SCHEMES (AWCP)</v>
      </c>
      <c r="D58" s="235"/>
      <c r="E58" s="235" t="s">
        <v>941</v>
      </c>
      <c r="F58" s="235" t="str">
        <f>'F11 - Capital Data'!B65</f>
        <v>EFAB (Infrastructure)</v>
      </c>
      <c r="G58" s="235"/>
      <c r="H58" s="235">
        <f>'F11 - Capital Data'!C65</f>
        <v>2.4529999999999998</v>
      </c>
      <c r="I58" s="235">
        <f>'F11 - Capital Data'!D65</f>
        <v>0</v>
      </c>
      <c r="J58" s="235">
        <f>'F11 - Capital Data'!E65</f>
        <v>0</v>
      </c>
      <c r="K58" s="235">
        <f>'F11 - Capital Data'!F65</f>
        <v>0</v>
      </c>
      <c r="L58" s="235">
        <f>'F11 - Capital Data'!G65</f>
        <v>0</v>
      </c>
      <c r="M58" s="235">
        <f>'F11 - Capital Data'!H65</f>
        <v>0</v>
      </c>
      <c r="N58" s="235">
        <f>'F11 - Capital Data'!I65</f>
        <v>0</v>
      </c>
      <c r="O58" s="235">
        <f>'F11 - Capital Data'!K65</f>
        <v>7.0000000000000001E-3</v>
      </c>
      <c r="P58" s="235">
        <f>'F11 - Capital Data'!L65</f>
        <v>0</v>
      </c>
      <c r="Q58" s="235">
        <f>'F11 - Capital Data'!M65</f>
        <v>0</v>
      </c>
      <c r="R58" s="235">
        <f>'F11 - Capital Data'!N65</f>
        <v>0</v>
      </c>
      <c r="S58" s="235">
        <f>'F11 - Capital Data'!O65</f>
        <v>7.0000000000000001E-3</v>
      </c>
      <c r="T58" s="235" t="str">
        <f>'F11 - Capital Data'!P65</f>
        <v>Y</v>
      </c>
      <c r="U58" s="235" t="str">
        <f>'F11 - Capital Data'!Q65</f>
        <v>N/A</v>
      </c>
    </row>
    <row r="59" spans="1:21">
      <c r="A59" s="234" t="str">
        <f>'Front Sheet and Checklist'!$C$5</f>
        <v>Swansea Bay UHB</v>
      </c>
      <c r="B59" s="234" t="s">
        <v>940</v>
      </c>
      <c r="C59" s="235" t="str">
        <f>'F11 - Capital Data'!$B$64</f>
        <v>APPROVED SCHEMES (AWCP)</v>
      </c>
      <c r="D59" s="235"/>
      <c r="E59" s="235" t="s">
        <v>941</v>
      </c>
      <c r="F59" s="235" t="str">
        <f>'F11 - Capital Data'!B66</f>
        <v>EFAB - Fire</v>
      </c>
      <c r="G59" s="235"/>
      <c r="H59" s="235">
        <f>'F11 - Capital Data'!C66</f>
        <v>1.542</v>
      </c>
      <c r="I59" s="235">
        <f>'F11 - Capital Data'!D66</f>
        <v>0</v>
      </c>
      <c r="J59" s="235">
        <f>'F11 - Capital Data'!E66</f>
        <v>0</v>
      </c>
      <c r="K59" s="235">
        <f>'F11 - Capital Data'!F66</f>
        <v>0</v>
      </c>
      <c r="L59" s="235">
        <f>'F11 - Capital Data'!G66</f>
        <v>0</v>
      </c>
      <c r="M59" s="235">
        <f>'F11 - Capital Data'!H66</f>
        <v>0</v>
      </c>
      <c r="N59" s="235">
        <f>'F11 - Capital Data'!I66</f>
        <v>0</v>
      </c>
      <c r="O59" s="235">
        <f>'F11 - Capital Data'!K66</f>
        <v>0</v>
      </c>
      <c r="P59" s="235">
        <f>'F11 - Capital Data'!L66</f>
        <v>0.3</v>
      </c>
      <c r="Q59" s="235">
        <f>'F11 - Capital Data'!M66</f>
        <v>0</v>
      </c>
      <c r="R59" s="235">
        <f>'F11 - Capital Data'!N66</f>
        <v>0</v>
      </c>
      <c r="S59" s="235">
        <f>'F11 - Capital Data'!O66</f>
        <v>0.3</v>
      </c>
      <c r="T59" s="235" t="str">
        <f>'F11 - Capital Data'!P66</f>
        <v>Y</v>
      </c>
      <c r="U59" s="235" t="str">
        <f>'F11 - Capital Data'!Q66</f>
        <v>N/A</v>
      </c>
    </row>
    <row r="60" spans="1:21">
      <c r="A60" s="234" t="str">
        <f>'Front Sheet and Checklist'!$C$5</f>
        <v>Swansea Bay UHB</v>
      </c>
      <c r="B60" s="234" t="s">
        <v>940</v>
      </c>
      <c r="C60" s="235" t="str">
        <f>'F11 - Capital Data'!$B$64</f>
        <v>APPROVED SCHEMES (AWCP)</v>
      </c>
      <c r="D60" s="235"/>
      <c r="E60" s="235" t="s">
        <v>941</v>
      </c>
      <c r="F60" s="235" t="str">
        <f>'F11 - Capital Data'!B67</f>
        <v>EFAB - Decarbonisation</v>
      </c>
      <c r="G60" s="235"/>
      <c r="H60" s="235">
        <f>'F11 - Capital Data'!C67</f>
        <v>0.96399999999999997</v>
      </c>
      <c r="I60" s="235">
        <f>'F11 - Capital Data'!D67</f>
        <v>0</v>
      </c>
      <c r="J60" s="235">
        <f>'F11 - Capital Data'!E67</f>
        <v>0</v>
      </c>
      <c r="K60" s="235">
        <f>'F11 - Capital Data'!F67</f>
        <v>0</v>
      </c>
      <c r="L60" s="235">
        <f>'F11 - Capital Data'!G67</f>
        <v>0</v>
      </c>
      <c r="M60" s="235">
        <f>'F11 - Capital Data'!H67</f>
        <v>0</v>
      </c>
      <c r="N60" s="235">
        <f>'F11 - Capital Data'!I67</f>
        <v>0</v>
      </c>
      <c r="O60" s="235">
        <f>'F11 - Capital Data'!K67</f>
        <v>1E-3</v>
      </c>
      <c r="P60" s="235">
        <f>'F11 - Capital Data'!L67</f>
        <v>0</v>
      </c>
      <c r="Q60" s="235">
        <f>'F11 - Capital Data'!M67</f>
        <v>0</v>
      </c>
      <c r="R60" s="235">
        <f>'F11 - Capital Data'!N67</f>
        <v>0</v>
      </c>
      <c r="S60" s="235">
        <f>'F11 - Capital Data'!O67</f>
        <v>1E-3</v>
      </c>
      <c r="T60" s="235" t="str">
        <f>'F11 - Capital Data'!P67</f>
        <v>Y</v>
      </c>
      <c r="U60" s="235" t="str">
        <f>'F11 - Capital Data'!Q67</f>
        <v>N/A</v>
      </c>
    </row>
    <row r="61" spans="1:21">
      <c r="A61" s="234" t="str">
        <f>'Front Sheet and Checklist'!$C$5</f>
        <v>Swansea Bay UHB</v>
      </c>
      <c r="B61" s="234" t="s">
        <v>940</v>
      </c>
      <c r="C61" s="235" t="str">
        <f>'F11 - Capital Data'!$B$64</f>
        <v>APPROVED SCHEMES (AWCP)</v>
      </c>
      <c r="D61" s="235"/>
      <c r="E61" s="235" t="s">
        <v>941</v>
      </c>
      <c r="F61" s="235" t="str">
        <f>'F11 - Capital Data'!B68</f>
        <v>Burns Unit and Critical Care Expansion, Morriston Hospital</v>
      </c>
      <c r="G61" s="235"/>
      <c r="H61" s="235">
        <f>'F11 - Capital Data'!C68</f>
        <v>4.7240000000000002</v>
      </c>
      <c r="I61" s="235">
        <f>'F11 - Capital Data'!D68</f>
        <v>0</v>
      </c>
      <c r="J61" s="235">
        <f>'F11 - Capital Data'!E68</f>
        <v>0</v>
      </c>
      <c r="K61" s="235">
        <f>'F11 - Capital Data'!F68</f>
        <v>0</v>
      </c>
      <c r="L61" s="235">
        <f>'F11 - Capital Data'!G68</f>
        <v>0</v>
      </c>
      <c r="M61" s="235">
        <f>'F11 - Capital Data'!H68</f>
        <v>0</v>
      </c>
      <c r="N61" s="235">
        <f>'F11 - Capital Data'!I68</f>
        <v>0</v>
      </c>
      <c r="O61" s="235">
        <f>'F11 - Capital Data'!K68</f>
        <v>0.152</v>
      </c>
      <c r="P61" s="235">
        <f>'F11 - Capital Data'!L68</f>
        <v>0</v>
      </c>
      <c r="Q61" s="235">
        <f>'F11 - Capital Data'!M68</f>
        <v>0</v>
      </c>
      <c r="R61" s="235">
        <f>'F11 - Capital Data'!N68</f>
        <v>0</v>
      </c>
      <c r="S61" s="235">
        <f>'F11 - Capital Data'!O68</f>
        <v>0.152</v>
      </c>
      <c r="T61" s="235" t="str">
        <f>'F11 - Capital Data'!P68</f>
        <v>Y</v>
      </c>
      <c r="U61" s="235" t="str">
        <f>'F11 - Capital Data'!Q68</f>
        <v>N/A</v>
      </c>
    </row>
    <row r="62" spans="1:21">
      <c r="A62" s="234" t="str">
        <f>'Front Sheet and Checklist'!$C$5</f>
        <v>Swansea Bay UHB</v>
      </c>
      <c r="B62" s="234" t="s">
        <v>940</v>
      </c>
      <c r="C62" s="235" t="str">
        <f>'F11 - Capital Data'!$B$64</f>
        <v>APPROVED SCHEMES (AWCP)</v>
      </c>
      <c r="D62" s="235"/>
      <c r="E62" s="235" t="s">
        <v>941</v>
      </c>
      <c r="F62" s="235" t="str">
        <f>'F11 - Capital Data'!B69</f>
        <v>Diagnostic Equipment</v>
      </c>
      <c r="G62" s="235"/>
      <c r="H62" s="235">
        <f>'F11 - Capital Data'!C69</f>
        <v>0.63700000000000001</v>
      </c>
      <c r="I62" s="235">
        <f>'F11 - Capital Data'!D69</f>
        <v>0</v>
      </c>
      <c r="J62" s="235">
        <f>'F11 - Capital Data'!E69</f>
        <v>0</v>
      </c>
      <c r="K62" s="235">
        <f>'F11 - Capital Data'!F69</f>
        <v>0</v>
      </c>
      <c r="L62" s="235">
        <f>'F11 - Capital Data'!G69</f>
        <v>0</v>
      </c>
      <c r="M62" s="235">
        <f>'F11 - Capital Data'!H69</f>
        <v>0</v>
      </c>
      <c r="N62" s="235">
        <f>'F11 - Capital Data'!I69</f>
        <v>0</v>
      </c>
      <c r="O62" s="235">
        <f>'F11 - Capital Data'!K69</f>
        <v>0.12</v>
      </c>
      <c r="P62" s="235">
        <f>'F11 - Capital Data'!L69</f>
        <v>0</v>
      </c>
      <c r="Q62" s="235">
        <f>'F11 - Capital Data'!M69</f>
        <v>0</v>
      </c>
      <c r="R62" s="235">
        <f>'F11 - Capital Data'!N69</f>
        <v>0</v>
      </c>
      <c r="S62" s="235">
        <f>'F11 - Capital Data'!O69</f>
        <v>0.12</v>
      </c>
      <c r="T62" s="235" t="str">
        <f>'F11 - Capital Data'!P69</f>
        <v>Y</v>
      </c>
      <c r="U62" s="235" t="str">
        <f>'F11 - Capital Data'!Q69</f>
        <v>N/A</v>
      </c>
    </row>
    <row r="63" spans="1:21">
      <c r="A63" s="234" t="str">
        <f>'Front Sheet and Checklist'!$C$5</f>
        <v>Swansea Bay UHB</v>
      </c>
      <c r="B63" s="234" t="s">
        <v>940</v>
      </c>
      <c r="C63" s="235" t="str">
        <f>'F11 - Capital Data'!$B$64</f>
        <v>APPROVED SCHEMES (AWCP)</v>
      </c>
      <c r="D63" s="235"/>
      <c r="E63" s="235" t="s">
        <v>941</v>
      </c>
      <c r="F63" s="235" t="str">
        <f>'F11 - Capital Data'!B70</f>
        <v>Replacement of Cath Lab A, Morriston Hospital</v>
      </c>
      <c r="G63" s="235"/>
      <c r="H63" s="235">
        <f>'F11 - Capital Data'!C70</f>
        <v>2.6480000000000001</v>
      </c>
      <c r="I63" s="235">
        <f>'F11 - Capital Data'!D70</f>
        <v>0</v>
      </c>
      <c r="J63" s="235">
        <f>'F11 - Capital Data'!E70</f>
        <v>0</v>
      </c>
      <c r="K63" s="235">
        <f>'F11 - Capital Data'!F70</f>
        <v>0</v>
      </c>
      <c r="L63" s="235">
        <f>'F11 - Capital Data'!G70</f>
        <v>0</v>
      </c>
      <c r="M63" s="235">
        <f>'F11 - Capital Data'!H70</f>
        <v>0</v>
      </c>
      <c r="N63" s="235">
        <f>'F11 - Capital Data'!I70</f>
        <v>0</v>
      </c>
      <c r="O63" s="235">
        <f>'F11 - Capital Data'!K70</f>
        <v>0.12</v>
      </c>
      <c r="P63" s="235">
        <f>'F11 - Capital Data'!L70</f>
        <v>0</v>
      </c>
      <c r="Q63" s="235">
        <f>'F11 - Capital Data'!M70</f>
        <v>0</v>
      </c>
      <c r="R63" s="235">
        <f>'F11 - Capital Data'!N70</f>
        <v>0</v>
      </c>
      <c r="S63" s="235">
        <f>'F11 - Capital Data'!O70</f>
        <v>0.12</v>
      </c>
      <c r="T63" s="235" t="str">
        <f>'F11 - Capital Data'!P70</f>
        <v>Y</v>
      </c>
      <c r="U63" s="235" t="str">
        <f>'F11 - Capital Data'!Q70</f>
        <v>N/A</v>
      </c>
    </row>
    <row r="64" spans="1:21">
      <c r="A64" s="234" t="str">
        <f>'Front Sheet and Checklist'!$C$5</f>
        <v>Swansea Bay UHB</v>
      </c>
      <c r="B64" s="234" t="s">
        <v>940</v>
      </c>
      <c r="C64" s="235" t="str">
        <f>'F11 - Capital Data'!$B$64</f>
        <v>APPROVED SCHEMES (AWCP)</v>
      </c>
      <c r="D64" s="235"/>
      <c r="E64" s="235" t="s">
        <v>941</v>
      </c>
      <c r="F64" s="235" t="str">
        <f>'F11 - Capital Data'!B71</f>
        <v>Morriston Infrastructure Modernisation Phase 2</v>
      </c>
      <c r="G64" s="235"/>
      <c r="H64" s="235">
        <f>'F11 - Capital Data'!C71</f>
        <v>0</v>
      </c>
      <c r="I64" s="235">
        <f>'F11 - Capital Data'!D71</f>
        <v>0</v>
      </c>
      <c r="J64" s="235">
        <f>'F11 - Capital Data'!E71</f>
        <v>0</v>
      </c>
      <c r="K64" s="235">
        <f>'F11 - Capital Data'!F71</f>
        <v>0</v>
      </c>
      <c r="L64" s="235">
        <f>'F11 - Capital Data'!G71</f>
        <v>0</v>
      </c>
      <c r="M64" s="235">
        <f>'F11 - Capital Data'!H71</f>
        <v>0</v>
      </c>
      <c r="N64" s="235" t="str">
        <f>'F11 - Capital Data'!I71</f>
        <v>C/Fwd from 2023-24 as scheme completion delayed.</v>
      </c>
      <c r="O64" s="235">
        <f>'F11 - Capital Data'!K71</f>
        <v>0.33300000000000002</v>
      </c>
      <c r="P64" s="235">
        <f>'F11 - Capital Data'!L71</f>
        <v>9.7870000000000008</v>
      </c>
      <c r="Q64" s="235">
        <f>'F11 - Capital Data'!M71</f>
        <v>0</v>
      </c>
      <c r="R64" s="235">
        <f>'F11 - Capital Data'!N71</f>
        <v>0</v>
      </c>
      <c r="S64" s="235">
        <f>'F11 - Capital Data'!O71</f>
        <v>10.120000000000001</v>
      </c>
      <c r="T64" s="235" t="str">
        <f>'F11 - Capital Data'!P71</f>
        <v>Y</v>
      </c>
      <c r="U64" s="235" t="str">
        <f>'F11 - Capital Data'!Q71</f>
        <v>N/A</v>
      </c>
    </row>
    <row r="65" spans="1:21">
      <c r="A65" s="234" t="str">
        <f>'Front Sheet and Checklist'!$C$5</f>
        <v>Swansea Bay UHB</v>
      </c>
      <c r="B65" s="234" t="s">
        <v>940</v>
      </c>
      <c r="C65" s="235" t="str">
        <f>'F11 - Capital Data'!$B$64</f>
        <v>APPROVED SCHEMES (AWCP)</v>
      </c>
      <c r="D65" s="235"/>
      <c r="E65" s="235" t="s">
        <v>941</v>
      </c>
      <c r="F65" s="235">
        <f>'F11 - Capital Data'!B72</f>
        <v>0</v>
      </c>
      <c r="G65" s="235"/>
      <c r="H65" s="235">
        <f>'F11 - Capital Data'!C72</f>
        <v>0</v>
      </c>
      <c r="I65" s="235">
        <f>'F11 - Capital Data'!D72</f>
        <v>0</v>
      </c>
      <c r="J65" s="235">
        <f>'F11 - Capital Data'!E72</f>
        <v>0</v>
      </c>
      <c r="K65" s="235">
        <f>'F11 - Capital Data'!F72</f>
        <v>0</v>
      </c>
      <c r="L65" s="235">
        <f>'F11 - Capital Data'!G72</f>
        <v>0</v>
      </c>
      <c r="M65" s="235">
        <f>'F11 - Capital Data'!H72</f>
        <v>0</v>
      </c>
      <c r="N65" s="235">
        <f>'F11 - Capital Data'!I72</f>
        <v>0</v>
      </c>
      <c r="O65" s="235">
        <f>'F11 - Capital Data'!K72</f>
        <v>0</v>
      </c>
      <c r="P65" s="235">
        <f>'F11 - Capital Data'!L72</f>
        <v>0</v>
      </c>
      <c r="Q65" s="235">
        <f>'F11 - Capital Data'!M72</f>
        <v>0</v>
      </c>
      <c r="R65" s="235">
        <f>'F11 - Capital Data'!N72</f>
        <v>0</v>
      </c>
      <c r="S65" s="235">
        <f>'F11 - Capital Data'!O72</f>
        <v>0</v>
      </c>
      <c r="T65" s="235">
        <f>'F11 - Capital Data'!P72</f>
        <v>0</v>
      </c>
      <c r="U65" s="235" t="str">
        <f>'F11 - Capital Data'!Q72</f>
        <v>N/A</v>
      </c>
    </row>
    <row r="66" spans="1:21">
      <c r="A66" s="234" t="str">
        <f>'Front Sheet and Checklist'!$C$5</f>
        <v>Swansea Bay UHB</v>
      </c>
      <c r="B66" s="234" t="s">
        <v>940</v>
      </c>
      <c r="C66" s="235" t="str">
        <f>'F11 - Capital Data'!$B$64</f>
        <v>APPROVED SCHEMES (AWCP)</v>
      </c>
      <c r="D66" s="235"/>
      <c r="E66" s="235" t="s">
        <v>941</v>
      </c>
      <c r="F66" s="235">
        <f>'F11 - Capital Data'!B73</f>
        <v>0</v>
      </c>
      <c r="G66" s="235"/>
      <c r="H66" s="235">
        <f>'F11 - Capital Data'!C73</f>
        <v>0</v>
      </c>
      <c r="I66" s="235">
        <f>'F11 - Capital Data'!D73</f>
        <v>0</v>
      </c>
      <c r="J66" s="235">
        <f>'F11 - Capital Data'!E73</f>
        <v>0</v>
      </c>
      <c r="K66" s="235">
        <f>'F11 - Capital Data'!F73</f>
        <v>0</v>
      </c>
      <c r="L66" s="235">
        <f>'F11 - Capital Data'!G73</f>
        <v>0</v>
      </c>
      <c r="M66" s="235">
        <f>'F11 - Capital Data'!H73</f>
        <v>0</v>
      </c>
      <c r="N66" s="235">
        <f>'F11 - Capital Data'!I73</f>
        <v>0</v>
      </c>
      <c r="O66" s="235">
        <f>'F11 - Capital Data'!K73</f>
        <v>0</v>
      </c>
      <c r="P66" s="235">
        <f>'F11 - Capital Data'!L73</f>
        <v>0</v>
      </c>
      <c r="Q66" s="235">
        <f>'F11 - Capital Data'!M73</f>
        <v>0</v>
      </c>
      <c r="R66" s="235">
        <f>'F11 - Capital Data'!N73</f>
        <v>0</v>
      </c>
      <c r="S66" s="235">
        <f>'F11 - Capital Data'!O73</f>
        <v>0</v>
      </c>
      <c r="T66" s="235">
        <f>'F11 - Capital Data'!P73</f>
        <v>0</v>
      </c>
      <c r="U66" s="235" t="str">
        <f>'F11 - Capital Data'!Q73</f>
        <v>N/A</v>
      </c>
    </row>
    <row r="67" spans="1:21">
      <c r="A67" s="234" t="str">
        <f>'Front Sheet and Checklist'!$C$5</f>
        <v>Swansea Bay UHB</v>
      </c>
      <c r="B67" s="234" t="s">
        <v>940</v>
      </c>
      <c r="C67" s="235" t="str">
        <f>'F11 - Capital Data'!$B$64</f>
        <v>APPROVED SCHEMES (AWCP)</v>
      </c>
      <c r="D67" s="235"/>
      <c r="E67" s="235" t="s">
        <v>941</v>
      </c>
      <c r="F67" s="235">
        <f>'F11 - Capital Data'!B74</f>
        <v>0</v>
      </c>
      <c r="G67" s="235"/>
      <c r="H67" s="235">
        <f>'F11 - Capital Data'!C74</f>
        <v>0</v>
      </c>
      <c r="I67" s="235">
        <f>'F11 - Capital Data'!D74</f>
        <v>0</v>
      </c>
      <c r="J67" s="235">
        <f>'F11 - Capital Data'!E74</f>
        <v>0</v>
      </c>
      <c r="K67" s="235">
        <f>'F11 - Capital Data'!F74</f>
        <v>0</v>
      </c>
      <c r="L67" s="235">
        <f>'F11 - Capital Data'!G74</f>
        <v>0</v>
      </c>
      <c r="M67" s="235">
        <f>'F11 - Capital Data'!H74</f>
        <v>0</v>
      </c>
      <c r="N67" s="235">
        <f>'F11 - Capital Data'!I74</f>
        <v>0</v>
      </c>
      <c r="O67" s="235">
        <f>'F11 - Capital Data'!K74</f>
        <v>0</v>
      </c>
      <c r="P67" s="235">
        <f>'F11 - Capital Data'!L74</f>
        <v>0</v>
      </c>
      <c r="Q67" s="235">
        <f>'F11 - Capital Data'!M74</f>
        <v>0</v>
      </c>
      <c r="R67" s="235">
        <f>'F11 - Capital Data'!N74</f>
        <v>0</v>
      </c>
      <c r="S67" s="235">
        <f>'F11 - Capital Data'!O74</f>
        <v>0</v>
      </c>
      <c r="T67" s="235">
        <f>'F11 - Capital Data'!P74</f>
        <v>0</v>
      </c>
      <c r="U67" s="235" t="str">
        <f>'F11 - Capital Data'!Q74</f>
        <v>N/A</v>
      </c>
    </row>
    <row r="68" spans="1:21">
      <c r="A68" s="234" t="str">
        <f>'Front Sheet and Checklist'!$C$5</f>
        <v>Swansea Bay UHB</v>
      </c>
      <c r="B68" s="234" t="s">
        <v>940</v>
      </c>
      <c r="C68" s="235" t="str">
        <f>'F11 - Capital Data'!$B$64</f>
        <v>APPROVED SCHEMES (AWCP)</v>
      </c>
      <c r="D68" s="235"/>
      <c r="E68" s="235" t="s">
        <v>941</v>
      </c>
      <c r="F68" s="235">
        <f>'F11 - Capital Data'!B75</f>
        <v>0</v>
      </c>
      <c r="G68" s="235"/>
      <c r="H68" s="235">
        <f>'F11 - Capital Data'!C75</f>
        <v>0</v>
      </c>
      <c r="I68" s="235">
        <f>'F11 - Capital Data'!D75</f>
        <v>0</v>
      </c>
      <c r="J68" s="235">
        <f>'F11 - Capital Data'!E75</f>
        <v>0</v>
      </c>
      <c r="K68" s="235">
        <f>'F11 - Capital Data'!F75</f>
        <v>0</v>
      </c>
      <c r="L68" s="235">
        <f>'F11 - Capital Data'!G75</f>
        <v>0</v>
      </c>
      <c r="M68" s="235">
        <f>'F11 - Capital Data'!H75</f>
        <v>0</v>
      </c>
      <c r="N68" s="235">
        <f>'F11 - Capital Data'!I75</f>
        <v>0</v>
      </c>
      <c r="O68" s="235">
        <f>'F11 - Capital Data'!K75</f>
        <v>0</v>
      </c>
      <c r="P68" s="235">
        <f>'F11 - Capital Data'!L75</f>
        <v>0</v>
      </c>
      <c r="Q68" s="235">
        <f>'F11 - Capital Data'!M75</f>
        <v>0</v>
      </c>
      <c r="R68" s="235">
        <f>'F11 - Capital Data'!N75</f>
        <v>0</v>
      </c>
      <c r="S68" s="235">
        <f>'F11 - Capital Data'!O75</f>
        <v>0</v>
      </c>
      <c r="T68" s="235">
        <f>'F11 - Capital Data'!P75</f>
        <v>0</v>
      </c>
      <c r="U68" s="235" t="str">
        <f>'F11 - Capital Data'!Q75</f>
        <v>N/A</v>
      </c>
    </row>
    <row r="69" spans="1:21">
      <c r="A69" s="234" t="str">
        <f>'Front Sheet and Checklist'!$C$5</f>
        <v>Swansea Bay UHB</v>
      </c>
      <c r="B69" s="234" t="s">
        <v>940</v>
      </c>
      <c r="C69" s="235" t="str">
        <f>'F11 - Capital Data'!$B$64</f>
        <v>APPROVED SCHEMES (AWCP)</v>
      </c>
      <c r="D69" s="235"/>
      <c r="E69" s="235" t="s">
        <v>941</v>
      </c>
      <c r="F69" s="235">
        <f>'F11 - Capital Data'!B76</f>
        <v>0</v>
      </c>
      <c r="G69" s="235"/>
      <c r="H69" s="235">
        <f>'F11 - Capital Data'!C76</f>
        <v>0</v>
      </c>
      <c r="I69" s="235">
        <f>'F11 - Capital Data'!D76</f>
        <v>0</v>
      </c>
      <c r="J69" s="235">
        <f>'F11 - Capital Data'!E76</f>
        <v>0</v>
      </c>
      <c r="K69" s="235">
        <f>'F11 - Capital Data'!F76</f>
        <v>0</v>
      </c>
      <c r="L69" s="235">
        <f>'F11 - Capital Data'!G76</f>
        <v>0</v>
      </c>
      <c r="M69" s="235">
        <f>'F11 - Capital Data'!H76</f>
        <v>0</v>
      </c>
      <c r="N69" s="235">
        <f>'F11 - Capital Data'!I76</f>
        <v>0</v>
      </c>
      <c r="O69" s="235">
        <f>'F11 - Capital Data'!K76</f>
        <v>0</v>
      </c>
      <c r="P69" s="235">
        <f>'F11 - Capital Data'!L76</f>
        <v>0</v>
      </c>
      <c r="Q69" s="235">
        <f>'F11 - Capital Data'!M76</f>
        <v>0</v>
      </c>
      <c r="R69" s="235">
        <f>'F11 - Capital Data'!N76</f>
        <v>0</v>
      </c>
      <c r="S69" s="235">
        <f>'F11 - Capital Data'!O76</f>
        <v>0</v>
      </c>
      <c r="T69" s="235">
        <f>'F11 - Capital Data'!P76</f>
        <v>0</v>
      </c>
      <c r="U69" s="235" t="str">
        <f>'F11 - Capital Data'!Q76</f>
        <v>N/A</v>
      </c>
    </row>
    <row r="70" spans="1:21">
      <c r="A70" s="234" t="str">
        <f>'Front Sheet and Checklist'!$C$5</f>
        <v>Swansea Bay UHB</v>
      </c>
      <c r="B70" s="234" t="s">
        <v>940</v>
      </c>
      <c r="C70" s="235" t="str">
        <f>'F11 - Capital Data'!$B$64</f>
        <v>APPROVED SCHEMES (AWCP)</v>
      </c>
      <c r="D70" s="235"/>
      <c r="E70" s="235" t="s">
        <v>941</v>
      </c>
      <c r="F70" s="235">
        <f>'F11 - Capital Data'!B77</f>
        <v>0</v>
      </c>
      <c r="G70" s="235"/>
      <c r="H70" s="235">
        <f>'F11 - Capital Data'!C77</f>
        <v>0</v>
      </c>
      <c r="I70" s="235">
        <f>'F11 - Capital Data'!D77</f>
        <v>0</v>
      </c>
      <c r="J70" s="235">
        <f>'F11 - Capital Data'!E77</f>
        <v>0</v>
      </c>
      <c r="K70" s="235">
        <f>'F11 - Capital Data'!F77</f>
        <v>0</v>
      </c>
      <c r="L70" s="235">
        <f>'F11 - Capital Data'!G77</f>
        <v>0</v>
      </c>
      <c r="M70" s="235">
        <f>'F11 - Capital Data'!H77</f>
        <v>0</v>
      </c>
      <c r="N70" s="235">
        <f>'F11 - Capital Data'!I77</f>
        <v>0</v>
      </c>
      <c r="O70" s="235">
        <f>'F11 - Capital Data'!K77</f>
        <v>0</v>
      </c>
      <c r="P70" s="235">
        <f>'F11 - Capital Data'!L77</f>
        <v>0</v>
      </c>
      <c r="Q70" s="235">
        <f>'F11 - Capital Data'!M77</f>
        <v>0</v>
      </c>
      <c r="R70" s="235">
        <f>'F11 - Capital Data'!N77</f>
        <v>0</v>
      </c>
      <c r="S70" s="235">
        <f>'F11 - Capital Data'!O77</f>
        <v>0</v>
      </c>
      <c r="T70" s="235">
        <f>'F11 - Capital Data'!P77</f>
        <v>0</v>
      </c>
      <c r="U70" s="235" t="str">
        <f>'F11 - Capital Data'!Q77</f>
        <v>N/A</v>
      </c>
    </row>
    <row r="71" spans="1:21">
      <c r="A71" s="234" t="str">
        <f>'Front Sheet and Checklist'!$C$5</f>
        <v>Swansea Bay UHB</v>
      </c>
      <c r="B71" s="234" t="s">
        <v>940</v>
      </c>
      <c r="C71" s="235" t="str">
        <f>'F11 - Capital Data'!$B$64</f>
        <v>APPROVED SCHEMES (AWCP)</v>
      </c>
      <c r="D71" s="235"/>
      <c r="E71" s="235" t="s">
        <v>941</v>
      </c>
      <c r="F71" s="235">
        <f>'F11 - Capital Data'!B78</f>
        <v>0</v>
      </c>
      <c r="G71" s="235"/>
      <c r="H71" s="235">
        <f>'F11 - Capital Data'!C78</f>
        <v>0</v>
      </c>
      <c r="I71" s="235">
        <f>'F11 - Capital Data'!D78</f>
        <v>0</v>
      </c>
      <c r="J71" s="235">
        <f>'F11 - Capital Data'!E78</f>
        <v>0</v>
      </c>
      <c r="K71" s="235">
        <f>'F11 - Capital Data'!F78</f>
        <v>0</v>
      </c>
      <c r="L71" s="235">
        <f>'F11 - Capital Data'!G78</f>
        <v>0</v>
      </c>
      <c r="M71" s="235">
        <f>'F11 - Capital Data'!H78</f>
        <v>0</v>
      </c>
      <c r="N71" s="235">
        <f>'F11 - Capital Data'!I78</f>
        <v>0</v>
      </c>
      <c r="O71" s="235">
        <f>'F11 - Capital Data'!K78</f>
        <v>0</v>
      </c>
      <c r="P71" s="235">
        <f>'F11 - Capital Data'!L78</f>
        <v>0</v>
      </c>
      <c r="Q71" s="235">
        <f>'F11 - Capital Data'!M78</f>
        <v>0</v>
      </c>
      <c r="R71" s="235">
        <f>'F11 - Capital Data'!N78</f>
        <v>0</v>
      </c>
      <c r="S71" s="235">
        <f>'F11 - Capital Data'!O78</f>
        <v>0</v>
      </c>
      <c r="T71" s="235">
        <f>'F11 - Capital Data'!P78</f>
        <v>0</v>
      </c>
      <c r="U71" s="235" t="str">
        <f>'F11 - Capital Data'!Q78</f>
        <v>N/A</v>
      </c>
    </row>
    <row r="72" spans="1:21">
      <c r="A72" s="234" t="str">
        <f>'Front Sheet and Checklist'!$C$5</f>
        <v>Swansea Bay UHB</v>
      </c>
      <c r="B72" s="234" t="s">
        <v>940</v>
      </c>
      <c r="C72" s="235" t="str">
        <f>'F11 - Capital Data'!$B$64</f>
        <v>APPROVED SCHEMES (AWCP)</v>
      </c>
      <c r="D72" s="235"/>
      <c r="E72" s="235" t="s">
        <v>941</v>
      </c>
      <c r="F72" s="235">
        <f>'F11 - Capital Data'!B79</f>
        <v>0</v>
      </c>
      <c r="G72" s="235"/>
      <c r="H72" s="235">
        <f>'F11 - Capital Data'!C79</f>
        <v>0</v>
      </c>
      <c r="I72" s="235">
        <f>'F11 - Capital Data'!D79</f>
        <v>0</v>
      </c>
      <c r="J72" s="235">
        <f>'F11 - Capital Data'!E79</f>
        <v>0</v>
      </c>
      <c r="K72" s="235">
        <f>'F11 - Capital Data'!F79</f>
        <v>0</v>
      </c>
      <c r="L72" s="235">
        <f>'F11 - Capital Data'!G79</f>
        <v>0</v>
      </c>
      <c r="M72" s="235">
        <f>'F11 - Capital Data'!H79</f>
        <v>0</v>
      </c>
      <c r="N72" s="235">
        <f>'F11 - Capital Data'!I79</f>
        <v>0</v>
      </c>
      <c r="O72" s="235">
        <f>'F11 - Capital Data'!K79</f>
        <v>0</v>
      </c>
      <c r="P72" s="235">
        <f>'F11 - Capital Data'!L79</f>
        <v>0</v>
      </c>
      <c r="Q72" s="235">
        <f>'F11 - Capital Data'!M79</f>
        <v>0</v>
      </c>
      <c r="R72" s="235">
        <f>'F11 - Capital Data'!N79</f>
        <v>0</v>
      </c>
      <c r="S72" s="235">
        <f>'F11 - Capital Data'!O79</f>
        <v>0</v>
      </c>
      <c r="T72" s="235">
        <f>'F11 - Capital Data'!P79</f>
        <v>0</v>
      </c>
      <c r="U72" s="235" t="str">
        <f>'F11 - Capital Data'!Q79</f>
        <v>N/A</v>
      </c>
    </row>
    <row r="73" spans="1:21">
      <c r="A73" s="234" t="str">
        <f>'Front Sheet and Checklist'!$C$5</f>
        <v>Swansea Bay UHB</v>
      </c>
      <c r="B73" s="234" t="s">
        <v>940</v>
      </c>
      <c r="C73" s="235" t="str">
        <f>'F11 - Capital Data'!$B$64</f>
        <v>APPROVED SCHEMES (AWCP)</v>
      </c>
      <c r="D73" s="235"/>
      <c r="E73" s="235" t="s">
        <v>941</v>
      </c>
      <c r="F73" s="235">
        <f>'F11 - Capital Data'!B80</f>
        <v>0</v>
      </c>
      <c r="G73" s="235"/>
      <c r="H73" s="235">
        <f>'F11 - Capital Data'!C80</f>
        <v>0</v>
      </c>
      <c r="I73" s="235">
        <f>'F11 - Capital Data'!D80</f>
        <v>0</v>
      </c>
      <c r="J73" s="235">
        <f>'F11 - Capital Data'!E80</f>
        <v>0</v>
      </c>
      <c r="K73" s="235">
        <f>'F11 - Capital Data'!F80</f>
        <v>0</v>
      </c>
      <c r="L73" s="235">
        <f>'F11 - Capital Data'!G80</f>
        <v>0</v>
      </c>
      <c r="M73" s="235">
        <f>'F11 - Capital Data'!H80</f>
        <v>0</v>
      </c>
      <c r="N73" s="235">
        <f>'F11 - Capital Data'!I80</f>
        <v>0</v>
      </c>
      <c r="O73" s="235">
        <f>'F11 - Capital Data'!K80</f>
        <v>0</v>
      </c>
      <c r="P73" s="235">
        <f>'F11 - Capital Data'!L80</f>
        <v>0</v>
      </c>
      <c r="Q73" s="235">
        <f>'F11 - Capital Data'!M80</f>
        <v>0</v>
      </c>
      <c r="R73" s="235">
        <f>'F11 - Capital Data'!N80</f>
        <v>0</v>
      </c>
      <c r="S73" s="235">
        <f>'F11 - Capital Data'!O80</f>
        <v>0</v>
      </c>
      <c r="T73" s="235">
        <f>'F11 - Capital Data'!P80</f>
        <v>0</v>
      </c>
      <c r="U73" s="235" t="str">
        <f>'F11 - Capital Data'!Q80</f>
        <v>N/A</v>
      </c>
    </row>
    <row r="74" spans="1:21">
      <c r="A74" s="234" t="str">
        <f>'Front Sheet and Checklist'!$C$5</f>
        <v>Swansea Bay UHB</v>
      </c>
      <c r="B74" s="234" t="s">
        <v>940</v>
      </c>
      <c r="C74" s="235" t="str">
        <f>'F11 - Capital Data'!$B$64</f>
        <v>APPROVED SCHEMES (AWCP)</v>
      </c>
      <c r="D74" s="235"/>
      <c r="E74" s="235" t="s">
        <v>941</v>
      </c>
      <c r="F74" s="235">
        <f>'F11 - Capital Data'!B81</f>
        <v>0</v>
      </c>
      <c r="G74" s="235"/>
      <c r="H74" s="235">
        <f>'F11 - Capital Data'!C81</f>
        <v>0</v>
      </c>
      <c r="I74" s="235">
        <f>'F11 - Capital Data'!D81</f>
        <v>0</v>
      </c>
      <c r="J74" s="235">
        <f>'F11 - Capital Data'!E81</f>
        <v>0</v>
      </c>
      <c r="K74" s="235">
        <f>'F11 - Capital Data'!F81</f>
        <v>0</v>
      </c>
      <c r="L74" s="235">
        <f>'F11 - Capital Data'!G81</f>
        <v>0</v>
      </c>
      <c r="M74" s="235">
        <f>'F11 - Capital Data'!H81</f>
        <v>0</v>
      </c>
      <c r="N74" s="235">
        <f>'F11 - Capital Data'!I81</f>
        <v>0</v>
      </c>
      <c r="O74" s="235">
        <f>'F11 - Capital Data'!K81</f>
        <v>0</v>
      </c>
      <c r="P74" s="235">
        <f>'F11 - Capital Data'!L81</f>
        <v>0</v>
      </c>
      <c r="Q74" s="235">
        <f>'F11 - Capital Data'!M81</f>
        <v>0</v>
      </c>
      <c r="R74" s="235">
        <f>'F11 - Capital Data'!N81</f>
        <v>0</v>
      </c>
      <c r="S74" s="235">
        <f>'F11 - Capital Data'!O81</f>
        <v>0</v>
      </c>
      <c r="T74" s="235">
        <f>'F11 - Capital Data'!P81</f>
        <v>0</v>
      </c>
      <c r="U74" s="235" t="str">
        <f>'F11 - Capital Data'!Q81</f>
        <v>N/A</v>
      </c>
    </row>
    <row r="75" spans="1:21">
      <c r="A75" s="234" t="str">
        <f>'Front Sheet and Checklist'!$C$5</f>
        <v>Swansea Bay UHB</v>
      </c>
      <c r="B75" s="234" t="s">
        <v>940</v>
      </c>
      <c r="C75" s="235" t="str">
        <f>'F11 - Capital Data'!$B$64</f>
        <v>APPROVED SCHEMES (AWCP)</v>
      </c>
      <c r="D75" s="235"/>
      <c r="E75" s="235" t="s">
        <v>941</v>
      </c>
      <c r="F75" s="235">
        <f>'F11 - Capital Data'!B82</f>
        <v>0</v>
      </c>
      <c r="G75" s="235"/>
      <c r="H75" s="235">
        <f>'F11 - Capital Data'!C82</f>
        <v>0</v>
      </c>
      <c r="I75" s="235">
        <f>'F11 - Capital Data'!D82</f>
        <v>0</v>
      </c>
      <c r="J75" s="235">
        <f>'F11 - Capital Data'!E82</f>
        <v>0</v>
      </c>
      <c r="K75" s="235">
        <f>'F11 - Capital Data'!F82</f>
        <v>0</v>
      </c>
      <c r="L75" s="235">
        <f>'F11 - Capital Data'!G82</f>
        <v>0</v>
      </c>
      <c r="M75" s="235">
        <f>'F11 - Capital Data'!H82</f>
        <v>0</v>
      </c>
      <c r="N75" s="235">
        <f>'F11 - Capital Data'!I82</f>
        <v>0</v>
      </c>
      <c r="O75" s="235">
        <f>'F11 - Capital Data'!K82</f>
        <v>0</v>
      </c>
      <c r="P75" s="235">
        <f>'F11 - Capital Data'!L82</f>
        <v>0</v>
      </c>
      <c r="Q75" s="235">
        <f>'F11 - Capital Data'!M82</f>
        <v>0</v>
      </c>
      <c r="R75" s="235">
        <f>'F11 - Capital Data'!N82</f>
        <v>0</v>
      </c>
      <c r="S75" s="235">
        <f>'F11 - Capital Data'!O82</f>
        <v>0</v>
      </c>
      <c r="T75" s="235">
        <f>'F11 - Capital Data'!P82</f>
        <v>0</v>
      </c>
      <c r="U75" s="235" t="str">
        <f>'F11 - Capital Data'!Q82</f>
        <v>N/A</v>
      </c>
    </row>
    <row r="76" spans="1:21">
      <c r="A76" s="234" t="str">
        <f>'Front Sheet and Checklist'!$C$5</f>
        <v>Swansea Bay UHB</v>
      </c>
      <c r="B76" s="234" t="s">
        <v>940</v>
      </c>
      <c r="C76" s="235" t="str">
        <f>'F11 - Capital Data'!$B$64</f>
        <v>APPROVED SCHEMES (AWCP)</v>
      </c>
      <c r="D76" s="235"/>
      <c r="E76" s="235" t="s">
        <v>941</v>
      </c>
      <c r="F76" s="235">
        <f>'F11 - Capital Data'!B83</f>
        <v>0</v>
      </c>
      <c r="G76" s="235"/>
      <c r="H76" s="235">
        <f>'F11 - Capital Data'!C83</f>
        <v>0</v>
      </c>
      <c r="I76" s="235">
        <f>'F11 - Capital Data'!D83</f>
        <v>0</v>
      </c>
      <c r="J76" s="235">
        <f>'F11 - Capital Data'!E83</f>
        <v>0</v>
      </c>
      <c r="K76" s="235">
        <f>'F11 - Capital Data'!F83</f>
        <v>0</v>
      </c>
      <c r="L76" s="235">
        <f>'F11 - Capital Data'!G83</f>
        <v>0</v>
      </c>
      <c r="M76" s="235">
        <f>'F11 - Capital Data'!H83</f>
        <v>0</v>
      </c>
      <c r="N76" s="235">
        <f>'F11 - Capital Data'!I83</f>
        <v>0</v>
      </c>
      <c r="O76" s="235">
        <f>'F11 - Capital Data'!K83</f>
        <v>0</v>
      </c>
      <c r="P76" s="235">
        <f>'F11 - Capital Data'!L83</f>
        <v>0</v>
      </c>
      <c r="Q76" s="235">
        <f>'F11 - Capital Data'!M83</f>
        <v>0</v>
      </c>
      <c r="R76" s="235">
        <f>'F11 - Capital Data'!N83</f>
        <v>0</v>
      </c>
      <c r="S76" s="235">
        <f>'F11 - Capital Data'!O83</f>
        <v>0</v>
      </c>
      <c r="T76" s="235">
        <f>'F11 - Capital Data'!P83</f>
        <v>0</v>
      </c>
      <c r="U76" s="235" t="str">
        <f>'F11 - Capital Data'!Q83</f>
        <v>N/A</v>
      </c>
    </row>
    <row r="77" spans="1:21">
      <c r="A77" s="234" t="str">
        <f>'Front Sheet and Checklist'!$C$5</f>
        <v>Swansea Bay UHB</v>
      </c>
      <c r="B77" s="234" t="s">
        <v>940</v>
      </c>
      <c r="C77" s="235" t="str">
        <f>'F11 - Capital Data'!$B$64</f>
        <v>APPROVED SCHEMES (AWCP)</v>
      </c>
      <c r="D77" s="235"/>
      <c r="E77" s="235" t="s">
        <v>941</v>
      </c>
      <c r="F77" s="235">
        <f>'F11 - Capital Data'!B84</f>
        <v>0</v>
      </c>
      <c r="G77" s="235"/>
      <c r="H77" s="235">
        <f>'F11 - Capital Data'!C84</f>
        <v>0</v>
      </c>
      <c r="I77" s="235">
        <f>'F11 - Capital Data'!D84</f>
        <v>0</v>
      </c>
      <c r="J77" s="235">
        <f>'F11 - Capital Data'!E84</f>
        <v>0</v>
      </c>
      <c r="K77" s="235">
        <f>'F11 - Capital Data'!F84</f>
        <v>0</v>
      </c>
      <c r="L77" s="235">
        <f>'F11 - Capital Data'!G84</f>
        <v>0</v>
      </c>
      <c r="M77" s="235">
        <f>'F11 - Capital Data'!H84</f>
        <v>0</v>
      </c>
      <c r="N77" s="235">
        <f>'F11 - Capital Data'!I84</f>
        <v>0</v>
      </c>
      <c r="O77" s="235">
        <f>'F11 - Capital Data'!K84</f>
        <v>0</v>
      </c>
      <c r="P77" s="235">
        <f>'F11 - Capital Data'!L84</f>
        <v>0</v>
      </c>
      <c r="Q77" s="235">
        <f>'F11 - Capital Data'!M84</f>
        <v>0</v>
      </c>
      <c r="R77" s="235">
        <f>'F11 - Capital Data'!N84</f>
        <v>0</v>
      </c>
      <c r="S77" s="235">
        <f>'F11 - Capital Data'!O84</f>
        <v>0</v>
      </c>
      <c r="T77" s="235">
        <f>'F11 - Capital Data'!P84</f>
        <v>0</v>
      </c>
      <c r="U77" s="235" t="str">
        <f>'F11 - Capital Data'!Q84</f>
        <v>N/A</v>
      </c>
    </row>
    <row r="78" spans="1:21">
      <c r="A78" s="234" t="str">
        <f>'Front Sheet and Checklist'!$C$5</f>
        <v>Swansea Bay UHB</v>
      </c>
      <c r="B78" s="234" t="s">
        <v>940</v>
      </c>
      <c r="C78" s="235" t="str">
        <f>'F11 - Capital Data'!$B$64</f>
        <v>APPROVED SCHEMES (AWCP)</v>
      </c>
      <c r="D78" s="235"/>
      <c r="E78" s="235" t="s">
        <v>941</v>
      </c>
      <c r="F78" s="235">
        <f>'F11 - Capital Data'!B85</f>
        <v>0</v>
      </c>
      <c r="G78" s="235"/>
      <c r="H78" s="235">
        <f>'F11 - Capital Data'!C85</f>
        <v>0</v>
      </c>
      <c r="I78" s="235">
        <f>'F11 - Capital Data'!D85</f>
        <v>0</v>
      </c>
      <c r="J78" s="235">
        <f>'F11 - Capital Data'!E85</f>
        <v>0</v>
      </c>
      <c r="K78" s="235">
        <f>'F11 - Capital Data'!F85</f>
        <v>0</v>
      </c>
      <c r="L78" s="235">
        <f>'F11 - Capital Data'!G85</f>
        <v>0</v>
      </c>
      <c r="M78" s="235">
        <f>'F11 - Capital Data'!H85</f>
        <v>0</v>
      </c>
      <c r="N78" s="235">
        <f>'F11 - Capital Data'!I85</f>
        <v>0</v>
      </c>
      <c r="O78" s="235">
        <f>'F11 - Capital Data'!K85</f>
        <v>0</v>
      </c>
      <c r="P78" s="235">
        <f>'F11 - Capital Data'!L85</f>
        <v>0</v>
      </c>
      <c r="Q78" s="235">
        <f>'F11 - Capital Data'!M85</f>
        <v>0</v>
      </c>
      <c r="R78" s="235">
        <f>'F11 - Capital Data'!N85</f>
        <v>0</v>
      </c>
      <c r="S78" s="235">
        <f>'F11 - Capital Data'!O85</f>
        <v>0</v>
      </c>
      <c r="T78" s="235">
        <f>'F11 - Capital Data'!P85</f>
        <v>0</v>
      </c>
      <c r="U78" s="235" t="str">
        <f>'F11 - Capital Data'!Q85</f>
        <v>N/A</v>
      </c>
    </row>
    <row r="79" spans="1:21">
      <c r="A79" s="234" t="str">
        <f>'Front Sheet and Checklist'!$C$5</f>
        <v>Swansea Bay UHB</v>
      </c>
      <c r="B79" s="234" t="s">
        <v>940</v>
      </c>
      <c r="C79" s="235" t="str">
        <f>'F11 - Capital Data'!$B$64</f>
        <v>APPROVED SCHEMES (AWCP)</v>
      </c>
      <c r="D79" s="235"/>
      <c r="E79" s="235" t="s">
        <v>941</v>
      </c>
      <c r="F79" s="235">
        <f>'F11 - Capital Data'!B86</f>
        <v>0</v>
      </c>
      <c r="G79" s="235"/>
      <c r="H79" s="235">
        <f>'F11 - Capital Data'!C86</f>
        <v>0</v>
      </c>
      <c r="I79" s="235">
        <f>'F11 - Capital Data'!D86</f>
        <v>0</v>
      </c>
      <c r="J79" s="235">
        <f>'F11 - Capital Data'!E86</f>
        <v>0</v>
      </c>
      <c r="K79" s="235">
        <f>'F11 - Capital Data'!F86</f>
        <v>0</v>
      </c>
      <c r="L79" s="235">
        <f>'F11 - Capital Data'!G86</f>
        <v>0</v>
      </c>
      <c r="M79" s="235">
        <f>'F11 - Capital Data'!H86</f>
        <v>0</v>
      </c>
      <c r="N79" s="235">
        <f>'F11 - Capital Data'!I86</f>
        <v>0</v>
      </c>
      <c r="O79" s="235">
        <f>'F11 - Capital Data'!K86</f>
        <v>0</v>
      </c>
      <c r="P79" s="235">
        <f>'F11 - Capital Data'!L86</f>
        <v>0</v>
      </c>
      <c r="Q79" s="235">
        <f>'F11 - Capital Data'!M86</f>
        <v>0</v>
      </c>
      <c r="R79" s="235">
        <f>'F11 - Capital Data'!N86</f>
        <v>0</v>
      </c>
      <c r="S79" s="235">
        <f>'F11 - Capital Data'!O86</f>
        <v>0</v>
      </c>
      <c r="T79" s="235">
        <f>'F11 - Capital Data'!P86</f>
        <v>0</v>
      </c>
      <c r="U79" s="235" t="str">
        <f>'F11 - Capital Data'!Q86</f>
        <v>N/A</v>
      </c>
    </row>
    <row r="80" spans="1:21">
      <c r="A80" s="234" t="str">
        <f>'Front Sheet and Checklist'!$C$5</f>
        <v>Swansea Bay UHB</v>
      </c>
      <c r="B80" s="234" t="s">
        <v>940</v>
      </c>
      <c r="C80" s="235" t="str">
        <f>'F11 - Capital Data'!$B$64</f>
        <v>APPROVED SCHEMES (AWCP)</v>
      </c>
      <c r="D80" s="235"/>
      <c r="E80" s="235" t="s">
        <v>941</v>
      </c>
      <c r="F80" s="235">
        <f>'F11 - Capital Data'!B87</f>
        <v>0</v>
      </c>
      <c r="G80" s="235"/>
      <c r="H80" s="235">
        <f>'F11 - Capital Data'!C87</f>
        <v>0</v>
      </c>
      <c r="I80" s="235">
        <f>'F11 - Capital Data'!D87</f>
        <v>0</v>
      </c>
      <c r="J80" s="235">
        <f>'F11 - Capital Data'!E87</f>
        <v>0</v>
      </c>
      <c r="K80" s="235">
        <f>'F11 - Capital Data'!F87</f>
        <v>0</v>
      </c>
      <c r="L80" s="235">
        <f>'F11 - Capital Data'!G87</f>
        <v>0</v>
      </c>
      <c r="M80" s="235">
        <f>'F11 - Capital Data'!H87</f>
        <v>0</v>
      </c>
      <c r="N80" s="235">
        <f>'F11 - Capital Data'!I87</f>
        <v>0</v>
      </c>
      <c r="O80" s="235">
        <f>'F11 - Capital Data'!K87</f>
        <v>0</v>
      </c>
      <c r="P80" s="235">
        <f>'F11 - Capital Data'!L87</f>
        <v>0</v>
      </c>
      <c r="Q80" s="235">
        <f>'F11 - Capital Data'!M87</f>
        <v>0</v>
      </c>
      <c r="R80" s="235">
        <f>'F11 - Capital Data'!N87</f>
        <v>0</v>
      </c>
      <c r="S80" s="235">
        <f>'F11 - Capital Data'!O87</f>
        <v>0</v>
      </c>
      <c r="T80" s="235">
        <f>'F11 - Capital Data'!P87</f>
        <v>0</v>
      </c>
      <c r="U80" s="235" t="str">
        <f>'F11 - Capital Data'!Q87</f>
        <v>N/A</v>
      </c>
    </row>
    <row r="81" spans="1:21">
      <c r="A81" s="234" t="str">
        <f>'Front Sheet and Checklist'!$C$5</f>
        <v>Swansea Bay UHB</v>
      </c>
      <c r="B81" s="234" t="s">
        <v>940</v>
      </c>
      <c r="C81" s="235" t="str">
        <f>'F11 - Capital Data'!$B$64</f>
        <v>APPROVED SCHEMES (AWCP)</v>
      </c>
      <c r="D81" s="235"/>
      <c r="E81" s="235" t="s">
        <v>941</v>
      </c>
      <c r="F81" s="235">
        <f>'F11 - Capital Data'!B88</f>
        <v>0</v>
      </c>
      <c r="G81" s="235"/>
      <c r="H81" s="235">
        <f>'F11 - Capital Data'!C88</f>
        <v>0</v>
      </c>
      <c r="I81" s="235">
        <f>'F11 - Capital Data'!D88</f>
        <v>0</v>
      </c>
      <c r="J81" s="235">
        <f>'F11 - Capital Data'!E88</f>
        <v>0</v>
      </c>
      <c r="K81" s="235">
        <f>'F11 - Capital Data'!F88</f>
        <v>0</v>
      </c>
      <c r="L81" s="235">
        <f>'F11 - Capital Data'!G88</f>
        <v>0</v>
      </c>
      <c r="M81" s="235">
        <f>'F11 - Capital Data'!H88</f>
        <v>0</v>
      </c>
      <c r="N81" s="235">
        <f>'F11 - Capital Data'!I88</f>
        <v>0</v>
      </c>
      <c r="O81" s="235">
        <f>'F11 - Capital Data'!K88</f>
        <v>0</v>
      </c>
      <c r="P81" s="235">
        <f>'F11 - Capital Data'!L88</f>
        <v>0</v>
      </c>
      <c r="Q81" s="235">
        <f>'F11 - Capital Data'!M88</f>
        <v>0</v>
      </c>
      <c r="R81" s="235">
        <f>'F11 - Capital Data'!N88</f>
        <v>0</v>
      </c>
      <c r="S81" s="235">
        <f>'F11 - Capital Data'!O88</f>
        <v>0</v>
      </c>
      <c r="T81" s="235">
        <f>'F11 - Capital Data'!P88</f>
        <v>0</v>
      </c>
      <c r="U81" s="235" t="str">
        <f>'F11 - Capital Data'!Q88</f>
        <v>N/A</v>
      </c>
    </row>
    <row r="82" spans="1:21">
      <c r="A82" s="234" t="str">
        <f>'Front Sheet and Checklist'!$C$5</f>
        <v>Swansea Bay UHB</v>
      </c>
      <c r="B82" s="234" t="s">
        <v>940</v>
      </c>
      <c r="C82" s="235" t="str">
        <f>'F11 - Capital Data'!$B$64</f>
        <v>APPROVED SCHEMES (AWCP)</v>
      </c>
      <c r="D82" s="235"/>
      <c r="E82" s="235" t="s">
        <v>941</v>
      </c>
      <c r="F82" s="235">
        <f>'F11 - Capital Data'!B89</f>
        <v>0</v>
      </c>
      <c r="G82" s="235"/>
      <c r="H82" s="235">
        <f>'F11 - Capital Data'!C89</f>
        <v>0</v>
      </c>
      <c r="I82" s="235">
        <f>'F11 - Capital Data'!D89</f>
        <v>0</v>
      </c>
      <c r="J82" s="235">
        <f>'F11 - Capital Data'!E89</f>
        <v>0</v>
      </c>
      <c r="K82" s="235">
        <f>'F11 - Capital Data'!F89</f>
        <v>0</v>
      </c>
      <c r="L82" s="235">
        <f>'F11 - Capital Data'!G89</f>
        <v>0</v>
      </c>
      <c r="M82" s="235">
        <f>'F11 - Capital Data'!H89</f>
        <v>0</v>
      </c>
      <c r="N82" s="235">
        <f>'F11 - Capital Data'!I89</f>
        <v>0</v>
      </c>
      <c r="O82" s="235">
        <f>'F11 - Capital Data'!K89</f>
        <v>0</v>
      </c>
      <c r="P82" s="235">
        <f>'F11 - Capital Data'!L89</f>
        <v>0</v>
      </c>
      <c r="Q82" s="235">
        <f>'F11 - Capital Data'!M89</f>
        <v>0</v>
      </c>
      <c r="R82" s="235">
        <f>'F11 - Capital Data'!N89</f>
        <v>0</v>
      </c>
      <c r="S82" s="235">
        <f>'F11 - Capital Data'!O89</f>
        <v>0</v>
      </c>
      <c r="T82" s="235">
        <f>'F11 - Capital Data'!P89</f>
        <v>0</v>
      </c>
      <c r="U82" s="235" t="str">
        <f>'F11 - Capital Data'!Q89</f>
        <v>N/A</v>
      </c>
    </row>
    <row r="83" spans="1:21">
      <c r="A83" s="234" t="str">
        <f>'Front Sheet and Checklist'!$C$5</f>
        <v>Swansea Bay UHB</v>
      </c>
      <c r="B83" s="234" t="s">
        <v>940</v>
      </c>
      <c r="C83" s="235" t="str">
        <f>'F11 - Capital Data'!$B$64</f>
        <v>APPROVED SCHEMES (AWCP)</v>
      </c>
      <c r="D83" s="235"/>
      <c r="E83" s="235" t="s">
        <v>941</v>
      </c>
      <c r="F83" s="235">
        <f>'F11 - Capital Data'!B90</f>
        <v>0</v>
      </c>
      <c r="G83" s="235"/>
      <c r="H83" s="235">
        <f>'F11 - Capital Data'!C90</f>
        <v>0</v>
      </c>
      <c r="I83" s="235">
        <f>'F11 - Capital Data'!D90</f>
        <v>0</v>
      </c>
      <c r="J83" s="235">
        <f>'F11 - Capital Data'!E90</f>
        <v>0</v>
      </c>
      <c r="K83" s="235">
        <f>'F11 - Capital Data'!F90</f>
        <v>0</v>
      </c>
      <c r="L83" s="235">
        <f>'F11 - Capital Data'!G90</f>
        <v>0</v>
      </c>
      <c r="M83" s="235">
        <f>'F11 - Capital Data'!H90</f>
        <v>0</v>
      </c>
      <c r="N83" s="235">
        <f>'F11 - Capital Data'!I90</f>
        <v>0</v>
      </c>
      <c r="O83" s="235">
        <f>'F11 - Capital Data'!K90</f>
        <v>0</v>
      </c>
      <c r="P83" s="235">
        <f>'F11 - Capital Data'!L90</f>
        <v>0</v>
      </c>
      <c r="Q83" s="235">
        <f>'F11 - Capital Data'!M90</f>
        <v>0</v>
      </c>
      <c r="R83" s="235">
        <f>'F11 - Capital Data'!N90</f>
        <v>0</v>
      </c>
      <c r="S83" s="235">
        <f>'F11 - Capital Data'!O90</f>
        <v>0</v>
      </c>
      <c r="T83" s="235">
        <f>'F11 - Capital Data'!P90</f>
        <v>0</v>
      </c>
      <c r="U83" s="235" t="str">
        <f>'F11 - Capital Data'!Q90</f>
        <v>N/A</v>
      </c>
    </row>
    <row r="84" spans="1:21">
      <c r="A84" s="234" t="str">
        <f>'Front Sheet and Checklist'!$C$5</f>
        <v>Swansea Bay UHB</v>
      </c>
      <c r="B84" s="234" t="s">
        <v>940</v>
      </c>
      <c r="C84" s="235" t="str">
        <f>'F11 - Capital Data'!$B$64</f>
        <v>APPROVED SCHEMES (AWCP)</v>
      </c>
      <c r="D84" s="235"/>
      <c r="E84" s="235" t="s">
        <v>941</v>
      </c>
      <c r="F84" s="235">
        <f>'F11 - Capital Data'!B91</f>
        <v>0</v>
      </c>
      <c r="G84" s="235"/>
      <c r="H84" s="235">
        <f>'F11 - Capital Data'!C91</f>
        <v>0</v>
      </c>
      <c r="I84" s="235">
        <f>'F11 - Capital Data'!D91</f>
        <v>0</v>
      </c>
      <c r="J84" s="235">
        <f>'F11 - Capital Data'!E91</f>
        <v>0</v>
      </c>
      <c r="K84" s="235">
        <f>'F11 - Capital Data'!F91</f>
        <v>0</v>
      </c>
      <c r="L84" s="235">
        <f>'F11 - Capital Data'!G91</f>
        <v>0</v>
      </c>
      <c r="M84" s="235">
        <f>'F11 - Capital Data'!H91</f>
        <v>0</v>
      </c>
      <c r="N84" s="235">
        <f>'F11 - Capital Data'!I91</f>
        <v>0</v>
      </c>
      <c r="O84" s="235">
        <f>'F11 - Capital Data'!K91</f>
        <v>0</v>
      </c>
      <c r="P84" s="235">
        <f>'F11 - Capital Data'!L91</f>
        <v>0</v>
      </c>
      <c r="Q84" s="235">
        <f>'F11 - Capital Data'!M91</f>
        <v>0</v>
      </c>
      <c r="R84" s="235">
        <f>'F11 - Capital Data'!N91</f>
        <v>0</v>
      </c>
      <c r="S84" s="235">
        <f>'F11 - Capital Data'!O91</f>
        <v>0</v>
      </c>
      <c r="T84" s="235">
        <f>'F11 - Capital Data'!P91</f>
        <v>0</v>
      </c>
      <c r="U84" s="235" t="str">
        <f>'F11 - Capital Data'!Q91</f>
        <v>N/A</v>
      </c>
    </row>
    <row r="85" spans="1:21">
      <c r="A85" s="234" t="str">
        <f>'Front Sheet and Checklist'!$C$5</f>
        <v>Swansea Bay UHB</v>
      </c>
      <c r="B85" s="234" t="s">
        <v>940</v>
      </c>
      <c r="C85" s="235" t="str">
        <f>'F11 - Capital Data'!$B$64</f>
        <v>APPROVED SCHEMES (AWCP)</v>
      </c>
      <c r="D85" s="235"/>
      <c r="E85" s="235" t="s">
        <v>941</v>
      </c>
      <c r="F85" s="235">
        <f>'F11 - Capital Data'!B92</f>
        <v>0</v>
      </c>
      <c r="G85" s="235"/>
      <c r="H85" s="235">
        <f>'F11 - Capital Data'!C92</f>
        <v>0</v>
      </c>
      <c r="I85" s="235">
        <f>'F11 - Capital Data'!D92</f>
        <v>0</v>
      </c>
      <c r="J85" s="235">
        <f>'F11 - Capital Data'!E92</f>
        <v>0</v>
      </c>
      <c r="K85" s="235">
        <f>'F11 - Capital Data'!F92</f>
        <v>0</v>
      </c>
      <c r="L85" s="235">
        <f>'F11 - Capital Data'!G92</f>
        <v>0</v>
      </c>
      <c r="M85" s="235">
        <f>'F11 - Capital Data'!H92</f>
        <v>0</v>
      </c>
      <c r="N85" s="235">
        <f>'F11 - Capital Data'!I92</f>
        <v>0</v>
      </c>
      <c r="O85" s="235">
        <f>'F11 - Capital Data'!K92</f>
        <v>0</v>
      </c>
      <c r="P85" s="235">
        <f>'F11 - Capital Data'!L92</f>
        <v>0</v>
      </c>
      <c r="Q85" s="235">
        <f>'F11 - Capital Data'!M92</f>
        <v>0</v>
      </c>
      <c r="R85" s="235">
        <f>'F11 - Capital Data'!N92</f>
        <v>0</v>
      </c>
      <c r="S85" s="235">
        <f>'F11 - Capital Data'!O92</f>
        <v>0</v>
      </c>
      <c r="T85" s="235">
        <f>'F11 - Capital Data'!P92</f>
        <v>0</v>
      </c>
      <c r="U85" s="235" t="str">
        <f>'F11 - Capital Data'!Q92</f>
        <v>N/A</v>
      </c>
    </row>
    <row r="86" spans="1:21">
      <c r="A86" s="234" t="str">
        <f>'Front Sheet and Checklist'!$C$5</f>
        <v>Swansea Bay UHB</v>
      </c>
      <c r="B86" s="234" t="s">
        <v>940</v>
      </c>
      <c r="C86" s="235" t="str">
        <f>'F11 - Capital Data'!$B$64</f>
        <v>APPROVED SCHEMES (AWCP)</v>
      </c>
      <c r="D86" s="235"/>
      <c r="E86" s="235" t="s">
        <v>941</v>
      </c>
      <c r="F86" s="235">
        <f>'F11 - Capital Data'!B93</f>
        <v>0</v>
      </c>
      <c r="G86" s="235"/>
      <c r="H86" s="235">
        <f>'F11 - Capital Data'!C93</f>
        <v>0</v>
      </c>
      <c r="I86" s="235">
        <f>'F11 - Capital Data'!D93</f>
        <v>0</v>
      </c>
      <c r="J86" s="235">
        <f>'F11 - Capital Data'!E93</f>
        <v>0</v>
      </c>
      <c r="K86" s="235">
        <f>'F11 - Capital Data'!F93</f>
        <v>0</v>
      </c>
      <c r="L86" s="235">
        <f>'F11 - Capital Data'!G93</f>
        <v>0</v>
      </c>
      <c r="M86" s="235">
        <f>'F11 - Capital Data'!H93</f>
        <v>0</v>
      </c>
      <c r="N86" s="235">
        <f>'F11 - Capital Data'!I93</f>
        <v>0</v>
      </c>
      <c r="O86" s="235">
        <f>'F11 - Capital Data'!K93</f>
        <v>0</v>
      </c>
      <c r="P86" s="235">
        <f>'F11 - Capital Data'!L93</f>
        <v>0</v>
      </c>
      <c r="Q86" s="235">
        <f>'F11 - Capital Data'!M93</f>
        <v>0</v>
      </c>
      <c r="R86" s="235">
        <f>'F11 - Capital Data'!N93</f>
        <v>0</v>
      </c>
      <c r="S86" s="235">
        <f>'F11 - Capital Data'!O93</f>
        <v>0</v>
      </c>
      <c r="T86" s="235">
        <f>'F11 - Capital Data'!P93</f>
        <v>0</v>
      </c>
      <c r="U86" s="235" t="str">
        <f>'F11 - Capital Data'!Q93</f>
        <v>N/A</v>
      </c>
    </row>
    <row r="87" spans="1:21">
      <c r="A87" s="234" t="str">
        <f>'Front Sheet and Checklist'!$C$5</f>
        <v>Swansea Bay UHB</v>
      </c>
      <c r="B87" s="234" t="s">
        <v>940</v>
      </c>
      <c r="C87" s="235" t="str">
        <f>'F11 - Capital Data'!$B$64</f>
        <v>APPROVED SCHEMES (AWCP)</v>
      </c>
      <c r="D87" s="235"/>
      <c r="E87" s="235" t="s">
        <v>941</v>
      </c>
      <c r="F87" s="235">
        <f>'F11 - Capital Data'!B94</f>
        <v>0</v>
      </c>
      <c r="G87" s="235"/>
      <c r="H87" s="235">
        <f>'F11 - Capital Data'!C94</f>
        <v>0</v>
      </c>
      <c r="I87" s="235">
        <f>'F11 - Capital Data'!D94</f>
        <v>0</v>
      </c>
      <c r="J87" s="235">
        <f>'F11 - Capital Data'!E94</f>
        <v>0</v>
      </c>
      <c r="K87" s="235">
        <f>'F11 - Capital Data'!F94</f>
        <v>0</v>
      </c>
      <c r="L87" s="235">
        <f>'F11 - Capital Data'!G94</f>
        <v>0</v>
      </c>
      <c r="M87" s="235">
        <f>'F11 - Capital Data'!H94</f>
        <v>0</v>
      </c>
      <c r="N87" s="235">
        <f>'F11 - Capital Data'!I94</f>
        <v>0</v>
      </c>
      <c r="O87" s="235">
        <f>'F11 - Capital Data'!K94</f>
        <v>0</v>
      </c>
      <c r="P87" s="235">
        <f>'F11 - Capital Data'!L94</f>
        <v>0</v>
      </c>
      <c r="Q87" s="235">
        <f>'F11 - Capital Data'!M94</f>
        <v>0</v>
      </c>
      <c r="R87" s="235">
        <f>'F11 - Capital Data'!N94</f>
        <v>0</v>
      </c>
      <c r="S87" s="235">
        <f>'F11 - Capital Data'!O94</f>
        <v>0</v>
      </c>
      <c r="T87" s="235">
        <f>'F11 - Capital Data'!P94</f>
        <v>0</v>
      </c>
      <c r="U87" s="235" t="str">
        <f>'F11 - Capital Data'!Q94</f>
        <v>N/A</v>
      </c>
    </row>
    <row r="88" spans="1:21">
      <c r="A88" s="234" t="str">
        <f>'Front Sheet and Checklist'!$C$5</f>
        <v>Swansea Bay UHB</v>
      </c>
      <c r="B88" s="234" t="s">
        <v>940</v>
      </c>
      <c r="C88" s="235" t="str">
        <f>'F11 - Capital Data'!$B$64</f>
        <v>APPROVED SCHEMES (AWCP)</v>
      </c>
      <c r="D88" s="235"/>
      <c r="E88" s="235" t="s">
        <v>941</v>
      </c>
      <c r="F88" s="235">
        <f>'F11 - Capital Data'!B95</f>
        <v>0</v>
      </c>
      <c r="G88" s="235"/>
      <c r="H88" s="235">
        <f>'F11 - Capital Data'!C95</f>
        <v>0</v>
      </c>
      <c r="I88" s="235">
        <f>'F11 - Capital Data'!D95</f>
        <v>0</v>
      </c>
      <c r="J88" s="235">
        <f>'F11 - Capital Data'!E95</f>
        <v>0</v>
      </c>
      <c r="K88" s="235">
        <f>'F11 - Capital Data'!F95</f>
        <v>0</v>
      </c>
      <c r="L88" s="235">
        <f>'F11 - Capital Data'!G95</f>
        <v>0</v>
      </c>
      <c r="M88" s="235">
        <f>'F11 - Capital Data'!H95</f>
        <v>0</v>
      </c>
      <c r="N88" s="235">
        <f>'F11 - Capital Data'!I95</f>
        <v>0</v>
      </c>
      <c r="O88" s="235">
        <f>'F11 - Capital Data'!K95</f>
        <v>0</v>
      </c>
      <c r="P88" s="235">
        <f>'F11 - Capital Data'!L95</f>
        <v>0</v>
      </c>
      <c r="Q88" s="235">
        <f>'F11 - Capital Data'!M95</f>
        <v>0</v>
      </c>
      <c r="R88" s="235">
        <f>'F11 - Capital Data'!N95</f>
        <v>0</v>
      </c>
      <c r="S88" s="235">
        <f>'F11 - Capital Data'!O95</f>
        <v>0</v>
      </c>
      <c r="T88" s="235">
        <f>'F11 - Capital Data'!P95</f>
        <v>0</v>
      </c>
      <c r="U88" s="235" t="str">
        <f>'F11 - Capital Data'!Q95</f>
        <v>N/A</v>
      </c>
    </row>
    <row r="89" spans="1:21">
      <c r="A89" s="234" t="str">
        <f>'Front Sheet and Checklist'!$C$5</f>
        <v>Swansea Bay UHB</v>
      </c>
      <c r="B89" s="234" t="s">
        <v>940</v>
      </c>
      <c r="C89" s="235" t="str">
        <f>'F11 - Capital Data'!$B$64</f>
        <v>APPROVED SCHEMES (AWCP)</v>
      </c>
      <c r="D89" s="235"/>
      <c r="E89" s="235" t="s">
        <v>941</v>
      </c>
      <c r="F89" s="235">
        <f>'F11 - Capital Data'!B96</f>
        <v>0</v>
      </c>
      <c r="G89" s="235"/>
      <c r="H89" s="235">
        <f>'F11 - Capital Data'!C96</f>
        <v>0</v>
      </c>
      <c r="I89" s="235">
        <f>'F11 - Capital Data'!D96</f>
        <v>0</v>
      </c>
      <c r="J89" s="235">
        <f>'F11 - Capital Data'!E96</f>
        <v>0</v>
      </c>
      <c r="K89" s="235">
        <f>'F11 - Capital Data'!F96</f>
        <v>0</v>
      </c>
      <c r="L89" s="235">
        <f>'F11 - Capital Data'!G96</f>
        <v>0</v>
      </c>
      <c r="M89" s="235">
        <f>'F11 - Capital Data'!H96</f>
        <v>0</v>
      </c>
      <c r="N89" s="235">
        <f>'F11 - Capital Data'!I96</f>
        <v>0</v>
      </c>
      <c r="O89" s="235">
        <f>'F11 - Capital Data'!K96</f>
        <v>0</v>
      </c>
      <c r="P89" s="235">
        <f>'F11 - Capital Data'!L96</f>
        <v>0</v>
      </c>
      <c r="Q89" s="235">
        <f>'F11 - Capital Data'!M96</f>
        <v>0</v>
      </c>
      <c r="R89" s="235">
        <f>'F11 - Capital Data'!N96</f>
        <v>0</v>
      </c>
      <c r="S89" s="235">
        <f>'F11 - Capital Data'!O96</f>
        <v>0</v>
      </c>
      <c r="T89" s="235">
        <f>'F11 - Capital Data'!P96</f>
        <v>0</v>
      </c>
      <c r="U89" s="235" t="str">
        <f>'F11 - Capital Data'!Q96</f>
        <v>N/A</v>
      </c>
    </row>
    <row r="90" spans="1:21">
      <c r="A90" s="234" t="str">
        <f>'Front Sheet and Checklist'!$C$5</f>
        <v>Swansea Bay UHB</v>
      </c>
      <c r="B90" s="234" t="s">
        <v>940</v>
      </c>
      <c r="C90" s="235" t="str">
        <f>'F11 - Capital Data'!$B$64</f>
        <v>APPROVED SCHEMES (AWCP)</v>
      </c>
      <c r="D90" s="235"/>
      <c r="E90" s="235" t="s">
        <v>941</v>
      </c>
      <c r="F90" s="235">
        <f>'F11 - Capital Data'!B97</f>
        <v>0</v>
      </c>
      <c r="G90" s="235"/>
      <c r="H90" s="235">
        <f>'F11 - Capital Data'!C97</f>
        <v>0</v>
      </c>
      <c r="I90" s="235">
        <f>'F11 - Capital Data'!D97</f>
        <v>0</v>
      </c>
      <c r="J90" s="235">
        <f>'F11 - Capital Data'!E97</f>
        <v>0</v>
      </c>
      <c r="K90" s="235">
        <f>'F11 - Capital Data'!F97</f>
        <v>0</v>
      </c>
      <c r="L90" s="235">
        <f>'F11 - Capital Data'!G97</f>
        <v>0</v>
      </c>
      <c r="M90" s="235">
        <f>'F11 - Capital Data'!H97</f>
        <v>0</v>
      </c>
      <c r="N90" s="235">
        <f>'F11 - Capital Data'!I97</f>
        <v>0</v>
      </c>
      <c r="O90" s="235">
        <f>'F11 - Capital Data'!K97</f>
        <v>0</v>
      </c>
      <c r="P90" s="235">
        <f>'F11 - Capital Data'!L97</f>
        <v>0</v>
      </c>
      <c r="Q90" s="235">
        <f>'F11 - Capital Data'!M97</f>
        <v>0</v>
      </c>
      <c r="R90" s="235">
        <f>'F11 - Capital Data'!N97</f>
        <v>0</v>
      </c>
      <c r="S90" s="235">
        <f>'F11 - Capital Data'!O97</f>
        <v>0</v>
      </c>
      <c r="T90" s="235">
        <f>'F11 - Capital Data'!P97</f>
        <v>0</v>
      </c>
      <c r="U90" s="235" t="str">
        <f>'F11 - Capital Data'!Q97</f>
        <v>N/A</v>
      </c>
    </row>
    <row r="91" spans="1:21">
      <c r="A91" s="234" t="str">
        <f>'Front Sheet and Checklist'!$C$5</f>
        <v>Swansea Bay UHB</v>
      </c>
      <c r="B91" s="234" t="s">
        <v>940</v>
      </c>
      <c r="C91" s="235" t="str">
        <f>'F11 - Capital Data'!$B$64</f>
        <v>APPROVED SCHEMES (AWCP)</v>
      </c>
      <c r="D91" s="235"/>
      <c r="E91" s="235" t="s">
        <v>941</v>
      </c>
      <c r="F91" s="235">
        <f>'F11 - Capital Data'!B98</f>
        <v>0</v>
      </c>
      <c r="G91" s="235"/>
      <c r="H91" s="235">
        <f>'F11 - Capital Data'!C98</f>
        <v>0</v>
      </c>
      <c r="I91" s="235">
        <f>'F11 - Capital Data'!D98</f>
        <v>0</v>
      </c>
      <c r="J91" s="235">
        <f>'F11 - Capital Data'!E98</f>
        <v>0</v>
      </c>
      <c r="K91" s="235">
        <f>'F11 - Capital Data'!F98</f>
        <v>0</v>
      </c>
      <c r="L91" s="235">
        <f>'F11 - Capital Data'!G98</f>
        <v>0</v>
      </c>
      <c r="M91" s="235">
        <f>'F11 - Capital Data'!H98</f>
        <v>0</v>
      </c>
      <c r="N91" s="235">
        <f>'F11 - Capital Data'!I98</f>
        <v>0</v>
      </c>
      <c r="O91" s="235">
        <f>'F11 - Capital Data'!K98</f>
        <v>0</v>
      </c>
      <c r="P91" s="235">
        <f>'F11 - Capital Data'!L98</f>
        <v>0</v>
      </c>
      <c r="Q91" s="235">
        <f>'F11 - Capital Data'!M98</f>
        <v>0</v>
      </c>
      <c r="R91" s="235">
        <f>'F11 - Capital Data'!N98</f>
        <v>0</v>
      </c>
      <c r="S91" s="235">
        <f>'F11 - Capital Data'!O98</f>
        <v>0</v>
      </c>
      <c r="T91" s="235">
        <f>'F11 - Capital Data'!P98</f>
        <v>0</v>
      </c>
      <c r="U91" s="235" t="str">
        <f>'F11 - Capital Data'!Q98</f>
        <v>N/A</v>
      </c>
    </row>
    <row r="92" spans="1:21">
      <c r="A92" s="234" t="str">
        <f>'Front Sheet and Checklist'!$C$5</f>
        <v>Swansea Bay UHB</v>
      </c>
      <c r="B92" s="234" t="s">
        <v>940</v>
      </c>
      <c r="C92" s="235" t="str">
        <f>'F11 - Capital Data'!$B$64</f>
        <v>APPROVED SCHEMES (AWCP)</v>
      </c>
      <c r="D92" s="235"/>
      <c r="E92" s="235" t="s">
        <v>268</v>
      </c>
      <c r="F92" s="235" t="str">
        <f>'F11 - Capital Data'!B99</f>
        <v>TOTAL APPROVED SCHEMES</v>
      </c>
      <c r="G92" s="235"/>
      <c r="H92" s="235">
        <f>'F11 - Capital Data'!C99</f>
        <v>12.968</v>
      </c>
      <c r="I92" s="235">
        <f>'F11 - Capital Data'!D99</f>
        <v>0</v>
      </c>
      <c r="J92" s="235">
        <f>'F11 - Capital Data'!E99</f>
        <v>0</v>
      </c>
      <c r="K92" s="235">
        <f>'F11 - Capital Data'!F99</f>
        <v>0</v>
      </c>
      <c r="L92" s="235">
        <f>'F11 - Capital Data'!G99</f>
        <v>0</v>
      </c>
      <c r="M92" s="235">
        <f>'F11 - Capital Data'!H99</f>
        <v>0</v>
      </c>
      <c r="N92" s="235">
        <f>'F11 - Capital Data'!I99</f>
        <v>0</v>
      </c>
      <c r="O92" s="235">
        <f>'F11 - Capital Data'!K99</f>
        <v>0.7330000000000001</v>
      </c>
      <c r="P92" s="235">
        <f>'F11 - Capital Data'!L99</f>
        <v>10.087000000000002</v>
      </c>
      <c r="Q92" s="235">
        <f>'F11 - Capital Data'!M99</f>
        <v>0</v>
      </c>
      <c r="R92" s="235">
        <f>'F11 - Capital Data'!N99</f>
        <v>0</v>
      </c>
      <c r="S92" s="235">
        <f>'F11 - Capital Data'!O99</f>
        <v>10.820000000000002</v>
      </c>
      <c r="T92" s="235">
        <f>'F11 - Capital Data'!P99</f>
        <v>0</v>
      </c>
      <c r="U92" s="235">
        <f>'F11 - Capital Data'!Q99</f>
        <v>0</v>
      </c>
    </row>
    <row r="93" spans="1:21">
      <c r="A93" s="234" t="str">
        <f>'Front Sheet and Checklist'!$C$5</f>
        <v>Swansea Bay UHB</v>
      </c>
      <c r="B93" s="234" t="s">
        <v>940</v>
      </c>
      <c r="C93" s="235" t="str">
        <f>'F11 - Capital Data'!$B$64</f>
        <v>APPROVED SCHEMES (AWCP)</v>
      </c>
      <c r="D93" s="235"/>
      <c r="E93" s="235" t="s">
        <v>941</v>
      </c>
      <c r="F93" s="235">
        <f>'F11 - Capital Data'!B100</f>
        <v>0</v>
      </c>
      <c r="G93" s="235"/>
      <c r="H93" s="235">
        <f>'F11 - Capital Data'!C100</f>
        <v>0</v>
      </c>
      <c r="I93" s="235">
        <f>'F11 - Capital Data'!D100</f>
        <v>0</v>
      </c>
      <c r="J93" s="235">
        <f>'F11 - Capital Data'!E100</f>
        <v>0</v>
      </c>
      <c r="K93" s="235">
        <f>'F11 - Capital Data'!F100</f>
        <v>0</v>
      </c>
      <c r="L93" s="235">
        <f>'F11 - Capital Data'!G100</f>
        <v>0</v>
      </c>
      <c r="M93" s="235">
        <f>'F11 - Capital Data'!H100</f>
        <v>0</v>
      </c>
      <c r="N93" s="235">
        <f>'F11 - Capital Data'!I100</f>
        <v>0</v>
      </c>
      <c r="O93" s="235">
        <f>'F11 - Capital Data'!K100</f>
        <v>0</v>
      </c>
      <c r="P93" s="235">
        <f>'F11 - Capital Data'!L100</f>
        <v>0</v>
      </c>
      <c r="Q93" s="235">
        <f>'F11 - Capital Data'!M100</f>
        <v>0</v>
      </c>
      <c r="R93" s="235">
        <f>'F11 - Capital Data'!N100</f>
        <v>0</v>
      </c>
      <c r="S93" s="235">
        <f>'F11 - Capital Data'!O100</f>
        <v>0</v>
      </c>
      <c r="T93" s="235">
        <f>'F11 - Capital Data'!P100</f>
        <v>0</v>
      </c>
      <c r="U93" s="235">
        <f>'F11 - Capital Data'!Q100</f>
        <v>0</v>
      </c>
    </row>
    <row r="94" spans="1:21">
      <c r="A94" s="234" t="str">
        <f>'Front Sheet and Checklist'!$C$5</f>
        <v>Swansea Bay UHB</v>
      </c>
      <c r="B94" s="234" t="s">
        <v>940</v>
      </c>
      <c r="C94" s="235" t="str">
        <f>'F11 - Capital Data'!$B$101</f>
        <v>UNAPPROVED SCHEMES</v>
      </c>
      <c r="D94" s="235"/>
      <c r="E94" s="235" t="s">
        <v>941</v>
      </c>
      <c r="F94" s="235" t="str">
        <f>'F11 - Capital Data'!B101</f>
        <v>UNAPPROVED SCHEMES</v>
      </c>
      <c r="G94" s="235"/>
      <c r="H94" s="235">
        <f>'F11 - Capital Data'!C101</f>
        <v>0</v>
      </c>
      <c r="I94" s="235">
        <f>'F11 - Capital Data'!D101</f>
        <v>0</v>
      </c>
      <c r="J94" s="235">
        <f>'F11 - Capital Data'!E101</f>
        <v>0</v>
      </c>
      <c r="K94" s="235">
        <f>'F11 - Capital Data'!F101</f>
        <v>0</v>
      </c>
      <c r="L94" s="235">
        <f>'F11 - Capital Data'!G101</f>
        <v>0</v>
      </c>
      <c r="M94" s="235">
        <f>'F11 - Capital Data'!H101</f>
        <v>0</v>
      </c>
      <c r="N94" s="235">
        <f>'F11 - Capital Data'!I101</f>
        <v>0</v>
      </c>
      <c r="O94" s="235">
        <f>'F11 - Capital Data'!K101</f>
        <v>0</v>
      </c>
      <c r="P94" s="235">
        <f>'F11 - Capital Data'!L101</f>
        <v>0</v>
      </c>
      <c r="Q94" s="235">
        <f>'F11 - Capital Data'!M101</f>
        <v>0</v>
      </c>
      <c r="R94" s="235">
        <f>'F11 - Capital Data'!N101</f>
        <v>0</v>
      </c>
      <c r="S94" s="235">
        <f>'F11 - Capital Data'!O101</f>
        <v>0</v>
      </c>
      <c r="T94" s="235">
        <f>'F11 - Capital Data'!P101</f>
        <v>0</v>
      </c>
      <c r="U94" s="235">
        <f>'F11 - Capital Data'!Q101</f>
        <v>0</v>
      </c>
    </row>
    <row r="95" spans="1:21">
      <c r="A95" s="234" t="str">
        <f>'Front Sheet and Checklist'!$C$5</f>
        <v>Swansea Bay UHB</v>
      </c>
      <c r="B95" s="234" t="s">
        <v>940</v>
      </c>
      <c r="C95" s="235" t="str">
        <f>'F11 - Capital Data'!$B$101</f>
        <v>UNAPPROVED SCHEMES</v>
      </c>
      <c r="D95" s="235"/>
      <c r="E95" s="235" t="s">
        <v>941</v>
      </c>
      <c r="F95" s="235" t="str">
        <f>'F11 - Capital Data'!B102</f>
        <v>ED Improvements, Morriston</v>
      </c>
      <c r="G95" s="235"/>
      <c r="H95" s="235">
        <f>'F11 - Capital Data'!C102</f>
        <v>2.889532</v>
      </c>
      <c r="I95" s="235">
        <f>'F11 - Capital Data'!D102</f>
        <v>14.234700999999999</v>
      </c>
      <c r="J95" s="235">
        <f>'F11 - Capital Data'!E102</f>
        <v>9.4327679999999994</v>
      </c>
      <c r="K95" s="235">
        <f>'F11 - Capital Data'!F102</f>
        <v>0</v>
      </c>
      <c r="L95" s="235">
        <f>'F11 - Capital Data'!G102</f>
        <v>0</v>
      </c>
      <c r="M95" s="235">
        <f>'F11 - Capital Data'!H102</f>
        <v>26.557001</v>
      </c>
      <c r="N95" s="235">
        <f>'F11 - Capital Data'!I102</f>
        <v>0</v>
      </c>
      <c r="O95" s="235">
        <f>'F11 - Capital Data'!K102</f>
        <v>0</v>
      </c>
      <c r="P95" s="235">
        <f>'F11 - Capital Data'!L102</f>
        <v>0.5</v>
      </c>
      <c r="Q95" s="235">
        <f>'F11 - Capital Data'!M102</f>
        <v>0</v>
      </c>
      <c r="R95" s="235">
        <f>'F11 - Capital Data'!N102</f>
        <v>0</v>
      </c>
      <c r="S95" s="235">
        <f>'F11 - Capital Data'!O102</f>
        <v>0.5</v>
      </c>
      <c r="T95" s="235" t="str">
        <f>'F11 - Capital Data'!P102</f>
        <v>N</v>
      </c>
      <c r="U95" s="235" t="str">
        <f>'F11 - Capital Data'!Q102</f>
        <v>N</v>
      </c>
    </row>
    <row r="96" spans="1:21">
      <c r="A96" s="234" t="str">
        <f>'Front Sheet and Checklist'!$C$5</f>
        <v>Swansea Bay UHB</v>
      </c>
      <c r="B96" s="234" t="s">
        <v>940</v>
      </c>
      <c r="C96" s="235" t="str">
        <f>'F11 - Capital Data'!$B$101</f>
        <v>UNAPPROVED SCHEMES</v>
      </c>
      <c r="D96" s="235"/>
      <c r="E96" s="235" t="s">
        <v>941</v>
      </c>
      <c r="F96" s="235" t="str">
        <f>'F11 - Capital Data'!B103</f>
        <v>Urology OR1 Theatres, Centre of Excellence, NPT</v>
      </c>
      <c r="G96" s="235"/>
      <c r="H96" s="235">
        <f>'F11 - Capital Data'!C103</f>
        <v>2.2149999999999999</v>
      </c>
      <c r="I96" s="235">
        <f>'F11 - Capital Data'!D103</f>
        <v>0</v>
      </c>
      <c r="J96" s="235">
        <f>'F11 - Capital Data'!E103</f>
        <v>0</v>
      </c>
      <c r="K96" s="235">
        <f>'F11 - Capital Data'!F103</f>
        <v>0</v>
      </c>
      <c r="L96" s="235">
        <f>'F11 - Capital Data'!G103</f>
        <v>0</v>
      </c>
      <c r="M96" s="235">
        <f>'F11 - Capital Data'!H103</f>
        <v>2.2149999999999999</v>
      </c>
      <c r="N96" s="235">
        <f>'F11 - Capital Data'!I103</f>
        <v>0</v>
      </c>
      <c r="O96" s="235">
        <f>'F11 - Capital Data'!K103</f>
        <v>5.7000000000000002E-2</v>
      </c>
      <c r="P96" s="235">
        <f>'F11 - Capital Data'!L103</f>
        <v>1</v>
      </c>
      <c r="Q96" s="235">
        <f>'F11 - Capital Data'!M103</f>
        <v>0</v>
      </c>
      <c r="R96" s="235">
        <f>'F11 - Capital Data'!N103</f>
        <v>0</v>
      </c>
      <c r="S96" s="235">
        <f>'F11 - Capital Data'!O103</f>
        <v>1.0569999999999999</v>
      </c>
      <c r="T96" s="235" t="str">
        <f>'F11 - Capital Data'!P103</f>
        <v>N</v>
      </c>
      <c r="U96" s="235" t="str">
        <f>'F11 - Capital Data'!Q103</f>
        <v>Y</v>
      </c>
    </row>
    <row r="97" spans="1:21">
      <c r="A97" s="234" t="str">
        <f>'Front Sheet and Checklist'!$C$5</f>
        <v>Swansea Bay UHB</v>
      </c>
      <c r="B97" s="234" t="s">
        <v>940</v>
      </c>
      <c r="C97" s="235" t="str">
        <f>'F11 - Capital Data'!$B$101</f>
        <v>UNAPPROVED SCHEMES</v>
      </c>
      <c r="D97" s="235"/>
      <c r="E97" s="235" t="s">
        <v>941</v>
      </c>
      <c r="F97" s="235" t="str">
        <f>'F11 - Capital Data'!B104</f>
        <v>Imaging Replacement Programme - CT</v>
      </c>
      <c r="G97" s="235"/>
      <c r="H97" s="235">
        <f>'F11 - Capital Data'!C104</f>
        <v>2.6762777308783887</v>
      </c>
      <c r="I97" s="235">
        <f>'F11 - Capital Data'!D104</f>
        <v>0</v>
      </c>
      <c r="J97" s="235">
        <f>'F11 - Capital Data'!E104</f>
        <v>0</v>
      </c>
      <c r="K97" s="235">
        <f>'F11 - Capital Data'!F104</f>
        <v>0</v>
      </c>
      <c r="L97" s="235">
        <f>'F11 - Capital Data'!G104</f>
        <v>8.0288331926351653</v>
      </c>
      <c r="M97" s="235">
        <f>'F11 - Capital Data'!H104</f>
        <v>10.705110923513555</v>
      </c>
      <c r="N97" s="235">
        <f>'F11 - Capital Data'!I104</f>
        <v>0</v>
      </c>
      <c r="O97" s="235">
        <f>'F11 - Capital Data'!K104</f>
        <v>0</v>
      </c>
      <c r="P97" s="235">
        <f>'F11 - Capital Data'!L104</f>
        <v>0.25</v>
      </c>
      <c r="Q97" s="235">
        <f>'F11 - Capital Data'!M104</f>
        <v>0</v>
      </c>
      <c r="R97" s="235">
        <f>'F11 - Capital Data'!N104</f>
        <v>0</v>
      </c>
      <c r="S97" s="235">
        <f>'F11 - Capital Data'!O104</f>
        <v>0.25</v>
      </c>
      <c r="T97" s="235" t="str">
        <f>'F11 - Capital Data'!P104</f>
        <v>N</v>
      </c>
      <c r="U97" s="235" t="str">
        <f>'F11 - Capital Data'!Q104</f>
        <v>N</v>
      </c>
    </row>
    <row r="98" spans="1:21">
      <c r="A98" s="234" t="str">
        <f>'Front Sheet and Checklist'!$C$5</f>
        <v>Swansea Bay UHB</v>
      </c>
      <c r="B98" s="234" t="s">
        <v>940</v>
      </c>
      <c r="C98" s="235" t="str">
        <f>'F11 - Capital Data'!$B$101</f>
        <v>UNAPPROVED SCHEMES</v>
      </c>
      <c r="D98" s="235"/>
      <c r="E98" s="235" t="s">
        <v>941</v>
      </c>
      <c r="F98" s="235" t="str">
        <f>'F11 - Capital Data'!B105</f>
        <v>Environmental Modernisation / EFAB</v>
      </c>
      <c r="G98" s="235"/>
      <c r="H98" s="235">
        <f>'F11 - Capital Data'!C105</f>
        <v>0</v>
      </c>
      <c r="I98" s="235">
        <f>'F11 - Capital Data'!D105</f>
        <v>5.0788000000000002</v>
      </c>
      <c r="J98" s="235">
        <f>'F11 - Capital Data'!E105</f>
        <v>5.0788000000000002</v>
      </c>
      <c r="K98" s="235">
        <f>'F11 - Capital Data'!F105</f>
        <v>5.0788000000000002</v>
      </c>
      <c r="L98" s="235">
        <f>'F11 - Capital Data'!G105</f>
        <v>30.472800000000003</v>
      </c>
      <c r="M98" s="235">
        <f>'F11 - Capital Data'!H105</f>
        <v>45.709200000000003</v>
      </c>
      <c r="N98" s="235">
        <f>'F11 - Capital Data'!I105</f>
        <v>0</v>
      </c>
      <c r="O98" s="235">
        <f>'F11 - Capital Data'!K105</f>
        <v>0</v>
      </c>
      <c r="P98" s="235">
        <f>'F11 - Capital Data'!L105</f>
        <v>0</v>
      </c>
      <c r="Q98" s="235">
        <f>'F11 - Capital Data'!M105</f>
        <v>0</v>
      </c>
      <c r="R98" s="235">
        <f>'F11 - Capital Data'!N105</f>
        <v>0</v>
      </c>
      <c r="S98" s="235">
        <f>'F11 - Capital Data'!O105</f>
        <v>0</v>
      </c>
      <c r="T98" s="235" t="str">
        <f>'F11 - Capital Data'!P105</f>
        <v>N</v>
      </c>
      <c r="U98" s="235" t="str">
        <f>'F11 - Capital Data'!Q105</f>
        <v>N</v>
      </c>
    </row>
    <row r="99" spans="1:21">
      <c r="A99" s="234" t="str">
        <f>'Front Sheet and Checklist'!$C$5</f>
        <v>Swansea Bay UHB</v>
      </c>
      <c r="B99" s="234" t="s">
        <v>940</v>
      </c>
      <c r="C99" s="235" t="str">
        <f>'F11 - Capital Data'!$B$101</f>
        <v>UNAPPROVED SCHEMES</v>
      </c>
      <c r="D99" s="235"/>
      <c r="E99" s="235" t="s">
        <v>941</v>
      </c>
      <c r="F99" s="235" t="str">
        <f>'F11 - Capital Data'!B106</f>
        <v>Imaging Replacement Programme - Fluroscopy</v>
      </c>
      <c r="G99" s="235"/>
      <c r="H99" s="235">
        <f>'F11 - Capital Data'!C106</f>
        <v>1.4020062610400006</v>
      </c>
      <c r="I99" s="235">
        <f>'F11 - Capital Data'!D106</f>
        <v>2.8040125220800012</v>
      </c>
      <c r="J99" s="235">
        <f>'F11 - Capital Data'!E106</f>
        <v>0</v>
      </c>
      <c r="K99" s="235">
        <f>'F11 - Capital Data'!F106</f>
        <v>0</v>
      </c>
      <c r="L99" s="235">
        <f>'F11 - Capital Data'!G106</f>
        <v>0</v>
      </c>
      <c r="M99" s="235">
        <f>'F11 - Capital Data'!H106</f>
        <v>4.206018783120002</v>
      </c>
      <c r="N99" s="235">
        <f>'F11 - Capital Data'!I106</f>
        <v>0</v>
      </c>
      <c r="O99" s="235">
        <f>'F11 - Capital Data'!K106</f>
        <v>0</v>
      </c>
      <c r="P99" s="235">
        <f>'F11 - Capital Data'!L106</f>
        <v>0.2</v>
      </c>
      <c r="Q99" s="235">
        <f>'F11 - Capital Data'!M106</f>
        <v>0</v>
      </c>
      <c r="R99" s="235">
        <f>'F11 - Capital Data'!N106</f>
        <v>0</v>
      </c>
      <c r="S99" s="235">
        <f>'F11 - Capital Data'!O106</f>
        <v>0.2</v>
      </c>
      <c r="T99" s="235" t="str">
        <f>'F11 - Capital Data'!P106</f>
        <v>N</v>
      </c>
      <c r="U99" s="235" t="str">
        <f>'F11 - Capital Data'!Q106</f>
        <v>N</v>
      </c>
    </row>
    <row r="100" spans="1:21">
      <c r="A100" s="234" t="str">
        <f>'Front Sheet and Checklist'!$C$5</f>
        <v>Swansea Bay UHB</v>
      </c>
      <c r="B100" s="234" t="s">
        <v>940</v>
      </c>
      <c r="C100" s="235" t="str">
        <f>'F11 - Capital Data'!$B$101</f>
        <v>UNAPPROVED SCHEMES</v>
      </c>
      <c r="D100" s="235"/>
      <c r="E100" s="235" t="s">
        <v>941</v>
      </c>
      <c r="F100" s="235" t="str">
        <f>'F11 - Capital Data'!B107</f>
        <v>2nd CT-SIM at SWWCC, Singleton (additional)</v>
      </c>
      <c r="G100" s="235"/>
      <c r="H100" s="235">
        <f>'F11 - Capital Data'!C107</f>
        <v>2.5</v>
      </c>
      <c r="I100" s="235">
        <f>'F11 - Capital Data'!D107</f>
        <v>0</v>
      </c>
      <c r="J100" s="235">
        <f>'F11 - Capital Data'!E107</f>
        <v>0</v>
      </c>
      <c r="K100" s="235">
        <f>'F11 - Capital Data'!F107</f>
        <v>0</v>
      </c>
      <c r="L100" s="235">
        <f>'F11 - Capital Data'!G107</f>
        <v>0</v>
      </c>
      <c r="M100" s="235">
        <f>'F11 - Capital Data'!H107</f>
        <v>2.5</v>
      </c>
      <c r="N100" s="235">
        <f>'F11 - Capital Data'!I107</f>
        <v>0</v>
      </c>
      <c r="O100" s="235">
        <f>'F11 - Capital Data'!K107</f>
        <v>0.28299999999999997</v>
      </c>
      <c r="P100" s="235">
        <f>'F11 - Capital Data'!L107</f>
        <v>0.25</v>
      </c>
      <c r="Q100" s="235">
        <f>'F11 - Capital Data'!M107</f>
        <v>0</v>
      </c>
      <c r="R100" s="235">
        <f>'F11 - Capital Data'!N107</f>
        <v>0</v>
      </c>
      <c r="S100" s="235">
        <f>'F11 - Capital Data'!O107</f>
        <v>0.53299999999999992</v>
      </c>
      <c r="T100" s="235" t="str">
        <f>'F11 - Capital Data'!P107</f>
        <v>N</v>
      </c>
      <c r="U100" s="235" t="str">
        <f>'F11 - Capital Data'!Q107</f>
        <v>Y</v>
      </c>
    </row>
    <row r="101" spans="1:21">
      <c r="A101" s="234" t="str">
        <f>'Front Sheet and Checklist'!$C$5</f>
        <v>Swansea Bay UHB</v>
      </c>
      <c r="B101" s="234" t="s">
        <v>940</v>
      </c>
      <c r="C101" s="235" t="str">
        <f>'F11 - Capital Data'!$B$101</f>
        <v>UNAPPROVED SCHEMES</v>
      </c>
      <c r="D101" s="235"/>
      <c r="E101" s="235" t="s">
        <v>941</v>
      </c>
      <c r="F101" s="235" t="str">
        <f>'F11 - Capital Data'!B108</f>
        <v>Hybrid Vascular Theatre, Morriston</v>
      </c>
      <c r="G101" s="235"/>
      <c r="H101" s="235">
        <f>'F11 - Capital Data'!C108</f>
        <v>10.127392199999999</v>
      </c>
      <c r="I101" s="235">
        <f>'F11 - Capital Data'!D108</f>
        <v>0</v>
      </c>
      <c r="J101" s="235">
        <f>'F11 - Capital Data'!E108</f>
        <v>0</v>
      </c>
      <c r="K101" s="235">
        <f>'F11 - Capital Data'!F108</f>
        <v>0</v>
      </c>
      <c r="L101" s="235">
        <f>'F11 - Capital Data'!G108</f>
        <v>0</v>
      </c>
      <c r="M101" s="235">
        <f>'F11 - Capital Data'!H108</f>
        <v>10.127392199999999</v>
      </c>
      <c r="N101" s="235">
        <f>'F11 - Capital Data'!I108</f>
        <v>0</v>
      </c>
      <c r="O101" s="235">
        <f>'F11 - Capital Data'!K108</f>
        <v>0</v>
      </c>
      <c r="P101" s="235">
        <f>'F11 - Capital Data'!L108</f>
        <v>3.7919999999999998</v>
      </c>
      <c r="Q101" s="235">
        <f>'F11 - Capital Data'!M108</f>
        <v>0</v>
      </c>
      <c r="R101" s="235">
        <f>'F11 - Capital Data'!N108</f>
        <v>0</v>
      </c>
      <c r="S101" s="235">
        <f>'F11 - Capital Data'!O108</f>
        <v>3.7919999999999998</v>
      </c>
      <c r="T101" s="235" t="str">
        <f>'F11 - Capital Data'!P108</f>
        <v>N</v>
      </c>
      <c r="U101" s="235" t="str">
        <f>'F11 - Capital Data'!Q108</f>
        <v>N</v>
      </c>
    </row>
    <row r="102" spans="1:21">
      <c r="A102" s="234" t="str">
        <f>'Front Sheet and Checklist'!$C$5</f>
        <v>Swansea Bay UHB</v>
      </c>
      <c r="B102" s="234" t="s">
        <v>940</v>
      </c>
      <c r="C102" s="235" t="str">
        <f>'F11 - Capital Data'!$B$101</f>
        <v>UNAPPROVED SCHEMES</v>
      </c>
      <c r="D102" s="235"/>
      <c r="E102" s="235" t="s">
        <v>941</v>
      </c>
      <c r="F102" s="235" t="str">
        <f>'F11 - Capital Data'!B109</f>
        <v>Imaging Replacement Programme - DRs</v>
      </c>
      <c r="G102" s="235"/>
      <c r="H102" s="235">
        <f>'F11 - Capital Data'!C109</f>
        <v>0</v>
      </c>
      <c r="I102" s="235">
        <f>'F11 - Capital Data'!D109</f>
        <v>1.9950014759999999</v>
      </c>
      <c r="J102" s="235">
        <f>'F11 - Capital Data'!E109</f>
        <v>0.665000492</v>
      </c>
      <c r="K102" s="235">
        <f>'F11 - Capital Data'!F109</f>
        <v>0</v>
      </c>
      <c r="L102" s="235">
        <f>'F11 - Capital Data'!G109</f>
        <v>0</v>
      </c>
      <c r="M102" s="235">
        <f>'F11 - Capital Data'!H109</f>
        <v>2.660001968</v>
      </c>
      <c r="N102" s="235">
        <f>'F11 - Capital Data'!I109</f>
        <v>0</v>
      </c>
      <c r="O102" s="235">
        <f>'F11 - Capital Data'!K109</f>
        <v>0</v>
      </c>
      <c r="P102" s="235">
        <f>'F11 - Capital Data'!L109</f>
        <v>0</v>
      </c>
      <c r="Q102" s="235">
        <f>'F11 - Capital Data'!M109</f>
        <v>0</v>
      </c>
      <c r="R102" s="235">
        <f>'F11 - Capital Data'!N109</f>
        <v>0</v>
      </c>
      <c r="S102" s="235">
        <f>'F11 - Capital Data'!O109</f>
        <v>0</v>
      </c>
      <c r="T102" s="235" t="str">
        <f>'F11 - Capital Data'!P109</f>
        <v>N</v>
      </c>
      <c r="U102" s="235" t="str">
        <f>'F11 - Capital Data'!Q109</f>
        <v>N</v>
      </c>
    </row>
    <row r="103" spans="1:21">
      <c r="A103" s="234" t="str">
        <f>'Front Sheet and Checklist'!$C$5</f>
        <v>Swansea Bay UHB</v>
      </c>
      <c r="B103" s="234" t="s">
        <v>940</v>
      </c>
      <c r="C103" s="235" t="str">
        <f>'F11 - Capital Data'!$B$101</f>
        <v>UNAPPROVED SCHEMES</v>
      </c>
      <c r="D103" s="235"/>
      <c r="E103" s="235" t="s">
        <v>941</v>
      </c>
      <c r="F103" s="235" t="str">
        <f>'F11 - Capital Data'!B110</f>
        <v>Imaging Replacement Programme - Mammography</v>
      </c>
      <c r="G103" s="235"/>
      <c r="H103" s="235">
        <f>'F11 - Capital Data'!C110</f>
        <v>0</v>
      </c>
      <c r="I103" s="235">
        <f>'F11 - Capital Data'!D110</f>
        <v>1.7245927120000002</v>
      </c>
      <c r="J103" s="235">
        <f>'F11 - Capital Data'!E110</f>
        <v>0</v>
      </c>
      <c r="K103" s="235">
        <f>'F11 - Capital Data'!F110</f>
        <v>0</v>
      </c>
      <c r="L103" s="235">
        <f>'F11 - Capital Data'!G110</f>
        <v>0.8622963560000001</v>
      </c>
      <c r="M103" s="235">
        <f>'F11 - Capital Data'!H110</f>
        <v>2.5868890680000005</v>
      </c>
      <c r="N103" s="235">
        <f>'F11 - Capital Data'!I110</f>
        <v>0</v>
      </c>
      <c r="O103" s="235">
        <f>'F11 - Capital Data'!K110</f>
        <v>0</v>
      </c>
      <c r="P103" s="235">
        <f>'F11 - Capital Data'!L110</f>
        <v>0</v>
      </c>
      <c r="Q103" s="235">
        <f>'F11 - Capital Data'!M110</f>
        <v>0</v>
      </c>
      <c r="R103" s="235">
        <f>'F11 - Capital Data'!N110</f>
        <v>0</v>
      </c>
      <c r="S103" s="235">
        <f>'F11 - Capital Data'!O110</f>
        <v>0</v>
      </c>
      <c r="T103" s="235" t="str">
        <f>'F11 - Capital Data'!P110</f>
        <v>N</v>
      </c>
      <c r="U103" s="235" t="str">
        <f>'F11 - Capital Data'!Q110</f>
        <v>N</v>
      </c>
    </row>
    <row r="104" spans="1:21">
      <c r="A104" s="234" t="str">
        <f>'Front Sheet and Checklist'!$C$5</f>
        <v>Swansea Bay UHB</v>
      </c>
      <c r="B104" s="234" t="s">
        <v>940</v>
      </c>
      <c r="C104" s="235" t="str">
        <f>'F11 - Capital Data'!$B$101</f>
        <v>UNAPPROVED SCHEMES</v>
      </c>
      <c r="D104" s="235"/>
      <c r="E104" s="235" t="s">
        <v>941</v>
      </c>
      <c r="F104" s="235" t="str">
        <f>'F11 - Capital Data'!B111</f>
        <v>Digital Network Replacement Programme (Core, LAN &amp; Wi-Fi)</v>
      </c>
      <c r="G104" s="235"/>
      <c r="H104" s="235">
        <f>'F11 - Capital Data'!C111</f>
        <v>0</v>
      </c>
      <c r="I104" s="235">
        <f>'F11 - Capital Data'!D111</f>
        <v>3.8</v>
      </c>
      <c r="J104" s="235">
        <f>'F11 - Capital Data'!E111</f>
        <v>1.8</v>
      </c>
      <c r="K104" s="235">
        <f>'F11 - Capital Data'!F111</f>
        <v>3.4</v>
      </c>
      <c r="L104" s="235">
        <f>'F11 - Capital Data'!G111</f>
        <v>11.25</v>
      </c>
      <c r="M104" s="235">
        <f>'F11 - Capital Data'!H111</f>
        <v>20.25</v>
      </c>
      <c r="N104" s="235">
        <f>'F11 - Capital Data'!I111</f>
        <v>0</v>
      </c>
      <c r="O104" s="235">
        <f>'F11 - Capital Data'!K111</f>
        <v>0</v>
      </c>
      <c r="P104" s="235">
        <f>'F11 - Capital Data'!L111</f>
        <v>0</v>
      </c>
      <c r="Q104" s="235">
        <f>'F11 - Capital Data'!M111</f>
        <v>0</v>
      </c>
      <c r="R104" s="235">
        <f>'F11 - Capital Data'!N111</f>
        <v>0</v>
      </c>
      <c r="S104" s="235">
        <f>'F11 - Capital Data'!O111</f>
        <v>0</v>
      </c>
      <c r="T104" s="235" t="str">
        <f>'F11 - Capital Data'!P111</f>
        <v>N</v>
      </c>
      <c r="U104" s="235" t="str">
        <f>'F11 - Capital Data'!Q111</f>
        <v>N</v>
      </c>
    </row>
    <row r="105" spans="1:21">
      <c r="A105" s="234" t="str">
        <f>'Front Sheet and Checklist'!$C$5</f>
        <v>Swansea Bay UHB</v>
      </c>
      <c r="B105" s="234" t="s">
        <v>940</v>
      </c>
      <c r="C105" s="235" t="str">
        <f>'F11 - Capital Data'!$B$101</f>
        <v>UNAPPROVED SCHEMES</v>
      </c>
      <c r="D105" s="235"/>
      <c r="E105" s="235" t="s">
        <v>941</v>
      </c>
      <c r="F105" s="235" t="str">
        <f>'F11 - Capital Data'!B112</f>
        <v>Imaging Replacement Programme - MRI</v>
      </c>
      <c r="G105" s="235"/>
      <c r="H105" s="235">
        <f>'F11 - Capital Data'!C112</f>
        <v>0</v>
      </c>
      <c r="I105" s="235">
        <f>'F11 - Capital Data'!D112</f>
        <v>0</v>
      </c>
      <c r="J105" s="235">
        <f>'F11 - Capital Data'!E112</f>
        <v>3</v>
      </c>
      <c r="K105" s="235">
        <f>'F11 - Capital Data'!F112</f>
        <v>0</v>
      </c>
      <c r="L105" s="235">
        <f>'F11 - Capital Data'!G112</f>
        <v>6</v>
      </c>
      <c r="M105" s="235">
        <f>'F11 - Capital Data'!H112</f>
        <v>9</v>
      </c>
      <c r="N105" s="235">
        <f>'F11 - Capital Data'!I112</f>
        <v>0</v>
      </c>
      <c r="O105" s="235">
        <f>'F11 - Capital Data'!K112</f>
        <v>0</v>
      </c>
      <c r="P105" s="235">
        <f>'F11 - Capital Data'!L112</f>
        <v>0</v>
      </c>
      <c r="Q105" s="235">
        <f>'F11 - Capital Data'!M112</f>
        <v>0</v>
      </c>
      <c r="R105" s="235">
        <f>'F11 - Capital Data'!N112</f>
        <v>0</v>
      </c>
      <c r="S105" s="235">
        <f>'F11 - Capital Data'!O112</f>
        <v>0</v>
      </c>
      <c r="T105" s="235" t="str">
        <f>'F11 - Capital Data'!P112</f>
        <v>N</v>
      </c>
      <c r="U105" s="235" t="str">
        <f>'F11 - Capital Data'!Q112</f>
        <v>N</v>
      </c>
    </row>
    <row r="106" spans="1:21">
      <c r="A106" s="234" t="str">
        <f>'Front Sheet and Checklist'!$C$5</f>
        <v>Swansea Bay UHB</v>
      </c>
      <c r="B106" s="234" t="s">
        <v>940</v>
      </c>
      <c r="C106" s="235" t="str">
        <f>'F11 - Capital Data'!$B$101</f>
        <v>UNAPPROVED SCHEMES</v>
      </c>
      <c r="D106" s="235"/>
      <c r="E106" s="235" t="s">
        <v>941</v>
      </c>
      <c r="F106" s="235" t="str">
        <f>'F11 - Capital Data'!B113</f>
        <v>Morriston Access Route &amp; Enabling Infrastructure</v>
      </c>
      <c r="G106" s="235"/>
      <c r="H106" s="235">
        <f>'F11 - Capital Data'!C113</f>
        <v>0</v>
      </c>
      <c r="I106" s="235">
        <f>'F11 - Capital Data'!D113</f>
        <v>3</v>
      </c>
      <c r="J106" s="235">
        <f>'F11 - Capital Data'!E113</f>
        <v>28</v>
      </c>
      <c r="K106" s="235">
        <f>'F11 - Capital Data'!F113</f>
        <v>14</v>
      </c>
      <c r="L106" s="235">
        <f>'F11 - Capital Data'!G113</f>
        <v>0</v>
      </c>
      <c r="M106" s="235">
        <f>'F11 - Capital Data'!H113</f>
        <v>45</v>
      </c>
      <c r="N106" s="235">
        <f>'F11 - Capital Data'!I113</f>
        <v>0</v>
      </c>
      <c r="O106" s="235">
        <f>'F11 - Capital Data'!K113</f>
        <v>0</v>
      </c>
      <c r="P106" s="235">
        <f>'F11 - Capital Data'!L113</f>
        <v>0</v>
      </c>
      <c r="Q106" s="235">
        <f>'F11 - Capital Data'!M113</f>
        <v>0</v>
      </c>
      <c r="R106" s="235">
        <f>'F11 - Capital Data'!N113</f>
        <v>0</v>
      </c>
      <c r="S106" s="235">
        <f>'F11 - Capital Data'!O113</f>
        <v>0</v>
      </c>
      <c r="T106" s="235" t="str">
        <f>'F11 - Capital Data'!P113</f>
        <v>N</v>
      </c>
      <c r="U106" s="235" t="str">
        <f>'F11 - Capital Data'!Q113</f>
        <v>Y</v>
      </c>
    </row>
    <row r="107" spans="1:21">
      <c r="A107" s="234" t="str">
        <f>'Front Sheet and Checklist'!$C$5</f>
        <v>Swansea Bay UHB</v>
      </c>
      <c r="B107" s="234" t="s">
        <v>940</v>
      </c>
      <c r="C107" s="235" t="str">
        <f>'F11 - Capital Data'!$B$101</f>
        <v>UNAPPROVED SCHEMES</v>
      </c>
      <c r="D107" s="235"/>
      <c r="E107" s="235" t="s">
        <v>941</v>
      </c>
      <c r="F107" s="235" t="str">
        <f>'F11 - Capital Data'!B114</f>
        <v>Thoracic, Morriston</v>
      </c>
      <c r="G107" s="235"/>
      <c r="H107" s="235">
        <f>'F11 - Capital Data'!C114</f>
        <v>2.2559999999999998</v>
      </c>
      <c r="I107" s="235">
        <f>'F11 - Capital Data'!D114</f>
        <v>1.5</v>
      </c>
      <c r="J107" s="235">
        <f>'F11 - Capital Data'!E114</f>
        <v>5.5</v>
      </c>
      <c r="K107" s="235">
        <f>'F11 - Capital Data'!F114</f>
        <v>15</v>
      </c>
      <c r="L107" s="235">
        <f>'F11 - Capital Data'!G114</f>
        <v>19.161000000000001</v>
      </c>
      <c r="M107" s="235">
        <f>'F11 - Capital Data'!H114</f>
        <v>43.417000000000002</v>
      </c>
      <c r="N107" s="235">
        <f>'F11 - Capital Data'!I114</f>
        <v>0</v>
      </c>
      <c r="O107" s="235">
        <f>'F11 - Capital Data'!K114</f>
        <v>0</v>
      </c>
      <c r="P107" s="235">
        <f>'F11 - Capital Data'!L114</f>
        <v>0</v>
      </c>
      <c r="Q107" s="235">
        <f>'F11 - Capital Data'!M114</f>
        <v>0</v>
      </c>
      <c r="R107" s="235">
        <f>'F11 - Capital Data'!N114</f>
        <v>0</v>
      </c>
      <c r="S107" s="235">
        <f>'F11 - Capital Data'!O114</f>
        <v>0</v>
      </c>
      <c r="T107" s="235" t="str">
        <f>'F11 - Capital Data'!P114</f>
        <v>N</v>
      </c>
      <c r="U107" s="235" t="str">
        <f>'F11 - Capital Data'!Q114</f>
        <v>Y</v>
      </c>
    </row>
    <row r="108" spans="1:21">
      <c r="A108" s="234" t="str">
        <f>'Front Sheet and Checklist'!$C$5</f>
        <v>Swansea Bay UHB</v>
      </c>
      <c r="B108" s="234" t="s">
        <v>940</v>
      </c>
      <c r="C108" s="235" t="str">
        <f>'F11 - Capital Data'!$B$101</f>
        <v>UNAPPROVED SCHEMES</v>
      </c>
      <c r="D108" s="235"/>
      <c r="E108" s="235" t="s">
        <v>941</v>
      </c>
      <c r="F108" s="235" t="str">
        <f>'F11 - Capital Data'!B115</f>
        <v>Regional Pathology Centre, Morriston</v>
      </c>
      <c r="G108" s="235"/>
      <c r="H108" s="235">
        <f>'F11 - Capital Data'!C115</f>
        <v>1.978</v>
      </c>
      <c r="I108" s="235">
        <f>'F11 - Capital Data'!D115</f>
        <v>3</v>
      </c>
      <c r="J108" s="235">
        <f>'F11 - Capital Data'!E115</f>
        <v>30</v>
      </c>
      <c r="K108" s="235">
        <f>'F11 - Capital Data'!F115</f>
        <v>50</v>
      </c>
      <c r="L108" s="235">
        <f>'F11 - Capital Data'!G115</f>
        <v>49.805</v>
      </c>
      <c r="M108" s="235">
        <f>'F11 - Capital Data'!H115</f>
        <v>134.78300000000002</v>
      </c>
      <c r="N108" s="235">
        <f>'F11 - Capital Data'!I115</f>
        <v>0</v>
      </c>
      <c r="O108" s="235">
        <f>'F11 - Capital Data'!K115</f>
        <v>0</v>
      </c>
      <c r="P108" s="235">
        <f>'F11 - Capital Data'!L115</f>
        <v>0</v>
      </c>
      <c r="Q108" s="235">
        <f>'F11 - Capital Data'!M115</f>
        <v>0</v>
      </c>
      <c r="R108" s="235">
        <f>'F11 - Capital Data'!N115</f>
        <v>0</v>
      </c>
      <c r="S108" s="235">
        <f>'F11 - Capital Data'!O115</f>
        <v>0</v>
      </c>
      <c r="T108" s="235" t="str">
        <f>'F11 - Capital Data'!P115</f>
        <v>N</v>
      </c>
      <c r="U108" s="235" t="str">
        <f>'F11 - Capital Data'!Q115</f>
        <v>Y</v>
      </c>
    </row>
    <row r="109" spans="1:21">
      <c r="A109" s="234" t="str">
        <f>'Front Sheet and Checklist'!$C$5</f>
        <v>Swansea Bay UHB</v>
      </c>
      <c r="B109" s="234" t="s">
        <v>940</v>
      </c>
      <c r="C109" s="235" t="str">
        <f>'F11 - Capital Data'!$B$101</f>
        <v>UNAPPROVED SCHEMES</v>
      </c>
      <c r="D109" s="235"/>
      <c r="E109" s="235" t="s">
        <v>941</v>
      </c>
      <c r="F109" s="235" t="str">
        <f>'F11 - Capital Data'!B116</f>
        <v>Adult Acute Mental Health Unit, Cefn Coed</v>
      </c>
      <c r="G109" s="235"/>
      <c r="H109" s="235">
        <f>'F11 - Capital Data'!C116</f>
        <v>3.6</v>
      </c>
      <c r="I109" s="235">
        <f>'F11 - Capital Data'!D116</f>
        <v>4</v>
      </c>
      <c r="J109" s="235">
        <f>'F11 - Capital Data'!E116</f>
        <v>23</v>
      </c>
      <c r="K109" s="235">
        <f>'F11 - Capital Data'!F116</f>
        <v>24</v>
      </c>
      <c r="L109" s="235">
        <f>'F11 - Capital Data'!G116</f>
        <v>0</v>
      </c>
      <c r="M109" s="235">
        <f>'F11 - Capital Data'!H116</f>
        <v>54.6</v>
      </c>
      <c r="N109" s="235">
        <f>'F11 - Capital Data'!I116</f>
        <v>0</v>
      </c>
      <c r="O109" s="235">
        <f>'F11 - Capital Data'!K116</f>
        <v>0</v>
      </c>
      <c r="P109" s="235">
        <f>'F11 - Capital Data'!L116</f>
        <v>0</v>
      </c>
      <c r="Q109" s="235">
        <f>'F11 - Capital Data'!M116</f>
        <v>0</v>
      </c>
      <c r="R109" s="235">
        <f>'F11 - Capital Data'!N116</f>
        <v>0</v>
      </c>
      <c r="S109" s="235">
        <f>'F11 - Capital Data'!O116</f>
        <v>0</v>
      </c>
      <c r="T109" s="235" t="str">
        <f>'F11 - Capital Data'!P116</f>
        <v>N</v>
      </c>
      <c r="U109" s="235" t="str">
        <f>'F11 - Capital Data'!Q116</f>
        <v>N</v>
      </c>
    </row>
    <row r="110" spans="1:21">
      <c r="A110" s="234" t="str">
        <f>'Front Sheet and Checklist'!$C$5</f>
        <v>Swansea Bay UHB</v>
      </c>
      <c r="B110" s="234" t="s">
        <v>940</v>
      </c>
      <c r="C110" s="235" t="str">
        <f>'F11 - Capital Data'!$B$101</f>
        <v>UNAPPROVED SCHEMES</v>
      </c>
      <c r="D110" s="235"/>
      <c r="E110" s="235" t="s">
        <v>941</v>
      </c>
      <c r="F110" s="235" t="str">
        <f>'F11 - Capital Data'!B117</f>
        <v>Swansea Wellness Centre</v>
      </c>
      <c r="G110" s="235"/>
      <c r="H110" s="235">
        <f>'F11 - Capital Data'!C117</f>
        <v>0.51328903654485059</v>
      </c>
      <c r="I110" s="235">
        <f>'F11 - Capital Data'!D117</f>
        <v>1.0265780730897012</v>
      </c>
      <c r="J110" s="235">
        <f>'F11 - Capital Data'!E117</f>
        <v>7.1860465116279064</v>
      </c>
      <c r="K110" s="235">
        <f>'F11 - Capital Data'!F117</f>
        <v>13.424561461794019</v>
      </c>
      <c r="L110" s="235">
        <f>'F11 - Capital Data'!G117</f>
        <v>12.318936877076412</v>
      </c>
      <c r="M110" s="235">
        <f>'F11 - Capital Data'!H117</f>
        <v>34.469411960132888</v>
      </c>
      <c r="N110" s="235">
        <f>'F11 - Capital Data'!I117</f>
        <v>0</v>
      </c>
      <c r="O110" s="235">
        <f>'F11 - Capital Data'!K117</f>
        <v>0</v>
      </c>
      <c r="P110" s="235">
        <f>'F11 - Capital Data'!L117</f>
        <v>0</v>
      </c>
      <c r="Q110" s="235">
        <f>'F11 - Capital Data'!M117</f>
        <v>0</v>
      </c>
      <c r="R110" s="235">
        <f>'F11 - Capital Data'!N117</f>
        <v>0</v>
      </c>
      <c r="S110" s="235">
        <f>'F11 - Capital Data'!O117</f>
        <v>0</v>
      </c>
      <c r="T110" s="235" t="str">
        <f>'F11 - Capital Data'!P117</f>
        <v>N</v>
      </c>
      <c r="U110" s="235" t="str">
        <f>'F11 - Capital Data'!Q117</f>
        <v>N</v>
      </c>
    </row>
    <row r="111" spans="1:21">
      <c r="A111" s="234" t="str">
        <f>'Front Sheet and Checklist'!$C$5</f>
        <v>Swansea Bay UHB</v>
      </c>
      <c r="B111" s="234" t="s">
        <v>940</v>
      </c>
      <c r="C111" s="235" t="str">
        <f>'F11 - Capital Data'!$B$101</f>
        <v>UNAPPROVED SCHEMES</v>
      </c>
      <c r="D111" s="235"/>
      <c r="E111" s="235" t="s">
        <v>941</v>
      </c>
      <c r="F111" s="235" t="str">
        <f>'F11 - Capital Data'!B118</f>
        <v>New ED, Critical Care &amp; Theatre Block + Model Ward Reconfigeration, Morriston Hospital</v>
      </c>
      <c r="G111" s="235"/>
      <c r="H111" s="235">
        <f>'F11 - Capital Data'!C118</f>
        <v>0</v>
      </c>
      <c r="I111" s="235">
        <f>'F11 - Capital Data'!D118</f>
        <v>0.51328903654485059</v>
      </c>
      <c r="J111" s="235">
        <f>'F11 - Capital Data'!E118</f>
        <v>1.8478405315614619</v>
      </c>
      <c r="K111" s="235">
        <f>'F11 - Capital Data'!F118</f>
        <v>5.0302325581395344</v>
      </c>
      <c r="L111" s="235">
        <f>'F11 - Capital Data'!G118</f>
        <v>202.95448504983392</v>
      </c>
      <c r="M111" s="235">
        <f>'F11 - Capital Data'!H118</f>
        <v>210.34584717607976</v>
      </c>
      <c r="N111" s="235">
        <f>'F11 - Capital Data'!I118</f>
        <v>0</v>
      </c>
      <c r="O111" s="235">
        <f>'F11 - Capital Data'!K118</f>
        <v>0</v>
      </c>
      <c r="P111" s="235">
        <f>'F11 - Capital Data'!L118</f>
        <v>0</v>
      </c>
      <c r="Q111" s="235">
        <f>'F11 - Capital Data'!M118</f>
        <v>0</v>
      </c>
      <c r="R111" s="235">
        <f>'F11 - Capital Data'!N118</f>
        <v>0</v>
      </c>
      <c r="S111" s="235">
        <f>'F11 - Capital Data'!O118</f>
        <v>0</v>
      </c>
      <c r="T111" s="235" t="str">
        <f>'F11 - Capital Data'!P118</f>
        <v>N</v>
      </c>
      <c r="U111" s="235" t="str">
        <f>'F11 - Capital Data'!Q118</f>
        <v>N</v>
      </c>
    </row>
    <row r="112" spans="1:21">
      <c r="A112" s="234" t="str">
        <f>'Front Sheet and Checklist'!$C$5</f>
        <v>Swansea Bay UHB</v>
      </c>
      <c r="B112" s="234" t="s">
        <v>940</v>
      </c>
      <c r="C112" s="235" t="str">
        <f>'F11 - Capital Data'!$B$101</f>
        <v>UNAPPROVED SCHEMES</v>
      </c>
      <c r="D112" s="235"/>
      <c r="E112" s="235" t="s">
        <v>941</v>
      </c>
      <c r="F112" s="235" t="str">
        <f>'F11 - Capital Data'!B119</f>
        <v>Elective Modular Theatres, Centre of Excellence, Singleton Hospital</v>
      </c>
      <c r="G112" s="235"/>
      <c r="H112" s="235">
        <f>'F11 - Capital Data'!C119</f>
        <v>19.599999999999998</v>
      </c>
      <c r="I112" s="235">
        <f>'F11 - Capital Data'!D119</f>
        <v>3.3</v>
      </c>
      <c r="J112" s="235">
        <f>'F11 - Capital Data'!E119</f>
        <v>0</v>
      </c>
      <c r="K112" s="235">
        <f>'F11 - Capital Data'!F119</f>
        <v>0</v>
      </c>
      <c r="L112" s="235">
        <f>'F11 - Capital Data'!G119</f>
        <v>0</v>
      </c>
      <c r="M112" s="235">
        <f>'F11 - Capital Data'!H119</f>
        <v>22.9</v>
      </c>
      <c r="N112" s="235">
        <f>'F11 - Capital Data'!I119</f>
        <v>0</v>
      </c>
      <c r="O112" s="235">
        <f>'F11 - Capital Data'!K119</f>
        <v>0</v>
      </c>
      <c r="P112" s="235">
        <f>'F11 - Capital Data'!L119</f>
        <v>0</v>
      </c>
      <c r="Q112" s="235">
        <f>'F11 - Capital Data'!M119</f>
        <v>0</v>
      </c>
      <c r="R112" s="235">
        <f>'F11 - Capital Data'!N119</f>
        <v>0</v>
      </c>
      <c r="S112" s="235">
        <f>'F11 - Capital Data'!O119</f>
        <v>0</v>
      </c>
      <c r="T112" s="235" t="str">
        <f>'F11 - Capital Data'!P119</f>
        <v>N</v>
      </c>
      <c r="U112" s="235" t="str">
        <f>'F11 - Capital Data'!Q119</f>
        <v>N</v>
      </c>
    </row>
    <row r="113" spans="1:21">
      <c r="A113" s="234" t="str">
        <f>'Front Sheet and Checklist'!$C$5</f>
        <v>Swansea Bay UHB</v>
      </c>
      <c r="B113" s="234" t="s">
        <v>940</v>
      </c>
      <c r="C113" s="235" t="str">
        <f>'F11 - Capital Data'!$B$101</f>
        <v>UNAPPROVED SCHEMES</v>
      </c>
      <c r="D113" s="235"/>
      <c r="E113" s="235" t="s">
        <v>941</v>
      </c>
      <c r="F113" s="235" t="str">
        <f>'F11 - Capital Data'!B120</f>
        <v>PET-CT (Permanent), SWWCC Singleton</v>
      </c>
      <c r="G113" s="235"/>
      <c r="H113" s="235">
        <f>'F11 - Capital Data'!C120</f>
        <v>3.7</v>
      </c>
      <c r="I113" s="235">
        <f>'F11 - Capital Data'!D120</f>
        <v>9.6999999999999993</v>
      </c>
      <c r="J113" s="235">
        <f>'F11 - Capital Data'!E120</f>
        <v>0</v>
      </c>
      <c r="K113" s="235">
        <f>'F11 - Capital Data'!F120</f>
        <v>0</v>
      </c>
      <c r="L113" s="235">
        <f>'F11 - Capital Data'!G120</f>
        <v>0</v>
      </c>
      <c r="M113" s="235">
        <f>'F11 - Capital Data'!H120</f>
        <v>13.399999999999999</v>
      </c>
      <c r="N113" s="235">
        <f>'F11 - Capital Data'!I120</f>
        <v>0</v>
      </c>
      <c r="O113" s="235">
        <f>'F11 - Capital Data'!K120</f>
        <v>0</v>
      </c>
      <c r="P113" s="235">
        <f>'F11 - Capital Data'!L120</f>
        <v>0</v>
      </c>
      <c r="Q113" s="235">
        <f>'F11 - Capital Data'!M120</f>
        <v>0</v>
      </c>
      <c r="R113" s="235">
        <f>'F11 - Capital Data'!N120</f>
        <v>0</v>
      </c>
      <c r="S113" s="235">
        <f>'F11 - Capital Data'!O120</f>
        <v>0</v>
      </c>
      <c r="T113" s="235" t="str">
        <f>'F11 - Capital Data'!P120</f>
        <v>N</v>
      </c>
      <c r="U113" s="235" t="str">
        <f>'F11 - Capital Data'!Q120</f>
        <v>Y</v>
      </c>
    </row>
    <row r="114" spans="1:21">
      <c r="A114" s="234" t="str">
        <f>'Front Sheet and Checklist'!$C$5</f>
        <v>Swansea Bay UHB</v>
      </c>
      <c r="B114" s="234" t="s">
        <v>940</v>
      </c>
      <c r="C114" s="235" t="str">
        <f>'F11 - Capital Data'!$B$101</f>
        <v>UNAPPROVED SCHEMES</v>
      </c>
      <c r="D114" s="235"/>
      <c r="E114" s="235" t="s">
        <v>941</v>
      </c>
      <c r="F114" s="235" t="str">
        <f>'F11 - Capital Data'!B121</f>
        <v>Refurbishment of Burns ITU Phase 2, Morriston</v>
      </c>
      <c r="G114" s="235"/>
      <c r="H114" s="235">
        <f>'F11 - Capital Data'!C121</f>
        <v>0.5</v>
      </c>
      <c r="I114" s="235">
        <f>'F11 - Capital Data'!D121</f>
        <v>12</v>
      </c>
      <c r="J114" s="235">
        <f>'F11 - Capital Data'!E121</f>
        <v>12</v>
      </c>
      <c r="K114" s="235">
        <f>'F11 - Capital Data'!F121</f>
        <v>16.5</v>
      </c>
      <c r="L114" s="235">
        <f>'F11 - Capital Data'!G121</f>
        <v>0</v>
      </c>
      <c r="M114" s="235">
        <f>'F11 - Capital Data'!H121</f>
        <v>41</v>
      </c>
      <c r="N114" s="235">
        <f>'F11 - Capital Data'!I121</f>
        <v>0</v>
      </c>
      <c r="O114" s="235">
        <f>'F11 - Capital Data'!K121</f>
        <v>0</v>
      </c>
      <c r="P114" s="235">
        <f>'F11 - Capital Data'!L121</f>
        <v>0</v>
      </c>
      <c r="Q114" s="235">
        <f>'F11 - Capital Data'!M121</f>
        <v>0</v>
      </c>
      <c r="R114" s="235">
        <f>'F11 - Capital Data'!N121</f>
        <v>0</v>
      </c>
      <c r="S114" s="235">
        <f>'F11 - Capital Data'!O121</f>
        <v>0</v>
      </c>
      <c r="T114" s="235" t="str">
        <f>'F11 - Capital Data'!P121</f>
        <v>N</v>
      </c>
      <c r="U114" s="235" t="str">
        <f>'F11 - Capital Data'!Q121</f>
        <v>Y</v>
      </c>
    </row>
    <row r="115" spans="1:21">
      <c r="A115" s="234" t="str">
        <f>'Front Sheet and Checklist'!$C$5</f>
        <v>Swansea Bay UHB</v>
      </c>
      <c r="B115" s="234" t="s">
        <v>940</v>
      </c>
      <c r="C115" s="235" t="str">
        <f>'F11 - Capital Data'!$B$101</f>
        <v>UNAPPROVED SCHEMES</v>
      </c>
      <c r="D115" s="235"/>
      <c r="E115" s="235" t="s">
        <v>941</v>
      </c>
      <c r="F115" s="235" t="str">
        <f>'F11 - Capital Data'!B122</f>
        <v>2nd MRI, Morriston (additional)</v>
      </c>
      <c r="G115" s="235"/>
      <c r="H115" s="235">
        <f>'F11 - Capital Data'!C122</f>
        <v>2.9867370351999996</v>
      </c>
      <c r="I115" s="235">
        <f>'F11 - Capital Data'!D122</f>
        <v>0</v>
      </c>
      <c r="J115" s="235">
        <f>'F11 - Capital Data'!E122</f>
        <v>0</v>
      </c>
      <c r="K115" s="235">
        <f>'F11 - Capital Data'!F122</f>
        <v>0</v>
      </c>
      <c r="L115" s="235">
        <f>'F11 - Capital Data'!G122</f>
        <v>0</v>
      </c>
      <c r="M115" s="235">
        <f>'F11 - Capital Data'!H122</f>
        <v>2.9867370351999996</v>
      </c>
      <c r="N115" s="235">
        <f>'F11 - Capital Data'!I122</f>
        <v>0</v>
      </c>
      <c r="O115" s="235">
        <f>'F11 - Capital Data'!K122</f>
        <v>0</v>
      </c>
      <c r="P115" s="235">
        <f>'F11 - Capital Data'!L122</f>
        <v>0</v>
      </c>
      <c r="Q115" s="235">
        <f>'F11 - Capital Data'!M122</f>
        <v>0</v>
      </c>
      <c r="R115" s="235">
        <f>'F11 - Capital Data'!N122</f>
        <v>0</v>
      </c>
      <c r="S115" s="235">
        <f>'F11 - Capital Data'!O122</f>
        <v>0</v>
      </c>
      <c r="T115" s="235" t="str">
        <f>'F11 - Capital Data'!P122</f>
        <v>N</v>
      </c>
      <c r="U115" s="235" t="str">
        <f>'F11 - Capital Data'!Q122</f>
        <v>N</v>
      </c>
    </row>
    <row r="116" spans="1:21">
      <c r="A116" s="234" t="str">
        <f>'Front Sheet and Checklist'!$C$5</f>
        <v>Swansea Bay UHB</v>
      </c>
      <c r="B116" s="234" t="s">
        <v>940</v>
      </c>
      <c r="C116" s="235" t="str">
        <f>'F11 - Capital Data'!$B$101</f>
        <v>UNAPPROVED SCHEMES</v>
      </c>
      <c r="D116" s="235"/>
      <c r="E116" s="235" t="s">
        <v>941</v>
      </c>
      <c r="F116" s="235" t="str">
        <f>'F11 - Capital Data'!B123</f>
        <v>2nd CT, Singleton (additional)</v>
      </c>
      <c r="G116" s="235"/>
      <c r="H116" s="235">
        <f>'F11 - Capital Data'!C123</f>
        <v>2.6762777308783887</v>
      </c>
      <c r="I116" s="235">
        <f>'F11 - Capital Data'!D123</f>
        <v>0</v>
      </c>
      <c r="J116" s="235">
        <f>'F11 - Capital Data'!E123</f>
        <v>0</v>
      </c>
      <c r="K116" s="235">
        <f>'F11 - Capital Data'!F123</f>
        <v>0</v>
      </c>
      <c r="L116" s="235">
        <f>'F11 - Capital Data'!G123</f>
        <v>0</v>
      </c>
      <c r="M116" s="235">
        <f>'F11 - Capital Data'!H123</f>
        <v>2.6762777308783887</v>
      </c>
      <c r="N116" s="235">
        <f>'F11 - Capital Data'!I123</f>
        <v>0</v>
      </c>
      <c r="O116" s="235">
        <f>'F11 - Capital Data'!K123</f>
        <v>0</v>
      </c>
      <c r="P116" s="235">
        <f>'F11 - Capital Data'!L123</f>
        <v>0</v>
      </c>
      <c r="Q116" s="235">
        <f>'F11 - Capital Data'!M123</f>
        <v>0</v>
      </c>
      <c r="R116" s="235">
        <f>'F11 - Capital Data'!N123</f>
        <v>0</v>
      </c>
      <c r="S116" s="235">
        <f>'F11 - Capital Data'!O123</f>
        <v>0</v>
      </c>
      <c r="T116" s="235" t="str">
        <f>'F11 - Capital Data'!P123</f>
        <v>N</v>
      </c>
      <c r="U116" s="235" t="str">
        <f>'F11 - Capital Data'!Q123</f>
        <v>N</v>
      </c>
    </row>
    <row r="117" spans="1:21">
      <c r="A117" s="234" t="str">
        <f>'Front Sheet and Checklist'!$C$5</f>
        <v>Swansea Bay UHB</v>
      </c>
      <c r="B117" s="234" t="s">
        <v>940</v>
      </c>
      <c r="C117" s="235" t="str">
        <f>'F11 - Capital Data'!$B$101</f>
        <v>UNAPPROVED SCHEMES</v>
      </c>
      <c r="D117" s="235"/>
      <c r="E117" s="235" t="s">
        <v>941</v>
      </c>
      <c r="F117" s="235" t="str">
        <f>'F11 - Capital Data'!B124</f>
        <v>Development of Seclusion Suites, Medium Secure Unit, Caswell Clinic, Glanrhyd</v>
      </c>
      <c r="G117" s="235"/>
      <c r="H117" s="235">
        <f>'F11 - Capital Data'!C124</f>
        <v>1</v>
      </c>
      <c r="I117" s="235">
        <f>'F11 - Capital Data'!D124</f>
        <v>0</v>
      </c>
      <c r="J117" s="235">
        <f>'F11 - Capital Data'!E124</f>
        <v>0</v>
      </c>
      <c r="K117" s="235">
        <f>'F11 - Capital Data'!F124</f>
        <v>0</v>
      </c>
      <c r="L117" s="235">
        <f>'F11 - Capital Data'!G124</f>
        <v>0</v>
      </c>
      <c r="M117" s="235">
        <f>'F11 - Capital Data'!H124</f>
        <v>1</v>
      </c>
      <c r="N117" s="235">
        <f>'F11 - Capital Data'!I124</f>
        <v>0</v>
      </c>
      <c r="O117" s="235">
        <f>'F11 - Capital Data'!K124</f>
        <v>0</v>
      </c>
      <c r="P117" s="235">
        <f>'F11 - Capital Data'!L124</f>
        <v>0</v>
      </c>
      <c r="Q117" s="235">
        <f>'F11 - Capital Data'!M124</f>
        <v>0</v>
      </c>
      <c r="R117" s="235">
        <f>'F11 - Capital Data'!N124</f>
        <v>0</v>
      </c>
      <c r="S117" s="235">
        <f>'F11 - Capital Data'!O124</f>
        <v>0</v>
      </c>
      <c r="T117" s="235" t="str">
        <f>'F11 - Capital Data'!P124</f>
        <v>N</v>
      </c>
      <c r="U117" s="235" t="str">
        <f>'F11 - Capital Data'!Q124</f>
        <v>Y</v>
      </c>
    </row>
    <row r="118" spans="1:21">
      <c r="A118" s="234" t="str">
        <f>'Front Sheet and Checklist'!$C$5</f>
        <v>Swansea Bay UHB</v>
      </c>
      <c r="B118" s="234" t="s">
        <v>940</v>
      </c>
      <c r="C118" s="235" t="str">
        <f>'F11 - Capital Data'!$B$101</f>
        <v>UNAPPROVED SCHEMES</v>
      </c>
      <c r="D118" s="235"/>
      <c r="E118" s="235" t="s">
        <v>941</v>
      </c>
      <c r="F118" s="235" t="str">
        <f>'F11 - Capital Data'!B125</f>
        <v>Older Persons Mental Health Wards/Roof, Tonna</v>
      </c>
      <c r="G118" s="235"/>
      <c r="H118" s="235">
        <f>'F11 - Capital Data'!C125</f>
        <v>0.67070153999999993</v>
      </c>
      <c r="I118" s="235">
        <f>'F11 - Capital Data'!D125</f>
        <v>2.5</v>
      </c>
      <c r="J118" s="235">
        <f>'F11 - Capital Data'!E125</f>
        <v>2.5</v>
      </c>
      <c r="K118" s="235">
        <f>'F11 - Capital Data'!F125</f>
        <v>2.5</v>
      </c>
      <c r="L118" s="235">
        <f>'F11 - Capital Data'!G125</f>
        <v>0</v>
      </c>
      <c r="M118" s="235">
        <f>'F11 - Capital Data'!H125</f>
        <v>8.1707015399999996</v>
      </c>
      <c r="N118" s="235">
        <f>'F11 - Capital Data'!I125</f>
        <v>0</v>
      </c>
      <c r="O118" s="235">
        <f>'F11 - Capital Data'!K125</f>
        <v>0</v>
      </c>
      <c r="P118" s="235">
        <f>'F11 - Capital Data'!L125</f>
        <v>0</v>
      </c>
      <c r="Q118" s="235">
        <f>'F11 - Capital Data'!M125</f>
        <v>0</v>
      </c>
      <c r="R118" s="235">
        <f>'F11 - Capital Data'!N125</f>
        <v>0</v>
      </c>
      <c r="S118" s="235">
        <f>'F11 - Capital Data'!O125</f>
        <v>0</v>
      </c>
      <c r="T118" s="235" t="str">
        <f>'F11 - Capital Data'!P125</f>
        <v>N</v>
      </c>
      <c r="U118" s="235" t="str">
        <f>'F11 - Capital Data'!Q125</f>
        <v>N</v>
      </c>
    </row>
    <row r="119" spans="1:21">
      <c r="A119" s="234" t="str">
        <f>'Front Sheet and Checklist'!$C$5</f>
        <v>Swansea Bay UHB</v>
      </c>
      <c r="B119" s="234" t="s">
        <v>940</v>
      </c>
      <c r="C119" s="235" t="str">
        <f>'F11 - Capital Data'!$B$101</f>
        <v>UNAPPROVED SCHEMES</v>
      </c>
      <c r="D119" s="235"/>
      <c r="E119" s="235" t="s">
        <v>941</v>
      </c>
      <c r="F119" s="235" t="str">
        <f>'F11 - Capital Data'!B126</f>
        <v>Ward Refurbishment Programme, Singleton</v>
      </c>
      <c r="G119" s="235"/>
      <c r="H119" s="235">
        <f>'F11 - Capital Data'!C126</f>
        <v>0</v>
      </c>
      <c r="I119" s="235">
        <f>'F11 - Capital Data'!D126</f>
        <v>3</v>
      </c>
      <c r="J119" s="235">
        <f>'F11 - Capital Data'!E126</f>
        <v>3</v>
      </c>
      <c r="K119" s="235">
        <f>'F11 - Capital Data'!F126</f>
        <v>3</v>
      </c>
      <c r="L119" s="235">
        <f>'F11 - Capital Data'!G126</f>
        <v>18</v>
      </c>
      <c r="M119" s="235">
        <f>'F11 - Capital Data'!H126</f>
        <v>27</v>
      </c>
      <c r="N119" s="235">
        <f>'F11 - Capital Data'!I126</f>
        <v>0</v>
      </c>
      <c r="O119" s="235">
        <f>'F11 - Capital Data'!K126</f>
        <v>0</v>
      </c>
      <c r="P119" s="235">
        <f>'F11 - Capital Data'!L126</f>
        <v>0</v>
      </c>
      <c r="Q119" s="235">
        <f>'F11 - Capital Data'!M126</f>
        <v>0</v>
      </c>
      <c r="R119" s="235">
        <f>'F11 - Capital Data'!N126</f>
        <v>0</v>
      </c>
      <c r="S119" s="235">
        <f>'F11 - Capital Data'!O126</f>
        <v>0</v>
      </c>
      <c r="T119" s="235" t="str">
        <f>'F11 - Capital Data'!P126</f>
        <v>N</v>
      </c>
      <c r="U119" s="235" t="str">
        <f>'F11 - Capital Data'!Q126</f>
        <v>N</v>
      </c>
    </row>
    <row r="120" spans="1:21">
      <c r="A120" s="234" t="str">
        <f>'Front Sheet and Checklist'!$C$5</f>
        <v>Swansea Bay UHB</v>
      </c>
      <c r="B120" s="234" t="s">
        <v>940</v>
      </c>
      <c r="C120" s="235" t="str">
        <f>'F11 - Capital Data'!$B$101</f>
        <v>UNAPPROVED SCHEMES</v>
      </c>
      <c r="D120" s="235"/>
      <c r="E120" s="235" t="s">
        <v>941</v>
      </c>
      <c r="F120" s="235" t="str">
        <f>'F11 - Capital Data'!B127</f>
        <v>RMHSS P7 Reprovision of Mental Health Day Facilities (Westfa)</v>
      </c>
      <c r="G120" s="235"/>
      <c r="H120" s="235">
        <f>'F11 - Capital Data'!C127</f>
        <v>0</v>
      </c>
      <c r="I120" s="235">
        <f>'F11 - Capital Data'!D127</f>
        <v>0.5</v>
      </c>
      <c r="J120" s="235">
        <f>'F11 - Capital Data'!E127</f>
        <v>3.5</v>
      </c>
      <c r="K120" s="235">
        <f>'F11 - Capital Data'!F127</f>
        <v>0</v>
      </c>
      <c r="L120" s="235">
        <f>'F11 - Capital Data'!G127</f>
        <v>0</v>
      </c>
      <c r="M120" s="235">
        <f>'F11 - Capital Data'!H127</f>
        <v>4</v>
      </c>
      <c r="N120" s="235">
        <f>'F11 - Capital Data'!I127</f>
        <v>0</v>
      </c>
      <c r="O120" s="235">
        <f>'F11 - Capital Data'!K127</f>
        <v>0</v>
      </c>
      <c r="P120" s="235">
        <f>'F11 - Capital Data'!L127</f>
        <v>0</v>
      </c>
      <c r="Q120" s="235">
        <f>'F11 - Capital Data'!M127</f>
        <v>0</v>
      </c>
      <c r="R120" s="235">
        <f>'F11 - Capital Data'!N127</f>
        <v>0</v>
      </c>
      <c r="S120" s="235">
        <f>'F11 - Capital Data'!O127</f>
        <v>0</v>
      </c>
      <c r="T120" s="235" t="str">
        <f>'F11 - Capital Data'!P127</f>
        <v>N</v>
      </c>
      <c r="U120" s="235" t="str">
        <f>'F11 - Capital Data'!Q127</f>
        <v>N</v>
      </c>
    </row>
    <row r="121" spans="1:21">
      <c r="A121" s="234" t="str">
        <f>'Front Sheet and Checklist'!$C$5</f>
        <v>Swansea Bay UHB</v>
      </c>
      <c r="B121" s="234" t="s">
        <v>940</v>
      </c>
      <c r="C121" s="235" t="str">
        <f>'F11 - Capital Data'!$B$101</f>
        <v>UNAPPROVED SCHEMES</v>
      </c>
      <c r="D121" s="235"/>
      <c r="E121" s="235" t="s">
        <v>941</v>
      </c>
      <c r="F121" s="235" t="str">
        <f>'F11 - Capital Data'!B128</f>
        <v>SWWCC PBC -  5th Linacc/6th Bunker</v>
      </c>
      <c r="G121" s="235"/>
      <c r="H121" s="235">
        <f>'F11 - Capital Data'!C128</f>
        <v>0</v>
      </c>
      <c r="I121" s="235">
        <f>'F11 - Capital Data'!D128</f>
        <v>4</v>
      </c>
      <c r="J121" s="235">
        <f>'F11 - Capital Data'!E128</f>
        <v>1</v>
      </c>
      <c r="K121" s="235">
        <f>'F11 - Capital Data'!F128</f>
        <v>0</v>
      </c>
      <c r="L121" s="235">
        <f>'F11 - Capital Data'!G128</f>
        <v>0</v>
      </c>
      <c r="M121" s="235">
        <f>'F11 - Capital Data'!H128</f>
        <v>5</v>
      </c>
      <c r="N121" s="235">
        <f>'F11 - Capital Data'!I128</f>
        <v>0</v>
      </c>
      <c r="O121" s="235">
        <f>'F11 - Capital Data'!K128</f>
        <v>0</v>
      </c>
      <c r="P121" s="235">
        <f>'F11 - Capital Data'!L128</f>
        <v>0</v>
      </c>
      <c r="Q121" s="235">
        <f>'F11 - Capital Data'!M128</f>
        <v>0</v>
      </c>
      <c r="R121" s="235">
        <f>'F11 - Capital Data'!N128</f>
        <v>0</v>
      </c>
      <c r="S121" s="235">
        <f>'F11 - Capital Data'!O128</f>
        <v>0</v>
      </c>
      <c r="T121" s="235" t="str">
        <f>'F11 - Capital Data'!P128</f>
        <v>N</v>
      </c>
      <c r="U121" s="235" t="str">
        <f>'F11 - Capital Data'!Q128</f>
        <v>Y</v>
      </c>
    </row>
    <row r="122" spans="1:21">
      <c r="A122" s="234" t="str">
        <f>'Front Sheet and Checklist'!$C$5</f>
        <v>Swansea Bay UHB</v>
      </c>
      <c r="B122" s="234" t="s">
        <v>940</v>
      </c>
      <c r="C122" s="235" t="str">
        <f>'F11 - Capital Data'!$B$101</f>
        <v>UNAPPROVED SCHEMES</v>
      </c>
      <c r="D122" s="235"/>
      <c r="E122" s="235" t="s">
        <v>941</v>
      </c>
      <c r="F122" s="235" t="str">
        <f>'F11 - Capital Data'!B129</f>
        <v>Cath Lab Replacement Programme</v>
      </c>
      <c r="G122" s="235"/>
      <c r="H122" s="235">
        <f>'F11 - Capital Data'!C129</f>
        <v>0</v>
      </c>
      <c r="I122" s="235">
        <f>'F11 - Capital Data'!D129</f>
        <v>0</v>
      </c>
      <c r="J122" s="235">
        <f>'F11 - Capital Data'!E129</f>
        <v>0</v>
      </c>
      <c r="K122" s="235">
        <f>'F11 - Capital Data'!F129</f>
        <v>0</v>
      </c>
      <c r="L122" s="235">
        <f>'F11 - Capital Data'!G129</f>
        <v>5.9923471000000008</v>
      </c>
      <c r="M122" s="235">
        <f>'F11 - Capital Data'!H129</f>
        <v>5.9923471000000008</v>
      </c>
      <c r="N122" s="235">
        <f>'F11 - Capital Data'!I129</f>
        <v>0</v>
      </c>
      <c r="O122" s="235">
        <f>'F11 - Capital Data'!K129</f>
        <v>0</v>
      </c>
      <c r="P122" s="235">
        <f>'F11 - Capital Data'!L129</f>
        <v>0</v>
      </c>
      <c r="Q122" s="235">
        <f>'F11 - Capital Data'!M129</f>
        <v>0</v>
      </c>
      <c r="R122" s="235">
        <f>'F11 - Capital Data'!N129</f>
        <v>0</v>
      </c>
      <c r="S122" s="235">
        <f>'F11 - Capital Data'!O129</f>
        <v>0</v>
      </c>
      <c r="T122" s="235" t="str">
        <f>'F11 - Capital Data'!P129</f>
        <v>N</v>
      </c>
      <c r="U122" s="235" t="str">
        <f>'F11 - Capital Data'!Q129</f>
        <v>N</v>
      </c>
    </row>
    <row r="123" spans="1:21">
      <c r="A123" s="234" t="str">
        <f>'Front Sheet and Checklist'!$C$5</f>
        <v>Swansea Bay UHB</v>
      </c>
      <c r="B123" s="234" t="s">
        <v>940</v>
      </c>
      <c r="C123" s="235" t="str">
        <f>'F11 - Capital Data'!$B$101</f>
        <v>UNAPPROVED SCHEMES</v>
      </c>
      <c r="D123" s="235"/>
      <c r="E123" s="235" t="s">
        <v>941</v>
      </c>
      <c r="F123" s="235" t="str">
        <f>'F11 - Capital Data'!B130</f>
        <v>SWWCC - Radiotherapy Replacement Programme</v>
      </c>
      <c r="G123" s="235"/>
      <c r="H123" s="235">
        <f>'F11 - Capital Data'!C130</f>
        <v>0</v>
      </c>
      <c r="I123" s="235">
        <f>'F11 - Capital Data'!D130</f>
        <v>0</v>
      </c>
      <c r="J123" s="235">
        <f>'F11 - Capital Data'!E130</f>
        <v>0</v>
      </c>
      <c r="K123" s="235">
        <f>'F11 - Capital Data'!F130</f>
        <v>0</v>
      </c>
      <c r="L123" s="235">
        <f>'F11 - Capital Data'!G130</f>
        <v>20</v>
      </c>
      <c r="M123" s="235">
        <f>'F11 - Capital Data'!H130</f>
        <v>20</v>
      </c>
      <c r="N123" s="235">
        <f>'F11 - Capital Data'!I130</f>
        <v>0</v>
      </c>
      <c r="O123" s="235">
        <f>'F11 - Capital Data'!K130</f>
        <v>0</v>
      </c>
      <c r="P123" s="235">
        <f>'F11 - Capital Data'!L130</f>
        <v>0</v>
      </c>
      <c r="Q123" s="235">
        <f>'F11 - Capital Data'!M130</f>
        <v>0</v>
      </c>
      <c r="R123" s="235">
        <f>'F11 - Capital Data'!N130</f>
        <v>0</v>
      </c>
      <c r="S123" s="235">
        <f>'F11 - Capital Data'!O130</f>
        <v>0</v>
      </c>
      <c r="T123" s="235" t="str">
        <f>'F11 - Capital Data'!P130</f>
        <v>N</v>
      </c>
      <c r="U123" s="235" t="str">
        <f>'F11 - Capital Data'!Q130</f>
        <v>Y</v>
      </c>
    </row>
    <row r="124" spans="1:21">
      <c r="A124" s="234" t="str">
        <f>'Front Sheet and Checklist'!$C$5</f>
        <v>Swansea Bay UHB</v>
      </c>
      <c r="B124" s="234" t="s">
        <v>940</v>
      </c>
      <c r="C124" s="235" t="str">
        <f>'F11 - Capital Data'!$B$101</f>
        <v>UNAPPROVED SCHEMES</v>
      </c>
      <c r="D124" s="235"/>
      <c r="E124" s="235" t="s">
        <v>941</v>
      </c>
      <c r="F124" s="235" t="str">
        <f>'F11 - Capital Data'!B131</f>
        <v>Nuclear Medicine Replacement Programme - SPEC-CT</v>
      </c>
      <c r="G124" s="235"/>
      <c r="H124" s="235">
        <f>'F11 - Capital Data'!C131</f>
        <v>0</v>
      </c>
      <c r="I124" s="235">
        <f>'F11 - Capital Data'!D131</f>
        <v>0</v>
      </c>
      <c r="J124" s="235">
        <f>'F11 - Capital Data'!E131</f>
        <v>0</v>
      </c>
      <c r="K124" s="235">
        <f>'F11 - Capital Data'!F131</f>
        <v>0</v>
      </c>
      <c r="L124" s="235">
        <f>'F11 - Capital Data'!G131</f>
        <v>4.1210000000000004</v>
      </c>
      <c r="M124" s="235">
        <f>'F11 - Capital Data'!H131</f>
        <v>4.1210000000000004</v>
      </c>
      <c r="N124" s="235">
        <f>'F11 - Capital Data'!I131</f>
        <v>0</v>
      </c>
      <c r="O124" s="235">
        <f>'F11 - Capital Data'!K131</f>
        <v>0</v>
      </c>
      <c r="P124" s="235">
        <f>'F11 - Capital Data'!L131</f>
        <v>0</v>
      </c>
      <c r="Q124" s="235">
        <f>'F11 - Capital Data'!M131</f>
        <v>0</v>
      </c>
      <c r="R124" s="235">
        <f>'F11 - Capital Data'!N131</f>
        <v>0</v>
      </c>
      <c r="S124" s="235">
        <f>'F11 - Capital Data'!O131</f>
        <v>0</v>
      </c>
      <c r="T124" s="235" t="str">
        <f>'F11 - Capital Data'!P131</f>
        <v>N</v>
      </c>
      <c r="U124" s="235" t="str">
        <f>'F11 - Capital Data'!Q131</f>
        <v>Y</v>
      </c>
    </row>
    <row r="125" spans="1:21">
      <c r="A125" s="234" t="str">
        <f>'Front Sheet and Checklist'!$C$5</f>
        <v>Swansea Bay UHB</v>
      </c>
      <c r="B125" s="234" t="s">
        <v>940</v>
      </c>
      <c r="C125" s="235" t="str">
        <f>'F11 - Capital Data'!$B$101</f>
        <v>UNAPPROVED SCHEMES</v>
      </c>
      <c r="D125" s="235"/>
      <c r="E125" s="235" t="s">
        <v>941</v>
      </c>
      <c r="F125" s="235" t="str">
        <f>'F11 - Capital Data'!B132</f>
        <v>Imaging Replacement Programme - SPEC-CT</v>
      </c>
      <c r="G125" s="235"/>
      <c r="H125" s="235">
        <f>'F11 - Capital Data'!C132</f>
        <v>0</v>
      </c>
      <c r="I125" s="235">
        <f>'F11 - Capital Data'!D132</f>
        <v>0</v>
      </c>
      <c r="J125" s="235">
        <f>'F11 - Capital Data'!E132</f>
        <v>0</v>
      </c>
      <c r="K125" s="235">
        <f>'F11 - Capital Data'!F132</f>
        <v>0</v>
      </c>
      <c r="L125" s="235">
        <f>'F11 - Capital Data'!G132</f>
        <v>1.7339046435999999</v>
      </c>
      <c r="M125" s="235">
        <f>'F11 - Capital Data'!H132</f>
        <v>1.7339046435999999</v>
      </c>
      <c r="N125" s="235">
        <f>'F11 - Capital Data'!I132</f>
        <v>0</v>
      </c>
      <c r="O125" s="235">
        <f>'F11 - Capital Data'!K132</f>
        <v>0</v>
      </c>
      <c r="P125" s="235">
        <f>'F11 - Capital Data'!L132</f>
        <v>0</v>
      </c>
      <c r="Q125" s="235">
        <f>'F11 - Capital Data'!M132</f>
        <v>0</v>
      </c>
      <c r="R125" s="235">
        <f>'F11 - Capital Data'!N132</f>
        <v>0</v>
      </c>
      <c r="S125" s="235">
        <f>'F11 - Capital Data'!O132</f>
        <v>0</v>
      </c>
      <c r="T125" s="235" t="str">
        <f>'F11 - Capital Data'!P132</f>
        <v>N</v>
      </c>
      <c r="U125" s="235" t="str">
        <f>'F11 - Capital Data'!Q132</f>
        <v>Y</v>
      </c>
    </row>
    <row r="126" spans="1:21">
      <c r="A126" s="234" t="str">
        <f>'Front Sheet and Checklist'!$C$5</f>
        <v>Swansea Bay UHB</v>
      </c>
      <c r="B126" s="234" t="s">
        <v>940</v>
      </c>
      <c r="C126" s="235" t="str">
        <f>'F11 - Capital Data'!$B$101</f>
        <v>UNAPPROVED SCHEMES</v>
      </c>
      <c r="D126" s="235"/>
      <c r="E126" s="235" t="s">
        <v>941</v>
      </c>
      <c r="F126" s="235">
        <f>'F11 - Capital Data'!B133</f>
        <v>0</v>
      </c>
      <c r="G126" s="235"/>
      <c r="H126" s="235">
        <f>'F11 - Capital Data'!C133</f>
        <v>0</v>
      </c>
      <c r="I126" s="235">
        <f>'F11 - Capital Data'!D133</f>
        <v>0</v>
      </c>
      <c r="J126" s="235">
        <f>'F11 - Capital Data'!E133</f>
        <v>0</v>
      </c>
      <c r="K126" s="235">
        <f>'F11 - Capital Data'!F133</f>
        <v>0</v>
      </c>
      <c r="L126" s="235">
        <f>'F11 - Capital Data'!G133</f>
        <v>0</v>
      </c>
      <c r="M126" s="235">
        <f>'F11 - Capital Data'!H133</f>
        <v>0</v>
      </c>
      <c r="N126" s="235">
        <f>'F11 - Capital Data'!I133</f>
        <v>0</v>
      </c>
      <c r="O126" s="235">
        <f>'F11 - Capital Data'!K133</f>
        <v>0</v>
      </c>
      <c r="P126" s="235">
        <f>'F11 - Capital Data'!L133</f>
        <v>0</v>
      </c>
      <c r="Q126" s="235">
        <f>'F11 - Capital Data'!M133</f>
        <v>0</v>
      </c>
      <c r="R126" s="235">
        <f>'F11 - Capital Data'!N133</f>
        <v>0</v>
      </c>
      <c r="S126" s="235">
        <f>'F11 - Capital Data'!O133</f>
        <v>0</v>
      </c>
      <c r="T126" s="235">
        <f>'F11 - Capital Data'!P133</f>
        <v>0</v>
      </c>
      <c r="U126" s="235">
        <f>'F11 - Capital Data'!Q133</f>
        <v>0</v>
      </c>
    </row>
    <row r="127" spans="1:21">
      <c r="A127" s="234" t="str">
        <f>'Front Sheet and Checklist'!$C$5</f>
        <v>Swansea Bay UHB</v>
      </c>
      <c r="B127" s="234" t="s">
        <v>940</v>
      </c>
      <c r="C127" s="235" t="str">
        <f>'F11 - Capital Data'!$B$101</f>
        <v>UNAPPROVED SCHEMES</v>
      </c>
      <c r="D127" s="235"/>
      <c r="E127" s="235" t="s">
        <v>941</v>
      </c>
      <c r="F127" s="235">
        <f>'F11 - Capital Data'!B134</f>
        <v>0</v>
      </c>
      <c r="G127" s="235"/>
      <c r="H127" s="235">
        <f>'F11 - Capital Data'!C134</f>
        <v>0</v>
      </c>
      <c r="I127" s="235">
        <f>'F11 - Capital Data'!D134</f>
        <v>0</v>
      </c>
      <c r="J127" s="235">
        <f>'F11 - Capital Data'!E134</f>
        <v>0</v>
      </c>
      <c r="K127" s="235">
        <f>'F11 - Capital Data'!F134</f>
        <v>0</v>
      </c>
      <c r="L127" s="235">
        <f>'F11 - Capital Data'!G134</f>
        <v>0</v>
      </c>
      <c r="M127" s="235">
        <f>'F11 - Capital Data'!H134</f>
        <v>0</v>
      </c>
      <c r="N127" s="235">
        <f>'F11 - Capital Data'!I134</f>
        <v>0</v>
      </c>
      <c r="O127" s="235">
        <f>'F11 - Capital Data'!K134</f>
        <v>0</v>
      </c>
      <c r="P127" s="235">
        <f>'F11 - Capital Data'!L134</f>
        <v>0</v>
      </c>
      <c r="Q127" s="235">
        <f>'F11 - Capital Data'!M134</f>
        <v>0</v>
      </c>
      <c r="R127" s="235">
        <f>'F11 - Capital Data'!N134</f>
        <v>0</v>
      </c>
      <c r="S127" s="235">
        <f>'F11 - Capital Data'!O134</f>
        <v>0</v>
      </c>
      <c r="T127" s="235">
        <f>'F11 - Capital Data'!P134</f>
        <v>0</v>
      </c>
      <c r="U127" s="235">
        <f>'F11 - Capital Data'!Q134</f>
        <v>0</v>
      </c>
    </row>
    <row r="128" spans="1:21">
      <c r="A128" s="234" t="str">
        <f>'Front Sheet and Checklist'!$C$5</f>
        <v>Swansea Bay UHB</v>
      </c>
      <c r="B128" s="234" t="s">
        <v>940</v>
      </c>
      <c r="C128" s="235" t="str">
        <f>'F11 - Capital Data'!$B$101</f>
        <v>UNAPPROVED SCHEMES</v>
      </c>
      <c r="D128" s="235"/>
      <c r="E128" s="235" t="s">
        <v>941</v>
      </c>
      <c r="F128" s="235">
        <f>'F11 - Capital Data'!B135</f>
        <v>0</v>
      </c>
      <c r="G128" s="235"/>
      <c r="H128" s="235">
        <f>'F11 - Capital Data'!C135</f>
        <v>0</v>
      </c>
      <c r="I128" s="235">
        <f>'F11 - Capital Data'!D135</f>
        <v>0</v>
      </c>
      <c r="J128" s="235">
        <f>'F11 - Capital Data'!E135</f>
        <v>0</v>
      </c>
      <c r="K128" s="235">
        <f>'F11 - Capital Data'!F135</f>
        <v>0</v>
      </c>
      <c r="L128" s="235">
        <f>'F11 - Capital Data'!G135</f>
        <v>0</v>
      </c>
      <c r="M128" s="235">
        <f>'F11 - Capital Data'!H135</f>
        <v>0</v>
      </c>
      <c r="N128" s="235">
        <f>'F11 - Capital Data'!I135</f>
        <v>0</v>
      </c>
      <c r="O128" s="235">
        <f>'F11 - Capital Data'!K135</f>
        <v>0</v>
      </c>
      <c r="P128" s="235">
        <f>'F11 - Capital Data'!L135</f>
        <v>0</v>
      </c>
      <c r="Q128" s="235">
        <f>'F11 - Capital Data'!M135</f>
        <v>0</v>
      </c>
      <c r="R128" s="235">
        <f>'F11 - Capital Data'!N135</f>
        <v>0</v>
      </c>
      <c r="S128" s="235">
        <f>'F11 - Capital Data'!O135</f>
        <v>0</v>
      </c>
      <c r="T128" s="235">
        <f>'F11 - Capital Data'!P135</f>
        <v>0</v>
      </c>
      <c r="U128" s="235">
        <f>'F11 - Capital Data'!Q135</f>
        <v>0</v>
      </c>
    </row>
    <row r="129" spans="1:23">
      <c r="A129" s="234" t="str">
        <f>'Front Sheet and Checklist'!$C$5</f>
        <v>Swansea Bay UHB</v>
      </c>
      <c r="B129" s="234" t="s">
        <v>940</v>
      </c>
      <c r="C129" s="235" t="str">
        <f>'F11 - Capital Data'!$B$101</f>
        <v>UNAPPROVED SCHEMES</v>
      </c>
      <c r="D129" s="235"/>
      <c r="E129" s="235" t="s">
        <v>941</v>
      </c>
      <c r="F129" s="235">
        <f>'F11 - Capital Data'!B136</f>
        <v>0</v>
      </c>
      <c r="G129" s="235"/>
      <c r="H129" s="235">
        <f>'F11 - Capital Data'!C136</f>
        <v>0</v>
      </c>
      <c r="I129" s="235">
        <f>'F11 - Capital Data'!D136</f>
        <v>0</v>
      </c>
      <c r="J129" s="235">
        <f>'F11 - Capital Data'!E136</f>
        <v>0</v>
      </c>
      <c r="K129" s="235">
        <f>'F11 - Capital Data'!F136</f>
        <v>0</v>
      </c>
      <c r="L129" s="235">
        <f>'F11 - Capital Data'!G136</f>
        <v>0</v>
      </c>
      <c r="M129" s="235">
        <f>'F11 - Capital Data'!H136</f>
        <v>0</v>
      </c>
      <c r="N129" s="235">
        <f>'F11 - Capital Data'!I136</f>
        <v>0</v>
      </c>
      <c r="O129" s="235">
        <f>'F11 - Capital Data'!K136</f>
        <v>0</v>
      </c>
      <c r="P129" s="235">
        <f>'F11 - Capital Data'!L136</f>
        <v>0</v>
      </c>
      <c r="Q129" s="235">
        <f>'F11 - Capital Data'!M136</f>
        <v>0</v>
      </c>
      <c r="R129" s="235">
        <f>'F11 - Capital Data'!N136</f>
        <v>0</v>
      </c>
      <c r="S129" s="235">
        <f>'F11 - Capital Data'!O136</f>
        <v>0</v>
      </c>
      <c r="T129" s="235">
        <f>'F11 - Capital Data'!P136</f>
        <v>0</v>
      </c>
      <c r="U129" s="235">
        <f>'F11 - Capital Data'!Q136</f>
        <v>0</v>
      </c>
    </row>
    <row r="130" spans="1:23">
      <c r="A130" s="234" t="str">
        <f>'Front Sheet and Checklist'!$C$5</f>
        <v>Swansea Bay UHB</v>
      </c>
      <c r="B130" s="234" t="s">
        <v>940</v>
      </c>
      <c r="C130" s="235" t="str">
        <f>'F11 - Capital Data'!$B$101</f>
        <v>UNAPPROVED SCHEMES</v>
      </c>
      <c r="D130" s="235"/>
      <c r="E130" s="235" t="s">
        <v>941</v>
      </c>
      <c r="F130" s="235">
        <f>'F11 - Capital Data'!B137</f>
        <v>0</v>
      </c>
      <c r="G130" s="235"/>
      <c r="H130" s="235">
        <f>'F11 - Capital Data'!C137</f>
        <v>0</v>
      </c>
      <c r="I130" s="235">
        <f>'F11 - Capital Data'!D137</f>
        <v>0</v>
      </c>
      <c r="J130" s="235">
        <f>'F11 - Capital Data'!E137</f>
        <v>0</v>
      </c>
      <c r="K130" s="235">
        <f>'F11 - Capital Data'!F137</f>
        <v>0</v>
      </c>
      <c r="L130" s="235">
        <f>'F11 - Capital Data'!G137</f>
        <v>0</v>
      </c>
      <c r="M130" s="235">
        <f>'F11 - Capital Data'!H137</f>
        <v>0</v>
      </c>
      <c r="N130" s="235">
        <f>'F11 - Capital Data'!I137</f>
        <v>0</v>
      </c>
      <c r="O130" s="235">
        <f>'F11 - Capital Data'!K137</f>
        <v>0</v>
      </c>
      <c r="P130" s="235">
        <f>'F11 - Capital Data'!L137</f>
        <v>0</v>
      </c>
      <c r="Q130" s="235">
        <f>'F11 - Capital Data'!M137</f>
        <v>0</v>
      </c>
      <c r="R130" s="235">
        <f>'F11 - Capital Data'!N137</f>
        <v>0</v>
      </c>
      <c r="S130" s="235">
        <f>'F11 - Capital Data'!O137</f>
        <v>0</v>
      </c>
      <c r="T130" s="235">
        <f>'F11 - Capital Data'!P137</f>
        <v>0</v>
      </c>
      <c r="U130" s="235">
        <f>'F11 - Capital Data'!Q137</f>
        <v>0</v>
      </c>
    </row>
    <row r="131" spans="1:23">
      <c r="A131" s="234" t="str">
        <f>'Front Sheet and Checklist'!$C$5</f>
        <v>Swansea Bay UHB</v>
      </c>
      <c r="B131" s="234" t="s">
        <v>940</v>
      </c>
      <c r="C131" s="235" t="str">
        <f>'F11 - Capital Data'!$B$101</f>
        <v>UNAPPROVED SCHEMES</v>
      </c>
      <c r="D131" s="235"/>
      <c r="E131" s="235" t="s">
        <v>941</v>
      </c>
      <c r="F131" s="235">
        <f>'F11 - Capital Data'!B138</f>
        <v>0</v>
      </c>
      <c r="G131" s="235"/>
      <c r="H131" s="235">
        <f>'F11 - Capital Data'!C138</f>
        <v>0</v>
      </c>
      <c r="I131" s="235">
        <f>'F11 - Capital Data'!D138</f>
        <v>0</v>
      </c>
      <c r="J131" s="235">
        <f>'F11 - Capital Data'!E138</f>
        <v>0</v>
      </c>
      <c r="K131" s="235">
        <f>'F11 - Capital Data'!F138</f>
        <v>0</v>
      </c>
      <c r="L131" s="235">
        <f>'F11 - Capital Data'!G138</f>
        <v>0</v>
      </c>
      <c r="M131" s="235">
        <f>'F11 - Capital Data'!H138</f>
        <v>0</v>
      </c>
      <c r="N131" s="235">
        <f>'F11 - Capital Data'!I138</f>
        <v>0</v>
      </c>
      <c r="O131" s="235">
        <f>'F11 - Capital Data'!K138</f>
        <v>0</v>
      </c>
      <c r="P131" s="235">
        <f>'F11 - Capital Data'!L138</f>
        <v>0</v>
      </c>
      <c r="Q131" s="235">
        <f>'F11 - Capital Data'!M138</f>
        <v>0</v>
      </c>
      <c r="R131" s="235">
        <f>'F11 - Capital Data'!N138</f>
        <v>0</v>
      </c>
      <c r="S131" s="235">
        <f>'F11 - Capital Data'!O138</f>
        <v>0</v>
      </c>
      <c r="T131" s="235">
        <f>'F11 - Capital Data'!P138</f>
        <v>0</v>
      </c>
      <c r="U131" s="235">
        <f>'F11 - Capital Data'!Q138</f>
        <v>0</v>
      </c>
    </row>
    <row r="132" spans="1:23">
      <c r="A132" s="234" t="str">
        <f>'Front Sheet and Checklist'!$C$5</f>
        <v>Swansea Bay UHB</v>
      </c>
      <c r="B132" s="234" t="s">
        <v>940</v>
      </c>
      <c r="C132" s="235" t="str">
        <f>'F11 - Capital Data'!$B$101</f>
        <v>UNAPPROVED SCHEMES</v>
      </c>
      <c r="D132" s="235"/>
      <c r="E132" s="235" t="s">
        <v>941</v>
      </c>
      <c r="F132" s="235">
        <f>'F11 - Capital Data'!B139</f>
        <v>0</v>
      </c>
      <c r="G132" s="235"/>
      <c r="H132" s="235">
        <f>'F11 - Capital Data'!C139</f>
        <v>0</v>
      </c>
      <c r="I132" s="235">
        <f>'F11 - Capital Data'!D139</f>
        <v>0</v>
      </c>
      <c r="J132" s="235">
        <f>'F11 - Capital Data'!E139</f>
        <v>0</v>
      </c>
      <c r="K132" s="235">
        <f>'F11 - Capital Data'!F139</f>
        <v>0</v>
      </c>
      <c r="L132" s="235">
        <f>'F11 - Capital Data'!G139</f>
        <v>0</v>
      </c>
      <c r="M132" s="235">
        <f>'F11 - Capital Data'!H139</f>
        <v>0</v>
      </c>
      <c r="N132" s="235">
        <f>'F11 - Capital Data'!I139</f>
        <v>0</v>
      </c>
      <c r="O132" s="235">
        <f>'F11 - Capital Data'!K139</f>
        <v>0</v>
      </c>
      <c r="P132" s="235">
        <f>'F11 - Capital Data'!L139</f>
        <v>0</v>
      </c>
      <c r="Q132" s="235">
        <f>'F11 - Capital Data'!M139</f>
        <v>0</v>
      </c>
      <c r="R132" s="235">
        <f>'F11 - Capital Data'!N139</f>
        <v>0</v>
      </c>
      <c r="S132" s="235">
        <f>'F11 - Capital Data'!O139</f>
        <v>0</v>
      </c>
      <c r="T132" s="235">
        <f>'F11 - Capital Data'!P139</f>
        <v>0</v>
      </c>
      <c r="U132" s="235">
        <f>'F11 - Capital Data'!Q139</f>
        <v>0</v>
      </c>
    </row>
    <row r="133" spans="1:23">
      <c r="A133" s="234" t="str">
        <f>'Front Sheet and Checklist'!$C$5</f>
        <v>Swansea Bay UHB</v>
      </c>
      <c r="B133" s="234" t="s">
        <v>940</v>
      </c>
      <c r="C133" s="235" t="str">
        <f>'F11 - Capital Data'!$B$101</f>
        <v>UNAPPROVED SCHEMES</v>
      </c>
      <c r="D133" s="235"/>
      <c r="E133" s="235" t="s">
        <v>268</v>
      </c>
      <c r="F133" s="235" t="str">
        <f>'F11 - Capital Data'!B140</f>
        <v>TOTAL UNAPPROVED SCHEMES</v>
      </c>
      <c r="G133" s="235"/>
      <c r="H133" s="235">
        <f>'F11 - Capital Data'!C140</f>
        <v>61.291213534541633</v>
      </c>
      <c r="I133" s="235">
        <f>'F11 - Capital Data'!D140</f>
        <v>77.676974819714545</v>
      </c>
      <c r="J133" s="235">
        <f>'F11 - Capital Data'!E140</f>
        <v>137.51045553518935</v>
      </c>
      <c r="K133" s="235">
        <f>'F11 - Capital Data'!F140</f>
        <v>151.93359401993357</v>
      </c>
      <c r="L133" s="235">
        <f>'F11 - Capital Data'!G140</f>
        <v>390.70060321914553</v>
      </c>
      <c r="M133" s="235">
        <f>'F11 - Capital Data'!H140</f>
        <v>819.11284112852445</v>
      </c>
      <c r="N133" s="235">
        <f>'F11 - Capital Data'!I140</f>
        <v>0</v>
      </c>
      <c r="O133" s="235">
        <f>'F11 - Capital Data'!K140</f>
        <v>0.33999999999999997</v>
      </c>
      <c r="P133" s="235">
        <f>'F11 - Capital Data'!L140</f>
        <v>5.992</v>
      </c>
      <c r="Q133" s="235">
        <f>'F11 - Capital Data'!M140</f>
        <v>0</v>
      </c>
      <c r="R133" s="235">
        <f>'F11 - Capital Data'!N140</f>
        <v>0</v>
      </c>
      <c r="S133" s="235">
        <f>'F11 - Capital Data'!O140</f>
        <v>6.3319999999999999</v>
      </c>
      <c r="T133" s="235">
        <f>'F11 - Capital Data'!P140</f>
        <v>0</v>
      </c>
      <c r="U133" s="235">
        <f>'F11 - Capital Data'!Q140</f>
        <v>0</v>
      </c>
    </row>
    <row r="134" spans="1:23">
      <c r="A134" s="234" t="str">
        <f>'Front Sheet and Checklist'!$C$5</f>
        <v>Swansea Bay UHB</v>
      </c>
      <c r="B134" s="234" t="s">
        <v>942</v>
      </c>
      <c r="C134" s="235" t="s">
        <v>943</v>
      </c>
      <c r="E134" s="235" t="s">
        <v>941</v>
      </c>
      <c r="F134" s="234" t="str">
        <f>'F12 - Other Estates Data'!B4</f>
        <v xml:space="preserve">Date of Last Estates Condition Survey </v>
      </c>
      <c r="V134" s="233">
        <f>'F12 - Other Estates Data'!C4</f>
        <v>44866</v>
      </c>
      <c r="W134" s="233" t="str">
        <f>'F12 - Other Estates Data'!D4</f>
        <v>6 facet survery completed.</v>
      </c>
    </row>
    <row r="135" spans="1:23">
      <c r="A135" s="234" t="str">
        <f>'Front Sheet and Checklist'!$C$5</f>
        <v>Swansea Bay UHB</v>
      </c>
      <c r="B135" s="234" t="s">
        <v>942</v>
      </c>
      <c r="C135" s="235" t="s">
        <v>943</v>
      </c>
      <c r="E135" s="235" t="s">
        <v>941</v>
      </c>
      <c r="F135" s="234" t="str">
        <f>'F12 - Other Estates Data'!B5</f>
        <v xml:space="preserve">Date of Last Review of Estates Strategy </v>
      </c>
      <c r="V135" s="233">
        <f>'F12 - Other Estates Data'!C5</f>
        <v>45047</v>
      </c>
      <c r="W135" s="233" t="str">
        <f>'F12 - Other Estates Data'!D5</f>
        <v>May 2023 - Estates Strategy approved by Health Board. Further work to be undertaken during 2044-25 on Primary Care and Mental Health &amp; Learning Disabilities.</v>
      </c>
    </row>
    <row r="136" spans="1:23">
      <c r="A136" s="234" t="str">
        <f>'Front Sheet and Checklist'!$C$5</f>
        <v>Swansea Bay UHB</v>
      </c>
      <c r="B136" s="234" t="s">
        <v>942</v>
      </c>
      <c r="C136" s="235" t="str">
        <f>'F12 - Other Estates Data'!$B$8</f>
        <v>KEY PERFORMANCE INDICATORS</v>
      </c>
      <c r="E136" s="235" t="s">
        <v>941</v>
      </c>
      <c r="F136" s="234" t="str">
        <f>'F12 - Other Estates Data'!B10</f>
        <v>High Risk Backlog Maintenance</v>
      </c>
      <c r="G136" s="234">
        <f>'F12 - Other Estates Data'!C10</f>
        <v>9.2479999999999993</v>
      </c>
      <c r="H136" s="233">
        <f>'F12 - Other Estates Data'!D10</f>
        <v>10.404</v>
      </c>
    </row>
    <row r="137" spans="1:23">
      <c r="A137" s="234" t="str">
        <f>'Front Sheet and Checklist'!$C$5</f>
        <v>Swansea Bay UHB</v>
      </c>
      <c r="B137" s="234" t="s">
        <v>942</v>
      </c>
      <c r="C137" s="235" t="str">
        <f>'F12 - Other Estates Data'!$B$8</f>
        <v>KEY PERFORMANCE INDICATORS</v>
      </c>
      <c r="E137" s="235" t="s">
        <v>941</v>
      </c>
      <c r="F137" s="234">
        <f>'F12 - Other Estates Data'!B11</f>
        <v>0</v>
      </c>
      <c r="G137" s="234" t="str">
        <f>'F12 - Other Estates Data'!C11</f>
        <v>%</v>
      </c>
      <c r="H137" s="233" t="str">
        <f>'F12 - Other Estates Data'!D11</f>
        <v>%</v>
      </c>
    </row>
    <row r="138" spans="1:23">
      <c r="A138" s="234" t="str">
        <f>'Front Sheet and Checklist'!$C$5</f>
        <v>Swansea Bay UHB</v>
      </c>
      <c r="B138" s="234" t="s">
        <v>942</v>
      </c>
      <c r="C138" s="235" t="str">
        <f>'F12 - Other Estates Data'!$B$8</f>
        <v>KEY PERFORMANCE INDICATORS</v>
      </c>
      <c r="E138" s="235" t="s">
        <v>941</v>
      </c>
      <c r="F138" s="234" t="str">
        <f>'F12 - Other Estates Data'!B12</f>
        <v>Physical Condition: % in Category B or above</v>
      </c>
      <c r="G138" s="234">
        <f>'F12 - Other Estates Data'!C12</f>
        <v>0.77</v>
      </c>
      <c r="H138" s="233">
        <f>'F12 - Other Estates Data'!D12</f>
        <v>0.77</v>
      </c>
    </row>
    <row r="139" spans="1:23">
      <c r="A139" s="234" t="str">
        <f>'Front Sheet and Checklist'!$C$5</f>
        <v>Swansea Bay UHB</v>
      </c>
      <c r="B139" s="234" t="s">
        <v>942</v>
      </c>
      <c r="C139" s="235" t="str">
        <f>'F12 - Other Estates Data'!$B$8</f>
        <v>KEY PERFORMANCE INDICATORS</v>
      </c>
      <c r="E139" s="235" t="s">
        <v>941</v>
      </c>
      <c r="F139" s="234" t="str">
        <f>'F12 - Other Estates Data'!B13</f>
        <v>Statutory, Safety &amp; Compliance: % in Category B or above</v>
      </c>
      <c r="G139" s="234">
        <f>'F12 - Other Estates Data'!C13</f>
        <v>0.82</v>
      </c>
      <c r="H139" s="233">
        <f>'F12 - Other Estates Data'!D13</f>
        <v>0.82</v>
      </c>
    </row>
    <row r="140" spans="1:23">
      <c r="A140" s="234" t="str">
        <f>'Front Sheet and Checklist'!$C$5</f>
        <v>Swansea Bay UHB</v>
      </c>
      <c r="B140" s="234" t="s">
        <v>942</v>
      </c>
      <c r="C140" s="235" t="str">
        <f>'F12 - Other Estates Data'!$B$8</f>
        <v>KEY PERFORMANCE INDICATORS</v>
      </c>
      <c r="E140" s="235" t="s">
        <v>941</v>
      </c>
      <c r="F140" s="234" t="str">
        <f>'F12 - Other Estates Data'!B14</f>
        <v>Fire Safety Compliance : % in Category B or above</v>
      </c>
      <c r="G140" s="234">
        <f>'F12 - Other Estates Data'!C14</f>
        <v>0.91</v>
      </c>
      <c r="H140" s="233">
        <f>'F12 - Other Estates Data'!D14</f>
        <v>0.91</v>
      </c>
    </row>
    <row r="141" spans="1:23">
      <c r="A141" s="234" t="str">
        <f>'Front Sheet and Checklist'!$C$5</f>
        <v>Swansea Bay UHB</v>
      </c>
      <c r="B141" s="234" t="s">
        <v>942</v>
      </c>
      <c r="C141" s="235" t="str">
        <f>'F12 - Other Estates Data'!$B$8</f>
        <v>KEY PERFORMANCE INDICATORS</v>
      </c>
      <c r="E141" s="235" t="s">
        <v>941</v>
      </c>
      <c r="F141" s="234" t="str">
        <f>'F12 - Other Estates Data'!B15</f>
        <v>Functional Suitability: % in Category B or above</v>
      </c>
      <c r="G141" s="234">
        <f>'F12 - Other Estates Data'!C15</f>
        <v>0.87</v>
      </c>
      <c r="H141" s="233">
        <f>'F12 - Other Estates Data'!D15</f>
        <v>0.87</v>
      </c>
    </row>
  </sheetData>
  <autoFilter ref="A1:Q141" xr:uid="{00000000-0009-0000-0000-000020000000}"/>
  <pageMargins left="0" right="0" top="0" bottom="0" header="0" footer="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7" tint="0.79998168889431442"/>
  </sheetPr>
  <dimension ref="B1:AE142"/>
  <sheetViews>
    <sheetView zoomScale="85" zoomScaleNormal="85" workbookViewId="0">
      <pane xSplit="2" ySplit="3" topLeftCell="C4" activePane="bottomRight" state="frozenSplit"/>
      <selection pane="topRight" activeCell="B11" sqref="B11:C13"/>
      <selection pane="bottomLeft" activeCell="B11" sqref="B11:C13"/>
      <selection pane="bottomRight" activeCell="C62" sqref="C62"/>
    </sheetView>
  </sheetViews>
  <sheetFormatPr defaultColWidth="8.84375" defaultRowHeight="13"/>
  <cols>
    <col min="1" max="1" width="1.84375" style="2" customWidth="1"/>
    <col min="2" max="2" width="47.84375" style="2" customWidth="1"/>
    <col min="3" max="6" width="10.4609375" style="2" customWidth="1"/>
    <col min="7" max="7" width="11.07421875" style="2" customWidth="1"/>
    <col min="8" max="8" width="12.69140625" style="2" customWidth="1"/>
    <col min="9" max="9" width="40.53515625" style="2" customWidth="1"/>
    <col min="10" max="10" width="3.69140625" style="2" customWidth="1"/>
    <col min="11" max="11" width="15.3046875" style="2" customWidth="1"/>
    <col min="12" max="15" width="10.53515625" style="2" customWidth="1"/>
    <col min="16" max="16" width="18.84375" style="2" customWidth="1"/>
    <col min="17" max="17" width="16.765625" style="2" customWidth="1"/>
    <col min="18" max="18" width="14.4609375" style="2" customWidth="1"/>
    <col min="19" max="19" width="6.4609375" style="2" customWidth="1"/>
    <col min="20" max="45" width="9.3046875" style="2" customWidth="1"/>
    <col min="46" max="16384" width="8.84375" style="2"/>
  </cols>
  <sheetData>
    <row r="1" spans="2:20" s="1" customFormat="1" ht="23.5">
      <c r="B1" s="67" t="s">
        <v>944</v>
      </c>
      <c r="C1" s="150"/>
      <c r="D1" s="322" t="s">
        <v>945</v>
      </c>
      <c r="E1" s="150"/>
      <c r="F1" s="150"/>
      <c r="G1" s="150"/>
      <c r="H1" s="150"/>
      <c r="I1" s="886" t="s">
        <v>360</v>
      </c>
      <c r="K1" s="323"/>
      <c r="L1" s="324"/>
      <c r="M1" s="324" t="s">
        <v>946</v>
      </c>
      <c r="N1" s="324"/>
      <c r="O1" s="325"/>
      <c r="P1" s="889" t="s">
        <v>936</v>
      </c>
      <c r="Q1" s="886" t="s">
        <v>937</v>
      </c>
      <c r="R1" s="886" t="s">
        <v>947</v>
      </c>
    </row>
    <row r="2" spans="2:20" s="1" customFormat="1" ht="46.5">
      <c r="B2" s="326"/>
      <c r="C2" s="150" t="s">
        <v>926</v>
      </c>
      <c r="D2" s="150" t="s">
        <v>927</v>
      </c>
      <c r="E2" s="150" t="s">
        <v>928</v>
      </c>
      <c r="F2" s="150" t="s">
        <v>929</v>
      </c>
      <c r="G2" s="150" t="s">
        <v>930</v>
      </c>
      <c r="H2" s="150" t="s">
        <v>931</v>
      </c>
      <c r="I2" s="888"/>
      <c r="K2" s="327" t="s">
        <v>932</v>
      </c>
      <c r="L2" s="327" t="s">
        <v>933</v>
      </c>
      <c r="M2" s="327" t="s">
        <v>934</v>
      </c>
      <c r="N2" s="327" t="s">
        <v>948</v>
      </c>
      <c r="O2" s="327" t="s">
        <v>935</v>
      </c>
      <c r="P2" s="890"/>
      <c r="Q2" s="887"/>
      <c r="R2" s="887"/>
    </row>
    <row r="3" spans="2:20" s="1" customFormat="1" ht="13" customHeight="1">
      <c r="B3" s="66"/>
      <c r="C3" s="66" t="s">
        <v>949</v>
      </c>
      <c r="D3" s="66" t="s">
        <v>949</v>
      </c>
      <c r="E3" s="66" t="s">
        <v>949</v>
      </c>
      <c r="F3" s="66" t="s">
        <v>949</v>
      </c>
      <c r="G3" s="66" t="s">
        <v>949</v>
      </c>
      <c r="H3" s="66" t="s">
        <v>949</v>
      </c>
      <c r="I3" s="66"/>
      <c r="K3" s="66" t="s">
        <v>949</v>
      </c>
      <c r="L3" s="66" t="s">
        <v>949</v>
      </c>
      <c r="M3" s="66" t="s">
        <v>949</v>
      </c>
      <c r="N3" s="66" t="s">
        <v>949</v>
      </c>
      <c r="O3" s="328" t="s">
        <v>949</v>
      </c>
      <c r="P3" s="329"/>
      <c r="Q3" s="330"/>
      <c r="R3" s="331"/>
    </row>
    <row r="4" spans="2:20" ht="15.5">
      <c r="D4" s="8"/>
      <c r="G4" s="8"/>
      <c r="H4" s="8"/>
      <c r="J4" s="8"/>
      <c r="Q4" s="8"/>
    </row>
    <row r="5" spans="2:20" ht="23.5">
      <c r="B5" s="111" t="s">
        <v>950</v>
      </c>
      <c r="C5" s="78"/>
      <c r="D5" s="332"/>
      <c r="E5" s="78"/>
      <c r="F5" s="78"/>
      <c r="G5" s="78"/>
      <c r="H5" s="78"/>
      <c r="I5" s="78"/>
      <c r="J5" s="8"/>
      <c r="Q5" s="8"/>
    </row>
    <row r="6" spans="2:20" ht="15.5">
      <c r="B6" s="320" t="s">
        <v>951</v>
      </c>
      <c r="C6" s="208">
        <v>9.68</v>
      </c>
      <c r="D6" s="333" t="s">
        <v>250</v>
      </c>
      <c r="E6" s="333" t="s">
        <v>250</v>
      </c>
      <c r="F6" s="333" t="s">
        <v>250</v>
      </c>
      <c r="G6" s="333" t="s">
        <v>250</v>
      </c>
      <c r="H6" s="333" t="s">
        <v>250</v>
      </c>
      <c r="I6" s="208"/>
      <c r="J6" s="8"/>
      <c r="Q6" s="8"/>
    </row>
    <row r="7" spans="2:20" ht="15.5">
      <c r="D7" s="8"/>
      <c r="G7" s="8"/>
      <c r="H7" s="8"/>
      <c r="J7" s="8"/>
      <c r="Q7" s="8"/>
    </row>
    <row r="8" spans="2:20" ht="23.5">
      <c r="B8" s="111" t="s">
        <v>952</v>
      </c>
      <c r="C8" s="78"/>
      <c r="D8" s="332"/>
      <c r="E8" s="78"/>
      <c r="F8" s="78"/>
      <c r="G8" s="78"/>
      <c r="H8" s="78"/>
      <c r="I8" s="78"/>
      <c r="K8" s="332"/>
      <c r="L8" s="332"/>
      <c r="M8" s="332"/>
      <c r="N8" s="332"/>
      <c r="O8" s="332"/>
      <c r="P8" s="78"/>
      <c r="Q8" s="78"/>
      <c r="R8" s="78"/>
    </row>
    <row r="9" spans="2:20">
      <c r="B9" s="320" t="s">
        <v>953</v>
      </c>
      <c r="C9" s="208">
        <v>1.976</v>
      </c>
      <c r="D9" s="333" t="s">
        <v>250</v>
      </c>
      <c r="E9" s="333" t="s">
        <v>250</v>
      </c>
      <c r="F9" s="333" t="s">
        <v>250</v>
      </c>
      <c r="G9" s="333" t="s">
        <v>250</v>
      </c>
      <c r="H9" s="333" t="s">
        <v>250</v>
      </c>
      <c r="I9" s="208"/>
      <c r="K9" s="333" t="s">
        <v>250</v>
      </c>
      <c r="L9" s="333" t="s">
        <v>250</v>
      </c>
      <c r="M9" s="333" t="s">
        <v>250</v>
      </c>
      <c r="N9" s="333" t="s">
        <v>250</v>
      </c>
      <c r="O9" s="333" t="s">
        <v>250</v>
      </c>
      <c r="P9" s="333" t="s">
        <v>250</v>
      </c>
      <c r="Q9" s="333" t="s">
        <v>250</v>
      </c>
      <c r="R9" s="333" t="s">
        <v>250</v>
      </c>
      <c r="T9" s="2" t="str">
        <f>IF(COUNTA(C9)&gt;COUNT(C9),"Please only enter numeric or percentage (as required) in this row","")</f>
        <v/>
      </c>
    </row>
    <row r="10" spans="2:20">
      <c r="B10" s="320" t="s">
        <v>954</v>
      </c>
      <c r="C10" s="208">
        <v>1.0609999999999999</v>
      </c>
      <c r="D10" s="333" t="s">
        <v>250</v>
      </c>
      <c r="E10" s="333" t="s">
        <v>250</v>
      </c>
      <c r="F10" s="333" t="s">
        <v>250</v>
      </c>
      <c r="G10" s="333" t="s">
        <v>250</v>
      </c>
      <c r="H10" s="333" t="s">
        <v>250</v>
      </c>
      <c r="I10" s="208"/>
      <c r="K10" s="333" t="s">
        <v>250</v>
      </c>
      <c r="L10" s="333" t="s">
        <v>250</v>
      </c>
      <c r="M10" s="333" t="s">
        <v>250</v>
      </c>
      <c r="N10" s="333" t="s">
        <v>250</v>
      </c>
      <c r="O10" s="333" t="s">
        <v>250</v>
      </c>
      <c r="P10" s="333" t="s">
        <v>250</v>
      </c>
      <c r="Q10" s="333" t="s">
        <v>250</v>
      </c>
      <c r="R10" s="333" t="s">
        <v>250</v>
      </c>
      <c r="T10" s="2" t="str">
        <f t="shared" ref="T10:T13" si="0">IF(COUNTA(C10)&gt;COUNT(C10),"Please only enter numeric or percentage (as required) in this row","")</f>
        <v/>
      </c>
    </row>
    <row r="11" spans="2:20">
      <c r="B11" s="320" t="s">
        <v>955</v>
      </c>
      <c r="C11" s="208"/>
      <c r="D11" s="333" t="s">
        <v>250</v>
      </c>
      <c r="E11" s="333" t="s">
        <v>250</v>
      </c>
      <c r="F11" s="333" t="s">
        <v>250</v>
      </c>
      <c r="G11" s="333" t="s">
        <v>250</v>
      </c>
      <c r="H11" s="333" t="s">
        <v>250</v>
      </c>
      <c r="I11" s="208"/>
      <c r="K11" s="333" t="s">
        <v>250</v>
      </c>
      <c r="L11" s="333" t="s">
        <v>250</v>
      </c>
      <c r="M11" s="333" t="s">
        <v>250</v>
      </c>
      <c r="N11" s="333" t="s">
        <v>250</v>
      </c>
      <c r="O11" s="333" t="s">
        <v>250</v>
      </c>
      <c r="P11" s="333" t="s">
        <v>250</v>
      </c>
      <c r="Q11" s="333" t="s">
        <v>250</v>
      </c>
      <c r="R11" s="333" t="s">
        <v>250</v>
      </c>
      <c r="T11" s="2" t="str">
        <f t="shared" si="0"/>
        <v/>
      </c>
    </row>
    <row r="12" spans="2:20">
      <c r="B12" s="320" t="s">
        <v>956</v>
      </c>
      <c r="C12" s="208">
        <v>7.4930000000000003</v>
      </c>
      <c r="D12" s="333" t="s">
        <v>250</v>
      </c>
      <c r="E12" s="333" t="s">
        <v>250</v>
      </c>
      <c r="F12" s="333" t="s">
        <v>250</v>
      </c>
      <c r="G12" s="333" t="s">
        <v>250</v>
      </c>
      <c r="H12" s="333" t="s">
        <v>250</v>
      </c>
      <c r="I12" s="208"/>
      <c r="K12" s="333" t="s">
        <v>250</v>
      </c>
      <c r="L12" s="333" t="s">
        <v>250</v>
      </c>
      <c r="M12" s="333" t="s">
        <v>250</v>
      </c>
      <c r="N12" s="333" t="s">
        <v>250</v>
      </c>
      <c r="O12" s="333" t="s">
        <v>250</v>
      </c>
      <c r="P12" s="333" t="s">
        <v>250</v>
      </c>
      <c r="Q12" s="333" t="s">
        <v>250</v>
      </c>
      <c r="R12" s="333" t="s">
        <v>250</v>
      </c>
      <c r="T12" s="2" t="str">
        <f t="shared" si="0"/>
        <v/>
      </c>
    </row>
    <row r="13" spans="2:20">
      <c r="B13" s="320" t="s">
        <v>267</v>
      </c>
      <c r="C13" s="208"/>
      <c r="D13" s="333" t="s">
        <v>250</v>
      </c>
      <c r="E13" s="333" t="s">
        <v>250</v>
      </c>
      <c r="F13" s="333" t="s">
        <v>250</v>
      </c>
      <c r="G13" s="333" t="s">
        <v>250</v>
      </c>
      <c r="H13" s="333" t="s">
        <v>250</v>
      </c>
      <c r="I13" s="208"/>
      <c r="K13" s="333" t="s">
        <v>250</v>
      </c>
      <c r="L13" s="333" t="s">
        <v>250</v>
      </c>
      <c r="M13" s="333" t="s">
        <v>250</v>
      </c>
      <c r="N13" s="333" t="s">
        <v>250</v>
      </c>
      <c r="O13" s="333" t="s">
        <v>250</v>
      </c>
      <c r="P13" s="333" t="s">
        <v>250</v>
      </c>
      <c r="Q13" s="333" t="s">
        <v>250</v>
      </c>
      <c r="R13" s="333" t="s">
        <v>250</v>
      </c>
      <c r="T13" s="2" t="str">
        <f t="shared" si="0"/>
        <v/>
      </c>
    </row>
    <row r="14" spans="2:20">
      <c r="B14" s="3" t="s">
        <v>957</v>
      </c>
      <c r="C14" s="59">
        <f>SUM(C9:C13)</f>
        <v>10.530000000000001</v>
      </c>
      <c r="D14" s="333" t="s">
        <v>250</v>
      </c>
      <c r="E14" s="333" t="s">
        <v>250</v>
      </c>
      <c r="F14" s="333" t="s">
        <v>250</v>
      </c>
      <c r="G14" s="333" t="s">
        <v>250</v>
      </c>
      <c r="H14" s="333" t="s">
        <v>250</v>
      </c>
      <c r="I14" s="334"/>
      <c r="K14" s="208"/>
      <c r="L14" s="208"/>
      <c r="M14" s="208"/>
      <c r="N14" s="208"/>
      <c r="O14" s="59">
        <f>SUM(K14:N14)</f>
        <v>0</v>
      </c>
      <c r="P14" s="208"/>
      <c r="T14" s="2" t="str">
        <f>IF(COUNTA(K14:N14)&gt;COUNT(K14:N14),"Please only enter numeric or percentage (as required) in this row","")</f>
        <v/>
      </c>
    </row>
    <row r="15" spans="2:20" ht="15.5">
      <c r="B15" s="335"/>
      <c r="C15" s="210"/>
      <c r="D15" s="8"/>
      <c r="K15" s="8"/>
      <c r="L15" s="8"/>
      <c r="M15" s="8"/>
      <c r="N15" s="8"/>
      <c r="O15" s="8"/>
      <c r="P15" s="8"/>
    </row>
    <row r="16" spans="2:20" ht="23.5">
      <c r="B16" s="144" t="s">
        <v>958</v>
      </c>
      <c r="C16" s="336"/>
      <c r="D16" s="324"/>
      <c r="E16" s="192"/>
      <c r="F16" s="192"/>
      <c r="G16" s="192"/>
      <c r="H16" s="192"/>
      <c r="I16" s="193"/>
      <c r="K16" s="196"/>
      <c r="L16" s="192"/>
      <c r="M16" s="192"/>
      <c r="N16" s="192"/>
      <c r="O16" s="192"/>
      <c r="P16" s="192"/>
      <c r="Q16" s="192"/>
      <c r="R16" s="193"/>
    </row>
    <row r="17" spans="2:20">
      <c r="B17" s="184" t="s">
        <v>959</v>
      </c>
      <c r="C17" s="184">
        <v>-0.2</v>
      </c>
      <c r="D17" s="337" t="s">
        <v>250</v>
      </c>
      <c r="E17" s="337" t="s">
        <v>250</v>
      </c>
      <c r="F17" s="337" t="s">
        <v>250</v>
      </c>
      <c r="G17" s="337" t="s">
        <v>250</v>
      </c>
      <c r="H17" s="337" t="s">
        <v>250</v>
      </c>
      <c r="I17" s="184"/>
      <c r="K17" s="337" t="s">
        <v>250</v>
      </c>
      <c r="L17" s="337" t="s">
        <v>250</v>
      </c>
      <c r="M17" s="337" t="s">
        <v>250</v>
      </c>
      <c r="N17" s="337" t="s">
        <v>250</v>
      </c>
      <c r="O17" s="337" t="s">
        <v>250</v>
      </c>
      <c r="P17" s="337" t="s">
        <v>250</v>
      </c>
      <c r="Q17" s="337" t="s">
        <v>250</v>
      </c>
      <c r="R17" s="337" t="s">
        <v>250</v>
      </c>
      <c r="T17" s="2" t="str">
        <f t="shared" ref="T17:T38" si="1">IF(COUNTA(C17)&gt;COUNT(C17),"Please only enter numeric or percentage (as required) in this row","")</f>
        <v/>
      </c>
    </row>
    <row r="18" spans="2:20">
      <c r="B18" s="208" t="s">
        <v>960</v>
      </c>
      <c r="C18" s="208">
        <v>-0.5</v>
      </c>
      <c r="D18" s="333" t="s">
        <v>250</v>
      </c>
      <c r="E18" s="333" t="s">
        <v>250</v>
      </c>
      <c r="F18" s="333" t="s">
        <v>250</v>
      </c>
      <c r="G18" s="333" t="s">
        <v>250</v>
      </c>
      <c r="H18" s="333" t="s">
        <v>250</v>
      </c>
      <c r="I18" s="208"/>
      <c r="K18" s="333" t="s">
        <v>250</v>
      </c>
      <c r="L18" s="333" t="s">
        <v>250</v>
      </c>
      <c r="M18" s="333" t="s">
        <v>250</v>
      </c>
      <c r="N18" s="333" t="s">
        <v>250</v>
      </c>
      <c r="O18" s="333" t="s">
        <v>250</v>
      </c>
      <c r="P18" s="333" t="s">
        <v>250</v>
      </c>
      <c r="Q18" s="333" t="s">
        <v>250</v>
      </c>
      <c r="R18" s="333" t="s">
        <v>250</v>
      </c>
      <c r="T18" s="2" t="str">
        <f t="shared" si="1"/>
        <v/>
      </c>
    </row>
    <row r="19" spans="2:20">
      <c r="B19" s="208" t="s">
        <v>961</v>
      </c>
      <c r="C19" s="208">
        <v>-0.15</v>
      </c>
      <c r="D19" s="333" t="s">
        <v>250</v>
      </c>
      <c r="E19" s="333" t="s">
        <v>250</v>
      </c>
      <c r="F19" s="333" t="s">
        <v>250</v>
      </c>
      <c r="G19" s="333" t="s">
        <v>250</v>
      </c>
      <c r="H19" s="333" t="s">
        <v>250</v>
      </c>
      <c r="I19" s="208"/>
      <c r="K19" s="333" t="s">
        <v>250</v>
      </c>
      <c r="L19" s="333" t="s">
        <v>250</v>
      </c>
      <c r="M19" s="333" t="s">
        <v>250</v>
      </c>
      <c r="N19" s="333" t="s">
        <v>250</v>
      </c>
      <c r="O19" s="333" t="s">
        <v>250</v>
      </c>
      <c r="P19" s="333" t="s">
        <v>250</v>
      </c>
      <c r="Q19" s="333" t="s">
        <v>250</v>
      </c>
      <c r="R19" s="333" t="s">
        <v>250</v>
      </c>
      <c r="T19" s="2" t="str">
        <f t="shared" si="1"/>
        <v/>
      </c>
    </row>
    <row r="20" spans="2:20">
      <c r="B20" s="208"/>
      <c r="C20" s="208"/>
      <c r="D20" s="333" t="s">
        <v>250</v>
      </c>
      <c r="E20" s="333" t="s">
        <v>250</v>
      </c>
      <c r="F20" s="333" t="s">
        <v>250</v>
      </c>
      <c r="G20" s="333" t="s">
        <v>250</v>
      </c>
      <c r="H20" s="333" t="s">
        <v>250</v>
      </c>
      <c r="I20" s="208"/>
      <c r="K20" s="333" t="s">
        <v>250</v>
      </c>
      <c r="L20" s="333" t="s">
        <v>250</v>
      </c>
      <c r="M20" s="333" t="s">
        <v>250</v>
      </c>
      <c r="N20" s="333" t="s">
        <v>250</v>
      </c>
      <c r="O20" s="333" t="s">
        <v>250</v>
      </c>
      <c r="P20" s="333" t="s">
        <v>250</v>
      </c>
      <c r="Q20" s="333" t="s">
        <v>250</v>
      </c>
      <c r="R20" s="333" t="s">
        <v>250</v>
      </c>
      <c r="T20" s="2" t="str">
        <f t="shared" si="1"/>
        <v/>
      </c>
    </row>
    <row r="21" spans="2:20">
      <c r="B21" s="208"/>
      <c r="C21" s="208"/>
      <c r="D21" s="333" t="s">
        <v>250</v>
      </c>
      <c r="E21" s="333" t="s">
        <v>250</v>
      </c>
      <c r="F21" s="333" t="s">
        <v>250</v>
      </c>
      <c r="G21" s="333" t="s">
        <v>250</v>
      </c>
      <c r="H21" s="333" t="s">
        <v>250</v>
      </c>
      <c r="I21" s="208"/>
      <c r="K21" s="333" t="s">
        <v>250</v>
      </c>
      <c r="L21" s="333" t="s">
        <v>250</v>
      </c>
      <c r="M21" s="333" t="s">
        <v>250</v>
      </c>
      <c r="N21" s="333" t="s">
        <v>250</v>
      </c>
      <c r="O21" s="333" t="s">
        <v>250</v>
      </c>
      <c r="P21" s="333" t="s">
        <v>250</v>
      </c>
      <c r="Q21" s="333" t="s">
        <v>250</v>
      </c>
      <c r="R21" s="333" t="s">
        <v>250</v>
      </c>
      <c r="T21" s="2" t="str">
        <f t="shared" si="1"/>
        <v/>
      </c>
    </row>
    <row r="22" spans="2:20">
      <c r="B22" s="208"/>
      <c r="C22" s="208"/>
      <c r="D22" s="333" t="s">
        <v>250</v>
      </c>
      <c r="E22" s="333" t="s">
        <v>250</v>
      </c>
      <c r="F22" s="333" t="s">
        <v>250</v>
      </c>
      <c r="G22" s="333" t="s">
        <v>250</v>
      </c>
      <c r="H22" s="333" t="s">
        <v>250</v>
      </c>
      <c r="I22" s="208"/>
      <c r="K22" s="333" t="s">
        <v>250</v>
      </c>
      <c r="L22" s="333" t="s">
        <v>250</v>
      </c>
      <c r="M22" s="333" t="s">
        <v>250</v>
      </c>
      <c r="N22" s="333" t="s">
        <v>250</v>
      </c>
      <c r="O22" s="333" t="s">
        <v>250</v>
      </c>
      <c r="P22" s="333" t="s">
        <v>250</v>
      </c>
      <c r="Q22" s="333" t="s">
        <v>250</v>
      </c>
      <c r="R22" s="333" t="s">
        <v>250</v>
      </c>
      <c r="T22" s="2" t="str">
        <f t="shared" si="1"/>
        <v/>
      </c>
    </row>
    <row r="23" spans="2:20">
      <c r="B23" s="208"/>
      <c r="C23" s="208"/>
      <c r="D23" s="333" t="s">
        <v>250</v>
      </c>
      <c r="E23" s="333" t="s">
        <v>250</v>
      </c>
      <c r="F23" s="333" t="s">
        <v>250</v>
      </c>
      <c r="G23" s="333" t="s">
        <v>250</v>
      </c>
      <c r="H23" s="333" t="s">
        <v>250</v>
      </c>
      <c r="I23" s="208"/>
      <c r="K23" s="333" t="s">
        <v>250</v>
      </c>
      <c r="L23" s="333" t="s">
        <v>250</v>
      </c>
      <c r="M23" s="333" t="s">
        <v>250</v>
      </c>
      <c r="N23" s="333" t="s">
        <v>250</v>
      </c>
      <c r="O23" s="333" t="s">
        <v>250</v>
      </c>
      <c r="P23" s="333" t="s">
        <v>250</v>
      </c>
      <c r="Q23" s="333" t="s">
        <v>250</v>
      </c>
      <c r="R23" s="333" t="s">
        <v>250</v>
      </c>
      <c r="T23" s="2" t="str">
        <f t="shared" si="1"/>
        <v/>
      </c>
    </row>
    <row r="24" spans="2:20">
      <c r="B24" s="208"/>
      <c r="C24" s="208"/>
      <c r="D24" s="333" t="s">
        <v>250</v>
      </c>
      <c r="E24" s="333" t="s">
        <v>250</v>
      </c>
      <c r="F24" s="333" t="s">
        <v>250</v>
      </c>
      <c r="G24" s="333" t="s">
        <v>250</v>
      </c>
      <c r="H24" s="333" t="s">
        <v>250</v>
      </c>
      <c r="I24" s="208"/>
      <c r="K24" s="333" t="s">
        <v>250</v>
      </c>
      <c r="L24" s="333" t="s">
        <v>250</v>
      </c>
      <c r="M24" s="333" t="s">
        <v>250</v>
      </c>
      <c r="N24" s="333" t="s">
        <v>250</v>
      </c>
      <c r="O24" s="333" t="s">
        <v>250</v>
      </c>
      <c r="P24" s="333" t="s">
        <v>250</v>
      </c>
      <c r="Q24" s="333" t="s">
        <v>250</v>
      </c>
      <c r="R24" s="333" t="s">
        <v>250</v>
      </c>
      <c r="T24" s="2" t="str">
        <f t="shared" si="1"/>
        <v/>
      </c>
    </row>
    <row r="25" spans="2:20">
      <c r="B25" s="208"/>
      <c r="C25" s="208"/>
      <c r="D25" s="333" t="s">
        <v>250</v>
      </c>
      <c r="E25" s="333" t="s">
        <v>250</v>
      </c>
      <c r="F25" s="333" t="s">
        <v>250</v>
      </c>
      <c r="G25" s="333" t="s">
        <v>250</v>
      </c>
      <c r="H25" s="333" t="s">
        <v>250</v>
      </c>
      <c r="I25" s="208"/>
      <c r="K25" s="333" t="s">
        <v>250</v>
      </c>
      <c r="L25" s="333" t="s">
        <v>250</v>
      </c>
      <c r="M25" s="333" t="s">
        <v>250</v>
      </c>
      <c r="N25" s="333" t="s">
        <v>250</v>
      </c>
      <c r="O25" s="333" t="s">
        <v>250</v>
      </c>
      <c r="P25" s="333" t="s">
        <v>250</v>
      </c>
      <c r="Q25" s="333" t="s">
        <v>250</v>
      </c>
      <c r="R25" s="333" t="s">
        <v>250</v>
      </c>
      <c r="T25" s="2" t="str">
        <f t="shared" si="1"/>
        <v/>
      </c>
    </row>
    <row r="26" spans="2:20">
      <c r="B26" s="208"/>
      <c r="C26" s="208"/>
      <c r="D26" s="333" t="s">
        <v>250</v>
      </c>
      <c r="E26" s="333" t="s">
        <v>250</v>
      </c>
      <c r="F26" s="333" t="s">
        <v>250</v>
      </c>
      <c r="G26" s="333" t="s">
        <v>250</v>
      </c>
      <c r="H26" s="333" t="s">
        <v>250</v>
      </c>
      <c r="I26" s="208"/>
      <c r="K26" s="333" t="s">
        <v>250</v>
      </c>
      <c r="L26" s="333" t="s">
        <v>250</v>
      </c>
      <c r="M26" s="333" t="s">
        <v>250</v>
      </c>
      <c r="N26" s="333" t="s">
        <v>250</v>
      </c>
      <c r="O26" s="333" t="s">
        <v>250</v>
      </c>
      <c r="P26" s="333" t="s">
        <v>250</v>
      </c>
      <c r="Q26" s="333" t="s">
        <v>250</v>
      </c>
      <c r="R26" s="333" t="s">
        <v>250</v>
      </c>
      <c r="T26" s="2" t="str">
        <f t="shared" si="1"/>
        <v/>
      </c>
    </row>
    <row r="27" spans="2:20">
      <c r="B27" s="208"/>
      <c r="C27" s="208"/>
      <c r="D27" s="333" t="s">
        <v>250</v>
      </c>
      <c r="E27" s="333" t="s">
        <v>250</v>
      </c>
      <c r="F27" s="333" t="s">
        <v>250</v>
      </c>
      <c r="G27" s="333" t="s">
        <v>250</v>
      </c>
      <c r="H27" s="333" t="s">
        <v>250</v>
      </c>
      <c r="I27" s="208"/>
      <c r="K27" s="333" t="s">
        <v>250</v>
      </c>
      <c r="L27" s="333" t="s">
        <v>250</v>
      </c>
      <c r="M27" s="333" t="s">
        <v>250</v>
      </c>
      <c r="N27" s="333" t="s">
        <v>250</v>
      </c>
      <c r="O27" s="333" t="s">
        <v>250</v>
      </c>
      <c r="P27" s="333" t="s">
        <v>250</v>
      </c>
      <c r="Q27" s="333" t="s">
        <v>250</v>
      </c>
      <c r="R27" s="333" t="s">
        <v>250</v>
      </c>
      <c r="T27" s="2" t="str">
        <f t="shared" si="1"/>
        <v/>
      </c>
    </row>
    <row r="28" spans="2:20">
      <c r="B28" s="208"/>
      <c r="C28" s="208"/>
      <c r="D28" s="333" t="s">
        <v>250</v>
      </c>
      <c r="E28" s="333" t="s">
        <v>250</v>
      </c>
      <c r="F28" s="333" t="s">
        <v>250</v>
      </c>
      <c r="G28" s="333" t="s">
        <v>250</v>
      </c>
      <c r="H28" s="333" t="s">
        <v>250</v>
      </c>
      <c r="I28" s="208"/>
      <c r="K28" s="333" t="s">
        <v>250</v>
      </c>
      <c r="L28" s="333" t="s">
        <v>250</v>
      </c>
      <c r="M28" s="333" t="s">
        <v>250</v>
      </c>
      <c r="N28" s="333" t="s">
        <v>250</v>
      </c>
      <c r="O28" s="333" t="s">
        <v>250</v>
      </c>
      <c r="P28" s="333" t="s">
        <v>250</v>
      </c>
      <c r="Q28" s="333" t="s">
        <v>250</v>
      </c>
      <c r="R28" s="333" t="s">
        <v>250</v>
      </c>
      <c r="T28" s="2" t="str">
        <f t="shared" si="1"/>
        <v/>
      </c>
    </row>
    <row r="29" spans="2:20">
      <c r="B29" s="208"/>
      <c r="C29" s="208"/>
      <c r="D29" s="333" t="s">
        <v>250</v>
      </c>
      <c r="E29" s="333" t="s">
        <v>250</v>
      </c>
      <c r="F29" s="333" t="s">
        <v>250</v>
      </c>
      <c r="G29" s="333" t="s">
        <v>250</v>
      </c>
      <c r="H29" s="333" t="s">
        <v>250</v>
      </c>
      <c r="I29" s="208"/>
      <c r="K29" s="333" t="s">
        <v>250</v>
      </c>
      <c r="L29" s="333" t="s">
        <v>250</v>
      </c>
      <c r="M29" s="333" t="s">
        <v>250</v>
      </c>
      <c r="N29" s="333" t="s">
        <v>250</v>
      </c>
      <c r="O29" s="333" t="s">
        <v>250</v>
      </c>
      <c r="P29" s="333" t="s">
        <v>250</v>
      </c>
      <c r="Q29" s="333" t="s">
        <v>250</v>
      </c>
      <c r="R29" s="333" t="s">
        <v>250</v>
      </c>
      <c r="T29" s="2" t="str">
        <f t="shared" si="1"/>
        <v/>
      </c>
    </row>
    <row r="30" spans="2:20">
      <c r="B30" s="208"/>
      <c r="C30" s="208"/>
      <c r="D30" s="333" t="s">
        <v>250</v>
      </c>
      <c r="E30" s="333" t="s">
        <v>250</v>
      </c>
      <c r="F30" s="333" t="s">
        <v>250</v>
      </c>
      <c r="G30" s="333" t="s">
        <v>250</v>
      </c>
      <c r="H30" s="333" t="s">
        <v>250</v>
      </c>
      <c r="I30" s="208"/>
      <c r="K30" s="333" t="s">
        <v>250</v>
      </c>
      <c r="L30" s="333" t="s">
        <v>250</v>
      </c>
      <c r="M30" s="333" t="s">
        <v>250</v>
      </c>
      <c r="N30" s="333" t="s">
        <v>250</v>
      </c>
      <c r="O30" s="333" t="s">
        <v>250</v>
      </c>
      <c r="P30" s="333" t="s">
        <v>250</v>
      </c>
      <c r="Q30" s="333" t="s">
        <v>250</v>
      </c>
      <c r="R30" s="333" t="s">
        <v>250</v>
      </c>
      <c r="T30" s="2" t="str">
        <f t="shared" si="1"/>
        <v/>
      </c>
    </row>
    <row r="31" spans="2:20">
      <c r="B31" s="208"/>
      <c r="C31" s="208"/>
      <c r="D31" s="333" t="s">
        <v>250</v>
      </c>
      <c r="E31" s="333" t="s">
        <v>250</v>
      </c>
      <c r="F31" s="333" t="s">
        <v>250</v>
      </c>
      <c r="G31" s="333" t="s">
        <v>250</v>
      </c>
      <c r="H31" s="333" t="s">
        <v>250</v>
      </c>
      <c r="I31" s="208"/>
      <c r="K31" s="333" t="s">
        <v>250</v>
      </c>
      <c r="L31" s="333" t="s">
        <v>250</v>
      </c>
      <c r="M31" s="333" t="s">
        <v>250</v>
      </c>
      <c r="N31" s="333" t="s">
        <v>250</v>
      </c>
      <c r="O31" s="333" t="s">
        <v>250</v>
      </c>
      <c r="P31" s="333" t="s">
        <v>250</v>
      </c>
      <c r="Q31" s="333" t="s">
        <v>250</v>
      </c>
      <c r="R31" s="333" t="s">
        <v>250</v>
      </c>
      <c r="T31" s="2" t="str">
        <f t="shared" si="1"/>
        <v/>
      </c>
    </row>
    <row r="32" spans="2:20">
      <c r="B32" s="208"/>
      <c r="C32" s="208"/>
      <c r="D32" s="333" t="s">
        <v>250</v>
      </c>
      <c r="E32" s="333" t="s">
        <v>250</v>
      </c>
      <c r="F32" s="333" t="s">
        <v>250</v>
      </c>
      <c r="G32" s="333" t="s">
        <v>250</v>
      </c>
      <c r="H32" s="333" t="s">
        <v>250</v>
      </c>
      <c r="I32" s="208"/>
      <c r="K32" s="333" t="s">
        <v>250</v>
      </c>
      <c r="L32" s="333" t="s">
        <v>250</v>
      </c>
      <c r="M32" s="333" t="s">
        <v>250</v>
      </c>
      <c r="N32" s="333" t="s">
        <v>250</v>
      </c>
      <c r="O32" s="333" t="s">
        <v>250</v>
      </c>
      <c r="P32" s="333" t="s">
        <v>250</v>
      </c>
      <c r="Q32" s="333" t="s">
        <v>250</v>
      </c>
      <c r="R32" s="333" t="s">
        <v>250</v>
      </c>
      <c r="T32" s="2" t="str">
        <f t="shared" si="1"/>
        <v/>
      </c>
    </row>
    <row r="33" spans="2:20">
      <c r="B33" s="208"/>
      <c r="C33" s="208"/>
      <c r="D33" s="333" t="s">
        <v>250</v>
      </c>
      <c r="E33" s="333" t="s">
        <v>250</v>
      </c>
      <c r="F33" s="333" t="s">
        <v>250</v>
      </c>
      <c r="G33" s="333" t="s">
        <v>250</v>
      </c>
      <c r="H33" s="333" t="s">
        <v>250</v>
      </c>
      <c r="I33" s="208"/>
      <c r="K33" s="333" t="s">
        <v>250</v>
      </c>
      <c r="L33" s="333" t="s">
        <v>250</v>
      </c>
      <c r="M33" s="333" t="s">
        <v>250</v>
      </c>
      <c r="N33" s="333" t="s">
        <v>250</v>
      </c>
      <c r="O33" s="333" t="s">
        <v>250</v>
      </c>
      <c r="P33" s="333" t="s">
        <v>250</v>
      </c>
      <c r="Q33" s="333" t="s">
        <v>250</v>
      </c>
      <c r="R33" s="333" t="s">
        <v>250</v>
      </c>
      <c r="T33" s="2" t="str">
        <f t="shared" si="1"/>
        <v/>
      </c>
    </row>
    <row r="34" spans="2:20">
      <c r="B34" s="208"/>
      <c r="C34" s="208"/>
      <c r="D34" s="333" t="s">
        <v>250</v>
      </c>
      <c r="E34" s="333" t="s">
        <v>250</v>
      </c>
      <c r="F34" s="333" t="s">
        <v>250</v>
      </c>
      <c r="G34" s="333" t="s">
        <v>250</v>
      </c>
      <c r="H34" s="333" t="s">
        <v>250</v>
      </c>
      <c r="I34" s="208"/>
      <c r="K34" s="333" t="s">
        <v>250</v>
      </c>
      <c r="L34" s="333" t="s">
        <v>250</v>
      </c>
      <c r="M34" s="333" t="s">
        <v>250</v>
      </c>
      <c r="N34" s="333" t="s">
        <v>250</v>
      </c>
      <c r="O34" s="333" t="s">
        <v>250</v>
      </c>
      <c r="P34" s="333" t="s">
        <v>250</v>
      </c>
      <c r="Q34" s="333" t="s">
        <v>250</v>
      </c>
      <c r="R34" s="333" t="s">
        <v>250</v>
      </c>
      <c r="T34" s="2" t="str">
        <f t="shared" si="1"/>
        <v/>
      </c>
    </row>
    <row r="35" spans="2:20">
      <c r="B35" s="208"/>
      <c r="C35" s="208"/>
      <c r="D35" s="333" t="s">
        <v>250</v>
      </c>
      <c r="E35" s="333" t="s">
        <v>250</v>
      </c>
      <c r="F35" s="333" t="s">
        <v>250</v>
      </c>
      <c r="G35" s="333" t="s">
        <v>250</v>
      </c>
      <c r="H35" s="333" t="s">
        <v>250</v>
      </c>
      <c r="I35" s="208"/>
      <c r="K35" s="333" t="s">
        <v>250</v>
      </c>
      <c r="L35" s="333" t="s">
        <v>250</v>
      </c>
      <c r="M35" s="333" t="s">
        <v>250</v>
      </c>
      <c r="N35" s="333" t="s">
        <v>250</v>
      </c>
      <c r="O35" s="333" t="s">
        <v>250</v>
      </c>
      <c r="P35" s="333" t="s">
        <v>250</v>
      </c>
      <c r="Q35" s="333" t="s">
        <v>250</v>
      </c>
      <c r="R35" s="333" t="s">
        <v>250</v>
      </c>
      <c r="T35" s="2" t="str">
        <f t="shared" si="1"/>
        <v/>
      </c>
    </row>
    <row r="36" spans="2:20">
      <c r="B36" s="208"/>
      <c r="C36" s="208"/>
      <c r="D36" s="333" t="s">
        <v>250</v>
      </c>
      <c r="E36" s="333" t="s">
        <v>250</v>
      </c>
      <c r="F36" s="333" t="s">
        <v>250</v>
      </c>
      <c r="G36" s="333" t="s">
        <v>250</v>
      </c>
      <c r="H36" s="333" t="s">
        <v>250</v>
      </c>
      <c r="I36" s="208"/>
      <c r="K36" s="333" t="s">
        <v>250</v>
      </c>
      <c r="L36" s="333" t="s">
        <v>250</v>
      </c>
      <c r="M36" s="333" t="s">
        <v>250</v>
      </c>
      <c r="N36" s="333" t="s">
        <v>250</v>
      </c>
      <c r="O36" s="333" t="s">
        <v>250</v>
      </c>
      <c r="P36" s="333" t="s">
        <v>250</v>
      </c>
      <c r="Q36" s="333" t="s">
        <v>250</v>
      </c>
      <c r="R36" s="333" t="s">
        <v>250</v>
      </c>
      <c r="T36" s="2" t="str">
        <f t="shared" si="1"/>
        <v/>
      </c>
    </row>
    <row r="37" spans="2:20">
      <c r="B37" s="208"/>
      <c r="C37" s="208"/>
      <c r="D37" s="333" t="s">
        <v>250</v>
      </c>
      <c r="E37" s="333" t="s">
        <v>250</v>
      </c>
      <c r="F37" s="333" t="s">
        <v>250</v>
      </c>
      <c r="G37" s="333" t="s">
        <v>250</v>
      </c>
      <c r="H37" s="333" t="s">
        <v>250</v>
      </c>
      <c r="I37" s="208"/>
      <c r="K37" s="333" t="s">
        <v>250</v>
      </c>
      <c r="L37" s="333" t="s">
        <v>250</v>
      </c>
      <c r="M37" s="333" t="s">
        <v>250</v>
      </c>
      <c r="N37" s="333" t="s">
        <v>250</v>
      </c>
      <c r="O37" s="333" t="s">
        <v>250</v>
      </c>
      <c r="P37" s="333" t="s">
        <v>250</v>
      </c>
      <c r="Q37" s="333" t="s">
        <v>250</v>
      </c>
      <c r="R37" s="333" t="s">
        <v>250</v>
      </c>
      <c r="T37" s="2" t="str">
        <f t="shared" si="1"/>
        <v/>
      </c>
    </row>
    <row r="38" spans="2:20">
      <c r="B38" s="208"/>
      <c r="C38" s="208"/>
      <c r="D38" s="333" t="s">
        <v>250</v>
      </c>
      <c r="E38" s="333" t="s">
        <v>250</v>
      </c>
      <c r="F38" s="333" t="s">
        <v>250</v>
      </c>
      <c r="G38" s="333" t="s">
        <v>250</v>
      </c>
      <c r="H38" s="333" t="s">
        <v>250</v>
      </c>
      <c r="I38" s="184"/>
      <c r="K38" s="333" t="s">
        <v>250</v>
      </c>
      <c r="L38" s="333" t="s">
        <v>250</v>
      </c>
      <c r="M38" s="333" t="s">
        <v>250</v>
      </c>
      <c r="N38" s="333" t="s">
        <v>250</v>
      </c>
      <c r="O38" s="333" t="s">
        <v>250</v>
      </c>
      <c r="P38" s="333" t="s">
        <v>250</v>
      </c>
      <c r="Q38" s="333" t="s">
        <v>250</v>
      </c>
      <c r="R38" s="333" t="s">
        <v>250</v>
      </c>
      <c r="T38" s="2" t="str">
        <f t="shared" si="1"/>
        <v/>
      </c>
    </row>
    <row r="39" spans="2:20">
      <c r="B39" s="3" t="s">
        <v>962</v>
      </c>
      <c r="C39" s="59">
        <f>SUM(C17:C38)</f>
        <v>-0.85</v>
      </c>
      <c r="D39" s="333" t="s">
        <v>250</v>
      </c>
      <c r="E39" s="333" t="s">
        <v>250</v>
      </c>
      <c r="F39" s="333" t="s">
        <v>250</v>
      </c>
      <c r="G39" s="333" t="s">
        <v>250</v>
      </c>
      <c r="H39" s="333" t="s">
        <v>250</v>
      </c>
      <c r="I39" s="334"/>
      <c r="K39" s="208"/>
      <c r="L39" s="208"/>
      <c r="M39" s="208"/>
      <c r="N39" s="208"/>
      <c r="O39" s="59">
        <f>SUM(K39:N39)</f>
        <v>0</v>
      </c>
      <c r="P39" s="208"/>
      <c r="T39" s="2" t="str">
        <f>IF(COUNTA(K39:N39)&gt;COUNT(K39:N39),"Please only enter numeric or percentage (as required) in this row","")</f>
        <v/>
      </c>
    </row>
    <row r="41" spans="2:20" s="1" customFormat="1" ht="23.5">
      <c r="B41" s="144" t="s">
        <v>963</v>
      </c>
      <c r="C41" s="192"/>
      <c r="D41" s="324"/>
      <c r="E41" s="192"/>
      <c r="F41" s="192"/>
      <c r="G41" s="192"/>
      <c r="H41" s="192"/>
      <c r="I41" s="193"/>
      <c r="K41" s="323"/>
      <c r="L41" s="324"/>
      <c r="M41" s="324"/>
      <c r="N41" s="324"/>
      <c r="O41" s="324"/>
      <c r="P41" s="192"/>
      <c r="Q41" s="192"/>
      <c r="R41" s="193"/>
    </row>
    <row r="42" spans="2:20" s="1" customFormat="1" ht="15" customHeight="1">
      <c r="B42" s="338" t="s">
        <v>964</v>
      </c>
      <c r="C42" s="252">
        <v>0.78700000000000003</v>
      </c>
      <c r="D42" s="252">
        <v>0.5</v>
      </c>
      <c r="E42" s="252">
        <v>0.5</v>
      </c>
      <c r="F42" s="252">
        <v>0.5</v>
      </c>
      <c r="G42" s="337" t="s">
        <v>250</v>
      </c>
      <c r="H42" s="337" t="s">
        <v>250</v>
      </c>
      <c r="I42" s="253"/>
      <c r="K42" s="184"/>
      <c r="L42" s="184"/>
      <c r="M42" s="184"/>
      <c r="N42" s="184"/>
      <c r="O42" s="254">
        <f t="shared" ref="O42:O62" si="2">SUM(K42:N42)</f>
        <v>0</v>
      </c>
      <c r="P42" s="184"/>
      <c r="Q42" s="337" t="s">
        <v>250</v>
      </c>
      <c r="R42" s="337" t="s">
        <v>250</v>
      </c>
      <c r="T42" s="2" t="str">
        <f>IF(COUNTA(C42:F42,K42:N42)&gt;COUNT(C42:F42,K42:N42),"Please only enter numeric or percentage (as required) in this row","")</f>
        <v/>
      </c>
    </row>
    <row r="43" spans="2:20" s="1" customFormat="1" ht="15" customHeight="1">
      <c r="B43" s="339" t="s">
        <v>965</v>
      </c>
      <c r="C43" s="211">
        <v>3.3519999999999999</v>
      </c>
      <c r="D43" s="211">
        <v>0.25</v>
      </c>
      <c r="E43" s="211">
        <v>0.25</v>
      </c>
      <c r="F43" s="211">
        <v>0.25</v>
      </c>
      <c r="G43" s="333" t="s">
        <v>250</v>
      </c>
      <c r="H43" s="333" t="s">
        <v>250</v>
      </c>
      <c r="I43" s="207"/>
      <c r="K43" s="208"/>
      <c r="L43" s="208"/>
      <c r="M43" s="208"/>
      <c r="N43" s="208"/>
      <c r="O43" s="59">
        <f t="shared" si="2"/>
        <v>0</v>
      </c>
      <c r="P43" s="208"/>
      <c r="Q43" s="333" t="s">
        <v>250</v>
      </c>
      <c r="R43" s="333" t="s">
        <v>250</v>
      </c>
      <c r="T43" s="2" t="str">
        <f t="shared" ref="T43:T61" si="3">IF(COUNTA(C43:F43,K43:N43)&gt;COUNT(C43:F43,K43:N43),"Please only enter numeric or percentage (as required) in this row","")</f>
        <v/>
      </c>
    </row>
    <row r="44" spans="2:20" s="1" customFormat="1" ht="15" customHeight="1">
      <c r="B44" s="339" t="s">
        <v>966</v>
      </c>
      <c r="C44" s="211" t="s">
        <v>1238</v>
      </c>
      <c r="D44" s="211" t="s">
        <v>1238</v>
      </c>
      <c r="E44" s="211" t="s">
        <v>1238</v>
      </c>
      <c r="F44" s="211" t="s">
        <v>1238</v>
      </c>
      <c r="G44" s="333" t="s">
        <v>250</v>
      </c>
      <c r="H44" s="333" t="s">
        <v>250</v>
      </c>
      <c r="I44" s="207"/>
      <c r="K44" s="208" t="s">
        <v>1251</v>
      </c>
      <c r="L44" s="208" t="s">
        <v>1251</v>
      </c>
      <c r="M44" s="208" t="s">
        <v>1251</v>
      </c>
      <c r="N44" s="208" t="s">
        <v>1251</v>
      </c>
      <c r="O44" s="59">
        <f t="shared" si="2"/>
        <v>0</v>
      </c>
      <c r="P44" s="208" t="s">
        <v>1251</v>
      </c>
      <c r="Q44" s="333" t="s">
        <v>250</v>
      </c>
      <c r="R44" s="333" t="s">
        <v>250</v>
      </c>
      <c r="T44" s="2" t="str">
        <f t="shared" si="3"/>
        <v>Please only enter numeric or percentage (as required) in this row</v>
      </c>
    </row>
    <row r="45" spans="2:20" s="1" customFormat="1" ht="15" customHeight="1">
      <c r="B45" s="339" t="s">
        <v>967</v>
      </c>
      <c r="C45" s="207"/>
      <c r="D45" s="207"/>
      <c r="E45" s="207"/>
      <c r="F45" s="207"/>
      <c r="G45" s="333" t="s">
        <v>250</v>
      </c>
      <c r="H45" s="333" t="s">
        <v>250</v>
      </c>
      <c r="I45" s="207"/>
      <c r="K45" s="208"/>
      <c r="L45" s="208"/>
      <c r="M45" s="208"/>
      <c r="N45" s="208"/>
      <c r="O45" s="59">
        <f t="shared" si="2"/>
        <v>0</v>
      </c>
      <c r="P45" s="208"/>
      <c r="Q45" s="333" t="s">
        <v>250</v>
      </c>
      <c r="R45" s="333" t="s">
        <v>250</v>
      </c>
      <c r="T45" s="2" t="str">
        <f t="shared" si="3"/>
        <v/>
      </c>
    </row>
    <row r="46" spans="2:20" s="1" customFormat="1">
      <c r="B46" s="206" t="s">
        <v>1239</v>
      </c>
      <c r="C46" s="207">
        <v>0.443</v>
      </c>
      <c r="D46" s="207"/>
      <c r="E46" s="207"/>
      <c r="F46" s="207"/>
      <c r="G46" s="333" t="s">
        <v>250</v>
      </c>
      <c r="H46" s="333" t="s">
        <v>250</v>
      </c>
      <c r="I46" s="207"/>
      <c r="K46" s="208">
        <v>1.0999999999999999E-2</v>
      </c>
      <c r="L46" s="208"/>
      <c r="M46" s="208"/>
      <c r="N46" s="208"/>
      <c r="O46" s="59">
        <f t="shared" si="2"/>
        <v>1.0999999999999999E-2</v>
      </c>
      <c r="P46" s="208"/>
      <c r="Q46" s="333" t="s">
        <v>250</v>
      </c>
      <c r="R46" s="333" t="s">
        <v>250</v>
      </c>
      <c r="T46" s="2" t="str">
        <f t="shared" si="3"/>
        <v/>
      </c>
    </row>
    <row r="47" spans="2:20" s="1" customFormat="1">
      <c r="B47" s="206" t="s">
        <v>1240</v>
      </c>
      <c r="C47" s="207">
        <v>3.452</v>
      </c>
      <c r="D47" s="207"/>
      <c r="E47" s="207"/>
      <c r="F47" s="207"/>
      <c r="G47" s="333" t="s">
        <v>250</v>
      </c>
      <c r="H47" s="333" t="s">
        <v>250</v>
      </c>
      <c r="I47" s="207"/>
      <c r="K47" s="208">
        <v>0.115</v>
      </c>
      <c r="L47" s="208"/>
      <c r="M47" s="208"/>
      <c r="N47" s="208"/>
      <c r="O47" s="59">
        <f t="shared" si="2"/>
        <v>0.115</v>
      </c>
      <c r="P47" s="208"/>
      <c r="Q47" s="333" t="s">
        <v>250</v>
      </c>
      <c r="R47" s="333" t="s">
        <v>250</v>
      </c>
      <c r="T47" s="2" t="str">
        <f t="shared" si="3"/>
        <v/>
      </c>
    </row>
    <row r="48" spans="2:20" s="1" customFormat="1">
      <c r="B48" s="206" t="s">
        <v>1241</v>
      </c>
      <c r="C48" s="207">
        <v>0.57399999999999995</v>
      </c>
      <c r="D48" s="207"/>
      <c r="E48" s="207"/>
      <c r="F48" s="207"/>
      <c r="G48" s="333" t="s">
        <v>250</v>
      </c>
      <c r="H48" s="333" t="s">
        <v>250</v>
      </c>
      <c r="I48" s="207"/>
      <c r="K48" s="208">
        <v>0.28999999999999998</v>
      </c>
      <c r="L48" s="208"/>
      <c r="M48" s="208"/>
      <c r="N48" s="208"/>
      <c r="O48" s="59">
        <f t="shared" si="2"/>
        <v>0.28999999999999998</v>
      </c>
      <c r="P48" s="208"/>
      <c r="Q48" s="333" t="s">
        <v>250</v>
      </c>
      <c r="R48" s="333" t="s">
        <v>250</v>
      </c>
      <c r="T48" s="2" t="str">
        <f t="shared" si="3"/>
        <v/>
      </c>
    </row>
    <row r="49" spans="2:20" s="1" customFormat="1">
      <c r="B49" s="206" t="s">
        <v>1242</v>
      </c>
      <c r="C49" s="207">
        <v>10.737</v>
      </c>
      <c r="D49" s="207"/>
      <c r="E49" s="207"/>
      <c r="F49" s="207"/>
      <c r="G49" s="333" t="s">
        <v>250</v>
      </c>
      <c r="H49" s="333" t="s">
        <v>250</v>
      </c>
      <c r="I49" s="207"/>
      <c r="K49" s="208"/>
      <c r="L49" s="208"/>
      <c r="M49" s="208"/>
      <c r="N49" s="208"/>
      <c r="O49" s="59">
        <f t="shared" si="2"/>
        <v>0</v>
      </c>
      <c r="P49" s="208"/>
      <c r="Q49" s="333" t="s">
        <v>250</v>
      </c>
      <c r="R49" s="333" t="s">
        <v>250</v>
      </c>
      <c r="T49" s="2" t="str">
        <f t="shared" si="3"/>
        <v/>
      </c>
    </row>
    <row r="50" spans="2:20" s="1" customFormat="1">
      <c r="B50" s="206" t="s">
        <v>1243</v>
      </c>
      <c r="C50" s="207">
        <v>0.41</v>
      </c>
      <c r="D50" s="207"/>
      <c r="E50" s="207"/>
      <c r="F50" s="207"/>
      <c r="G50" s="333" t="s">
        <v>250</v>
      </c>
      <c r="H50" s="333" t="s">
        <v>250</v>
      </c>
      <c r="I50" s="207"/>
      <c r="K50" s="208">
        <v>0.01</v>
      </c>
      <c r="L50" s="208"/>
      <c r="M50" s="208"/>
      <c r="N50" s="208"/>
      <c r="O50" s="59">
        <f t="shared" si="2"/>
        <v>0.01</v>
      </c>
      <c r="P50" s="208"/>
      <c r="Q50" s="333" t="s">
        <v>250</v>
      </c>
      <c r="R50" s="333" t="s">
        <v>250</v>
      </c>
      <c r="T50" s="2" t="str">
        <f t="shared" si="3"/>
        <v/>
      </c>
    </row>
    <row r="51" spans="2:20" s="1" customFormat="1">
      <c r="B51" s="206" t="s">
        <v>1244</v>
      </c>
      <c r="C51" s="207">
        <v>14.397</v>
      </c>
      <c r="D51" s="207"/>
      <c r="E51" s="207"/>
      <c r="F51" s="207"/>
      <c r="G51" s="333" t="s">
        <v>250</v>
      </c>
      <c r="H51" s="333" t="s">
        <v>250</v>
      </c>
      <c r="I51" s="207"/>
      <c r="K51" s="208">
        <v>0.71899999999999997</v>
      </c>
      <c r="L51" s="208"/>
      <c r="M51" s="208"/>
      <c r="N51" s="208"/>
      <c r="O51" s="59">
        <f t="shared" si="2"/>
        <v>0.71899999999999997</v>
      </c>
      <c r="P51" s="208"/>
      <c r="Q51" s="333" t="s">
        <v>250</v>
      </c>
      <c r="R51" s="333" t="s">
        <v>250</v>
      </c>
      <c r="T51" s="2" t="str">
        <f t="shared" si="3"/>
        <v/>
      </c>
    </row>
    <row r="52" spans="2:20" s="1" customFormat="1">
      <c r="B52" s="206" t="s">
        <v>1245</v>
      </c>
      <c r="C52" s="207"/>
      <c r="D52" s="207"/>
      <c r="E52" s="207"/>
      <c r="F52" s="207">
        <v>8.7210000000000001</v>
      </c>
      <c r="G52" s="333" t="s">
        <v>250</v>
      </c>
      <c r="H52" s="333" t="s">
        <v>250</v>
      </c>
      <c r="I52" s="207"/>
      <c r="K52" s="208"/>
      <c r="L52" s="208"/>
      <c r="M52" s="208"/>
      <c r="N52" s="208"/>
      <c r="O52" s="59">
        <f t="shared" si="2"/>
        <v>0</v>
      </c>
      <c r="P52" s="208"/>
      <c r="Q52" s="333" t="s">
        <v>250</v>
      </c>
      <c r="R52" s="333" t="s">
        <v>250</v>
      </c>
      <c r="T52" s="2" t="str">
        <f t="shared" si="3"/>
        <v/>
      </c>
    </row>
    <row r="53" spans="2:20" s="1" customFormat="1">
      <c r="B53" s="206" t="s">
        <v>1246</v>
      </c>
      <c r="C53" s="207">
        <v>5.0999999999999997E-2</v>
      </c>
      <c r="D53" s="207"/>
      <c r="E53" s="207"/>
      <c r="F53" s="207"/>
      <c r="G53" s="333" t="s">
        <v>250</v>
      </c>
      <c r="H53" s="333" t="s">
        <v>250</v>
      </c>
      <c r="I53" s="207"/>
      <c r="K53" s="208">
        <v>3.0000000000000001E-3</v>
      </c>
      <c r="L53" s="208"/>
      <c r="M53" s="208"/>
      <c r="N53" s="208"/>
      <c r="O53" s="59">
        <f t="shared" si="2"/>
        <v>3.0000000000000001E-3</v>
      </c>
      <c r="P53" s="208"/>
      <c r="Q53" s="333" t="s">
        <v>250</v>
      </c>
      <c r="R53" s="333" t="s">
        <v>250</v>
      </c>
      <c r="T53" s="2" t="str">
        <f t="shared" si="3"/>
        <v/>
      </c>
    </row>
    <row r="54" spans="2:20" s="1" customFormat="1">
      <c r="B54" s="206" t="s">
        <v>1247</v>
      </c>
      <c r="C54" s="207">
        <v>1.2050000000000001</v>
      </c>
      <c r="D54" s="207"/>
      <c r="E54" s="207"/>
      <c r="F54" s="207"/>
      <c r="G54" s="333" t="s">
        <v>250</v>
      </c>
      <c r="H54" s="333" t="s">
        <v>250</v>
      </c>
      <c r="I54" s="207"/>
      <c r="K54" s="208">
        <v>4.2999999999999997E-2</v>
      </c>
      <c r="L54" s="208"/>
      <c r="M54" s="208"/>
      <c r="N54" s="208"/>
      <c r="O54" s="59">
        <f t="shared" si="2"/>
        <v>4.2999999999999997E-2</v>
      </c>
      <c r="P54" s="208"/>
      <c r="Q54" s="333" t="s">
        <v>250</v>
      </c>
      <c r="R54" s="333" t="s">
        <v>250</v>
      </c>
      <c r="T54" s="2" t="str">
        <f t="shared" si="3"/>
        <v/>
      </c>
    </row>
    <row r="55" spans="2:20" s="1" customFormat="1">
      <c r="B55" s="206" t="s">
        <v>1248</v>
      </c>
      <c r="C55" s="207">
        <v>1.01</v>
      </c>
      <c r="D55" s="207"/>
      <c r="E55" s="207"/>
      <c r="F55" s="207"/>
      <c r="G55" s="333" t="s">
        <v>250</v>
      </c>
      <c r="H55" s="333" t="s">
        <v>250</v>
      </c>
      <c r="I55" s="207"/>
      <c r="K55" s="208">
        <v>3.5999999999999997E-2</v>
      </c>
      <c r="L55" s="208"/>
      <c r="M55" s="208"/>
      <c r="N55" s="208"/>
      <c r="O55" s="59">
        <f t="shared" si="2"/>
        <v>3.5999999999999997E-2</v>
      </c>
      <c r="P55" s="208"/>
      <c r="Q55" s="333" t="s">
        <v>250</v>
      </c>
      <c r="R55" s="333" t="s">
        <v>250</v>
      </c>
      <c r="T55" s="2" t="str">
        <f t="shared" si="3"/>
        <v/>
      </c>
    </row>
    <row r="56" spans="2:20" s="1" customFormat="1">
      <c r="B56" s="206" t="s">
        <v>1249</v>
      </c>
      <c r="C56" s="207">
        <v>0.93</v>
      </c>
      <c r="D56" s="207"/>
      <c r="E56" s="207"/>
      <c r="F56" s="207"/>
      <c r="G56" s="333" t="s">
        <v>250</v>
      </c>
      <c r="H56" s="333" t="s">
        <v>250</v>
      </c>
      <c r="I56" s="207"/>
      <c r="K56" s="208">
        <v>3.3000000000000002E-2</v>
      </c>
      <c r="L56" s="208"/>
      <c r="M56" s="208"/>
      <c r="N56" s="208"/>
      <c r="O56" s="59">
        <f t="shared" si="2"/>
        <v>3.3000000000000002E-2</v>
      </c>
      <c r="P56" s="208"/>
      <c r="Q56" s="333" t="s">
        <v>250</v>
      </c>
      <c r="R56" s="333" t="s">
        <v>250</v>
      </c>
      <c r="T56" s="2" t="str">
        <f t="shared" si="3"/>
        <v/>
      </c>
    </row>
    <row r="57" spans="2:20" s="1" customFormat="1">
      <c r="B57" s="206" t="s">
        <v>1250</v>
      </c>
      <c r="C57" s="207">
        <v>2.758</v>
      </c>
      <c r="D57" s="207"/>
      <c r="E57" s="207"/>
      <c r="F57" s="207"/>
      <c r="G57" s="333" t="s">
        <v>250</v>
      </c>
      <c r="H57" s="333" t="s">
        <v>250</v>
      </c>
      <c r="I57" s="207"/>
      <c r="K57" s="208">
        <v>0.39400000000000002</v>
      </c>
      <c r="L57" s="208"/>
      <c r="M57" s="208"/>
      <c r="N57" s="208"/>
      <c r="O57" s="59">
        <f t="shared" si="2"/>
        <v>0.39400000000000002</v>
      </c>
      <c r="P57" s="208"/>
      <c r="Q57" s="333" t="s">
        <v>250</v>
      </c>
      <c r="R57" s="333" t="s">
        <v>250</v>
      </c>
      <c r="T57" s="2" t="str">
        <f t="shared" si="3"/>
        <v/>
      </c>
    </row>
    <row r="58" spans="2:20" s="1" customFormat="1">
      <c r="B58" s="206"/>
      <c r="C58" s="207"/>
      <c r="D58" s="207"/>
      <c r="E58" s="207"/>
      <c r="F58" s="207"/>
      <c r="G58" s="333" t="s">
        <v>250</v>
      </c>
      <c r="H58" s="333" t="s">
        <v>250</v>
      </c>
      <c r="I58" s="207"/>
      <c r="K58" s="208"/>
      <c r="L58" s="208"/>
      <c r="M58" s="208"/>
      <c r="N58" s="208"/>
      <c r="O58" s="59">
        <f t="shared" si="2"/>
        <v>0</v>
      </c>
      <c r="P58" s="208"/>
      <c r="Q58" s="333" t="s">
        <v>250</v>
      </c>
      <c r="R58" s="333" t="s">
        <v>250</v>
      </c>
      <c r="T58" s="2" t="str">
        <f t="shared" si="3"/>
        <v/>
      </c>
    </row>
    <row r="59" spans="2:20" s="1" customFormat="1">
      <c r="B59" s="494"/>
      <c r="C59" s="207"/>
      <c r="D59" s="207"/>
      <c r="E59" s="207"/>
      <c r="F59" s="207"/>
      <c r="G59" s="333" t="s">
        <v>250</v>
      </c>
      <c r="H59" s="333" t="s">
        <v>250</v>
      </c>
      <c r="I59" s="207"/>
      <c r="K59" s="208"/>
      <c r="L59" s="208"/>
      <c r="M59" s="208"/>
      <c r="N59" s="208"/>
      <c r="O59" s="59">
        <f t="shared" si="2"/>
        <v>0</v>
      </c>
      <c r="P59" s="208"/>
      <c r="Q59" s="333" t="s">
        <v>250</v>
      </c>
      <c r="R59" s="333" t="s">
        <v>250</v>
      </c>
      <c r="T59" s="2" t="str">
        <f t="shared" si="3"/>
        <v/>
      </c>
    </row>
    <row r="60" spans="2:20" s="1" customFormat="1">
      <c r="B60" s="206"/>
      <c r="C60" s="207"/>
      <c r="D60" s="207"/>
      <c r="E60" s="207"/>
      <c r="F60" s="207"/>
      <c r="G60" s="333" t="s">
        <v>250</v>
      </c>
      <c r="H60" s="333" t="s">
        <v>250</v>
      </c>
      <c r="I60" s="207"/>
      <c r="K60" s="208"/>
      <c r="L60" s="208"/>
      <c r="M60" s="208"/>
      <c r="N60" s="208"/>
      <c r="O60" s="59">
        <f t="shared" si="2"/>
        <v>0</v>
      </c>
      <c r="P60" s="208"/>
      <c r="Q60" s="333" t="s">
        <v>250</v>
      </c>
      <c r="R60" s="333" t="s">
        <v>250</v>
      </c>
      <c r="T60" s="2" t="str">
        <f t="shared" si="3"/>
        <v/>
      </c>
    </row>
    <row r="61" spans="2:20" s="1" customFormat="1">
      <c r="B61" s="206"/>
      <c r="C61" s="207"/>
      <c r="D61" s="207"/>
      <c r="E61" s="207"/>
      <c r="F61" s="207"/>
      <c r="G61" s="333" t="s">
        <v>250</v>
      </c>
      <c r="H61" s="333" t="s">
        <v>250</v>
      </c>
      <c r="I61" s="207"/>
      <c r="K61" s="208"/>
      <c r="L61" s="208"/>
      <c r="M61" s="208"/>
      <c r="N61" s="208"/>
      <c r="O61" s="59">
        <f t="shared" si="2"/>
        <v>0</v>
      </c>
      <c r="P61" s="208"/>
      <c r="Q61" s="333" t="s">
        <v>250</v>
      </c>
      <c r="R61" s="333" t="s">
        <v>250</v>
      </c>
      <c r="T61" s="2" t="str">
        <f t="shared" si="3"/>
        <v/>
      </c>
    </row>
    <row r="62" spans="2:20" s="1" customFormat="1">
      <c r="B62" s="3" t="s">
        <v>968</v>
      </c>
      <c r="C62" s="60">
        <f>SUM(C42:C61)</f>
        <v>40.106000000000002</v>
      </c>
      <c r="D62" s="60">
        <f>SUM(D42:D61)</f>
        <v>0.75</v>
      </c>
      <c r="E62" s="60">
        <f>SUM(E42:E61)</f>
        <v>0.75</v>
      </c>
      <c r="F62" s="60">
        <f>SUM(F42:F61)</f>
        <v>9.4710000000000001</v>
      </c>
      <c r="G62" s="333" t="s">
        <v>250</v>
      </c>
      <c r="H62" s="333" t="s">
        <v>250</v>
      </c>
      <c r="I62" s="334"/>
      <c r="K62" s="60">
        <f>SUM(K42:K61)</f>
        <v>1.6539999999999999</v>
      </c>
      <c r="L62" s="60">
        <f>SUM(L42:L61)</f>
        <v>0</v>
      </c>
      <c r="M62" s="60">
        <f>SUM(M42:M61)</f>
        <v>0</v>
      </c>
      <c r="N62" s="60">
        <f>SUM(N42:N61)</f>
        <v>0</v>
      </c>
      <c r="O62" s="59">
        <f t="shared" si="2"/>
        <v>1.6539999999999999</v>
      </c>
      <c r="P62" s="2"/>
      <c r="Q62" s="2"/>
      <c r="R62" s="2"/>
    </row>
    <row r="63" spans="2:20" s="10" customFormat="1" ht="15.5"/>
    <row r="64" spans="2:20" s="1" customFormat="1" ht="23.5">
      <c r="B64" s="67" t="s">
        <v>969</v>
      </c>
      <c r="C64" s="340" t="s">
        <v>970</v>
      </c>
      <c r="D64" s="332"/>
      <c r="E64" s="78"/>
      <c r="F64" s="78"/>
      <c r="G64" s="78"/>
      <c r="H64" s="78"/>
      <c r="I64" s="78"/>
      <c r="K64" s="323"/>
      <c r="L64" s="324"/>
      <c r="M64" s="324"/>
      <c r="N64" s="324"/>
      <c r="O64" s="324"/>
      <c r="P64" s="192"/>
      <c r="Q64" s="192"/>
      <c r="R64" s="193"/>
    </row>
    <row r="65" spans="2:31" s="1" customFormat="1">
      <c r="B65" s="206" t="s">
        <v>971</v>
      </c>
      <c r="C65" s="207">
        <v>2.4529999999999998</v>
      </c>
      <c r="D65" s="207"/>
      <c r="E65" s="207"/>
      <c r="F65" s="207"/>
      <c r="G65" s="207"/>
      <c r="H65" s="207"/>
      <c r="I65" s="207"/>
      <c r="J65" s="77"/>
      <c r="K65" s="184">
        <v>7.0000000000000001E-3</v>
      </c>
      <c r="L65" s="184"/>
      <c r="M65" s="184"/>
      <c r="N65" s="184"/>
      <c r="O65" s="254">
        <f t="shared" ref="O65:O99" si="4">SUM(K65:N65)</f>
        <v>7.0000000000000001E-3</v>
      </c>
      <c r="P65" s="184" t="s">
        <v>1234</v>
      </c>
      <c r="Q65" s="337" t="s">
        <v>250</v>
      </c>
      <c r="R65" s="337" t="s">
        <v>250</v>
      </c>
      <c r="T65" s="2" t="str">
        <f t="shared" ref="T65:T98" si="5">IF(COUNTA(C65:F65,K65:N65)&gt;COUNT(C65:F65,K65:N65),"Please only enter numeric or percentage (as required) in this row","")</f>
        <v/>
      </c>
    </row>
    <row r="66" spans="2:31" s="1" customFormat="1">
      <c r="B66" s="206" t="s">
        <v>972</v>
      </c>
      <c r="C66" s="207">
        <v>1.542</v>
      </c>
      <c r="D66" s="207"/>
      <c r="E66" s="207"/>
      <c r="F66" s="207"/>
      <c r="G66" s="207"/>
      <c r="H66" s="207"/>
      <c r="I66" s="207"/>
      <c r="J66" s="77"/>
      <c r="K66" s="208"/>
      <c r="L66" s="208">
        <v>0.3</v>
      </c>
      <c r="M66" s="208"/>
      <c r="N66" s="208"/>
      <c r="O66" s="59">
        <f t="shared" si="4"/>
        <v>0.3</v>
      </c>
      <c r="P66" s="208" t="s">
        <v>1234</v>
      </c>
      <c r="Q66" s="333" t="s">
        <v>250</v>
      </c>
      <c r="R66" s="333" t="s">
        <v>250</v>
      </c>
      <c r="T66" s="2" t="str">
        <f t="shared" si="5"/>
        <v/>
      </c>
    </row>
    <row r="67" spans="2:31" s="1" customFormat="1">
      <c r="B67" s="206" t="s">
        <v>973</v>
      </c>
      <c r="C67" s="207">
        <v>0.96399999999999997</v>
      </c>
      <c r="D67" s="207"/>
      <c r="E67" s="207"/>
      <c r="F67" s="207"/>
      <c r="G67" s="207"/>
      <c r="H67" s="207"/>
      <c r="I67" s="207"/>
      <c r="J67" s="77"/>
      <c r="K67" s="208">
        <v>1E-3</v>
      </c>
      <c r="L67" s="208"/>
      <c r="M67" s="208"/>
      <c r="N67" s="208"/>
      <c r="O67" s="59">
        <f t="shared" si="4"/>
        <v>1E-3</v>
      </c>
      <c r="P67" s="208" t="s">
        <v>1234</v>
      </c>
      <c r="Q67" s="333" t="s">
        <v>250</v>
      </c>
      <c r="R67" s="333" t="s">
        <v>250</v>
      </c>
      <c r="T67" s="2" t="str">
        <f t="shared" si="5"/>
        <v/>
      </c>
    </row>
    <row r="68" spans="2:31" s="334" customFormat="1">
      <c r="B68" s="206" t="s">
        <v>974</v>
      </c>
      <c r="C68" s="207">
        <v>4.7240000000000002</v>
      </c>
      <c r="D68" s="207"/>
      <c r="E68" s="207"/>
      <c r="F68" s="207"/>
      <c r="G68" s="207"/>
      <c r="H68" s="207"/>
      <c r="I68" s="207"/>
      <c r="J68" s="77"/>
      <c r="K68" s="208">
        <v>0.152</v>
      </c>
      <c r="L68" s="208"/>
      <c r="M68" s="208"/>
      <c r="N68" s="208"/>
      <c r="O68" s="59">
        <f t="shared" si="4"/>
        <v>0.152</v>
      </c>
      <c r="P68" s="208" t="s">
        <v>1234</v>
      </c>
      <c r="Q68" s="333" t="s">
        <v>250</v>
      </c>
      <c r="R68" s="333" t="s">
        <v>250</v>
      </c>
      <c r="T68" s="2" t="str">
        <f t="shared" si="5"/>
        <v/>
      </c>
      <c r="AE68" s="1"/>
    </row>
    <row r="69" spans="2:31" s="334" customFormat="1">
      <c r="B69" s="206" t="s">
        <v>975</v>
      </c>
      <c r="C69" s="207">
        <v>0.63700000000000001</v>
      </c>
      <c r="D69" s="207"/>
      <c r="E69" s="207"/>
      <c r="F69" s="207"/>
      <c r="G69" s="207"/>
      <c r="H69" s="207"/>
      <c r="I69" s="207"/>
      <c r="J69" s="77"/>
      <c r="K69" s="208">
        <v>0.12</v>
      </c>
      <c r="L69" s="208"/>
      <c r="M69" s="208"/>
      <c r="N69" s="208"/>
      <c r="O69" s="59">
        <f t="shared" si="4"/>
        <v>0.12</v>
      </c>
      <c r="P69" s="208" t="s">
        <v>1234</v>
      </c>
      <c r="Q69" s="333" t="s">
        <v>250</v>
      </c>
      <c r="R69" s="333" t="s">
        <v>250</v>
      </c>
      <c r="T69" s="2" t="str">
        <f t="shared" si="5"/>
        <v/>
      </c>
      <c r="AE69" s="1"/>
    </row>
    <row r="70" spans="2:31" s="334" customFormat="1">
      <c r="B70" s="206" t="s">
        <v>976</v>
      </c>
      <c r="C70" s="207">
        <v>2.6480000000000001</v>
      </c>
      <c r="D70" s="207"/>
      <c r="E70" s="207"/>
      <c r="F70" s="207"/>
      <c r="G70" s="207"/>
      <c r="H70" s="207"/>
      <c r="I70" s="207"/>
      <c r="J70" s="77"/>
      <c r="K70" s="208">
        <v>0.12</v>
      </c>
      <c r="L70" s="208"/>
      <c r="M70" s="208"/>
      <c r="N70" s="208"/>
      <c r="O70" s="59">
        <f t="shared" si="4"/>
        <v>0.12</v>
      </c>
      <c r="P70" s="208" t="s">
        <v>1234</v>
      </c>
      <c r="Q70" s="333" t="s">
        <v>250</v>
      </c>
      <c r="R70" s="333" t="s">
        <v>250</v>
      </c>
      <c r="T70" s="2" t="str">
        <f t="shared" si="5"/>
        <v/>
      </c>
      <c r="AE70" s="1"/>
    </row>
    <row r="71" spans="2:31" s="334" customFormat="1">
      <c r="B71" s="206" t="s">
        <v>1236</v>
      </c>
      <c r="C71" s="207">
        <v>0</v>
      </c>
      <c r="D71" s="207"/>
      <c r="E71" s="207"/>
      <c r="F71" s="207"/>
      <c r="G71" s="207"/>
      <c r="H71" s="207"/>
      <c r="I71" s="207" t="s">
        <v>1237</v>
      </c>
      <c r="J71" s="77"/>
      <c r="K71" s="208">
        <v>0.33300000000000002</v>
      </c>
      <c r="L71" s="208">
        <v>9.7870000000000008</v>
      </c>
      <c r="M71" s="208"/>
      <c r="N71" s="208"/>
      <c r="O71" s="59">
        <f t="shared" si="4"/>
        <v>10.120000000000001</v>
      </c>
      <c r="P71" s="208" t="s">
        <v>1234</v>
      </c>
      <c r="Q71" s="333" t="s">
        <v>250</v>
      </c>
      <c r="R71" s="333" t="s">
        <v>250</v>
      </c>
      <c r="T71" s="2" t="str">
        <f t="shared" si="5"/>
        <v/>
      </c>
      <c r="AE71" s="1"/>
    </row>
    <row r="72" spans="2:31" s="334" customFormat="1">
      <c r="B72" s="206"/>
      <c r="C72" s="207"/>
      <c r="D72" s="207"/>
      <c r="E72" s="207"/>
      <c r="F72" s="207"/>
      <c r="G72" s="207"/>
      <c r="H72" s="207"/>
      <c r="I72" s="207"/>
      <c r="J72" s="77"/>
      <c r="K72" s="208"/>
      <c r="L72" s="208"/>
      <c r="M72" s="208"/>
      <c r="N72" s="208"/>
      <c r="O72" s="59">
        <f t="shared" si="4"/>
        <v>0</v>
      </c>
      <c r="P72" s="208"/>
      <c r="Q72" s="333" t="s">
        <v>250</v>
      </c>
      <c r="R72" s="333" t="s">
        <v>250</v>
      </c>
      <c r="T72" s="2" t="str">
        <f t="shared" si="5"/>
        <v/>
      </c>
      <c r="AE72" s="1"/>
    </row>
    <row r="73" spans="2:31" s="334" customFormat="1">
      <c r="B73" s="206"/>
      <c r="C73" s="207"/>
      <c r="D73" s="207"/>
      <c r="E73" s="207"/>
      <c r="F73" s="207"/>
      <c r="G73" s="207"/>
      <c r="H73" s="207"/>
      <c r="I73" s="207"/>
      <c r="J73" s="77"/>
      <c r="K73" s="208"/>
      <c r="L73" s="208"/>
      <c r="M73" s="208"/>
      <c r="N73" s="208"/>
      <c r="O73" s="59">
        <f t="shared" si="4"/>
        <v>0</v>
      </c>
      <c r="P73" s="208"/>
      <c r="Q73" s="333" t="s">
        <v>250</v>
      </c>
      <c r="R73" s="333" t="s">
        <v>250</v>
      </c>
      <c r="T73" s="2" t="str">
        <f t="shared" si="5"/>
        <v/>
      </c>
      <c r="AE73" s="1"/>
    </row>
    <row r="74" spans="2:31" s="334" customFormat="1">
      <c r="B74" s="206"/>
      <c r="C74" s="207"/>
      <c r="D74" s="207"/>
      <c r="E74" s="207"/>
      <c r="F74" s="207"/>
      <c r="G74" s="207"/>
      <c r="H74" s="207"/>
      <c r="I74" s="207"/>
      <c r="J74" s="77"/>
      <c r="K74" s="208"/>
      <c r="L74" s="208"/>
      <c r="M74" s="208"/>
      <c r="N74" s="208"/>
      <c r="O74" s="59">
        <f t="shared" si="4"/>
        <v>0</v>
      </c>
      <c r="P74" s="208"/>
      <c r="Q74" s="333" t="s">
        <v>250</v>
      </c>
      <c r="R74" s="333" t="s">
        <v>250</v>
      </c>
      <c r="T74" s="2" t="str">
        <f t="shared" si="5"/>
        <v/>
      </c>
      <c r="AE74" s="1"/>
    </row>
    <row r="75" spans="2:31" s="334" customFormat="1">
      <c r="B75" s="206"/>
      <c r="C75" s="207"/>
      <c r="D75" s="207"/>
      <c r="E75" s="207"/>
      <c r="F75" s="207"/>
      <c r="G75" s="207"/>
      <c r="H75" s="207"/>
      <c r="I75" s="207"/>
      <c r="J75" s="77"/>
      <c r="K75" s="208"/>
      <c r="L75" s="208"/>
      <c r="M75" s="208"/>
      <c r="N75" s="208"/>
      <c r="O75" s="59">
        <f t="shared" si="4"/>
        <v>0</v>
      </c>
      <c r="P75" s="208"/>
      <c r="Q75" s="333" t="s">
        <v>250</v>
      </c>
      <c r="R75" s="333" t="s">
        <v>250</v>
      </c>
      <c r="T75" s="2" t="str">
        <f t="shared" si="5"/>
        <v/>
      </c>
      <c r="AE75" s="1"/>
    </row>
    <row r="76" spans="2:31" s="334" customFormat="1">
      <c r="B76" s="206"/>
      <c r="C76" s="207"/>
      <c r="D76" s="207"/>
      <c r="E76" s="207"/>
      <c r="F76" s="207"/>
      <c r="G76" s="207"/>
      <c r="H76" s="207"/>
      <c r="I76" s="207"/>
      <c r="J76" s="77"/>
      <c r="K76" s="208"/>
      <c r="L76" s="208"/>
      <c r="M76" s="208"/>
      <c r="N76" s="208"/>
      <c r="O76" s="59">
        <f t="shared" si="4"/>
        <v>0</v>
      </c>
      <c r="P76" s="208"/>
      <c r="Q76" s="333" t="s">
        <v>250</v>
      </c>
      <c r="R76" s="333" t="s">
        <v>250</v>
      </c>
      <c r="T76" s="2" t="str">
        <f t="shared" si="5"/>
        <v/>
      </c>
      <c r="AE76" s="1"/>
    </row>
    <row r="77" spans="2:31" s="334" customFormat="1">
      <c r="B77" s="206"/>
      <c r="C77" s="207"/>
      <c r="D77" s="207"/>
      <c r="E77" s="207"/>
      <c r="F77" s="207"/>
      <c r="G77" s="207"/>
      <c r="H77" s="207"/>
      <c r="I77" s="207"/>
      <c r="J77" s="77"/>
      <c r="K77" s="208"/>
      <c r="L77" s="208"/>
      <c r="M77" s="208"/>
      <c r="N77" s="208"/>
      <c r="O77" s="59">
        <f t="shared" si="4"/>
        <v>0</v>
      </c>
      <c r="P77" s="208"/>
      <c r="Q77" s="333" t="s">
        <v>250</v>
      </c>
      <c r="R77" s="333" t="s">
        <v>250</v>
      </c>
      <c r="T77" s="2" t="str">
        <f t="shared" si="5"/>
        <v/>
      </c>
      <c r="AE77" s="1"/>
    </row>
    <row r="78" spans="2:31" s="334" customFormat="1">
      <c r="B78" s="206"/>
      <c r="C78" s="207"/>
      <c r="D78" s="207"/>
      <c r="E78" s="207"/>
      <c r="F78" s="207"/>
      <c r="G78" s="207"/>
      <c r="H78" s="207"/>
      <c r="I78" s="207"/>
      <c r="J78" s="77"/>
      <c r="K78" s="208"/>
      <c r="L78" s="208"/>
      <c r="M78" s="208"/>
      <c r="N78" s="208"/>
      <c r="O78" s="59">
        <f t="shared" si="4"/>
        <v>0</v>
      </c>
      <c r="P78" s="208"/>
      <c r="Q78" s="333" t="s">
        <v>250</v>
      </c>
      <c r="R78" s="333" t="s">
        <v>250</v>
      </c>
      <c r="T78" s="2" t="str">
        <f t="shared" si="5"/>
        <v/>
      </c>
      <c r="AE78" s="1"/>
    </row>
    <row r="79" spans="2:31" s="334" customFormat="1">
      <c r="B79" s="206"/>
      <c r="C79" s="207"/>
      <c r="D79" s="207"/>
      <c r="E79" s="207"/>
      <c r="F79" s="207"/>
      <c r="G79" s="207"/>
      <c r="H79" s="207"/>
      <c r="I79" s="207"/>
      <c r="J79" s="77"/>
      <c r="K79" s="208"/>
      <c r="L79" s="208"/>
      <c r="M79" s="208"/>
      <c r="N79" s="208"/>
      <c r="O79" s="59">
        <f t="shared" si="4"/>
        <v>0</v>
      </c>
      <c r="P79" s="208"/>
      <c r="Q79" s="333" t="s">
        <v>250</v>
      </c>
      <c r="R79" s="333" t="s">
        <v>250</v>
      </c>
      <c r="T79" s="2" t="str">
        <f t="shared" si="5"/>
        <v/>
      </c>
      <c r="AE79" s="1"/>
    </row>
    <row r="80" spans="2:31" s="334" customFormat="1">
      <c r="B80" s="206"/>
      <c r="C80" s="207"/>
      <c r="D80" s="207"/>
      <c r="E80" s="207"/>
      <c r="F80" s="207"/>
      <c r="G80" s="207"/>
      <c r="H80" s="207"/>
      <c r="I80" s="207"/>
      <c r="J80" s="77"/>
      <c r="K80" s="208"/>
      <c r="L80" s="208"/>
      <c r="M80" s="208"/>
      <c r="N80" s="208"/>
      <c r="O80" s="59">
        <f t="shared" si="4"/>
        <v>0</v>
      </c>
      <c r="P80" s="208"/>
      <c r="Q80" s="333" t="s">
        <v>250</v>
      </c>
      <c r="R80" s="333" t="s">
        <v>250</v>
      </c>
      <c r="T80" s="2" t="str">
        <f t="shared" si="5"/>
        <v/>
      </c>
      <c r="AE80" s="1"/>
    </row>
    <row r="81" spans="2:31" s="334" customFormat="1">
      <c r="B81" s="206"/>
      <c r="C81" s="207"/>
      <c r="D81" s="207"/>
      <c r="E81" s="207"/>
      <c r="F81" s="207"/>
      <c r="G81" s="207"/>
      <c r="H81" s="207"/>
      <c r="I81" s="207"/>
      <c r="J81" s="77"/>
      <c r="K81" s="208"/>
      <c r="L81" s="208"/>
      <c r="M81" s="208"/>
      <c r="N81" s="208"/>
      <c r="O81" s="59">
        <f t="shared" si="4"/>
        <v>0</v>
      </c>
      <c r="P81" s="208"/>
      <c r="Q81" s="333" t="s">
        <v>250</v>
      </c>
      <c r="R81" s="333" t="s">
        <v>250</v>
      </c>
      <c r="T81" s="2" t="str">
        <f t="shared" si="5"/>
        <v/>
      </c>
      <c r="AE81" s="1"/>
    </row>
    <row r="82" spans="2:31" s="334" customFormat="1">
      <c r="B82" s="206"/>
      <c r="C82" s="207"/>
      <c r="D82" s="207"/>
      <c r="E82" s="207"/>
      <c r="F82" s="207"/>
      <c r="G82" s="207"/>
      <c r="H82" s="207"/>
      <c r="I82" s="207"/>
      <c r="J82" s="77"/>
      <c r="K82" s="208"/>
      <c r="L82" s="208"/>
      <c r="M82" s="208"/>
      <c r="N82" s="208"/>
      <c r="O82" s="59">
        <f t="shared" si="4"/>
        <v>0</v>
      </c>
      <c r="P82" s="208"/>
      <c r="Q82" s="333" t="s">
        <v>250</v>
      </c>
      <c r="R82" s="333" t="s">
        <v>250</v>
      </c>
      <c r="T82" s="2" t="str">
        <f t="shared" si="5"/>
        <v/>
      </c>
      <c r="AE82" s="1"/>
    </row>
    <row r="83" spans="2:31" s="334" customFormat="1">
      <c r="B83" s="206"/>
      <c r="C83" s="207"/>
      <c r="D83" s="207"/>
      <c r="E83" s="207"/>
      <c r="F83" s="207"/>
      <c r="G83" s="207"/>
      <c r="H83" s="207"/>
      <c r="I83" s="207"/>
      <c r="J83" s="77"/>
      <c r="K83" s="208"/>
      <c r="L83" s="208"/>
      <c r="M83" s="208"/>
      <c r="N83" s="208"/>
      <c r="O83" s="59">
        <f t="shared" si="4"/>
        <v>0</v>
      </c>
      <c r="P83" s="208"/>
      <c r="Q83" s="333" t="s">
        <v>250</v>
      </c>
      <c r="R83" s="333" t="s">
        <v>250</v>
      </c>
      <c r="T83" s="2" t="str">
        <f t="shared" si="5"/>
        <v/>
      </c>
      <c r="AE83" s="1"/>
    </row>
    <row r="84" spans="2:31" s="334" customFormat="1">
      <c r="B84" s="206"/>
      <c r="C84" s="207"/>
      <c r="D84" s="207"/>
      <c r="E84" s="207"/>
      <c r="F84" s="207"/>
      <c r="G84" s="207"/>
      <c r="H84" s="207"/>
      <c r="I84" s="207"/>
      <c r="J84" s="77"/>
      <c r="K84" s="208"/>
      <c r="L84" s="208"/>
      <c r="M84" s="208"/>
      <c r="N84" s="208"/>
      <c r="O84" s="59">
        <f t="shared" si="4"/>
        <v>0</v>
      </c>
      <c r="P84" s="208"/>
      <c r="Q84" s="333" t="s">
        <v>250</v>
      </c>
      <c r="R84" s="333" t="s">
        <v>250</v>
      </c>
      <c r="T84" s="2" t="str">
        <f t="shared" si="5"/>
        <v/>
      </c>
      <c r="AE84" s="1"/>
    </row>
    <row r="85" spans="2:31" s="334" customFormat="1">
      <c r="B85" s="206"/>
      <c r="C85" s="207"/>
      <c r="D85" s="207"/>
      <c r="E85" s="207"/>
      <c r="F85" s="207"/>
      <c r="G85" s="207"/>
      <c r="H85" s="207"/>
      <c r="I85" s="207"/>
      <c r="J85" s="77"/>
      <c r="K85" s="208"/>
      <c r="L85" s="208"/>
      <c r="M85" s="208"/>
      <c r="N85" s="208"/>
      <c r="O85" s="59">
        <f t="shared" si="4"/>
        <v>0</v>
      </c>
      <c r="P85" s="208"/>
      <c r="Q85" s="333" t="s">
        <v>250</v>
      </c>
      <c r="R85" s="333" t="s">
        <v>250</v>
      </c>
      <c r="T85" s="2" t="str">
        <f t="shared" si="5"/>
        <v/>
      </c>
      <c r="AE85" s="1"/>
    </row>
    <row r="86" spans="2:31" s="334" customFormat="1">
      <c r="B86" s="206"/>
      <c r="C86" s="207"/>
      <c r="D86" s="207"/>
      <c r="E86" s="207"/>
      <c r="F86" s="207"/>
      <c r="G86" s="207"/>
      <c r="H86" s="207"/>
      <c r="I86" s="207"/>
      <c r="J86" s="77"/>
      <c r="K86" s="208"/>
      <c r="L86" s="208"/>
      <c r="M86" s="208"/>
      <c r="N86" s="208"/>
      <c r="O86" s="59">
        <f t="shared" si="4"/>
        <v>0</v>
      </c>
      <c r="P86" s="208"/>
      <c r="Q86" s="333" t="s">
        <v>250</v>
      </c>
      <c r="R86" s="333" t="s">
        <v>250</v>
      </c>
      <c r="T86" s="2" t="str">
        <f t="shared" si="5"/>
        <v/>
      </c>
      <c r="AE86" s="1"/>
    </row>
    <row r="87" spans="2:31" s="334" customFormat="1">
      <c r="B87" s="206"/>
      <c r="C87" s="207"/>
      <c r="D87" s="207"/>
      <c r="E87" s="207"/>
      <c r="F87" s="207"/>
      <c r="G87" s="207"/>
      <c r="H87" s="207"/>
      <c r="I87" s="207"/>
      <c r="J87" s="77"/>
      <c r="K87" s="208"/>
      <c r="L87" s="208"/>
      <c r="M87" s="208"/>
      <c r="N87" s="208"/>
      <c r="O87" s="59">
        <f t="shared" si="4"/>
        <v>0</v>
      </c>
      <c r="P87" s="208"/>
      <c r="Q87" s="333" t="s">
        <v>250</v>
      </c>
      <c r="R87" s="333" t="s">
        <v>250</v>
      </c>
      <c r="T87" s="2" t="str">
        <f t="shared" si="5"/>
        <v/>
      </c>
      <c r="AE87" s="1"/>
    </row>
    <row r="88" spans="2:31" s="334" customFormat="1">
      <c r="B88" s="206"/>
      <c r="C88" s="207"/>
      <c r="D88" s="207"/>
      <c r="E88" s="207"/>
      <c r="F88" s="207"/>
      <c r="G88" s="207"/>
      <c r="H88" s="207"/>
      <c r="I88" s="207"/>
      <c r="J88" s="77"/>
      <c r="K88" s="208"/>
      <c r="L88" s="208"/>
      <c r="M88" s="208"/>
      <c r="N88" s="208"/>
      <c r="O88" s="59">
        <f t="shared" si="4"/>
        <v>0</v>
      </c>
      <c r="P88" s="208"/>
      <c r="Q88" s="333" t="s">
        <v>250</v>
      </c>
      <c r="R88" s="333" t="s">
        <v>250</v>
      </c>
      <c r="T88" s="2" t="str">
        <f t="shared" si="5"/>
        <v/>
      </c>
      <c r="AE88" s="1"/>
    </row>
    <row r="89" spans="2:31" s="334" customFormat="1">
      <c r="B89" s="206"/>
      <c r="C89" s="207"/>
      <c r="D89" s="207"/>
      <c r="E89" s="207"/>
      <c r="F89" s="207"/>
      <c r="G89" s="207"/>
      <c r="H89" s="207"/>
      <c r="I89" s="207"/>
      <c r="J89" s="77"/>
      <c r="K89" s="208"/>
      <c r="L89" s="208"/>
      <c r="M89" s="208"/>
      <c r="N89" s="208"/>
      <c r="O89" s="59">
        <f t="shared" si="4"/>
        <v>0</v>
      </c>
      <c r="P89" s="208"/>
      <c r="Q89" s="333" t="s">
        <v>250</v>
      </c>
      <c r="R89" s="333" t="s">
        <v>250</v>
      </c>
      <c r="T89" s="2" t="str">
        <f t="shared" si="5"/>
        <v/>
      </c>
      <c r="AE89" s="1"/>
    </row>
    <row r="90" spans="2:31" s="334" customFormat="1">
      <c r="B90" s="206"/>
      <c r="C90" s="207"/>
      <c r="D90" s="207"/>
      <c r="E90" s="207"/>
      <c r="F90" s="207"/>
      <c r="G90" s="207"/>
      <c r="H90" s="207"/>
      <c r="I90" s="207"/>
      <c r="J90" s="77"/>
      <c r="K90" s="208"/>
      <c r="L90" s="208"/>
      <c r="M90" s="208"/>
      <c r="N90" s="208"/>
      <c r="O90" s="59">
        <f t="shared" si="4"/>
        <v>0</v>
      </c>
      <c r="P90" s="208"/>
      <c r="Q90" s="333" t="s">
        <v>250</v>
      </c>
      <c r="R90" s="333" t="s">
        <v>250</v>
      </c>
      <c r="T90" s="2" t="str">
        <f t="shared" si="5"/>
        <v/>
      </c>
      <c r="AE90" s="1"/>
    </row>
    <row r="91" spans="2:31" s="334" customFormat="1">
      <c r="B91" s="206"/>
      <c r="C91" s="207"/>
      <c r="D91" s="207"/>
      <c r="E91" s="207"/>
      <c r="F91" s="207"/>
      <c r="G91" s="207"/>
      <c r="H91" s="207"/>
      <c r="I91" s="207"/>
      <c r="J91" s="77"/>
      <c r="K91" s="208"/>
      <c r="L91" s="208"/>
      <c r="M91" s="208"/>
      <c r="N91" s="208"/>
      <c r="O91" s="59">
        <f t="shared" si="4"/>
        <v>0</v>
      </c>
      <c r="P91" s="208"/>
      <c r="Q91" s="333" t="s">
        <v>250</v>
      </c>
      <c r="R91" s="333" t="s">
        <v>250</v>
      </c>
      <c r="T91" s="2" t="str">
        <f t="shared" si="5"/>
        <v/>
      </c>
      <c r="AE91" s="1"/>
    </row>
    <row r="92" spans="2:31" s="334" customFormat="1">
      <c r="B92" s="206"/>
      <c r="C92" s="207"/>
      <c r="D92" s="207"/>
      <c r="E92" s="207"/>
      <c r="F92" s="207"/>
      <c r="G92" s="207"/>
      <c r="H92" s="207"/>
      <c r="I92" s="207"/>
      <c r="J92" s="77"/>
      <c r="K92" s="208"/>
      <c r="L92" s="208"/>
      <c r="M92" s="208"/>
      <c r="N92" s="208"/>
      <c r="O92" s="59">
        <f t="shared" si="4"/>
        <v>0</v>
      </c>
      <c r="P92" s="208"/>
      <c r="Q92" s="333" t="s">
        <v>250</v>
      </c>
      <c r="R92" s="333" t="s">
        <v>250</v>
      </c>
      <c r="T92" s="2" t="str">
        <f t="shared" si="5"/>
        <v/>
      </c>
      <c r="AE92" s="1"/>
    </row>
    <row r="93" spans="2:31" s="334" customFormat="1">
      <c r="B93" s="206"/>
      <c r="C93" s="207"/>
      <c r="D93" s="207"/>
      <c r="E93" s="207"/>
      <c r="F93" s="207"/>
      <c r="G93" s="207"/>
      <c r="H93" s="207"/>
      <c r="I93" s="207"/>
      <c r="J93" s="77"/>
      <c r="K93" s="208"/>
      <c r="L93" s="208"/>
      <c r="M93" s="208"/>
      <c r="N93" s="208"/>
      <c r="O93" s="59">
        <f t="shared" si="4"/>
        <v>0</v>
      </c>
      <c r="P93" s="208"/>
      <c r="Q93" s="333" t="s">
        <v>250</v>
      </c>
      <c r="R93" s="333" t="s">
        <v>250</v>
      </c>
      <c r="T93" s="2" t="str">
        <f t="shared" si="5"/>
        <v/>
      </c>
      <c r="AE93" s="1"/>
    </row>
    <row r="94" spans="2:31" s="334" customFormat="1">
      <c r="B94" s="206"/>
      <c r="C94" s="207"/>
      <c r="D94" s="207"/>
      <c r="E94" s="207"/>
      <c r="F94" s="207"/>
      <c r="G94" s="207"/>
      <c r="H94" s="207"/>
      <c r="I94" s="207"/>
      <c r="J94" s="77"/>
      <c r="K94" s="208"/>
      <c r="L94" s="208"/>
      <c r="M94" s="208"/>
      <c r="N94" s="208"/>
      <c r="O94" s="59">
        <f t="shared" si="4"/>
        <v>0</v>
      </c>
      <c r="P94" s="208"/>
      <c r="Q94" s="333" t="s">
        <v>250</v>
      </c>
      <c r="R94" s="333" t="s">
        <v>250</v>
      </c>
      <c r="T94" s="2" t="str">
        <f t="shared" si="5"/>
        <v/>
      </c>
      <c r="AE94" s="1"/>
    </row>
    <row r="95" spans="2:31" s="334" customFormat="1">
      <c r="B95" s="206"/>
      <c r="C95" s="207"/>
      <c r="D95" s="207"/>
      <c r="E95" s="207"/>
      <c r="F95" s="207"/>
      <c r="G95" s="207"/>
      <c r="H95" s="207"/>
      <c r="I95" s="207"/>
      <c r="J95" s="77"/>
      <c r="K95" s="208"/>
      <c r="L95" s="208"/>
      <c r="M95" s="208"/>
      <c r="N95" s="208"/>
      <c r="O95" s="59">
        <f t="shared" si="4"/>
        <v>0</v>
      </c>
      <c r="P95" s="208"/>
      <c r="Q95" s="333" t="s">
        <v>250</v>
      </c>
      <c r="R95" s="333" t="s">
        <v>250</v>
      </c>
      <c r="T95" s="2" t="str">
        <f t="shared" si="5"/>
        <v/>
      </c>
      <c r="AE95" s="1"/>
    </row>
    <row r="96" spans="2:31" s="334" customFormat="1">
      <c r="B96" s="206"/>
      <c r="C96" s="207"/>
      <c r="D96" s="207"/>
      <c r="E96" s="207"/>
      <c r="F96" s="207"/>
      <c r="G96" s="207"/>
      <c r="H96" s="207"/>
      <c r="I96" s="207"/>
      <c r="J96" s="77"/>
      <c r="K96" s="208"/>
      <c r="L96" s="208"/>
      <c r="M96" s="208"/>
      <c r="N96" s="208"/>
      <c r="O96" s="59">
        <f t="shared" si="4"/>
        <v>0</v>
      </c>
      <c r="P96" s="208"/>
      <c r="Q96" s="333" t="s">
        <v>250</v>
      </c>
      <c r="R96" s="333" t="s">
        <v>250</v>
      </c>
      <c r="T96" s="2" t="str">
        <f t="shared" si="5"/>
        <v/>
      </c>
      <c r="AE96" s="1"/>
    </row>
    <row r="97" spans="2:31" s="334" customFormat="1">
      <c r="B97" s="206"/>
      <c r="C97" s="207"/>
      <c r="D97" s="207"/>
      <c r="E97" s="207"/>
      <c r="F97" s="207"/>
      <c r="G97" s="207"/>
      <c r="H97" s="207"/>
      <c r="I97" s="207"/>
      <c r="J97" s="77"/>
      <c r="K97" s="208"/>
      <c r="L97" s="208"/>
      <c r="M97" s="208"/>
      <c r="N97" s="208"/>
      <c r="O97" s="59">
        <f t="shared" si="4"/>
        <v>0</v>
      </c>
      <c r="P97" s="208"/>
      <c r="Q97" s="333" t="s">
        <v>250</v>
      </c>
      <c r="R97" s="333" t="s">
        <v>250</v>
      </c>
      <c r="T97" s="2" t="str">
        <f t="shared" si="5"/>
        <v/>
      </c>
      <c r="AE97" s="1"/>
    </row>
    <row r="98" spans="2:31" s="334" customFormat="1">
      <c r="B98" s="206"/>
      <c r="C98" s="207"/>
      <c r="D98" s="207"/>
      <c r="E98" s="207"/>
      <c r="F98" s="207"/>
      <c r="G98" s="207"/>
      <c r="H98" s="207"/>
      <c r="I98" s="207"/>
      <c r="J98" s="77"/>
      <c r="K98" s="208"/>
      <c r="L98" s="208"/>
      <c r="M98" s="208"/>
      <c r="N98" s="208"/>
      <c r="O98" s="59">
        <f t="shared" si="4"/>
        <v>0</v>
      </c>
      <c r="P98" s="208"/>
      <c r="Q98" s="333" t="s">
        <v>250</v>
      </c>
      <c r="R98" s="333" t="s">
        <v>250</v>
      </c>
      <c r="T98" s="2" t="str">
        <f t="shared" si="5"/>
        <v/>
      </c>
      <c r="AE98" s="1"/>
    </row>
    <row r="99" spans="2:31" s="334" customFormat="1">
      <c r="B99" s="3" t="s">
        <v>977</v>
      </c>
      <c r="C99" s="60">
        <f t="shared" ref="C99:H99" si="6">SUM(C65:C98)</f>
        <v>12.968</v>
      </c>
      <c r="D99" s="60">
        <f t="shared" si="6"/>
        <v>0</v>
      </c>
      <c r="E99" s="60">
        <f t="shared" si="6"/>
        <v>0</v>
      </c>
      <c r="F99" s="60">
        <f t="shared" si="6"/>
        <v>0</v>
      </c>
      <c r="G99" s="60">
        <f t="shared" si="6"/>
        <v>0</v>
      </c>
      <c r="H99" s="60">
        <f t="shared" si="6"/>
        <v>0</v>
      </c>
      <c r="K99" s="60">
        <f>SUM(K65:K98)</f>
        <v>0.7330000000000001</v>
      </c>
      <c r="L99" s="60">
        <f t="shared" ref="L99:N99" si="7">SUM(L65:L98)</f>
        <v>10.087000000000002</v>
      </c>
      <c r="M99" s="60">
        <f t="shared" si="7"/>
        <v>0</v>
      </c>
      <c r="N99" s="60">
        <f t="shared" si="7"/>
        <v>0</v>
      </c>
      <c r="O99" s="59">
        <f t="shared" si="4"/>
        <v>10.820000000000002</v>
      </c>
      <c r="P99" s="2"/>
      <c r="Q99" s="2"/>
      <c r="R99" s="2"/>
      <c r="AE99" s="1"/>
    </row>
    <row r="100" spans="2:31" s="10" customFormat="1" ht="15.5"/>
    <row r="101" spans="2:31" s="1" customFormat="1" ht="23.5">
      <c r="B101" s="144" t="s">
        <v>978</v>
      </c>
      <c r="C101" s="192"/>
      <c r="D101" s="324"/>
      <c r="E101" s="192"/>
      <c r="F101" s="192"/>
      <c r="G101" s="192"/>
      <c r="H101" s="192"/>
      <c r="I101" s="193"/>
      <c r="K101" s="323"/>
      <c r="L101" s="324"/>
      <c r="M101" s="324"/>
      <c r="N101" s="324"/>
      <c r="O101" s="324"/>
      <c r="P101" s="192"/>
      <c r="Q101" s="192"/>
      <c r="R101" s="193"/>
    </row>
    <row r="102" spans="2:31" s="1" customFormat="1">
      <c r="B102" s="255" t="s">
        <v>1202</v>
      </c>
      <c r="C102" s="253">
        <v>2.889532</v>
      </c>
      <c r="D102" s="253">
        <v>14.234700999999999</v>
      </c>
      <c r="E102" s="253">
        <v>9.4327679999999994</v>
      </c>
      <c r="F102" s="253">
        <v>0</v>
      </c>
      <c r="G102" s="253">
        <v>0</v>
      </c>
      <c r="H102" s="253">
        <f>SUM(C102:G102)</f>
        <v>26.557001</v>
      </c>
      <c r="I102" s="253"/>
      <c r="K102" s="184"/>
      <c r="L102" s="184">
        <v>0.5</v>
      </c>
      <c r="M102" s="184"/>
      <c r="N102" s="184"/>
      <c r="O102" s="254">
        <f t="shared" ref="O102:O140" si="8">SUM(K102:N102)</f>
        <v>0.5</v>
      </c>
      <c r="P102" s="184" t="s">
        <v>1233</v>
      </c>
      <c r="Q102" s="256" t="s">
        <v>1233</v>
      </c>
      <c r="R102" s="256"/>
      <c r="T102" s="2" t="str">
        <f t="shared" ref="T102:T139" si="9">IF(COUNTA(C102:F102,K102:N102)&gt;COUNT(C102:F102,K102:N102),"Please only enter numeric or percentage (as required) in this row","")</f>
        <v/>
      </c>
    </row>
    <row r="103" spans="2:31" s="1" customFormat="1">
      <c r="B103" s="206" t="s">
        <v>1203</v>
      </c>
      <c r="C103" s="207">
        <v>2.2149999999999999</v>
      </c>
      <c r="D103" s="207">
        <v>0</v>
      </c>
      <c r="E103" s="207">
        <v>0</v>
      </c>
      <c r="F103" s="207">
        <v>0</v>
      </c>
      <c r="G103" s="207">
        <v>0</v>
      </c>
      <c r="H103" s="207">
        <f t="shared" ref="H103:H132" si="10">SUM(C103:G103)</f>
        <v>2.2149999999999999</v>
      </c>
      <c r="I103" s="207"/>
      <c r="K103" s="208">
        <v>5.7000000000000002E-2</v>
      </c>
      <c r="L103" s="208">
        <v>1</v>
      </c>
      <c r="M103" s="208"/>
      <c r="N103" s="208"/>
      <c r="O103" s="59">
        <f t="shared" si="8"/>
        <v>1.0569999999999999</v>
      </c>
      <c r="P103" s="208" t="s">
        <v>1233</v>
      </c>
      <c r="Q103" s="209" t="s">
        <v>1234</v>
      </c>
      <c r="R103" s="493">
        <v>45474</v>
      </c>
      <c r="T103" s="2" t="str">
        <f t="shared" si="9"/>
        <v/>
      </c>
    </row>
    <row r="104" spans="2:31" s="1" customFormat="1">
      <c r="B104" s="206" t="s">
        <v>1204</v>
      </c>
      <c r="C104" s="207">
        <v>2.6762777308783887</v>
      </c>
      <c r="D104" s="207">
        <v>0</v>
      </c>
      <c r="E104" s="207">
        <v>0</v>
      </c>
      <c r="F104" s="207">
        <v>0</v>
      </c>
      <c r="G104" s="207">
        <v>8.0288331926351653</v>
      </c>
      <c r="H104" s="207">
        <f t="shared" si="10"/>
        <v>10.705110923513555</v>
      </c>
      <c r="I104" s="207"/>
      <c r="K104" s="208"/>
      <c r="L104" s="208">
        <v>0.25</v>
      </c>
      <c r="M104" s="208"/>
      <c r="N104" s="208"/>
      <c r="O104" s="59">
        <f t="shared" si="8"/>
        <v>0.25</v>
      </c>
      <c r="P104" s="208" t="s">
        <v>1233</v>
      </c>
      <c r="Q104" s="209" t="s">
        <v>1233</v>
      </c>
      <c r="R104" s="209"/>
      <c r="T104" s="2" t="str">
        <f t="shared" si="9"/>
        <v/>
      </c>
    </row>
    <row r="105" spans="2:31" s="334" customFormat="1">
      <c r="B105" s="206" t="s">
        <v>1205</v>
      </c>
      <c r="C105" s="207">
        <v>0</v>
      </c>
      <c r="D105" s="207">
        <v>5.0788000000000002</v>
      </c>
      <c r="E105" s="207">
        <v>5.0788000000000002</v>
      </c>
      <c r="F105" s="207">
        <v>5.0788000000000002</v>
      </c>
      <c r="G105" s="207">
        <v>30.472800000000003</v>
      </c>
      <c r="H105" s="207">
        <f t="shared" si="10"/>
        <v>45.709200000000003</v>
      </c>
      <c r="I105" s="207"/>
      <c r="K105" s="208"/>
      <c r="L105" s="208"/>
      <c r="M105" s="208"/>
      <c r="N105" s="208"/>
      <c r="O105" s="59">
        <f t="shared" si="8"/>
        <v>0</v>
      </c>
      <c r="P105" s="208" t="s">
        <v>1233</v>
      </c>
      <c r="Q105" s="209" t="s">
        <v>1233</v>
      </c>
      <c r="R105" s="209"/>
      <c r="T105" s="2" t="str">
        <f t="shared" si="9"/>
        <v/>
      </c>
      <c r="AE105" s="1"/>
    </row>
    <row r="106" spans="2:31" s="334" customFormat="1">
      <c r="B106" s="206" t="s">
        <v>1206</v>
      </c>
      <c r="C106" s="207">
        <v>1.4020062610400006</v>
      </c>
      <c r="D106" s="207">
        <v>2.8040125220800012</v>
      </c>
      <c r="E106" s="207">
        <v>0</v>
      </c>
      <c r="F106" s="207">
        <v>0</v>
      </c>
      <c r="G106" s="207">
        <v>0</v>
      </c>
      <c r="H106" s="207">
        <f t="shared" si="10"/>
        <v>4.206018783120002</v>
      </c>
      <c r="I106" s="207"/>
      <c r="K106" s="208"/>
      <c r="L106" s="208">
        <v>0.2</v>
      </c>
      <c r="M106" s="208"/>
      <c r="N106" s="208"/>
      <c r="O106" s="59">
        <f t="shared" si="8"/>
        <v>0.2</v>
      </c>
      <c r="P106" s="208" t="s">
        <v>1233</v>
      </c>
      <c r="Q106" s="209" t="s">
        <v>1233</v>
      </c>
      <c r="R106" s="209"/>
      <c r="T106" s="2" t="str">
        <f t="shared" si="9"/>
        <v/>
      </c>
      <c r="AE106" s="1"/>
    </row>
    <row r="107" spans="2:31" s="334" customFormat="1">
      <c r="B107" s="206" t="s">
        <v>1207</v>
      </c>
      <c r="C107" s="207">
        <v>2.5</v>
      </c>
      <c r="D107" s="207">
        <v>0</v>
      </c>
      <c r="E107" s="207">
        <v>0</v>
      </c>
      <c r="F107" s="207">
        <v>0</v>
      </c>
      <c r="G107" s="207">
        <v>0</v>
      </c>
      <c r="H107" s="207">
        <f t="shared" si="10"/>
        <v>2.5</v>
      </c>
      <c r="I107" s="207"/>
      <c r="K107" s="208">
        <v>0.28299999999999997</v>
      </c>
      <c r="L107" s="208">
        <v>0.25</v>
      </c>
      <c r="M107" s="208"/>
      <c r="N107" s="208"/>
      <c r="O107" s="59">
        <f t="shared" si="8"/>
        <v>0.53299999999999992</v>
      </c>
      <c r="P107" s="208" t="s">
        <v>1233</v>
      </c>
      <c r="Q107" s="209" t="s">
        <v>1234</v>
      </c>
      <c r="R107" s="493">
        <v>45474</v>
      </c>
      <c r="T107" s="2" t="str">
        <f t="shared" si="9"/>
        <v/>
      </c>
      <c r="AE107" s="1"/>
    </row>
    <row r="108" spans="2:31" s="334" customFormat="1">
      <c r="B108" s="206" t="s">
        <v>1208</v>
      </c>
      <c r="C108" s="207">
        <v>10.127392199999999</v>
      </c>
      <c r="D108" s="207">
        <v>0</v>
      </c>
      <c r="E108" s="207">
        <v>0</v>
      </c>
      <c r="F108" s="207">
        <v>0</v>
      </c>
      <c r="G108" s="207">
        <v>0</v>
      </c>
      <c r="H108" s="207">
        <f t="shared" si="10"/>
        <v>10.127392199999999</v>
      </c>
      <c r="I108" s="207"/>
      <c r="K108" s="208"/>
      <c r="L108" s="208">
        <v>3.7919999999999998</v>
      </c>
      <c r="M108" s="208"/>
      <c r="N108" s="208"/>
      <c r="O108" s="59">
        <f t="shared" si="8"/>
        <v>3.7919999999999998</v>
      </c>
      <c r="P108" s="208" t="s">
        <v>1233</v>
      </c>
      <c r="Q108" s="209" t="s">
        <v>1233</v>
      </c>
      <c r="R108" s="493">
        <v>45413</v>
      </c>
      <c r="T108" s="2" t="str">
        <f t="shared" si="9"/>
        <v/>
      </c>
      <c r="AE108" s="1"/>
    </row>
    <row r="109" spans="2:31" s="334" customFormat="1">
      <c r="B109" s="206" t="s">
        <v>1209</v>
      </c>
      <c r="C109" s="207">
        <v>0</v>
      </c>
      <c r="D109" s="207">
        <v>1.9950014759999999</v>
      </c>
      <c r="E109" s="207">
        <v>0.665000492</v>
      </c>
      <c r="F109" s="207">
        <v>0</v>
      </c>
      <c r="G109" s="207">
        <v>0</v>
      </c>
      <c r="H109" s="207">
        <f t="shared" si="10"/>
        <v>2.660001968</v>
      </c>
      <c r="I109" s="207"/>
      <c r="K109" s="208"/>
      <c r="L109" s="208"/>
      <c r="M109" s="208"/>
      <c r="N109" s="208"/>
      <c r="O109" s="59">
        <f t="shared" si="8"/>
        <v>0</v>
      </c>
      <c r="P109" s="208" t="s">
        <v>1233</v>
      </c>
      <c r="Q109" s="209" t="s">
        <v>1233</v>
      </c>
      <c r="R109" s="209"/>
      <c r="T109" s="2" t="str">
        <f t="shared" si="9"/>
        <v/>
      </c>
      <c r="AE109" s="1"/>
    </row>
    <row r="110" spans="2:31" s="334" customFormat="1">
      <c r="B110" s="206" t="s">
        <v>1210</v>
      </c>
      <c r="C110" s="207">
        <v>0</v>
      </c>
      <c r="D110" s="207">
        <v>1.7245927120000002</v>
      </c>
      <c r="E110" s="207">
        <v>0</v>
      </c>
      <c r="F110" s="207">
        <v>0</v>
      </c>
      <c r="G110" s="207">
        <v>0.8622963560000001</v>
      </c>
      <c r="H110" s="207">
        <f t="shared" si="10"/>
        <v>2.5868890680000005</v>
      </c>
      <c r="I110" s="207"/>
      <c r="K110" s="208"/>
      <c r="L110" s="208"/>
      <c r="M110" s="208"/>
      <c r="N110" s="208"/>
      <c r="O110" s="59">
        <f t="shared" si="8"/>
        <v>0</v>
      </c>
      <c r="P110" s="208" t="s">
        <v>1233</v>
      </c>
      <c r="Q110" s="209" t="s">
        <v>1233</v>
      </c>
      <c r="R110" s="209"/>
      <c r="T110" s="2" t="str">
        <f t="shared" si="9"/>
        <v/>
      </c>
      <c r="AE110" s="1"/>
    </row>
    <row r="111" spans="2:31" s="334" customFormat="1">
      <c r="B111" s="206" t="s">
        <v>1211</v>
      </c>
      <c r="C111" s="207">
        <v>0</v>
      </c>
      <c r="D111" s="207">
        <v>3.8</v>
      </c>
      <c r="E111" s="207">
        <v>1.8</v>
      </c>
      <c r="F111" s="207">
        <v>3.4</v>
      </c>
      <c r="G111" s="207">
        <v>11.25</v>
      </c>
      <c r="H111" s="207">
        <f t="shared" si="10"/>
        <v>20.25</v>
      </c>
      <c r="I111" s="207"/>
      <c r="K111" s="208"/>
      <c r="L111" s="208"/>
      <c r="M111" s="208"/>
      <c r="N111" s="208"/>
      <c r="O111" s="59">
        <f t="shared" si="8"/>
        <v>0</v>
      </c>
      <c r="P111" s="208" t="s">
        <v>1233</v>
      </c>
      <c r="Q111" s="209" t="s">
        <v>1233</v>
      </c>
      <c r="R111" s="209"/>
      <c r="T111" s="2" t="str">
        <f t="shared" si="9"/>
        <v/>
      </c>
      <c r="AE111" s="1"/>
    </row>
    <row r="112" spans="2:31" s="334" customFormat="1">
      <c r="B112" s="206" t="s">
        <v>1212</v>
      </c>
      <c r="C112" s="207">
        <v>0</v>
      </c>
      <c r="D112" s="207">
        <v>0</v>
      </c>
      <c r="E112" s="207">
        <v>3</v>
      </c>
      <c r="F112" s="207">
        <v>0</v>
      </c>
      <c r="G112" s="207">
        <v>6</v>
      </c>
      <c r="H112" s="207">
        <f t="shared" si="10"/>
        <v>9</v>
      </c>
      <c r="I112" s="207"/>
      <c r="K112" s="208"/>
      <c r="L112" s="208"/>
      <c r="M112" s="208"/>
      <c r="N112" s="208"/>
      <c r="O112" s="59">
        <f t="shared" si="8"/>
        <v>0</v>
      </c>
      <c r="P112" s="208" t="s">
        <v>1233</v>
      </c>
      <c r="Q112" s="209" t="s">
        <v>1233</v>
      </c>
      <c r="R112" s="209"/>
      <c r="T112" s="2" t="str">
        <f t="shared" si="9"/>
        <v/>
      </c>
      <c r="AE112" s="1"/>
    </row>
    <row r="113" spans="2:31" s="334" customFormat="1">
      <c r="B113" s="206" t="s">
        <v>1213</v>
      </c>
      <c r="C113" s="207">
        <v>0</v>
      </c>
      <c r="D113" s="207">
        <v>3</v>
      </c>
      <c r="E113" s="207">
        <v>28</v>
      </c>
      <c r="F113" s="207">
        <v>14</v>
      </c>
      <c r="G113" s="207">
        <v>0</v>
      </c>
      <c r="H113" s="207">
        <f t="shared" si="10"/>
        <v>45</v>
      </c>
      <c r="I113" s="207"/>
      <c r="K113" s="208"/>
      <c r="L113" s="208"/>
      <c r="M113" s="208"/>
      <c r="N113" s="208"/>
      <c r="O113" s="59">
        <f t="shared" si="8"/>
        <v>0</v>
      </c>
      <c r="P113" s="208" t="s">
        <v>1233</v>
      </c>
      <c r="Q113" s="209" t="s">
        <v>1234</v>
      </c>
      <c r="R113" s="209"/>
      <c r="T113" s="2" t="str">
        <f t="shared" si="9"/>
        <v/>
      </c>
      <c r="AE113" s="1"/>
    </row>
    <row r="114" spans="2:31" s="334" customFormat="1">
      <c r="B114" s="206" t="s">
        <v>1214</v>
      </c>
      <c r="C114" s="207">
        <v>2.2559999999999998</v>
      </c>
      <c r="D114" s="207">
        <v>1.5</v>
      </c>
      <c r="E114" s="207">
        <v>5.5</v>
      </c>
      <c r="F114" s="207">
        <v>15</v>
      </c>
      <c r="G114" s="207">
        <v>19.161000000000001</v>
      </c>
      <c r="H114" s="207">
        <f t="shared" si="10"/>
        <v>43.417000000000002</v>
      </c>
      <c r="I114" s="207"/>
      <c r="K114" s="208"/>
      <c r="L114" s="208"/>
      <c r="M114" s="208"/>
      <c r="N114" s="208"/>
      <c r="O114" s="59">
        <f t="shared" si="8"/>
        <v>0</v>
      </c>
      <c r="P114" s="208" t="s">
        <v>1233</v>
      </c>
      <c r="Q114" s="209" t="s">
        <v>1234</v>
      </c>
      <c r="R114" s="209"/>
      <c r="T114" s="2" t="str">
        <f t="shared" si="9"/>
        <v/>
      </c>
      <c r="AE114" s="1"/>
    </row>
    <row r="115" spans="2:31" s="334" customFormat="1">
      <c r="B115" s="206" t="s">
        <v>1215</v>
      </c>
      <c r="C115" s="207">
        <v>1.978</v>
      </c>
      <c r="D115" s="207">
        <v>3</v>
      </c>
      <c r="E115" s="207">
        <v>30</v>
      </c>
      <c r="F115" s="207">
        <v>50</v>
      </c>
      <c r="G115" s="207">
        <v>49.805</v>
      </c>
      <c r="H115" s="207">
        <f t="shared" si="10"/>
        <v>134.78300000000002</v>
      </c>
      <c r="I115" s="207"/>
      <c r="K115" s="208"/>
      <c r="L115" s="208"/>
      <c r="M115" s="208"/>
      <c r="N115" s="208"/>
      <c r="O115" s="59">
        <f t="shared" si="8"/>
        <v>0</v>
      </c>
      <c r="P115" s="208" t="s">
        <v>1233</v>
      </c>
      <c r="Q115" s="209" t="s">
        <v>1234</v>
      </c>
      <c r="R115" s="209"/>
      <c r="T115" s="2" t="str">
        <f t="shared" si="9"/>
        <v/>
      </c>
      <c r="AE115" s="1"/>
    </row>
    <row r="116" spans="2:31" s="334" customFormat="1">
      <c r="B116" s="206" t="s">
        <v>1216</v>
      </c>
      <c r="C116" s="207">
        <v>3.6</v>
      </c>
      <c r="D116" s="207">
        <v>4</v>
      </c>
      <c r="E116" s="207">
        <v>23</v>
      </c>
      <c r="F116" s="207">
        <v>24</v>
      </c>
      <c r="G116" s="207">
        <v>0</v>
      </c>
      <c r="H116" s="207">
        <f t="shared" si="10"/>
        <v>54.6</v>
      </c>
      <c r="I116" s="207"/>
      <c r="K116" s="208"/>
      <c r="L116" s="208"/>
      <c r="M116" s="208"/>
      <c r="N116" s="208"/>
      <c r="O116" s="59">
        <f t="shared" si="8"/>
        <v>0</v>
      </c>
      <c r="P116" s="208" t="s">
        <v>1233</v>
      </c>
      <c r="Q116" s="209" t="s">
        <v>1233</v>
      </c>
      <c r="R116" s="209"/>
      <c r="T116" s="2" t="str">
        <f t="shared" si="9"/>
        <v/>
      </c>
      <c r="AE116" s="1"/>
    </row>
    <row r="117" spans="2:31" s="334" customFormat="1">
      <c r="B117" s="206" t="s">
        <v>1217</v>
      </c>
      <c r="C117" s="207">
        <v>0.51328903654485059</v>
      </c>
      <c r="D117" s="207">
        <v>1.0265780730897012</v>
      </c>
      <c r="E117" s="207">
        <v>7.1860465116279064</v>
      </c>
      <c r="F117" s="207">
        <v>13.424561461794019</v>
      </c>
      <c r="G117" s="207">
        <v>12.318936877076412</v>
      </c>
      <c r="H117" s="207">
        <f t="shared" si="10"/>
        <v>34.469411960132888</v>
      </c>
      <c r="I117" s="207"/>
      <c r="K117" s="208"/>
      <c r="L117" s="208"/>
      <c r="M117" s="208"/>
      <c r="N117" s="208"/>
      <c r="O117" s="59">
        <f t="shared" si="8"/>
        <v>0</v>
      </c>
      <c r="P117" s="208" t="s">
        <v>1233</v>
      </c>
      <c r="Q117" s="209" t="s">
        <v>1233</v>
      </c>
      <c r="R117" s="209"/>
      <c r="T117" s="2" t="str">
        <f t="shared" si="9"/>
        <v/>
      </c>
      <c r="AE117" s="1"/>
    </row>
    <row r="118" spans="2:31" s="334" customFormat="1" ht="25.5">
      <c r="B118" s="206" t="s">
        <v>1218</v>
      </c>
      <c r="C118" s="207">
        <v>0</v>
      </c>
      <c r="D118" s="207">
        <v>0.51328903654485059</v>
      </c>
      <c r="E118" s="207">
        <v>1.8478405315614619</v>
      </c>
      <c r="F118" s="207">
        <v>5.0302325581395344</v>
      </c>
      <c r="G118" s="207">
        <v>202.95448504983392</v>
      </c>
      <c r="H118" s="207">
        <f t="shared" si="10"/>
        <v>210.34584717607976</v>
      </c>
      <c r="I118" s="207"/>
      <c r="K118" s="208"/>
      <c r="L118" s="208"/>
      <c r="M118" s="208"/>
      <c r="N118" s="208"/>
      <c r="O118" s="59">
        <f t="shared" si="8"/>
        <v>0</v>
      </c>
      <c r="P118" s="208" t="s">
        <v>1233</v>
      </c>
      <c r="Q118" s="209" t="s">
        <v>1233</v>
      </c>
      <c r="R118" s="209" t="s">
        <v>1235</v>
      </c>
      <c r="T118" s="2" t="str">
        <f t="shared" si="9"/>
        <v/>
      </c>
      <c r="AE118" s="1"/>
    </row>
    <row r="119" spans="2:31" s="334" customFormat="1">
      <c r="B119" s="206" t="s">
        <v>1219</v>
      </c>
      <c r="C119" s="207">
        <v>19.599999999999998</v>
      </c>
      <c r="D119" s="207">
        <v>3.3</v>
      </c>
      <c r="E119" s="207">
        <v>0</v>
      </c>
      <c r="F119" s="207">
        <v>0</v>
      </c>
      <c r="G119" s="207">
        <v>0</v>
      </c>
      <c r="H119" s="207">
        <f t="shared" si="10"/>
        <v>22.9</v>
      </c>
      <c r="I119" s="207"/>
      <c r="K119" s="208"/>
      <c r="L119" s="208"/>
      <c r="M119" s="208"/>
      <c r="N119" s="208"/>
      <c r="O119" s="59">
        <f t="shared" si="8"/>
        <v>0</v>
      </c>
      <c r="P119" s="208" t="s">
        <v>1233</v>
      </c>
      <c r="Q119" s="209" t="s">
        <v>1233</v>
      </c>
      <c r="R119" s="209"/>
      <c r="T119" s="2" t="str">
        <f t="shared" si="9"/>
        <v/>
      </c>
      <c r="AE119" s="1"/>
    </row>
    <row r="120" spans="2:31" s="334" customFormat="1">
      <c r="B120" s="206" t="s">
        <v>1220</v>
      </c>
      <c r="C120" s="207">
        <v>3.7</v>
      </c>
      <c r="D120" s="207">
        <v>9.6999999999999993</v>
      </c>
      <c r="E120" s="207">
        <v>0</v>
      </c>
      <c r="F120" s="207">
        <v>0</v>
      </c>
      <c r="G120" s="207">
        <v>0</v>
      </c>
      <c r="H120" s="207">
        <f t="shared" si="10"/>
        <v>13.399999999999999</v>
      </c>
      <c r="I120" s="207"/>
      <c r="K120" s="208"/>
      <c r="L120" s="208"/>
      <c r="M120" s="208"/>
      <c r="N120" s="208"/>
      <c r="O120" s="59">
        <f t="shared" si="8"/>
        <v>0</v>
      </c>
      <c r="P120" s="208" t="s">
        <v>1233</v>
      </c>
      <c r="Q120" s="209" t="s">
        <v>1234</v>
      </c>
      <c r="R120" s="209"/>
      <c r="T120" s="2" t="str">
        <f t="shared" si="9"/>
        <v/>
      </c>
      <c r="AE120" s="1"/>
    </row>
    <row r="121" spans="2:31" s="334" customFormat="1">
      <c r="B121" s="206" t="s">
        <v>1221</v>
      </c>
      <c r="C121" s="207">
        <v>0.5</v>
      </c>
      <c r="D121" s="207">
        <v>12</v>
      </c>
      <c r="E121" s="207">
        <v>12</v>
      </c>
      <c r="F121" s="207">
        <v>16.5</v>
      </c>
      <c r="G121" s="207">
        <v>0</v>
      </c>
      <c r="H121" s="207">
        <f t="shared" si="10"/>
        <v>41</v>
      </c>
      <c r="I121" s="207"/>
      <c r="K121" s="208"/>
      <c r="L121" s="208"/>
      <c r="M121" s="208"/>
      <c r="N121" s="208"/>
      <c r="O121" s="59">
        <f t="shared" si="8"/>
        <v>0</v>
      </c>
      <c r="P121" s="208" t="s">
        <v>1233</v>
      </c>
      <c r="Q121" s="209" t="s">
        <v>1234</v>
      </c>
      <c r="R121" s="209"/>
      <c r="T121" s="2" t="str">
        <f t="shared" si="9"/>
        <v/>
      </c>
      <c r="AE121" s="1"/>
    </row>
    <row r="122" spans="2:31" s="334" customFormat="1">
      <c r="B122" s="206" t="s">
        <v>1222</v>
      </c>
      <c r="C122" s="207">
        <v>2.9867370351999996</v>
      </c>
      <c r="D122" s="207">
        <v>0</v>
      </c>
      <c r="E122" s="207">
        <v>0</v>
      </c>
      <c r="F122" s="207">
        <v>0</v>
      </c>
      <c r="G122" s="207">
        <v>0</v>
      </c>
      <c r="H122" s="207">
        <f t="shared" si="10"/>
        <v>2.9867370351999996</v>
      </c>
      <c r="I122" s="207"/>
      <c r="K122" s="208"/>
      <c r="L122" s="208"/>
      <c r="M122" s="208"/>
      <c r="N122" s="208"/>
      <c r="O122" s="59">
        <f t="shared" si="8"/>
        <v>0</v>
      </c>
      <c r="P122" s="208" t="s">
        <v>1233</v>
      </c>
      <c r="Q122" s="209" t="s">
        <v>1233</v>
      </c>
      <c r="R122" s="209"/>
      <c r="T122" s="2" t="str">
        <f t="shared" si="9"/>
        <v/>
      </c>
      <c r="AE122" s="1"/>
    </row>
    <row r="123" spans="2:31" s="334" customFormat="1">
      <c r="B123" s="206" t="s">
        <v>1223</v>
      </c>
      <c r="C123" s="207">
        <v>2.6762777308783887</v>
      </c>
      <c r="D123" s="207">
        <v>0</v>
      </c>
      <c r="E123" s="207">
        <v>0</v>
      </c>
      <c r="F123" s="207">
        <v>0</v>
      </c>
      <c r="G123" s="207">
        <v>0</v>
      </c>
      <c r="H123" s="207">
        <f t="shared" si="10"/>
        <v>2.6762777308783887</v>
      </c>
      <c r="I123" s="207"/>
      <c r="K123" s="208"/>
      <c r="L123" s="208"/>
      <c r="M123" s="208"/>
      <c r="N123" s="208"/>
      <c r="O123" s="59">
        <f t="shared" si="8"/>
        <v>0</v>
      </c>
      <c r="P123" s="208" t="s">
        <v>1233</v>
      </c>
      <c r="Q123" s="209" t="s">
        <v>1233</v>
      </c>
      <c r="R123" s="209"/>
      <c r="T123" s="2" t="str">
        <f t="shared" si="9"/>
        <v/>
      </c>
      <c r="AE123" s="1"/>
    </row>
    <row r="124" spans="2:31" s="334" customFormat="1">
      <c r="B124" s="206" t="s">
        <v>1224</v>
      </c>
      <c r="C124" s="207">
        <v>1</v>
      </c>
      <c r="D124" s="207">
        <v>0</v>
      </c>
      <c r="E124" s="207">
        <v>0</v>
      </c>
      <c r="F124" s="207">
        <v>0</v>
      </c>
      <c r="G124" s="207">
        <v>0</v>
      </c>
      <c r="H124" s="207">
        <f t="shared" si="10"/>
        <v>1</v>
      </c>
      <c r="I124" s="207"/>
      <c r="K124" s="208"/>
      <c r="L124" s="208"/>
      <c r="M124" s="208"/>
      <c r="N124" s="208"/>
      <c r="O124" s="59">
        <f t="shared" si="8"/>
        <v>0</v>
      </c>
      <c r="P124" s="208" t="s">
        <v>1233</v>
      </c>
      <c r="Q124" s="209" t="s">
        <v>1234</v>
      </c>
      <c r="R124" s="209"/>
      <c r="T124" s="2" t="str">
        <f t="shared" si="9"/>
        <v/>
      </c>
      <c r="AE124" s="1"/>
    </row>
    <row r="125" spans="2:31" s="334" customFormat="1">
      <c r="B125" s="206" t="s">
        <v>1225</v>
      </c>
      <c r="C125" s="207">
        <v>0.67070153999999993</v>
      </c>
      <c r="D125" s="207">
        <v>2.5</v>
      </c>
      <c r="E125" s="207">
        <v>2.5</v>
      </c>
      <c r="F125" s="207">
        <v>2.5</v>
      </c>
      <c r="G125" s="207">
        <v>0</v>
      </c>
      <c r="H125" s="207">
        <f t="shared" si="10"/>
        <v>8.1707015399999996</v>
      </c>
      <c r="I125" s="207"/>
      <c r="K125" s="208"/>
      <c r="L125" s="208"/>
      <c r="M125" s="208"/>
      <c r="N125" s="208"/>
      <c r="O125" s="59">
        <f t="shared" si="8"/>
        <v>0</v>
      </c>
      <c r="P125" s="208" t="s">
        <v>1233</v>
      </c>
      <c r="Q125" s="209" t="s">
        <v>1233</v>
      </c>
      <c r="R125" s="209"/>
      <c r="T125" s="2" t="str">
        <f t="shared" si="9"/>
        <v/>
      </c>
      <c r="AE125" s="1"/>
    </row>
    <row r="126" spans="2:31" s="334" customFormat="1">
      <c r="B126" s="206" t="s">
        <v>1226</v>
      </c>
      <c r="C126" s="207">
        <v>0</v>
      </c>
      <c r="D126" s="207">
        <v>3</v>
      </c>
      <c r="E126" s="207">
        <v>3</v>
      </c>
      <c r="F126" s="207">
        <v>3</v>
      </c>
      <c r="G126" s="207">
        <v>18</v>
      </c>
      <c r="H126" s="207">
        <f t="shared" si="10"/>
        <v>27</v>
      </c>
      <c r="I126" s="207"/>
      <c r="K126" s="208"/>
      <c r="L126" s="208"/>
      <c r="M126" s="208"/>
      <c r="N126" s="208"/>
      <c r="O126" s="59">
        <f t="shared" si="8"/>
        <v>0</v>
      </c>
      <c r="P126" s="208" t="s">
        <v>1233</v>
      </c>
      <c r="Q126" s="209" t="s">
        <v>1233</v>
      </c>
      <c r="R126" s="209"/>
      <c r="T126" s="2" t="str">
        <f t="shared" si="9"/>
        <v/>
      </c>
      <c r="AE126" s="1"/>
    </row>
    <row r="127" spans="2:31" s="334" customFormat="1">
      <c r="B127" s="206" t="s">
        <v>1227</v>
      </c>
      <c r="C127" s="207">
        <v>0</v>
      </c>
      <c r="D127" s="207">
        <v>0.5</v>
      </c>
      <c r="E127" s="207">
        <v>3.5</v>
      </c>
      <c r="F127" s="207">
        <v>0</v>
      </c>
      <c r="G127" s="207">
        <v>0</v>
      </c>
      <c r="H127" s="207">
        <f t="shared" si="10"/>
        <v>4</v>
      </c>
      <c r="I127" s="207"/>
      <c r="K127" s="208"/>
      <c r="L127" s="208"/>
      <c r="M127" s="208"/>
      <c r="N127" s="208"/>
      <c r="O127" s="59">
        <f t="shared" si="8"/>
        <v>0</v>
      </c>
      <c r="P127" s="208" t="s">
        <v>1233</v>
      </c>
      <c r="Q127" s="209" t="s">
        <v>1233</v>
      </c>
      <c r="R127" s="209"/>
      <c r="T127" s="2" t="str">
        <f t="shared" si="9"/>
        <v/>
      </c>
      <c r="AE127" s="1"/>
    </row>
    <row r="128" spans="2:31" s="334" customFormat="1">
      <c r="B128" s="206" t="s">
        <v>1228</v>
      </c>
      <c r="C128" s="207">
        <v>0</v>
      </c>
      <c r="D128" s="207">
        <v>4</v>
      </c>
      <c r="E128" s="207">
        <v>1</v>
      </c>
      <c r="F128" s="207">
        <v>0</v>
      </c>
      <c r="G128" s="207">
        <v>0</v>
      </c>
      <c r="H128" s="207">
        <f t="shared" si="10"/>
        <v>5</v>
      </c>
      <c r="I128" s="207"/>
      <c r="K128" s="208"/>
      <c r="L128" s="208"/>
      <c r="M128" s="208"/>
      <c r="N128" s="208"/>
      <c r="O128" s="59">
        <f t="shared" si="8"/>
        <v>0</v>
      </c>
      <c r="P128" s="208" t="s">
        <v>1233</v>
      </c>
      <c r="Q128" s="209" t="s">
        <v>1234</v>
      </c>
      <c r="R128" s="209"/>
      <c r="T128" s="2" t="str">
        <f t="shared" si="9"/>
        <v/>
      </c>
      <c r="AE128" s="1"/>
    </row>
    <row r="129" spans="2:31" s="334" customFormat="1">
      <c r="B129" s="206" t="s">
        <v>1229</v>
      </c>
      <c r="C129" s="207">
        <v>0</v>
      </c>
      <c r="D129" s="207">
        <v>0</v>
      </c>
      <c r="E129" s="207">
        <v>0</v>
      </c>
      <c r="F129" s="207">
        <v>0</v>
      </c>
      <c r="G129" s="207">
        <v>5.9923471000000008</v>
      </c>
      <c r="H129" s="207">
        <f t="shared" si="10"/>
        <v>5.9923471000000008</v>
      </c>
      <c r="I129" s="207"/>
      <c r="K129" s="208"/>
      <c r="L129" s="208"/>
      <c r="M129" s="208"/>
      <c r="N129" s="208"/>
      <c r="O129" s="59">
        <f t="shared" si="8"/>
        <v>0</v>
      </c>
      <c r="P129" s="208" t="s">
        <v>1233</v>
      </c>
      <c r="Q129" s="209" t="s">
        <v>1233</v>
      </c>
      <c r="R129" s="209"/>
      <c r="T129" s="2" t="str">
        <f t="shared" si="9"/>
        <v/>
      </c>
      <c r="AE129" s="1"/>
    </row>
    <row r="130" spans="2:31" s="334" customFormat="1">
      <c r="B130" s="206" t="s">
        <v>1230</v>
      </c>
      <c r="C130" s="207">
        <v>0</v>
      </c>
      <c r="D130" s="207">
        <v>0</v>
      </c>
      <c r="E130" s="207">
        <v>0</v>
      </c>
      <c r="F130" s="207">
        <v>0</v>
      </c>
      <c r="G130" s="207">
        <v>20</v>
      </c>
      <c r="H130" s="207">
        <f t="shared" si="10"/>
        <v>20</v>
      </c>
      <c r="I130" s="207"/>
      <c r="K130" s="208"/>
      <c r="L130" s="208"/>
      <c r="M130" s="208"/>
      <c r="N130" s="208"/>
      <c r="O130" s="59">
        <f t="shared" si="8"/>
        <v>0</v>
      </c>
      <c r="P130" s="208" t="s">
        <v>1233</v>
      </c>
      <c r="Q130" s="209" t="s">
        <v>1234</v>
      </c>
      <c r="R130" s="209"/>
      <c r="T130" s="2" t="str">
        <f t="shared" si="9"/>
        <v/>
      </c>
      <c r="AE130" s="1"/>
    </row>
    <row r="131" spans="2:31" s="334" customFormat="1">
      <c r="B131" s="206" t="s">
        <v>1231</v>
      </c>
      <c r="C131" s="207">
        <v>0</v>
      </c>
      <c r="D131" s="207">
        <v>0</v>
      </c>
      <c r="E131" s="207">
        <v>0</v>
      </c>
      <c r="F131" s="207">
        <v>0</v>
      </c>
      <c r="G131" s="207">
        <v>4.1210000000000004</v>
      </c>
      <c r="H131" s="207">
        <f t="shared" si="10"/>
        <v>4.1210000000000004</v>
      </c>
      <c r="I131" s="207"/>
      <c r="K131" s="208"/>
      <c r="L131" s="208"/>
      <c r="M131" s="208"/>
      <c r="N131" s="208"/>
      <c r="O131" s="59">
        <f t="shared" si="8"/>
        <v>0</v>
      </c>
      <c r="P131" s="208" t="s">
        <v>1233</v>
      </c>
      <c r="Q131" s="209" t="s">
        <v>1234</v>
      </c>
      <c r="R131" s="209"/>
      <c r="T131" s="2" t="str">
        <f t="shared" si="9"/>
        <v/>
      </c>
      <c r="AE131" s="1"/>
    </row>
    <row r="132" spans="2:31" s="334" customFormat="1">
      <c r="B132" s="206" t="s">
        <v>1232</v>
      </c>
      <c r="C132" s="207">
        <v>0</v>
      </c>
      <c r="D132" s="207">
        <v>0</v>
      </c>
      <c r="E132" s="207">
        <v>0</v>
      </c>
      <c r="F132" s="207">
        <v>0</v>
      </c>
      <c r="G132" s="207">
        <v>1.7339046435999999</v>
      </c>
      <c r="H132" s="207">
        <f t="shared" si="10"/>
        <v>1.7339046435999999</v>
      </c>
      <c r="I132" s="207"/>
      <c r="K132" s="208"/>
      <c r="L132" s="208"/>
      <c r="M132" s="208"/>
      <c r="N132" s="208"/>
      <c r="O132" s="59">
        <f t="shared" si="8"/>
        <v>0</v>
      </c>
      <c r="P132" s="208" t="s">
        <v>1233</v>
      </c>
      <c r="Q132" s="209" t="s">
        <v>1234</v>
      </c>
      <c r="R132" s="209"/>
      <c r="T132" s="2" t="str">
        <f t="shared" si="9"/>
        <v/>
      </c>
      <c r="AE132" s="1"/>
    </row>
    <row r="133" spans="2:31" s="334" customFormat="1">
      <c r="B133" s="206"/>
      <c r="C133" s="207"/>
      <c r="D133" s="207"/>
      <c r="E133" s="207"/>
      <c r="F133" s="207"/>
      <c r="G133" s="207"/>
      <c r="H133" s="207"/>
      <c r="I133" s="207"/>
      <c r="K133" s="208"/>
      <c r="L133" s="208"/>
      <c r="M133" s="208"/>
      <c r="N133" s="208"/>
      <c r="O133" s="59">
        <f t="shared" si="8"/>
        <v>0</v>
      </c>
      <c r="P133" s="208"/>
      <c r="Q133" s="209"/>
      <c r="R133" s="209"/>
      <c r="T133" s="2" t="str">
        <f t="shared" si="9"/>
        <v/>
      </c>
      <c r="AE133" s="1"/>
    </row>
    <row r="134" spans="2:31" s="334" customFormat="1">
      <c r="B134" s="206"/>
      <c r="C134" s="207"/>
      <c r="D134" s="207"/>
      <c r="E134" s="207"/>
      <c r="F134" s="207"/>
      <c r="G134" s="207"/>
      <c r="H134" s="207"/>
      <c r="I134" s="207"/>
      <c r="K134" s="208"/>
      <c r="L134" s="208"/>
      <c r="M134" s="208"/>
      <c r="N134" s="208"/>
      <c r="O134" s="59">
        <f t="shared" si="8"/>
        <v>0</v>
      </c>
      <c r="P134" s="208"/>
      <c r="Q134" s="209"/>
      <c r="R134" s="209"/>
      <c r="T134" s="2" t="str">
        <f t="shared" si="9"/>
        <v/>
      </c>
      <c r="AE134" s="1"/>
    </row>
    <row r="135" spans="2:31" s="334" customFormat="1">
      <c r="B135" s="206"/>
      <c r="C135" s="207"/>
      <c r="D135" s="207"/>
      <c r="E135" s="207"/>
      <c r="F135" s="207"/>
      <c r="G135" s="207"/>
      <c r="H135" s="207"/>
      <c r="I135" s="207"/>
      <c r="K135" s="208"/>
      <c r="L135" s="208"/>
      <c r="M135" s="208"/>
      <c r="N135" s="208"/>
      <c r="O135" s="59">
        <f t="shared" si="8"/>
        <v>0</v>
      </c>
      <c r="P135" s="208"/>
      <c r="Q135" s="209"/>
      <c r="R135" s="209"/>
      <c r="T135" s="2" t="str">
        <f t="shared" si="9"/>
        <v/>
      </c>
      <c r="AE135" s="1"/>
    </row>
    <row r="136" spans="2:31" s="334" customFormat="1">
      <c r="B136" s="206"/>
      <c r="C136" s="207"/>
      <c r="D136" s="207"/>
      <c r="E136" s="207"/>
      <c r="F136" s="207"/>
      <c r="G136" s="207"/>
      <c r="H136" s="207"/>
      <c r="I136" s="207"/>
      <c r="K136" s="208"/>
      <c r="L136" s="208"/>
      <c r="M136" s="208"/>
      <c r="N136" s="208"/>
      <c r="O136" s="59">
        <f t="shared" si="8"/>
        <v>0</v>
      </c>
      <c r="P136" s="208"/>
      <c r="Q136" s="209"/>
      <c r="R136" s="209"/>
      <c r="T136" s="2" t="str">
        <f t="shared" si="9"/>
        <v/>
      </c>
      <c r="AE136" s="1"/>
    </row>
    <row r="137" spans="2:31" s="334" customFormat="1">
      <c r="B137" s="206"/>
      <c r="C137" s="207"/>
      <c r="D137" s="207"/>
      <c r="E137" s="207"/>
      <c r="F137" s="207"/>
      <c r="G137" s="207"/>
      <c r="H137" s="207"/>
      <c r="I137" s="207"/>
      <c r="K137" s="208"/>
      <c r="L137" s="208"/>
      <c r="M137" s="208"/>
      <c r="N137" s="208"/>
      <c r="O137" s="59">
        <f t="shared" si="8"/>
        <v>0</v>
      </c>
      <c r="P137" s="208"/>
      <c r="Q137" s="209"/>
      <c r="R137" s="209"/>
      <c r="T137" s="2" t="str">
        <f t="shared" si="9"/>
        <v/>
      </c>
      <c r="AE137" s="1"/>
    </row>
    <row r="138" spans="2:31" s="334" customFormat="1">
      <c r="B138" s="206"/>
      <c r="C138" s="207"/>
      <c r="D138" s="207"/>
      <c r="E138" s="207"/>
      <c r="F138" s="207"/>
      <c r="G138" s="207"/>
      <c r="H138" s="207"/>
      <c r="I138" s="207"/>
      <c r="K138" s="208"/>
      <c r="L138" s="208"/>
      <c r="M138" s="208"/>
      <c r="N138" s="208"/>
      <c r="O138" s="59">
        <f t="shared" si="8"/>
        <v>0</v>
      </c>
      <c r="P138" s="208"/>
      <c r="Q138" s="209"/>
      <c r="R138" s="209"/>
      <c r="T138" s="2" t="str">
        <f t="shared" si="9"/>
        <v/>
      </c>
      <c r="AE138" s="1"/>
    </row>
    <row r="139" spans="2:31" s="334" customFormat="1">
      <c r="B139" s="206"/>
      <c r="C139" s="207"/>
      <c r="D139" s="207"/>
      <c r="E139" s="207"/>
      <c r="F139" s="207"/>
      <c r="G139" s="207"/>
      <c r="H139" s="207"/>
      <c r="I139" s="207"/>
      <c r="K139" s="208"/>
      <c r="L139" s="208"/>
      <c r="M139" s="208"/>
      <c r="N139" s="208"/>
      <c r="O139" s="59">
        <f t="shared" si="8"/>
        <v>0</v>
      </c>
      <c r="P139" s="208"/>
      <c r="Q139" s="209"/>
      <c r="R139" s="209"/>
      <c r="T139" s="2" t="str">
        <f t="shared" si="9"/>
        <v/>
      </c>
      <c r="AE139" s="1"/>
    </row>
    <row r="140" spans="2:31" s="334" customFormat="1">
      <c r="B140" s="341" t="s">
        <v>979</v>
      </c>
      <c r="C140" s="205">
        <f t="shared" ref="C140:H140" si="11">SUM(C102:C139)</f>
        <v>61.291213534541633</v>
      </c>
      <c r="D140" s="205">
        <f t="shared" si="11"/>
        <v>77.676974819714545</v>
      </c>
      <c r="E140" s="205">
        <f t="shared" si="11"/>
        <v>137.51045553518935</v>
      </c>
      <c r="F140" s="205">
        <f t="shared" si="11"/>
        <v>151.93359401993357</v>
      </c>
      <c r="G140" s="205">
        <f t="shared" si="11"/>
        <v>390.70060321914553</v>
      </c>
      <c r="H140" s="205">
        <f t="shared" si="11"/>
        <v>819.11284112852445</v>
      </c>
      <c r="I140" s="2"/>
      <c r="K140" s="205">
        <f>SUM(K102:K139)</f>
        <v>0.33999999999999997</v>
      </c>
      <c r="L140" s="205">
        <f>SUM(L102:L139)</f>
        <v>5.992</v>
      </c>
      <c r="M140" s="205">
        <f>SUM(M102:M139)</f>
        <v>0</v>
      </c>
      <c r="N140" s="205">
        <f>SUM(N102:N139)</f>
        <v>0</v>
      </c>
      <c r="O140" s="59">
        <f t="shared" si="8"/>
        <v>6.3319999999999999</v>
      </c>
      <c r="P140" s="2"/>
      <c r="Q140" s="2"/>
      <c r="R140" s="2"/>
      <c r="AE140" s="1"/>
    </row>
    <row r="141" spans="2:31" s="10" customFormat="1" ht="15.5">
      <c r="T141" s="57">
        <f>COUNTIFS(T1:T140,"Please*")</f>
        <v>1</v>
      </c>
    </row>
    <row r="142" spans="2:31" s="10" customFormat="1" ht="15.5"/>
  </sheetData>
  <sheetProtection sheet="1" objects="1" scenarios="1"/>
  <customSheetViews>
    <customSheetView guid="{95B84344-25FE-4A71-9083-825DAB5E8F01}" topLeftCell="A28">
      <selection activeCell="B3" sqref="B3:C5"/>
      <pageMargins left="0" right="0" top="0" bottom="0" header="0" footer="0"/>
      <pageSetup paperSize="9" orientation="portrait" r:id="rId1"/>
    </customSheetView>
  </customSheetViews>
  <mergeCells count="4">
    <mergeCell ref="R1:R2"/>
    <mergeCell ref="Q1:Q2"/>
    <mergeCell ref="I1:I2"/>
    <mergeCell ref="P1:P2"/>
  </mergeCells>
  <pageMargins left="0.7" right="0.7"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7" tint="0.79998168889431442"/>
    <pageSetUpPr fitToPage="1"/>
  </sheetPr>
  <dimension ref="B2:G20"/>
  <sheetViews>
    <sheetView zoomScaleNormal="100" workbookViewId="0">
      <selection activeCell="D17" sqref="D17"/>
    </sheetView>
  </sheetViews>
  <sheetFormatPr defaultColWidth="8.84375" defaultRowHeight="13"/>
  <cols>
    <col min="1" max="1" width="2.84375" style="1" customWidth="1"/>
    <col min="2" max="2" width="54.07421875" style="1" bestFit="1" customWidth="1"/>
    <col min="3" max="6" width="8.84375" style="1"/>
    <col min="7" max="7" width="25.3046875" style="1" customWidth="1"/>
    <col min="8" max="8" width="8.84375" style="1"/>
    <col min="9" max="9" width="10.23046875" style="1" customWidth="1"/>
    <col min="10" max="38" width="8.23046875" style="1" customWidth="1"/>
    <col min="39" max="16384" width="8.84375" style="1"/>
  </cols>
  <sheetData>
    <row r="2" spans="2:7">
      <c r="B2" s="891" t="s">
        <v>980</v>
      </c>
      <c r="C2" s="904" t="s">
        <v>40</v>
      </c>
      <c r="D2" s="896" t="s">
        <v>939</v>
      </c>
      <c r="E2" s="897"/>
      <c r="F2" s="898"/>
      <c r="G2" s="899"/>
    </row>
    <row r="3" spans="2:7">
      <c r="B3" s="892"/>
      <c r="C3" s="905"/>
      <c r="D3" s="900"/>
      <c r="E3" s="901"/>
      <c r="F3" s="902"/>
      <c r="G3" s="903"/>
    </row>
    <row r="4" spans="2:7" ht="31.5" customHeight="1">
      <c r="B4" s="318" t="s">
        <v>981</v>
      </c>
      <c r="C4" s="135">
        <v>44866</v>
      </c>
      <c r="D4" s="893" t="s">
        <v>982</v>
      </c>
      <c r="E4" s="894"/>
      <c r="F4" s="894"/>
      <c r="G4" s="895"/>
    </row>
    <row r="5" spans="2:7" ht="34.5" customHeight="1">
      <c r="B5" s="318" t="s">
        <v>983</v>
      </c>
      <c r="C5" s="136">
        <v>45047</v>
      </c>
      <c r="D5" s="893" t="s">
        <v>984</v>
      </c>
      <c r="E5" s="894"/>
      <c r="F5" s="894"/>
      <c r="G5" s="895"/>
    </row>
    <row r="6" spans="2:7">
      <c r="B6" s="319"/>
    </row>
    <row r="7" spans="2:7" ht="12.75" customHeight="1">
      <c r="C7" s="904" t="s">
        <v>985</v>
      </c>
      <c r="D7" s="904" t="s">
        <v>986</v>
      </c>
    </row>
    <row r="8" spans="2:7">
      <c r="B8" s="891" t="s">
        <v>987</v>
      </c>
      <c r="C8" s="905"/>
      <c r="D8" s="905"/>
    </row>
    <row r="9" spans="2:7">
      <c r="B9" s="892"/>
      <c r="C9" s="317" t="s">
        <v>949</v>
      </c>
      <c r="D9" s="317" t="s">
        <v>949</v>
      </c>
    </row>
    <row r="10" spans="2:7">
      <c r="B10" s="320" t="s">
        <v>988</v>
      </c>
      <c r="C10" s="203">
        <v>9.2479999999999993</v>
      </c>
      <c r="D10" s="203">
        <v>10.404</v>
      </c>
      <c r="F10" s="1" t="str">
        <f>IF(COUNTA(C10:D10)&gt;COUNT(C10:D10),"Please only enter numeric or percentage (as required) in this row","")</f>
        <v/>
      </c>
    </row>
    <row r="11" spans="2:7">
      <c r="C11" s="321" t="s">
        <v>989</v>
      </c>
      <c r="D11" s="321" t="s">
        <v>989</v>
      </c>
    </row>
    <row r="12" spans="2:7">
      <c r="B12" s="320" t="s">
        <v>990</v>
      </c>
      <c r="C12" s="202">
        <v>0.77</v>
      </c>
      <c r="D12" s="202">
        <v>0.77</v>
      </c>
      <c r="F12" s="1" t="str">
        <f>IF(COUNTA(C12:D12)&gt;COUNT(C12:D12),"Please only enter numeric or percentage (as required) in this row","")</f>
        <v/>
      </c>
    </row>
    <row r="13" spans="2:7">
      <c r="B13" s="320" t="s">
        <v>991</v>
      </c>
      <c r="C13" s="202">
        <v>0.82</v>
      </c>
      <c r="D13" s="202">
        <v>0.82</v>
      </c>
      <c r="F13" s="1" t="str">
        <f t="shared" ref="F13:F17" si="0">IF(COUNTA(C13:D13)&gt;COUNT(C13:D13),"Please only enter numeric or percentage (as required) in this row","")</f>
        <v/>
      </c>
    </row>
    <row r="14" spans="2:7">
      <c r="B14" s="320" t="s">
        <v>992</v>
      </c>
      <c r="C14" s="202">
        <v>0.91</v>
      </c>
      <c r="D14" s="202">
        <v>0.91</v>
      </c>
      <c r="F14" s="1" t="str">
        <f t="shared" si="0"/>
        <v/>
      </c>
    </row>
    <row r="15" spans="2:7">
      <c r="B15" s="320" t="s">
        <v>993</v>
      </c>
      <c r="C15" s="202">
        <v>0.87</v>
      </c>
      <c r="D15" s="202">
        <v>0.87</v>
      </c>
      <c r="F15" s="1" t="str">
        <f t="shared" si="0"/>
        <v/>
      </c>
    </row>
    <row r="16" spans="2:7">
      <c r="B16" s="320" t="s">
        <v>994</v>
      </c>
      <c r="C16" s="202">
        <v>0.97</v>
      </c>
      <c r="D16" s="202">
        <v>0.97</v>
      </c>
      <c r="F16" s="1" t="str">
        <f t="shared" si="0"/>
        <v/>
      </c>
    </row>
    <row r="17" spans="2:6">
      <c r="B17" s="320" t="s">
        <v>995</v>
      </c>
      <c r="C17" s="202" t="s">
        <v>996</v>
      </c>
      <c r="D17" s="202" t="s">
        <v>996</v>
      </c>
      <c r="F17" s="1" t="str">
        <f t="shared" si="0"/>
        <v>Please only enter numeric or percentage (as required) in this row</v>
      </c>
    </row>
    <row r="18" spans="2:6" ht="15.5">
      <c r="B18"/>
      <c r="C18" s="10"/>
      <c r="D18" s="10"/>
      <c r="E18"/>
    </row>
    <row r="19" spans="2:6" ht="15.5">
      <c r="D19" s="10"/>
      <c r="F19" s="57">
        <f>COUNTIFS(F10:F17,"Please*")</f>
        <v>1</v>
      </c>
    </row>
    <row r="20" spans="2:6" ht="15.5">
      <c r="D20" s="10"/>
    </row>
  </sheetData>
  <sheetProtection sheet="1" objects="1" scenarios="1"/>
  <mergeCells count="8">
    <mergeCell ref="B8:B9"/>
    <mergeCell ref="D4:G4"/>
    <mergeCell ref="D5:G5"/>
    <mergeCell ref="D2:G3"/>
    <mergeCell ref="C2:C3"/>
    <mergeCell ref="C7:C8"/>
    <mergeCell ref="D7:D8"/>
    <mergeCell ref="B2:B3"/>
  </mergeCells>
  <dataValidations count="1">
    <dataValidation type="date" errorStyle="information" allowBlank="1" showInputMessage="1" showErrorMessage="1" errorTitle="Info:" error="Please enter a valid date." sqref="C4:C5" xr:uid="{00000000-0002-0000-2200-000000000000}">
      <formula1>1</formula1>
      <formula2>73050</formula2>
    </dataValidation>
  </dataValidations>
  <pageMargins left="0.7" right="0.7" top="0.75" bottom="0.75" header="0.3" footer="0.3"/>
  <pageSetup paperSize="9" scale="96"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7"/>
    <pageSetUpPr fitToPage="1"/>
  </sheetPr>
  <dimension ref="A1:BU22"/>
  <sheetViews>
    <sheetView zoomScale="51" zoomScaleNormal="51" workbookViewId="0">
      <pane xSplit="1" topLeftCell="B1" activePane="topRight" state="frozenSplit"/>
      <selection activeCell="B11" sqref="B11:C13"/>
      <selection pane="topRight" activeCell="AA22" sqref="AA22"/>
    </sheetView>
  </sheetViews>
  <sheetFormatPr defaultColWidth="9.23046875" defaultRowHeight="15.5"/>
  <cols>
    <col min="1" max="1" width="44.69140625" style="33" customWidth="1"/>
    <col min="2" max="21" width="9.23046875" style="33"/>
    <col min="22" max="22" width="7.84375" style="33" customWidth="1"/>
    <col min="23" max="16384" width="9.23046875" style="33"/>
  </cols>
  <sheetData>
    <row r="1" spans="1:73" ht="23.5">
      <c r="A1" s="199" t="s">
        <v>997</v>
      </c>
      <c r="B1" s="199"/>
      <c r="C1" s="199"/>
      <c r="D1" s="199"/>
      <c r="E1" s="199"/>
      <c r="F1" s="199"/>
      <c r="G1" s="199"/>
      <c r="H1" s="199"/>
      <c r="I1" s="199"/>
      <c r="J1" s="199"/>
      <c r="K1" s="199"/>
      <c r="L1" s="199"/>
      <c r="M1" s="199"/>
      <c r="N1" s="199"/>
      <c r="O1" s="199"/>
      <c r="P1" s="199"/>
      <c r="Q1" s="199"/>
      <c r="R1" s="199"/>
      <c r="S1" s="199"/>
      <c r="T1" s="199"/>
      <c r="U1" s="199"/>
      <c r="V1" s="199"/>
    </row>
    <row r="2" spans="1:73">
      <c r="A2" s="175"/>
      <c r="B2" s="174"/>
      <c r="C2" s="174"/>
      <c r="D2" s="174"/>
      <c r="E2" s="174"/>
      <c r="F2" s="174"/>
      <c r="G2" s="174"/>
      <c r="H2" s="174"/>
      <c r="I2" s="174"/>
      <c r="J2" s="174"/>
      <c r="K2" s="174"/>
      <c r="L2" s="174"/>
      <c r="M2" s="174"/>
    </row>
    <row r="3" spans="1:73" hidden="1">
      <c r="A3" s="176" t="s">
        <v>998</v>
      </c>
      <c r="B3" s="906" t="str">
        <f>'Front Sheet and Checklist'!$C$5</f>
        <v>Swansea Bay UHB</v>
      </c>
      <c r="C3" s="907"/>
      <c r="F3" s="174"/>
      <c r="G3" s="174"/>
      <c r="H3" s="174"/>
      <c r="I3" s="174"/>
      <c r="J3" s="174"/>
      <c r="K3" s="174"/>
      <c r="L3" s="174"/>
      <c r="M3" s="174"/>
    </row>
    <row r="4" spans="1:73">
      <c r="A4" s="175"/>
      <c r="B4" s="174"/>
      <c r="C4" s="174"/>
      <c r="D4" s="174"/>
      <c r="E4" s="174"/>
      <c r="F4" s="174"/>
      <c r="G4" s="174"/>
      <c r="H4" s="174"/>
      <c r="I4" s="174"/>
      <c r="J4" s="174"/>
      <c r="K4" s="174"/>
      <c r="L4" s="174"/>
      <c r="M4" s="174"/>
    </row>
    <row r="5" spans="1:73" s="179" customFormat="1">
      <c r="A5" s="178"/>
      <c r="B5" s="182" t="s">
        <v>70</v>
      </c>
      <c r="C5" s="182" t="s">
        <v>114</v>
      </c>
      <c r="D5" s="182" t="s">
        <v>105</v>
      </c>
      <c r="E5" s="182" t="s">
        <v>100</v>
      </c>
      <c r="F5" s="182" t="s">
        <v>83</v>
      </c>
      <c r="G5" s="182" t="s">
        <v>127</v>
      </c>
      <c r="H5" s="182" t="s">
        <v>123</v>
      </c>
      <c r="I5" s="182" t="s">
        <v>119</v>
      </c>
      <c r="J5" s="182" t="s">
        <v>88</v>
      </c>
      <c r="K5" s="182" t="s">
        <v>96</v>
      </c>
      <c r="L5" s="182" t="s">
        <v>92</v>
      </c>
      <c r="M5" s="182" t="s">
        <v>110</v>
      </c>
      <c r="N5" s="182" t="s">
        <v>79</v>
      </c>
      <c r="O5" s="182" t="s">
        <v>115</v>
      </c>
      <c r="P5" s="182" t="s">
        <v>106</v>
      </c>
      <c r="Q5" s="182" t="s">
        <v>101</v>
      </c>
      <c r="R5" s="182" t="s">
        <v>84</v>
      </c>
      <c r="S5" s="182" t="s">
        <v>128</v>
      </c>
      <c r="T5" s="182" t="s">
        <v>124</v>
      </c>
      <c r="U5" s="182" t="s">
        <v>120</v>
      </c>
      <c r="V5" s="182" t="s">
        <v>89</v>
      </c>
      <c r="W5" s="182" t="s">
        <v>97</v>
      </c>
      <c r="X5" s="182" t="s">
        <v>93</v>
      </c>
      <c r="Y5" s="182" t="s">
        <v>111</v>
      </c>
      <c r="Z5" s="182" t="s">
        <v>80</v>
      </c>
      <c r="AA5" s="182" t="s">
        <v>116</v>
      </c>
      <c r="AB5" s="182" t="s">
        <v>107</v>
      </c>
      <c r="AC5" s="182" t="s">
        <v>102</v>
      </c>
      <c r="AD5" s="182" t="s">
        <v>85</v>
      </c>
      <c r="AE5" s="182" t="s">
        <v>129</v>
      </c>
      <c r="AF5" s="182" t="s">
        <v>125</v>
      </c>
      <c r="AG5" s="182" t="s">
        <v>121</v>
      </c>
      <c r="AH5" s="182" t="s">
        <v>90</v>
      </c>
      <c r="AI5" s="182" t="s">
        <v>98</v>
      </c>
      <c r="AJ5" s="182" t="s">
        <v>94</v>
      </c>
      <c r="AK5" s="182" t="s">
        <v>112</v>
      </c>
      <c r="AL5" s="182" t="s">
        <v>81</v>
      </c>
      <c r="AM5" s="182" t="s">
        <v>117</v>
      </c>
      <c r="AN5" s="182" t="s">
        <v>108</v>
      </c>
      <c r="AO5" s="182" t="s">
        <v>103</v>
      </c>
      <c r="AP5" s="182" t="s">
        <v>86</v>
      </c>
      <c r="AQ5" s="182" t="s">
        <v>130</v>
      </c>
      <c r="AR5" s="182" t="s">
        <v>126</v>
      </c>
      <c r="AS5" s="182" t="s">
        <v>122</v>
      </c>
      <c r="AT5" s="182" t="s">
        <v>91</v>
      </c>
      <c r="AU5" s="182" t="s">
        <v>99</v>
      </c>
      <c r="AV5" s="182" t="s">
        <v>95</v>
      </c>
      <c r="AW5" s="182" t="s">
        <v>113</v>
      </c>
      <c r="AX5" s="182" t="s">
        <v>82</v>
      </c>
      <c r="AY5" s="182" t="s">
        <v>118</v>
      </c>
      <c r="AZ5" s="182" t="s">
        <v>109</v>
      </c>
      <c r="BA5" s="182" t="s">
        <v>104</v>
      </c>
      <c r="BB5" s="182" t="s">
        <v>87</v>
      </c>
      <c r="BC5" s="182" t="s">
        <v>999</v>
      </c>
      <c r="BD5" s="182" t="s">
        <v>1000</v>
      </c>
      <c r="BE5" s="182" t="s">
        <v>1001</v>
      </c>
      <c r="BF5" s="182" t="s">
        <v>1002</v>
      </c>
      <c r="BG5" s="182" t="s">
        <v>1003</v>
      </c>
      <c r="BH5" s="182" t="s">
        <v>1004</v>
      </c>
      <c r="BI5" s="182" t="s">
        <v>1005</v>
      </c>
      <c r="BJ5" s="182" t="s">
        <v>1006</v>
      </c>
      <c r="BK5" s="182" t="s">
        <v>1007</v>
      </c>
      <c r="BL5" s="182" t="s">
        <v>1008</v>
      </c>
      <c r="BM5" s="182" t="s">
        <v>1009</v>
      </c>
      <c r="BN5" s="182" t="s">
        <v>1010</v>
      </c>
      <c r="BO5" s="182" t="s">
        <v>1011</v>
      </c>
      <c r="BP5" s="182" t="s">
        <v>1012</v>
      </c>
      <c r="BQ5" s="182" t="s">
        <v>1013</v>
      </c>
      <c r="BR5" s="182" t="s">
        <v>1014</v>
      </c>
      <c r="BS5" s="182" t="s">
        <v>1015</v>
      </c>
      <c r="BT5" s="182" t="s">
        <v>1016</v>
      </c>
      <c r="BU5" s="182" t="s">
        <v>1017</v>
      </c>
    </row>
    <row r="6" spans="1:73" s="181" customFormat="1" ht="14.5">
      <c r="A6" s="177" t="s">
        <v>442</v>
      </c>
      <c r="B6" s="488">
        <f>GETPIVOTDATA("Value",'Ref Historic Spend'!$O$1,"Org",$B$3,"Description_1",$A6,"Month_Name",B$5)</f>
        <v>92207.638000000006</v>
      </c>
      <c r="C6" s="488">
        <f>GETPIVOTDATA("Value",'Ref Historic Spend'!$O$1,"Org",$B$3,"Description_1",$A6,"Month_Name",C$5)</f>
        <v>92031.142000000007</v>
      </c>
      <c r="D6" s="488">
        <f>GETPIVOTDATA("Value",'Ref Historic Spend'!$O$1,"Org",$B$3,"Description_1",$A6,"Month_Name",D$5)</f>
        <v>94602.399000000005</v>
      </c>
      <c r="E6" s="488">
        <f>GETPIVOTDATA("Value",'Ref Historic Spend'!$O$1,"Org",$B$3,"Description_1",$A6,"Month_Name",E$5)</f>
        <v>92247.258000000002</v>
      </c>
      <c r="F6" s="488">
        <f>GETPIVOTDATA("Value",'Ref Historic Spend'!$O$1,"Org",$B$3,"Description_1",$A6,"Month_Name",F$5)</f>
        <v>94808.403000000006</v>
      </c>
      <c r="G6" s="488">
        <f>GETPIVOTDATA("Value",'Ref Historic Spend'!$O$1,"Org",$B$3,"Description_1",$A6,"Month_Name",G$5)</f>
        <v>92814.263999999996</v>
      </c>
      <c r="H6" s="488">
        <f>GETPIVOTDATA("Value",'Ref Historic Spend'!$O$1,"Org",$B$3,"Description_1",$A6,"Month_Name",H$5)</f>
        <v>97548.347999999998</v>
      </c>
      <c r="I6" s="488">
        <f>GETPIVOTDATA("Value",'Ref Historic Spend'!$O$1,"Org",$B$3,"Description_1",$A6,"Month_Name",I$5)</f>
        <v>98348.722999999998</v>
      </c>
      <c r="J6" s="488">
        <f>GETPIVOTDATA("Value",'Ref Historic Spend'!$O$1,"Org",$B$3,"Description_1",$A6,"Month_Name",J$5)</f>
        <v>96610.054999999993</v>
      </c>
      <c r="K6" s="488">
        <f>GETPIVOTDATA("Value",'Ref Historic Spend'!$O$1,"Org",$B$3,"Description_1",$A6,"Month_Name",K$5)</f>
        <v>96765.464000000007</v>
      </c>
      <c r="L6" s="488">
        <f>GETPIVOTDATA("Value",'Ref Historic Spend'!$O$1,"Org",$B$3,"Description_1",$A6,"Month_Name",L$5)</f>
        <v>99673.877999999997</v>
      </c>
      <c r="M6" s="488">
        <f>GETPIVOTDATA("Value",'Ref Historic Spend'!$O$1,"Org",$B$3,"Description_1",$A6,"Month_Name",M$5)</f>
        <v>134278.13200000001</v>
      </c>
      <c r="N6" s="488">
        <f>GETPIVOTDATA("Value",'Ref Historic Spend'!$O$1,"Org",$B$3,"Description_1",$A6,"Month_Name",N$5)</f>
        <v>90389.698000000004</v>
      </c>
      <c r="O6" s="488">
        <f>GETPIVOTDATA("Value",'Ref Historic Spend'!$O$1,"Org",$B$3,"Description_1",$A6,"Month_Name",O$5)</f>
        <v>92347.379000000001</v>
      </c>
      <c r="P6" s="488">
        <f>GETPIVOTDATA("Value",'Ref Historic Spend'!$O$1,"Org",$B$3,"Description_1",$A6,"Month_Name",P$5)</f>
        <v>120485.352</v>
      </c>
      <c r="Q6" s="488">
        <f>GETPIVOTDATA("Value",'Ref Historic Spend'!$O$1,"Org",$B$3,"Description_1",$A6,"Month_Name",Q$5)</f>
        <v>102965.75999999999</v>
      </c>
      <c r="R6" s="488">
        <f>GETPIVOTDATA("Value",'Ref Historic Spend'!$O$1,"Org",$B$3,"Description_1",$A6,"Month_Name",R$5)</f>
        <v>94428.752999999997</v>
      </c>
      <c r="S6" s="488">
        <f>GETPIVOTDATA("Value",'Ref Historic Spend'!$O$1,"Org",$B$3,"Description_1",$A6,"Month_Name",S$5)</f>
        <v>119456.416</v>
      </c>
      <c r="T6" s="488">
        <f>GETPIVOTDATA("Value",'Ref Historic Spend'!$O$1,"Org",$B$3,"Description_1",$A6,"Month_Name",T$5)</f>
        <v>104981.7</v>
      </c>
      <c r="U6" s="488">
        <f>GETPIVOTDATA("Value",'Ref Historic Spend'!$O$1,"Org",$B$3,"Description_1",$A6,"Month_Name",U$5)</f>
        <v>101744.864</v>
      </c>
      <c r="V6" s="488">
        <f>GETPIVOTDATA("Value",'Ref Historic Spend'!$O$1,"Org",$B$3,"Description_1",$A6,"Month_Name",V$5)</f>
        <v>103501</v>
      </c>
      <c r="W6" s="488">
        <f>GETPIVOTDATA("Value",'Ref Historic Spend'!$O$1,"Org",$B$3,"Description_1",$A6,"Month_Name",W$5)</f>
        <v>104685.30899999999</v>
      </c>
      <c r="X6" s="488">
        <f>GETPIVOTDATA("Value",'Ref Historic Spend'!$O$1,"Org",$B$3,"Description_1",$A6,"Month_Name",X$5)</f>
        <v>113500.53200000001</v>
      </c>
      <c r="Y6" s="488">
        <f>GETPIVOTDATA("Value",'Ref Historic Spend'!$O$1,"Org",$B$3,"Description_1",$A6,"Month_Name",Y$5)</f>
        <v>193390.86300000001</v>
      </c>
      <c r="Z6" s="488">
        <f>GETPIVOTDATA("Value",'Ref Historic Spend'!$O$1,"Org",$B$3,"Description_1",$A6,"Month_Name",Z$5)</f>
        <v>99371.835000000006</v>
      </c>
      <c r="AA6" s="488">
        <f>GETPIVOTDATA("Value",'Ref Historic Spend'!$O$1,"Org",$B$3,"Description_1",$A6,"Month_Name",AA$5)</f>
        <v>102812.94899999999</v>
      </c>
      <c r="AB6" s="488">
        <f>GETPIVOTDATA("Value",'Ref Historic Spend'!$O$1,"Org",$B$3,"Description_1",$A6,"Month_Name",AB$5)</f>
        <v>103097.849</v>
      </c>
      <c r="AC6" s="488">
        <f>GETPIVOTDATA("Value",'Ref Historic Spend'!$O$1,"Org",$B$3,"Description_1",$A6,"Month_Name",AC$5)</f>
        <v>106767.572</v>
      </c>
      <c r="AD6" s="488">
        <f>GETPIVOTDATA("Value",'Ref Historic Spend'!$O$1,"Org",$B$3,"Description_1",$A6,"Month_Name",AD$5)</f>
        <v>107036.2</v>
      </c>
      <c r="AE6" s="488">
        <f>GETPIVOTDATA("Value",'Ref Historic Spend'!$O$1,"Org",$B$3,"Description_1",$A6,"Month_Name",AE$5)</f>
        <v>115142.643</v>
      </c>
      <c r="AF6" s="488">
        <f>GETPIVOTDATA("Value",'Ref Historic Spend'!$O$1,"Org",$B$3,"Description_1",$A6,"Month_Name",AF$5)</f>
        <v>108473.202</v>
      </c>
      <c r="AG6" s="488">
        <f>GETPIVOTDATA("Value",'Ref Historic Spend'!$O$1,"Org",$B$3,"Description_1",$A6,"Month_Name",AG$5)</f>
        <v>109853.92600000001</v>
      </c>
      <c r="AH6" s="488">
        <f>GETPIVOTDATA("Value",'Ref Historic Spend'!$O$1,"Org",$B$3,"Description_1",$A6,"Month_Name",AH$5)</f>
        <v>112807.57</v>
      </c>
      <c r="AI6" s="488">
        <f>GETPIVOTDATA("Value",'Ref Historic Spend'!$O$1,"Org",$B$3,"Description_1",$A6,"Month_Name",AI$5)</f>
        <v>117061.141</v>
      </c>
      <c r="AJ6" s="488">
        <f>GETPIVOTDATA("Value",'Ref Historic Spend'!$O$1,"Org",$B$3,"Description_1",$A6,"Month_Name",AJ$5)</f>
        <v>112458.35</v>
      </c>
      <c r="AK6" s="488">
        <f>GETPIVOTDATA("Value",'Ref Historic Spend'!$O$1,"Org",$B$3,"Description_1",$A6,"Month_Name",AK$5)</f>
        <v>180314.53</v>
      </c>
      <c r="AL6" s="488">
        <f>GETPIVOTDATA("Value",'Ref Historic Spend'!$O$1,"Org",$B$3,"Description_1",$A6,"Month_Name",AL$5)</f>
        <v>100674.02099999999</v>
      </c>
      <c r="AM6" s="488">
        <f>GETPIVOTDATA("Value",'Ref Historic Spend'!$O$1,"Org",$B$3,"Description_1",$A6,"Month_Name",AM$5)</f>
        <v>113088.36199999999</v>
      </c>
      <c r="AN6" s="488">
        <f>GETPIVOTDATA("Value",'Ref Historic Spend'!$O$1,"Org",$B$3,"Description_1",$A6,"Month_Name",AN$5)</f>
        <v>111954.19100000001</v>
      </c>
      <c r="AO6" s="488">
        <f>GETPIVOTDATA("Value",'Ref Historic Spend'!$O$1,"Org",$B$3,"Description_1",$A6,"Month_Name",AO$5)</f>
        <v>119781.27</v>
      </c>
      <c r="AP6" s="488">
        <f>GETPIVOTDATA("Value",'Ref Historic Spend'!$O$1,"Org",$B$3,"Description_1",$A6,"Month_Name",AP$5)</f>
        <v>115410.946</v>
      </c>
      <c r="AQ6" s="488">
        <f>GETPIVOTDATA("Value",'Ref Historic Spend'!$O$1,"Org",$B$3,"Description_1",$A6,"Month_Name",AQ$5)</f>
        <v>130184.072</v>
      </c>
      <c r="AR6" s="488">
        <f>GETPIVOTDATA("Value",'Ref Historic Spend'!$O$1,"Org",$B$3,"Description_1",$A6,"Month_Name",AR$5)</f>
        <v>119703.929</v>
      </c>
      <c r="AS6" s="488">
        <f>GETPIVOTDATA("Value",'Ref Historic Spend'!$O$1,"Org",$B$3,"Description_1",$A6,"Month_Name",AS$5)</f>
        <v>119662.30899999999</v>
      </c>
      <c r="AT6" s="488">
        <f>GETPIVOTDATA("Value",'Ref Historic Spend'!$O$1,"Org",$B$3,"Description_1",$A6,"Month_Name",AT$5)</f>
        <v>111028.818</v>
      </c>
      <c r="AU6" s="488">
        <f>GETPIVOTDATA("Value",'Ref Historic Spend'!$O$1,"Org",$B$3,"Description_1",$A6,"Month_Name",AU$5)</f>
        <v>119133.118</v>
      </c>
      <c r="AV6" s="488">
        <f>GETPIVOTDATA("Value",'Ref Historic Spend'!$O$1,"Org",$B$3,"Description_1",$A6,"Month_Name",AV$5)</f>
        <v>122193.465</v>
      </c>
      <c r="AW6" s="488">
        <f>GETPIVOTDATA("Value",'Ref Historic Spend'!$O$1,"Org",$B$3,"Description_1",$A6,"Month_Name",AW$5)</f>
        <v>174367.85699999999</v>
      </c>
      <c r="AX6" s="489">
        <f>'F2 - Net Expenditure'!H11</f>
        <v>99743.744999999995</v>
      </c>
      <c r="AY6" s="489">
        <f>'F2 - Net Expenditure'!I11</f>
        <v>105619.35800000001</v>
      </c>
      <c r="AZ6" s="489">
        <f>'F2 - Net Expenditure'!J11</f>
        <v>124152.56299999997</v>
      </c>
      <c r="BA6" s="489">
        <f>'F2 - Net Expenditure'!K11</f>
        <v>124228.40300000002</v>
      </c>
      <c r="BB6" s="489">
        <f>'F2 - Net Expenditure'!L11</f>
        <v>113821.038</v>
      </c>
      <c r="BC6" s="489">
        <f>'F2 - Net Expenditure'!M11</f>
        <v>113158.63800000004</v>
      </c>
      <c r="BD6" s="489">
        <f>'F2 - Net Expenditure'!N11</f>
        <v>155915.54300000006</v>
      </c>
      <c r="BE6" s="489">
        <f>'F2 - Net Expenditure'!O11</f>
        <v>127062.38099999992</v>
      </c>
      <c r="BF6" s="489">
        <f>'F2 - Net Expenditure'!P11</f>
        <v>125075.29800000002</v>
      </c>
      <c r="BG6" s="489">
        <f>'F2 - Net Expenditure'!Q11</f>
        <v>133401.065</v>
      </c>
      <c r="BH6" s="489">
        <f>'F2 - Net Expenditure'!R11</f>
        <v>134352.96700000006</v>
      </c>
      <c r="BI6" s="489">
        <f>'F2 - Net Expenditure'!S11</f>
        <v>157799.32944000003</v>
      </c>
      <c r="BJ6" s="489">
        <f>'F2 - Net Expenditure'!U11</f>
        <v>126524.63950592591</v>
      </c>
      <c r="BK6" s="489">
        <f>'F2 - Net Expenditure'!V11</f>
        <v>126524.63950592591</v>
      </c>
      <c r="BL6" s="489">
        <f>'F2 - Net Expenditure'!W11</f>
        <v>126524.63950592591</v>
      </c>
      <c r="BM6" s="489">
        <f>'F2 - Net Expenditure'!X11</f>
        <v>126524.63950592591</v>
      </c>
      <c r="BN6" s="489">
        <f>'F2 - Net Expenditure'!Y11</f>
        <v>126524.63950592591</v>
      </c>
      <c r="BO6" s="489">
        <f>'F2 - Net Expenditure'!Z11</f>
        <v>126524.63950592591</v>
      </c>
      <c r="BP6" s="489">
        <f>'F2 - Net Expenditure'!AA11</f>
        <v>126524.63950592591</v>
      </c>
      <c r="BQ6" s="489">
        <f>'F2 - Net Expenditure'!AB11</f>
        <v>126524.63950592591</v>
      </c>
      <c r="BR6" s="489">
        <f>'F2 - Net Expenditure'!AC11</f>
        <v>126524.63950592591</v>
      </c>
      <c r="BS6" s="489">
        <f>'F2 - Net Expenditure'!AD11</f>
        <v>126524.63950592591</v>
      </c>
      <c r="BT6" s="489">
        <f>'F2 - Net Expenditure'!AE11</f>
        <v>126524.63950592591</v>
      </c>
      <c r="BU6" s="489">
        <f>'F2 - Net Expenditure'!AF11</f>
        <v>126808.63950592591</v>
      </c>
    </row>
    <row r="7" spans="1:73" s="181" customFormat="1" ht="14.5">
      <c r="A7" s="177" t="s">
        <v>1018</v>
      </c>
      <c r="B7" s="488">
        <f>IF(LEFT(B$5,3)="Mar",VLOOKUP($B$3&amp;"_"&amp;B$5,'Ref Historic Spend'!$I:$L,4,FALSE),0)</f>
        <v>0</v>
      </c>
      <c r="C7" s="488">
        <f>IF(LEFT(C$5,3)="Mar",VLOOKUP($B$3&amp;"_"&amp;C$5,'Ref Historic Spend'!$I:$L,4,FALSE),0)</f>
        <v>0</v>
      </c>
      <c r="D7" s="488">
        <f>IF(LEFT(D$5,3)="Mar",VLOOKUP($B$3&amp;"_"&amp;D$5,'Ref Historic Spend'!$I:$L,4,FALSE),0)</f>
        <v>0</v>
      </c>
      <c r="E7" s="488">
        <f>IF(LEFT(E$5,3)="Mar",VLOOKUP($B$3&amp;"_"&amp;E$5,'Ref Historic Spend'!$I:$L,4,FALSE),0)</f>
        <v>0</v>
      </c>
      <c r="F7" s="488">
        <f>IF(LEFT(F$5,3)="Mar",VLOOKUP($B$3&amp;"_"&amp;F$5,'Ref Historic Spend'!$I:$L,4,FALSE),0)</f>
        <v>0</v>
      </c>
      <c r="G7" s="488">
        <f>IF(LEFT(G$5,3)="Mar",VLOOKUP($B$3&amp;"_"&amp;G$5,'Ref Historic Spend'!$I:$L,4,FALSE),0)</f>
        <v>0</v>
      </c>
      <c r="H7" s="488">
        <f>IF(LEFT(H$5,3)="Mar",VLOOKUP($B$3&amp;"_"&amp;H$5,'Ref Historic Spend'!$I:$L,4,FALSE),0)</f>
        <v>0</v>
      </c>
      <c r="I7" s="488">
        <f>IF(LEFT(I$5,3)="Mar",VLOOKUP($B$3&amp;"_"&amp;I$5,'Ref Historic Spend'!$I:$L,4,FALSE),0)</f>
        <v>0</v>
      </c>
      <c r="J7" s="488">
        <f>IF(LEFT(J$5,3)="Mar",VLOOKUP($B$3&amp;"_"&amp;J$5,'Ref Historic Spend'!$I:$L,4,FALSE),0)</f>
        <v>0</v>
      </c>
      <c r="K7" s="488">
        <f>IF(LEFT(K$5,3)="Mar",VLOOKUP($B$3&amp;"_"&amp;K$5,'Ref Historic Spend'!$I:$L,4,FALSE),0)</f>
        <v>0</v>
      </c>
      <c r="L7" s="488">
        <f>IF(LEFT(L$5,3)="Mar",VLOOKUP($B$3&amp;"_"&amp;L$5,'Ref Historic Spend'!$I:$L,4,FALSE),0)</f>
        <v>0</v>
      </c>
      <c r="M7" s="488">
        <f>IF(LEFT(M$5,3)="Mar",VLOOKUP($B$3&amp;"_"&amp;M$5,'Ref Historic Spend'!$I:$L,4,FALSE),0)</f>
        <v>23584</v>
      </c>
      <c r="N7" s="488">
        <f>IF(LEFT(N$5,3)="Mar",VLOOKUP($B$3&amp;"_"&amp;N$5,'Ref Historic Spend'!$I:$L,4,FALSE),0)</f>
        <v>0</v>
      </c>
      <c r="O7" s="488">
        <f>IF(LEFT(O$5,3)="Mar",VLOOKUP($B$3&amp;"_"&amp;O$5,'Ref Historic Spend'!$I:$L,4,FALSE),0)</f>
        <v>0</v>
      </c>
      <c r="P7" s="488">
        <f>IF(LEFT(P$5,3)="Mar",VLOOKUP($B$3&amp;"_"&amp;P$5,'Ref Historic Spend'!$I:$L,4,FALSE),0)</f>
        <v>0</v>
      </c>
      <c r="Q7" s="488">
        <f>IF(LEFT(Q$5,3)="Mar",VLOOKUP($B$3&amp;"_"&amp;Q$5,'Ref Historic Spend'!$I:$L,4,FALSE),0)</f>
        <v>0</v>
      </c>
      <c r="R7" s="488">
        <f>IF(LEFT(R$5,3)="Mar",VLOOKUP($B$3&amp;"_"&amp;R$5,'Ref Historic Spend'!$I:$L,4,FALSE),0)</f>
        <v>0</v>
      </c>
      <c r="S7" s="488">
        <f>IF(LEFT(S$5,3)="Mar",VLOOKUP($B$3&amp;"_"&amp;S$5,'Ref Historic Spend'!$I:$L,4,FALSE),0)</f>
        <v>0</v>
      </c>
      <c r="T7" s="488">
        <f>IF(LEFT(T$5,3)="Mar",VLOOKUP($B$3&amp;"_"&amp;T$5,'Ref Historic Spend'!$I:$L,4,FALSE),0)</f>
        <v>0</v>
      </c>
      <c r="U7" s="488">
        <f>IF(LEFT(U$5,3)="Mar",VLOOKUP($B$3&amp;"_"&amp;U$5,'Ref Historic Spend'!$I:$L,4,FALSE),0)</f>
        <v>0</v>
      </c>
      <c r="V7" s="488">
        <f>IF(LEFT(V$5,3)="Mar",VLOOKUP($B$3&amp;"_"&amp;V$5,'Ref Historic Spend'!$I:$L,4,FALSE),0)</f>
        <v>0</v>
      </c>
      <c r="W7" s="488">
        <f>IF(LEFT(W$5,3)="Mar",VLOOKUP($B$3&amp;"_"&amp;W$5,'Ref Historic Spend'!$I:$L,4,FALSE),0)</f>
        <v>0</v>
      </c>
      <c r="X7" s="488">
        <f>IF(LEFT(X$5,3)="Mar",VLOOKUP($B$3&amp;"_"&amp;X$5,'Ref Historic Spend'!$I:$L,4,FALSE),0)</f>
        <v>0</v>
      </c>
      <c r="Y7" s="488">
        <f>IF(LEFT(Y$5,3)="Mar",VLOOKUP($B$3&amp;"_"&amp;Y$5,'Ref Historic Spend'!$I:$L,4,FALSE),0)</f>
        <v>25321</v>
      </c>
      <c r="Z7" s="488">
        <f>IF(LEFT(Z$5,3)="Mar",VLOOKUP($B$3&amp;"_"&amp;Z$5,'Ref Historic Spend'!$I:$L,4,FALSE),0)</f>
        <v>0</v>
      </c>
      <c r="AA7" s="488">
        <f>IF(LEFT(AA$5,3)="Mar",VLOOKUP($B$3&amp;"_"&amp;AA$5,'Ref Historic Spend'!$I:$L,4,FALSE),0)</f>
        <v>0</v>
      </c>
      <c r="AB7" s="488">
        <f>IF(LEFT(AB$5,3)="Mar",VLOOKUP($B$3&amp;"_"&amp;AB$5,'Ref Historic Spend'!$I:$L,4,FALSE),0)</f>
        <v>0</v>
      </c>
      <c r="AC7" s="488">
        <f>IF(LEFT(AC$5,3)="Mar",VLOOKUP($B$3&amp;"_"&amp;AC$5,'Ref Historic Spend'!$I:$L,4,FALSE),0)</f>
        <v>0</v>
      </c>
      <c r="AD7" s="488">
        <f>IF(LEFT(AD$5,3)="Mar",VLOOKUP($B$3&amp;"_"&amp;AD$5,'Ref Historic Spend'!$I:$L,4,FALSE),0)</f>
        <v>0</v>
      </c>
      <c r="AE7" s="488">
        <f>IF(LEFT(AE$5,3)="Mar",VLOOKUP($B$3&amp;"_"&amp;AE$5,'Ref Historic Spend'!$I:$L,4,FALSE),0)</f>
        <v>0</v>
      </c>
      <c r="AF7" s="488">
        <f>IF(LEFT(AF$5,3)="Mar",VLOOKUP($B$3&amp;"_"&amp;AF$5,'Ref Historic Spend'!$I:$L,4,FALSE),0)</f>
        <v>0</v>
      </c>
      <c r="AG7" s="488">
        <f>IF(LEFT(AG$5,3)="Mar",VLOOKUP($B$3&amp;"_"&amp;AG$5,'Ref Historic Spend'!$I:$L,4,FALSE),0)</f>
        <v>0</v>
      </c>
      <c r="AH7" s="488">
        <f>IF(LEFT(AH$5,3)="Mar",VLOOKUP($B$3&amp;"_"&amp;AH$5,'Ref Historic Spend'!$I:$L,4,FALSE),0)</f>
        <v>0</v>
      </c>
      <c r="AI7" s="488">
        <f>IF(LEFT(AI$5,3)="Mar",VLOOKUP($B$3&amp;"_"&amp;AI$5,'Ref Historic Spend'!$I:$L,4,FALSE),0)</f>
        <v>0</v>
      </c>
      <c r="AJ7" s="488">
        <f>IF(LEFT(AJ$5,3)="Mar",VLOOKUP($B$3&amp;"_"&amp;AJ$5,'Ref Historic Spend'!$I:$L,4,FALSE),0)</f>
        <v>0</v>
      </c>
      <c r="AK7" s="488">
        <f>IF(LEFT(AK$5,3)="Mar",VLOOKUP($B$3&amp;"_"&amp;AK$5,'Ref Historic Spend'!$I:$L,4,FALSE),0)</f>
        <v>26782</v>
      </c>
      <c r="AL7" s="488">
        <f>IF(LEFT(AL$5,3)="Mar",VLOOKUP($B$3&amp;"_"&amp;AL$5,'Ref Historic Spend'!$I:$L,4,FALSE),0)</f>
        <v>0</v>
      </c>
      <c r="AM7" s="488">
        <f>IF(LEFT(AM$5,3)="Mar",VLOOKUP($B$3&amp;"_"&amp;AM$5,'Ref Historic Spend'!$I:$L,4,FALSE),0)</f>
        <v>0</v>
      </c>
      <c r="AN7" s="488">
        <f>IF(LEFT(AN$5,3)="Mar",VLOOKUP($B$3&amp;"_"&amp;AN$5,'Ref Historic Spend'!$I:$L,4,FALSE),0)</f>
        <v>0</v>
      </c>
      <c r="AO7" s="488">
        <f>IF(LEFT(AO$5,3)="Mar",VLOOKUP($B$3&amp;"_"&amp;AO$5,'Ref Historic Spend'!$I:$L,4,FALSE),0)</f>
        <v>0</v>
      </c>
      <c r="AP7" s="488">
        <f>IF(LEFT(AP$5,3)="Mar",VLOOKUP($B$3&amp;"_"&amp;AP$5,'Ref Historic Spend'!$I:$L,4,FALSE),0)</f>
        <v>0</v>
      </c>
      <c r="AQ7" s="488">
        <f>IF(LEFT(AQ$5,3)="Mar",VLOOKUP($B$3&amp;"_"&amp;AQ$5,'Ref Historic Spend'!$I:$L,4,FALSE),0)</f>
        <v>0</v>
      </c>
      <c r="AR7" s="488">
        <f>IF(LEFT(AR$5,3)="Mar",VLOOKUP($B$3&amp;"_"&amp;AR$5,'Ref Historic Spend'!$I:$L,4,FALSE),0)</f>
        <v>0</v>
      </c>
      <c r="AS7" s="488">
        <f>IF(LEFT(AS$5,3)="Mar",VLOOKUP($B$3&amp;"_"&amp;AS$5,'Ref Historic Spend'!$I:$L,4,FALSE),0)</f>
        <v>0</v>
      </c>
      <c r="AT7" s="488">
        <f>IF(LEFT(AT$5,3)="Mar",VLOOKUP($B$3&amp;"_"&amp;AT$5,'Ref Historic Spend'!$I:$L,4,FALSE),0)</f>
        <v>0</v>
      </c>
      <c r="AU7" s="488">
        <f>IF(LEFT(AU$5,3)="Mar",VLOOKUP($B$3&amp;"_"&amp;AU$5,'Ref Historic Spend'!$I:$L,4,FALSE),0)</f>
        <v>0</v>
      </c>
      <c r="AV7" s="488">
        <f>IF(LEFT(AV$5,3)="Mar",VLOOKUP($B$3&amp;"_"&amp;AV$5,'Ref Historic Spend'!$I:$L,4,FALSE),0)</f>
        <v>0</v>
      </c>
      <c r="AW7" s="488">
        <f>IF(LEFT(AW$5,3)="Mar",VLOOKUP($B$3&amp;"_"&amp;AW$5,'Ref Historic Spend'!$I:$L,4,FALSE),0)</f>
        <v>28483</v>
      </c>
      <c r="AX7" s="489"/>
      <c r="AY7" s="489"/>
      <c r="AZ7" s="489"/>
      <c r="BA7" s="489"/>
      <c r="BB7" s="489"/>
      <c r="BC7" s="489"/>
      <c r="BD7" s="489"/>
      <c r="BE7" s="489"/>
      <c r="BF7" s="489"/>
      <c r="BG7" s="489"/>
      <c r="BH7" s="489"/>
      <c r="BI7" s="489"/>
      <c r="BJ7" s="489"/>
      <c r="BK7" s="489"/>
      <c r="BL7" s="489"/>
      <c r="BM7" s="489"/>
      <c r="BN7" s="489"/>
      <c r="BO7" s="489"/>
      <c r="BP7" s="489"/>
      <c r="BQ7" s="489"/>
      <c r="BR7" s="489"/>
      <c r="BS7" s="489"/>
      <c r="BT7" s="489"/>
      <c r="BU7" s="489"/>
    </row>
    <row r="8" spans="1:73" s="181" customFormat="1" ht="14.5">
      <c r="A8" s="177" t="s">
        <v>1019</v>
      </c>
      <c r="B8" s="488">
        <f t="shared" ref="B8" si="0">B6-B7</f>
        <v>92207.638000000006</v>
      </c>
      <c r="C8" s="488">
        <f t="shared" ref="C8:AW8" si="1">C6-C7</f>
        <v>92031.142000000007</v>
      </c>
      <c r="D8" s="488">
        <f t="shared" si="1"/>
        <v>94602.399000000005</v>
      </c>
      <c r="E8" s="488">
        <f t="shared" si="1"/>
        <v>92247.258000000002</v>
      </c>
      <c r="F8" s="488">
        <f t="shared" si="1"/>
        <v>94808.403000000006</v>
      </c>
      <c r="G8" s="488">
        <f t="shared" si="1"/>
        <v>92814.263999999996</v>
      </c>
      <c r="H8" s="488">
        <f t="shared" si="1"/>
        <v>97548.347999999998</v>
      </c>
      <c r="I8" s="488">
        <f t="shared" si="1"/>
        <v>98348.722999999998</v>
      </c>
      <c r="J8" s="488">
        <f t="shared" si="1"/>
        <v>96610.054999999993</v>
      </c>
      <c r="K8" s="488">
        <f t="shared" si="1"/>
        <v>96765.464000000007</v>
      </c>
      <c r="L8" s="488">
        <f t="shared" si="1"/>
        <v>99673.877999999997</v>
      </c>
      <c r="M8" s="488">
        <f t="shared" si="1"/>
        <v>110694.13200000001</v>
      </c>
      <c r="N8" s="488">
        <f t="shared" si="1"/>
        <v>90389.698000000004</v>
      </c>
      <c r="O8" s="488">
        <f t="shared" si="1"/>
        <v>92347.379000000001</v>
      </c>
      <c r="P8" s="488">
        <f t="shared" si="1"/>
        <v>120485.352</v>
      </c>
      <c r="Q8" s="488">
        <f t="shared" si="1"/>
        <v>102965.75999999999</v>
      </c>
      <c r="R8" s="488">
        <f t="shared" si="1"/>
        <v>94428.752999999997</v>
      </c>
      <c r="S8" s="488">
        <f t="shared" si="1"/>
        <v>119456.416</v>
      </c>
      <c r="T8" s="488">
        <f t="shared" si="1"/>
        <v>104981.7</v>
      </c>
      <c r="U8" s="488">
        <f t="shared" si="1"/>
        <v>101744.864</v>
      </c>
      <c r="V8" s="488">
        <f t="shared" si="1"/>
        <v>103501</v>
      </c>
      <c r="W8" s="488">
        <f t="shared" si="1"/>
        <v>104685.30899999999</v>
      </c>
      <c r="X8" s="488">
        <f t="shared" si="1"/>
        <v>113500.53200000001</v>
      </c>
      <c r="Y8" s="488">
        <f t="shared" si="1"/>
        <v>168069.86300000001</v>
      </c>
      <c r="Z8" s="488">
        <f t="shared" si="1"/>
        <v>99371.835000000006</v>
      </c>
      <c r="AA8" s="488">
        <f t="shared" si="1"/>
        <v>102812.94899999999</v>
      </c>
      <c r="AB8" s="488">
        <f t="shared" si="1"/>
        <v>103097.849</v>
      </c>
      <c r="AC8" s="488">
        <f t="shared" si="1"/>
        <v>106767.572</v>
      </c>
      <c r="AD8" s="488">
        <f t="shared" si="1"/>
        <v>107036.2</v>
      </c>
      <c r="AE8" s="488">
        <f t="shared" si="1"/>
        <v>115142.643</v>
      </c>
      <c r="AF8" s="488">
        <f t="shared" si="1"/>
        <v>108473.202</v>
      </c>
      <c r="AG8" s="488">
        <f t="shared" si="1"/>
        <v>109853.92600000001</v>
      </c>
      <c r="AH8" s="488">
        <f t="shared" si="1"/>
        <v>112807.57</v>
      </c>
      <c r="AI8" s="488">
        <f t="shared" si="1"/>
        <v>117061.141</v>
      </c>
      <c r="AJ8" s="488">
        <f t="shared" si="1"/>
        <v>112458.35</v>
      </c>
      <c r="AK8" s="488">
        <f t="shared" si="1"/>
        <v>153532.53</v>
      </c>
      <c r="AL8" s="488">
        <f t="shared" si="1"/>
        <v>100674.02099999999</v>
      </c>
      <c r="AM8" s="488">
        <f t="shared" si="1"/>
        <v>113088.36199999999</v>
      </c>
      <c r="AN8" s="488">
        <f t="shared" si="1"/>
        <v>111954.19100000001</v>
      </c>
      <c r="AO8" s="488">
        <f t="shared" si="1"/>
        <v>119781.27</v>
      </c>
      <c r="AP8" s="488">
        <f t="shared" si="1"/>
        <v>115410.946</v>
      </c>
      <c r="AQ8" s="488">
        <f t="shared" si="1"/>
        <v>130184.072</v>
      </c>
      <c r="AR8" s="488">
        <f t="shared" si="1"/>
        <v>119703.929</v>
      </c>
      <c r="AS8" s="488">
        <f t="shared" si="1"/>
        <v>119662.30899999999</v>
      </c>
      <c r="AT8" s="488">
        <f t="shared" si="1"/>
        <v>111028.818</v>
      </c>
      <c r="AU8" s="488">
        <f t="shared" si="1"/>
        <v>119133.118</v>
      </c>
      <c r="AV8" s="488">
        <f t="shared" si="1"/>
        <v>122193.465</v>
      </c>
      <c r="AW8" s="488">
        <f t="shared" si="1"/>
        <v>145884.85699999999</v>
      </c>
      <c r="AX8" s="489">
        <f>AX6-AX7</f>
        <v>99743.744999999995</v>
      </c>
      <c r="AY8" s="489">
        <f t="shared" ref="AY8:BU8" si="2">AY6-AY7</f>
        <v>105619.35800000001</v>
      </c>
      <c r="AZ8" s="489">
        <f t="shared" si="2"/>
        <v>124152.56299999997</v>
      </c>
      <c r="BA8" s="489">
        <f t="shared" si="2"/>
        <v>124228.40300000002</v>
      </c>
      <c r="BB8" s="489">
        <f t="shared" si="2"/>
        <v>113821.038</v>
      </c>
      <c r="BC8" s="489">
        <f t="shared" si="2"/>
        <v>113158.63800000004</v>
      </c>
      <c r="BD8" s="489">
        <f t="shared" si="2"/>
        <v>155915.54300000006</v>
      </c>
      <c r="BE8" s="489">
        <f t="shared" si="2"/>
        <v>127062.38099999992</v>
      </c>
      <c r="BF8" s="489">
        <f t="shared" si="2"/>
        <v>125075.29800000002</v>
      </c>
      <c r="BG8" s="489">
        <f t="shared" si="2"/>
        <v>133401.065</v>
      </c>
      <c r="BH8" s="489">
        <f t="shared" si="2"/>
        <v>134352.96700000006</v>
      </c>
      <c r="BI8" s="489">
        <f t="shared" si="2"/>
        <v>157799.32944000003</v>
      </c>
      <c r="BJ8" s="489">
        <f t="shared" si="2"/>
        <v>126524.63950592591</v>
      </c>
      <c r="BK8" s="489">
        <f t="shared" si="2"/>
        <v>126524.63950592591</v>
      </c>
      <c r="BL8" s="489">
        <f t="shared" si="2"/>
        <v>126524.63950592591</v>
      </c>
      <c r="BM8" s="489">
        <f t="shared" si="2"/>
        <v>126524.63950592591</v>
      </c>
      <c r="BN8" s="489">
        <f t="shared" si="2"/>
        <v>126524.63950592591</v>
      </c>
      <c r="BO8" s="489">
        <f t="shared" si="2"/>
        <v>126524.63950592591</v>
      </c>
      <c r="BP8" s="489">
        <f t="shared" si="2"/>
        <v>126524.63950592591</v>
      </c>
      <c r="BQ8" s="489">
        <f t="shared" si="2"/>
        <v>126524.63950592591</v>
      </c>
      <c r="BR8" s="489">
        <f t="shared" si="2"/>
        <v>126524.63950592591</v>
      </c>
      <c r="BS8" s="489">
        <f t="shared" si="2"/>
        <v>126524.63950592591</v>
      </c>
      <c r="BT8" s="489">
        <f t="shared" si="2"/>
        <v>126524.63950592591</v>
      </c>
      <c r="BU8" s="489">
        <f t="shared" si="2"/>
        <v>126808.63950592591</v>
      </c>
    </row>
    <row r="9" spans="1:73">
      <c r="A9" s="175"/>
      <c r="B9" s="490"/>
      <c r="C9" s="490"/>
      <c r="D9" s="490"/>
      <c r="E9" s="490"/>
      <c r="F9" s="490"/>
      <c r="G9" s="490"/>
      <c r="H9" s="490"/>
      <c r="I9" s="490"/>
      <c r="J9" s="490"/>
      <c r="K9" s="490"/>
      <c r="L9" s="490"/>
      <c r="M9" s="490"/>
      <c r="N9" s="490"/>
      <c r="O9" s="490"/>
      <c r="P9" s="490"/>
      <c r="Q9" s="490"/>
      <c r="R9" s="490"/>
      <c r="S9" s="490"/>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90"/>
      <c r="AX9" s="273"/>
      <c r="AY9" s="273"/>
      <c r="AZ9" s="273"/>
      <c r="BA9" s="273"/>
      <c r="BB9" s="273"/>
      <c r="BC9" s="273"/>
      <c r="BD9" s="273"/>
      <c r="BE9" s="273"/>
      <c r="BF9" s="273"/>
      <c r="BG9" s="273"/>
      <c r="BH9" s="273"/>
      <c r="BI9" s="273"/>
      <c r="BJ9" s="273"/>
      <c r="BK9" s="273"/>
      <c r="BL9" s="273"/>
      <c r="BM9" s="273"/>
      <c r="BN9" s="273"/>
      <c r="BO9" s="273"/>
      <c r="BP9" s="273"/>
      <c r="BQ9" s="273"/>
      <c r="BR9" s="273"/>
      <c r="BS9" s="273"/>
      <c r="BT9" s="273"/>
      <c r="BU9" s="273"/>
    </row>
    <row r="10" spans="1:73" s="181" customFormat="1" ht="14.5">
      <c r="A10" s="177" t="s">
        <v>433</v>
      </c>
      <c r="B10" s="488">
        <f>GETPIVOTDATA("Value",'Ref Historic Spend'!$O$1,"Org",$B$3,"Description_1",$A10,"Month_Name",B$5)</f>
        <v>44989.853000000003</v>
      </c>
      <c r="C10" s="488">
        <f>GETPIVOTDATA("Value",'Ref Historic Spend'!$O$1,"Org",$B$3,"Description_1",$A10,"Month_Name",C$5)</f>
        <v>45145.612999999998</v>
      </c>
      <c r="D10" s="488">
        <f>GETPIVOTDATA("Value",'Ref Historic Spend'!$O$1,"Org",$B$3,"Description_1",$A10,"Month_Name",D$5)</f>
        <v>44904.81</v>
      </c>
      <c r="E10" s="488">
        <f>GETPIVOTDATA("Value",'Ref Historic Spend'!$O$1,"Org",$B$3,"Description_1",$A10,"Month_Name",E$5)</f>
        <v>44255.51</v>
      </c>
      <c r="F10" s="488">
        <f>GETPIVOTDATA("Value",'Ref Historic Spend'!$O$1,"Org",$B$3,"Description_1",$A10,"Month_Name",F$5)</f>
        <v>45213.09</v>
      </c>
      <c r="G10" s="488">
        <f>GETPIVOTDATA("Value",'Ref Historic Spend'!$O$1,"Org",$B$3,"Description_1",$A10,"Month_Name",G$5)</f>
        <v>44015.006999999998</v>
      </c>
      <c r="H10" s="488">
        <f>GETPIVOTDATA("Value",'Ref Historic Spend'!$O$1,"Org",$B$3,"Description_1",$A10,"Month_Name",H$5)</f>
        <v>45849.432999999997</v>
      </c>
      <c r="I10" s="488">
        <f>GETPIVOTDATA("Value",'Ref Historic Spend'!$O$1,"Org",$B$3,"Description_1",$A10,"Month_Name",I$5)</f>
        <v>45156.236999999899</v>
      </c>
      <c r="J10" s="488">
        <f>GETPIVOTDATA("Value",'Ref Historic Spend'!$O$1,"Org",$B$3,"Description_1",$A10,"Month_Name",J$5)</f>
        <v>44729.95</v>
      </c>
      <c r="K10" s="488">
        <f>GETPIVOTDATA("Value",'Ref Historic Spend'!$O$1,"Org",$B$3,"Description_1",$A10,"Month_Name",K$5)</f>
        <v>44977.838000000003</v>
      </c>
      <c r="L10" s="488">
        <f>GETPIVOTDATA("Value",'Ref Historic Spend'!$O$1,"Org",$B$3,"Description_1",$A10,"Month_Name",L$5)</f>
        <v>47527.355000000003</v>
      </c>
      <c r="M10" s="488">
        <f>GETPIVOTDATA("Value",'Ref Historic Spend'!$O$1,"Org",$B$3,"Description_1",$A10,"Month_Name",M$5)</f>
        <v>69730.870999999999</v>
      </c>
      <c r="N10" s="488">
        <f>GETPIVOTDATA("Value",'Ref Historic Spend'!$O$1,"Org",$B$3,"Description_1",$A10,"Month_Name",N$5)</f>
        <v>45794.502</v>
      </c>
      <c r="O10" s="488">
        <f>GETPIVOTDATA("Value",'Ref Historic Spend'!$O$1,"Org",$B$3,"Description_1",$A10,"Month_Name",O$5)</f>
        <v>48892.273000000001</v>
      </c>
      <c r="P10" s="488">
        <f>GETPIVOTDATA("Value",'Ref Historic Spend'!$O$1,"Org",$B$3,"Description_1",$A10,"Month_Name",P$5)</f>
        <v>48286.326000000001</v>
      </c>
      <c r="Q10" s="488">
        <f>GETPIVOTDATA("Value",'Ref Historic Spend'!$O$1,"Org",$B$3,"Description_1",$A10,"Month_Name",Q$5)</f>
        <v>47391.203999999998</v>
      </c>
      <c r="R10" s="488">
        <f>GETPIVOTDATA("Value",'Ref Historic Spend'!$O$1,"Org",$B$3,"Description_1",$A10,"Month_Name",R$5)</f>
        <v>48099.415999999997</v>
      </c>
      <c r="S10" s="488">
        <f>GETPIVOTDATA("Value",'Ref Historic Spend'!$O$1,"Org",$B$3,"Description_1",$A10,"Month_Name",S$5)</f>
        <v>47453.936000000002</v>
      </c>
      <c r="T10" s="488">
        <f>GETPIVOTDATA("Value",'Ref Historic Spend'!$O$1,"Org",$B$3,"Description_1",$A10,"Month_Name",T$5)</f>
        <v>51615.071000000004</v>
      </c>
      <c r="U10" s="488">
        <f>GETPIVOTDATA("Value",'Ref Historic Spend'!$O$1,"Org",$B$3,"Description_1",$A10,"Month_Name",U$5)</f>
        <v>48462.625</v>
      </c>
      <c r="V10" s="488">
        <f>GETPIVOTDATA("Value",'Ref Historic Spend'!$O$1,"Org",$B$3,"Description_1",$A10,"Month_Name",V$5)</f>
        <v>49294.923999999999</v>
      </c>
      <c r="W10" s="488">
        <f>GETPIVOTDATA("Value",'Ref Historic Spend'!$O$1,"Org",$B$3,"Description_1",$A10,"Month_Name",W$5)</f>
        <v>51509.915999999997</v>
      </c>
      <c r="X10" s="488">
        <f>GETPIVOTDATA("Value",'Ref Historic Spend'!$O$1,"Org",$B$3,"Description_1",$A10,"Month_Name",X$5)</f>
        <v>50741.074000000001</v>
      </c>
      <c r="Y10" s="488">
        <f>GETPIVOTDATA("Value",'Ref Historic Spend'!$O$1,"Org",$B$3,"Description_1",$A10,"Month_Name",Y$5)</f>
        <v>110729.932</v>
      </c>
      <c r="Z10" s="488">
        <f>GETPIVOTDATA("Value",'Ref Historic Spend'!$O$1,"Org",$B$3,"Description_1",$A10,"Month_Name",Z$5)</f>
        <v>49002.392999999996</v>
      </c>
      <c r="AA10" s="488">
        <f>GETPIVOTDATA("Value",'Ref Historic Spend'!$O$1,"Org",$B$3,"Description_1",$A10,"Month_Name",AA$5)</f>
        <v>49071.368000000002</v>
      </c>
      <c r="AB10" s="488">
        <f>GETPIVOTDATA("Value",'Ref Historic Spend'!$O$1,"Org",$B$3,"Description_1",$A10,"Month_Name",AB$5)</f>
        <v>48376.724000000002</v>
      </c>
      <c r="AC10" s="488">
        <f>GETPIVOTDATA("Value",'Ref Historic Spend'!$O$1,"Org",$B$3,"Description_1",$A10,"Month_Name",AC$5)</f>
        <v>49139.817999999999</v>
      </c>
      <c r="AD10" s="488">
        <f>GETPIVOTDATA("Value",'Ref Historic Spend'!$O$1,"Org",$B$3,"Description_1",$A10,"Month_Name",AD$5)</f>
        <v>50532.385000000002</v>
      </c>
      <c r="AE10" s="488">
        <f>GETPIVOTDATA("Value",'Ref Historic Spend'!$O$1,"Org",$B$3,"Description_1",$A10,"Month_Name",AE$5)</f>
        <v>57539.614999999998</v>
      </c>
      <c r="AF10" s="488">
        <f>GETPIVOTDATA("Value",'Ref Historic Spend'!$O$1,"Org",$B$3,"Description_1",$A10,"Month_Name",AF$5)</f>
        <v>51711.83</v>
      </c>
      <c r="AG10" s="488">
        <f>GETPIVOTDATA("Value",'Ref Historic Spend'!$O$1,"Org",$B$3,"Description_1",$A10,"Month_Name",AG$5)</f>
        <v>52682.656000000003</v>
      </c>
      <c r="AH10" s="488">
        <f>GETPIVOTDATA("Value",'Ref Historic Spend'!$O$1,"Org",$B$3,"Description_1",$A10,"Month_Name",AH$5)</f>
        <v>52273.201999999997</v>
      </c>
      <c r="AI10" s="488">
        <f>GETPIVOTDATA("Value",'Ref Historic Spend'!$O$1,"Org",$B$3,"Description_1",$A10,"Month_Name",AI$5)</f>
        <v>56191.694000000003</v>
      </c>
      <c r="AJ10" s="488">
        <f>GETPIVOTDATA("Value",'Ref Historic Spend'!$O$1,"Org",$B$3,"Description_1",$A10,"Month_Name",AJ$5)</f>
        <v>53486.351999999999</v>
      </c>
      <c r="AK10" s="488">
        <f>GETPIVOTDATA("Value",'Ref Historic Spend'!$O$1,"Org",$B$3,"Description_1",$A10,"Month_Name",AK$5)</f>
        <v>95795.86</v>
      </c>
      <c r="AL10" s="488">
        <f>GETPIVOTDATA("Value",'Ref Historic Spend'!$O$1,"Org",$B$3,"Description_1",$A10,"Month_Name",AL$5)</f>
        <v>48209.665000000001</v>
      </c>
      <c r="AM10" s="488">
        <f>GETPIVOTDATA("Value",'Ref Historic Spend'!$O$1,"Org",$B$3,"Description_1",$A10,"Month_Name",AM$5)</f>
        <v>53948.307999999997</v>
      </c>
      <c r="AN10" s="488">
        <f>GETPIVOTDATA("Value",'Ref Historic Spend'!$O$1,"Org",$B$3,"Description_1",$A10,"Month_Name",AN$5)</f>
        <v>52408.711000000003</v>
      </c>
      <c r="AO10" s="488">
        <f>GETPIVOTDATA("Value",'Ref Historic Spend'!$O$1,"Org",$B$3,"Description_1",$A10,"Month_Name",AO$5)</f>
        <v>54695.156999999999</v>
      </c>
      <c r="AP10" s="488">
        <f>GETPIVOTDATA("Value",'Ref Historic Spend'!$O$1,"Org",$B$3,"Description_1",$A10,"Month_Name",AP$5)</f>
        <v>54327.529000000002</v>
      </c>
      <c r="AQ10" s="488">
        <f>GETPIVOTDATA("Value",'Ref Historic Spend'!$O$1,"Org",$B$3,"Description_1",$A10,"Month_Name",AQ$5)</f>
        <v>67324.932000000001</v>
      </c>
      <c r="AR10" s="488">
        <f>GETPIVOTDATA("Value",'Ref Historic Spend'!$O$1,"Org",$B$3,"Description_1",$A10,"Month_Name",AR$5)</f>
        <v>56578.864999999998</v>
      </c>
      <c r="AS10" s="488">
        <f>GETPIVOTDATA("Value",'Ref Historic Spend'!$O$1,"Org",$B$3,"Description_1",$A10,"Month_Name",AS$5)</f>
        <v>58703.39</v>
      </c>
      <c r="AT10" s="488">
        <f>GETPIVOTDATA("Value",'Ref Historic Spend'!$O$1,"Org",$B$3,"Description_1",$A10,"Month_Name",AT$5)</f>
        <v>46512.389000000003</v>
      </c>
      <c r="AU10" s="488">
        <f>GETPIVOTDATA("Value",'Ref Historic Spend'!$O$1,"Org",$B$3,"Description_1",$A10,"Month_Name",AU$5)</f>
        <v>56068.531000000003</v>
      </c>
      <c r="AV10" s="488">
        <f>GETPIVOTDATA("Value",'Ref Historic Spend'!$O$1,"Org",$B$3,"Description_1",$A10,"Month_Name",AV$5)</f>
        <v>57246.319000000003</v>
      </c>
      <c r="AW10" s="488">
        <f>GETPIVOTDATA("Value",'Ref Historic Spend'!$O$1,"Org",$B$3,"Description_1",$A10,"Month_Name",AW$5)</f>
        <v>112236.7</v>
      </c>
      <c r="AX10" s="489">
        <f>'F2 - Net Expenditure'!H14</f>
        <v>54145.180999999997</v>
      </c>
      <c r="AY10" s="489">
        <f>'F2 - Net Expenditure'!I14</f>
        <v>58136.858000000007</v>
      </c>
      <c r="AZ10" s="489">
        <f>'F2 - Net Expenditure'!J14</f>
        <v>70330.335999999996</v>
      </c>
      <c r="BA10" s="489">
        <f>'F2 - Net Expenditure'!K14</f>
        <v>71803.997000000003</v>
      </c>
      <c r="BB10" s="489">
        <f>'F2 - Net Expenditure'!L14</f>
        <v>59340.931000000011</v>
      </c>
      <c r="BC10" s="489">
        <f>'F2 - Net Expenditure'!M14</f>
        <v>59220.7</v>
      </c>
      <c r="BD10" s="489">
        <f>'F2 - Net Expenditure'!N14</f>
        <v>64479.6</v>
      </c>
      <c r="BE10" s="489">
        <f>'F2 - Net Expenditure'!O14</f>
        <v>62241.701000000001</v>
      </c>
      <c r="BF10" s="489">
        <f>'F2 - Net Expenditure'!P14</f>
        <v>61808.250000000058</v>
      </c>
      <c r="BG10" s="489">
        <f>'F2 - Net Expenditure'!Q14</f>
        <v>63415.234999999986</v>
      </c>
      <c r="BH10" s="489">
        <f>'F2 - Net Expenditure'!R14</f>
        <v>64859.954999999958</v>
      </c>
      <c r="BI10" s="489">
        <f>'F2 - Net Expenditure'!S14</f>
        <v>63641.701239999995</v>
      </c>
      <c r="BJ10" s="489">
        <f>'F2 - Net Expenditure'!U14</f>
        <v>62441.5</v>
      </c>
      <c r="BK10" s="489">
        <f>'F2 - Net Expenditure'!V14</f>
        <v>62441.5</v>
      </c>
      <c r="BL10" s="489">
        <f>'F2 - Net Expenditure'!W14</f>
        <v>62441.5</v>
      </c>
      <c r="BM10" s="489">
        <f>'F2 - Net Expenditure'!X14</f>
        <v>62441.5</v>
      </c>
      <c r="BN10" s="489">
        <f>'F2 - Net Expenditure'!Y14</f>
        <v>62441.5</v>
      </c>
      <c r="BO10" s="489">
        <f>'F2 - Net Expenditure'!Z14</f>
        <v>62441.5</v>
      </c>
      <c r="BP10" s="489">
        <f>'F2 - Net Expenditure'!AA14</f>
        <v>62441.5</v>
      </c>
      <c r="BQ10" s="489">
        <f>'F2 - Net Expenditure'!AB14</f>
        <v>62441.5</v>
      </c>
      <c r="BR10" s="489">
        <f>'F2 - Net Expenditure'!AC14</f>
        <v>62441.5</v>
      </c>
      <c r="BS10" s="489">
        <f>'F2 - Net Expenditure'!AD14</f>
        <v>62441.5</v>
      </c>
      <c r="BT10" s="489">
        <f>'F2 - Net Expenditure'!AE14</f>
        <v>62441.5</v>
      </c>
      <c r="BU10" s="489">
        <f>'F2 - Net Expenditure'!AF14</f>
        <v>62436.5</v>
      </c>
    </row>
    <row r="11" spans="1:73" s="181" customFormat="1" ht="14.5">
      <c r="A11" s="177" t="s">
        <v>1018</v>
      </c>
      <c r="B11" s="488">
        <f>B7</f>
        <v>0</v>
      </c>
      <c r="C11" s="488">
        <f t="shared" ref="C11:AW11" si="3">C7</f>
        <v>0</v>
      </c>
      <c r="D11" s="488">
        <f t="shared" si="3"/>
        <v>0</v>
      </c>
      <c r="E11" s="488">
        <f t="shared" si="3"/>
        <v>0</v>
      </c>
      <c r="F11" s="488">
        <f t="shared" si="3"/>
        <v>0</v>
      </c>
      <c r="G11" s="488">
        <f t="shared" si="3"/>
        <v>0</v>
      </c>
      <c r="H11" s="488">
        <f t="shared" si="3"/>
        <v>0</v>
      </c>
      <c r="I11" s="488">
        <f t="shared" si="3"/>
        <v>0</v>
      </c>
      <c r="J11" s="488">
        <f t="shared" si="3"/>
        <v>0</v>
      </c>
      <c r="K11" s="488">
        <f t="shared" si="3"/>
        <v>0</v>
      </c>
      <c r="L11" s="488">
        <f t="shared" si="3"/>
        <v>0</v>
      </c>
      <c r="M11" s="488">
        <f t="shared" si="3"/>
        <v>23584</v>
      </c>
      <c r="N11" s="488">
        <f t="shared" si="3"/>
        <v>0</v>
      </c>
      <c r="O11" s="488">
        <f t="shared" si="3"/>
        <v>0</v>
      </c>
      <c r="P11" s="488">
        <f t="shared" si="3"/>
        <v>0</v>
      </c>
      <c r="Q11" s="488">
        <f t="shared" si="3"/>
        <v>0</v>
      </c>
      <c r="R11" s="488">
        <f t="shared" si="3"/>
        <v>0</v>
      </c>
      <c r="S11" s="488">
        <f t="shared" si="3"/>
        <v>0</v>
      </c>
      <c r="T11" s="488">
        <f t="shared" si="3"/>
        <v>0</v>
      </c>
      <c r="U11" s="488">
        <f t="shared" si="3"/>
        <v>0</v>
      </c>
      <c r="V11" s="488">
        <f t="shared" si="3"/>
        <v>0</v>
      </c>
      <c r="W11" s="488">
        <f t="shared" si="3"/>
        <v>0</v>
      </c>
      <c r="X11" s="488">
        <f t="shared" si="3"/>
        <v>0</v>
      </c>
      <c r="Y11" s="488">
        <f t="shared" si="3"/>
        <v>25321</v>
      </c>
      <c r="Z11" s="488">
        <f t="shared" si="3"/>
        <v>0</v>
      </c>
      <c r="AA11" s="488">
        <f t="shared" si="3"/>
        <v>0</v>
      </c>
      <c r="AB11" s="488">
        <f t="shared" si="3"/>
        <v>0</v>
      </c>
      <c r="AC11" s="488">
        <f t="shared" si="3"/>
        <v>0</v>
      </c>
      <c r="AD11" s="488">
        <f t="shared" si="3"/>
        <v>0</v>
      </c>
      <c r="AE11" s="488">
        <f t="shared" si="3"/>
        <v>0</v>
      </c>
      <c r="AF11" s="488">
        <f t="shared" si="3"/>
        <v>0</v>
      </c>
      <c r="AG11" s="488">
        <f t="shared" si="3"/>
        <v>0</v>
      </c>
      <c r="AH11" s="488">
        <f t="shared" si="3"/>
        <v>0</v>
      </c>
      <c r="AI11" s="488">
        <f t="shared" si="3"/>
        <v>0</v>
      </c>
      <c r="AJ11" s="488">
        <f t="shared" si="3"/>
        <v>0</v>
      </c>
      <c r="AK11" s="488">
        <f t="shared" si="3"/>
        <v>26782</v>
      </c>
      <c r="AL11" s="488">
        <f t="shared" si="3"/>
        <v>0</v>
      </c>
      <c r="AM11" s="488">
        <f t="shared" si="3"/>
        <v>0</v>
      </c>
      <c r="AN11" s="488">
        <f t="shared" si="3"/>
        <v>0</v>
      </c>
      <c r="AO11" s="488">
        <f t="shared" si="3"/>
        <v>0</v>
      </c>
      <c r="AP11" s="488">
        <f t="shared" si="3"/>
        <v>0</v>
      </c>
      <c r="AQ11" s="488">
        <f t="shared" si="3"/>
        <v>0</v>
      </c>
      <c r="AR11" s="488">
        <f t="shared" si="3"/>
        <v>0</v>
      </c>
      <c r="AS11" s="488">
        <f t="shared" si="3"/>
        <v>0</v>
      </c>
      <c r="AT11" s="488">
        <f t="shared" si="3"/>
        <v>0</v>
      </c>
      <c r="AU11" s="488">
        <f t="shared" si="3"/>
        <v>0</v>
      </c>
      <c r="AV11" s="488">
        <f t="shared" si="3"/>
        <v>0</v>
      </c>
      <c r="AW11" s="488">
        <f t="shared" si="3"/>
        <v>28483</v>
      </c>
      <c r="AX11" s="489"/>
      <c r="AY11" s="489"/>
      <c r="AZ11" s="489"/>
      <c r="BA11" s="489"/>
      <c r="BB11" s="489"/>
      <c r="BC11" s="489"/>
      <c r="BD11" s="489"/>
      <c r="BE11" s="489"/>
      <c r="BF11" s="489"/>
      <c r="BG11" s="489"/>
      <c r="BH11" s="489"/>
      <c r="BI11" s="489"/>
      <c r="BJ11" s="489"/>
      <c r="BK11" s="489"/>
      <c r="BL11" s="489"/>
      <c r="BM11" s="489"/>
      <c r="BN11" s="489"/>
      <c r="BO11" s="489"/>
      <c r="BP11" s="489"/>
      <c r="BQ11" s="489"/>
      <c r="BR11" s="489"/>
      <c r="BS11" s="489"/>
      <c r="BT11" s="489"/>
      <c r="BU11" s="489"/>
    </row>
    <row r="12" spans="1:73" s="181" customFormat="1" ht="14.5">
      <c r="A12" s="177" t="s">
        <v>1020</v>
      </c>
      <c r="B12" s="488">
        <f t="shared" ref="B12" si="4">B10-B11</f>
        <v>44989.853000000003</v>
      </c>
      <c r="C12" s="488">
        <f t="shared" ref="C12:AW12" si="5">C10-C11</f>
        <v>45145.612999999998</v>
      </c>
      <c r="D12" s="488">
        <f t="shared" si="5"/>
        <v>44904.81</v>
      </c>
      <c r="E12" s="488">
        <f t="shared" si="5"/>
        <v>44255.51</v>
      </c>
      <c r="F12" s="488">
        <f t="shared" si="5"/>
        <v>45213.09</v>
      </c>
      <c r="G12" s="488">
        <f t="shared" si="5"/>
        <v>44015.006999999998</v>
      </c>
      <c r="H12" s="488">
        <f t="shared" si="5"/>
        <v>45849.432999999997</v>
      </c>
      <c r="I12" s="488">
        <f t="shared" si="5"/>
        <v>45156.236999999899</v>
      </c>
      <c r="J12" s="488">
        <f t="shared" si="5"/>
        <v>44729.95</v>
      </c>
      <c r="K12" s="488">
        <f t="shared" si="5"/>
        <v>44977.838000000003</v>
      </c>
      <c r="L12" s="488">
        <f t="shared" si="5"/>
        <v>47527.355000000003</v>
      </c>
      <c r="M12" s="488">
        <f t="shared" si="5"/>
        <v>46146.870999999999</v>
      </c>
      <c r="N12" s="488">
        <f t="shared" si="5"/>
        <v>45794.502</v>
      </c>
      <c r="O12" s="488">
        <f t="shared" si="5"/>
        <v>48892.273000000001</v>
      </c>
      <c r="P12" s="488">
        <f t="shared" si="5"/>
        <v>48286.326000000001</v>
      </c>
      <c r="Q12" s="488">
        <f t="shared" si="5"/>
        <v>47391.203999999998</v>
      </c>
      <c r="R12" s="488">
        <f t="shared" si="5"/>
        <v>48099.415999999997</v>
      </c>
      <c r="S12" s="488">
        <f t="shared" si="5"/>
        <v>47453.936000000002</v>
      </c>
      <c r="T12" s="488">
        <f t="shared" si="5"/>
        <v>51615.071000000004</v>
      </c>
      <c r="U12" s="488">
        <f t="shared" si="5"/>
        <v>48462.625</v>
      </c>
      <c r="V12" s="488">
        <f t="shared" si="5"/>
        <v>49294.923999999999</v>
      </c>
      <c r="W12" s="488">
        <f t="shared" si="5"/>
        <v>51509.915999999997</v>
      </c>
      <c r="X12" s="488">
        <f t="shared" si="5"/>
        <v>50741.074000000001</v>
      </c>
      <c r="Y12" s="488">
        <f t="shared" si="5"/>
        <v>85408.932000000001</v>
      </c>
      <c r="Z12" s="488">
        <f t="shared" si="5"/>
        <v>49002.392999999996</v>
      </c>
      <c r="AA12" s="488">
        <f t="shared" si="5"/>
        <v>49071.368000000002</v>
      </c>
      <c r="AB12" s="488">
        <f t="shared" si="5"/>
        <v>48376.724000000002</v>
      </c>
      <c r="AC12" s="488">
        <f t="shared" si="5"/>
        <v>49139.817999999999</v>
      </c>
      <c r="AD12" s="488">
        <f t="shared" si="5"/>
        <v>50532.385000000002</v>
      </c>
      <c r="AE12" s="488">
        <f t="shared" si="5"/>
        <v>57539.614999999998</v>
      </c>
      <c r="AF12" s="488">
        <f t="shared" si="5"/>
        <v>51711.83</v>
      </c>
      <c r="AG12" s="488">
        <f t="shared" si="5"/>
        <v>52682.656000000003</v>
      </c>
      <c r="AH12" s="488">
        <f t="shared" si="5"/>
        <v>52273.201999999997</v>
      </c>
      <c r="AI12" s="488">
        <f t="shared" si="5"/>
        <v>56191.694000000003</v>
      </c>
      <c r="AJ12" s="488">
        <f t="shared" si="5"/>
        <v>53486.351999999999</v>
      </c>
      <c r="AK12" s="488">
        <f t="shared" si="5"/>
        <v>69013.86</v>
      </c>
      <c r="AL12" s="488">
        <f t="shared" si="5"/>
        <v>48209.665000000001</v>
      </c>
      <c r="AM12" s="488">
        <f t="shared" si="5"/>
        <v>53948.307999999997</v>
      </c>
      <c r="AN12" s="488">
        <f t="shared" si="5"/>
        <v>52408.711000000003</v>
      </c>
      <c r="AO12" s="488">
        <f t="shared" si="5"/>
        <v>54695.156999999999</v>
      </c>
      <c r="AP12" s="488">
        <f t="shared" si="5"/>
        <v>54327.529000000002</v>
      </c>
      <c r="AQ12" s="488">
        <f t="shared" si="5"/>
        <v>67324.932000000001</v>
      </c>
      <c r="AR12" s="488">
        <f t="shared" si="5"/>
        <v>56578.864999999998</v>
      </c>
      <c r="AS12" s="488">
        <f t="shared" si="5"/>
        <v>58703.39</v>
      </c>
      <c r="AT12" s="488">
        <f t="shared" si="5"/>
        <v>46512.389000000003</v>
      </c>
      <c r="AU12" s="488">
        <f t="shared" si="5"/>
        <v>56068.531000000003</v>
      </c>
      <c r="AV12" s="488">
        <f t="shared" si="5"/>
        <v>57246.319000000003</v>
      </c>
      <c r="AW12" s="488">
        <f t="shared" si="5"/>
        <v>83753.7</v>
      </c>
      <c r="AX12" s="489">
        <f>AX10-AX11</f>
        <v>54145.180999999997</v>
      </c>
      <c r="AY12" s="489">
        <f t="shared" ref="AY12:BI12" si="6">AY10-AY11</f>
        <v>58136.858000000007</v>
      </c>
      <c r="AZ12" s="489">
        <f t="shared" si="6"/>
        <v>70330.335999999996</v>
      </c>
      <c r="BA12" s="489">
        <f t="shared" si="6"/>
        <v>71803.997000000003</v>
      </c>
      <c r="BB12" s="489">
        <f t="shared" si="6"/>
        <v>59340.931000000011</v>
      </c>
      <c r="BC12" s="489">
        <f t="shared" si="6"/>
        <v>59220.7</v>
      </c>
      <c r="BD12" s="489">
        <f t="shared" si="6"/>
        <v>64479.6</v>
      </c>
      <c r="BE12" s="489">
        <f t="shared" si="6"/>
        <v>62241.701000000001</v>
      </c>
      <c r="BF12" s="489">
        <f t="shared" si="6"/>
        <v>61808.250000000058</v>
      </c>
      <c r="BG12" s="489">
        <f t="shared" si="6"/>
        <v>63415.234999999986</v>
      </c>
      <c r="BH12" s="489">
        <f t="shared" si="6"/>
        <v>64859.954999999958</v>
      </c>
      <c r="BI12" s="489">
        <f t="shared" si="6"/>
        <v>63641.701239999995</v>
      </c>
      <c r="BJ12" s="489">
        <f t="shared" ref="BJ12:BU12" si="7">BJ10-BJ11</f>
        <v>62441.5</v>
      </c>
      <c r="BK12" s="489">
        <f t="shared" si="7"/>
        <v>62441.5</v>
      </c>
      <c r="BL12" s="489">
        <f t="shared" si="7"/>
        <v>62441.5</v>
      </c>
      <c r="BM12" s="489">
        <f t="shared" si="7"/>
        <v>62441.5</v>
      </c>
      <c r="BN12" s="489">
        <f t="shared" si="7"/>
        <v>62441.5</v>
      </c>
      <c r="BO12" s="489">
        <f t="shared" si="7"/>
        <v>62441.5</v>
      </c>
      <c r="BP12" s="489">
        <f t="shared" si="7"/>
        <v>62441.5</v>
      </c>
      <c r="BQ12" s="489">
        <f t="shared" si="7"/>
        <v>62441.5</v>
      </c>
      <c r="BR12" s="489">
        <f t="shared" si="7"/>
        <v>62441.5</v>
      </c>
      <c r="BS12" s="489">
        <f t="shared" si="7"/>
        <v>62441.5</v>
      </c>
      <c r="BT12" s="489">
        <f t="shared" si="7"/>
        <v>62441.5</v>
      </c>
      <c r="BU12" s="489">
        <f t="shared" si="7"/>
        <v>62436.5</v>
      </c>
    </row>
    <row r="13" spans="1:73">
      <c r="A13" s="175"/>
      <c r="B13" s="490"/>
      <c r="C13" s="490"/>
      <c r="D13" s="490"/>
      <c r="E13" s="490"/>
      <c r="F13" s="490"/>
      <c r="G13" s="490"/>
      <c r="H13" s="490"/>
      <c r="I13" s="490"/>
      <c r="J13" s="490"/>
      <c r="K13" s="490"/>
      <c r="L13" s="490"/>
      <c r="M13" s="490"/>
      <c r="N13" s="490"/>
      <c r="O13" s="490"/>
      <c r="P13" s="490"/>
      <c r="Q13" s="490"/>
      <c r="R13" s="490"/>
      <c r="S13" s="490"/>
      <c r="T13" s="490"/>
      <c r="U13" s="490"/>
      <c r="V13" s="490"/>
      <c r="W13" s="490"/>
      <c r="X13" s="490"/>
      <c r="Y13" s="490"/>
      <c r="Z13" s="490"/>
      <c r="AA13" s="490"/>
      <c r="AB13" s="490"/>
      <c r="AC13" s="490"/>
      <c r="AD13" s="490"/>
      <c r="AE13" s="490"/>
      <c r="AF13" s="490"/>
      <c r="AG13" s="490"/>
      <c r="AH13" s="490"/>
      <c r="AI13" s="490"/>
      <c r="AJ13" s="490"/>
      <c r="AK13" s="490"/>
      <c r="AL13" s="490"/>
      <c r="AM13" s="490"/>
      <c r="AN13" s="490"/>
      <c r="AO13" s="490"/>
      <c r="AP13" s="490"/>
      <c r="AQ13" s="490"/>
      <c r="AR13" s="490"/>
      <c r="AS13" s="490"/>
      <c r="AT13" s="490"/>
      <c r="AU13" s="490"/>
      <c r="AV13" s="490"/>
      <c r="AW13" s="490"/>
      <c r="AX13" s="273"/>
      <c r="AY13" s="273"/>
      <c r="AZ13" s="273"/>
      <c r="BA13" s="273"/>
      <c r="BB13" s="273"/>
      <c r="BC13" s="273"/>
      <c r="BD13" s="273"/>
      <c r="BE13" s="273"/>
      <c r="BF13" s="273"/>
      <c r="BG13" s="273"/>
      <c r="BH13" s="273"/>
      <c r="BI13" s="273"/>
      <c r="BJ13" s="273"/>
      <c r="BK13" s="273"/>
      <c r="BL13" s="273"/>
      <c r="BM13" s="273"/>
      <c r="BN13" s="273"/>
      <c r="BO13" s="273"/>
      <c r="BP13" s="273"/>
      <c r="BQ13" s="273"/>
      <c r="BR13" s="273"/>
      <c r="BS13" s="273"/>
      <c r="BT13" s="273"/>
      <c r="BU13" s="273"/>
    </row>
    <row r="14" spans="1:73" s="181" customFormat="1" ht="14.5">
      <c r="A14" s="177" t="s">
        <v>451</v>
      </c>
      <c r="B14" s="488">
        <f>GETPIVOTDATA("Value",'Ref Historic Spend'!$O$1,"Org",$B$3,"Description_1",$A14,"Month_Name",B$5)</f>
        <v>9493.348</v>
      </c>
      <c r="C14" s="488">
        <f>GETPIVOTDATA("Value",'Ref Historic Spend'!$O$1,"Org",$B$3,"Description_1",$A14,"Month_Name",C$5)</f>
        <v>8953.7080000000005</v>
      </c>
      <c r="D14" s="488">
        <f>GETPIVOTDATA("Value",'Ref Historic Spend'!$O$1,"Org",$B$3,"Description_1",$A14,"Month_Name",D$5)</f>
        <v>9193.2340000000004</v>
      </c>
      <c r="E14" s="488">
        <f>GETPIVOTDATA("Value",'Ref Historic Spend'!$O$1,"Org",$B$3,"Description_1",$A14,"Month_Name",E$5)</f>
        <v>9066.0439999999999</v>
      </c>
      <c r="F14" s="488">
        <f>GETPIVOTDATA("Value",'Ref Historic Spend'!$O$1,"Org",$B$3,"Description_1",$A14,"Month_Name",F$5)</f>
        <v>10703.868</v>
      </c>
      <c r="G14" s="488">
        <f>GETPIVOTDATA("Value",'Ref Historic Spend'!$O$1,"Org",$B$3,"Description_1",$A14,"Month_Name",G$5)</f>
        <v>9087.8860000000095</v>
      </c>
      <c r="H14" s="488">
        <f>GETPIVOTDATA("Value",'Ref Historic Spend'!$O$1,"Org",$B$3,"Description_1",$A14,"Month_Name",H$5)</f>
        <v>9668.7359999999899</v>
      </c>
      <c r="I14" s="488">
        <f>GETPIVOTDATA("Value",'Ref Historic Spend'!$O$1,"Org",$B$3,"Description_1",$A14,"Month_Name",I$5)</f>
        <v>11062.136</v>
      </c>
      <c r="J14" s="488">
        <f>GETPIVOTDATA("Value",'Ref Historic Spend'!$O$1,"Org",$B$3,"Description_1",$A14,"Month_Name",J$5)</f>
        <v>9963.7919999999904</v>
      </c>
      <c r="K14" s="488">
        <f>GETPIVOTDATA("Value",'Ref Historic Spend'!$O$1,"Org",$B$3,"Description_1",$A14,"Month_Name",K$5)</f>
        <v>9979.9910000000109</v>
      </c>
      <c r="L14" s="488">
        <f>GETPIVOTDATA("Value",'Ref Historic Spend'!$O$1,"Org",$B$3,"Description_1",$A14,"Month_Name",L$5)</f>
        <v>11236.049000000001</v>
      </c>
      <c r="M14" s="488">
        <f>GETPIVOTDATA("Value",'Ref Historic Spend'!$O$1,"Org",$B$3,"Description_1",$A14,"Month_Name",M$5)</f>
        <v>13648.127</v>
      </c>
      <c r="N14" s="488">
        <f>GETPIVOTDATA("Value",'Ref Historic Spend'!$O$1,"Org",$B$3,"Description_1",$A14,"Month_Name",N$5)</f>
        <v>9903.3580000000002</v>
      </c>
      <c r="O14" s="488">
        <f>GETPIVOTDATA("Value",'Ref Historic Spend'!$O$1,"Org",$B$3,"Description_1",$A14,"Month_Name",O$5)</f>
        <v>9612.4339999999993</v>
      </c>
      <c r="P14" s="488">
        <f>GETPIVOTDATA("Value",'Ref Historic Spend'!$O$1,"Org",$B$3,"Description_1",$A14,"Month_Name",P$5)</f>
        <v>9738.0259999999998</v>
      </c>
      <c r="Q14" s="488">
        <f>GETPIVOTDATA("Value",'Ref Historic Spend'!$O$1,"Org",$B$3,"Description_1",$A14,"Month_Name",Q$5)</f>
        <v>10108.386</v>
      </c>
      <c r="R14" s="488">
        <f>GETPIVOTDATA("Value",'Ref Historic Spend'!$O$1,"Org",$B$3,"Description_1",$A14,"Month_Name",R$5)</f>
        <v>9700.7939999999999</v>
      </c>
      <c r="S14" s="488">
        <f>GETPIVOTDATA("Value",'Ref Historic Spend'!$O$1,"Org",$B$3,"Description_1",$A14,"Month_Name",S$5)</f>
        <v>10021.843999999999</v>
      </c>
      <c r="T14" s="488">
        <f>GETPIVOTDATA("Value",'Ref Historic Spend'!$O$1,"Org",$B$3,"Description_1",$A14,"Month_Name",T$5)</f>
        <v>10161.062</v>
      </c>
      <c r="U14" s="488">
        <f>GETPIVOTDATA("Value",'Ref Historic Spend'!$O$1,"Org",$B$3,"Description_1",$A14,"Month_Name",U$5)</f>
        <v>9493.4770000000008</v>
      </c>
      <c r="V14" s="488">
        <f>GETPIVOTDATA("Value",'Ref Historic Spend'!$O$1,"Org",$B$3,"Description_1",$A14,"Month_Name",V$5)</f>
        <v>9896.2579999999998</v>
      </c>
      <c r="W14" s="488">
        <f>GETPIVOTDATA("Value",'Ref Historic Spend'!$O$1,"Org",$B$3,"Description_1",$A14,"Month_Name",W$5)</f>
        <v>9074.4080000000104</v>
      </c>
      <c r="X14" s="488">
        <f>GETPIVOTDATA("Value",'Ref Historic Spend'!$O$1,"Org",$B$3,"Description_1",$A14,"Month_Name",X$5)</f>
        <v>10429.717000000001</v>
      </c>
      <c r="Y14" s="488">
        <f>GETPIVOTDATA("Value",'Ref Historic Spend'!$O$1,"Org",$B$3,"Description_1",$A14,"Month_Name",Y$5)</f>
        <v>7713.1390000000101</v>
      </c>
      <c r="Z14" s="488">
        <f>GETPIVOTDATA("Value",'Ref Historic Spend'!$O$1,"Org",$B$3,"Description_1",$A14,"Month_Name",Z$5)</f>
        <v>9189.1620000000003</v>
      </c>
      <c r="AA14" s="488">
        <f>GETPIVOTDATA("Value",'Ref Historic Spend'!$O$1,"Org",$B$3,"Description_1",$A14,"Month_Name",AA$5)</f>
        <v>9665.9369999999999</v>
      </c>
      <c r="AB14" s="488">
        <f>GETPIVOTDATA("Value",'Ref Historic Spend'!$O$1,"Org",$B$3,"Description_1",$A14,"Month_Name",AB$5)</f>
        <v>9334.65</v>
      </c>
      <c r="AC14" s="488">
        <f>GETPIVOTDATA("Value",'Ref Historic Spend'!$O$1,"Org",$B$3,"Description_1",$A14,"Month_Name",AC$5)</f>
        <v>11800.132</v>
      </c>
      <c r="AD14" s="488">
        <f>GETPIVOTDATA("Value",'Ref Historic Spend'!$O$1,"Org",$B$3,"Description_1",$A14,"Month_Name",AD$5)</f>
        <v>10201.841</v>
      </c>
      <c r="AE14" s="488">
        <f>GETPIVOTDATA("Value",'Ref Historic Spend'!$O$1,"Org",$B$3,"Description_1",$A14,"Month_Name",AE$5)</f>
        <v>9823.1239999999998</v>
      </c>
      <c r="AF14" s="488">
        <f>GETPIVOTDATA("Value",'Ref Historic Spend'!$O$1,"Org",$B$3,"Description_1",$A14,"Month_Name",AF$5)</f>
        <v>10016.858</v>
      </c>
      <c r="AG14" s="488">
        <f>GETPIVOTDATA("Value",'Ref Historic Spend'!$O$1,"Org",$B$3,"Description_1",$A14,"Month_Name",AG$5)</f>
        <v>9680.44</v>
      </c>
      <c r="AH14" s="488">
        <f>GETPIVOTDATA("Value",'Ref Historic Spend'!$O$1,"Org",$B$3,"Description_1",$A14,"Month_Name",AH$5)</f>
        <v>11324.512000000001</v>
      </c>
      <c r="AI14" s="488">
        <f>GETPIVOTDATA("Value",'Ref Historic Spend'!$O$1,"Org",$B$3,"Description_1",$A14,"Month_Name",AI$5)</f>
        <v>9693.33</v>
      </c>
      <c r="AJ14" s="488">
        <f>GETPIVOTDATA("Value",'Ref Historic Spend'!$O$1,"Org",$B$3,"Description_1",$A14,"Month_Name",AJ$5)</f>
        <v>8845.69</v>
      </c>
      <c r="AK14" s="488">
        <f>GETPIVOTDATA("Value",'Ref Historic Spend'!$O$1,"Org",$B$3,"Description_1",$A14,"Month_Name",AK$5)</f>
        <v>10929.857</v>
      </c>
      <c r="AL14" s="488">
        <f>GETPIVOTDATA("Value",'Ref Historic Spend'!$O$1,"Org",$B$3,"Description_1",$A14,"Month_Name",AL$5)</f>
        <v>10042.727999999999</v>
      </c>
      <c r="AM14" s="488">
        <f>GETPIVOTDATA("Value",'Ref Historic Spend'!$O$1,"Org",$B$3,"Description_1",$A14,"Month_Name",AM$5)</f>
        <v>10033.941999999999</v>
      </c>
      <c r="AN14" s="488">
        <f>GETPIVOTDATA("Value",'Ref Historic Spend'!$O$1,"Org",$B$3,"Description_1",$A14,"Month_Name",AN$5)</f>
        <v>10014.053</v>
      </c>
      <c r="AO14" s="488">
        <f>GETPIVOTDATA("Value",'Ref Historic Spend'!$O$1,"Org",$B$3,"Description_1",$A14,"Month_Name",AO$5)</f>
        <v>9365.1080000000002</v>
      </c>
      <c r="AP14" s="488">
        <f>GETPIVOTDATA("Value",'Ref Historic Spend'!$O$1,"Org",$B$3,"Description_1",$A14,"Month_Name",AP$5)</f>
        <v>10048.280000000001</v>
      </c>
      <c r="AQ14" s="488">
        <f>GETPIVOTDATA("Value",'Ref Historic Spend'!$O$1,"Org",$B$3,"Description_1",$A14,"Month_Name",AQ$5)</f>
        <v>10550.938</v>
      </c>
      <c r="AR14" s="488">
        <f>GETPIVOTDATA("Value",'Ref Historic Spend'!$O$1,"Org",$B$3,"Description_1",$A14,"Month_Name",AR$5)</f>
        <v>9420.0130000000099</v>
      </c>
      <c r="AS14" s="488">
        <f>GETPIVOTDATA("Value",'Ref Historic Spend'!$O$1,"Org",$B$3,"Description_1",$A14,"Month_Name",AS$5)</f>
        <v>9818.3769999999895</v>
      </c>
      <c r="AT14" s="488">
        <f>GETPIVOTDATA("Value",'Ref Historic Spend'!$O$1,"Org",$B$3,"Description_1",$A14,"Month_Name",AT$5)</f>
        <v>11071.933999999999</v>
      </c>
      <c r="AU14" s="488">
        <f>GETPIVOTDATA("Value",'Ref Historic Spend'!$O$1,"Org",$B$3,"Description_1",$A14,"Month_Name",AU$5)</f>
        <v>8959.0609999999906</v>
      </c>
      <c r="AV14" s="488">
        <f>GETPIVOTDATA("Value",'Ref Historic Spend'!$O$1,"Org",$B$3,"Description_1",$A14,"Month_Name",AV$5)</f>
        <v>8891.3940000000002</v>
      </c>
      <c r="AW14" s="488">
        <f>GETPIVOTDATA("Value",'Ref Historic Spend'!$O$1,"Org",$B$3,"Description_1",$A14,"Month_Name",AW$5)</f>
        <v>8210.6990000000096</v>
      </c>
      <c r="AX14" s="489">
        <f>'F2 - Net Expenditure'!H12</f>
        <v>9864.3369999999995</v>
      </c>
      <c r="AY14" s="489">
        <f>'F2 - Net Expenditure'!I12</f>
        <v>10014.778000000002</v>
      </c>
      <c r="AZ14" s="489">
        <f>'F2 - Net Expenditure'!J12</f>
        <v>10108.806999999997</v>
      </c>
      <c r="BA14" s="489">
        <f>'F2 - Net Expenditure'!K12</f>
        <v>9742.0460000000021</v>
      </c>
      <c r="BB14" s="489">
        <f>'F2 - Net Expenditure'!L12</f>
        <v>9531.2430000000022</v>
      </c>
      <c r="BC14" s="489">
        <f>'F2 - Net Expenditure'!M12</f>
        <v>9827.1749999999956</v>
      </c>
      <c r="BD14" s="489">
        <f>'F2 - Net Expenditure'!N12</f>
        <v>9612.0880000000034</v>
      </c>
      <c r="BE14" s="489">
        <f>'F2 - Net Expenditure'!O12</f>
        <v>9208.3940000000002</v>
      </c>
      <c r="BF14" s="489">
        <f>'F2 - Net Expenditure'!P12</f>
        <v>8991.0439999999944</v>
      </c>
      <c r="BG14" s="489">
        <f>'F2 - Net Expenditure'!Q12</f>
        <v>9811.6</v>
      </c>
      <c r="BH14" s="489">
        <f>'F2 - Net Expenditure'!R12</f>
        <v>10389.877000000008</v>
      </c>
      <c r="BI14" s="489">
        <f>'F2 - Net Expenditure'!S12</f>
        <v>10884.242</v>
      </c>
      <c r="BJ14" s="489">
        <f>'F2 - Net Expenditure'!U12</f>
        <v>9864.3369999999995</v>
      </c>
      <c r="BK14" s="489">
        <f>'F2 - Net Expenditure'!V12</f>
        <v>10014.778000000002</v>
      </c>
      <c r="BL14" s="489">
        <f>'F2 - Net Expenditure'!W12</f>
        <v>10108.806999999997</v>
      </c>
      <c r="BM14" s="489">
        <f>'F2 - Net Expenditure'!X12</f>
        <v>9742.0460000000021</v>
      </c>
      <c r="BN14" s="489">
        <f>'F2 - Net Expenditure'!Y12</f>
        <v>9531.2430000000022</v>
      </c>
      <c r="BO14" s="489">
        <f>'F2 - Net Expenditure'!Z12</f>
        <v>9827.1749999999956</v>
      </c>
      <c r="BP14" s="489">
        <f>'F2 - Net Expenditure'!AA12</f>
        <v>9612.0880000000034</v>
      </c>
      <c r="BQ14" s="489">
        <f>'F2 - Net Expenditure'!AB12</f>
        <v>9208.3940000000002</v>
      </c>
      <c r="BR14" s="489">
        <f>'F2 - Net Expenditure'!AC12</f>
        <v>8991.0439999999944</v>
      </c>
      <c r="BS14" s="489">
        <f>'F2 - Net Expenditure'!AD12</f>
        <v>9811.6</v>
      </c>
      <c r="BT14" s="489">
        <f>'F2 - Net Expenditure'!AE12</f>
        <v>10389.877000000008</v>
      </c>
      <c r="BU14" s="489">
        <f>'F2 - Net Expenditure'!AF12</f>
        <v>10884.242</v>
      </c>
    </row>
    <row r="15" spans="1:73" s="181" customFormat="1" ht="14.5">
      <c r="A15" s="177" t="s">
        <v>450</v>
      </c>
      <c r="B15" s="488">
        <f>GETPIVOTDATA("Value",'Ref Historic Spend'!$O$1,"Org",$B$3,"Description_1",$A15,"Month_Name",B$5)</f>
        <v>5787.81</v>
      </c>
      <c r="C15" s="488">
        <f>GETPIVOTDATA("Value",'Ref Historic Spend'!$O$1,"Org",$B$3,"Description_1",$A15,"Month_Name",C$5)</f>
        <v>5838.46</v>
      </c>
      <c r="D15" s="488">
        <f>GETPIVOTDATA("Value",'Ref Historic Spend'!$O$1,"Org",$B$3,"Description_1",$A15,"Month_Name",D$5)</f>
        <v>5784.3670000000002</v>
      </c>
      <c r="E15" s="488">
        <f>GETPIVOTDATA("Value",'Ref Historic Spend'!$O$1,"Org",$B$3,"Description_1",$A15,"Month_Name",E$5)</f>
        <v>6283.2380000000003</v>
      </c>
      <c r="F15" s="488">
        <f>GETPIVOTDATA("Value",'Ref Historic Spend'!$O$1,"Org",$B$3,"Description_1",$A15,"Month_Name",F$5)</f>
        <v>5800.7659999999996</v>
      </c>
      <c r="G15" s="488">
        <f>GETPIVOTDATA("Value",'Ref Historic Spend'!$O$1,"Org",$B$3,"Description_1",$A15,"Month_Name",G$5)</f>
        <v>5933.5410000000002</v>
      </c>
      <c r="H15" s="488">
        <f>GETPIVOTDATA("Value",'Ref Historic Spend'!$O$1,"Org",$B$3,"Description_1",$A15,"Month_Name",H$5)</f>
        <v>6524.47</v>
      </c>
      <c r="I15" s="488">
        <f>GETPIVOTDATA("Value",'Ref Historic Spend'!$O$1,"Org",$B$3,"Description_1",$A15,"Month_Name",I$5)</f>
        <v>5975.9569999999903</v>
      </c>
      <c r="J15" s="488">
        <f>GETPIVOTDATA("Value",'Ref Historic Spend'!$O$1,"Org",$B$3,"Description_1",$A15,"Month_Name",J$5)</f>
        <v>6430.0190000000002</v>
      </c>
      <c r="K15" s="488">
        <f>GETPIVOTDATA("Value",'Ref Historic Spend'!$O$1,"Org",$B$3,"Description_1",$A15,"Month_Name",K$5)</f>
        <v>6154.7640000000001</v>
      </c>
      <c r="L15" s="488">
        <f>GETPIVOTDATA("Value",'Ref Historic Spend'!$O$1,"Org",$B$3,"Description_1",$A15,"Month_Name",L$5)</f>
        <v>5673.3890000000001</v>
      </c>
      <c r="M15" s="488">
        <f>GETPIVOTDATA("Value",'Ref Historic Spend'!$O$1,"Org",$B$3,"Description_1",$A15,"Month_Name",M$5)</f>
        <v>5284.1019999999999</v>
      </c>
      <c r="N15" s="488">
        <f>GETPIVOTDATA("Value",'Ref Historic Spend'!$O$1,"Org",$B$3,"Description_1",$A15,"Month_Name",N$5)</f>
        <v>6230.1989999999996</v>
      </c>
      <c r="O15" s="488">
        <f>GETPIVOTDATA("Value",'Ref Historic Spend'!$O$1,"Org",$B$3,"Description_1",$A15,"Month_Name",O$5)</f>
        <v>6147.2439999999997</v>
      </c>
      <c r="P15" s="488">
        <f>GETPIVOTDATA("Value",'Ref Historic Spend'!$O$1,"Org",$B$3,"Description_1",$A15,"Month_Name",P$5)</f>
        <v>6983.723</v>
      </c>
      <c r="Q15" s="488">
        <f>GETPIVOTDATA("Value",'Ref Historic Spend'!$O$1,"Org",$B$3,"Description_1",$A15,"Month_Name",Q$5)</f>
        <v>6349.8639999999996</v>
      </c>
      <c r="R15" s="488">
        <f>GETPIVOTDATA("Value",'Ref Historic Spend'!$O$1,"Org",$B$3,"Description_1",$A15,"Month_Name",R$5)</f>
        <v>6738.1880000000001</v>
      </c>
      <c r="S15" s="488">
        <f>GETPIVOTDATA("Value",'Ref Historic Spend'!$O$1,"Org",$B$3,"Description_1",$A15,"Month_Name",S$5)</f>
        <v>6332.24</v>
      </c>
      <c r="T15" s="488">
        <f>GETPIVOTDATA("Value",'Ref Historic Spend'!$O$1,"Org",$B$3,"Description_1",$A15,"Month_Name",T$5)</f>
        <v>5946.3040000000001</v>
      </c>
      <c r="U15" s="488">
        <f>GETPIVOTDATA("Value",'Ref Historic Spend'!$O$1,"Org",$B$3,"Description_1",$A15,"Month_Name",U$5)</f>
        <v>6343.5659999999998</v>
      </c>
      <c r="V15" s="488">
        <f>GETPIVOTDATA("Value",'Ref Historic Spend'!$O$1,"Org",$B$3,"Description_1",$A15,"Month_Name",V$5)</f>
        <v>6664.6139999999996</v>
      </c>
      <c r="W15" s="488">
        <f>GETPIVOTDATA("Value",'Ref Historic Spend'!$O$1,"Org",$B$3,"Description_1",$A15,"Month_Name",W$5)</f>
        <v>7058.3710000000001</v>
      </c>
      <c r="X15" s="488">
        <f>GETPIVOTDATA("Value",'Ref Historic Spend'!$O$1,"Org",$B$3,"Description_1",$A15,"Month_Name",X$5)</f>
        <v>6162.4750000000004</v>
      </c>
      <c r="Y15" s="488">
        <f>GETPIVOTDATA("Value",'Ref Historic Spend'!$O$1,"Org",$B$3,"Description_1",$A15,"Month_Name",Y$5)</f>
        <v>7608.2029999999904</v>
      </c>
      <c r="Z15" s="488">
        <f>GETPIVOTDATA("Value",'Ref Historic Spend'!$O$1,"Org",$B$3,"Description_1",$A15,"Month_Name",Z$5)</f>
        <v>7046.6049999999996</v>
      </c>
      <c r="AA15" s="488">
        <f>GETPIVOTDATA("Value",'Ref Historic Spend'!$O$1,"Org",$B$3,"Description_1",$A15,"Month_Name",AA$5)</f>
        <v>6556.1859999999997</v>
      </c>
      <c r="AB15" s="488">
        <f>GETPIVOTDATA("Value",'Ref Historic Spend'!$O$1,"Org",$B$3,"Description_1",$A15,"Month_Name",AB$5)</f>
        <v>6582.317</v>
      </c>
      <c r="AC15" s="488">
        <f>GETPIVOTDATA("Value",'Ref Historic Spend'!$O$1,"Org",$B$3,"Description_1",$A15,"Month_Name",AC$5)</f>
        <v>6593.2579999999998</v>
      </c>
      <c r="AD15" s="488">
        <f>GETPIVOTDATA("Value",'Ref Historic Spend'!$O$1,"Org",$B$3,"Description_1",$A15,"Month_Name",AD$5)</f>
        <v>6804.7420000000002</v>
      </c>
      <c r="AE15" s="488">
        <f>GETPIVOTDATA("Value",'Ref Historic Spend'!$O$1,"Org",$B$3,"Description_1",$A15,"Month_Name",AE$5)</f>
        <v>6414.7039999999997</v>
      </c>
      <c r="AF15" s="488">
        <f>GETPIVOTDATA("Value",'Ref Historic Spend'!$O$1,"Org",$B$3,"Description_1",$A15,"Month_Name",AF$5)</f>
        <v>6247.9229999999998</v>
      </c>
      <c r="AG15" s="488">
        <f>GETPIVOTDATA("Value",'Ref Historic Spend'!$O$1,"Org",$B$3,"Description_1",$A15,"Month_Name",AG$5)</f>
        <v>6564.1040000000003</v>
      </c>
      <c r="AH15" s="488">
        <f>GETPIVOTDATA("Value",'Ref Historic Spend'!$O$1,"Org",$B$3,"Description_1",$A15,"Month_Name",AH$5)</f>
        <v>6651.5119999999997</v>
      </c>
      <c r="AI15" s="488">
        <f>GETPIVOTDATA("Value",'Ref Historic Spend'!$O$1,"Org",$B$3,"Description_1",$A15,"Month_Name",AI$5)</f>
        <v>6603.9009999999898</v>
      </c>
      <c r="AJ15" s="488">
        <f>GETPIVOTDATA("Value",'Ref Historic Spend'!$O$1,"Org",$B$3,"Description_1",$A15,"Month_Name",AJ$5)</f>
        <v>6457.5140000000101</v>
      </c>
      <c r="AK15" s="488">
        <f>GETPIVOTDATA("Value",'Ref Historic Spend'!$O$1,"Org",$B$3,"Description_1",$A15,"Month_Name",AK$5)</f>
        <v>5895.6909999999898</v>
      </c>
      <c r="AL15" s="488">
        <f>GETPIVOTDATA("Value",'Ref Historic Spend'!$O$1,"Org",$B$3,"Description_1",$A15,"Month_Name",AL$5)</f>
        <v>6117.5379999999996</v>
      </c>
      <c r="AM15" s="488">
        <f>GETPIVOTDATA("Value",'Ref Historic Spend'!$O$1,"Org",$B$3,"Description_1",$A15,"Month_Name",AM$5)</f>
        <v>6491.4780000000001</v>
      </c>
      <c r="AN15" s="488">
        <f>GETPIVOTDATA("Value",'Ref Historic Spend'!$O$1,"Org",$B$3,"Description_1",$A15,"Month_Name",AN$5)</f>
        <v>6364.5950000000003</v>
      </c>
      <c r="AO15" s="488">
        <f>GETPIVOTDATA("Value",'Ref Historic Spend'!$O$1,"Org",$B$3,"Description_1",$A15,"Month_Name",AO$5)</f>
        <v>6797.7979999999998</v>
      </c>
      <c r="AP15" s="488">
        <f>GETPIVOTDATA("Value",'Ref Historic Spend'!$O$1,"Org",$B$3,"Description_1",$A15,"Month_Name",AP$5)</f>
        <v>6797.0249999999996</v>
      </c>
      <c r="AQ15" s="488">
        <f>GETPIVOTDATA("Value",'Ref Historic Spend'!$O$1,"Org",$B$3,"Description_1",$A15,"Month_Name",AQ$5)</f>
        <v>6903.11</v>
      </c>
      <c r="AR15" s="488">
        <f>GETPIVOTDATA("Value",'Ref Historic Spend'!$O$1,"Org",$B$3,"Description_1",$A15,"Month_Name",AR$5)</f>
        <v>7482.2969999999996</v>
      </c>
      <c r="AS15" s="488">
        <f>GETPIVOTDATA("Value",'Ref Historic Spend'!$O$1,"Org",$B$3,"Description_1",$A15,"Month_Name",AS$5)</f>
        <v>7094.8329999999996</v>
      </c>
      <c r="AT15" s="488">
        <f>GETPIVOTDATA("Value",'Ref Historic Spend'!$O$1,"Org",$B$3,"Description_1",$A15,"Month_Name",AT$5)</f>
        <v>7194.1819999999998</v>
      </c>
      <c r="AU15" s="488">
        <f>GETPIVOTDATA("Value",'Ref Historic Spend'!$O$1,"Org",$B$3,"Description_1",$A15,"Month_Name",AU$5)</f>
        <v>7183.6950000000097</v>
      </c>
      <c r="AV15" s="488">
        <f>GETPIVOTDATA("Value",'Ref Historic Spend'!$O$1,"Org",$B$3,"Description_1",$A15,"Month_Name",AV$5)</f>
        <v>7174.0919999999896</v>
      </c>
      <c r="AW15" s="488">
        <f>GETPIVOTDATA("Value",'Ref Historic Spend'!$O$1,"Org",$B$3,"Description_1",$A15,"Month_Name",AW$5)</f>
        <v>8064.7839999999997</v>
      </c>
      <c r="AX15" s="489">
        <f>'F2 - Net Expenditure'!H13</f>
        <v>6758.3729999999996</v>
      </c>
      <c r="AY15" s="489">
        <f>'F2 - Net Expenditure'!I13</f>
        <v>7596.6400000000012</v>
      </c>
      <c r="AZ15" s="489">
        <f>'F2 - Net Expenditure'!J13</f>
        <v>7234.2659999999978</v>
      </c>
      <c r="BA15" s="489">
        <f>'F2 - Net Expenditure'!K13</f>
        <v>7691.0339999999997</v>
      </c>
      <c r="BB15" s="489">
        <f>'F2 - Net Expenditure'!L13</f>
        <v>7961.1970000000038</v>
      </c>
      <c r="BC15" s="489">
        <f>'F2 - Net Expenditure'!M13</f>
        <v>7039.301999999996</v>
      </c>
      <c r="BD15" s="489">
        <f>'F2 - Net Expenditure'!N13</f>
        <v>8026.1660000000047</v>
      </c>
      <c r="BE15" s="489">
        <f>'F2 - Net Expenditure'!O13</f>
        <v>7726.6939999999959</v>
      </c>
      <c r="BF15" s="489">
        <f>'F2 - Net Expenditure'!P13</f>
        <v>7004.2</v>
      </c>
      <c r="BG15" s="489">
        <f>'F2 - Net Expenditure'!Q13</f>
        <v>7273.9719999999943</v>
      </c>
      <c r="BH15" s="489">
        <f>'F2 - Net Expenditure'!R13</f>
        <v>6994.4980000000069</v>
      </c>
      <c r="BI15" s="489">
        <f>'F2 - Net Expenditure'!S13</f>
        <v>6930.6260000000002</v>
      </c>
      <c r="BJ15" s="489">
        <f>'F2 - Net Expenditure'!U13</f>
        <v>7058.9563046155072</v>
      </c>
      <c r="BK15" s="489">
        <f>'F2 - Net Expenditure'!V13</f>
        <v>7897.2233046155088</v>
      </c>
      <c r="BL15" s="489">
        <f>'F2 - Net Expenditure'!W13</f>
        <v>7534.8493046155054</v>
      </c>
      <c r="BM15" s="489">
        <f>'F2 - Net Expenditure'!X13</f>
        <v>7991.6173046155081</v>
      </c>
      <c r="BN15" s="489">
        <f>'F2 - Net Expenditure'!Y13</f>
        <v>8261.7803046155132</v>
      </c>
      <c r="BO15" s="489">
        <f>'F2 - Net Expenditure'!Z13</f>
        <v>7339.8853046155036</v>
      </c>
      <c r="BP15" s="489">
        <f>'F2 - Net Expenditure'!AA13</f>
        <v>8326.7493046155141</v>
      </c>
      <c r="BQ15" s="489">
        <f>'F2 - Net Expenditure'!AB13</f>
        <v>8027.2773046155044</v>
      </c>
      <c r="BR15" s="489">
        <f>'F2 - Net Expenditure'!AC13</f>
        <v>7304.7833046155074</v>
      </c>
      <c r="BS15" s="489">
        <f>'F2 - Net Expenditure'!AD13</f>
        <v>7574.5553046155019</v>
      </c>
      <c r="BT15" s="489">
        <f>'F2 - Net Expenditure'!AE13</f>
        <v>7295.0813046155145</v>
      </c>
      <c r="BU15" s="489">
        <f>'F2 - Net Expenditure'!AF13</f>
        <v>7231.2093046155078</v>
      </c>
    </row>
    <row r="16" spans="1:73" s="181" customFormat="1" ht="14.5">
      <c r="A16" s="177" t="s">
        <v>445</v>
      </c>
      <c r="B16" s="488">
        <f>GETPIVOTDATA("Value",'Ref Historic Spend'!$O$1,"Org",$B$3,"Description_1",$A16,"Month_Name",B$5)</f>
        <v>8539.4549999999999</v>
      </c>
      <c r="C16" s="488">
        <f>GETPIVOTDATA("Value",'Ref Historic Spend'!$O$1,"Org",$B$3,"Description_1",$A16,"Month_Name",C$5)</f>
        <v>8656.0969999999998</v>
      </c>
      <c r="D16" s="488">
        <f>GETPIVOTDATA("Value",'Ref Historic Spend'!$O$1,"Org",$B$3,"Description_1",$A16,"Month_Name",D$5)</f>
        <v>7524.2640000000001</v>
      </c>
      <c r="E16" s="488">
        <f>GETPIVOTDATA("Value",'Ref Historic Spend'!$O$1,"Org",$B$3,"Description_1",$A16,"Month_Name",E$5)</f>
        <v>9021.8459999999995</v>
      </c>
      <c r="F16" s="488">
        <f>GETPIVOTDATA("Value",'Ref Historic Spend'!$O$1,"Org",$B$3,"Description_1",$A16,"Month_Name",F$5)</f>
        <v>8938.1760000000104</v>
      </c>
      <c r="G16" s="488">
        <f>GETPIVOTDATA("Value",'Ref Historic Spend'!$O$1,"Org",$B$3,"Description_1",$A16,"Month_Name",G$5)</f>
        <v>9257.768</v>
      </c>
      <c r="H16" s="488">
        <f>GETPIVOTDATA("Value",'Ref Historic Spend'!$O$1,"Org",$B$3,"Description_1",$A16,"Month_Name",H$5)</f>
        <v>10742.359</v>
      </c>
      <c r="I16" s="488">
        <f>GETPIVOTDATA("Value",'Ref Historic Spend'!$O$1,"Org",$B$3,"Description_1",$A16,"Month_Name",I$5)</f>
        <v>10508.003000000001</v>
      </c>
      <c r="J16" s="488">
        <f>GETPIVOTDATA("Value",'Ref Historic Spend'!$O$1,"Org",$B$3,"Description_1",$A16,"Month_Name",J$5)</f>
        <v>10136.911</v>
      </c>
      <c r="K16" s="488">
        <f>GETPIVOTDATA("Value",'Ref Historic Spend'!$O$1,"Org",$B$3,"Description_1",$A16,"Month_Name",K$5)</f>
        <v>9458.7950000000201</v>
      </c>
      <c r="L16" s="488">
        <f>GETPIVOTDATA("Value",'Ref Historic Spend'!$O$1,"Org",$B$3,"Description_1",$A16,"Month_Name",L$5)</f>
        <v>10466.075000000001</v>
      </c>
      <c r="M16" s="488">
        <f>GETPIVOTDATA("Value",'Ref Historic Spend'!$O$1,"Org",$B$3,"Description_1",$A16,"Month_Name",M$5)</f>
        <v>11150.107</v>
      </c>
      <c r="N16" s="488">
        <f>GETPIVOTDATA("Value",'Ref Historic Spend'!$O$1,"Org",$B$3,"Description_1",$A16,"Month_Name",N$5)</f>
        <v>9272.0249999999996</v>
      </c>
      <c r="O16" s="488">
        <f>GETPIVOTDATA("Value",'Ref Historic Spend'!$O$1,"Org",$B$3,"Description_1",$A16,"Month_Name",O$5)</f>
        <v>13603.628000000001</v>
      </c>
      <c r="P16" s="488">
        <f>GETPIVOTDATA("Value",'Ref Historic Spend'!$O$1,"Org",$B$3,"Description_1",$A16,"Month_Name",P$5)</f>
        <v>29775.412</v>
      </c>
      <c r="Q16" s="488">
        <f>GETPIVOTDATA("Value",'Ref Historic Spend'!$O$1,"Org",$B$3,"Description_1",$A16,"Month_Name",Q$5)</f>
        <v>-9289.6229999999996</v>
      </c>
      <c r="R16" s="488">
        <f>GETPIVOTDATA("Value",'Ref Historic Spend'!$O$1,"Org",$B$3,"Description_1",$A16,"Month_Name",R$5)</f>
        <v>9675.6260000000002</v>
      </c>
      <c r="S16" s="488">
        <f>GETPIVOTDATA("Value",'Ref Historic Spend'!$O$1,"Org",$B$3,"Description_1",$A16,"Month_Name",S$5)</f>
        <v>10043.677</v>
      </c>
      <c r="T16" s="488">
        <f>GETPIVOTDATA("Value",'Ref Historic Spend'!$O$1,"Org",$B$3,"Description_1",$A16,"Month_Name",T$5)</f>
        <v>10657.379000000001</v>
      </c>
      <c r="U16" s="488">
        <f>GETPIVOTDATA("Value",'Ref Historic Spend'!$O$1,"Org",$B$3,"Description_1",$A16,"Month_Name",U$5)</f>
        <v>11254.642</v>
      </c>
      <c r="V16" s="488">
        <f>GETPIVOTDATA("Value",'Ref Historic Spend'!$O$1,"Org",$B$3,"Description_1",$A16,"Month_Name",V$5)</f>
        <v>11328.553</v>
      </c>
      <c r="W16" s="488">
        <f>GETPIVOTDATA("Value",'Ref Historic Spend'!$O$1,"Org",$B$3,"Description_1",$A16,"Month_Name",W$5)</f>
        <v>10732.597</v>
      </c>
      <c r="X16" s="488">
        <f>GETPIVOTDATA("Value",'Ref Historic Spend'!$O$1,"Org",$B$3,"Description_1",$A16,"Month_Name",X$5)</f>
        <v>11377.268</v>
      </c>
      <c r="Y16" s="488">
        <f>GETPIVOTDATA("Value",'Ref Historic Spend'!$O$1,"Org",$B$3,"Description_1",$A16,"Month_Name",Y$5)</f>
        <v>22712</v>
      </c>
      <c r="Z16" s="488">
        <f>GETPIVOTDATA("Value",'Ref Historic Spend'!$O$1,"Org",$B$3,"Description_1",$A16,"Month_Name",Z$5)</f>
        <v>9733.2649999999994</v>
      </c>
      <c r="AA16" s="488">
        <f>GETPIVOTDATA("Value",'Ref Historic Spend'!$O$1,"Org",$B$3,"Description_1",$A16,"Month_Name",AA$5)</f>
        <v>8893.42</v>
      </c>
      <c r="AB16" s="488">
        <f>GETPIVOTDATA("Value",'Ref Historic Spend'!$O$1,"Org",$B$3,"Description_1",$A16,"Month_Name",AB$5)</f>
        <v>11533.084999999999</v>
      </c>
      <c r="AC16" s="488">
        <f>GETPIVOTDATA("Value",'Ref Historic Spend'!$O$1,"Org",$B$3,"Description_1",$A16,"Month_Name",AC$5)</f>
        <v>10913.953</v>
      </c>
      <c r="AD16" s="488">
        <f>GETPIVOTDATA("Value",'Ref Historic Spend'!$O$1,"Org",$B$3,"Description_1",$A16,"Month_Name",AD$5)</f>
        <v>10884.763999999999</v>
      </c>
      <c r="AE16" s="488">
        <f>GETPIVOTDATA("Value",'Ref Historic Spend'!$O$1,"Org",$B$3,"Description_1",$A16,"Month_Name",AE$5)</f>
        <v>11726.383</v>
      </c>
      <c r="AF16" s="488">
        <f>GETPIVOTDATA("Value",'Ref Historic Spend'!$O$1,"Org",$B$3,"Description_1",$A16,"Month_Name",AF$5)</f>
        <v>11037.362999999999</v>
      </c>
      <c r="AG16" s="488">
        <f>GETPIVOTDATA("Value",'Ref Historic Spend'!$O$1,"Org",$B$3,"Description_1",$A16,"Month_Name",AG$5)</f>
        <v>11991.054</v>
      </c>
      <c r="AH16" s="488">
        <f>GETPIVOTDATA("Value",'Ref Historic Spend'!$O$1,"Org",$B$3,"Description_1",$A16,"Month_Name",AH$5)</f>
        <v>13200.569</v>
      </c>
      <c r="AI16" s="488">
        <f>GETPIVOTDATA("Value",'Ref Historic Spend'!$O$1,"Org",$B$3,"Description_1",$A16,"Month_Name",AI$5)</f>
        <v>12404.708000000001</v>
      </c>
      <c r="AJ16" s="488">
        <f>GETPIVOTDATA("Value",'Ref Historic Spend'!$O$1,"Org",$B$3,"Description_1",$A16,"Month_Name",AJ$5)</f>
        <v>13618.137000000001</v>
      </c>
      <c r="AK16" s="488">
        <f>GETPIVOTDATA("Value",'Ref Historic Spend'!$O$1,"Org",$B$3,"Description_1",$A16,"Month_Name",AK$5)</f>
        <v>25482.395</v>
      </c>
      <c r="AL16" s="488">
        <f>GETPIVOTDATA("Value",'Ref Historic Spend'!$O$1,"Org",$B$3,"Description_1",$A16,"Month_Name",AL$5)</f>
        <v>11423.199000000001</v>
      </c>
      <c r="AM16" s="488">
        <f>GETPIVOTDATA("Value",'Ref Historic Spend'!$O$1,"Org",$B$3,"Description_1",$A16,"Month_Name",AM$5)</f>
        <v>12473.735000000001</v>
      </c>
      <c r="AN16" s="488">
        <f>GETPIVOTDATA("Value",'Ref Historic Spend'!$O$1,"Org",$B$3,"Description_1",$A16,"Month_Name",AN$5)</f>
        <v>11315.875</v>
      </c>
      <c r="AO16" s="488">
        <f>GETPIVOTDATA("Value",'Ref Historic Spend'!$O$1,"Org",$B$3,"Description_1",$A16,"Month_Name",AO$5)</f>
        <v>11101.58</v>
      </c>
      <c r="AP16" s="488">
        <f>GETPIVOTDATA("Value",'Ref Historic Spend'!$O$1,"Org",$B$3,"Description_1",$A16,"Month_Name",AP$5)</f>
        <v>12317.021000000001</v>
      </c>
      <c r="AQ16" s="488">
        <f>GETPIVOTDATA("Value",'Ref Historic Spend'!$O$1,"Org",$B$3,"Description_1",$A16,"Month_Name",AQ$5)</f>
        <v>13018.234</v>
      </c>
      <c r="AR16" s="488">
        <f>GETPIVOTDATA("Value",'Ref Historic Spend'!$O$1,"Org",$B$3,"Description_1",$A16,"Month_Name",AR$5)</f>
        <v>14511.834999999999</v>
      </c>
      <c r="AS16" s="488">
        <f>GETPIVOTDATA("Value",'Ref Historic Spend'!$O$1,"Org",$B$3,"Description_1",$A16,"Month_Name",AS$5)</f>
        <v>11986.706</v>
      </c>
      <c r="AT16" s="488">
        <f>GETPIVOTDATA("Value",'Ref Historic Spend'!$O$1,"Org",$B$3,"Description_1",$A16,"Month_Name",AT$5)</f>
        <v>12033.463</v>
      </c>
      <c r="AU16" s="488">
        <f>GETPIVOTDATA("Value",'Ref Historic Spend'!$O$1,"Org",$B$3,"Description_1",$A16,"Month_Name",AU$5)</f>
        <v>11465.636</v>
      </c>
      <c r="AV16" s="488">
        <f>GETPIVOTDATA("Value",'Ref Historic Spend'!$O$1,"Org",$B$3,"Description_1",$A16,"Month_Name",AV$5)</f>
        <v>11982.66</v>
      </c>
      <c r="AW16" s="488">
        <f>GETPIVOTDATA("Value",'Ref Historic Spend'!$O$1,"Org",$B$3,"Description_1",$A16,"Month_Name",AW$5)</f>
        <v>7973.6109999999999</v>
      </c>
      <c r="AX16" s="489">
        <f>'F2 - Net Expenditure'!H15</f>
        <v>11225.135</v>
      </c>
      <c r="AY16" s="489">
        <f>'F2 - Net Expenditure'!I15</f>
        <v>10959.656000000001</v>
      </c>
      <c r="AZ16" s="489">
        <f>'F2 - Net Expenditure'!J15</f>
        <v>12586.064999999999</v>
      </c>
      <c r="BA16" s="489">
        <f>'F2 - Net Expenditure'!K15</f>
        <v>12081.285000000003</v>
      </c>
      <c r="BB16" s="489">
        <f>'F2 - Net Expenditure'!L15</f>
        <v>11774.905999999995</v>
      </c>
      <c r="BC16" s="489">
        <f>'F2 - Net Expenditure'!M15</f>
        <v>13086.627</v>
      </c>
      <c r="BD16" s="489">
        <f>'F2 - Net Expenditure'!N15</f>
        <v>11668.396000000008</v>
      </c>
      <c r="BE16" s="489">
        <f>'F2 - Net Expenditure'!O15</f>
        <v>13312.672999999995</v>
      </c>
      <c r="BF16" s="489">
        <f>'F2 - Net Expenditure'!P15</f>
        <v>12331.769000000004</v>
      </c>
      <c r="BG16" s="489">
        <f>'F2 - Net Expenditure'!Q15</f>
        <v>12851.245999999999</v>
      </c>
      <c r="BH16" s="489">
        <f>'F2 - Net Expenditure'!R15</f>
        <v>13132.728999999999</v>
      </c>
      <c r="BI16" s="489">
        <f>'F2 - Net Expenditure'!S15</f>
        <v>8223.6751299999814</v>
      </c>
      <c r="BJ16" s="489">
        <f>'F2 - Net Expenditure'!U15</f>
        <v>12243.073583333333</v>
      </c>
      <c r="BK16" s="489">
        <f>'F2 - Net Expenditure'!V15</f>
        <v>11977.594583333334</v>
      </c>
      <c r="BL16" s="489">
        <f>'F2 - Net Expenditure'!W15</f>
        <v>13604.003583333331</v>
      </c>
      <c r="BM16" s="489">
        <f>'F2 - Net Expenditure'!X15</f>
        <v>13099.223583333336</v>
      </c>
      <c r="BN16" s="489">
        <f>'F2 - Net Expenditure'!Y15</f>
        <v>12792.844583333328</v>
      </c>
      <c r="BO16" s="489">
        <f>'F2 - Net Expenditure'!Z15</f>
        <v>13604.565583333333</v>
      </c>
      <c r="BP16" s="489">
        <f>'F2 - Net Expenditure'!AA15</f>
        <v>12686.334583333341</v>
      </c>
      <c r="BQ16" s="489">
        <f>'F2 - Net Expenditure'!AB15</f>
        <v>13830.611583333328</v>
      </c>
      <c r="BR16" s="489">
        <f>'F2 - Net Expenditure'!AC15</f>
        <v>13349.707583333337</v>
      </c>
      <c r="BS16" s="489">
        <f>'F2 - Net Expenditure'!AD15</f>
        <v>13269.184583333332</v>
      </c>
      <c r="BT16" s="489">
        <f>'F2 - Net Expenditure'!AE15</f>
        <v>13650.667583333332</v>
      </c>
      <c r="BU16" s="489">
        <f>'F2 - Net Expenditure'!AF15</f>
        <v>13536.613713333314</v>
      </c>
    </row>
    <row r="17" spans="1:73" s="181" customFormat="1" ht="14.5">
      <c r="A17" s="177" t="s">
        <v>454</v>
      </c>
      <c r="B17" s="488">
        <f>GETPIVOTDATA("Value",'Ref Historic Spend'!$O$1,"Org",$B$3,"Description_1",$A17,"Month_Name",B$5)</f>
        <v>4948.9279999999999</v>
      </c>
      <c r="C17" s="488">
        <f>GETPIVOTDATA("Value",'Ref Historic Spend'!$O$1,"Org",$B$3,"Description_1",$A17,"Month_Name",C$5)</f>
        <v>5555.1949999999997</v>
      </c>
      <c r="D17" s="488">
        <f>GETPIVOTDATA("Value",'Ref Historic Spend'!$O$1,"Org",$B$3,"Description_1",$A17,"Month_Name",D$5)</f>
        <v>5448.9859999999999</v>
      </c>
      <c r="E17" s="488">
        <f>GETPIVOTDATA("Value",'Ref Historic Spend'!$O$1,"Org",$B$3,"Description_1",$A17,"Month_Name",E$5)</f>
        <v>6107.2879999999996</v>
      </c>
      <c r="F17" s="488">
        <f>GETPIVOTDATA("Value",'Ref Historic Spend'!$O$1,"Org",$B$3,"Description_1",$A17,"Month_Name",F$5)</f>
        <v>5191.741</v>
      </c>
      <c r="G17" s="488">
        <f>GETPIVOTDATA("Value",'Ref Historic Spend'!$O$1,"Org",$B$3,"Description_1",$A17,"Month_Name",G$5)</f>
        <v>5164.3850000000002</v>
      </c>
      <c r="H17" s="488">
        <f>GETPIVOTDATA("Value",'Ref Historic Spend'!$O$1,"Org",$B$3,"Description_1",$A17,"Month_Name",H$5)</f>
        <v>5819.7520000000004</v>
      </c>
      <c r="I17" s="488">
        <f>GETPIVOTDATA("Value",'Ref Historic Spend'!$O$1,"Org",$B$3,"Description_1",$A17,"Month_Name",I$5)</f>
        <v>5815.5349999999999</v>
      </c>
      <c r="J17" s="488">
        <f>GETPIVOTDATA("Value",'Ref Historic Spend'!$O$1,"Org",$B$3,"Description_1",$A17,"Month_Name",J$5)</f>
        <v>5742.7760000000098</v>
      </c>
      <c r="K17" s="488">
        <f>GETPIVOTDATA("Value",'Ref Historic Spend'!$O$1,"Org",$B$3,"Description_1",$A17,"Month_Name",K$5)</f>
        <v>6247.63</v>
      </c>
      <c r="L17" s="488">
        <f>GETPIVOTDATA("Value",'Ref Historic Spend'!$O$1,"Org",$B$3,"Description_1",$A17,"Month_Name",L$5)</f>
        <v>5173.6809999999996</v>
      </c>
      <c r="M17" s="488">
        <f>GETPIVOTDATA("Value",'Ref Historic Spend'!$O$1,"Org",$B$3,"Description_1",$A17,"Month_Name",M$5)</f>
        <v>5274.9180000000097</v>
      </c>
      <c r="N17" s="488">
        <f>GETPIVOTDATA("Value",'Ref Historic Spend'!$O$1,"Org",$B$3,"Description_1",$A17,"Month_Name",N$5)</f>
        <v>4835.2089999999998</v>
      </c>
      <c r="O17" s="488">
        <f>GETPIVOTDATA("Value",'Ref Historic Spend'!$O$1,"Org",$B$3,"Description_1",$A17,"Month_Name",O$5)</f>
        <v>4334.0829999999996</v>
      </c>
      <c r="P17" s="488">
        <f>GETPIVOTDATA("Value",'Ref Historic Spend'!$O$1,"Org",$B$3,"Description_1",$A17,"Month_Name",P$5)</f>
        <v>5706.8980000000001</v>
      </c>
      <c r="Q17" s="488">
        <f>GETPIVOTDATA("Value",'Ref Historic Spend'!$O$1,"Org",$B$3,"Description_1",$A17,"Month_Name",Q$5)</f>
        <v>5631.2730000000001</v>
      </c>
      <c r="R17" s="488">
        <f>GETPIVOTDATA("Value",'Ref Historic Spend'!$O$1,"Org",$B$3,"Description_1",$A17,"Month_Name",R$5)</f>
        <v>4950.4350000000004</v>
      </c>
      <c r="S17" s="488">
        <f>GETPIVOTDATA("Value",'Ref Historic Spend'!$O$1,"Org",$B$3,"Description_1",$A17,"Month_Name",S$5)</f>
        <v>5989.3050000000003</v>
      </c>
      <c r="T17" s="488">
        <f>GETPIVOTDATA("Value",'Ref Historic Spend'!$O$1,"Org",$B$3,"Description_1",$A17,"Month_Name",T$5)</f>
        <v>5627.3379999999997</v>
      </c>
      <c r="U17" s="488">
        <f>GETPIVOTDATA("Value",'Ref Historic Spend'!$O$1,"Org",$B$3,"Description_1",$A17,"Month_Name",U$5)</f>
        <v>5479.4290000000001</v>
      </c>
      <c r="V17" s="488">
        <f>GETPIVOTDATA("Value",'Ref Historic Spend'!$O$1,"Org",$B$3,"Description_1",$A17,"Month_Name",V$5)</f>
        <v>5706.6710000000003</v>
      </c>
      <c r="W17" s="488">
        <f>GETPIVOTDATA("Value",'Ref Historic Spend'!$O$1,"Org",$B$3,"Description_1",$A17,"Month_Name",W$5)</f>
        <v>4991.9129999999896</v>
      </c>
      <c r="X17" s="488">
        <f>GETPIVOTDATA("Value",'Ref Historic Spend'!$O$1,"Org",$B$3,"Description_1",$A17,"Month_Name",X$5)</f>
        <v>4843.4949999999999</v>
      </c>
      <c r="Y17" s="488">
        <f>GETPIVOTDATA("Value",'Ref Historic Spend'!$O$1,"Org",$B$3,"Description_1",$A17,"Month_Name",Y$5)</f>
        <v>8617.4269999999997</v>
      </c>
      <c r="Z17" s="488">
        <f>GETPIVOTDATA("Value",'Ref Historic Spend'!$O$1,"Org",$B$3,"Description_1",$A17,"Month_Name",Z$5)</f>
        <v>5939.1080000000002</v>
      </c>
      <c r="AA17" s="488">
        <f>GETPIVOTDATA("Value",'Ref Historic Spend'!$O$1,"Org",$B$3,"Description_1",$A17,"Month_Name",AA$5)</f>
        <v>7083.9719999999998</v>
      </c>
      <c r="AB17" s="488">
        <f>GETPIVOTDATA("Value",'Ref Historic Spend'!$O$1,"Org",$B$3,"Description_1",$A17,"Month_Name",AB$5)</f>
        <v>5482.2049999999999</v>
      </c>
      <c r="AC17" s="488">
        <f>GETPIVOTDATA("Value",'Ref Historic Spend'!$O$1,"Org",$B$3,"Description_1",$A17,"Month_Name",AC$5)</f>
        <v>6510.4589999999998</v>
      </c>
      <c r="AD17" s="488">
        <f>GETPIVOTDATA("Value",'Ref Historic Spend'!$O$1,"Org",$B$3,"Description_1",$A17,"Month_Name",AD$5)</f>
        <v>6037.3389999999999</v>
      </c>
      <c r="AE17" s="488">
        <f>GETPIVOTDATA("Value",'Ref Historic Spend'!$O$1,"Org",$B$3,"Description_1",$A17,"Month_Name",AE$5)</f>
        <v>6506.4669999999996</v>
      </c>
      <c r="AF17" s="488">
        <f>GETPIVOTDATA("Value",'Ref Historic Spend'!$O$1,"Org",$B$3,"Description_1",$A17,"Month_Name",AF$5)</f>
        <v>6715.9480000000003</v>
      </c>
      <c r="AG17" s="488">
        <f>GETPIVOTDATA("Value",'Ref Historic Spend'!$O$1,"Org",$B$3,"Description_1",$A17,"Month_Name",AG$5)</f>
        <v>6363.9369999999999</v>
      </c>
      <c r="AH17" s="488">
        <f>GETPIVOTDATA("Value",'Ref Historic Spend'!$O$1,"Org",$B$3,"Description_1",$A17,"Month_Name",AH$5)</f>
        <v>5774.6760000000004</v>
      </c>
      <c r="AI17" s="488">
        <f>GETPIVOTDATA("Value",'Ref Historic Spend'!$O$1,"Org",$B$3,"Description_1",$A17,"Month_Name",AI$5)</f>
        <v>6835.7089999999998</v>
      </c>
      <c r="AJ17" s="488">
        <f>GETPIVOTDATA("Value",'Ref Historic Spend'!$O$1,"Org",$B$3,"Description_1",$A17,"Month_Name",AJ$5)</f>
        <v>6422.0140000000001</v>
      </c>
      <c r="AK17" s="488">
        <f>GETPIVOTDATA("Value",'Ref Historic Spend'!$O$1,"Org",$B$3,"Description_1",$A17,"Month_Name",AK$5)</f>
        <v>6163.7969999999896</v>
      </c>
      <c r="AL17" s="488">
        <f>GETPIVOTDATA("Value",'Ref Historic Spend'!$O$1,"Org",$B$3,"Description_1",$A17,"Month_Name",AL$5)</f>
        <v>5047.9690000000001</v>
      </c>
      <c r="AM17" s="488">
        <f>GETPIVOTDATA("Value",'Ref Historic Spend'!$O$1,"Org",$B$3,"Description_1",$A17,"Month_Name",AM$5)</f>
        <v>6924.3410000000003</v>
      </c>
      <c r="AN17" s="488">
        <f>GETPIVOTDATA("Value",'Ref Historic Spend'!$O$1,"Org",$B$3,"Description_1",$A17,"Month_Name",AN$5)</f>
        <v>6901.5219999999999</v>
      </c>
      <c r="AO17" s="488">
        <f>GETPIVOTDATA("Value",'Ref Historic Spend'!$O$1,"Org",$B$3,"Description_1",$A17,"Month_Name",AO$5)</f>
        <v>6462.9880000000003</v>
      </c>
      <c r="AP17" s="488">
        <f>GETPIVOTDATA("Value",'Ref Historic Spend'!$O$1,"Org",$B$3,"Description_1",$A17,"Month_Name",AP$5)</f>
        <v>7372.2150000000001</v>
      </c>
      <c r="AQ17" s="488">
        <f>GETPIVOTDATA("Value",'Ref Historic Spend'!$O$1,"Org",$B$3,"Description_1",$A17,"Month_Name",AQ$5)</f>
        <v>6968.0720000000001</v>
      </c>
      <c r="AR17" s="488">
        <f>GETPIVOTDATA("Value",'Ref Historic Spend'!$O$1,"Org",$B$3,"Description_1",$A17,"Month_Name",AR$5)</f>
        <v>5927.2759999999998</v>
      </c>
      <c r="AS17" s="488">
        <f>GETPIVOTDATA("Value",'Ref Historic Spend'!$O$1,"Org",$B$3,"Description_1",$A17,"Month_Name",AS$5)</f>
        <v>7154.4030000000002</v>
      </c>
      <c r="AT17" s="488">
        <f>GETPIVOTDATA("Value",'Ref Historic Spend'!$O$1,"Org",$B$3,"Description_1",$A17,"Month_Name",AT$5)</f>
        <v>6636.8519999999999</v>
      </c>
      <c r="AU17" s="488">
        <f>GETPIVOTDATA("Value",'Ref Historic Spend'!$O$1,"Org",$B$3,"Description_1",$A17,"Month_Name",AU$5)</f>
        <v>6549.4160000000002</v>
      </c>
      <c r="AV17" s="488">
        <f>GETPIVOTDATA("Value",'Ref Historic Spend'!$O$1,"Org",$B$3,"Description_1",$A17,"Month_Name",AV$5)</f>
        <v>6374.0950000000003</v>
      </c>
      <c r="AW17" s="488">
        <f>GETPIVOTDATA("Value",'Ref Historic Spend'!$O$1,"Org",$B$3,"Description_1",$A17,"Month_Name",AW$5)</f>
        <v>6467.5079999999998</v>
      </c>
      <c r="AX17" s="489">
        <f>'F2 - Net Expenditure'!H16</f>
        <v>5428.5649999999996</v>
      </c>
      <c r="AY17" s="489">
        <f>'F2 - Net Expenditure'!I16</f>
        <v>6817.8760000000011</v>
      </c>
      <c r="AZ17" s="489">
        <f>'F2 - Net Expenditure'!J16</f>
        <v>6594.8680000000004</v>
      </c>
      <c r="BA17" s="489">
        <f>'F2 - Net Expenditure'!K16</f>
        <v>6639.8580000000002</v>
      </c>
      <c r="BB17" s="489">
        <f>'F2 - Net Expenditure'!L16</f>
        <v>6582.1090000000004</v>
      </c>
      <c r="BC17" s="489">
        <f>'F2 - Net Expenditure'!M16</f>
        <v>6362.3080000000009</v>
      </c>
      <c r="BD17" s="489">
        <f>'F2 - Net Expenditure'!N16</f>
        <v>7815.3240000000005</v>
      </c>
      <c r="BE17" s="489">
        <f>'F2 - Net Expenditure'!O16</f>
        <v>8090.0089999999982</v>
      </c>
      <c r="BF17" s="489">
        <f>'F2 - Net Expenditure'!P16</f>
        <v>6312.4239999999991</v>
      </c>
      <c r="BG17" s="489">
        <f>'F2 - Net Expenditure'!Q16</f>
        <v>8432</v>
      </c>
      <c r="BH17" s="489">
        <f>'F2 - Net Expenditure'!R16</f>
        <v>7051.0509999999922</v>
      </c>
      <c r="BI17" s="489">
        <f>'F2 - Net Expenditure'!S16</f>
        <v>7150.4519999999993</v>
      </c>
      <c r="BJ17" s="489">
        <f>'F2 - Net Expenditure'!U16</f>
        <v>7331.666666666667</v>
      </c>
      <c r="BK17" s="489">
        <f>'F2 - Net Expenditure'!V16</f>
        <v>7331.666666666667</v>
      </c>
      <c r="BL17" s="489">
        <f>'F2 - Net Expenditure'!W16</f>
        <v>7331.666666666667</v>
      </c>
      <c r="BM17" s="489">
        <f>'F2 - Net Expenditure'!X16</f>
        <v>7331.666666666667</v>
      </c>
      <c r="BN17" s="489">
        <f>'F2 - Net Expenditure'!Y16</f>
        <v>7331.666666666667</v>
      </c>
      <c r="BO17" s="489">
        <f>'F2 - Net Expenditure'!Z16</f>
        <v>7331.666666666667</v>
      </c>
      <c r="BP17" s="489">
        <f>'F2 - Net Expenditure'!AA16</f>
        <v>7331.666666666667</v>
      </c>
      <c r="BQ17" s="489">
        <f>'F2 - Net Expenditure'!AB16</f>
        <v>7331.666666666667</v>
      </c>
      <c r="BR17" s="489">
        <f>'F2 - Net Expenditure'!AC16</f>
        <v>7331.666666666667</v>
      </c>
      <c r="BS17" s="489">
        <f>'F2 - Net Expenditure'!AD16</f>
        <v>7331.666666666667</v>
      </c>
      <c r="BT17" s="489">
        <f>'F2 - Net Expenditure'!AE16</f>
        <v>7331.666666666667</v>
      </c>
      <c r="BU17" s="489">
        <f>'F2 - Net Expenditure'!AF16</f>
        <v>7331.666666666667</v>
      </c>
    </row>
    <row r="18" spans="1:73" s="181" customFormat="1" ht="14.5">
      <c r="A18" s="177" t="s">
        <v>441</v>
      </c>
      <c r="B18" s="488">
        <f>GETPIVOTDATA("Value",'Ref Historic Spend'!$O$1,"Org",$B$3,"Description_1",$A18,"Month_Name",B$5)</f>
        <v>11540.196</v>
      </c>
      <c r="C18" s="488">
        <f>GETPIVOTDATA("Value",'Ref Historic Spend'!$O$1,"Org",$B$3,"Description_1",$A18,"Month_Name",C$5)</f>
        <v>12294.772000000001</v>
      </c>
      <c r="D18" s="488">
        <f>GETPIVOTDATA("Value",'Ref Historic Spend'!$O$1,"Org",$B$3,"Description_1",$A18,"Month_Name",D$5)</f>
        <v>12821.405000000001</v>
      </c>
      <c r="E18" s="488">
        <f>GETPIVOTDATA("Value",'Ref Historic Spend'!$O$1,"Org",$B$3,"Description_1",$A18,"Month_Name",E$5)</f>
        <v>12327.870999999999</v>
      </c>
      <c r="F18" s="488">
        <f>GETPIVOTDATA("Value",'Ref Historic Spend'!$O$1,"Org",$B$3,"Description_1",$A18,"Month_Name",F$5)</f>
        <v>12269.906000000001</v>
      </c>
      <c r="G18" s="488">
        <f>GETPIVOTDATA("Value",'Ref Historic Spend'!$O$1,"Org",$B$3,"Description_1",$A18,"Month_Name",G$5)</f>
        <v>12547.178</v>
      </c>
      <c r="H18" s="488">
        <f>GETPIVOTDATA("Value",'Ref Historic Spend'!$O$1,"Org",$B$3,"Description_1",$A18,"Month_Name",H$5)</f>
        <v>12086.808000000001</v>
      </c>
      <c r="I18" s="488">
        <f>GETPIVOTDATA("Value",'Ref Historic Spend'!$O$1,"Org",$B$3,"Description_1",$A18,"Month_Name",I$5)</f>
        <v>13076.618</v>
      </c>
      <c r="J18" s="488">
        <f>GETPIVOTDATA("Value",'Ref Historic Spend'!$O$1,"Org",$B$3,"Description_1",$A18,"Month_Name",J$5)</f>
        <v>12672.291999999999</v>
      </c>
      <c r="K18" s="488">
        <f>GETPIVOTDATA("Value",'Ref Historic Spend'!$O$1,"Org",$B$3,"Description_1",$A18,"Month_Name",K$5)</f>
        <v>12931.26</v>
      </c>
      <c r="L18" s="488">
        <f>GETPIVOTDATA("Value",'Ref Historic Spend'!$O$1,"Org",$B$3,"Description_1",$A18,"Month_Name",L$5)</f>
        <v>12567.204</v>
      </c>
      <c r="M18" s="488">
        <f>GETPIVOTDATA("Value",'Ref Historic Spend'!$O$1,"Org",$B$3,"Description_1",$A18,"Month_Name",M$5)</f>
        <v>10528.486999999999</v>
      </c>
      <c r="N18" s="488">
        <f>GETPIVOTDATA("Value",'Ref Historic Spend'!$O$1,"Org",$B$3,"Description_1",$A18,"Month_Name",N$5)</f>
        <v>12740.108</v>
      </c>
      <c r="O18" s="488">
        <f>GETPIVOTDATA("Value",'Ref Historic Spend'!$O$1,"Org",$B$3,"Description_1",$A18,"Month_Name",O$5)</f>
        <v>12797.007</v>
      </c>
      <c r="P18" s="488">
        <f>GETPIVOTDATA("Value",'Ref Historic Spend'!$O$1,"Org",$B$3,"Description_1",$A18,"Month_Name",P$5)</f>
        <v>12720.504999999999</v>
      </c>
      <c r="Q18" s="488">
        <f>GETPIVOTDATA("Value",'Ref Historic Spend'!$O$1,"Org",$B$3,"Description_1",$A18,"Month_Name",Q$5)</f>
        <v>13644.786</v>
      </c>
      <c r="R18" s="488">
        <f>GETPIVOTDATA("Value",'Ref Historic Spend'!$O$1,"Org",$B$3,"Description_1",$A18,"Month_Name",R$5)</f>
        <v>12986.66</v>
      </c>
      <c r="S18" s="488">
        <f>GETPIVOTDATA("Value",'Ref Historic Spend'!$O$1,"Org",$B$3,"Description_1",$A18,"Month_Name",S$5)</f>
        <v>14380.927</v>
      </c>
      <c r="T18" s="488">
        <f>GETPIVOTDATA("Value",'Ref Historic Spend'!$O$1,"Org",$B$3,"Description_1",$A18,"Month_Name",T$5)</f>
        <v>13213.2</v>
      </c>
      <c r="U18" s="488">
        <f>GETPIVOTDATA("Value",'Ref Historic Spend'!$O$1,"Org",$B$3,"Description_1",$A18,"Month_Name",U$5)</f>
        <v>13737.339</v>
      </c>
      <c r="V18" s="488">
        <f>GETPIVOTDATA("Value",'Ref Historic Spend'!$O$1,"Org",$B$3,"Description_1",$A18,"Month_Name",V$5)</f>
        <v>13472.965</v>
      </c>
      <c r="W18" s="488">
        <f>GETPIVOTDATA("Value",'Ref Historic Spend'!$O$1,"Org",$B$3,"Description_1",$A18,"Month_Name",W$5)</f>
        <v>13340.739</v>
      </c>
      <c r="X18" s="488">
        <f>GETPIVOTDATA("Value",'Ref Historic Spend'!$O$1,"Org",$B$3,"Description_1",$A18,"Month_Name",X$5)</f>
        <v>11764.43</v>
      </c>
      <c r="Y18" s="488">
        <f>GETPIVOTDATA("Value",'Ref Historic Spend'!$O$1,"Org",$B$3,"Description_1",$A18,"Month_Name",Y$5)</f>
        <v>13971.883</v>
      </c>
      <c r="Z18" s="488">
        <f>GETPIVOTDATA("Value",'Ref Historic Spend'!$O$1,"Org",$B$3,"Description_1",$A18,"Month_Name",Z$5)</f>
        <v>13355.688</v>
      </c>
      <c r="AA18" s="488">
        <f>GETPIVOTDATA("Value",'Ref Historic Spend'!$O$1,"Org",$B$3,"Description_1",$A18,"Month_Name",AA$5)</f>
        <v>13410.807000000001</v>
      </c>
      <c r="AB18" s="488">
        <f>GETPIVOTDATA("Value",'Ref Historic Spend'!$O$1,"Org",$B$3,"Description_1",$A18,"Month_Name",AB$5)</f>
        <v>13509.227999999999</v>
      </c>
      <c r="AC18" s="488">
        <f>GETPIVOTDATA("Value",'Ref Historic Spend'!$O$1,"Org",$B$3,"Description_1",$A18,"Month_Name",AC$5)</f>
        <v>14267.585999999999</v>
      </c>
      <c r="AD18" s="488">
        <f>GETPIVOTDATA("Value",'Ref Historic Spend'!$O$1,"Org",$B$3,"Description_1",$A18,"Month_Name",AD$5)</f>
        <v>14689.236999999999</v>
      </c>
      <c r="AE18" s="488">
        <f>GETPIVOTDATA("Value",'Ref Historic Spend'!$O$1,"Org",$B$3,"Description_1",$A18,"Month_Name",AE$5)</f>
        <v>14864.656999999999</v>
      </c>
      <c r="AF18" s="488">
        <f>GETPIVOTDATA("Value",'Ref Historic Spend'!$O$1,"Org",$B$3,"Description_1",$A18,"Month_Name",AF$5)</f>
        <v>14185.879000000001</v>
      </c>
      <c r="AG18" s="488">
        <f>GETPIVOTDATA("Value",'Ref Historic Spend'!$O$1,"Org",$B$3,"Description_1",$A18,"Month_Name",AG$5)</f>
        <v>14059.081</v>
      </c>
      <c r="AH18" s="488">
        <f>GETPIVOTDATA("Value",'Ref Historic Spend'!$O$1,"Org",$B$3,"Description_1",$A18,"Month_Name",AH$5)</f>
        <v>14370.455</v>
      </c>
      <c r="AI18" s="488">
        <f>GETPIVOTDATA("Value",'Ref Historic Spend'!$O$1,"Org",$B$3,"Description_1",$A18,"Month_Name",AI$5)</f>
        <v>14659.778</v>
      </c>
      <c r="AJ18" s="488">
        <f>GETPIVOTDATA("Value",'Ref Historic Spend'!$O$1,"Org",$B$3,"Description_1",$A18,"Month_Name",AJ$5)</f>
        <v>13033.494000000001</v>
      </c>
      <c r="AK18" s="488">
        <f>GETPIVOTDATA("Value",'Ref Historic Spend'!$O$1,"Org",$B$3,"Description_1",$A18,"Month_Name",AK$5)</f>
        <v>15937.138000000001</v>
      </c>
      <c r="AL18" s="488">
        <f>GETPIVOTDATA("Value",'Ref Historic Spend'!$O$1,"Org",$B$3,"Description_1",$A18,"Month_Name",AL$5)</f>
        <v>14045.763000000001</v>
      </c>
      <c r="AM18" s="488">
        <f>GETPIVOTDATA("Value",'Ref Historic Spend'!$O$1,"Org",$B$3,"Description_1",$A18,"Month_Name",AM$5)</f>
        <v>14180.563</v>
      </c>
      <c r="AN18" s="488">
        <f>GETPIVOTDATA("Value",'Ref Historic Spend'!$O$1,"Org",$B$3,"Description_1",$A18,"Month_Name",AN$5)</f>
        <v>15453.987999999999</v>
      </c>
      <c r="AO18" s="488">
        <f>GETPIVOTDATA("Value",'Ref Historic Spend'!$O$1,"Org",$B$3,"Description_1",$A18,"Month_Name",AO$5)</f>
        <v>14686.644</v>
      </c>
      <c r="AP18" s="488">
        <f>GETPIVOTDATA("Value",'Ref Historic Spend'!$O$1,"Org",$B$3,"Description_1",$A18,"Month_Name",AP$5)</f>
        <v>14239.078</v>
      </c>
      <c r="AQ18" s="488">
        <f>GETPIVOTDATA("Value",'Ref Historic Spend'!$O$1,"Org",$B$3,"Description_1",$A18,"Month_Name",AQ$5)</f>
        <v>15172.777</v>
      </c>
      <c r="AR18" s="488">
        <f>GETPIVOTDATA("Value",'Ref Historic Spend'!$O$1,"Org",$B$3,"Description_1",$A18,"Month_Name",AR$5)</f>
        <v>14755.236000000001</v>
      </c>
      <c r="AS18" s="488">
        <f>GETPIVOTDATA("Value",'Ref Historic Spend'!$O$1,"Org",$B$3,"Description_1",$A18,"Month_Name",AS$5)</f>
        <v>14869.981</v>
      </c>
      <c r="AT18" s="488">
        <f>GETPIVOTDATA("Value",'Ref Historic Spend'!$O$1,"Org",$B$3,"Description_1",$A18,"Month_Name",AT$5)</f>
        <v>16164.199000000001</v>
      </c>
      <c r="AU18" s="488">
        <f>GETPIVOTDATA("Value",'Ref Historic Spend'!$O$1,"Org",$B$3,"Description_1",$A18,"Month_Name",AU$5)</f>
        <v>14430.161</v>
      </c>
      <c r="AV18" s="488">
        <f>GETPIVOTDATA("Value",'Ref Historic Spend'!$O$1,"Org",$B$3,"Description_1",$A18,"Month_Name",AV$5)</f>
        <v>17233.815999999999</v>
      </c>
      <c r="AW18" s="488">
        <f>GETPIVOTDATA("Value",'Ref Historic Spend'!$O$1,"Org",$B$3,"Description_1",$A18,"Month_Name",AW$5)</f>
        <v>14918.01</v>
      </c>
      <c r="AX18" s="489">
        <f>'F2 - Net Expenditure'!H17</f>
        <v>14640.498</v>
      </c>
      <c r="AY18" s="489">
        <f>'F2 - Net Expenditure'!I17</f>
        <v>14682.698</v>
      </c>
      <c r="AZ18" s="489">
        <f>'F2 - Net Expenditure'!J17</f>
        <v>14597.314999999999</v>
      </c>
      <c r="BA18" s="489">
        <f>'F2 - Net Expenditure'!K17</f>
        <v>14931.313999999998</v>
      </c>
      <c r="BB18" s="489">
        <f>'F2 - Net Expenditure'!L17</f>
        <v>14767.524000000005</v>
      </c>
      <c r="BC18" s="489">
        <f>'F2 - Net Expenditure'!M17</f>
        <v>16130.080999999991</v>
      </c>
      <c r="BD18" s="489">
        <f>'F2 - Net Expenditure'!N17</f>
        <v>14996.455000000002</v>
      </c>
      <c r="BE18" s="489">
        <f>'F2 - Net Expenditure'!O17</f>
        <v>16718.65800000001</v>
      </c>
      <c r="BF18" s="489">
        <f>'F2 - Net Expenditure'!P17</f>
        <v>15555.774999999996</v>
      </c>
      <c r="BG18" s="489">
        <f>'F2 - Net Expenditure'!Q17</f>
        <v>15627.823000000004</v>
      </c>
      <c r="BH18" s="489">
        <f>'F2 - Net Expenditure'!R17</f>
        <v>14863.987999999983</v>
      </c>
      <c r="BI18" s="489">
        <f>'F2 - Net Expenditure'!S17</f>
        <v>15558.33</v>
      </c>
      <c r="BJ18" s="489">
        <f>'F2 - Net Expenditure'!U17</f>
        <v>15294.525777777777</v>
      </c>
      <c r="BK18" s="489">
        <f>'F2 - Net Expenditure'!V17</f>
        <v>15336.725777777778</v>
      </c>
      <c r="BL18" s="489">
        <f>'F2 - Net Expenditure'!W17</f>
        <v>15251.342777777776</v>
      </c>
      <c r="BM18" s="489">
        <f>'F2 - Net Expenditure'!X17</f>
        <v>15585.341777777776</v>
      </c>
      <c r="BN18" s="489">
        <f>'F2 - Net Expenditure'!Y17</f>
        <v>15421.551777777782</v>
      </c>
      <c r="BO18" s="489">
        <f>'F2 - Net Expenditure'!Z17</f>
        <v>16784.108777777768</v>
      </c>
      <c r="BP18" s="489">
        <f>'F2 - Net Expenditure'!AA17</f>
        <v>15650.482777777779</v>
      </c>
      <c r="BQ18" s="489">
        <f>'F2 - Net Expenditure'!AB17</f>
        <v>17372.685777777788</v>
      </c>
      <c r="BR18" s="489">
        <f>'F2 - Net Expenditure'!AC17</f>
        <v>16209.802777777773</v>
      </c>
      <c r="BS18" s="489">
        <f>'F2 - Net Expenditure'!AD17</f>
        <v>16281.850777777781</v>
      </c>
      <c r="BT18" s="489">
        <f>'F2 - Net Expenditure'!AE17</f>
        <v>15518.01577777776</v>
      </c>
      <c r="BU18" s="489">
        <f>'F2 - Net Expenditure'!AF17</f>
        <v>16212.357777777777</v>
      </c>
    </row>
    <row r="19" spans="1:73" s="181" customFormat="1" ht="14.5">
      <c r="A19" s="177" t="s">
        <v>447</v>
      </c>
      <c r="B19" s="488">
        <f>GETPIVOTDATA("Value",'Ref Historic Spend'!$O$1,"Org",$B$3,"Description_1",$A19,"Month_Name",B$5)</f>
        <v>0</v>
      </c>
      <c r="C19" s="488">
        <f>GETPIVOTDATA("Value",'Ref Historic Spend'!$O$1,"Org",$B$3,"Description_1",$A19,"Month_Name",C$5)</f>
        <v>0</v>
      </c>
      <c r="D19" s="488">
        <f>GETPIVOTDATA("Value",'Ref Historic Spend'!$O$1,"Org",$B$3,"Description_1",$A19,"Month_Name",D$5)</f>
        <v>0</v>
      </c>
      <c r="E19" s="488">
        <f>GETPIVOTDATA("Value",'Ref Historic Spend'!$O$1,"Org",$B$3,"Description_1",$A19,"Month_Name",E$5)</f>
        <v>0</v>
      </c>
      <c r="F19" s="488">
        <f>GETPIVOTDATA("Value",'Ref Historic Spend'!$O$1,"Org",$B$3,"Description_1",$A19,"Month_Name",F$5)</f>
        <v>0</v>
      </c>
      <c r="G19" s="488">
        <f>GETPIVOTDATA("Value",'Ref Historic Spend'!$O$1,"Org",$B$3,"Description_1",$A19,"Month_Name",G$5)</f>
        <v>0</v>
      </c>
      <c r="H19" s="488">
        <f>GETPIVOTDATA("Value",'Ref Historic Spend'!$O$1,"Org",$B$3,"Description_1",$A19,"Month_Name",H$5)</f>
        <v>0</v>
      </c>
      <c r="I19" s="488">
        <f>GETPIVOTDATA("Value",'Ref Historic Spend'!$O$1,"Org",$B$3,"Description_1",$A19,"Month_Name",I$5)</f>
        <v>0</v>
      </c>
      <c r="J19" s="488">
        <f>GETPIVOTDATA("Value",'Ref Historic Spend'!$O$1,"Org",$B$3,"Description_1",$A19,"Month_Name",J$5)</f>
        <v>0</v>
      </c>
      <c r="K19" s="488">
        <f>GETPIVOTDATA("Value",'Ref Historic Spend'!$O$1,"Org",$B$3,"Description_1",$A19,"Month_Name",K$5)</f>
        <v>0</v>
      </c>
      <c r="L19" s="488">
        <f>GETPIVOTDATA("Value",'Ref Historic Spend'!$O$1,"Org",$B$3,"Description_1",$A19,"Month_Name",L$5)</f>
        <v>0</v>
      </c>
      <c r="M19" s="488">
        <f>GETPIVOTDATA("Value",'Ref Historic Spend'!$O$1,"Org",$B$3,"Description_1",$A19,"Month_Name",M$5)</f>
        <v>0</v>
      </c>
      <c r="N19" s="488">
        <f>GETPIVOTDATA("Value",'Ref Historic Spend'!$O$1,"Org",$B$3,"Description_1",$A19,"Month_Name",N$5)</f>
        <v>0</v>
      </c>
      <c r="O19" s="488">
        <f>GETPIVOTDATA("Value",'Ref Historic Spend'!$O$1,"Org",$B$3,"Description_1",$A19,"Month_Name",O$5)</f>
        <v>0</v>
      </c>
      <c r="P19" s="488">
        <f>GETPIVOTDATA("Value",'Ref Historic Spend'!$O$1,"Org",$B$3,"Description_1",$A19,"Month_Name",P$5)</f>
        <v>0</v>
      </c>
      <c r="Q19" s="488">
        <f>GETPIVOTDATA("Value",'Ref Historic Spend'!$O$1,"Org",$B$3,"Description_1",$A19,"Month_Name",Q$5)</f>
        <v>0</v>
      </c>
      <c r="R19" s="488">
        <f>GETPIVOTDATA("Value",'Ref Historic Spend'!$O$1,"Org",$B$3,"Description_1",$A19,"Month_Name",R$5)</f>
        <v>0</v>
      </c>
      <c r="S19" s="488">
        <f>GETPIVOTDATA("Value",'Ref Historic Spend'!$O$1,"Org",$B$3,"Description_1",$A19,"Month_Name",S$5)</f>
        <v>0</v>
      </c>
      <c r="T19" s="488">
        <f>GETPIVOTDATA("Value",'Ref Historic Spend'!$O$1,"Org",$B$3,"Description_1",$A19,"Month_Name",T$5)</f>
        <v>0</v>
      </c>
      <c r="U19" s="488">
        <f>GETPIVOTDATA("Value",'Ref Historic Spend'!$O$1,"Org",$B$3,"Description_1",$A19,"Month_Name",U$5)</f>
        <v>0</v>
      </c>
      <c r="V19" s="488">
        <f>GETPIVOTDATA("Value",'Ref Historic Spend'!$O$1,"Org",$B$3,"Description_1",$A19,"Month_Name",V$5)</f>
        <v>0</v>
      </c>
      <c r="W19" s="488">
        <f>GETPIVOTDATA("Value",'Ref Historic Spend'!$O$1,"Org",$B$3,"Description_1",$A19,"Month_Name",W$5)</f>
        <v>0</v>
      </c>
      <c r="X19" s="488">
        <f>GETPIVOTDATA("Value",'Ref Historic Spend'!$O$1,"Org",$B$3,"Description_1",$A19,"Month_Name",X$5)</f>
        <v>0</v>
      </c>
      <c r="Y19" s="488">
        <f>GETPIVOTDATA("Value",'Ref Historic Spend'!$O$1,"Org",$B$3,"Description_1",$A19,"Month_Name",Y$5)</f>
        <v>0</v>
      </c>
      <c r="Z19" s="488">
        <f>GETPIVOTDATA("Value",'Ref Historic Spend'!$O$1,"Org",$B$3,"Description_1",$A19,"Month_Name",Z$5)</f>
        <v>0</v>
      </c>
      <c r="AA19" s="488">
        <f>GETPIVOTDATA("Value",'Ref Historic Spend'!$O$1,"Org",$B$3,"Description_1",$A19,"Month_Name",AA$5)</f>
        <v>0</v>
      </c>
      <c r="AB19" s="488">
        <f>GETPIVOTDATA("Value",'Ref Historic Spend'!$O$1,"Org",$B$3,"Description_1",$A19,"Month_Name",AB$5)</f>
        <v>0</v>
      </c>
      <c r="AC19" s="488">
        <f>GETPIVOTDATA("Value",'Ref Historic Spend'!$O$1,"Org",$B$3,"Description_1",$A19,"Month_Name",AC$5)</f>
        <v>0</v>
      </c>
      <c r="AD19" s="488">
        <f>GETPIVOTDATA("Value",'Ref Historic Spend'!$O$1,"Org",$B$3,"Description_1",$A19,"Month_Name",AD$5)</f>
        <v>0</v>
      </c>
      <c r="AE19" s="488">
        <f>GETPIVOTDATA("Value",'Ref Historic Spend'!$O$1,"Org",$B$3,"Description_1",$A19,"Month_Name",AE$5)</f>
        <v>0</v>
      </c>
      <c r="AF19" s="488">
        <f>GETPIVOTDATA("Value",'Ref Historic Spend'!$O$1,"Org",$B$3,"Description_1",$A19,"Month_Name",AF$5)</f>
        <v>0</v>
      </c>
      <c r="AG19" s="488">
        <f>GETPIVOTDATA("Value",'Ref Historic Spend'!$O$1,"Org",$B$3,"Description_1",$A19,"Month_Name",AG$5)</f>
        <v>0</v>
      </c>
      <c r="AH19" s="488">
        <f>GETPIVOTDATA("Value",'Ref Historic Spend'!$O$1,"Org",$B$3,"Description_1",$A19,"Month_Name",AH$5)</f>
        <v>0</v>
      </c>
      <c r="AI19" s="488">
        <f>GETPIVOTDATA("Value",'Ref Historic Spend'!$O$1,"Org",$B$3,"Description_1",$A19,"Month_Name",AI$5)</f>
        <v>0</v>
      </c>
      <c r="AJ19" s="488">
        <f>GETPIVOTDATA("Value",'Ref Historic Spend'!$O$1,"Org",$B$3,"Description_1",$A19,"Month_Name",AJ$5)</f>
        <v>0</v>
      </c>
      <c r="AK19" s="488">
        <f>GETPIVOTDATA("Value",'Ref Historic Spend'!$O$1,"Org",$B$3,"Description_1",$A19,"Month_Name",AK$5)</f>
        <v>0</v>
      </c>
      <c r="AL19" s="488">
        <f>GETPIVOTDATA("Value",'Ref Historic Spend'!$O$1,"Org",$B$3,"Description_1",$A19,"Month_Name",AL$5)</f>
        <v>0</v>
      </c>
      <c r="AM19" s="488">
        <f>GETPIVOTDATA("Value",'Ref Historic Spend'!$O$1,"Org",$B$3,"Description_1",$A19,"Month_Name",AM$5)</f>
        <v>0</v>
      </c>
      <c r="AN19" s="488">
        <f>GETPIVOTDATA("Value",'Ref Historic Spend'!$O$1,"Org",$B$3,"Description_1",$A19,"Month_Name",AN$5)</f>
        <v>0</v>
      </c>
      <c r="AO19" s="488">
        <f>GETPIVOTDATA("Value",'Ref Historic Spend'!$O$1,"Org",$B$3,"Description_1",$A19,"Month_Name",AO$5)</f>
        <v>0</v>
      </c>
      <c r="AP19" s="488">
        <f>GETPIVOTDATA("Value",'Ref Historic Spend'!$O$1,"Org",$B$3,"Description_1",$A19,"Month_Name",AP$5)</f>
        <v>0</v>
      </c>
      <c r="AQ19" s="488">
        <f>GETPIVOTDATA("Value",'Ref Historic Spend'!$O$1,"Org",$B$3,"Description_1",$A19,"Month_Name",AQ$5)</f>
        <v>0</v>
      </c>
      <c r="AR19" s="488">
        <f>GETPIVOTDATA("Value",'Ref Historic Spend'!$O$1,"Org",$B$3,"Description_1",$A19,"Month_Name",AR$5)</f>
        <v>0</v>
      </c>
      <c r="AS19" s="488">
        <f>GETPIVOTDATA("Value",'Ref Historic Spend'!$O$1,"Org",$B$3,"Description_1",$A19,"Month_Name",AS$5)</f>
        <v>0</v>
      </c>
      <c r="AT19" s="488">
        <f>GETPIVOTDATA("Value",'Ref Historic Spend'!$O$1,"Org",$B$3,"Description_1",$A19,"Month_Name",AT$5)</f>
        <v>0</v>
      </c>
      <c r="AU19" s="488">
        <f>GETPIVOTDATA("Value",'Ref Historic Spend'!$O$1,"Org",$B$3,"Description_1",$A19,"Month_Name",AU$5)</f>
        <v>0</v>
      </c>
      <c r="AV19" s="488">
        <f>GETPIVOTDATA("Value",'Ref Historic Spend'!$O$1,"Org",$B$3,"Description_1",$A19,"Month_Name",AV$5)</f>
        <v>0</v>
      </c>
      <c r="AW19" s="488">
        <f>GETPIVOTDATA("Value",'Ref Historic Spend'!$O$1,"Org",$B$3,"Description_1",$A19,"Month_Name",AW$5)</f>
        <v>0</v>
      </c>
      <c r="AX19" s="489">
        <f>'F2 - Net Expenditure'!H18</f>
        <v>0</v>
      </c>
      <c r="AY19" s="489">
        <f>'F2 - Net Expenditure'!I18</f>
        <v>0</v>
      </c>
      <c r="AZ19" s="489">
        <f>'F2 - Net Expenditure'!J18</f>
        <v>0</v>
      </c>
      <c r="BA19" s="489">
        <f>'F2 - Net Expenditure'!K18</f>
        <v>0</v>
      </c>
      <c r="BB19" s="489">
        <f>'F2 - Net Expenditure'!L18</f>
        <v>0</v>
      </c>
      <c r="BC19" s="489">
        <f>'F2 - Net Expenditure'!M18</f>
        <v>0</v>
      </c>
      <c r="BD19" s="489">
        <f>'F2 - Net Expenditure'!N18</f>
        <v>0</v>
      </c>
      <c r="BE19" s="489">
        <f>'F2 - Net Expenditure'!O18</f>
        <v>0</v>
      </c>
      <c r="BF19" s="489">
        <f>'F2 - Net Expenditure'!P18</f>
        <v>0</v>
      </c>
      <c r="BG19" s="489">
        <f>'F2 - Net Expenditure'!Q18</f>
        <v>0</v>
      </c>
      <c r="BH19" s="489">
        <f>'F2 - Net Expenditure'!R18</f>
        <v>0</v>
      </c>
      <c r="BI19" s="489">
        <f>'F2 - Net Expenditure'!S18</f>
        <v>0</v>
      </c>
      <c r="BJ19" s="489">
        <f>'F2 - Net Expenditure'!U18</f>
        <v>0</v>
      </c>
      <c r="BK19" s="489">
        <f>'F2 - Net Expenditure'!V18</f>
        <v>0</v>
      </c>
      <c r="BL19" s="489">
        <f>'F2 - Net Expenditure'!W18</f>
        <v>0</v>
      </c>
      <c r="BM19" s="489">
        <f>'F2 - Net Expenditure'!X18</f>
        <v>0</v>
      </c>
      <c r="BN19" s="489">
        <f>'F2 - Net Expenditure'!Y18</f>
        <v>0</v>
      </c>
      <c r="BO19" s="489">
        <f>'F2 - Net Expenditure'!Z18</f>
        <v>0</v>
      </c>
      <c r="BP19" s="489">
        <f>'F2 - Net Expenditure'!AA18</f>
        <v>0</v>
      </c>
      <c r="BQ19" s="489">
        <f>'F2 - Net Expenditure'!AB18</f>
        <v>0</v>
      </c>
      <c r="BR19" s="489">
        <f>'F2 - Net Expenditure'!AC18</f>
        <v>0</v>
      </c>
      <c r="BS19" s="489">
        <f>'F2 - Net Expenditure'!AD18</f>
        <v>0</v>
      </c>
      <c r="BT19" s="489">
        <f>'F2 - Net Expenditure'!AE18</f>
        <v>0</v>
      </c>
      <c r="BU19" s="489">
        <f>'F2 - Net Expenditure'!AF18</f>
        <v>0</v>
      </c>
    </row>
    <row r="20" spans="1:73" s="181" customFormat="1" ht="14.5">
      <c r="A20" s="180" t="s">
        <v>437</v>
      </c>
      <c r="B20" s="488">
        <f>GETPIVOTDATA("Value",'Ref Historic Spend'!$O$1,"Org",$B$3,"Description_1",$A20,"Month_Name",B$5)</f>
        <v>4078.9749999999999</v>
      </c>
      <c r="C20" s="488">
        <f>GETPIVOTDATA("Value",'Ref Historic Spend'!$O$1,"Org",$B$3,"Description_1",$A20,"Month_Name",C$5)</f>
        <v>4305.2820000000002</v>
      </c>
      <c r="D20" s="488">
        <f>GETPIVOTDATA("Value",'Ref Historic Spend'!$O$1,"Org",$B$3,"Description_1",$A20,"Month_Name",D$5)</f>
        <v>4102.0069999999996</v>
      </c>
      <c r="E20" s="488">
        <f>GETPIVOTDATA("Value",'Ref Historic Spend'!$O$1,"Org",$B$3,"Description_1",$A20,"Month_Name",E$5)</f>
        <v>4428.3919999999998</v>
      </c>
      <c r="F20" s="488">
        <f>GETPIVOTDATA("Value",'Ref Historic Spend'!$O$1,"Org",$B$3,"Description_1",$A20,"Month_Name",F$5)</f>
        <v>4434.1790000000001</v>
      </c>
      <c r="G20" s="488">
        <f>GETPIVOTDATA("Value",'Ref Historic Spend'!$O$1,"Org",$B$3,"Description_1",$A20,"Month_Name",G$5)</f>
        <v>4396.2</v>
      </c>
      <c r="H20" s="488">
        <f>GETPIVOTDATA("Value",'Ref Historic Spend'!$O$1,"Org",$B$3,"Description_1",$A20,"Month_Name",H$5)</f>
        <v>4499.47</v>
      </c>
      <c r="I20" s="488">
        <f>GETPIVOTDATA("Value",'Ref Historic Spend'!$O$1,"Org",$B$3,"Description_1",$A20,"Month_Name",I$5)</f>
        <v>4503.7070000000003</v>
      </c>
      <c r="J20" s="488">
        <f>GETPIVOTDATA("Value",'Ref Historic Spend'!$O$1,"Org",$B$3,"Description_1",$A20,"Month_Name",J$5)</f>
        <v>5035.3339999999998</v>
      </c>
      <c r="K20" s="488">
        <f>GETPIVOTDATA("Value",'Ref Historic Spend'!$O$1,"Org",$B$3,"Description_1",$A20,"Month_Name",K$5)</f>
        <v>4356.4560000000001</v>
      </c>
      <c r="L20" s="488">
        <f>GETPIVOTDATA("Value",'Ref Historic Spend'!$O$1,"Org",$B$3,"Description_1",$A20,"Month_Name",L$5)</f>
        <v>4336.6750000000002</v>
      </c>
      <c r="M20" s="488">
        <f>GETPIVOTDATA("Value",'Ref Historic Spend'!$O$1,"Org",$B$3,"Description_1",$A20,"Month_Name",M$5)</f>
        <v>4612.2150000000001</v>
      </c>
      <c r="N20" s="488">
        <f>GETPIVOTDATA("Value",'Ref Historic Spend'!$O$1,"Org",$B$3,"Description_1",$A20,"Month_Name",N$5)</f>
        <v>4601.5680000000002</v>
      </c>
      <c r="O20" s="488">
        <f>GETPIVOTDATA("Value",'Ref Historic Spend'!$O$1,"Org",$B$3,"Description_1",$A20,"Month_Name",O$5)</f>
        <v>4717.3220000000001</v>
      </c>
      <c r="P20" s="488">
        <f>GETPIVOTDATA("Value",'Ref Historic Spend'!$O$1,"Org",$B$3,"Description_1",$A20,"Month_Name",P$5)</f>
        <v>4538.2079999999996</v>
      </c>
      <c r="Q20" s="488">
        <f>GETPIVOTDATA("Value",'Ref Historic Spend'!$O$1,"Org",$B$3,"Description_1",$A20,"Month_Name",Q$5)</f>
        <v>4969.2169999999996</v>
      </c>
      <c r="R20" s="488">
        <f>GETPIVOTDATA("Value",'Ref Historic Spend'!$O$1,"Org",$B$3,"Description_1",$A20,"Month_Name",R$5)</f>
        <v>4900.1210000000001</v>
      </c>
      <c r="S20" s="488">
        <f>GETPIVOTDATA("Value",'Ref Historic Spend'!$O$1,"Org",$B$3,"Description_1",$A20,"Month_Name",S$5)</f>
        <v>5834.0990000000002</v>
      </c>
      <c r="T20" s="488">
        <f>GETPIVOTDATA("Value",'Ref Historic Spend'!$O$1,"Org",$B$3,"Description_1",$A20,"Month_Name",T$5)</f>
        <v>5560.1629999999996</v>
      </c>
      <c r="U20" s="488">
        <f>GETPIVOTDATA("Value",'Ref Historic Spend'!$O$1,"Org",$B$3,"Description_1",$A20,"Month_Name",U$5)</f>
        <v>5121.3779999999997</v>
      </c>
      <c r="V20" s="488">
        <f>GETPIVOTDATA("Value",'Ref Historic Spend'!$O$1,"Org",$B$3,"Description_1",$A20,"Month_Name",V$5)</f>
        <v>5292.8379999999997</v>
      </c>
      <c r="W20" s="488">
        <f>GETPIVOTDATA("Value",'Ref Historic Spend'!$O$1,"Org",$B$3,"Description_1",$A20,"Month_Name",W$5)</f>
        <v>5751.5209999999997</v>
      </c>
      <c r="X20" s="488">
        <f>GETPIVOTDATA("Value",'Ref Historic Spend'!$O$1,"Org",$B$3,"Description_1",$A20,"Month_Name",X$5)</f>
        <v>5199.3460000000096</v>
      </c>
      <c r="Y20" s="488">
        <f>GETPIVOTDATA("Value",'Ref Historic Spend'!$O$1,"Org",$B$3,"Description_1",$A20,"Month_Name",Y$5)</f>
        <v>7384.3050000000003</v>
      </c>
      <c r="Z20" s="488">
        <f>GETPIVOTDATA("Value",'Ref Historic Spend'!$O$1,"Org",$B$3,"Description_1",$A20,"Month_Name",Z$5)</f>
        <v>5248.7579999999998</v>
      </c>
      <c r="AA20" s="488">
        <f>GETPIVOTDATA("Value",'Ref Historic Spend'!$O$1,"Org",$B$3,"Description_1",$A20,"Month_Name",AA$5)</f>
        <v>5180.8670000000002</v>
      </c>
      <c r="AB20" s="488">
        <f>GETPIVOTDATA("Value",'Ref Historic Spend'!$O$1,"Org",$B$3,"Description_1",$A20,"Month_Name",AB$5)</f>
        <v>4923.6499999999996</v>
      </c>
      <c r="AC20" s="488">
        <f>GETPIVOTDATA("Value",'Ref Historic Spend'!$O$1,"Org",$B$3,"Description_1",$A20,"Month_Name",AC$5)</f>
        <v>5190.9350000000004</v>
      </c>
      <c r="AD20" s="488">
        <f>GETPIVOTDATA("Value",'Ref Historic Spend'!$O$1,"Org",$B$3,"Description_1",$A20,"Month_Name",AD$5)</f>
        <v>5108.1009999999997</v>
      </c>
      <c r="AE20" s="488">
        <f>GETPIVOTDATA("Value",'Ref Historic Spend'!$O$1,"Org",$B$3,"Description_1",$A20,"Month_Name",AE$5)</f>
        <v>5522.2120000000004</v>
      </c>
      <c r="AF20" s="488">
        <f>GETPIVOTDATA("Value",'Ref Historic Spend'!$O$1,"Org",$B$3,"Description_1",$A20,"Month_Name",AF$5)</f>
        <v>5579.6769999999997</v>
      </c>
      <c r="AG20" s="488">
        <f>GETPIVOTDATA("Value",'Ref Historic Spend'!$O$1,"Org",$B$3,"Description_1",$A20,"Month_Name",AG$5)</f>
        <v>5296.3770000000004</v>
      </c>
      <c r="AH20" s="488">
        <f>GETPIVOTDATA("Value",'Ref Historic Spend'!$O$1,"Org",$B$3,"Description_1",$A20,"Month_Name",AH$5)</f>
        <v>6124.9080000000004</v>
      </c>
      <c r="AI20" s="488">
        <f>GETPIVOTDATA("Value",'Ref Historic Spend'!$O$1,"Org",$B$3,"Description_1",$A20,"Month_Name",AI$5)</f>
        <v>5312.2749999999996</v>
      </c>
      <c r="AJ20" s="488">
        <f>GETPIVOTDATA("Value",'Ref Historic Spend'!$O$1,"Org",$B$3,"Description_1",$A20,"Month_Name",AJ$5)</f>
        <v>6317.2160000000003</v>
      </c>
      <c r="AK20" s="488">
        <f>GETPIVOTDATA("Value",'Ref Historic Spend'!$O$1,"Org",$B$3,"Description_1",$A20,"Month_Name",AK$5)</f>
        <v>8562.6219999999994</v>
      </c>
      <c r="AL20" s="488">
        <f>GETPIVOTDATA("Value",'Ref Historic Spend'!$O$1,"Org",$B$3,"Description_1",$A20,"Month_Name",AL$5)</f>
        <v>5541.5119999999997</v>
      </c>
      <c r="AM20" s="488">
        <f>GETPIVOTDATA("Value",'Ref Historic Spend'!$O$1,"Org",$B$3,"Description_1",$A20,"Month_Name",AM$5)</f>
        <v>5886.0119999999997</v>
      </c>
      <c r="AN20" s="488">
        <f>GETPIVOTDATA("Value",'Ref Historic Spend'!$O$1,"Org",$B$3,"Description_1",$A20,"Month_Name",AN$5)</f>
        <v>5639.8739999999998</v>
      </c>
      <c r="AO20" s="488">
        <f>GETPIVOTDATA("Value",'Ref Historic Spend'!$O$1,"Org",$B$3,"Description_1",$A20,"Month_Name",AO$5)</f>
        <v>5347.4189999999999</v>
      </c>
      <c r="AP20" s="488">
        <f>GETPIVOTDATA("Value",'Ref Historic Spend'!$O$1,"Org",$B$3,"Description_1",$A20,"Month_Name",AP$5)</f>
        <v>6043.6580000000004</v>
      </c>
      <c r="AQ20" s="488">
        <f>GETPIVOTDATA("Value",'Ref Historic Spend'!$O$1,"Org",$B$3,"Description_1",$A20,"Month_Name",AQ$5)</f>
        <v>6155.4350000000004</v>
      </c>
      <c r="AR20" s="488">
        <f>GETPIVOTDATA("Value",'Ref Historic Spend'!$O$1,"Org",$B$3,"Description_1",$A20,"Month_Name",AR$5)</f>
        <v>6014.9269999999997</v>
      </c>
      <c r="AS20" s="488">
        <f>GETPIVOTDATA("Value",'Ref Historic Spend'!$O$1,"Org",$B$3,"Description_1",$A20,"Month_Name",AS$5)</f>
        <v>6114.1509999999998</v>
      </c>
      <c r="AT20" s="488">
        <f>GETPIVOTDATA("Value",'Ref Historic Spend'!$O$1,"Org",$B$3,"Description_1",$A20,"Month_Name",AT$5)</f>
        <v>6934.0680000000002</v>
      </c>
      <c r="AU20" s="488">
        <f>GETPIVOTDATA("Value",'Ref Historic Spend'!$O$1,"Org",$B$3,"Description_1",$A20,"Month_Name",AU$5)</f>
        <v>6487.81</v>
      </c>
      <c r="AV20" s="488">
        <f>GETPIVOTDATA("Value",'Ref Historic Spend'!$O$1,"Org",$B$3,"Description_1",$A20,"Month_Name",AV$5)</f>
        <v>5725.6090000000004</v>
      </c>
      <c r="AW20" s="488">
        <f>GETPIVOTDATA("Value",'Ref Historic Spend'!$O$1,"Org",$B$3,"Description_1",$A20,"Month_Name",AW$5)</f>
        <v>3905.9319999999998</v>
      </c>
      <c r="AX20" s="489">
        <f>'F2 - Net Expenditure'!H19</f>
        <v>6388.8959999999997</v>
      </c>
      <c r="AY20" s="489">
        <f>'F2 - Net Expenditure'!I19</f>
        <v>6045.8360000000002</v>
      </c>
      <c r="AZ20" s="489">
        <f>'F2 - Net Expenditure'!J19</f>
        <v>7274.4010000000017</v>
      </c>
      <c r="BA20" s="489">
        <f>'F2 - Net Expenditure'!K19</f>
        <v>6822.739999999998</v>
      </c>
      <c r="BB20" s="489">
        <f>'F2 - Net Expenditure'!L19</f>
        <v>7471.2510000000038</v>
      </c>
      <c r="BC20" s="489">
        <f>'F2 - Net Expenditure'!M19</f>
        <v>6010.3379999999961</v>
      </c>
      <c r="BD20" s="489">
        <f>'F2 - Net Expenditure'!N19</f>
        <v>8010.038999999997</v>
      </c>
      <c r="BE20" s="489">
        <f>'F2 - Net Expenditure'!O19</f>
        <v>7987.5920000000042</v>
      </c>
      <c r="BF20" s="489">
        <f>'F2 - Net Expenditure'!P19</f>
        <v>7904.273000000001</v>
      </c>
      <c r="BG20" s="489">
        <f>'F2 - Net Expenditure'!Q19</f>
        <v>8202.7049999999945</v>
      </c>
      <c r="BH20" s="489">
        <f>'F2 - Net Expenditure'!R19</f>
        <v>7381.8559999999998</v>
      </c>
      <c r="BI20" s="489">
        <f>'F2 - Net Expenditure'!S19</f>
        <v>7228.5870000000004</v>
      </c>
      <c r="BJ20" s="489">
        <f>'F2 - Net Expenditure'!U19</f>
        <v>7287.1459999999997</v>
      </c>
      <c r="BK20" s="489">
        <f>'F2 - Net Expenditure'!V19</f>
        <v>6944.0860000000002</v>
      </c>
      <c r="BL20" s="489">
        <f>'F2 - Net Expenditure'!W19</f>
        <v>8172.6510000000026</v>
      </c>
      <c r="BM20" s="489">
        <f>'F2 - Net Expenditure'!X19</f>
        <v>7720.9899999999989</v>
      </c>
      <c r="BN20" s="489">
        <f>'F2 - Net Expenditure'!Y19</f>
        <v>8369.5010000000038</v>
      </c>
      <c r="BO20" s="489">
        <f>'F2 - Net Expenditure'!Z19</f>
        <v>6908.5879999999961</v>
      </c>
      <c r="BP20" s="489">
        <f>'F2 - Net Expenditure'!AA19</f>
        <v>8908.288999999997</v>
      </c>
      <c r="BQ20" s="489">
        <f>'F2 - Net Expenditure'!AB19</f>
        <v>8885.8420000000042</v>
      </c>
      <c r="BR20" s="489">
        <f>'F2 - Net Expenditure'!AC19</f>
        <v>8802.523000000001</v>
      </c>
      <c r="BS20" s="489">
        <f>'F2 - Net Expenditure'!AD19</f>
        <v>9100.9549999999945</v>
      </c>
      <c r="BT20" s="489">
        <f>'F2 - Net Expenditure'!AE19</f>
        <v>8280.1059999999998</v>
      </c>
      <c r="BU20" s="489">
        <f>'F2 - Net Expenditure'!AF19</f>
        <v>8126.8370000000004</v>
      </c>
    </row>
    <row r="22" spans="1:73" ht="23.5">
      <c r="A22" s="199" t="s">
        <v>997</v>
      </c>
      <c r="B22" s="199"/>
      <c r="C22" s="199"/>
      <c r="D22" s="199"/>
      <c r="E22" s="199"/>
      <c r="F22" s="199"/>
      <c r="G22" s="199"/>
      <c r="H22" s="199"/>
      <c r="I22" s="199"/>
      <c r="J22" s="199"/>
      <c r="K22" s="199"/>
      <c r="L22" s="199"/>
      <c r="M22" s="199"/>
      <c r="N22" s="199"/>
      <c r="O22" s="199"/>
      <c r="P22" s="199"/>
      <c r="Q22" s="199"/>
      <c r="R22" s="199"/>
      <c r="S22" s="199"/>
      <c r="T22" s="199"/>
      <c r="U22" s="199"/>
      <c r="V22" s="199"/>
    </row>
  </sheetData>
  <sheetProtection sheet="1" objects="1" scenarios="1"/>
  <mergeCells count="1">
    <mergeCell ref="B3:C3"/>
  </mergeCells>
  <phoneticPr fontId="48" type="noConversion"/>
  <pageMargins left="0.25" right="0.25" top="0.75" bottom="0.75" header="0.3" footer="0.3"/>
  <pageSetup paperSize="9" scale="49" orientation="landscape" r:id="rId1"/>
  <rowBreaks count="1" manualBreakCount="1">
    <brk id="22" max="16383"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7"/>
    <pageSetUpPr fitToPage="1"/>
  </sheetPr>
  <dimension ref="A1:H51"/>
  <sheetViews>
    <sheetView showGridLines="0" topLeftCell="A4" zoomScale="70" zoomScaleNormal="70" workbookViewId="0">
      <selection activeCell="B11" sqref="B11"/>
    </sheetView>
  </sheetViews>
  <sheetFormatPr defaultColWidth="8.84375" defaultRowHeight="13"/>
  <cols>
    <col min="1" max="1" width="2.4609375" style="113" customWidth="1"/>
    <col min="2" max="2" width="51.53515625" style="113" customWidth="1"/>
    <col min="3" max="3" width="16.07421875" style="267" customWidth="1"/>
    <col min="4" max="4" width="18.765625" style="267" customWidth="1"/>
    <col min="5" max="5" width="14.84375" style="267" customWidth="1"/>
    <col min="6" max="7" width="20.07421875" style="267" customWidth="1"/>
    <col min="8" max="8" width="14.84375" style="267" customWidth="1"/>
    <col min="9" max="9" width="14.84375" style="113" customWidth="1"/>
    <col min="10" max="10" width="2" style="113" customWidth="1"/>
    <col min="11" max="11" width="16.3046875" style="113" customWidth="1"/>
    <col min="12" max="24" width="10.3046875" style="113" customWidth="1"/>
    <col min="25" max="16384" width="8.84375" style="113"/>
  </cols>
  <sheetData>
    <row r="1" spans="1:8" ht="23.5">
      <c r="A1" s="4"/>
      <c r="B1" s="199" t="s">
        <v>1021</v>
      </c>
      <c r="C1" s="199"/>
      <c r="D1" s="199"/>
      <c r="E1" s="199"/>
      <c r="F1" s="199"/>
      <c r="G1" s="199"/>
      <c r="H1" s="199"/>
    </row>
    <row r="2" spans="1:8" ht="14.5">
      <c r="A2" s="4"/>
      <c r="B2" s="28"/>
      <c r="C2" s="28"/>
    </row>
    <row r="3" spans="1:8" ht="18.5">
      <c r="A3" s="4"/>
      <c r="B3" s="385" t="s">
        <v>1022</v>
      </c>
      <c r="C3" s="28"/>
    </row>
    <row r="4" spans="1:8" ht="31">
      <c r="A4" s="4"/>
      <c r="B4" s="83" t="s">
        <v>1023</v>
      </c>
      <c r="C4" s="83" t="s">
        <v>470</v>
      </c>
      <c r="D4" s="83" t="s">
        <v>1024</v>
      </c>
      <c r="E4" s="83" t="s">
        <v>1025</v>
      </c>
      <c r="F4" s="83" t="s">
        <v>1026</v>
      </c>
      <c r="G4" s="83" t="s">
        <v>1027</v>
      </c>
      <c r="H4" s="83" t="s">
        <v>326</v>
      </c>
    </row>
    <row r="5" spans="1:8" ht="15.5">
      <c r="A5" s="4"/>
      <c r="B5" s="170" t="s">
        <v>1028</v>
      </c>
      <c r="C5" s="268">
        <f>'F2 - Net Expenditure'!C11</f>
        <v>1514330.3284400003</v>
      </c>
      <c r="D5" s="268">
        <f>'F4 - Funding Assumptions'!$E$92</f>
        <v>45613</v>
      </c>
      <c r="E5" s="268">
        <f>VLOOKUP(B5,'A4 Savings Summary'!$B$18:$I$29,7,FALSE)</f>
        <v>0</v>
      </c>
      <c r="F5" s="268">
        <f>SUMIFS('F3 - ULD'!D5:D44,'F3 - ULD'!C5:C44,"*income*")</f>
        <v>0</v>
      </c>
      <c r="G5" s="268">
        <f>H5-SUM(C5:F5)</f>
        <v>-41363.654368889518</v>
      </c>
      <c r="H5" s="268">
        <f>'F2 - Net Expenditure'!AG11</f>
        <v>1518579.6740711108</v>
      </c>
    </row>
    <row r="6" spans="1:8" ht="14.5">
      <c r="A6" s="4"/>
      <c r="B6" s="28"/>
      <c r="C6" s="28"/>
    </row>
    <row r="7" spans="1:8" ht="31">
      <c r="A7" s="4"/>
      <c r="B7" s="83" t="s">
        <v>1029</v>
      </c>
      <c r="D7" s="83" t="s">
        <v>1024</v>
      </c>
      <c r="E7" s="83" t="s">
        <v>1025</v>
      </c>
      <c r="F7" s="83" t="s">
        <v>1030</v>
      </c>
      <c r="G7" s="83" t="s">
        <v>1027</v>
      </c>
      <c r="H7" s="83" t="s">
        <v>1031</v>
      </c>
    </row>
    <row r="8" spans="1:8" ht="15.5">
      <c r="A8" s="4"/>
      <c r="B8" s="170" t="s">
        <v>1028</v>
      </c>
      <c r="D8" s="272">
        <f>IFERROR(D5/$C5,0)</f>
        <v>3.0120905025384125E-2</v>
      </c>
      <c r="E8" s="272">
        <f>IFERROR(E5/$C5,0)</f>
        <v>0</v>
      </c>
      <c r="F8" s="272">
        <f>IFERROR(F5/$C5,0)</f>
        <v>0</v>
      </c>
      <c r="G8" s="272">
        <f>IFERROR(G5/$C5,0)</f>
        <v>-2.7314816055688869E-2</v>
      </c>
      <c r="H8" s="272">
        <f>IFERROR(SUM(D5:G5)/$C5,0)</f>
        <v>2.8060889696952577E-3</v>
      </c>
    </row>
    <row r="9" spans="1:8">
      <c r="A9" s="4"/>
    </row>
    <row r="10" spans="1:8">
      <c r="A10" s="4"/>
    </row>
    <row r="11" spans="1:8">
      <c r="A11" s="4"/>
    </row>
    <row r="12" spans="1:8" ht="18.5">
      <c r="A12" s="4"/>
      <c r="B12" s="385" t="s">
        <v>1032</v>
      </c>
    </row>
    <row r="13" spans="1:8" ht="31">
      <c r="A13" s="4"/>
      <c r="B13" s="83" t="s">
        <v>1033</v>
      </c>
      <c r="C13" s="83" t="s">
        <v>470</v>
      </c>
      <c r="D13" s="83" t="s">
        <v>1034</v>
      </c>
      <c r="E13" s="83" t="s">
        <v>1035</v>
      </c>
      <c r="F13" s="83" t="s">
        <v>1026</v>
      </c>
      <c r="G13" s="83" t="s">
        <v>1027</v>
      </c>
      <c r="H13" s="83" t="s">
        <v>326</v>
      </c>
    </row>
    <row r="14" spans="1:8" ht="15.5">
      <c r="A14" s="4"/>
      <c r="B14" s="265" t="s">
        <v>1036</v>
      </c>
      <c r="C14" s="268">
        <f>SUM(C24:C33)</f>
        <v>1493683.70062</v>
      </c>
      <c r="D14" s="268">
        <f t="shared" ref="D14:E14" si="0">SUM(D24:D33)</f>
        <v>75319.595988719433</v>
      </c>
      <c r="E14" s="268">
        <f t="shared" si="0"/>
        <v>-34000</v>
      </c>
      <c r="F14" s="268">
        <f>-('F3 - ULD'!D45-F5)</f>
        <v>37759.5</v>
      </c>
      <c r="G14" s="268">
        <f>H14-SUM(C14:F14)</f>
        <v>-41864.466490000021</v>
      </c>
      <c r="H14" s="268">
        <f>SUM(H24:H33)</f>
        <v>1530898.3301187195</v>
      </c>
    </row>
    <row r="15" spans="1:8" ht="14.5">
      <c r="A15" s="4"/>
      <c r="B15" s="28"/>
      <c r="C15" s="28"/>
    </row>
    <row r="16" spans="1:8" ht="31">
      <c r="A16" s="4"/>
      <c r="B16" s="83" t="s">
        <v>1037</v>
      </c>
      <c r="C16" s="28"/>
      <c r="D16" s="83" t="s">
        <v>1034</v>
      </c>
      <c r="E16" s="83" t="s">
        <v>1035</v>
      </c>
      <c r="F16" s="83" t="s">
        <v>1030</v>
      </c>
      <c r="G16" s="83" t="s">
        <v>1027</v>
      </c>
      <c r="H16" s="83" t="s">
        <v>1031</v>
      </c>
    </row>
    <row r="17" spans="1:8" ht="15.5">
      <c r="A17" s="4"/>
      <c r="B17" s="265" t="s">
        <v>1036</v>
      </c>
      <c r="D17" s="272">
        <f>IFERROR(D14/$C14,0)</f>
        <v>5.0425398601762664E-2</v>
      </c>
      <c r="E17" s="272">
        <f>IFERROR(E14/$C14,0)</f>
        <v>-2.2762516579572529E-2</v>
      </c>
      <c r="F17" s="272">
        <f>IFERROR(F14/$C14,0)</f>
        <v>2.5279448376069675E-2</v>
      </c>
      <c r="G17" s="272">
        <f>IFERROR(G14/$C14,0)</f>
        <v>-2.8027665075693649E-2</v>
      </c>
      <c r="H17" s="272">
        <f>IFERROR(SUM(D14:G14)/$C14,0)</f>
        <v>2.4914665322566164E-2</v>
      </c>
    </row>
    <row r="18" spans="1:8">
      <c r="A18" s="4"/>
    </row>
    <row r="19" spans="1:8">
      <c r="A19" s="4"/>
    </row>
    <row r="20" spans="1:8">
      <c r="A20" s="4"/>
    </row>
    <row r="21" spans="1:8" ht="23.5">
      <c r="A21" s="4"/>
      <c r="B21" s="199" t="s">
        <v>1038</v>
      </c>
      <c r="C21" s="199"/>
      <c r="D21" s="199"/>
      <c r="E21" s="199"/>
      <c r="F21" s="199"/>
      <c r="G21" s="199"/>
      <c r="H21" s="199"/>
    </row>
    <row r="22" spans="1:8" ht="18.5">
      <c r="A22" s="4"/>
      <c r="B22" s="385"/>
    </row>
    <row r="23" spans="1:8" ht="37.5" customHeight="1">
      <c r="A23" s="4"/>
      <c r="B23" s="83" t="s">
        <v>1033</v>
      </c>
      <c r="C23" s="83" t="s">
        <v>470</v>
      </c>
      <c r="D23" s="83" t="s">
        <v>1034</v>
      </c>
      <c r="E23" s="83" t="s">
        <v>1035</v>
      </c>
      <c r="F23" s="83"/>
      <c r="G23" s="83" t="s">
        <v>1039</v>
      </c>
      <c r="H23" s="83" t="s">
        <v>326</v>
      </c>
    </row>
    <row r="24" spans="1:8" ht="15.5">
      <c r="A24" s="4"/>
      <c r="B24" s="170" t="s">
        <v>552</v>
      </c>
      <c r="C24" s="268">
        <f>'F2 - Net Expenditure'!C12</f>
        <v>117985.63100000001</v>
      </c>
      <c r="D24" s="268">
        <f>'A3 Cost Pressures Summary'!C17</f>
        <v>0</v>
      </c>
      <c r="E24" s="268">
        <f>-SUMIFS('F6 - Savings Tracker'!$I$1:$I$1033,
'F6 - Savings Tracker'!$O$1:$O$1033,"Primary Care Cont*")</f>
        <v>0</v>
      </c>
      <c r="F24" s="269"/>
      <c r="G24" s="268">
        <f t="shared" ref="G24:G33" si="1">H24-SUM(C24:E24)</f>
        <v>0</v>
      </c>
      <c r="H24" s="268">
        <f>'F2 - Net Expenditure'!AG12</f>
        <v>117985.63100000001</v>
      </c>
    </row>
    <row r="25" spans="1:8" ht="15.5">
      <c r="A25" s="4"/>
      <c r="B25" s="170" t="s">
        <v>450</v>
      </c>
      <c r="C25" s="268">
        <f>'F2 - Net Expenditure'!C13</f>
        <v>88236.968000000008</v>
      </c>
      <c r="D25" s="268">
        <f>'A3 Cost Pressures Summary'!C18</f>
        <v>6986.9996553860965</v>
      </c>
      <c r="E25" s="268">
        <f>-SUMIFS('F6 - Savings Tracker'!$I$1:$I$1033,
'F6 - Savings Tracker'!$O$1:$O$1033,"Primary Care - Dr*")</f>
        <v>-3379.9999999999995</v>
      </c>
      <c r="F25" s="269"/>
      <c r="G25" s="268">
        <f t="shared" si="1"/>
        <v>0</v>
      </c>
      <c r="H25" s="268">
        <f>'F2 - Net Expenditure'!AG13</f>
        <v>91843.967655386092</v>
      </c>
    </row>
    <row r="26" spans="1:8" ht="15.5">
      <c r="A26" s="4"/>
      <c r="B26" s="170" t="s">
        <v>548</v>
      </c>
      <c r="C26" s="268">
        <f>'F2 - Net Expenditure'!C14</f>
        <v>753424.44523999991</v>
      </c>
      <c r="D26" s="268">
        <f>'A3 Cost Pressures Summary'!C19</f>
        <v>17674</v>
      </c>
      <c r="E26" s="268">
        <f>-SUMIFS('F6 - Savings Tracker'!$I$1:$I$1033,
'F6 - Savings Tracker'!$O$1:$O$1033,"Pay*")</f>
        <v>-19020</v>
      </c>
      <c r="F26" s="269"/>
      <c r="G26" s="268">
        <f t="shared" si="1"/>
        <v>-2785.4452399999136</v>
      </c>
      <c r="H26" s="268">
        <f>'F2 - Net Expenditure'!AG14</f>
        <v>749293</v>
      </c>
    </row>
    <row r="27" spans="1:8" ht="15.5">
      <c r="A27" s="4"/>
      <c r="B27" s="170" t="s">
        <v>549</v>
      </c>
      <c r="C27" s="268">
        <f>'F2 - Net Expenditure'!C15</f>
        <v>143234.16212999998</v>
      </c>
      <c r="D27" s="268">
        <f>'A3 Cost Pressures Summary'!C20</f>
        <v>19731.262999999999</v>
      </c>
      <c r="E27" s="268">
        <f>-SUMIFS('F6 - Savings Tracker'!$I$1:$I$1033,
'F6 - Savings Tracker'!$O$1:$O$1033,"Non-Pay*")</f>
        <v>-11600</v>
      </c>
      <c r="F27" s="269"/>
      <c r="G27" s="268">
        <f t="shared" si="1"/>
        <v>6279</v>
      </c>
      <c r="H27" s="268">
        <f>'F2 - Net Expenditure'!AG15</f>
        <v>157644.42512999999</v>
      </c>
    </row>
    <row r="28" spans="1:8" ht="15.5">
      <c r="A28" s="4"/>
      <c r="B28" s="170" t="s">
        <v>454</v>
      </c>
      <c r="C28" s="268">
        <f>'F2 - Net Expenditure'!C16</f>
        <v>83276.843999999997</v>
      </c>
      <c r="D28" s="268">
        <f>'A3 Cost Pressures Summary'!C21</f>
        <v>4700</v>
      </c>
      <c r="E28" s="268">
        <f>-SUMIFS('F6 - Savings Tracker'!$I$1:$I$1033,
'F6 - Savings Tracker'!$O$1:$O$1033,"Secondary*")</f>
        <v>0</v>
      </c>
      <c r="F28" s="269"/>
      <c r="G28" s="268">
        <f t="shared" si="1"/>
        <v>3.1560000000172295</v>
      </c>
      <c r="H28" s="268">
        <f>'F2 - Net Expenditure'!AG16</f>
        <v>87980.000000000015</v>
      </c>
    </row>
    <row r="29" spans="1:8" ht="15.5">
      <c r="A29" s="4"/>
      <c r="B29" s="170" t="s">
        <v>441</v>
      </c>
      <c r="C29" s="268">
        <f>'F2 - Net Expenditure'!C17</f>
        <v>183070.45899999997</v>
      </c>
      <c r="D29" s="268">
        <f>'A3 Cost Pressures Summary'!C22</f>
        <v>7848.333333333333</v>
      </c>
      <c r="E29" s="268">
        <f>-SUMIFS('F6 - Savings Tracker'!$I$1:$I$1033,
'F6 - Savings Tracker'!$O$1:$O$1033,"Healthc*")</f>
        <v>0</v>
      </c>
      <c r="F29" s="269"/>
      <c r="G29" s="268">
        <f t="shared" si="1"/>
        <v>0</v>
      </c>
      <c r="H29" s="268">
        <f>'F2 - Net Expenditure'!AG17</f>
        <v>190918.79233333332</v>
      </c>
    </row>
    <row r="30" spans="1:8" ht="15.5">
      <c r="A30" s="4"/>
      <c r="B30" s="170" t="s">
        <v>447</v>
      </c>
      <c r="C30" s="268">
        <f>'F2 - Net Expenditure'!C18</f>
        <v>0</v>
      </c>
      <c r="D30" s="268">
        <f>'A3 Cost Pressures Summary'!C23</f>
        <v>0</v>
      </c>
      <c r="E30" s="268">
        <f>-SUMIFS('F6 - Savings Tracker'!$I$1:$I$1033,
'F6 - Savings Tracker'!$O$1:$O$1033,"Non-healthc*")</f>
        <v>0</v>
      </c>
      <c r="F30" s="269"/>
      <c r="G30" s="268">
        <f t="shared" si="1"/>
        <v>0</v>
      </c>
      <c r="H30" s="268">
        <f>'F2 - Net Expenditure'!AG18</f>
        <v>0</v>
      </c>
    </row>
    <row r="31" spans="1:8" ht="15.5">
      <c r="A31" s="4"/>
      <c r="B31" s="170" t="s">
        <v>437</v>
      </c>
      <c r="C31" s="268">
        <f>'F2 - Net Expenditure'!C19</f>
        <v>86728.513999999996</v>
      </c>
      <c r="D31" s="268">
        <f>'A3 Cost Pressures Summary'!C24</f>
        <v>18379</v>
      </c>
      <c r="E31" s="268">
        <f>-SUMIFS('F6 - Savings Tracker'!$I$1:$I$1033,
'F6 - Savings Tracker'!$O$1:$O$1033,"CHC*")</f>
        <v>0</v>
      </c>
      <c r="F31" s="269"/>
      <c r="G31" s="268">
        <f t="shared" si="1"/>
        <v>-7600</v>
      </c>
      <c r="H31" s="268">
        <f>'F2 - Net Expenditure'!AG19</f>
        <v>97507.513999999996</v>
      </c>
    </row>
    <row r="32" spans="1:8" ht="15.5">
      <c r="A32" s="4"/>
      <c r="B32" s="170" t="s">
        <v>449</v>
      </c>
      <c r="C32" s="268">
        <f>'F2 - Net Expenditure'!C20</f>
        <v>18049.4385</v>
      </c>
      <c r="D32" s="268">
        <f>'A3 Cost Pressures Summary'!C25</f>
        <v>0</v>
      </c>
      <c r="E32" s="268">
        <f>-SUMIFS('F6 - Savings Tracker'!$I$1:$I$1033,
'F6 - Savings Tracker'!$O$1:$O$1033,"Other Private*")</f>
        <v>0</v>
      </c>
      <c r="F32" s="269"/>
      <c r="G32" s="268">
        <f t="shared" si="1"/>
        <v>-1.4385000000002037</v>
      </c>
      <c r="H32" s="268">
        <f>'F2 - Net Expenditure'!AG20</f>
        <v>18048</v>
      </c>
    </row>
    <row r="33" spans="1:8" ht="15.5">
      <c r="A33" s="4"/>
      <c r="B33" s="170" t="s">
        <v>555</v>
      </c>
      <c r="C33" s="268">
        <f>'F2 - Net Expenditure'!C21</f>
        <v>19677.23875</v>
      </c>
      <c r="D33" s="268">
        <f>'A3 Cost Pressures Summary'!C26</f>
        <v>0</v>
      </c>
      <c r="E33" s="268">
        <f>-SUMIFS('F6 - Savings Tracker'!$I$1:$I$1033,
'F6 - Savings Tracker'!$O$1:$O$1033,"Joint Financ*")</f>
        <v>0</v>
      </c>
      <c r="F33" s="269"/>
      <c r="G33" s="268">
        <f t="shared" si="1"/>
        <v>-0.23875000000043656</v>
      </c>
      <c r="H33" s="268">
        <f>'F2 - Net Expenditure'!AG21</f>
        <v>19677</v>
      </c>
    </row>
    <row r="34" spans="1:8" ht="15.5">
      <c r="A34" s="4"/>
      <c r="B34" s="387" t="s">
        <v>1040</v>
      </c>
      <c r="C34" s="388">
        <f>SUM(C24:C33)</f>
        <v>1493683.70062</v>
      </c>
      <c r="D34" s="388">
        <f t="shared" ref="D34:H34" si="2">SUM(D24:D33)</f>
        <v>75319.595988719433</v>
      </c>
      <c r="E34" s="388">
        <f t="shared" si="2"/>
        <v>-34000</v>
      </c>
      <c r="F34" s="389"/>
      <c r="G34" s="388">
        <f t="shared" si="2"/>
        <v>-4104.966489999897</v>
      </c>
      <c r="H34" s="388">
        <f t="shared" si="2"/>
        <v>1530898.3301187195</v>
      </c>
    </row>
    <row r="36" spans="1:8">
      <c r="A36" s="4"/>
      <c r="C36" s="113"/>
      <c r="D36" s="113"/>
      <c r="E36" s="113"/>
      <c r="F36" s="113"/>
      <c r="G36" s="113"/>
      <c r="H36" s="113"/>
    </row>
    <row r="37" spans="1:8">
      <c r="A37" s="4"/>
      <c r="B37" s="36"/>
      <c r="C37" s="12"/>
    </row>
    <row r="38" spans="1:8" ht="31">
      <c r="A38" s="4"/>
      <c r="B38" s="83" t="s">
        <v>1037</v>
      </c>
      <c r="D38" s="83" t="s">
        <v>1034</v>
      </c>
      <c r="E38" s="83" t="s">
        <v>1035</v>
      </c>
      <c r="F38" s="83"/>
      <c r="G38" s="83" t="s">
        <v>1039</v>
      </c>
      <c r="H38" s="271" t="s">
        <v>1031</v>
      </c>
    </row>
    <row r="39" spans="1:8" ht="15.5">
      <c r="A39" s="4"/>
      <c r="B39" s="170" t="str">
        <f t="shared" ref="B39:B49" si="3">B24</f>
        <v>Primary Care Contractor</v>
      </c>
      <c r="D39" s="183">
        <f>IFERROR(D24/$C24,0)</f>
        <v>0</v>
      </c>
      <c r="E39" s="183">
        <f>IFERROR(E24/$C24,0)</f>
        <v>0</v>
      </c>
      <c r="F39" s="269"/>
      <c r="G39" s="270">
        <f>IFERROR(G24/$C24,0)</f>
        <v>0</v>
      </c>
      <c r="H39" s="272">
        <f>IFERROR(SUM(D24:G24)/$C24,0)</f>
        <v>0</v>
      </c>
    </row>
    <row r="40" spans="1:8" ht="15.5">
      <c r="A40" s="4"/>
      <c r="B40" s="170" t="str">
        <f t="shared" si="3"/>
        <v>Primary Care - Drugs &amp; Appliances</v>
      </c>
      <c r="D40" s="183">
        <f t="shared" ref="D40:E49" si="4">IFERROR(D25/$C25,0)</f>
        <v>7.9184493911736584E-2</v>
      </c>
      <c r="E40" s="183">
        <f t="shared" si="4"/>
        <v>-3.8305939977447995E-2</v>
      </c>
      <c r="F40" s="269"/>
      <c r="G40" s="270">
        <f t="shared" ref="G40:G49" si="5">IFERROR(G25/$C25,0)</f>
        <v>0</v>
      </c>
      <c r="H40" s="272">
        <f t="shared" ref="H40:H49" si="6">IFERROR(SUM(D25:G25)/$C25,0)</f>
        <v>4.0878553934288589E-2</v>
      </c>
    </row>
    <row r="41" spans="1:8" s="114" customFormat="1" ht="15.5">
      <c r="B41" s="170" t="str">
        <f t="shared" si="3"/>
        <v>Pay</v>
      </c>
      <c r="C41" s="267"/>
      <c r="D41" s="183">
        <f t="shared" si="4"/>
        <v>2.3458224791697631E-2</v>
      </c>
      <c r="E41" s="183">
        <f t="shared" si="4"/>
        <v>-2.5244734385995754E-2</v>
      </c>
      <c r="F41" s="269"/>
      <c r="G41" s="270">
        <f t="shared" si="5"/>
        <v>-3.6970465420890649E-3</v>
      </c>
      <c r="H41" s="272">
        <f t="shared" si="6"/>
        <v>-5.4835561363871868E-3</v>
      </c>
    </row>
    <row r="42" spans="1:8" ht="15.5">
      <c r="B42" s="170" t="str">
        <f t="shared" si="3"/>
        <v>Non Pay</v>
      </c>
      <c r="D42" s="183">
        <f t="shared" si="4"/>
        <v>0.13775528621511265</v>
      </c>
      <c r="E42" s="183">
        <f t="shared" si="4"/>
        <v>-8.0986266317331385E-2</v>
      </c>
      <c r="F42" s="269"/>
      <c r="G42" s="270">
        <f t="shared" si="5"/>
        <v>4.3837307431596875E-2</v>
      </c>
      <c r="H42" s="272">
        <f t="shared" si="6"/>
        <v>0.10060632732937816</v>
      </c>
    </row>
    <row r="43" spans="1:8" ht="15.5">
      <c r="B43" s="170" t="str">
        <f t="shared" si="3"/>
        <v>Secondary Care - Drugs</v>
      </c>
      <c r="D43" s="183">
        <f t="shared" si="4"/>
        <v>5.6438257914769203E-2</v>
      </c>
      <c r="E43" s="183">
        <f t="shared" si="4"/>
        <v>0</v>
      </c>
      <c r="F43" s="269"/>
      <c r="G43" s="270">
        <f t="shared" si="5"/>
        <v>3.789768978297532E-5</v>
      </c>
      <c r="H43" s="272">
        <f t="shared" si="6"/>
        <v>5.6476155604552179E-2</v>
      </c>
    </row>
    <row r="44" spans="1:8" ht="15.5">
      <c r="B44" s="170" t="str">
        <f t="shared" si="3"/>
        <v>Healthcare Services Provided by Other NHS Bodies</v>
      </c>
      <c r="D44" s="183">
        <f t="shared" si="4"/>
        <v>4.287056129210521E-2</v>
      </c>
      <c r="E44" s="183">
        <f t="shared" si="4"/>
        <v>0</v>
      </c>
      <c r="F44" s="269"/>
      <c r="G44" s="270">
        <f t="shared" si="5"/>
        <v>0</v>
      </c>
      <c r="H44" s="272">
        <f t="shared" si="6"/>
        <v>4.287056129210521E-2</v>
      </c>
    </row>
    <row r="45" spans="1:8" ht="15.5">
      <c r="B45" s="170" t="str">
        <f t="shared" si="3"/>
        <v>Non Healthcare Services Provided by Other NHS Bodies</v>
      </c>
      <c r="D45" s="183">
        <f t="shared" si="4"/>
        <v>0</v>
      </c>
      <c r="E45" s="183">
        <f t="shared" si="4"/>
        <v>0</v>
      </c>
      <c r="F45" s="269"/>
      <c r="G45" s="270">
        <f t="shared" si="5"/>
        <v>0</v>
      </c>
      <c r="H45" s="272">
        <f t="shared" si="6"/>
        <v>0</v>
      </c>
    </row>
    <row r="46" spans="1:8" ht="15.5">
      <c r="B46" s="170" t="str">
        <f t="shared" si="3"/>
        <v>Continuing Care and Funded Nursing Care</v>
      </c>
      <c r="D46" s="183">
        <f t="shared" si="4"/>
        <v>0.21191415778206463</v>
      </c>
      <c r="E46" s="183">
        <f t="shared" si="4"/>
        <v>0</v>
      </c>
      <c r="F46" s="269"/>
      <c r="G46" s="270">
        <f t="shared" si="5"/>
        <v>-8.7629773064023683E-2</v>
      </c>
      <c r="H46" s="272">
        <f t="shared" si="6"/>
        <v>0.12428438471804094</v>
      </c>
    </row>
    <row r="47" spans="1:8" ht="15.5">
      <c r="B47" s="170" t="str">
        <f t="shared" si="3"/>
        <v>Other Private &amp; Voluntary Sector</v>
      </c>
      <c r="D47" s="183">
        <f t="shared" si="4"/>
        <v>0</v>
      </c>
      <c r="E47" s="183">
        <f t="shared" si="4"/>
        <v>0</v>
      </c>
      <c r="F47" s="269"/>
      <c r="G47" s="270">
        <f t="shared" si="5"/>
        <v>-7.9697770099618534E-5</v>
      </c>
      <c r="H47" s="272">
        <f t="shared" si="6"/>
        <v>-7.9697770099618534E-5</v>
      </c>
    </row>
    <row r="48" spans="1:8" ht="15.5">
      <c r="B48" s="170" t="str">
        <f t="shared" si="3"/>
        <v>Joint Financing &amp; Other</v>
      </c>
      <c r="D48" s="183">
        <f t="shared" si="4"/>
        <v>0</v>
      </c>
      <c r="E48" s="183">
        <f t="shared" si="4"/>
        <v>0</v>
      </c>
      <c r="F48" s="269"/>
      <c r="G48" s="270">
        <f t="shared" si="5"/>
        <v>-1.2133308084216672E-5</v>
      </c>
      <c r="H48" s="272">
        <f t="shared" si="6"/>
        <v>-1.2133308084216672E-5</v>
      </c>
    </row>
    <row r="49" spans="2:8" ht="15.5">
      <c r="B49" s="170" t="str">
        <f t="shared" si="3"/>
        <v>Total (Exc. AME, Non-Cash Del and other special costs)</v>
      </c>
      <c r="D49" s="390">
        <f>IFERROR(D34/$C34,0)</f>
        <v>5.0425398601762664E-2</v>
      </c>
      <c r="E49" s="390">
        <f t="shared" si="4"/>
        <v>-2.2762516579572529E-2</v>
      </c>
      <c r="F49" s="389"/>
      <c r="G49" s="391">
        <f t="shared" si="5"/>
        <v>-2.7482166996238913E-3</v>
      </c>
      <c r="H49" s="390">
        <f t="shared" si="6"/>
        <v>2.4914665322566247E-2</v>
      </c>
    </row>
    <row r="51" spans="2:8">
      <c r="C51" s="113"/>
      <c r="D51" s="113"/>
      <c r="E51" s="113"/>
      <c r="F51" s="113"/>
      <c r="G51" s="113"/>
      <c r="H51" s="113"/>
    </row>
  </sheetData>
  <sheetProtection sheet="1" objects="1" scenarios="1"/>
  <pageMargins left="0.7" right="0.7" top="0.75" bottom="0.75" header="0.3" footer="0.3"/>
  <pageSetup paperSize="9" scale="70" fitToHeight="0" orientation="landscape" r:id="rId1"/>
  <rowBreaks count="1" manualBreakCount="1">
    <brk id="2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7"/>
    <pageSetUpPr fitToPage="1"/>
  </sheetPr>
  <dimension ref="A1:AT79"/>
  <sheetViews>
    <sheetView zoomScale="70" zoomScaleNormal="70" workbookViewId="0">
      <selection activeCell="B11" sqref="B11:C13"/>
    </sheetView>
  </sheetViews>
  <sheetFormatPr defaultColWidth="8.84375" defaultRowHeight="15.5"/>
  <cols>
    <col min="1" max="1" width="2.84375" style="33" customWidth="1"/>
    <col min="2" max="2" width="48.4609375" style="123" customWidth="1"/>
    <col min="3" max="4" width="12.23046875" style="33" customWidth="1"/>
    <col min="5" max="5" width="12.69140625" style="33" customWidth="1"/>
    <col min="6" max="28" width="13.3046875" style="33" customWidth="1"/>
    <col min="29" max="29" width="3.3046875" style="33" customWidth="1"/>
    <col min="30" max="41" width="10.765625" style="33" hidden="1" customWidth="1"/>
    <col min="42" max="42" width="3.3046875" style="33" customWidth="1"/>
    <col min="43" max="43" width="3.07421875" style="33" customWidth="1"/>
    <col min="44" max="16384" width="8.84375" style="33"/>
  </cols>
  <sheetData>
    <row r="1" spans="1:46" ht="23.5">
      <c r="A1" s="10"/>
      <c r="B1" s="199" t="s">
        <v>1041</v>
      </c>
      <c r="C1" s="199"/>
      <c r="D1" s="199"/>
      <c r="E1" s="199"/>
      <c r="F1" s="199"/>
      <c r="G1" s="199"/>
      <c r="H1" s="199"/>
      <c r="I1" s="199"/>
      <c r="J1" s="199"/>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9"/>
      <c r="AS1" s="109"/>
      <c r="AT1" s="109"/>
    </row>
    <row r="2" spans="1:46">
      <c r="A2" s="10"/>
      <c r="B2" s="134"/>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9"/>
      <c r="AS2" s="109"/>
      <c r="AT2" s="109"/>
    </row>
    <row r="3" spans="1:46">
      <c r="A3" s="10"/>
      <c r="B3" s="11"/>
      <c r="C3" s="34" t="s">
        <v>248</v>
      </c>
      <c r="D3" s="34" t="s">
        <v>248</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9"/>
      <c r="AS3" s="109"/>
      <c r="AT3" s="109"/>
    </row>
    <row r="4" spans="1:46" ht="23.5">
      <c r="A4" s="10"/>
      <c r="B4" s="121" t="s">
        <v>1042</v>
      </c>
      <c r="C4" s="112" t="s">
        <v>396</v>
      </c>
      <c r="D4" s="112" t="s">
        <v>556</v>
      </c>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9"/>
      <c r="AS4" s="109"/>
      <c r="AT4" s="109"/>
    </row>
    <row r="5" spans="1:46">
      <c r="A5" s="10"/>
      <c r="B5" s="384" t="s">
        <v>408</v>
      </c>
      <c r="C5" s="26">
        <f>SUMIFS('F5 - Cost Pressures'!E$1:E$65,'F5 - Cost Pressures'!$C$1:$C$65,"Macro*")</f>
        <v>43907.332988719427</v>
      </c>
      <c r="D5" s="26">
        <f>SUMIFS('F5 - Cost Pressures'!F$1:F$65,'F5 - Cost Pressures'!$C$1:$C$65,"Macro*")</f>
        <v>43907.332988719427</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9"/>
      <c r="AS5" s="109"/>
      <c r="AT5" s="109"/>
    </row>
    <row r="6" spans="1:46">
      <c r="A6" s="10"/>
      <c r="B6" s="384" t="s">
        <v>409</v>
      </c>
      <c r="C6" s="26">
        <f>SUMIFS('F5 - Cost Pressures'!E$1:E$65,'F5 - Cost Pressures'!$C$1:$C$65,"Pay*")</f>
        <v>0</v>
      </c>
      <c r="D6" s="26">
        <f>SUMIFS('F5 - Cost Pressures'!F$1:F$65,'F5 - Cost Pressures'!$C$1:$C$65,"Pay*")</f>
        <v>0</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9"/>
      <c r="AS6" s="109"/>
      <c r="AT6" s="109"/>
    </row>
    <row r="7" spans="1:46">
      <c r="A7" s="10"/>
      <c r="B7" s="384" t="s">
        <v>410</v>
      </c>
      <c r="C7" s="26">
        <f>SUMIFS('F5 - Cost Pressures'!E$1:E$65,'F5 - Cost Pressures'!$C$1:$C$65,"Contract*")</f>
        <v>3425</v>
      </c>
      <c r="D7" s="26">
        <f>SUMIFS('F5 - Cost Pressures'!F$1:F$65,'F5 - Cost Pressures'!$C$1:$C$65,"Contract*")</f>
        <v>3425</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9"/>
      <c r="AS7" s="109"/>
      <c r="AT7" s="109"/>
    </row>
    <row r="8" spans="1:46">
      <c r="A8" s="10"/>
      <c r="B8" s="384" t="s">
        <v>411</v>
      </c>
      <c r="C8" s="26">
        <f>SUMIFS('F5 - Cost Pressures'!E$1:E$65,'F5 - Cost Pressures'!$C$1:$C$65,"National*")</f>
        <v>2447.2629999999999</v>
      </c>
      <c r="D8" s="26">
        <f>SUMIFS('F5 - Cost Pressures'!F$1:F$65,'F5 - Cost Pressures'!$C$1:$C$65,"National*")</f>
        <v>2447.2629999999999</v>
      </c>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9"/>
      <c r="AS8" s="109"/>
      <c r="AT8" s="109"/>
    </row>
    <row r="9" spans="1:46">
      <c r="A9" s="10"/>
      <c r="B9" s="384" t="s">
        <v>412</v>
      </c>
      <c r="C9" s="26">
        <f>SUMIFS('F5 - Cost Pressures'!E$1:E$65,'F5 - Cost Pressures'!$C$1:$C$65,"Local*")</f>
        <v>25540</v>
      </c>
      <c r="D9" s="26">
        <f>SUMIFS('F5 - Cost Pressures'!F$1:F$65,'F5 - Cost Pressures'!$C$1:$C$65,"Local*")</f>
        <v>25540</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9"/>
      <c r="AS9" s="109"/>
      <c r="AT9" s="109"/>
    </row>
    <row r="10" spans="1:46">
      <c r="A10" s="10"/>
      <c r="B10" s="384" t="s">
        <v>413</v>
      </c>
      <c r="C10" s="26">
        <f>SUMIFS('F5 - Cost Pressures'!E$1:E$65,'F5 - Cost Pressures'!$C$1:$C$65,"Ring*")</f>
        <v>0</v>
      </c>
      <c r="D10" s="26">
        <f>SUMIFS('F5 - Cost Pressures'!F$1:F$65,'F5 - Cost Pressures'!$C$1:$C$65,"Ring*")</f>
        <v>0</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9"/>
      <c r="AS10" s="109"/>
      <c r="AT10" s="109"/>
    </row>
    <row r="11" spans="1:46">
      <c r="A11" s="10"/>
      <c r="B11" s="384" t="s">
        <v>414</v>
      </c>
      <c r="C11" s="26">
        <f>SUMIFS('F5 - Cost Pressures'!E$1:E$65,'F5 - Cost Pressures'!$C$1:$C$65,"AME*")</f>
        <v>0</v>
      </c>
      <c r="D11" s="26">
        <f>SUMIFS('F5 - Cost Pressures'!F$1:F$65,'F5 - Cost Pressures'!$C$1:$C$65,"AME*")</f>
        <v>0</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9"/>
      <c r="AS11" s="109"/>
      <c r="AT11" s="109"/>
    </row>
    <row r="12" spans="1:46">
      <c r="A12" s="10"/>
      <c r="B12" s="49" t="s">
        <v>131</v>
      </c>
      <c r="C12" s="23">
        <f>SUM(C5:C11)</f>
        <v>75319.595988719433</v>
      </c>
      <c r="D12" s="23">
        <f>SUM(D5:D11)</f>
        <v>75319.595988719433</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9"/>
      <c r="AS12" s="109"/>
      <c r="AT12" s="109"/>
    </row>
    <row r="13" spans="1:46">
      <c r="A13" s="10"/>
      <c r="B13" s="122"/>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9"/>
      <c r="AS13" s="109"/>
      <c r="AT13" s="109"/>
    </row>
    <row r="14" spans="1:46">
      <c r="A14" s="10"/>
      <c r="B14" s="122"/>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9"/>
      <c r="AS14" s="109"/>
      <c r="AT14" s="109"/>
    </row>
    <row r="15" spans="1:46">
      <c r="A15" s="10"/>
      <c r="B15" s="11"/>
      <c r="C15" s="34" t="s">
        <v>248</v>
      </c>
      <c r="D15" s="34" t="s">
        <v>248</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9"/>
      <c r="AS15" s="109"/>
      <c r="AT15" s="109"/>
    </row>
    <row r="16" spans="1:46" ht="23.5">
      <c r="A16" s="10"/>
      <c r="B16" s="121" t="s">
        <v>1043</v>
      </c>
      <c r="C16" s="112" t="s">
        <v>396</v>
      </c>
      <c r="D16" s="112" t="s">
        <v>556</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9"/>
      <c r="AS16" s="109"/>
      <c r="AT16" s="109"/>
    </row>
    <row r="17" spans="1:46">
      <c r="A17" s="10"/>
      <c r="B17" s="384" t="s">
        <v>552</v>
      </c>
      <c r="C17" s="26">
        <f>'F5 - Cost Pressures'!R$65</f>
        <v>0</v>
      </c>
      <c r="D17" s="26">
        <f>'F5 - Cost Pressures'!S$65</f>
        <v>0</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9"/>
      <c r="AS17" s="109"/>
      <c r="AT17" s="109"/>
    </row>
    <row r="18" spans="1:46">
      <c r="A18" s="10"/>
      <c r="B18" s="384" t="s">
        <v>550</v>
      </c>
      <c r="C18" s="26">
        <f>'F5 - Cost Pressures'!L$65</f>
        <v>6986.9996553860965</v>
      </c>
      <c r="D18" s="26">
        <f>'F5 - Cost Pressures'!M$65</f>
        <v>6986.9996553860965</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9"/>
      <c r="AS18" s="109"/>
      <c r="AT18" s="109"/>
    </row>
    <row r="19" spans="1:46">
      <c r="A19" s="10"/>
      <c r="B19" s="384" t="s">
        <v>548</v>
      </c>
      <c r="C19" s="26">
        <f>'F5 - Cost Pressures'!H$65</f>
        <v>17674</v>
      </c>
      <c r="D19" s="26">
        <f>'F5 - Cost Pressures'!I$65</f>
        <v>17674</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9"/>
      <c r="AS19" s="109"/>
      <c r="AT19" s="109"/>
    </row>
    <row r="20" spans="1:46">
      <c r="A20" s="10"/>
      <c r="B20" s="384" t="s">
        <v>549</v>
      </c>
      <c r="C20" s="26">
        <f>'F5 - Cost Pressures'!J$65</f>
        <v>19731.262999999999</v>
      </c>
      <c r="D20" s="26">
        <f>'F5 - Cost Pressures'!K$65</f>
        <v>19731.262999999999</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9"/>
      <c r="AS20" s="109"/>
      <c r="AT20" s="109"/>
    </row>
    <row r="21" spans="1:46">
      <c r="A21" s="10"/>
      <c r="B21" s="384" t="s">
        <v>551</v>
      </c>
      <c r="C21" s="26">
        <f>'F5 - Cost Pressures'!N$65</f>
        <v>4700</v>
      </c>
      <c r="D21" s="26">
        <f>'F5 - Cost Pressures'!O$65</f>
        <v>4700</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9"/>
      <c r="AS21" s="109"/>
      <c r="AT21" s="109"/>
    </row>
    <row r="22" spans="1:46">
      <c r="A22" s="10"/>
      <c r="B22" s="384" t="s">
        <v>441</v>
      </c>
      <c r="C22" s="26">
        <f>'F5 - Cost Pressures'!T$65</f>
        <v>7848.333333333333</v>
      </c>
      <c r="D22" s="26">
        <f>'F5 - Cost Pressures'!U$65</f>
        <v>7848.333333333333</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9"/>
      <c r="AS22" s="109"/>
      <c r="AT22" s="109"/>
    </row>
    <row r="23" spans="1:46">
      <c r="A23" s="10"/>
      <c r="B23" s="384" t="s">
        <v>554</v>
      </c>
      <c r="C23" s="26">
        <f>'F5 - Cost Pressures'!V$65</f>
        <v>0</v>
      </c>
      <c r="D23" s="26">
        <f>'F5 - Cost Pressures'!W$65</f>
        <v>0</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9"/>
      <c r="AS23" s="109"/>
      <c r="AT23" s="109"/>
    </row>
    <row r="24" spans="1:46">
      <c r="A24" s="10"/>
      <c r="B24" s="384" t="s">
        <v>379</v>
      </c>
      <c r="C24" s="26">
        <f>'F5 - Cost Pressures'!P$65</f>
        <v>18379</v>
      </c>
      <c r="D24" s="26">
        <f>'F5 - Cost Pressures'!Q$65</f>
        <v>18379</v>
      </c>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9"/>
      <c r="AS24" s="109"/>
      <c r="AT24" s="109"/>
    </row>
    <row r="25" spans="1:46">
      <c r="A25" s="10"/>
      <c r="B25" s="384" t="s">
        <v>449</v>
      </c>
      <c r="C25" s="26">
        <f>'F5 - Cost Pressures'!X$65</f>
        <v>0</v>
      </c>
      <c r="D25" s="26">
        <f>'F5 - Cost Pressures'!Y$65</f>
        <v>0</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9"/>
      <c r="AS25" s="109"/>
      <c r="AT25" s="109"/>
    </row>
    <row r="26" spans="1:46">
      <c r="A26" s="10"/>
      <c r="B26" s="384" t="s">
        <v>555</v>
      </c>
      <c r="C26" s="26">
        <f>'F5 - Cost Pressures'!Z$65</f>
        <v>0</v>
      </c>
      <c r="D26" s="26">
        <f>'F5 - Cost Pressures'!AA$65</f>
        <v>0</v>
      </c>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9"/>
      <c r="AS26" s="109"/>
      <c r="AT26" s="109"/>
    </row>
    <row r="27" spans="1:46">
      <c r="A27" s="10"/>
      <c r="B27" s="384" t="s">
        <v>1044</v>
      </c>
      <c r="C27" s="26">
        <f>'F5 - Cost Pressures'!AB65</f>
        <v>0</v>
      </c>
      <c r="D27" s="26">
        <f>'F5 - Cost Pressures'!AC65</f>
        <v>0</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9"/>
      <c r="AS27" s="109"/>
      <c r="AT27" s="109"/>
    </row>
    <row r="28" spans="1:46">
      <c r="A28" s="10"/>
      <c r="B28" s="49" t="s">
        <v>131</v>
      </c>
      <c r="C28" s="23">
        <f>SUM(C17:C27)</f>
        <v>75319.595988719433</v>
      </c>
      <c r="D28" s="23">
        <f>SUM(D17:D27)</f>
        <v>75319.595988719433</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9"/>
      <c r="AS28" s="109"/>
      <c r="AT28" s="109"/>
    </row>
    <row r="29" spans="1:46">
      <c r="A29" s="10"/>
      <c r="B29" s="122"/>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9"/>
      <c r="AS29" s="109"/>
      <c r="AT29" s="109"/>
    </row>
    <row r="30" spans="1:46" hidden="1">
      <c r="A30" s="10"/>
      <c r="B30" s="134" t="s">
        <v>1045</v>
      </c>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9"/>
      <c r="AS30" s="109"/>
      <c r="AT30" s="109"/>
    </row>
    <row r="31" spans="1:46" hidden="1">
      <c r="A31" s="10"/>
      <c r="B31" s="134"/>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9"/>
      <c r="AS31" s="109"/>
      <c r="AT31" s="109"/>
    </row>
    <row r="32" spans="1:46" hidden="1">
      <c r="A32" s="10"/>
      <c r="B32" s="11"/>
      <c r="C32" s="34" t="s">
        <v>248</v>
      </c>
      <c r="D32" s="34" t="s">
        <v>248</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9"/>
      <c r="AS32" s="109"/>
      <c r="AT32" s="109"/>
    </row>
    <row r="33" spans="1:46" ht="23.5" hidden="1">
      <c r="A33" s="10"/>
      <c r="B33" s="121" t="s">
        <v>1046</v>
      </c>
      <c r="C33" s="112" t="s">
        <v>396</v>
      </c>
      <c r="D33" s="112" t="s">
        <v>556</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9"/>
      <c r="AS33" s="109"/>
      <c r="AT33" s="109"/>
    </row>
    <row r="34" spans="1:46" hidden="1">
      <c r="A34" s="10"/>
      <c r="B34" s="44" t="s">
        <v>563</v>
      </c>
      <c r="C34" s="23">
        <f>SUMIFS('F5 - Cost Pressures'!E$1:E$65,'F5 - Cost Pressures'!$D$1:$D$65,$B34)</f>
        <v>0</v>
      </c>
      <c r="D34" s="23">
        <f>SUMIFS('F5 - Cost Pressures'!F$1:F$65,'F5 - Cost Pressures'!$D$1:$D$65,$B34)</f>
        <v>0</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9"/>
      <c r="AS34" s="109"/>
      <c r="AT34" s="109"/>
    </row>
    <row r="35" spans="1:46" hidden="1">
      <c r="A35" s="10"/>
      <c r="B35" s="44" t="s">
        <v>1047</v>
      </c>
      <c r="C35" s="23">
        <f>SUMIFS('F5 - Cost Pressures'!E$1:E$65,'F5 - Cost Pressures'!$D$1:$D$65,$B35)</f>
        <v>0</v>
      </c>
      <c r="D35" s="23">
        <f>SUMIFS('F5 - Cost Pressures'!F$1:F$65,'F5 - Cost Pressures'!$D$1:$D$65,$B35)</f>
        <v>0</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9"/>
      <c r="AS35" s="109"/>
      <c r="AT35" s="109"/>
    </row>
    <row r="36" spans="1:46" hidden="1">
      <c r="A36" s="10"/>
      <c r="B36" s="44" t="s">
        <v>1048</v>
      </c>
      <c r="C36" s="23">
        <f>SUMIFS('F5 - Cost Pressures'!E$1:E$65,'F5 - Cost Pressures'!$D$1:$D$65,$B36)</f>
        <v>0</v>
      </c>
      <c r="D36" s="23">
        <f>SUMIFS('F5 - Cost Pressures'!F$1:F$65,'F5 - Cost Pressures'!$D$1:$D$65,$B36)</f>
        <v>0</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6" hidden="1">
      <c r="A37" s="10"/>
      <c r="B37" s="44" t="s">
        <v>1049</v>
      </c>
      <c r="C37" s="23">
        <f>SUMIFS('F5 - Cost Pressures'!E$1:E$65,'F5 - Cost Pressures'!$D$1:$D$65,$B37)</f>
        <v>0</v>
      </c>
      <c r="D37" s="23">
        <f>SUMIFS('F5 - Cost Pressures'!F$1:F$65,'F5 - Cost Pressures'!$D$1:$D$65,$B37)</f>
        <v>0</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row>
    <row r="38" spans="1:46" hidden="1">
      <c r="A38" s="10"/>
      <c r="B38" s="44" t="s">
        <v>1050</v>
      </c>
      <c r="C38" s="23">
        <f>SUMIFS('F5 - Cost Pressures'!E$1:E$65,'F5 - Cost Pressures'!$D$1:$D$65,$B38)</f>
        <v>0</v>
      </c>
      <c r="D38" s="23">
        <f>SUMIFS('F5 - Cost Pressures'!F$1:F$65,'F5 - Cost Pressures'!$D$1:$D$65,$B38)</f>
        <v>0</v>
      </c>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row>
    <row r="39" spans="1:46" hidden="1">
      <c r="A39" s="10"/>
      <c r="B39" s="44" t="s">
        <v>567</v>
      </c>
      <c r="C39" s="23">
        <f>SUMIFS('F5 - Cost Pressures'!E$1:E$65,'F5 - Cost Pressures'!$D$1:$D$65,$B39)</f>
        <v>894.99</v>
      </c>
      <c r="D39" s="23">
        <f>SUMIFS('F5 - Cost Pressures'!F$1:F$65,'F5 - Cost Pressures'!$D$1:$D$65,$B39)</f>
        <v>894.99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6" hidden="1">
      <c r="A40" s="10"/>
      <c r="B40" s="44" t="s">
        <v>565</v>
      </c>
      <c r="C40" s="23">
        <f>SUMIFS('F5 - Cost Pressures'!E$1:E$65,'F5 - Cost Pressures'!$D$1:$D$65,$B40)</f>
        <v>57.999999999999993</v>
      </c>
      <c r="D40" s="23">
        <f>SUMIFS('F5 - Cost Pressures'!F$1:F$65,'F5 - Cost Pressures'!$D$1:$D$65,$B40)</f>
        <v>57.999999999999993</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6" hidden="1">
      <c r="A41" s="10"/>
      <c r="B41" s="44" t="s">
        <v>1051</v>
      </c>
      <c r="C41" s="23">
        <f>SUMIFS('F5 - Cost Pressures'!E$1:E$65,'F5 - Cost Pressures'!$D$1:$D$65,$B41)</f>
        <v>0</v>
      </c>
      <c r="D41" s="23">
        <f>SUMIFS('F5 - Cost Pressures'!F$1:F$65,'F5 - Cost Pressures'!$D$1:$D$65,$B41)</f>
        <v>0</v>
      </c>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row>
    <row r="42" spans="1:46" hidden="1">
      <c r="A42" s="10"/>
      <c r="B42" s="44" t="s">
        <v>1052</v>
      </c>
      <c r="C42" s="23">
        <f>SUMIFS('F5 - Cost Pressures'!E$1:E$65,'F5 - Cost Pressures'!$D$1:$D$65,$B42)</f>
        <v>0</v>
      </c>
      <c r="D42" s="23">
        <f>SUMIFS('F5 - Cost Pressures'!F$1:F$65,'F5 - Cost Pressures'!$D$1:$D$65,$B42)</f>
        <v>0</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6" hidden="1">
      <c r="A43" s="10"/>
      <c r="B43" s="44" t="s">
        <v>559</v>
      </c>
      <c r="C43" s="23">
        <f>SUMIFS('F5 - Cost Pressures'!E$1:E$65,'F5 - Cost Pressures'!$D$1:$D$65,$B43)</f>
        <v>0</v>
      </c>
      <c r="D43" s="23">
        <f>SUMIFS('F5 - Cost Pressures'!F$1:F$65,'F5 - Cost Pressures'!$D$1:$D$65,$B43)</f>
        <v>0</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6" hidden="1">
      <c r="A44" s="10"/>
      <c r="B44" s="44" t="s">
        <v>561</v>
      </c>
      <c r="C44" s="23">
        <f>SUMIFS('F5 - Cost Pressures'!E$1:E$65,'F5 - Cost Pressures'!$D$1:$D$65,$B44)</f>
        <v>0</v>
      </c>
      <c r="D44" s="23">
        <f>SUMIFS('F5 - Cost Pressures'!F$1:F$65,'F5 - Cost Pressures'!$D$1:$D$65,$B44)</f>
        <v>0</v>
      </c>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6" hidden="1">
      <c r="A45" s="10"/>
      <c r="B45" s="49" t="s">
        <v>131</v>
      </c>
      <c r="C45" s="23">
        <f>SUM(C34:C44)</f>
        <v>952.99</v>
      </c>
      <c r="D45" s="23">
        <f>SUM(D34:D44)</f>
        <v>952.99</v>
      </c>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row>
    <row r="46" spans="1:46">
      <c r="A46" s="10"/>
      <c r="B46" s="122"/>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row>
    <row r="47" spans="1:46" ht="43.5">
      <c r="A47" s="10"/>
      <c r="B47" s="121" t="s">
        <v>1053</v>
      </c>
      <c r="C47" s="112" t="s">
        <v>408</v>
      </c>
      <c r="D47" s="112" t="s">
        <v>409</v>
      </c>
      <c r="E47" s="112" t="s">
        <v>410</v>
      </c>
      <c r="F47" s="112" t="s">
        <v>411</v>
      </c>
      <c r="G47" s="112" t="s">
        <v>412</v>
      </c>
      <c r="H47" s="112" t="s">
        <v>413</v>
      </c>
      <c r="I47" s="44" t="s">
        <v>414</v>
      </c>
      <c r="J47" s="112" t="s">
        <v>1054</v>
      </c>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row>
    <row r="48" spans="1:46">
      <c r="A48" s="10"/>
      <c r="B48" s="384" t="s">
        <v>552</v>
      </c>
      <c r="C48" s="374">
        <f>SUMIFS('F5 - Cost Pressures'!$R$3:$R$65,'F5 - Cost Pressures'!$C$3:$C$65,C$47)</f>
        <v>0</v>
      </c>
      <c r="D48" s="374">
        <f>SUMIFS('F5 - Cost Pressures'!$R$3:$R$65,'F5 - Cost Pressures'!$C$3:$C$65,D$47)</f>
        <v>0</v>
      </c>
      <c r="E48" s="374">
        <f>SUMIFS('F5 - Cost Pressures'!$R$3:$R$65,'F5 - Cost Pressures'!$C$3:$C$65,E$47)</f>
        <v>0</v>
      </c>
      <c r="F48" s="374">
        <f>SUMIFS('F5 - Cost Pressures'!$R$3:$R$65,'F5 - Cost Pressures'!$C$3:$C$65,F$47)</f>
        <v>0</v>
      </c>
      <c r="G48" s="374">
        <f>SUMIFS('F5 - Cost Pressures'!$R$3:$R$65,'F5 - Cost Pressures'!$C$3:$C$65,G$47)</f>
        <v>0</v>
      </c>
      <c r="H48" s="374">
        <f>SUMIFS('F5 - Cost Pressures'!$R$3:$R$65,'F5 - Cost Pressures'!$C$3:$C$65,H$47)</f>
        <v>0</v>
      </c>
      <c r="I48" s="374">
        <f>SUMIFS('F5 - Cost Pressures'!$R$3:$R$65,'F5 - Cost Pressures'!$C$3:$C$65,I$47)</f>
        <v>0</v>
      </c>
      <c r="J48" s="171">
        <f t="shared" ref="J48:J57" si="0">SUM(C48:I48)</f>
        <v>0</v>
      </c>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row>
    <row r="49" spans="1:43">
      <c r="A49" s="10"/>
      <c r="B49" s="384" t="s">
        <v>450</v>
      </c>
      <c r="C49" s="374">
        <f>SUMIFS('F5 - Cost Pressures'!$L$3:$L$65,'F5 - Cost Pressures'!$C$3:$C$65,C$47)</f>
        <v>6986.9996553860965</v>
      </c>
      <c r="D49" s="374">
        <f>SUMIFS('F5 - Cost Pressures'!$L$3:$L$65,'F5 - Cost Pressures'!$C$3:$C$65,D$47)</f>
        <v>0</v>
      </c>
      <c r="E49" s="374">
        <f>SUMIFS('F5 - Cost Pressures'!$L$3:$L$65,'F5 - Cost Pressures'!$C$3:$C$65,E$47)</f>
        <v>0</v>
      </c>
      <c r="F49" s="374">
        <f>SUMIFS('F5 - Cost Pressures'!$L$3:$L$65,'F5 - Cost Pressures'!$C$3:$C$65,F$47)</f>
        <v>0</v>
      </c>
      <c r="G49" s="374">
        <f>SUMIFS('F5 - Cost Pressures'!$L$3:$L$65,'F5 - Cost Pressures'!$C$3:$C$65,G$47)</f>
        <v>0</v>
      </c>
      <c r="H49" s="374">
        <f>SUMIFS('F5 - Cost Pressures'!$L$3:$L$65,'F5 - Cost Pressures'!$C$3:$C$65,H$47)</f>
        <v>0</v>
      </c>
      <c r="I49" s="374">
        <f>SUMIFS('F5 - Cost Pressures'!$L$3:$L$65,'F5 - Cost Pressures'!$C$3:$C$65,I$47)</f>
        <v>0</v>
      </c>
      <c r="J49" s="171">
        <f t="shared" si="0"/>
        <v>6986.9996553860965</v>
      </c>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row>
    <row r="50" spans="1:43">
      <c r="A50" s="10"/>
      <c r="B50" s="384" t="s">
        <v>548</v>
      </c>
      <c r="C50" s="374">
        <f>SUMIFS('F5 - Cost Pressures'!$H$3:$H$65,'F5 - Cost Pressures'!$C$3:$C$65,C$47)</f>
        <v>0</v>
      </c>
      <c r="D50" s="374">
        <f>SUMIFS('F5 - Cost Pressures'!$H$3:$H$65,'F5 - Cost Pressures'!$C$3:$C$65,D$47)</f>
        <v>0</v>
      </c>
      <c r="E50" s="374">
        <f>SUMIFS('F5 - Cost Pressures'!$H$3:$H$65,'F5 - Cost Pressures'!$C$3:$C$65,E$47)</f>
        <v>0</v>
      </c>
      <c r="F50" s="374">
        <f>SUMIFS('F5 - Cost Pressures'!$H$3:$H$65,'F5 - Cost Pressures'!$C$3:$C$65,F$47)</f>
        <v>275</v>
      </c>
      <c r="G50" s="374">
        <f>SUMIFS('F5 - Cost Pressures'!$H$3:$H$65,'F5 - Cost Pressures'!$C$3:$C$65,G$47)</f>
        <v>17399</v>
      </c>
      <c r="H50" s="374">
        <f>SUMIFS('F5 - Cost Pressures'!$H$3:$H$65,'F5 - Cost Pressures'!$C$3:$C$65,H$47)</f>
        <v>0</v>
      </c>
      <c r="I50" s="374">
        <f>SUMIFS('F5 - Cost Pressures'!$H$3:$H$65,'F5 - Cost Pressures'!$C$3:$C$65,I$47)</f>
        <v>0</v>
      </c>
      <c r="J50" s="171">
        <f t="shared" si="0"/>
        <v>17674</v>
      </c>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row>
    <row r="51" spans="1:43">
      <c r="A51" s="10"/>
      <c r="B51" s="384" t="s">
        <v>549</v>
      </c>
      <c r="C51" s="374">
        <f>SUMIFS('F5 - Cost Pressures'!$J$3:$J$65,'F5 - Cost Pressures'!$C$3:$C$65,C$47)</f>
        <v>9418</v>
      </c>
      <c r="D51" s="374">
        <f>SUMIFS('F5 - Cost Pressures'!$J$3:$J$65,'F5 - Cost Pressures'!$C$3:$C$65,D$47)</f>
        <v>0</v>
      </c>
      <c r="E51" s="374">
        <f>SUMIFS('F5 - Cost Pressures'!$J$3:$J$65,'F5 - Cost Pressures'!$C$3:$C$65,E$47)</f>
        <v>0</v>
      </c>
      <c r="F51" s="374">
        <f>SUMIFS('F5 - Cost Pressures'!$J$3:$J$65,'F5 - Cost Pressures'!$C$3:$C$65,F$47)</f>
        <v>2172.2629999999999</v>
      </c>
      <c r="G51" s="374">
        <f>SUMIFS('F5 - Cost Pressures'!$J$3:$J$65,'F5 - Cost Pressures'!$C$3:$C$65,G$47)</f>
        <v>8141</v>
      </c>
      <c r="H51" s="374">
        <f>SUMIFS('F5 - Cost Pressures'!$J$3:$J$65,'F5 - Cost Pressures'!$C$3:$C$65,H$47)</f>
        <v>0</v>
      </c>
      <c r="I51" s="374">
        <f>SUMIFS('F5 - Cost Pressures'!$J$3:$J$65,'F5 - Cost Pressures'!$C$3:$C$65,I$47)</f>
        <v>0</v>
      </c>
      <c r="J51" s="171">
        <f t="shared" si="0"/>
        <v>19731.262999999999</v>
      </c>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row>
    <row r="52" spans="1:43">
      <c r="A52" s="10"/>
      <c r="B52" s="384" t="s">
        <v>551</v>
      </c>
      <c r="C52" s="374">
        <f>SUMIFS('F5 - Cost Pressures'!$N$3:$N$65,'F5 - Cost Pressures'!$C$3:$C$65,C$47)</f>
        <v>4700</v>
      </c>
      <c r="D52" s="374">
        <f>SUMIFS('F5 - Cost Pressures'!$N$3:$N$65,'F5 - Cost Pressures'!$C$3:$C$65,D$47)</f>
        <v>0</v>
      </c>
      <c r="E52" s="374">
        <f>SUMIFS('F5 - Cost Pressures'!$N$3:$N$65,'F5 - Cost Pressures'!$C$3:$C$65,E$47)</f>
        <v>0</v>
      </c>
      <c r="F52" s="374">
        <f>SUMIFS('F5 - Cost Pressures'!$N$3:$N$65,'F5 - Cost Pressures'!$C$3:$C$65,F$47)</f>
        <v>0</v>
      </c>
      <c r="G52" s="374">
        <f>SUMIFS('F5 - Cost Pressures'!$N$3:$N$65,'F5 - Cost Pressures'!$C$3:$C$65,G$47)</f>
        <v>0</v>
      </c>
      <c r="H52" s="374">
        <f>SUMIFS('F5 - Cost Pressures'!$N$3:$N$65,'F5 - Cost Pressures'!$C$3:$C$65,H$47)</f>
        <v>0</v>
      </c>
      <c r="I52" s="374">
        <f>SUMIFS('F5 - Cost Pressures'!$N$3:$N$65,'F5 - Cost Pressures'!$C$3:$C$65,I$47)</f>
        <v>0</v>
      </c>
      <c r="J52" s="171">
        <f t="shared" si="0"/>
        <v>4700</v>
      </c>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1:43">
      <c r="A53" s="10"/>
      <c r="B53" s="384" t="s">
        <v>441</v>
      </c>
      <c r="C53" s="374">
        <f>SUMIFS('F5 - Cost Pressures'!$T$3:$T$65,'F5 - Cost Pressures'!$C$3:$C$65,C$47)</f>
        <v>4423.333333333333</v>
      </c>
      <c r="D53" s="374">
        <f>SUMIFS('F5 - Cost Pressures'!$T$3:$T$65,'F5 - Cost Pressures'!$C$3:$C$65,D$47)</f>
        <v>0</v>
      </c>
      <c r="E53" s="374">
        <f>SUMIFS('F5 - Cost Pressures'!$T$3:$T$65,'F5 - Cost Pressures'!$C$3:$C$65,E$47)</f>
        <v>3425</v>
      </c>
      <c r="F53" s="374">
        <f>SUMIFS('F5 - Cost Pressures'!$T$3:$T$65,'F5 - Cost Pressures'!$C$3:$C$65,F$47)</f>
        <v>0</v>
      </c>
      <c r="G53" s="374">
        <f>SUMIFS('F5 - Cost Pressures'!$T$3:$T$65,'F5 - Cost Pressures'!$C$3:$C$65,G$47)</f>
        <v>0</v>
      </c>
      <c r="H53" s="374">
        <f>SUMIFS('F5 - Cost Pressures'!$T$3:$T$65,'F5 - Cost Pressures'!$C$3:$C$65,H$47)</f>
        <v>0</v>
      </c>
      <c r="I53" s="374">
        <f>SUMIFS('F5 - Cost Pressures'!$T$3:$T$65,'F5 - Cost Pressures'!$C$3:$C$65,I$47)</f>
        <v>0</v>
      </c>
      <c r="J53" s="171">
        <f t="shared" si="0"/>
        <v>7848.333333333333</v>
      </c>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row>
    <row r="54" spans="1:43">
      <c r="A54" s="10"/>
      <c r="B54" s="384" t="s">
        <v>554</v>
      </c>
      <c r="C54" s="374">
        <f>SUMIFS('F5 - Cost Pressures'!$V$3:$V$65,'F5 - Cost Pressures'!$C$3:$C$65,C$47)</f>
        <v>0</v>
      </c>
      <c r="D54" s="374">
        <f>SUMIFS('F5 - Cost Pressures'!$V$3:$V$65,'F5 - Cost Pressures'!$C$3:$C$65,D$47)</f>
        <v>0</v>
      </c>
      <c r="E54" s="374">
        <f>SUMIFS('F5 - Cost Pressures'!$V$3:$V$65,'F5 - Cost Pressures'!$C$3:$C$65,E$47)</f>
        <v>0</v>
      </c>
      <c r="F54" s="374">
        <f>SUMIFS('F5 - Cost Pressures'!$V$3:$V$65,'F5 - Cost Pressures'!$C$3:$C$65,F$47)</f>
        <v>0</v>
      </c>
      <c r="G54" s="374">
        <f>SUMIFS('F5 - Cost Pressures'!$V$3:$V$65,'F5 - Cost Pressures'!$C$3:$C$65,G$47)</f>
        <v>0</v>
      </c>
      <c r="H54" s="374">
        <f>SUMIFS('F5 - Cost Pressures'!$V$3:$V$65,'F5 - Cost Pressures'!$C$3:$C$65,H$47)</f>
        <v>0</v>
      </c>
      <c r="I54" s="374">
        <f>SUMIFS('F5 - Cost Pressures'!$V$3:$V$65,'F5 - Cost Pressures'!$C$3:$C$65,I$47)</f>
        <v>0</v>
      </c>
      <c r="J54" s="171">
        <f t="shared" si="0"/>
        <v>0</v>
      </c>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c r="A55" s="10"/>
      <c r="B55" s="384" t="s">
        <v>379</v>
      </c>
      <c r="C55" s="374">
        <f>SUMIFS('F5 - Cost Pressures'!$P$3:$P$65,'F5 - Cost Pressures'!$C$3:$C$65,C$47)</f>
        <v>18379</v>
      </c>
      <c r="D55" s="374">
        <f>SUMIFS('F5 - Cost Pressures'!$P$3:$P$65,'F5 - Cost Pressures'!$C$3:$C$65,D$47)</f>
        <v>0</v>
      </c>
      <c r="E55" s="374">
        <f>SUMIFS('F5 - Cost Pressures'!$P$3:$P$65,'F5 - Cost Pressures'!$C$3:$C$65,E$47)</f>
        <v>0</v>
      </c>
      <c r="F55" s="374">
        <f>SUMIFS('F5 - Cost Pressures'!$P$3:$P$65,'F5 - Cost Pressures'!$C$3:$C$65,F$47)</f>
        <v>0</v>
      </c>
      <c r="G55" s="374">
        <f>SUMIFS('F5 - Cost Pressures'!$P$3:$P$65,'F5 - Cost Pressures'!$C$3:$C$65,G$47)</f>
        <v>0</v>
      </c>
      <c r="H55" s="374">
        <f>SUMIFS('F5 - Cost Pressures'!$P$3:$P$65,'F5 - Cost Pressures'!$C$3:$C$65,H$47)</f>
        <v>0</v>
      </c>
      <c r="I55" s="374">
        <f>SUMIFS('F5 - Cost Pressures'!$P$3:$P$65,'F5 - Cost Pressures'!$C$3:$C$65,I$47)</f>
        <v>0</v>
      </c>
      <c r="J55" s="171">
        <f t="shared" si="0"/>
        <v>18379</v>
      </c>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row>
    <row r="56" spans="1:43">
      <c r="A56" s="10"/>
      <c r="B56" s="384" t="s">
        <v>449</v>
      </c>
      <c r="C56" s="374">
        <f>SUMIFS('F5 - Cost Pressures'!$X$3:$X$65,'F5 - Cost Pressures'!$C$3:$C$65,C$47)</f>
        <v>0</v>
      </c>
      <c r="D56" s="374">
        <f>SUMIFS('F5 - Cost Pressures'!$X$3:$X$65,'F5 - Cost Pressures'!$C$3:$C$65,D$47)</f>
        <v>0</v>
      </c>
      <c r="E56" s="374">
        <f>SUMIFS('F5 - Cost Pressures'!$X$3:$X$65,'F5 - Cost Pressures'!$C$3:$C$65,E$47)</f>
        <v>0</v>
      </c>
      <c r="F56" s="374">
        <f>SUMIFS('F5 - Cost Pressures'!$X$3:$X$65,'F5 - Cost Pressures'!$C$3:$C$65,F$47)</f>
        <v>0</v>
      </c>
      <c r="G56" s="374">
        <f>SUMIFS('F5 - Cost Pressures'!$X$3:$X$65,'F5 - Cost Pressures'!$C$3:$C$65,G$47)</f>
        <v>0</v>
      </c>
      <c r="H56" s="374">
        <f>SUMIFS('F5 - Cost Pressures'!$X$3:$X$65,'F5 - Cost Pressures'!$C$3:$C$65,H$47)</f>
        <v>0</v>
      </c>
      <c r="I56" s="374">
        <f>SUMIFS('F5 - Cost Pressures'!$X$3:$X$65,'F5 - Cost Pressures'!$C$3:$C$65,I$47)</f>
        <v>0</v>
      </c>
      <c r="J56" s="171">
        <f t="shared" si="0"/>
        <v>0</v>
      </c>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43">
      <c r="A57" s="10"/>
      <c r="B57" s="384" t="s">
        <v>555</v>
      </c>
      <c r="C57" s="374">
        <f>SUMIFS('F5 - Cost Pressures'!$Z$3:$Z$65,'F5 - Cost Pressures'!$C$3:$C$65,C$47)</f>
        <v>0</v>
      </c>
      <c r="D57" s="374">
        <f>SUMIFS('F5 - Cost Pressures'!$Z$3:$Z$65,'F5 - Cost Pressures'!$C$3:$C$65,D$47)</f>
        <v>0</v>
      </c>
      <c r="E57" s="374">
        <f>SUMIFS('F5 - Cost Pressures'!$Z$3:$Z$65,'F5 - Cost Pressures'!$C$3:$C$65,E$47)</f>
        <v>0</v>
      </c>
      <c r="F57" s="374">
        <f>SUMIFS('F5 - Cost Pressures'!$Z$3:$Z$65,'F5 - Cost Pressures'!$C$3:$C$65,F$47)</f>
        <v>0</v>
      </c>
      <c r="G57" s="374">
        <f>SUMIFS('F5 - Cost Pressures'!$Z$3:$Z$65,'F5 - Cost Pressures'!$C$3:$C$65,G$47)</f>
        <v>0</v>
      </c>
      <c r="H57" s="374">
        <f>SUMIFS('F5 - Cost Pressures'!$Z$3:$Z$65,'F5 - Cost Pressures'!$C$3:$C$65,H$47)</f>
        <v>0</v>
      </c>
      <c r="I57" s="374">
        <f>SUMIFS('F5 - Cost Pressures'!$Z$3:$Z$65,'F5 - Cost Pressures'!$C$3:$C$65,I$47)</f>
        <v>0</v>
      </c>
      <c r="J57" s="171">
        <f t="shared" si="0"/>
        <v>0</v>
      </c>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row>
    <row r="58" spans="1:43">
      <c r="A58" s="10"/>
      <c r="B58" s="44" t="s">
        <v>1055</v>
      </c>
      <c r="C58" s="171">
        <f t="shared" ref="C58:J58" si="1">SUM(C48:C57)</f>
        <v>43907.332988719427</v>
      </c>
      <c r="D58" s="171">
        <f t="shared" si="1"/>
        <v>0</v>
      </c>
      <c r="E58" s="171">
        <f t="shared" si="1"/>
        <v>3425</v>
      </c>
      <c r="F58" s="171">
        <f t="shared" si="1"/>
        <v>2447.2629999999999</v>
      </c>
      <c r="G58" s="171">
        <f t="shared" si="1"/>
        <v>25540</v>
      </c>
      <c r="H58" s="171">
        <f t="shared" si="1"/>
        <v>0</v>
      </c>
      <c r="I58" s="171">
        <f t="shared" si="1"/>
        <v>0</v>
      </c>
      <c r="J58" s="171">
        <f t="shared" si="1"/>
        <v>75319.595988719433</v>
      </c>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row>
    <row r="59" spans="1:43">
      <c r="A59" s="10"/>
      <c r="B59" s="384" t="s">
        <v>1044</v>
      </c>
      <c r="C59" s="374">
        <f>SUMIFS('F5 - Cost Pressures'!$AB$3:$AB$65,'F5 - Cost Pressures'!$C$3:$C$65,C$47)</f>
        <v>0</v>
      </c>
      <c r="D59" s="374">
        <f>SUMIFS('F5 - Cost Pressures'!$AB$3:$AB$65,'F5 - Cost Pressures'!$C$3:$C$65,D$47)</f>
        <v>0</v>
      </c>
      <c r="E59" s="374">
        <f>SUMIFS('F5 - Cost Pressures'!$AB$3:$AB$65,'F5 - Cost Pressures'!$C$3:$C$65,E$47)</f>
        <v>0</v>
      </c>
      <c r="F59" s="374">
        <f>SUMIFS('F5 - Cost Pressures'!$AB$3:$AB$65,'F5 - Cost Pressures'!$C$3:$C$65,F$47)</f>
        <v>0</v>
      </c>
      <c r="G59" s="374">
        <f>SUMIFS('F5 - Cost Pressures'!$AB$3:$AB$65,'F5 - Cost Pressures'!$C$3:$C$65,G$47)</f>
        <v>0</v>
      </c>
      <c r="H59" s="374">
        <f>SUMIFS('F5 - Cost Pressures'!$AB$3:$AB$65,'F5 - Cost Pressures'!$C$3:$C$65,H$47)</f>
        <v>0</v>
      </c>
      <c r="I59" s="374">
        <f>SUMIFS('F5 - Cost Pressures'!$AB$3:$AB$65,'F5 - Cost Pressures'!$C$3:$C$65,I$47)</f>
        <v>0</v>
      </c>
      <c r="J59" s="171">
        <f>SUM(C59:I59)</f>
        <v>0</v>
      </c>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row>
    <row r="60" spans="1:43">
      <c r="A60" s="10"/>
      <c r="B60" s="44" t="s">
        <v>263</v>
      </c>
      <c r="C60" s="171">
        <f t="shared" ref="C60:J60" si="2">SUM(C58:C59)</f>
        <v>43907.332988719427</v>
      </c>
      <c r="D60" s="171">
        <f t="shared" si="2"/>
        <v>0</v>
      </c>
      <c r="E60" s="171">
        <f t="shared" si="2"/>
        <v>3425</v>
      </c>
      <c r="F60" s="171">
        <f t="shared" si="2"/>
        <v>2447.2629999999999</v>
      </c>
      <c r="G60" s="171">
        <f t="shared" si="2"/>
        <v>25540</v>
      </c>
      <c r="H60" s="171">
        <f t="shared" si="2"/>
        <v>0</v>
      </c>
      <c r="I60" s="171">
        <f t="shared" si="2"/>
        <v>0</v>
      </c>
      <c r="J60" s="171">
        <f t="shared" si="2"/>
        <v>75319.595988719433</v>
      </c>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row>
    <row r="61" spans="1:43">
      <c r="A61" s="10"/>
      <c r="B61" s="122"/>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row>
    <row r="62" spans="1:43" ht="43.5">
      <c r="A62" s="10"/>
      <c r="B62" s="121" t="s">
        <v>1056</v>
      </c>
      <c r="C62" s="112" t="s">
        <v>408</v>
      </c>
      <c r="D62" s="112" t="s">
        <v>409</v>
      </c>
      <c r="E62" s="112" t="s">
        <v>410</v>
      </c>
      <c r="F62" s="112" t="s">
        <v>411</v>
      </c>
      <c r="G62" s="112" t="s">
        <v>412</v>
      </c>
      <c r="H62" s="112" t="s">
        <v>413</v>
      </c>
      <c r="I62" s="44" t="s">
        <v>414</v>
      </c>
      <c r="J62" s="112" t="s">
        <v>1057</v>
      </c>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43">
      <c r="A63" s="10"/>
      <c r="B63" s="384" t="s">
        <v>552</v>
      </c>
      <c r="C63" s="383">
        <f>IFERROR(C48/'A2 Movements by spend area'!$C24,0)</f>
        <v>0</v>
      </c>
      <c r="D63" s="383">
        <f>IFERROR(D48/'A2 Movements by spend area'!$C24,0)</f>
        <v>0</v>
      </c>
      <c r="E63" s="383">
        <f>IFERROR(E48/'A2 Movements by spend area'!$C24,0)</f>
        <v>0</v>
      </c>
      <c r="F63" s="383">
        <f>IFERROR(F48/'A2 Movements by spend area'!$C24,0)</f>
        <v>0</v>
      </c>
      <c r="G63" s="383">
        <f>IFERROR(G48/'A2 Movements by spend area'!$C24,0)</f>
        <v>0</v>
      </c>
      <c r="H63" s="383">
        <f>IFERROR(H48/'A2 Movements by spend area'!$C24,0)</f>
        <v>0</v>
      </c>
      <c r="I63" s="383">
        <f>IFERROR(I48/'A2 Movements by spend area'!$C24,0)</f>
        <v>0</v>
      </c>
      <c r="J63" s="204">
        <f t="shared" ref="J63:J72" si="3">SUM(C63:I63)</f>
        <v>0</v>
      </c>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c r="A64" s="10"/>
      <c r="B64" s="384" t="s">
        <v>550</v>
      </c>
      <c r="C64" s="383">
        <f>IFERROR(C49/'A2 Movements by spend area'!$C25,0)</f>
        <v>7.9184493911736584E-2</v>
      </c>
      <c r="D64" s="383">
        <f>IFERROR(D49/'A2 Movements by spend area'!$C25,0)</f>
        <v>0</v>
      </c>
      <c r="E64" s="383">
        <f>IFERROR(E49/'A2 Movements by spend area'!$C25,0)</f>
        <v>0</v>
      </c>
      <c r="F64" s="383">
        <f>IFERROR(F49/'A2 Movements by spend area'!$C25,0)</f>
        <v>0</v>
      </c>
      <c r="G64" s="383">
        <f>IFERROR(G49/'A2 Movements by spend area'!$C25,0)</f>
        <v>0</v>
      </c>
      <c r="H64" s="383">
        <f>IFERROR(H49/'A2 Movements by spend area'!$C25,0)</f>
        <v>0</v>
      </c>
      <c r="I64" s="383">
        <f>IFERROR(I49/'A2 Movements by spend area'!$C25,0)</f>
        <v>0</v>
      </c>
      <c r="J64" s="204">
        <f t="shared" si="3"/>
        <v>7.9184493911736584E-2</v>
      </c>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c r="A65" s="10"/>
      <c r="B65" s="384" t="s">
        <v>548</v>
      </c>
      <c r="C65" s="383">
        <f>IFERROR(C50/'A2 Movements by spend area'!$C26,0)</f>
        <v>0</v>
      </c>
      <c r="D65" s="383">
        <f>IFERROR(D50/'A2 Movements by spend area'!$C26,0)</f>
        <v>0</v>
      </c>
      <c r="E65" s="383">
        <f>IFERROR(E50/'A2 Movements by spend area'!$C26,0)</f>
        <v>0</v>
      </c>
      <c r="F65" s="383">
        <f>IFERROR(F50/'A2 Movements by spend area'!$C26,0)</f>
        <v>3.6500010284694177E-4</v>
      </c>
      <c r="G65" s="383">
        <f>IFERROR(G50/'A2 Movements by spend area'!$C26,0)</f>
        <v>2.3093224688850687E-2</v>
      </c>
      <c r="H65" s="383">
        <f>IFERROR(H50/'A2 Movements by spend area'!$C26,0)</f>
        <v>0</v>
      </c>
      <c r="I65" s="383">
        <f>IFERROR(I50/'A2 Movements by spend area'!$C26,0)</f>
        <v>0</v>
      </c>
      <c r="J65" s="204">
        <f t="shared" si="3"/>
        <v>2.3458224791697631E-2</v>
      </c>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row>
    <row r="66" spans="1:43">
      <c r="A66" s="10"/>
      <c r="B66" s="384" t="s">
        <v>549</v>
      </c>
      <c r="C66" s="383">
        <f>IFERROR(C51/'A2 Movements by spend area'!$C27,0)</f>
        <v>6.5752470360054049E-2</v>
      </c>
      <c r="D66" s="383">
        <f>IFERROR(D51/'A2 Movements by spend area'!$C27,0)</f>
        <v>0</v>
      </c>
      <c r="E66" s="383">
        <f>IFERROR(E51/'A2 Movements by spend area'!$C27,0)</f>
        <v>0</v>
      </c>
      <c r="F66" s="383">
        <f>IFERROR(F51/'A2 Movements by spend area'!$C27,0)</f>
        <v>1.5165816364593554E-2</v>
      </c>
      <c r="G66" s="383">
        <f>IFERROR(G51/'A2 Movements by spend area'!$C27,0)</f>
        <v>5.683699949046507E-2</v>
      </c>
      <c r="H66" s="383">
        <f>IFERROR(H51/'A2 Movements by spend area'!$C27,0)</f>
        <v>0</v>
      </c>
      <c r="I66" s="383">
        <f>IFERROR(I51/'A2 Movements by spend area'!$C27,0)</f>
        <v>0</v>
      </c>
      <c r="J66" s="204">
        <f t="shared" si="3"/>
        <v>0.13775528621511268</v>
      </c>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c r="A67" s="10"/>
      <c r="B67" s="384" t="s">
        <v>551</v>
      </c>
      <c r="C67" s="383">
        <f>IFERROR(C52/'A2 Movements by spend area'!$C28,0)</f>
        <v>5.6438257914769203E-2</v>
      </c>
      <c r="D67" s="383">
        <f>IFERROR(D52/'A2 Movements by spend area'!$C28,0)</f>
        <v>0</v>
      </c>
      <c r="E67" s="383">
        <f>IFERROR(E52/'A2 Movements by spend area'!$C28,0)</f>
        <v>0</v>
      </c>
      <c r="F67" s="383">
        <f>IFERROR(F52/'A2 Movements by spend area'!$C28,0)</f>
        <v>0</v>
      </c>
      <c r="G67" s="383">
        <f>IFERROR(G52/'A2 Movements by spend area'!$C28,0)</f>
        <v>0</v>
      </c>
      <c r="H67" s="383">
        <f>IFERROR(H52/'A2 Movements by spend area'!$C28,0)</f>
        <v>0</v>
      </c>
      <c r="I67" s="383">
        <f>IFERROR(I52/'A2 Movements by spend area'!$C28,0)</f>
        <v>0</v>
      </c>
      <c r="J67" s="204">
        <f t="shared" si="3"/>
        <v>5.6438257914769203E-2</v>
      </c>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c r="A68" s="10"/>
      <c r="B68" s="384" t="s">
        <v>441</v>
      </c>
      <c r="C68" s="383">
        <f>IFERROR(C53/'A2 Movements by spend area'!$C29,0)</f>
        <v>2.4161917534348529E-2</v>
      </c>
      <c r="D68" s="383">
        <f>IFERROR(D53/'A2 Movements by spend area'!$C29,0)</f>
        <v>0</v>
      </c>
      <c r="E68" s="383">
        <f>IFERROR(E53/'A2 Movements by spend area'!$C29,0)</f>
        <v>1.8708643757756681E-2</v>
      </c>
      <c r="F68" s="383">
        <f>IFERROR(F53/'A2 Movements by spend area'!$C29,0)</f>
        <v>0</v>
      </c>
      <c r="G68" s="383">
        <f>IFERROR(G53/'A2 Movements by spend area'!$C29,0)</f>
        <v>0</v>
      </c>
      <c r="H68" s="383">
        <f>IFERROR(H53/'A2 Movements by spend area'!$C29,0)</f>
        <v>0</v>
      </c>
      <c r="I68" s="383">
        <f>IFERROR(I53/'A2 Movements by spend area'!$C29,0)</f>
        <v>0</v>
      </c>
      <c r="J68" s="204">
        <f t="shared" si="3"/>
        <v>4.287056129210521E-2</v>
      </c>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row>
    <row r="69" spans="1:43">
      <c r="A69" s="10"/>
      <c r="B69" s="384" t="s">
        <v>554</v>
      </c>
      <c r="C69" s="383">
        <f>IFERROR(C54/'A2 Movements by spend area'!$C30,0)</f>
        <v>0</v>
      </c>
      <c r="D69" s="383">
        <f>IFERROR(D54/'A2 Movements by spend area'!$C30,0)</f>
        <v>0</v>
      </c>
      <c r="E69" s="383">
        <f>IFERROR(E54/'A2 Movements by spend area'!$C30,0)</f>
        <v>0</v>
      </c>
      <c r="F69" s="383">
        <f>IFERROR(F54/'A2 Movements by spend area'!$C30,0)</f>
        <v>0</v>
      </c>
      <c r="G69" s="383">
        <f>IFERROR(G54/'A2 Movements by spend area'!$C30,0)</f>
        <v>0</v>
      </c>
      <c r="H69" s="383">
        <f>IFERROR(H54/'A2 Movements by spend area'!$C30,0)</f>
        <v>0</v>
      </c>
      <c r="I69" s="383">
        <f>IFERROR(I54/'A2 Movements by spend area'!$C30,0)</f>
        <v>0</v>
      </c>
      <c r="J69" s="204">
        <f t="shared" si="3"/>
        <v>0</v>
      </c>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c r="A70" s="10"/>
      <c r="B70" s="384" t="s">
        <v>379</v>
      </c>
      <c r="C70" s="383">
        <f>IFERROR(C55/'A2 Movements by spend area'!$C31,0)</f>
        <v>0.21191415778206463</v>
      </c>
      <c r="D70" s="383">
        <f>IFERROR(D55/'A2 Movements by spend area'!$C31,0)</f>
        <v>0</v>
      </c>
      <c r="E70" s="383">
        <f>IFERROR(E55/'A2 Movements by spend area'!$C31,0)</f>
        <v>0</v>
      </c>
      <c r="F70" s="383">
        <f>IFERROR(F55/'A2 Movements by spend area'!$C31,0)</f>
        <v>0</v>
      </c>
      <c r="G70" s="383">
        <f>IFERROR(G55/'A2 Movements by spend area'!$C31,0)</f>
        <v>0</v>
      </c>
      <c r="H70" s="383">
        <f>IFERROR(H55/'A2 Movements by spend area'!$C31,0)</f>
        <v>0</v>
      </c>
      <c r="I70" s="383">
        <f>IFERROR(I55/'A2 Movements by spend area'!$C31,0)</f>
        <v>0</v>
      </c>
      <c r="J70" s="204">
        <f t="shared" si="3"/>
        <v>0.21191415778206463</v>
      </c>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row>
    <row r="71" spans="1:43">
      <c r="A71" s="10"/>
      <c r="B71" s="384" t="s">
        <v>449</v>
      </c>
      <c r="C71" s="383">
        <f>IFERROR(C56/'A2 Movements by spend area'!$C32,0)</f>
        <v>0</v>
      </c>
      <c r="D71" s="383">
        <f>IFERROR(D56/'A2 Movements by spend area'!$C32,0)</f>
        <v>0</v>
      </c>
      <c r="E71" s="383">
        <f>IFERROR(E56/'A2 Movements by spend area'!$C32,0)</f>
        <v>0</v>
      </c>
      <c r="F71" s="383">
        <f>IFERROR(F56/'A2 Movements by spend area'!$C32,0)</f>
        <v>0</v>
      </c>
      <c r="G71" s="383">
        <f>IFERROR(G56/'A2 Movements by spend area'!$C32,0)</f>
        <v>0</v>
      </c>
      <c r="H71" s="383">
        <f>IFERROR(H56/'A2 Movements by spend area'!$C32,0)</f>
        <v>0</v>
      </c>
      <c r="I71" s="383">
        <f>IFERROR(I56/'A2 Movements by spend area'!$C32,0)</f>
        <v>0</v>
      </c>
      <c r="J71" s="204">
        <f t="shared" si="3"/>
        <v>0</v>
      </c>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row>
    <row r="72" spans="1:43">
      <c r="A72" s="10"/>
      <c r="B72" s="384" t="s">
        <v>555</v>
      </c>
      <c r="C72" s="383">
        <f>IFERROR(C57/'A2 Movements by spend area'!$C33,0)</f>
        <v>0</v>
      </c>
      <c r="D72" s="383">
        <f>IFERROR(D57/'A2 Movements by spend area'!$C33,0)</f>
        <v>0</v>
      </c>
      <c r="E72" s="383">
        <f>IFERROR(E57/'A2 Movements by spend area'!$C33,0)</f>
        <v>0</v>
      </c>
      <c r="F72" s="383">
        <f>IFERROR(F57/'A2 Movements by spend area'!$C33,0)</f>
        <v>0</v>
      </c>
      <c r="G72" s="383">
        <f>IFERROR(G57/'A2 Movements by spend area'!$C33,0)</f>
        <v>0</v>
      </c>
      <c r="H72" s="383">
        <f>IFERROR(H57/'A2 Movements by spend area'!$C33,0)</f>
        <v>0</v>
      </c>
      <c r="I72" s="383">
        <f>IFERROR(I57/'A2 Movements by spend area'!$C33,0)</f>
        <v>0</v>
      </c>
      <c r="J72" s="204">
        <f t="shared" si="3"/>
        <v>0</v>
      </c>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c r="A73" s="10"/>
      <c r="B73" s="44" t="s">
        <v>1058</v>
      </c>
      <c r="C73" s="491">
        <f>IFERROR(C58/SUM('A2 Movements by spend area'!C24:C33),0)</f>
        <v>2.9395335150604052E-2</v>
      </c>
      <c r="D73" s="491">
        <f>IFERROR(D58/SUM('A2 Movements by spend area'!C24:C33),0)</f>
        <v>0</v>
      </c>
      <c r="E73" s="491">
        <f>IFERROR(E58/SUM('A2 Movements by spend area'!C24:C33),0)</f>
        <v>2.2929888025010562E-3</v>
      </c>
      <c r="F73" s="491">
        <f>IFERROR(F58/SUM('A2 Movements by spend area'!C24:C33),0)</f>
        <v>1.6384077827080706E-3</v>
      </c>
      <c r="G73" s="491">
        <f>IFERROR(G58/SUM('A2 Movements by spend area'!C24:C33),0)</f>
        <v>1.7098666865949481E-2</v>
      </c>
      <c r="H73" s="491">
        <f>IFERROR(H58/SUM('A2 Movements by spend area'!C24:C33),0)</f>
        <v>0</v>
      </c>
      <c r="I73" s="491">
        <f>IFERROR(I58/SUM('A2 Movements by spend area'!C24:C33),0)</f>
        <v>0</v>
      </c>
      <c r="J73" s="491">
        <f>IFERROR(J58/SUM('A2 Movements by spend area'!C24:C33),0)</f>
        <v>5.0425398601762664E-2</v>
      </c>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row>
    <row r="74" spans="1:43">
      <c r="A74" s="10"/>
      <c r="B74" s="122"/>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row>
    <row r="75" spans="1:43">
      <c r="A75" s="10"/>
      <c r="B75" s="122"/>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43">
      <c r="A76" s="10"/>
      <c r="B76" s="122"/>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43">
      <c r="A77" s="10"/>
      <c r="B77" s="122"/>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43">
      <c r="A78" s="10"/>
      <c r="B78" s="122"/>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43">
      <c r="A79" s="10"/>
      <c r="B79" s="122"/>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sheetData>
  <sheetProtection sheet="1" objects="1" scenarios="1"/>
  <pageMargins left="0.7" right="0.7" top="0.75" bottom="0.75" header="0.3" footer="0.3"/>
  <pageSetup paperSize="9" scale="72" fitToHeight="0" orientation="landscape" r:id="rId1"/>
  <rowBreaks count="1" manualBreakCount="1">
    <brk id="46"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7"/>
    <pageSetUpPr fitToPage="1"/>
  </sheetPr>
  <dimension ref="A1:CX53"/>
  <sheetViews>
    <sheetView showGridLines="0" zoomScale="70" zoomScaleNormal="70" workbookViewId="0">
      <pane xSplit="5" topLeftCell="F1" activePane="topRight" state="frozen"/>
      <selection activeCell="B11" sqref="B11:C13"/>
      <selection pane="topRight" activeCell="I9" sqref="I9"/>
    </sheetView>
  </sheetViews>
  <sheetFormatPr defaultColWidth="9.07421875" defaultRowHeight="15.5"/>
  <cols>
    <col min="1" max="1" width="3.3046875" customWidth="1"/>
    <col min="2" max="2" width="20" customWidth="1"/>
    <col min="3" max="4" width="15.765625" customWidth="1"/>
    <col min="5" max="5" width="6.23046875" customWidth="1"/>
    <col min="6" max="9" width="12" customWidth="1"/>
    <col min="10" max="17" width="9.69140625" customWidth="1"/>
    <col min="18" max="44" width="15.765625" customWidth="1"/>
  </cols>
  <sheetData>
    <row r="1" spans="1:102" ht="23.5">
      <c r="B1" s="199" t="s">
        <v>1059</v>
      </c>
      <c r="C1" s="199"/>
      <c r="D1" s="199"/>
      <c r="E1" s="199"/>
      <c r="F1" s="199"/>
      <c r="G1" s="199"/>
      <c r="H1" s="199"/>
      <c r="I1" s="199"/>
    </row>
    <row r="2" spans="1:102" ht="18">
      <c r="B2" s="257"/>
    </row>
    <row r="3" spans="1:102" s="40" customFormat="1" ht="20.149999999999999" customHeight="1">
      <c r="A3" s="37"/>
      <c r="B3" s="38"/>
      <c r="C3" s="38"/>
      <c r="D3" s="38"/>
      <c r="E3" s="38"/>
      <c r="F3" s="908" t="s">
        <v>248</v>
      </c>
      <c r="G3" s="908"/>
      <c r="H3" s="908"/>
      <c r="I3" s="90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11"/>
      <c r="AP3" s="11"/>
      <c r="AQ3" s="11"/>
      <c r="AR3" s="11"/>
      <c r="AS3" s="11"/>
      <c r="AT3" s="11"/>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15" t="s">
        <v>1060</v>
      </c>
      <c r="CE3" s="41" t="s">
        <v>1061</v>
      </c>
      <c r="CF3" s="41"/>
      <c r="CG3" s="41"/>
      <c r="CH3" s="41"/>
      <c r="CI3" s="41"/>
      <c r="CJ3" s="41"/>
      <c r="CK3" s="41"/>
      <c r="CL3" s="41"/>
      <c r="CM3" s="41"/>
      <c r="CN3" s="41"/>
      <c r="CO3" s="41"/>
      <c r="CP3" s="38"/>
      <c r="CQ3" s="38"/>
      <c r="CR3" s="38"/>
      <c r="CS3" s="38"/>
      <c r="CT3" s="39" t="s">
        <v>381</v>
      </c>
      <c r="CU3" s="38"/>
      <c r="CV3" s="38"/>
      <c r="CW3" s="38"/>
    </row>
    <row r="4" spans="1:102" s="40" customFormat="1" ht="35.25" customHeight="1">
      <c r="A4" s="37"/>
      <c r="B4" s="199" t="s">
        <v>1062</v>
      </c>
      <c r="C4" s="200"/>
      <c r="D4" s="200"/>
      <c r="E4" s="201"/>
      <c r="F4" s="34" t="s">
        <v>1063</v>
      </c>
      <c r="G4" s="34" t="s">
        <v>1064</v>
      </c>
      <c r="H4" s="34" t="s">
        <v>1065</v>
      </c>
      <c r="I4" s="34" t="s">
        <v>1066</v>
      </c>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11"/>
      <c r="AP4" s="11"/>
      <c r="AQ4" s="11"/>
      <c r="AR4" s="11"/>
      <c r="AS4" s="11"/>
      <c r="AT4" s="11"/>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15" t="s">
        <v>1067</v>
      </c>
      <c r="CE4" s="41" t="s">
        <v>1068</v>
      </c>
      <c r="CF4" s="41"/>
      <c r="CG4" s="41"/>
      <c r="CH4" s="41"/>
      <c r="CI4" s="41"/>
      <c r="CJ4" s="41"/>
      <c r="CK4" s="41"/>
      <c r="CL4" s="41"/>
      <c r="CM4" s="41"/>
      <c r="CN4" s="41"/>
      <c r="CO4" s="41"/>
      <c r="CP4" s="38"/>
      <c r="CQ4" s="38"/>
      <c r="CR4" s="38"/>
      <c r="CS4" s="38"/>
      <c r="CT4" s="39" t="s">
        <v>382</v>
      </c>
      <c r="CU4" s="38"/>
      <c r="CV4" s="38"/>
      <c r="CW4" s="38"/>
    </row>
    <row r="5" spans="1:102" s="40" customFormat="1" ht="20.149999999999999" customHeight="1">
      <c r="A5" s="37"/>
      <c r="B5" s="80" t="s">
        <v>1069</v>
      </c>
      <c r="C5" s="81"/>
      <c r="D5" s="81"/>
      <c r="E5" s="81"/>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11"/>
      <c r="AP5" s="11"/>
      <c r="AQ5" s="11"/>
      <c r="AR5" s="11"/>
      <c r="AS5" s="11"/>
      <c r="AT5" s="11"/>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15" t="s">
        <v>853</v>
      </c>
      <c r="CE5" s="41" t="s">
        <v>1070</v>
      </c>
      <c r="CF5" s="41"/>
      <c r="CG5" s="41"/>
      <c r="CH5" s="41"/>
      <c r="CI5" s="41"/>
      <c r="CJ5" s="41"/>
      <c r="CK5" s="41"/>
      <c r="CL5" s="41"/>
      <c r="CM5" s="41"/>
      <c r="CN5" s="41"/>
      <c r="CO5" s="41"/>
      <c r="CP5" s="38"/>
      <c r="CQ5" s="38"/>
      <c r="CR5" s="38"/>
      <c r="CS5" s="38"/>
      <c r="CT5" s="39" t="s">
        <v>1071</v>
      </c>
      <c r="CU5" s="38"/>
      <c r="CV5" s="38"/>
      <c r="CW5" s="38"/>
    </row>
    <row r="6" spans="1:102" s="40" customFormat="1" ht="20.149999999999999" customHeight="1">
      <c r="A6" s="37"/>
      <c r="B6" s="44" t="s">
        <v>1072</v>
      </c>
      <c r="C6" s="47"/>
      <c r="D6" s="47"/>
      <c r="E6" s="48"/>
      <c r="F6" s="26">
        <f>SUMIFS('F6 - Savings Tracker'!$AD$1:$AD$1033,
'F6 - Savings Tracker'!$H$1:$H$1033,"Saving*",
'F6 - Savings Tracker'!$G$1:$G$1033,"NR",
'F6 - Savings Tracker'!$M$1:$M$1033,"Green")</f>
        <v>0</v>
      </c>
      <c r="G6" s="26">
        <f>SUMIFS('F6 - Savings Tracker'!$AD$1:$AD$1033,
'F6 - Savings Tracker'!$H$1:$H$1033,"Saving*",
'F6 - Savings Tracker'!$G$1:$G$1033,"R",
'F6 - Savings Tracker'!$M$1:$M$1033,"Green")</f>
        <v>8400</v>
      </c>
      <c r="H6" s="26">
        <f>SUMIFS('F6 - Savings Tracker'!$I$1:$I$1033,
'F6 - Savings Tracker'!$H$1:$H$1033,"Saving*",
'F6 - Savings Tracker'!$M$1:$M$1033,"Green")</f>
        <v>8400</v>
      </c>
      <c r="I6" s="26">
        <f>SUMIFS('F6 - Savings Tracker'!$J$1:$J$1033,
'F6 - Savings Tracker'!$H$1:$H$1033,"Saving*",
'F6 - Savings Tracker'!$M$1:$M$1033,"Green")</f>
        <v>8400</v>
      </c>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11"/>
      <c r="AP6" s="11"/>
      <c r="AQ6" s="11"/>
      <c r="AR6" s="11"/>
      <c r="AS6" s="11"/>
      <c r="AT6" s="11"/>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15" t="s">
        <v>878</v>
      </c>
      <c r="CE6" s="41" t="s">
        <v>1073</v>
      </c>
      <c r="CF6" s="41"/>
      <c r="CG6" s="41"/>
      <c r="CH6" s="41"/>
      <c r="CI6" s="41"/>
      <c r="CJ6" s="41"/>
      <c r="CK6" s="41"/>
      <c r="CL6" s="41"/>
      <c r="CM6" s="41"/>
      <c r="CN6" s="41"/>
      <c r="CO6" s="41"/>
      <c r="CP6" s="38"/>
      <c r="CQ6" s="38"/>
      <c r="CR6" s="38"/>
      <c r="CS6" s="38"/>
      <c r="CT6" s="39" t="s">
        <v>1074</v>
      </c>
      <c r="CU6" s="38"/>
      <c r="CV6" s="38"/>
      <c r="CW6" s="38"/>
    </row>
    <row r="7" spans="1:102" s="40" customFormat="1" ht="20.149999999999999" customHeight="1">
      <c r="A7" s="37"/>
      <c r="B7" s="44" t="s">
        <v>1075</v>
      </c>
      <c r="C7" s="47"/>
      <c r="D7" s="47"/>
      <c r="E7" s="48"/>
      <c r="F7" s="26">
        <f>SUMIFS('F6 - Savings Tracker'!$AD$1:$AD$1033,
'F6 - Savings Tracker'!$H$1:$H$1033,"Saving*",
'F6 - Savings Tracker'!$G$1:$G$1033,"NR",
'F6 - Savings Tracker'!$M$1:$M$1033,"Amber")</f>
        <v>0</v>
      </c>
      <c r="G7" s="26">
        <f>SUMIFS('F6 - Savings Tracker'!$AD$1:$AD$1033,
'F6 - Savings Tracker'!$H$1:$H$1033,"Saving*",
'F6 - Savings Tracker'!$G$1:$G$1033,"R",
'F6 - Savings Tracker'!$M$1:$M$1033,"Amber")</f>
        <v>0</v>
      </c>
      <c r="H7" s="26">
        <f>SUMIFS('F6 - Savings Tracker'!$I$1:$I$1033,
'F6 - Savings Tracker'!$H$1:$H$1033,"Saving*",
'F6 - Savings Tracker'!$M$1:$M$1033,"Amber")</f>
        <v>0</v>
      </c>
      <c r="I7" s="26">
        <f>SUMIFS('F6 - Savings Tracker'!$J$1:$J$1033,
'F6 - Savings Tracker'!$H$1:$H$1033,"Saving*",
'F6 - Savings Tracker'!$M$1:$M$1033,"Amber")</f>
        <v>0</v>
      </c>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11"/>
      <c r="AP7" s="11"/>
      <c r="AQ7" s="11"/>
      <c r="AR7" s="11"/>
      <c r="AS7" s="11"/>
      <c r="AT7" s="11"/>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15"/>
      <c r="CE7" s="41"/>
      <c r="CF7" s="41"/>
      <c r="CG7" s="41"/>
      <c r="CH7" s="41"/>
      <c r="CI7" s="41"/>
      <c r="CJ7" s="41"/>
      <c r="CK7" s="41"/>
      <c r="CL7" s="41"/>
      <c r="CM7" s="41"/>
      <c r="CN7" s="41"/>
      <c r="CO7" s="41"/>
      <c r="CP7" s="38"/>
      <c r="CQ7" s="38"/>
      <c r="CR7" s="38"/>
      <c r="CS7" s="38"/>
      <c r="CT7" s="39"/>
      <c r="CU7" s="38"/>
      <c r="CV7" s="38"/>
      <c r="CW7" s="38"/>
    </row>
    <row r="8" spans="1:102" s="40" customFormat="1" ht="20.149999999999999" customHeight="1">
      <c r="A8" s="37"/>
      <c r="B8" s="44" t="s">
        <v>1076</v>
      </c>
      <c r="C8" s="47"/>
      <c r="D8" s="47"/>
      <c r="E8" s="48"/>
      <c r="F8" s="26">
        <f>SUMIFS('F6 - Savings Tracker'!$AD$1:$AD$1033,
'F6 - Savings Tracker'!$H$1:$H$1033,"Saving*",
'F6 - Savings Tracker'!$G$1:$G$1033,"NR",
'F6 - Savings Tracker'!$M$1:$M$1033,"Red")</f>
        <v>0</v>
      </c>
      <c r="G8" s="26">
        <f>SUMIFS('F6 - Savings Tracker'!$AD$1:$AD$1033,
'F6 - Savings Tracker'!$H$1:$H$1033,"Saving*",
'F6 - Savings Tracker'!$G$1:$G$1033,"R",
'F6 - Savings Tracker'!$M$1:$M$1033,"Red")</f>
        <v>13380</v>
      </c>
      <c r="H8" s="26">
        <f>SUMIFS('F6 - Savings Tracker'!$I$1:$I$1033,
'F6 - Savings Tracker'!$H$1:$H$1033,"Saving*",
'F6 - Savings Tracker'!$M$1:$M$1033,"Red")</f>
        <v>13380</v>
      </c>
      <c r="I8" s="26">
        <f>SUMIFS('F6 - Savings Tracker'!$J$1:$J$1033,
'F6 - Savings Tracker'!$H$1:$H$1033,"Saving*",
'F6 - Savings Tracker'!$M$1:$M$1033,"Red")</f>
        <v>13380</v>
      </c>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11"/>
      <c r="AP8" s="11"/>
      <c r="AQ8" s="11"/>
      <c r="AR8" s="11"/>
      <c r="AS8" s="11"/>
      <c r="AT8" s="11"/>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15" t="s">
        <v>1077</v>
      </c>
      <c r="CE8" s="41" t="s">
        <v>1078</v>
      </c>
      <c r="CF8" s="41"/>
      <c r="CG8" s="41"/>
      <c r="CH8" s="41"/>
      <c r="CI8" s="41"/>
      <c r="CJ8" s="41"/>
      <c r="CK8" s="41"/>
      <c r="CL8" s="41"/>
      <c r="CM8" s="41"/>
      <c r="CN8" s="41"/>
      <c r="CO8" s="41"/>
      <c r="CP8" s="38"/>
      <c r="CQ8" s="38"/>
      <c r="CR8" s="38"/>
      <c r="CS8" s="38"/>
      <c r="CT8" s="38"/>
      <c r="CU8" s="38"/>
      <c r="CV8" s="38"/>
      <c r="CW8" s="38"/>
    </row>
    <row r="9" spans="1:102" s="40" customFormat="1" ht="20.149999999999999" customHeight="1">
      <c r="A9" s="37"/>
      <c r="B9" s="44" t="s">
        <v>420</v>
      </c>
      <c r="C9" s="47"/>
      <c r="D9" s="47"/>
      <c r="E9" s="48"/>
      <c r="F9" s="26">
        <f>SUMIFS('F6 - Savings Tracker'!$AD$1:$AD$1033,
'F6 - Savings Tracker'!$H$1:$H$1033,"Pipeline*",
'F6 - Savings Tracker'!$G$1:$G$1033,"NR")</f>
        <v>0</v>
      </c>
      <c r="G9" s="26">
        <f>SUMIFS('F6 - Savings Tracker'!$AD$1:$AD$1033,
'F6 - Savings Tracker'!$H$1:$H$1033,"Pipeline*",
'F6 - Savings Tracker'!$G$1:$G$1033,"R")</f>
        <v>0</v>
      </c>
      <c r="H9" s="26">
        <f>SUMIFS('F6 - Savings Tracker'!$I$1:$I$1033,
'F6 - Savings Tracker'!$H$1:$H$1033,"Pipeline*")</f>
        <v>12719.999999999998</v>
      </c>
      <c r="I9" s="26">
        <f>SUMIFS('F6 - Savings Tracker'!$J$1:$J$1033,
'F6 - Savings Tracker'!$H$1:$H$1033,"Pipeline*")</f>
        <v>12719.999999999998</v>
      </c>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11"/>
      <c r="AP9" s="11"/>
      <c r="AQ9" s="11"/>
      <c r="AR9" s="11"/>
      <c r="AS9" s="11"/>
      <c r="AT9" s="11"/>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15" t="s">
        <v>1079</v>
      </c>
      <c r="CE9" s="41" t="s">
        <v>267</v>
      </c>
      <c r="CF9" s="41"/>
      <c r="CG9" s="41"/>
      <c r="CH9" s="41"/>
      <c r="CI9" s="41"/>
      <c r="CJ9" s="41"/>
      <c r="CK9" s="41"/>
      <c r="CL9" s="41"/>
      <c r="CM9" s="41"/>
      <c r="CN9" s="41"/>
      <c r="CO9" s="41"/>
      <c r="CP9" s="38"/>
      <c r="CQ9" s="38"/>
      <c r="CR9" s="38"/>
      <c r="CS9" s="38"/>
      <c r="CT9" s="38"/>
      <c r="CU9" s="38"/>
      <c r="CV9" s="38"/>
      <c r="CW9" s="38"/>
    </row>
    <row r="10" spans="1:102" s="40" customFormat="1" ht="20.149999999999999" hidden="1" customHeight="1">
      <c r="A10" s="37"/>
      <c r="B10" s="44" t="s">
        <v>819</v>
      </c>
      <c r="C10" s="47"/>
      <c r="D10" s="47"/>
      <c r="E10" s="48"/>
      <c r="F10" s="26">
        <f>SUMIFS('F6 - Savings Tracker'!$AD$1:$AD$1033,
'F6 - Savings Tracker'!$H$1:$H$1033,"Non-Saving*",
'F6 - Savings Tracker'!$G$1:$G$1033,"NR")</f>
        <v>0</v>
      </c>
      <c r="G10" s="26">
        <f>SUMIFS('F6 - Savings Tracker'!$AD$1:$AD$1033,
'F6 - Savings Tracker'!$H$1:$H$1033,"Non-Saving*",
'F6 - Savings Tracker'!$G$1:$G$1033,"R")</f>
        <v>0</v>
      </c>
      <c r="H10" s="26">
        <f>SUMIFS('F6 - Savings Tracker'!$AD$1:$AD$1033,
'F6 - Savings Tracker'!$H$1:$H$1033,"Non-Saving*")</f>
        <v>0</v>
      </c>
      <c r="I10" s="26">
        <f>SUMIFS('F6 - Savings Tracker'!$AD$1:$AD$1033,
'F6 - Savings Tracker'!$H$1:$H$1033,"Non-Saving*")</f>
        <v>0</v>
      </c>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11"/>
      <c r="AP10" s="11"/>
      <c r="AQ10" s="11"/>
      <c r="AR10" s="11"/>
      <c r="AS10" s="11"/>
      <c r="AT10" s="11"/>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row>
    <row r="11" spans="1:102" s="40" customFormat="1" ht="20.149999999999999" customHeight="1">
      <c r="A11" s="37"/>
      <c r="B11" s="44" t="s">
        <v>1080</v>
      </c>
      <c r="C11" s="47"/>
      <c r="D11" s="47"/>
      <c r="E11" s="48"/>
      <c r="F11" s="26">
        <f>SUMIFS('F6 - Savings Tracker'!$AD$1:$AD$1033,
'F6 - Savings Tracker'!$H$1:$H$1033,"Income*",
'F6 - Savings Tracker'!$G$1:$G$1033,"NR")</f>
        <v>0</v>
      </c>
      <c r="G11" s="26">
        <f>SUMIFS('F6 - Savings Tracker'!$AD$1:$AD$1033,
'F6 - Savings Tracker'!$H$1:$H$1033,"Income*",
'F6 - Savings Tracker'!$G$1:$G$1033,"R")</f>
        <v>0</v>
      </c>
      <c r="H11" s="26">
        <f>SUMIFS('F6 - Savings Tracker'!$AD$1:$AD$1033,
'F6 - Savings Tracker'!$H$1:$H$1033,"Income*")</f>
        <v>0</v>
      </c>
      <c r="I11" s="26">
        <f>SUMIFS('F6 - Savings Tracker'!$J$1:$J$1033,
'F6 - Savings Tracker'!$H$1:$H$1033,"Income*")</f>
        <v>0</v>
      </c>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11"/>
      <c r="AP11" s="11"/>
      <c r="AQ11" s="11"/>
      <c r="AR11" s="11"/>
      <c r="AS11" s="11"/>
      <c r="AT11" s="11"/>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row>
    <row r="12" spans="1:102" s="40" customFormat="1" ht="20.149999999999999" customHeight="1">
      <c r="A12" s="37"/>
      <c r="B12" s="49" t="s">
        <v>131</v>
      </c>
      <c r="C12" s="50"/>
      <c r="D12" s="50"/>
      <c r="E12" s="51"/>
      <c r="F12" s="23">
        <f>SUM(F6:F11)</f>
        <v>0</v>
      </c>
      <c r="G12" s="23">
        <f>SUM(G6:G11)</f>
        <v>21780</v>
      </c>
      <c r="H12" s="23">
        <f>SUM(H6:H11)</f>
        <v>34500</v>
      </c>
      <c r="I12" s="23">
        <f>SUM(I6:I11)</f>
        <v>34500</v>
      </c>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11"/>
      <c r="AP12" s="11"/>
      <c r="AQ12" s="11"/>
      <c r="AR12" s="11"/>
      <c r="AS12" s="11"/>
      <c r="AT12" s="11"/>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row>
    <row r="13" spans="1:102" s="40" customFormat="1" ht="20.149999999999999" customHeight="1">
      <c r="A13" s="37"/>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11"/>
      <c r="AP13" s="11"/>
      <c r="AQ13" s="11"/>
      <c r="AR13" s="11"/>
      <c r="AS13" s="11"/>
      <c r="AT13" s="11"/>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row>
    <row r="14" spans="1:102" s="40" customFormat="1" ht="20.149999999999999" customHeight="1">
      <c r="A14" s="37"/>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11"/>
      <c r="AP14" s="11"/>
      <c r="AQ14" s="11"/>
      <c r="AR14" s="11"/>
      <c r="AS14" s="11"/>
      <c r="AT14" s="11"/>
      <c r="AU14" s="11"/>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row>
    <row r="15" spans="1:102" s="40" customFormat="1" ht="20.149999999999999" customHeight="1">
      <c r="A15" s="37"/>
      <c r="B15" s="38"/>
      <c r="C15" s="38"/>
      <c r="D15" s="38"/>
      <c r="E15" s="38"/>
      <c r="F15" s="908" t="s">
        <v>248</v>
      </c>
      <c r="G15" s="908"/>
      <c r="H15" s="908"/>
      <c r="I15" s="90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11"/>
      <c r="AN15" s="11"/>
      <c r="AO15" s="11"/>
      <c r="AP15" s="11"/>
      <c r="AQ15" s="11"/>
      <c r="AR15" s="11"/>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15" t="s">
        <v>1060</v>
      </c>
      <c r="CC15" s="41" t="s">
        <v>1061</v>
      </c>
      <c r="CD15" s="41"/>
      <c r="CE15" s="41"/>
      <c r="CF15" s="41"/>
      <c r="CG15" s="41"/>
      <c r="CH15" s="41"/>
      <c r="CI15" s="41"/>
      <c r="CJ15" s="41"/>
      <c r="CK15" s="41"/>
      <c r="CL15" s="41"/>
      <c r="CM15" s="41"/>
      <c r="CN15" s="38"/>
      <c r="CO15" s="38"/>
      <c r="CP15" s="38"/>
      <c r="CQ15" s="38"/>
      <c r="CR15" s="39" t="s">
        <v>381</v>
      </c>
      <c r="CS15" s="38"/>
      <c r="CT15" s="38"/>
      <c r="CU15" s="38"/>
    </row>
    <row r="16" spans="1:102" s="40" customFormat="1" ht="35.25" customHeight="1">
      <c r="A16" s="37"/>
      <c r="B16" s="199" t="s">
        <v>1081</v>
      </c>
      <c r="C16" s="200"/>
      <c r="D16" s="200"/>
      <c r="E16" s="201"/>
      <c r="F16" s="34" t="s">
        <v>1063</v>
      </c>
      <c r="G16" s="34" t="s">
        <v>1064</v>
      </c>
      <c r="H16" s="34" t="s">
        <v>1065</v>
      </c>
      <c r="I16" s="34" t="s">
        <v>1066</v>
      </c>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11"/>
      <c r="AN16" s="11"/>
      <c r="AO16" s="11"/>
      <c r="AP16" s="11"/>
      <c r="AQ16" s="11"/>
      <c r="AR16" s="11"/>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15" t="s">
        <v>1067</v>
      </c>
      <c r="CC16" s="41" t="s">
        <v>1068</v>
      </c>
      <c r="CD16" s="41"/>
      <c r="CE16" s="41"/>
      <c r="CF16" s="41"/>
      <c r="CG16" s="41"/>
      <c r="CH16" s="41"/>
      <c r="CI16" s="41"/>
      <c r="CJ16" s="41"/>
      <c r="CK16" s="41"/>
      <c r="CL16" s="41"/>
      <c r="CM16" s="41"/>
      <c r="CN16" s="38"/>
      <c r="CO16" s="38"/>
      <c r="CP16" s="38"/>
      <c r="CQ16" s="38"/>
      <c r="CR16" s="39" t="s">
        <v>382</v>
      </c>
      <c r="CS16" s="38"/>
      <c r="CT16" s="38"/>
      <c r="CU16" s="38"/>
    </row>
    <row r="17" spans="1:102" s="40" customFormat="1" ht="20.149999999999999" customHeight="1">
      <c r="A17" s="37"/>
      <c r="B17" s="80" t="s">
        <v>1069</v>
      </c>
      <c r="C17" s="81"/>
      <c r="D17" s="81"/>
      <c r="E17" s="81"/>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11"/>
      <c r="AN17" s="11"/>
      <c r="AO17" s="11"/>
      <c r="AP17" s="11"/>
      <c r="AQ17" s="11"/>
      <c r="AR17" s="11"/>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15" t="s">
        <v>853</v>
      </c>
      <c r="CC17" s="41" t="s">
        <v>1070</v>
      </c>
      <c r="CD17" s="41"/>
      <c r="CE17" s="41"/>
      <c r="CF17" s="41"/>
      <c r="CG17" s="41"/>
      <c r="CH17" s="41"/>
      <c r="CI17" s="41"/>
      <c r="CJ17" s="41"/>
      <c r="CK17" s="41"/>
      <c r="CL17" s="41"/>
      <c r="CM17" s="41"/>
      <c r="CN17" s="38"/>
      <c r="CO17" s="38"/>
      <c r="CP17" s="38"/>
      <c r="CQ17" s="38"/>
      <c r="CR17" s="39" t="s">
        <v>1071</v>
      </c>
      <c r="CS17" s="38"/>
      <c r="CT17" s="38"/>
      <c r="CU17" s="38"/>
    </row>
    <row r="18" spans="1:102" s="40" customFormat="1" ht="20.149999999999999" customHeight="1">
      <c r="A18" s="37"/>
      <c r="B18" s="44" t="s">
        <v>1028</v>
      </c>
      <c r="C18" s="47"/>
      <c r="D18" s="47"/>
      <c r="E18" s="48"/>
      <c r="F18" s="26">
        <f>SUMIFS('F6 - Savings Tracker'!$AD$1:$AD$1033,
'F6 - Savings Tracker'!$H$1:$H$1033,"Income*",
'F6 - Savings Tracker'!$G$1:$G$1033,"NR")</f>
        <v>0</v>
      </c>
      <c r="G18" s="26">
        <f>SUMIFS('F6 - Savings Tracker'!$AD$1:$AD$1033,
'F6 - Savings Tracker'!$H$1:$H$1033,"Income*",
'F6 - Savings Tracker'!$G$1:$G$1033,"R")</f>
        <v>0</v>
      </c>
      <c r="H18" s="26">
        <f>SUMIFS('F6 - Savings Tracker'!$I$1:$I$1033,
'F6 - Savings Tracker'!$H$1:$H$1033,"Income*")</f>
        <v>0</v>
      </c>
      <c r="I18" s="26">
        <f>SUMIFS('F6 - Savings Tracker'!$J$1:$J$1033,
'F6 - Savings Tracker'!$H$1:$H$1033,"Income*")</f>
        <v>0</v>
      </c>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11"/>
      <c r="AN18" s="11"/>
      <c r="AO18" s="11"/>
      <c r="AP18" s="11"/>
      <c r="AQ18" s="11"/>
      <c r="AR18" s="11"/>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15" t="s">
        <v>878</v>
      </c>
      <c r="CC18" s="41" t="s">
        <v>1073</v>
      </c>
      <c r="CD18" s="41"/>
      <c r="CE18" s="41"/>
      <c r="CF18" s="41"/>
      <c r="CG18" s="41"/>
      <c r="CH18" s="41"/>
      <c r="CI18" s="41"/>
      <c r="CJ18" s="41"/>
      <c r="CK18" s="41"/>
      <c r="CL18" s="41"/>
      <c r="CM18" s="41"/>
      <c r="CN18" s="38"/>
      <c r="CO18" s="38"/>
      <c r="CP18" s="38"/>
      <c r="CQ18" s="38"/>
      <c r="CR18" s="39" t="s">
        <v>1074</v>
      </c>
      <c r="CS18" s="38"/>
      <c r="CT18" s="38"/>
      <c r="CU18" s="38"/>
    </row>
    <row r="19" spans="1:102" s="40" customFormat="1" ht="20.149999999999999" customHeight="1">
      <c r="A19" s="37"/>
      <c r="B19" s="44" t="s">
        <v>552</v>
      </c>
      <c r="C19" s="47"/>
      <c r="D19" s="47"/>
      <c r="E19" s="48"/>
      <c r="F19" s="26">
        <f>SUMIFS('F6 - Savings Tracker'!$AD$1:$AD$1033,
'F6 - Savings Tracker'!$H$1:$H$1033,"&lt;&gt;Pipeline*",
'F6 - Savings Tracker'!$O$1:$O$1033,"Primary Care Cont*",
'F6 - Savings Tracker'!$G$1:$G$1033,"NR")</f>
        <v>0</v>
      </c>
      <c r="G19" s="26">
        <f>SUMIFS('F6 - Savings Tracker'!$AD$1:$AD$1033,
'F6 - Savings Tracker'!$H$1:$H$1033,"&lt;&gt;Pipeline*",
'F6 - Savings Tracker'!$O$1:$O$1033,"Primary Care Cont*",
'F6 - Savings Tracker'!$G$1:$G$1033,"R")</f>
        <v>0</v>
      </c>
      <c r="H19" s="26">
        <f>SUMIFS('F6 - Savings Tracker'!$I$1:$I$1033,
'F6 - Savings Tracker'!$H$1:$H$1033,"&lt;&gt;Pipeline*",
'F6 - Savings Tracker'!$O$1:$O$1033,"Primary Care Cont*")</f>
        <v>0</v>
      </c>
      <c r="I19" s="26">
        <f>SUMIFS('F6 - Savings Tracker'!$J$1:$J$1033,
'F6 - Savings Tracker'!$H$1:$H$1033,"&lt;&gt;Pipeline*",
'F6 - Savings Tracker'!$O$1:$O$1033,"Primary Care Cont*")</f>
        <v>0</v>
      </c>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11"/>
      <c r="AN19" s="11"/>
      <c r="AO19" s="11"/>
      <c r="AP19" s="11"/>
      <c r="AQ19" s="11"/>
      <c r="AR19" s="11"/>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row>
    <row r="20" spans="1:102" s="40" customFormat="1" ht="20.149999999999999" customHeight="1">
      <c r="A20" s="37"/>
      <c r="B20" s="44" t="s">
        <v>450</v>
      </c>
      <c r="C20" s="47"/>
      <c r="D20" s="47"/>
      <c r="E20" s="48"/>
      <c r="F20" s="26">
        <f>SUMIFS('F6 - Savings Tracker'!$AD$1:$AD$1033,
'F6 - Savings Tracker'!$H$1:$H$1033,"&lt;&gt;Pipeline*",
'F6 - Savings Tracker'!$O$1:$O$1033,"Primary Care - Dr*",
'F6 - Savings Tracker'!$G$1:$G$1033,"NR")</f>
        <v>0</v>
      </c>
      <c r="G20" s="26">
        <f>SUMIFS('F6 - Savings Tracker'!$AD$1:$AD$1033,
'F6 - Savings Tracker'!$H$1:$H$1033,"&lt;&gt;Pipeline*",
'F6 - Savings Tracker'!$O$1:$O$1033,"Primary Care - Dr*",
'F6 - Savings Tracker'!$G$1:$G$1033,"R")</f>
        <v>3379.9999999999995</v>
      </c>
      <c r="H20" s="26">
        <f>SUMIFS('F6 - Savings Tracker'!$I$1:$I$1033,
'F6 - Savings Tracker'!$H$1:$H$1033,"&lt;&gt;Pipeline*",
'F6 - Savings Tracker'!$O$1:$O$1033,"Primary Care - Dr*")</f>
        <v>3379.9999999999995</v>
      </c>
      <c r="I20" s="26">
        <f>SUMIFS('F6 - Savings Tracker'!$J$1:$J$1033,
'F6 - Savings Tracker'!$H$1:$H$1033,"&lt;&gt;Pipeline*",
'F6 - Savings Tracker'!$O$1:$O$1033,"Primary Care - Dr*")</f>
        <v>3379.9999999999995</v>
      </c>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11"/>
      <c r="AN20" s="11"/>
      <c r="AO20" s="11"/>
      <c r="AP20" s="11"/>
      <c r="AQ20" s="11"/>
      <c r="AR20" s="11"/>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15" t="s">
        <v>1079</v>
      </c>
      <c r="CC20" s="41" t="s">
        <v>267</v>
      </c>
      <c r="CD20" s="41"/>
      <c r="CE20" s="41"/>
      <c r="CF20" s="41"/>
      <c r="CG20" s="41"/>
      <c r="CH20" s="41"/>
      <c r="CI20" s="41"/>
      <c r="CJ20" s="41"/>
      <c r="CK20" s="41"/>
      <c r="CL20" s="41"/>
      <c r="CM20" s="41"/>
      <c r="CN20" s="38"/>
      <c r="CO20" s="38"/>
      <c r="CP20" s="38"/>
      <c r="CQ20" s="38"/>
      <c r="CR20" s="38"/>
      <c r="CS20" s="38"/>
      <c r="CT20" s="38"/>
      <c r="CU20" s="38"/>
    </row>
    <row r="21" spans="1:102" s="40" customFormat="1" ht="20.149999999999999" customHeight="1">
      <c r="A21" s="37"/>
      <c r="B21" s="44" t="s">
        <v>548</v>
      </c>
      <c r="C21" s="47"/>
      <c r="D21" s="47"/>
      <c r="E21" s="48"/>
      <c r="F21" s="26">
        <f>SUMIFS('F6 - Savings Tracker'!$AD$1:$AD$1033,
'F6 - Savings Tracker'!$H$1:$H$1033,"&lt;&gt;Pipeline*",
'F6 - Savings Tracker'!$O$1:$O$1033,"Pay*",
'F6 - Savings Tracker'!$G$1:$G$1033,"NR")</f>
        <v>0</v>
      </c>
      <c r="G21" s="26">
        <f>SUMIFS('F6 - Savings Tracker'!$AD$1:$AD$1033,
'F6 - Savings Tracker'!$H$1:$H$1033,"&lt;&gt;Pipeline*",
'F6 - Savings Tracker'!$O$1:$O$1033,"Pay*",
'F6 - Savings Tracker'!$G$1:$G$1033,"R")</f>
        <v>6300</v>
      </c>
      <c r="H21" s="26">
        <f>SUMIFS('F6 - Savings Tracker'!$I$1:$I$1033,
'F6 - Savings Tracker'!$H$1:$H$1033,"&lt;&gt;Pipeline*",
'F6 - Savings Tracker'!$O$1:$O$1033,"Pay*")</f>
        <v>6300</v>
      </c>
      <c r="I21" s="26">
        <f>SUMIFS('F6 - Savings Tracker'!$J$1:$J$1033,
'F6 - Savings Tracker'!$H$1:$H$1033,"&lt;&gt;Pipeline*",
'F6 - Savings Tracker'!$O$1:$O$1033,"Pay*")</f>
        <v>6300</v>
      </c>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11"/>
      <c r="AN21" s="11"/>
      <c r="AO21" s="11"/>
      <c r="AP21" s="11"/>
      <c r="AQ21" s="11"/>
      <c r="AR21" s="11"/>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15"/>
      <c r="CC21" s="41"/>
      <c r="CD21" s="41"/>
      <c r="CE21" s="41"/>
      <c r="CF21" s="41"/>
      <c r="CG21" s="41"/>
      <c r="CH21" s="41"/>
      <c r="CI21" s="41"/>
      <c r="CJ21" s="41"/>
      <c r="CK21" s="41"/>
      <c r="CL21" s="41"/>
      <c r="CM21" s="41"/>
      <c r="CN21" s="38"/>
      <c r="CO21" s="38"/>
      <c r="CP21" s="38"/>
      <c r="CQ21" s="38"/>
      <c r="CR21" s="39"/>
      <c r="CS21" s="38"/>
      <c r="CT21" s="38"/>
      <c r="CU21" s="38"/>
    </row>
    <row r="22" spans="1:102" s="40" customFormat="1" ht="20.149999999999999" customHeight="1">
      <c r="A22" s="37"/>
      <c r="B22" s="44" t="s">
        <v>549</v>
      </c>
      <c r="C22" s="47"/>
      <c r="D22" s="47"/>
      <c r="E22" s="48"/>
      <c r="F22" s="26">
        <f>SUMIFS('F6 - Savings Tracker'!$AD$1:$AD$1033,
'F6 - Savings Tracker'!$H$1:$H$1033,"&lt;&gt;Pipeline*",
'F6 - Savings Tracker'!$O$1:$O$1033,"Non-Pay*",
'F6 - Savings Tracker'!$G$1:$G$1033,"NR")</f>
        <v>0</v>
      </c>
      <c r="G22" s="26">
        <f>SUMIFS('F6 - Savings Tracker'!$AD$1:$AD$1033,
'F6 - Savings Tracker'!$H$1:$H$1033,"&lt;&gt;Pipeline*",
'F6 - Savings Tracker'!$O$1:$O$1033,"Non-Pay*",
'F6 - Savings Tracker'!$G$1:$G$1033,"R")</f>
        <v>11600</v>
      </c>
      <c r="H22" s="26">
        <f>SUMIFS('F6 - Savings Tracker'!$I$1:$I$1033,
'F6 - Savings Tracker'!$H$1:$H$1033,"&lt;&gt;Pipeline*",
'F6 - Savings Tracker'!$O$1:$O$1033,"Non-Pay*")</f>
        <v>11600</v>
      </c>
      <c r="I22" s="26">
        <f>SUMIFS('F6 - Savings Tracker'!$J$1:$J$1033,
'F6 - Savings Tracker'!$H$1:$H$1033,"&lt;&gt;Pipeline*",
'F6 - Savings Tracker'!$O$1:$O$1033,"Non-Pay*")</f>
        <v>11600</v>
      </c>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11"/>
      <c r="AN22" s="11"/>
      <c r="AO22" s="11"/>
      <c r="AP22" s="11"/>
      <c r="AQ22" s="11"/>
      <c r="AR22" s="11"/>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15" t="s">
        <v>1077</v>
      </c>
      <c r="CC22" s="41" t="s">
        <v>1078</v>
      </c>
      <c r="CD22" s="41"/>
      <c r="CE22" s="41"/>
      <c r="CF22" s="41"/>
      <c r="CG22" s="41"/>
      <c r="CH22" s="41"/>
      <c r="CI22" s="41"/>
      <c r="CJ22" s="41"/>
      <c r="CK22" s="41"/>
      <c r="CL22" s="41"/>
      <c r="CM22" s="41"/>
      <c r="CN22" s="38"/>
      <c r="CO22" s="38"/>
      <c r="CP22" s="38"/>
      <c r="CQ22" s="38"/>
      <c r="CR22" s="38"/>
      <c r="CS22" s="38"/>
      <c r="CT22" s="38"/>
      <c r="CU22" s="38"/>
    </row>
    <row r="23" spans="1:102" s="40" customFormat="1" ht="20.149999999999999" customHeight="1">
      <c r="A23" s="37"/>
      <c r="B23" s="44" t="s">
        <v>454</v>
      </c>
      <c r="C23" s="47"/>
      <c r="D23" s="47"/>
      <c r="E23" s="48"/>
      <c r="F23" s="26">
        <f>SUMIFS('F6 - Savings Tracker'!$AD$1:$AD$1033,
'F6 - Savings Tracker'!$H$1:$H$1033,"&lt;&gt;Pipeline*",
'F6 - Savings Tracker'!$O$1:$O$1033,"Secondary*",
'F6 - Savings Tracker'!$G$1:$G$1033,"NR")</f>
        <v>0</v>
      </c>
      <c r="G23" s="26">
        <f>SUMIFS('F6 - Savings Tracker'!$AD$1:$AD$1033,
'F6 - Savings Tracker'!$H$1:$H$1033,"&lt;&gt;Pipeline*",
'F6 - Savings Tracker'!$O$1:$O$1033,"Secondary*",
'F6 - Savings Tracker'!$G$1:$G$1033,"R")</f>
        <v>0</v>
      </c>
      <c r="H23" s="26">
        <f>SUMIFS('F6 - Savings Tracker'!$I$1:$I$1033,
'F6 - Savings Tracker'!$H$1:$H$1033,"&lt;&gt;Pipeline*",
'F6 - Savings Tracker'!$O$1:$O$1033,"Secondary*")</f>
        <v>0</v>
      </c>
      <c r="I23" s="26">
        <f>SUMIFS('F6 - Savings Tracker'!$J$1:$J$1033,
'F6 - Savings Tracker'!$H$1:$H$1033,"&lt;&gt;Pipeline*",
'F6 - Savings Tracker'!$O$1:$O$1033,"Secondary*")</f>
        <v>0</v>
      </c>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11"/>
      <c r="AN23" s="11"/>
      <c r="AO23" s="11"/>
      <c r="AP23" s="11"/>
      <c r="AQ23" s="11"/>
      <c r="AR23" s="11"/>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row>
    <row r="24" spans="1:102" s="40" customFormat="1" ht="20.149999999999999" customHeight="1">
      <c r="A24" s="37"/>
      <c r="B24" s="44" t="s">
        <v>441</v>
      </c>
      <c r="C24" s="47"/>
      <c r="D24" s="47"/>
      <c r="E24" s="48"/>
      <c r="F24" s="26">
        <f>SUMIFS('F6 - Savings Tracker'!$AD$1:$AD$1033,
'F6 - Savings Tracker'!$H$1:$H$1033,"&lt;&gt;Pipeline*",
'F6 - Savings Tracker'!$O$1:$O$1033,"Healthc*",
'F6 - Savings Tracker'!$G$1:$G$1033,"NR")</f>
        <v>0</v>
      </c>
      <c r="G24" s="26">
        <f>SUMIFS('F6 - Savings Tracker'!$AD$1:$AD$1033,
'F6 - Savings Tracker'!$H$1:$H$1033,"&lt;&gt;Pipeline*",
'F6 - Savings Tracker'!$O$1:$O$1033,"Healthc*",
'F6 - Savings Tracker'!$G$1:$G$1033,"R")</f>
        <v>0</v>
      </c>
      <c r="H24" s="26">
        <f>SUMIFS('F6 - Savings Tracker'!$I$1:$I$1033,
'F6 - Savings Tracker'!$H$1:$H$1033,"&lt;&gt;Pipeline*",
'F6 - Savings Tracker'!$O$1:$O$1033,"Healthc*")</f>
        <v>0</v>
      </c>
      <c r="I24" s="26">
        <f>SUMIFS('F6 - Savings Tracker'!$J$1:$J$1033,
'F6 - Savings Tracker'!$H$1:$H$1033,"&lt;&gt;Pipeline*",
'F6 - Savings Tracker'!$O$1:$O$1033,"Healthc*")</f>
        <v>0</v>
      </c>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11"/>
      <c r="AN24" s="11"/>
      <c r="AO24" s="11"/>
      <c r="AP24" s="11"/>
      <c r="AQ24" s="11"/>
      <c r="AR24" s="11"/>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row>
    <row r="25" spans="1:102" s="40" customFormat="1" ht="20.149999999999999" customHeight="1">
      <c r="A25" s="37"/>
      <c r="B25" s="44" t="s">
        <v>447</v>
      </c>
      <c r="C25" s="47"/>
      <c r="D25" s="47"/>
      <c r="E25" s="48"/>
      <c r="F25" s="26">
        <f>SUMIFS('F6 - Savings Tracker'!$AD$1:$AD$1033,
'F6 - Savings Tracker'!$H$1:$H$1033,"&lt;&gt;Pipeline*",
'F6 - Savings Tracker'!$O$1:$O$1033,"Non-healthc*",
'F6 - Savings Tracker'!$G$1:$G$1033,"NR")</f>
        <v>0</v>
      </c>
      <c r="G25" s="26">
        <f>SUMIFS('F6 - Savings Tracker'!$AD$1:$AD$1033,
'F6 - Savings Tracker'!$H$1:$H$1033,"&lt;&gt;Pipeline*",
'F6 - Savings Tracker'!$O$1:$O$1033,"Non-healthc*",
'F6 - Savings Tracker'!$G$1:$G$1033,"R")</f>
        <v>0</v>
      </c>
      <c r="H25" s="26">
        <f>SUMIFS('F6 - Savings Tracker'!$I$1:$I$1033,
'F6 - Savings Tracker'!$H$1:$H$1033,"&lt;&gt;Pipeline*",
'F6 - Savings Tracker'!$O$1:$O$1033,"Non-healthc*")</f>
        <v>0</v>
      </c>
      <c r="I25" s="26">
        <f>SUMIFS('F6 - Savings Tracker'!$J$1:$J$1033,
'F6 - Savings Tracker'!$H$1:$H$1033,"&lt;&gt;Pipeline*",
'F6 - Savings Tracker'!$O$1:$O$1033,"Non-healthc*")</f>
        <v>0</v>
      </c>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11"/>
      <c r="AN25" s="11"/>
      <c r="AO25" s="11"/>
      <c r="AP25" s="11"/>
      <c r="AQ25" s="11"/>
      <c r="AR25" s="11"/>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row>
    <row r="26" spans="1:102" s="40" customFormat="1" ht="20.149999999999999" customHeight="1">
      <c r="A26" s="37"/>
      <c r="B26" s="44" t="s">
        <v>437</v>
      </c>
      <c r="C26" s="47"/>
      <c r="D26" s="47"/>
      <c r="E26" s="48"/>
      <c r="F26" s="26">
        <f>SUMIFS('F6 - Savings Tracker'!$AD$1:$AD$1033,
'F6 - Savings Tracker'!$H$1:$H$1033,"&lt;&gt;Pipeline*",
'F6 - Savings Tracker'!$O$1:$O$1033,"CHC*",
'F6 - Savings Tracker'!$G$1:$G$1033,"NR")</f>
        <v>0</v>
      </c>
      <c r="G26" s="26">
        <f>SUMIFS('F6 - Savings Tracker'!$AD$1:$AD$1033,
'F6 - Savings Tracker'!$H$1:$H$1033,"&lt;&gt;Pipeline*",
'F6 - Savings Tracker'!$O$1:$O$1033,"CHC*",
'F6 - Savings Tracker'!$G$1:$G$1033,"R")</f>
        <v>0</v>
      </c>
      <c r="H26" s="26">
        <f>SUMIFS('F6 - Savings Tracker'!$I$1:$I$1033,
'F6 - Savings Tracker'!$H$1:$H$1033,"&lt;&gt;Pipeline*",
'F6 - Savings Tracker'!$O$1:$O$1033,"CHC*")</f>
        <v>0</v>
      </c>
      <c r="I26" s="26">
        <f>SUMIFS('F6 - Savings Tracker'!$J$1:$J$1033,
'F6 - Savings Tracker'!$H$1:$H$1033,"&lt;&gt;Pipeline*",
'F6 - Savings Tracker'!$O$1:$O$1033,"CHC*")</f>
        <v>0</v>
      </c>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11"/>
      <c r="AN26" s="11"/>
      <c r="AO26" s="11"/>
      <c r="AP26" s="11"/>
      <c r="AQ26" s="11"/>
      <c r="AR26" s="11"/>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row>
    <row r="27" spans="1:102" s="40" customFormat="1" ht="20.149999999999999" customHeight="1">
      <c r="A27" s="37"/>
      <c r="B27" s="44" t="s">
        <v>449</v>
      </c>
      <c r="C27" s="47"/>
      <c r="D27" s="47"/>
      <c r="E27" s="48"/>
      <c r="F27" s="26">
        <f>SUMIFS('F6 - Savings Tracker'!$AD$1:$AD$1033,
'F6 - Savings Tracker'!$H$1:$H$1033,"&lt;&gt;Pipeline*",
'F6 - Savings Tracker'!$O$1:$O$1033,"Other Private*",
'F6 - Savings Tracker'!$G$1:$G$1033,"NR")</f>
        <v>0</v>
      </c>
      <c r="G27" s="26">
        <f>SUMIFS('F6 - Savings Tracker'!$AD$1:$AD$1033,
'F6 - Savings Tracker'!$H$1:$H$1033,"&lt;&gt;Pipeline*",
'F6 - Savings Tracker'!$O$1:$O$1033,"Other Private*",
'F6 - Savings Tracker'!$G$1:$G$1033,"R")</f>
        <v>0</v>
      </c>
      <c r="H27" s="26">
        <f>SUMIFS('F6 - Savings Tracker'!$I$1:$I$1033,
'F6 - Savings Tracker'!$H$1:$H$1033,"&lt;&gt;Pipeline*",
'F6 - Savings Tracker'!$O$1:$O$1033,"Other Private*")</f>
        <v>0</v>
      </c>
      <c r="I27" s="26">
        <f>SUMIFS('F6 - Savings Tracker'!$J$1:$J$1033,
'F6 - Savings Tracker'!$H$1:$H$1033,"&lt;&gt;Pipeline*",
'F6 - Savings Tracker'!$O$1:$O$1033,"Other Private*")</f>
        <v>0</v>
      </c>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11"/>
      <c r="AN27" s="11"/>
      <c r="AO27" s="11"/>
      <c r="AP27" s="11"/>
      <c r="AQ27" s="11"/>
      <c r="AR27" s="11"/>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row>
    <row r="28" spans="1:102" s="40" customFormat="1" ht="20.149999999999999" customHeight="1">
      <c r="A28" s="37"/>
      <c r="B28" s="44" t="s">
        <v>555</v>
      </c>
      <c r="C28" s="47"/>
      <c r="D28" s="47"/>
      <c r="E28" s="48"/>
      <c r="F28" s="26">
        <f>SUMIFS('F6 - Savings Tracker'!$AD$1:$AD$1033,
'F6 - Savings Tracker'!$H$1:$H$1033,"&lt;&gt;Pipeline*",
'F6 - Savings Tracker'!$O$1:$O$1033,"Joint Financ*",
'F6 - Savings Tracker'!$G$1:$G$1033,"NR")</f>
        <v>0</v>
      </c>
      <c r="G28" s="26">
        <f>SUMIFS('F6 - Savings Tracker'!$AD$1:$AD$1033,
'F6 - Savings Tracker'!$H$1:$H$1033,"&lt;&gt;Pipeline*",
'F6 - Savings Tracker'!$O$1:$O$1033,"Joint Financ*",
'F6 - Savings Tracker'!$G$1:$G$1033,"R")</f>
        <v>0</v>
      </c>
      <c r="H28" s="26">
        <f>SUMIFS('F6 - Savings Tracker'!$I$1:$I$1033,
'F6 - Savings Tracker'!$H$1:$H$1033,"&lt;&gt;Pipeline*",
'F6 - Savings Tracker'!$O$1:$O$1033,"Joint Financ*")</f>
        <v>0</v>
      </c>
      <c r="I28" s="26">
        <f>SUMIFS('F6 - Savings Tracker'!$J$1:$J$1033,
'F6 - Savings Tracker'!$H$1:$H$1033,"&lt;&gt;Pipeline*",
'F6 - Savings Tracker'!$O$1:$O$1033,"Joint Financ*")</f>
        <v>0</v>
      </c>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11"/>
      <c r="AN28" s="11"/>
      <c r="AO28" s="11"/>
      <c r="AP28" s="11"/>
      <c r="AQ28" s="11"/>
      <c r="AR28" s="11"/>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row>
    <row r="29" spans="1:102" s="40" customFormat="1" ht="20.149999999999999" customHeight="1">
      <c r="A29" s="37"/>
      <c r="B29" s="49" t="s">
        <v>131</v>
      </c>
      <c r="C29" s="50"/>
      <c r="D29" s="50"/>
      <c r="E29" s="51"/>
      <c r="F29" s="23">
        <f>SUM(F18:F28)</f>
        <v>0</v>
      </c>
      <c r="G29" s="23">
        <f>SUM(G18:G28)</f>
        <v>21280</v>
      </c>
      <c r="H29" s="23">
        <f>SUM(H18:H28)</f>
        <v>21280</v>
      </c>
      <c r="I29" s="23">
        <f>SUM(I18:I28)</f>
        <v>21280</v>
      </c>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11"/>
      <c r="AN29" s="11"/>
      <c r="AO29" s="11"/>
      <c r="AP29" s="11"/>
      <c r="AQ29" s="11"/>
      <c r="AR29" s="11"/>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row>
    <row r="30" spans="1:102" s="40" customFormat="1" ht="20.149999999999999" customHeight="1">
      <c r="A30" s="37"/>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11"/>
      <c r="AP30" s="11"/>
      <c r="AQ30" s="11"/>
      <c r="AR30" s="11"/>
      <c r="AS30" s="11"/>
      <c r="AT30" s="11"/>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row>
    <row r="31" spans="1:102" s="40" customFormat="1" ht="20.149999999999999" customHeight="1">
      <c r="A31" s="37"/>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11"/>
      <c r="AP31" s="11"/>
      <c r="AQ31" s="11"/>
      <c r="AR31" s="11"/>
      <c r="AS31" s="11"/>
      <c r="AT31" s="11"/>
      <c r="AU31" s="11"/>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row>
    <row r="32" spans="1:102" s="40" customFormat="1" ht="40.5" customHeight="1">
      <c r="A32" s="37"/>
      <c r="B32" s="451" t="s">
        <v>1082</v>
      </c>
      <c r="C32" s="451"/>
      <c r="D32" s="451"/>
      <c r="E32" s="451"/>
      <c r="F32" s="34" t="s">
        <v>1063</v>
      </c>
      <c r="G32" s="34" t="s">
        <v>1064</v>
      </c>
      <c r="H32" s="34" t="s">
        <v>1065</v>
      </c>
      <c r="I32" s="34" t="s">
        <v>1066</v>
      </c>
      <c r="J32" s="43"/>
      <c r="K32" s="43"/>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11"/>
      <c r="AO32" s="11"/>
      <c r="AP32" s="11"/>
      <c r="AQ32" s="11"/>
      <c r="AR32" s="11"/>
      <c r="AS32" s="11"/>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row>
    <row r="33" spans="1:102" s="40" customFormat="1" ht="20.149999999999999" customHeight="1">
      <c r="A33" s="37"/>
      <c r="B33" s="449" t="s">
        <v>1069</v>
      </c>
      <c r="C33" s="450"/>
      <c r="D33" s="450"/>
      <c r="E33" s="450"/>
      <c r="F33" s="38"/>
      <c r="G33" s="38"/>
      <c r="H33" s="38"/>
      <c r="I33" s="38"/>
      <c r="J33" s="43"/>
      <c r="K33" s="43"/>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11"/>
      <c r="AO33" s="11"/>
      <c r="AP33" s="11"/>
      <c r="AQ33" s="11"/>
      <c r="AR33" s="11"/>
      <c r="AS33" s="11"/>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11"/>
      <c r="CD33" s="11"/>
      <c r="CE33" s="11"/>
      <c r="CF33" s="11"/>
      <c r="CG33" s="11"/>
      <c r="CH33" s="11"/>
      <c r="CI33" s="11"/>
      <c r="CJ33" s="11"/>
      <c r="CK33" s="11"/>
      <c r="CL33" s="11"/>
      <c r="CM33" s="11"/>
      <c r="CN33" s="11"/>
      <c r="CO33" s="11"/>
      <c r="CP33" s="11"/>
      <c r="CQ33" s="11"/>
      <c r="CR33" s="11"/>
      <c r="CS33" s="38"/>
      <c r="CT33" s="11"/>
      <c r="CU33" s="11"/>
      <c r="CV33" s="11"/>
      <c r="CW33" s="38"/>
      <c r="CX33" s="38"/>
    </row>
    <row r="34" spans="1:102" s="40" customFormat="1" ht="23.5" customHeight="1">
      <c r="A34" s="37"/>
      <c r="B34" s="44" t="s">
        <v>720</v>
      </c>
      <c r="C34" s="45"/>
      <c r="D34" s="45"/>
      <c r="E34" s="46"/>
      <c r="F34" s="26">
        <f>SUMIFS('F6 - Savings Tracker'!$I$2:$I$1001,'F6 - Savings Tracker'!$B$2:$B$1001,'Front Sheet and Checklist'!$C$5,
'F6 - Savings Tracker'!$H$2:$H$1001,"&lt;&gt;Pipeline*",'F6 - Savings Tracker'!$G$2:$G$1001,"NR",'F6 - Savings Tracker'!$P$2:$P$1001,$B34)</f>
        <v>0</v>
      </c>
      <c r="G34" s="26">
        <f>SUMIFS('F6 - Savings Tracker'!$I$2:$I$1001,'F6 - Savings Tracker'!$B$2:$B$1001,'Front Sheet and Checklist'!$C$5,
'F6 - Savings Tracker'!$H$2:$H$1001,"&lt;&gt;Pipeline*",'F6 - Savings Tracker'!$G$2:$G$1001,"R",'F6 - Savings Tracker'!$P$2:$P$1001,$B34)</f>
        <v>6300</v>
      </c>
      <c r="H34" s="26">
        <f>SUMIFS('F6 - Savings Tracker'!$I$2:$I$1001,'F6 - Savings Tracker'!$B$2:$B$1001,'Front Sheet and Checklist'!$C$5,
'F6 - Savings Tracker'!$H$2:$H$1001,"&lt;&gt;Pipeline*",'F6 - Savings Tracker'!$P$2:$P$1001,$B34)</f>
        <v>6300</v>
      </c>
      <c r="I34" s="26">
        <f>SUMIFS('F6 - Savings Tracker'!$J$2:$J$1001,'F6 - Savings Tracker'!$B$2:$B$1001,'Front Sheet and Checklist'!$C$5,
'F6 - Savings Tracker'!$H$2:$H$1001,"&lt;&gt;Pipeline*",'F6 - Savings Tracker'!$N$2:$N$1001,$B34)</f>
        <v>0</v>
      </c>
      <c r="J34" s="43"/>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11"/>
      <c r="AO34" s="11"/>
      <c r="AP34" s="11"/>
      <c r="AQ34" s="11"/>
      <c r="AR34" s="11"/>
      <c r="AS34" s="11"/>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row>
    <row r="35" spans="1:102" s="40" customFormat="1" ht="23.5" customHeight="1">
      <c r="A35" s="37"/>
      <c r="B35" s="44" t="s">
        <v>713</v>
      </c>
      <c r="C35" s="45"/>
      <c r="D35" s="45"/>
      <c r="E35" s="46"/>
      <c r="F35" s="26">
        <f>SUMIFS('F6 - Savings Tracker'!$I$2:$I$1001,'F6 - Savings Tracker'!$B$2:$B$1001,'Front Sheet and Checklist'!$C$5,
'F6 - Savings Tracker'!$H$2:$H$1001,"&lt;&gt;Pipeline*",'F6 - Savings Tracker'!$G$2:$G$1001,"NR",'F6 - Savings Tracker'!$P$2:$P$1001,$B35)</f>
        <v>0</v>
      </c>
      <c r="G35" s="26">
        <f>SUMIFS('F6 - Savings Tracker'!$I$2:$I$1001,'F6 - Savings Tracker'!$B$2:$B$1001,'Front Sheet and Checklist'!$C$5,
'F6 - Savings Tracker'!$H$2:$H$1001,"&lt;&gt;Pipeline*",'F6 - Savings Tracker'!$G$2:$G$1001,"R",'F6 - Savings Tracker'!$P$2:$P$1001,$B35)</f>
        <v>3379.9999999999995</v>
      </c>
      <c r="H35" s="26">
        <f>SUMIFS('F6 - Savings Tracker'!$I$2:$I$1001,'F6 - Savings Tracker'!$B$2:$B$1001,'Front Sheet and Checklist'!$C$5,
'F6 - Savings Tracker'!$H$2:$H$1001,"&lt;&gt;Pipeline*",'F6 - Savings Tracker'!$P$2:$P$1001,$B35)</f>
        <v>3379.9999999999995</v>
      </c>
      <c r="I35" s="26">
        <f>SUMIFS('F6 - Savings Tracker'!$J$2:$J$1001,'F6 - Savings Tracker'!$B$2:$B$1001,'Front Sheet and Checklist'!$C$5,
'F6 - Savings Tracker'!$H$2:$H$1001,"&lt;&gt;Pipeline*",'F6 - Savings Tracker'!$N$2:$N$1001,$B35)</f>
        <v>0</v>
      </c>
      <c r="J35" s="43"/>
      <c r="K35" s="43"/>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11"/>
      <c r="AO35" s="11"/>
      <c r="AP35" s="11"/>
      <c r="AQ35" s="11"/>
      <c r="AR35" s="11"/>
      <c r="AS35" s="11"/>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row>
    <row r="36" spans="1:102" s="40" customFormat="1" ht="23.5" customHeight="1">
      <c r="A36" s="37"/>
      <c r="B36" s="44" t="s">
        <v>717</v>
      </c>
      <c r="C36" s="45"/>
      <c r="D36" s="45"/>
      <c r="E36" s="46"/>
      <c r="F36" s="26">
        <f>SUMIFS('F6 - Savings Tracker'!$I$2:$I$1001,'F6 - Savings Tracker'!$B$2:$B$1001,'Front Sheet and Checklist'!$C$5,
'F6 - Savings Tracker'!$H$2:$H$1001,"&lt;&gt;Pipeline*",'F6 - Savings Tracker'!$G$2:$G$1001,"NR",'F6 - Savings Tracker'!$P$2:$P$1001,$B36)</f>
        <v>0</v>
      </c>
      <c r="G36" s="26">
        <f>SUMIFS('F6 - Savings Tracker'!$I$2:$I$1001,'F6 - Savings Tracker'!$B$2:$B$1001,'Front Sheet and Checklist'!$C$5,
'F6 - Savings Tracker'!$H$2:$H$1001,"&lt;&gt;Pipeline*",'F6 - Savings Tracker'!$G$2:$G$1001,"R",'F6 - Savings Tracker'!$P$2:$P$1001,$B36)</f>
        <v>11600</v>
      </c>
      <c r="H36" s="26">
        <f>SUMIFS('F6 - Savings Tracker'!$I$2:$I$1001,'F6 - Savings Tracker'!$B$2:$B$1001,'Front Sheet and Checklist'!$C$5,
'F6 - Savings Tracker'!$H$2:$H$1001,"&lt;&gt;Pipeline*",'F6 - Savings Tracker'!$P$2:$P$1001,$B36)</f>
        <v>11600</v>
      </c>
      <c r="I36" s="26">
        <f>SUMIFS('F6 - Savings Tracker'!$J$2:$J$1001,'F6 - Savings Tracker'!$B$2:$B$1001,'Front Sheet and Checklist'!$C$5,
'F6 - Savings Tracker'!$H$2:$H$1001,"&lt;&gt;Pipeline*",'F6 - Savings Tracker'!$N$2:$N$1001,$B36)</f>
        <v>0</v>
      </c>
      <c r="J36" s="43"/>
      <c r="K36" s="43"/>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11"/>
      <c r="AO36" s="11"/>
      <c r="AP36" s="11"/>
      <c r="AQ36" s="11"/>
      <c r="AR36" s="11"/>
      <c r="AS36" s="11"/>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row>
    <row r="37" spans="1:102" s="40" customFormat="1" ht="23.5" customHeight="1">
      <c r="A37" s="37"/>
      <c r="B37" s="44" t="s">
        <v>806</v>
      </c>
      <c r="C37" s="45"/>
      <c r="D37" s="45"/>
      <c r="E37" s="46"/>
      <c r="F37" s="26">
        <f>SUMIFS('F6 - Savings Tracker'!$I$2:$I$1001,'F6 - Savings Tracker'!$B$2:$B$1001,'Front Sheet and Checklist'!$C$5,
'F6 - Savings Tracker'!$H$2:$H$1001,"&lt;&gt;Pipeline*",'F6 - Savings Tracker'!$G$2:$G$1001,"NR",'F6 - Savings Tracker'!$P$2:$P$1001,$B37)</f>
        <v>0</v>
      </c>
      <c r="G37" s="26">
        <f>SUMIFS('F6 - Savings Tracker'!$I$2:$I$1001,'F6 - Savings Tracker'!$B$2:$B$1001,'Front Sheet and Checklist'!$C$5,
'F6 - Savings Tracker'!$H$2:$H$1001,"&lt;&gt;Pipeline*",'F6 - Savings Tracker'!$G$2:$G$1001,"R",'F6 - Savings Tracker'!$P$2:$P$1001,$B37)</f>
        <v>0</v>
      </c>
      <c r="H37" s="26">
        <f>SUMIFS('F6 - Savings Tracker'!$I$2:$I$1001,'F6 - Savings Tracker'!$B$2:$B$1001,'Front Sheet and Checklist'!$C$5,
'F6 - Savings Tracker'!$H$2:$H$1001,"&lt;&gt;Pipeline*",'F6 - Savings Tracker'!$P$2:$P$1001,$B37)</f>
        <v>0</v>
      </c>
      <c r="I37" s="26">
        <f>SUMIFS('F6 - Savings Tracker'!$J$2:$J$1001,'F6 - Savings Tracker'!$B$2:$B$1001,'Front Sheet and Checklist'!$C$5,
'F6 - Savings Tracker'!$H$2:$H$1001,"&lt;&gt;Pipeline*",'F6 - Savings Tracker'!$N$2:$N$1001,$B37)</f>
        <v>0</v>
      </c>
      <c r="J37" s="43"/>
      <c r="K37" s="43"/>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11"/>
      <c r="AO37" s="11"/>
      <c r="AP37" s="11"/>
      <c r="AQ37" s="11"/>
      <c r="AR37" s="11"/>
      <c r="AS37" s="11"/>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row>
    <row r="38" spans="1:102" s="40" customFormat="1" ht="23.5" customHeight="1">
      <c r="A38" s="37"/>
      <c r="B38" s="44" t="s">
        <v>820</v>
      </c>
      <c r="C38" s="45"/>
      <c r="D38" s="45"/>
      <c r="E38" s="46"/>
      <c r="F38" s="26">
        <f>SUMIFS('F6 - Savings Tracker'!$I$2:$I$1001,'F6 - Savings Tracker'!$B$2:$B$1001,'Front Sheet and Checklist'!$C$5,
'F6 - Savings Tracker'!$H$2:$H$1001,"&lt;&gt;Pipeline*",'F6 - Savings Tracker'!$G$2:$G$1001,"NR",'F6 - Savings Tracker'!$P$2:$P$1001,$B38)</f>
        <v>0</v>
      </c>
      <c r="G38" s="26">
        <f>SUMIFS('F6 - Savings Tracker'!$I$2:$I$1001,'F6 - Savings Tracker'!$B$2:$B$1001,'Front Sheet and Checklist'!$C$5,
'F6 - Savings Tracker'!$H$2:$H$1001,"&lt;&gt;Pipeline*",'F6 - Savings Tracker'!$G$2:$G$1001,"R",'F6 - Savings Tracker'!$P$2:$P$1001,$B38)</f>
        <v>0</v>
      </c>
      <c r="H38" s="26">
        <f>SUMIFS('F6 - Savings Tracker'!$I$2:$I$1001,'F6 - Savings Tracker'!$B$2:$B$1001,'Front Sheet and Checklist'!$C$5,
'F6 - Savings Tracker'!$H$2:$H$1001,"&lt;&gt;Pipeline*",'F6 - Savings Tracker'!$P$2:$P$1001,$B38)</f>
        <v>0</v>
      </c>
      <c r="I38" s="26">
        <f>SUMIFS('F6 - Savings Tracker'!$J$2:$J$1001,'F6 - Savings Tracker'!$B$2:$B$1001,'Front Sheet and Checklist'!$C$5,
'F6 - Savings Tracker'!$H$2:$H$1001,"&lt;&gt;Pipeline*",'F6 - Savings Tracker'!$N$2:$N$1001,$B38)</f>
        <v>0</v>
      </c>
      <c r="J38" s="43"/>
      <c r="K38" s="43"/>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11"/>
      <c r="AO38" s="11"/>
      <c r="AP38" s="11"/>
      <c r="AQ38" s="11"/>
      <c r="AR38" s="11"/>
      <c r="AS38" s="11"/>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row>
    <row r="39" spans="1:102" s="40" customFormat="1" ht="23.5" customHeight="1">
      <c r="A39" s="37"/>
      <c r="B39" s="44" t="s">
        <v>831</v>
      </c>
      <c r="C39" s="45"/>
      <c r="D39" s="45"/>
      <c r="E39" s="46"/>
      <c r="F39" s="26">
        <f>SUMIFS('F6 - Savings Tracker'!$I$2:$I$1001,'F6 - Savings Tracker'!$B$2:$B$1001,'Front Sheet and Checklist'!$C$5,
'F6 - Savings Tracker'!$H$2:$H$1001,"&lt;&gt;Pipeline*",'F6 - Savings Tracker'!$G$2:$G$1001,"NR",'F6 - Savings Tracker'!$P$2:$P$1001,$B39)</f>
        <v>0</v>
      </c>
      <c r="G39" s="26">
        <f>SUMIFS('F6 - Savings Tracker'!$I$2:$I$1001,'F6 - Savings Tracker'!$B$2:$B$1001,'Front Sheet and Checklist'!$C$5,
'F6 - Savings Tracker'!$H$2:$H$1001,"&lt;&gt;Pipeline*",'F6 - Savings Tracker'!$G$2:$G$1001,"R",'F6 - Savings Tracker'!$P$2:$P$1001,$B39)</f>
        <v>0</v>
      </c>
      <c r="H39" s="26">
        <f>SUMIFS('F6 - Savings Tracker'!$I$2:$I$1001,'F6 - Savings Tracker'!$B$2:$B$1001,'Front Sheet and Checklist'!$C$5,
'F6 - Savings Tracker'!$H$2:$H$1001,"&lt;&gt;Pipeline*",'F6 - Savings Tracker'!$P$2:$P$1001,$B39)</f>
        <v>0</v>
      </c>
      <c r="I39" s="26">
        <f>SUMIFS('F6 - Savings Tracker'!$J$2:$J$1001,'F6 - Savings Tracker'!$B$2:$B$1001,'Front Sheet and Checklist'!$C$5,
'F6 - Savings Tracker'!$H$2:$H$1001,"&lt;&gt;Pipeline*",'F6 - Savings Tracker'!$N$2:$N$1001,$B39)</f>
        <v>0</v>
      </c>
      <c r="J39" s="43"/>
      <c r="K39" s="43"/>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11"/>
      <c r="AO39" s="11"/>
      <c r="AP39" s="11"/>
      <c r="AQ39" s="11"/>
      <c r="AR39" s="11"/>
      <c r="AS39" s="11"/>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row>
    <row r="40" spans="1:102" s="40" customFormat="1" ht="23.5" customHeight="1">
      <c r="A40" s="37"/>
      <c r="B40" s="44" t="s">
        <v>842</v>
      </c>
      <c r="C40" s="45"/>
      <c r="D40" s="45"/>
      <c r="E40" s="46"/>
      <c r="F40" s="26">
        <f>SUMIFS('F6 - Savings Tracker'!$I$2:$I$1001,'F6 - Savings Tracker'!$B$2:$B$1001,'Front Sheet and Checklist'!$C$5,
'F6 - Savings Tracker'!$H$2:$H$1001,"&lt;&gt;Pipeline*",'F6 - Savings Tracker'!$G$2:$G$1001,"NR",'F6 - Savings Tracker'!$P$2:$P$1001,$B40)</f>
        <v>0</v>
      </c>
      <c r="G40" s="26">
        <f>SUMIFS('F6 - Savings Tracker'!$I$2:$I$1001,'F6 - Savings Tracker'!$B$2:$B$1001,'Front Sheet and Checklist'!$C$5,
'F6 - Savings Tracker'!$H$2:$H$1001,"&lt;&gt;Pipeline*",'F6 - Savings Tracker'!$G$2:$G$1001,"R",'F6 - Savings Tracker'!$P$2:$P$1001,$B40)</f>
        <v>0</v>
      </c>
      <c r="H40" s="26">
        <f>SUMIFS('F6 - Savings Tracker'!$I$2:$I$1001,'F6 - Savings Tracker'!$B$2:$B$1001,'Front Sheet and Checklist'!$C$5,
'F6 - Savings Tracker'!$H$2:$H$1001,"&lt;&gt;Pipeline*",'F6 - Savings Tracker'!$P$2:$P$1001,$B40)</f>
        <v>0</v>
      </c>
      <c r="I40" s="26">
        <f>SUMIFS('F6 - Savings Tracker'!$J$2:$J$1001,'F6 - Savings Tracker'!$B$2:$B$1001,'Front Sheet and Checklist'!$C$5,
'F6 - Savings Tracker'!$H$2:$H$1001,"&lt;&gt;Pipeline*",'F6 - Savings Tracker'!$N$2:$N$1001,$B40)</f>
        <v>0</v>
      </c>
      <c r="J40" s="43"/>
      <c r="K40" s="43"/>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11"/>
      <c r="AO40" s="11"/>
      <c r="AP40" s="11"/>
      <c r="AQ40" s="11"/>
      <c r="AR40" s="11"/>
      <c r="AS40" s="11"/>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11"/>
      <c r="CT40" s="38"/>
      <c r="CU40" s="38"/>
      <c r="CV40" s="38"/>
      <c r="CW40" s="38"/>
      <c r="CX40" s="38"/>
    </row>
    <row r="41" spans="1:102" s="40" customFormat="1" ht="23.5" customHeight="1">
      <c r="A41" s="37"/>
      <c r="B41" s="44" t="s">
        <v>369</v>
      </c>
      <c r="C41" s="45"/>
      <c r="D41" s="45"/>
      <c r="E41" s="46"/>
      <c r="F41" s="26">
        <f>SUMIFS('F6 - Savings Tracker'!$I$2:$I$1001,'F6 - Savings Tracker'!$B$2:$B$1001,'Front Sheet and Checklist'!$C$5,
'F6 - Savings Tracker'!$H$2:$H$1001,"&lt;&gt;Pipeline*",'F6 - Savings Tracker'!$G$2:$G$1001,"NR",'F6 - Savings Tracker'!$P$2:$P$1001,$B41)</f>
        <v>0</v>
      </c>
      <c r="G41" s="26">
        <f>SUMIFS('F6 - Savings Tracker'!$I$2:$I$1001,'F6 - Savings Tracker'!$B$2:$B$1001,'Front Sheet and Checklist'!$C$5,
'F6 - Savings Tracker'!$H$2:$H$1001,"&lt;&gt;Pipeline*",'F6 - Savings Tracker'!$G$2:$G$1001,"R",'F6 - Savings Tracker'!$P$2:$P$1001,$B41)</f>
        <v>500.00000000000006</v>
      </c>
      <c r="H41" s="26">
        <f>SUMIFS('F6 - Savings Tracker'!$I$2:$I$1001,'F6 - Savings Tracker'!$B$2:$B$1001,'Front Sheet and Checklist'!$C$5,
'F6 - Savings Tracker'!$H$2:$H$1001,"&lt;&gt;Pipeline*",'F6 - Savings Tracker'!$P$2:$P$1001,$B41)</f>
        <v>500.00000000000006</v>
      </c>
      <c r="I41" s="26">
        <f>SUMIFS('F6 - Savings Tracker'!$J$2:$J$1001,'F6 - Savings Tracker'!$B$2:$B$1001,'Front Sheet and Checklist'!$C$5,
'F6 - Savings Tracker'!$H$2:$H$1001,"&lt;&gt;Pipeline*",'F6 - Savings Tracker'!$N$2:$N$1001,$B41)</f>
        <v>0</v>
      </c>
      <c r="J41" s="43"/>
      <c r="K41" s="43"/>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11"/>
      <c r="AO41" s="11"/>
      <c r="AP41" s="11"/>
      <c r="AQ41" s="11"/>
      <c r="AR41" s="11"/>
      <c r="AS41" s="11"/>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row>
    <row r="42" spans="1:102" s="40" customFormat="1" ht="23.5" customHeight="1">
      <c r="A42" s="37"/>
      <c r="B42" s="49" t="s">
        <v>131</v>
      </c>
      <c r="C42" s="50"/>
      <c r="D42" s="50"/>
      <c r="E42" s="51"/>
      <c r="F42" s="23">
        <f>SUM(F34:F41)</f>
        <v>0</v>
      </c>
      <c r="G42" s="23">
        <f>SUM(G34:G41)</f>
        <v>21780</v>
      </c>
      <c r="H42" s="23">
        <f>SUM(H34:H41)</f>
        <v>21780</v>
      </c>
      <c r="I42" s="23">
        <f>SUM(I34:I41)</f>
        <v>0</v>
      </c>
      <c r="J42" s="13"/>
      <c r="K42" s="13"/>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11"/>
      <c r="AQ42" s="11"/>
      <c r="AR42" s="11"/>
      <c r="AS42" s="11"/>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row>
    <row r="43" spans="1:102" s="40" customFormat="1" ht="20.149999999999999" customHeight="1">
      <c r="A43" s="37"/>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row>
    <row r="45" spans="1:102" ht="42" customHeight="1">
      <c r="B45" s="451" t="s">
        <v>1083</v>
      </c>
      <c r="C45" s="451"/>
      <c r="D45" s="451"/>
      <c r="E45" s="451"/>
      <c r="F45" s="16" t="s">
        <v>182</v>
      </c>
      <c r="G45" s="16" t="s">
        <v>183</v>
      </c>
      <c r="H45" s="16" t="s">
        <v>184</v>
      </c>
      <c r="I45" s="16" t="s">
        <v>185</v>
      </c>
      <c r="J45" s="16" t="s">
        <v>186</v>
      </c>
      <c r="K45" s="16" t="s">
        <v>187</v>
      </c>
      <c r="L45" s="16" t="s">
        <v>188</v>
      </c>
      <c r="M45" s="16" t="s">
        <v>189</v>
      </c>
      <c r="N45" s="16" t="s">
        <v>190</v>
      </c>
      <c r="O45" s="16" t="s">
        <v>191</v>
      </c>
      <c r="P45" s="16" t="s">
        <v>192</v>
      </c>
      <c r="Q45" s="16" t="s">
        <v>193</v>
      </c>
      <c r="R45" s="16" t="s">
        <v>268</v>
      </c>
    </row>
    <row r="46" spans="1:102">
      <c r="B46" s="449" t="s">
        <v>1069</v>
      </c>
      <c r="C46" s="452"/>
      <c r="D46" s="452"/>
      <c r="E46" s="452"/>
      <c r="F46" s="38"/>
      <c r="G46" s="38"/>
      <c r="H46" s="38"/>
      <c r="I46" s="38"/>
      <c r="J46" s="38"/>
      <c r="K46" s="38"/>
      <c r="L46" s="38"/>
      <c r="M46" s="38"/>
      <c r="N46" s="38"/>
      <c r="O46" s="38"/>
      <c r="P46" s="38"/>
      <c r="Q46" s="38"/>
      <c r="R46" s="38"/>
    </row>
    <row r="47" spans="1:102" ht="26.15" customHeight="1">
      <c r="B47" s="44" t="s">
        <v>1072</v>
      </c>
      <c r="C47" s="47"/>
      <c r="D47" s="47"/>
      <c r="E47" s="48"/>
      <c r="F47" s="26">
        <f>SUMIFS('F6 - Savings Tracker'!R$1:R$1033,
'F6 - Savings Tracker'!$H$1:$H$1033,"Saving*",
'F6 - Savings Tracker'!$M$1:$M$1033,"Green")</f>
        <v>700</v>
      </c>
      <c r="G47" s="26">
        <f>SUMIFS('F6 - Savings Tracker'!S$1:S$1033,
'F6 - Savings Tracker'!$H$1:$H$1033,"Saving*",
'F6 - Savings Tracker'!$M$1:$M$1033,"Green")</f>
        <v>700</v>
      </c>
      <c r="H47" s="26">
        <f>SUMIFS('F6 - Savings Tracker'!T$1:T$1033,
'F6 - Savings Tracker'!$H$1:$H$1033,"Saving*",
'F6 - Savings Tracker'!$M$1:$M$1033,"Green")</f>
        <v>700</v>
      </c>
      <c r="I47" s="26">
        <f>SUMIFS('F6 - Savings Tracker'!U$1:U$1033,
'F6 - Savings Tracker'!$H$1:$H$1033,"Saving*",
'F6 - Savings Tracker'!$M$1:$M$1033,"Green")</f>
        <v>700</v>
      </c>
      <c r="J47" s="26">
        <f>SUMIFS('F6 - Savings Tracker'!V$1:V$1033,
'F6 - Savings Tracker'!$H$1:$H$1033,"Saving*",
'F6 - Savings Tracker'!$M$1:$M$1033,"Green")</f>
        <v>700</v>
      </c>
      <c r="K47" s="26">
        <f>SUMIFS('F6 - Savings Tracker'!W$1:W$1033,
'F6 - Savings Tracker'!$H$1:$H$1033,"Saving*",
'F6 - Savings Tracker'!$M$1:$M$1033,"Green")</f>
        <v>700</v>
      </c>
      <c r="L47" s="26">
        <f>SUMIFS('F6 - Savings Tracker'!X$1:X$1033,
'F6 - Savings Tracker'!$H$1:$H$1033,"Saving*",
'F6 - Savings Tracker'!$M$1:$M$1033,"Green")</f>
        <v>700</v>
      </c>
      <c r="M47" s="26">
        <f>SUMIFS('F6 - Savings Tracker'!Y$1:Y$1033,
'F6 - Savings Tracker'!$H$1:$H$1033,"Saving*",
'F6 - Savings Tracker'!$M$1:$M$1033,"Green")</f>
        <v>700</v>
      </c>
      <c r="N47" s="26">
        <f>SUMIFS('F6 - Savings Tracker'!Z$1:Z$1033,
'F6 - Savings Tracker'!$H$1:$H$1033,"Saving*",
'F6 - Savings Tracker'!$M$1:$M$1033,"Green")</f>
        <v>700</v>
      </c>
      <c r="O47" s="26">
        <f>SUMIFS('F6 - Savings Tracker'!AA$1:AA$1033,
'F6 - Savings Tracker'!$H$1:$H$1033,"Saving*",
'F6 - Savings Tracker'!$M$1:$M$1033,"Green")</f>
        <v>700</v>
      </c>
      <c r="P47" s="26">
        <f>SUMIFS('F6 - Savings Tracker'!AB$1:AB$1033,
'F6 - Savings Tracker'!$H$1:$H$1033,"Saving*",
'F6 - Savings Tracker'!$M$1:$M$1033,"Green")</f>
        <v>700</v>
      </c>
      <c r="Q47" s="26">
        <f>SUMIFS('F6 - Savings Tracker'!AC$1:AC$1033,
'F6 - Savings Tracker'!$H$1:$H$1033,"Saving*",
'F6 - Savings Tracker'!$M$1:$M$1033,"Green")</f>
        <v>700</v>
      </c>
      <c r="R47" s="23">
        <f t="shared" ref="R47:R52" si="0">SUM(F47:Q47)</f>
        <v>8400</v>
      </c>
    </row>
    <row r="48" spans="1:102" ht="26.15" customHeight="1">
      <c r="B48" s="44" t="s">
        <v>1075</v>
      </c>
      <c r="C48" s="47"/>
      <c r="D48" s="47"/>
      <c r="E48" s="48"/>
      <c r="F48" s="26">
        <f>SUMIFS('F6 - Savings Tracker'!R$1:R$1033,
'F6 - Savings Tracker'!$H$1:$H$1033,"Saving*",
'F6 - Savings Tracker'!$M$1:$M$1033,"Amber")</f>
        <v>0</v>
      </c>
      <c r="G48" s="26">
        <f>SUMIFS('F6 - Savings Tracker'!S$1:S$1033,
'F6 - Savings Tracker'!$H$1:$H$1033,"Saving*",
'F6 - Savings Tracker'!$M$1:$M$1033,"Amber")</f>
        <v>0</v>
      </c>
      <c r="H48" s="26">
        <f>SUMIFS('F6 - Savings Tracker'!T$1:T$1033,
'F6 - Savings Tracker'!$H$1:$H$1033,"Saving*",
'F6 - Savings Tracker'!$M$1:$M$1033,"Amber")</f>
        <v>0</v>
      </c>
      <c r="I48" s="26">
        <f>SUMIFS('F6 - Savings Tracker'!U$1:U$1033,
'F6 - Savings Tracker'!$H$1:$H$1033,"Saving*",
'F6 - Savings Tracker'!$M$1:$M$1033,"Amber")</f>
        <v>0</v>
      </c>
      <c r="J48" s="26">
        <f>SUMIFS('F6 - Savings Tracker'!V$1:V$1033,
'F6 - Savings Tracker'!$H$1:$H$1033,"Saving*",
'F6 - Savings Tracker'!$M$1:$M$1033,"Amber")</f>
        <v>0</v>
      </c>
      <c r="K48" s="26">
        <f>SUMIFS('F6 - Savings Tracker'!W$1:W$1033,
'F6 - Savings Tracker'!$H$1:$H$1033,"Saving*",
'F6 - Savings Tracker'!$M$1:$M$1033,"Amber")</f>
        <v>0</v>
      </c>
      <c r="L48" s="26">
        <f>SUMIFS('F6 - Savings Tracker'!X$1:X$1033,
'F6 - Savings Tracker'!$H$1:$H$1033,"Saving*",
'F6 - Savings Tracker'!$M$1:$M$1033,"Amber")</f>
        <v>0</v>
      </c>
      <c r="M48" s="26">
        <f>SUMIFS('F6 - Savings Tracker'!Y$1:Y$1033,
'F6 - Savings Tracker'!$H$1:$H$1033,"Saving*",
'F6 - Savings Tracker'!$M$1:$M$1033,"Amber")</f>
        <v>0</v>
      </c>
      <c r="N48" s="26">
        <f>SUMIFS('F6 - Savings Tracker'!Z$1:Z$1033,
'F6 - Savings Tracker'!$H$1:$H$1033,"Saving*",
'F6 - Savings Tracker'!$M$1:$M$1033,"Amber")</f>
        <v>0</v>
      </c>
      <c r="O48" s="26">
        <f>SUMIFS('F6 - Savings Tracker'!AA$1:AA$1033,
'F6 - Savings Tracker'!$H$1:$H$1033,"Saving*",
'F6 - Savings Tracker'!$M$1:$M$1033,"Amber")</f>
        <v>0</v>
      </c>
      <c r="P48" s="26">
        <f>SUMIFS('F6 - Savings Tracker'!AB$1:AB$1033,
'F6 - Savings Tracker'!$H$1:$H$1033,"Saving*",
'F6 - Savings Tracker'!$M$1:$M$1033,"Amber")</f>
        <v>0</v>
      </c>
      <c r="Q48" s="26">
        <f>SUMIFS('F6 - Savings Tracker'!AC$1:AC$1033,
'F6 - Savings Tracker'!$H$1:$H$1033,"Saving*",
'F6 - Savings Tracker'!$M$1:$M$1033,"Amber")</f>
        <v>0</v>
      </c>
      <c r="R48" s="23">
        <f t="shared" si="0"/>
        <v>0</v>
      </c>
    </row>
    <row r="49" spans="2:18" ht="26.15" customHeight="1">
      <c r="B49" s="44" t="s">
        <v>1076</v>
      </c>
      <c r="C49" s="47"/>
      <c r="D49" s="47"/>
      <c r="E49" s="48"/>
      <c r="F49" s="26">
        <f>SUMIFS('F6 - Savings Tracker'!R$1:R$1033,
'F6 - Savings Tracker'!$H$1:$H$1033,"Saving*",
'F6 - Savings Tracker'!$M$1:$M$1033,"Red")</f>
        <v>1115</v>
      </c>
      <c r="G49" s="26">
        <f>SUMIFS('F6 - Savings Tracker'!S$1:S$1033,
'F6 - Savings Tracker'!$H$1:$H$1033,"Saving*",
'F6 - Savings Tracker'!$M$1:$M$1033,"Red")</f>
        <v>1115</v>
      </c>
      <c r="H49" s="26">
        <f>SUMIFS('F6 - Savings Tracker'!T$1:T$1033,
'F6 - Savings Tracker'!$H$1:$H$1033,"Saving*",
'F6 - Savings Tracker'!$M$1:$M$1033,"Red")</f>
        <v>1115</v>
      </c>
      <c r="I49" s="26">
        <f>SUMIFS('F6 - Savings Tracker'!U$1:U$1033,
'F6 - Savings Tracker'!$H$1:$H$1033,"Saving*",
'F6 - Savings Tracker'!$M$1:$M$1033,"Red")</f>
        <v>1115</v>
      </c>
      <c r="J49" s="26">
        <f>SUMIFS('F6 - Savings Tracker'!V$1:V$1033,
'F6 - Savings Tracker'!$H$1:$H$1033,"Saving*",
'F6 - Savings Tracker'!$M$1:$M$1033,"Red")</f>
        <v>1115</v>
      </c>
      <c r="K49" s="26">
        <f>SUMIFS('F6 - Savings Tracker'!W$1:W$1033,
'F6 - Savings Tracker'!$H$1:$H$1033,"Saving*",
'F6 - Savings Tracker'!$M$1:$M$1033,"Red")</f>
        <v>1115</v>
      </c>
      <c r="L49" s="26">
        <f>SUMIFS('F6 - Savings Tracker'!X$1:X$1033,
'F6 - Savings Tracker'!$H$1:$H$1033,"Saving*",
'F6 - Savings Tracker'!$M$1:$M$1033,"Red")</f>
        <v>1115</v>
      </c>
      <c r="M49" s="26">
        <f>SUMIFS('F6 - Savings Tracker'!Y$1:Y$1033,
'F6 - Savings Tracker'!$H$1:$H$1033,"Saving*",
'F6 - Savings Tracker'!$M$1:$M$1033,"Red")</f>
        <v>1115</v>
      </c>
      <c r="N49" s="26">
        <f>SUMIFS('F6 - Savings Tracker'!Z$1:Z$1033,
'F6 - Savings Tracker'!$H$1:$H$1033,"Saving*",
'F6 - Savings Tracker'!$M$1:$M$1033,"Red")</f>
        <v>1115</v>
      </c>
      <c r="O49" s="26">
        <f>SUMIFS('F6 - Savings Tracker'!AA$1:AA$1033,
'F6 - Savings Tracker'!$H$1:$H$1033,"Saving*",
'F6 - Savings Tracker'!$M$1:$M$1033,"Red")</f>
        <v>1115</v>
      </c>
      <c r="P49" s="26">
        <f>SUMIFS('F6 - Savings Tracker'!AB$1:AB$1033,
'F6 - Savings Tracker'!$H$1:$H$1033,"Saving*",
'F6 - Savings Tracker'!$M$1:$M$1033,"Red")</f>
        <v>1115</v>
      </c>
      <c r="Q49" s="26">
        <f>SUMIFS('F6 - Savings Tracker'!AC$1:AC$1033,
'F6 - Savings Tracker'!$H$1:$H$1033,"Saving*",
'F6 - Savings Tracker'!$M$1:$M$1033,"Red")</f>
        <v>1115</v>
      </c>
      <c r="R49" s="23">
        <f t="shared" si="0"/>
        <v>13380</v>
      </c>
    </row>
    <row r="50" spans="2:18" ht="26.15" customHeight="1">
      <c r="B50" s="44" t="s">
        <v>420</v>
      </c>
      <c r="C50" s="47"/>
      <c r="D50" s="47"/>
      <c r="E50" s="48"/>
      <c r="F50" s="26">
        <f>SUMIFS('F6 - Savings Tracker'!R$1:R$1033,
'F6 - Savings Tracker'!$H$1:$H$1033,"Pipeline*")</f>
        <v>1059.9999999999995</v>
      </c>
      <c r="G50" s="26">
        <f>SUMIFS('F6 - Savings Tracker'!S$1:S$1033,
'F6 - Savings Tracker'!$H$1:$H$1033,"Pipeline*")</f>
        <v>1059.9999999999995</v>
      </c>
      <c r="H50" s="26">
        <f>SUMIFS('F6 - Savings Tracker'!T$1:T$1033,
'F6 - Savings Tracker'!$H$1:$H$1033,"Pipeline*")</f>
        <v>1059.9999999999995</v>
      </c>
      <c r="I50" s="26">
        <f>SUMIFS('F6 - Savings Tracker'!U$1:U$1033,
'F6 - Savings Tracker'!$H$1:$H$1033,"Pipeline*")</f>
        <v>1059.9999999999995</v>
      </c>
      <c r="J50" s="26">
        <f>SUMIFS('F6 - Savings Tracker'!V$1:V$1033,
'F6 - Savings Tracker'!$H$1:$H$1033,"Pipeline*")</f>
        <v>1059.9999999999995</v>
      </c>
      <c r="K50" s="26">
        <f>SUMIFS('F6 - Savings Tracker'!W$1:W$1033,
'F6 - Savings Tracker'!$H$1:$H$1033,"Pipeline*")</f>
        <v>1059.9999999999995</v>
      </c>
      <c r="L50" s="26">
        <f>SUMIFS('F6 - Savings Tracker'!X$1:X$1033,
'F6 - Savings Tracker'!$H$1:$H$1033,"Pipeline*")</f>
        <v>1059.9999999999995</v>
      </c>
      <c r="M50" s="26">
        <f>SUMIFS('F6 - Savings Tracker'!Y$1:Y$1033,
'F6 - Savings Tracker'!$H$1:$H$1033,"Pipeline*")</f>
        <v>1059.9999999999995</v>
      </c>
      <c r="N50" s="26">
        <f>SUMIFS('F6 - Savings Tracker'!Z$1:Z$1033,
'F6 - Savings Tracker'!$H$1:$H$1033,"Pipeline*")</f>
        <v>1059.9999999999995</v>
      </c>
      <c r="O50" s="26">
        <f>SUMIFS('F6 - Savings Tracker'!AA$1:AA$1033,
'F6 - Savings Tracker'!$H$1:$H$1033,"Pipeline*")</f>
        <v>1059.9999999999995</v>
      </c>
      <c r="P50" s="26">
        <f>SUMIFS('F6 - Savings Tracker'!AB$1:AB$1033,
'F6 - Savings Tracker'!$H$1:$H$1033,"Pipeline*")</f>
        <v>1059.9999999999995</v>
      </c>
      <c r="Q50" s="26">
        <f>SUMIFS('F6 - Savings Tracker'!AC$1:AC$1033,
'F6 - Savings Tracker'!$H$1:$H$1033,"Pipeline*")</f>
        <v>1059.9999999999995</v>
      </c>
      <c r="R50" s="23">
        <f t="shared" si="0"/>
        <v>12719.999999999998</v>
      </c>
    </row>
    <row r="51" spans="2:18" ht="26.15" customHeight="1">
      <c r="B51" s="44" t="s">
        <v>819</v>
      </c>
      <c r="C51" s="47"/>
      <c r="D51" s="47"/>
      <c r="E51" s="48"/>
      <c r="F51" s="26">
        <f>SUMIFS('F6 - Savings Tracker'!R$1:R$1033,
'F6 - Savings Tracker'!$H$1:$H$1033,"Non-Saving*")</f>
        <v>0</v>
      </c>
      <c r="G51" s="26">
        <f>SUMIFS('F6 - Savings Tracker'!S$1:S$1033,
'F6 - Savings Tracker'!$H$1:$H$1033,"Non-Saving*")</f>
        <v>0</v>
      </c>
      <c r="H51" s="26">
        <f>SUMIFS('F6 - Savings Tracker'!T$1:T$1033,
'F6 - Savings Tracker'!$H$1:$H$1033,"Non-Saving*")</f>
        <v>0</v>
      </c>
      <c r="I51" s="26">
        <f>SUMIFS('F6 - Savings Tracker'!U$1:U$1033,
'F6 - Savings Tracker'!$H$1:$H$1033,"Non-Saving*")</f>
        <v>0</v>
      </c>
      <c r="J51" s="26">
        <f>SUMIFS('F6 - Savings Tracker'!V$1:V$1033,
'F6 - Savings Tracker'!$H$1:$H$1033,"Non-Saving*")</f>
        <v>0</v>
      </c>
      <c r="K51" s="26">
        <f>SUMIFS('F6 - Savings Tracker'!W$1:W$1033,
'F6 - Savings Tracker'!$H$1:$H$1033,"Non-Saving*")</f>
        <v>0</v>
      </c>
      <c r="L51" s="26">
        <f>SUMIFS('F6 - Savings Tracker'!X$1:X$1033,
'F6 - Savings Tracker'!$H$1:$H$1033,"Non-Saving*")</f>
        <v>0</v>
      </c>
      <c r="M51" s="26">
        <f>SUMIFS('F6 - Savings Tracker'!Y$1:Y$1033,
'F6 - Savings Tracker'!$H$1:$H$1033,"Non-Saving*")</f>
        <v>0</v>
      </c>
      <c r="N51" s="26">
        <f>SUMIFS('F6 - Savings Tracker'!Z$1:Z$1033,
'F6 - Savings Tracker'!$H$1:$H$1033,"Non-Saving*")</f>
        <v>0</v>
      </c>
      <c r="O51" s="26">
        <f>SUMIFS('F6 - Savings Tracker'!AA$1:AA$1033,
'F6 - Savings Tracker'!$H$1:$H$1033,"Non-Saving*")</f>
        <v>0</v>
      </c>
      <c r="P51" s="26">
        <f>SUMIFS('F6 - Savings Tracker'!AB$1:AB$1033,
'F6 - Savings Tracker'!$H$1:$H$1033,"Non-Saving*")</f>
        <v>0</v>
      </c>
      <c r="Q51" s="26">
        <f>SUMIFS('F6 - Savings Tracker'!AC$1:AC$1033,
'F6 - Savings Tracker'!$H$1:$H$1033,"Non-Saving*")</f>
        <v>0</v>
      </c>
      <c r="R51" s="23">
        <f t="shared" si="0"/>
        <v>0</v>
      </c>
    </row>
    <row r="52" spans="2:18" ht="26.15" customHeight="1">
      <c r="B52" s="44" t="s">
        <v>421</v>
      </c>
      <c r="C52" s="47"/>
      <c r="D52" s="47"/>
      <c r="E52" s="48"/>
      <c r="F52" s="26">
        <f>SUMIFS('F6 - Savings Tracker'!R$1:R$1033,
'F6 - Savings Tracker'!$H$1:$H$1033,"Income*")</f>
        <v>0</v>
      </c>
      <c r="G52" s="26">
        <f>SUMIFS('F6 - Savings Tracker'!S$1:S$1033,
'F6 - Savings Tracker'!$H$1:$H$1033,"Income*")</f>
        <v>0</v>
      </c>
      <c r="H52" s="26">
        <f>SUMIFS('F6 - Savings Tracker'!T$1:T$1033,
'F6 - Savings Tracker'!$H$1:$H$1033,"Income*")</f>
        <v>0</v>
      </c>
      <c r="I52" s="26">
        <f>SUMIFS('F6 - Savings Tracker'!U$1:U$1033,
'F6 - Savings Tracker'!$H$1:$H$1033,"Income*")</f>
        <v>0</v>
      </c>
      <c r="J52" s="26">
        <f>SUMIFS('F6 - Savings Tracker'!V$1:V$1033,
'F6 - Savings Tracker'!$H$1:$H$1033,"Income*")</f>
        <v>0</v>
      </c>
      <c r="K52" s="26">
        <f>SUMIFS('F6 - Savings Tracker'!W$1:W$1033,
'F6 - Savings Tracker'!$H$1:$H$1033,"Income*")</f>
        <v>0</v>
      </c>
      <c r="L52" s="26">
        <f>SUMIFS('F6 - Savings Tracker'!X$1:X$1033,
'F6 - Savings Tracker'!$H$1:$H$1033,"Income*")</f>
        <v>0</v>
      </c>
      <c r="M52" s="26">
        <f>SUMIFS('F6 - Savings Tracker'!Y$1:Y$1033,
'F6 - Savings Tracker'!$H$1:$H$1033,"Income*")</f>
        <v>0</v>
      </c>
      <c r="N52" s="26">
        <f>SUMIFS('F6 - Savings Tracker'!Z$1:Z$1033,
'F6 - Savings Tracker'!$H$1:$H$1033,"Income*")</f>
        <v>0</v>
      </c>
      <c r="O52" s="26">
        <f>SUMIFS('F6 - Savings Tracker'!AA$1:AA$1033,
'F6 - Savings Tracker'!$H$1:$H$1033,"Income*")</f>
        <v>0</v>
      </c>
      <c r="P52" s="26">
        <f>SUMIFS('F6 - Savings Tracker'!AB$1:AB$1033,
'F6 - Savings Tracker'!$H$1:$H$1033,"Income*")</f>
        <v>0</v>
      </c>
      <c r="Q52" s="26">
        <f>SUMIFS('F6 - Savings Tracker'!AC$1:AC$1033,
'F6 - Savings Tracker'!$H$1:$H$1033,"Income*")</f>
        <v>0</v>
      </c>
      <c r="R52" s="23">
        <f t="shared" si="0"/>
        <v>0</v>
      </c>
    </row>
    <row r="53" spans="2:18" ht="26.15" customHeight="1">
      <c r="B53" s="49" t="s">
        <v>131</v>
      </c>
      <c r="C53" s="50"/>
      <c r="D53" s="50"/>
      <c r="E53" s="51"/>
      <c r="F53" s="23">
        <f>SUM(F47:F52)</f>
        <v>2874.9999999999995</v>
      </c>
      <c r="G53" s="23">
        <f>SUM(G47:G52)</f>
        <v>2874.9999999999995</v>
      </c>
      <c r="H53" s="23">
        <f t="shared" ref="H53" si="1">SUM(H47:H52)</f>
        <v>2874.9999999999995</v>
      </c>
      <c r="I53" s="23">
        <f t="shared" ref="I53:Q53" si="2">SUM(I47:I52)</f>
        <v>2874.9999999999995</v>
      </c>
      <c r="J53" s="23">
        <f t="shared" si="2"/>
        <v>2874.9999999999995</v>
      </c>
      <c r="K53" s="23">
        <f t="shared" si="2"/>
        <v>2874.9999999999995</v>
      </c>
      <c r="L53" s="23">
        <f t="shared" si="2"/>
        <v>2874.9999999999995</v>
      </c>
      <c r="M53" s="23">
        <f t="shared" si="2"/>
        <v>2874.9999999999995</v>
      </c>
      <c r="N53" s="23">
        <f t="shared" si="2"/>
        <v>2874.9999999999995</v>
      </c>
      <c r="O53" s="23">
        <f t="shared" si="2"/>
        <v>2874.9999999999995</v>
      </c>
      <c r="P53" s="23">
        <f t="shared" si="2"/>
        <v>2874.9999999999995</v>
      </c>
      <c r="Q53" s="23">
        <f t="shared" si="2"/>
        <v>2874.9999999999995</v>
      </c>
      <c r="R53" s="23">
        <f>SUM(R47:R52)</f>
        <v>34500</v>
      </c>
    </row>
  </sheetData>
  <sheetProtection sheet="1" objects="1" scenarios="1"/>
  <mergeCells count="2">
    <mergeCell ref="F3:I3"/>
    <mergeCell ref="F15:I15"/>
  </mergeCells>
  <pageMargins left="0.25" right="0.25" top="0.75" bottom="0.75" header="0.3" footer="0.3"/>
  <pageSetup paperSize="9" scale="65" fitToHeight="0" orientation="landscape" r:id="rId1"/>
  <rowBreaks count="1" manualBreakCount="1">
    <brk id="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AAA7A"/>
    <pageSetUpPr fitToPage="1"/>
  </sheetPr>
  <dimension ref="A1:D55"/>
  <sheetViews>
    <sheetView showGridLines="0" zoomScale="90" zoomScaleNormal="90" workbookViewId="0">
      <selection activeCell="D5" sqref="D5"/>
    </sheetView>
  </sheetViews>
  <sheetFormatPr defaultColWidth="8.84375" defaultRowHeight="15.5"/>
  <cols>
    <col min="1" max="1" width="35.53515625" style="62" customWidth="1"/>
    <col min="2" max="2" width="60.84375" style="62" customWidth="1"/>
    <col min="3" max="3" width="8.84375" style="62"/>
    <col min="4" max="4" width="87" style="62" customWidth="1"/>
    <col min="5" max="16384" width="8.84375" style="62"/>
  </cols>
  <sheetData>
    <row r="1" spans="1:4" ht="21" customHeight="1"/>
    <row r="2" spans="1:4" ht="21" customHeight="1">
      <c r="B2" s="56" t="s">
        <v>132</v>
      </c>
      <c r="C2" s="56" t="s">
        <v>133</v>
      </c>
      <c r="D2" s="56" t="s">
        <v>29</v>
      </c>
    </row>
    <row r="3" spans="1:4" ht="21" customHeight="1">
      <c r="A3" s="824" t="s">
        <v>134</v>
      </c>
      <c r="B3" s="62" t="s">
        <v>135</v>
      </c>
      <c r="C3" s="63" t="str">
        <f>IF('Front Sheet and Checklist'!C5="(please select from drop down)","No","Yes")</f>
        <v>Yes</v>
      </c>
      <c r="D3" s="62" t="str">
        <f>IF(C3="No","Please select the relevant organisation from the drop-down on the 'Front Sheet and Checklist' tab.","")</f>
        <v/>
      </c>
    </row>
    <row r="4" spans="1:4" ht="21" customHeight="1">
      <c r="A4" s="824"/>
      <c r="B4" s="62" t="s">
        <v>136</v>
      </c>
      <c r="C4" s="63" t="str">
        <f>IF(COUNTIFS('Front Sheet and Checklist'!$C$11:$C$29,"")&gt;0,"No","Yes")</f>
        <v>No</v>
      </c>
      <c r="D4" s="62" t="str">
        <f>IF(C4="No","There are "&amp;COUNTIFS('Front Sheet and Checklist'!C11:$C$29,"No")+COUNTIFS('Front Sheet and Checklist'!C11:$C$29,"")&amp;" sheets not confirmed as complete.","")</f>
        <v>There are 13 sheets not confirmed as complete.</v>
      </c>
    </row>
    <row r="5" spans="1:4" ht="15" customHeight="1">
      <c r="C5" s="63"/>
    </row>
    <row r="6" spans="1:4" ht="21" customHeight="1">
      <c r="A6" s="58" t="s">
        <v>137</v>
      </c>
      <c r="B6" s="62" t="s">
        <v>138</v>
      </c>
      <c r="C6" s="63" t="str">
        <f>IF(Vaccinations!S128=0,"Yes","No")</f>
        <v>Yes</v>
      </c>
      <c r="D6" s="62" t="str">
        <f>IF(C6="No","For analysis we are unable to consolidate text entries therefore please strictly use numeric entries","")</f>
        <v/>
      </c>
    </row>
    <row r="7" spans="1:4" ht="15" customHeight="1">
      <c r="C7" s="63"/>
    </row>
    <row r="8" spans="1:4" ht="21" customHeight="1">
      <c r="A8" s="58" t="s">
        <v>139</v>
      </c>
      <c r="B8" s="62" t="s">
        <v>138</v>
      </c>
      <c r="C8" s="63" t="e">
        <f>IF(Bedplan!#REF!=0,"Yes","No")</f>
        <v>#REF!</v>
      </c>
      <c r="D8" s="62" t="e">
        <f>IF(C8="No","For analysis we are unable to consolidate text entries therefore please strictly use numeric entries","")</f>
        <v>#REF!</v>
      </c>
    </row>
    <row r="9" spans="1:4" ht="15" customHeight="1">
      <c r="C9" s="63"/>
    </row>
    <row r="10" spans="1:4" ht="21" customHeight="1">
      <c r="A10" s="58" t="s">
        <v>140</v>
      </c>
      <c r="B10" s="62" t="s">
        <v>138</v>
      </c>
      <c r="C10" s="63" t="str">
        <f>IF('Workforce WTE'!K116=0,"Yes","No")</f>
        <v>Yes</v>
      </c>
      <c r="D10" s="62" t="str">
        <f>IF(C10="No","For analysis we are unable to consolidate text entries therefore please strictly use numeric entries","")</f>
        <v/>
      </c>
    </row>
    <row r="11" spans="1:4" ht="15" customHeight="1">
      <c r="C11" s="63"/>
    </row>
    <row r="12" spans="1:4" ht="21" customHeight="1">
      <c r="A12" s="61" t="s">
        <v>141</v>
      </c>
      <c r="B12" s="62" t="s">
        <v>138</v>
      </c>
      <c r="C12" s="63" t="str">
        <f>IF('Primary Care Activity'!AJ103=0,"Yes","No")</f>
        <v>No</v>
      </c>
      <c r="D12" s="62" t="str">
        <f t="shared" ref="D12:D17" si="0">IF(C12="No","For analysis we are unable to consolidate text entries therefore please strictly use numeric entries","")</f>
        <v>For analysis we are unable to consolidate text entries therefore please strictly use numeric entries</v>
      </c>
    </row>
    <row r="13" spans="1:4" ht="21" customHeight="1">
      <c r="A13" s="61" t="s">
        <v>142</v>
      </c>
      <c r="B13" s="62" t="s">
        <v>138</v>
      </c>
      <c r="C13" s="63" t="str">
        <f>IF('CHC &amp; FNC'!R9="","Yes","No")</f>
        <v>Yes</v>
      </c>
      <c r="D13" s="62" t="str">
        <f t="shared" si="0"/>
        <v/>
      </c>
    </row>
    <row r="14" spans="1:4" ht="21" customHeight="1">
      <c r="A14" s="61" t="s">
        <v>143</v>
      </c>
      <c r="B14" s="62" t="s">
        <v>138</v>
      </c>
      <c r="C14" s="63" t="str">
        <f>IF('Mental Health Activity'!AI40=0,"Yes","No")</f>
        <v>No</v>
      </c>
      <c r="D14" s="62" t="str">
        <f t="shared" si="0"/>
        <v>For analysis we are unable to consolidate text entries therefore please strictly use numeric entries</v>
      </c>
    </row>
    <row r="15" spans="1:4" ht="21" customHeight="1">
      <c r="A15" s="61" t="s">
        <v>144</v>
      </c>
      <c r="B15" s="62" t="s">
        <v>138</v>
      </c>
      <c r="C15" s="63" t="str">
        <f>IF('Cancer Care Activity'!AH16=0,"Yes","No")</f>
        <v>Yes</v>
      </c>
      <c r="D15" s="62" t="str">
        <f t="shared" si="0"/>
        <v/>
      </c>
    </row>
    <row r="16" spans="1:4" ht="21" customHeight="1">
      <c r="A16" s="61" t="s">
        <v>145</v>
      </c>
      <c r="B16" s="62" t="s">
        <v>138</v>
      </c>
      <c r="C16" s="63" t="str">
        <f>IF('Unsch.Care &amp; Ambulance Activity'!AH36=0,"Yes","No")</f>
        <v>Yes</v>
      </c>
      <c r="D16" s="62" t="str">
        <f t="shared" si="0"/>
        <v/>
      </c>
    </row>
    <row r="17" spans="1:4" ht="21" customHeight="1">
      <c r="A17" s="61" t="s">
        <v>146</v>
      </c>
      <c r="B17" s="62" t="s">
        <v>138</v>
      </c>
      <c r="C17" s="63" t="str">
        <f>IF('Planned Care Activity'!W43=0,"Yes","No")</f>
        <v>Yes</v>
      </c>
      <c r="D17" s="62" t="str">
        <f t="shared" si="0"/>
        <v/>
      </c>
    </row>
    <row r="18" spans="1:4" ht="15" customHeight="1">
      <c r="C18" s="63"/>
    </row>
    <row r="19" spans="1:4" ht="21" customHeight="1">
      <c r="A19" s="823" t="s">
        <v>147</v>
      </c>
      <c r="B19" s="64" t="s">
        <v>148</v>
      </c>
      <c r="C19" s="63" t="str">
        <f>IF(AND('F1 - Revenue Plan'!E24&lt;=0,'F1 - Revenue Plan'!F24&lt;=0,'F1 - Revenue Plan'!H24&lt;=0),"Yes","No")</f>
        <v>Yes</v>
      </c>
      <c r="D19" s="62" t="str">
        <f>IF(C19="No", "Cost Pressures in F1 - Revenue Plan should be entered as Negative","")</f>
        <v/>
      </c>
    </row>
    <row r="20" spans="1:4" ht="21" customHeight="1">
      <c r="A20" s="823"/>
      <c r="B20" s="62" t="s">
        <v>149</v>
      </c>
      <c r="C20" s="63" t="str">
        <f>IF(AND('F1 - Revenue Plan'!E34&gt;=0,'F1 - Revenue Plan'!F34&gt;=0,'F1 - Revenue Plan'!H34&gt;=0),"Yes","No")</f>
        <v>Yes</v>
      </c>
      <c r="D20" s="62" t="str">
        <f>IF(C20="No", "Savings and Mitigations should be entered as positive values","")</f>
        <v/>
      </c>
    </row>
    <row r="21" spans="1:4" ht="21" hidden="1" customHeight="1">
      <c r="A21" s="823"/>
      <c r="B21" s="64" t="s">
        <v>150</v>
      </c>
      <c r="C21" s="65" t="str">
        <f>IF(ABS('F1 - Revenue Plan'!E24+'F1 - Revenue Plan'!F24-'F5 - Cost Pressures'!E65-'F5 - Cost Pressures'!F65)=0,"Yes","No")</f>
        <v>No</v>
      </c>
      <c r="D21" s="62" t="str">
        <f>IF(C21="No","There is a difference between the Cost Pressures listed in '1 - Revenue Plan' to those detailed in 'F5 - Cost Pressures'","")</f>
        <v>There is a difference between the Cost Pressures listed in '1 - Revenue Plan' to those detailed in 'F5 - Cost Pressures'</v>
      </c>
    </row>
    <row r="22" spans="1:4" ht="21" customHeight="1">
      <c r="A22" s="823"/>
      <c r="B22" s="62" t="s">
        <v>138</v>
      </c>
      <c r="C22" s="65" t="str">
        <f>IF('F1 - Revenue Plan'!I38&gt;0,"No","Yes")</f>
        <v>Yes</v>
      </c>
    </row>
    <row r="23" spans="1:4" ht="15" customHeight="1">
      <c r="C23" s="63"/>
    </row>
    <row r="24" spans="1:4" ht="21" customHeight="1">
      <c r="A24" s="400" t="s">
        <v>151</v>
      </c>
      <c r="B24" s="62" t="s">
        <v>138</v>
      </c>
      <c r="C24" s="63" t="str">
        <f>IF('F2 - Net Expenditure'!AV43&gt;0,"No","Yes")</f>
        <v>Yes</v>
      </c>
    </row>
    <row r="25" spans="1:4" ht="15" customHeight="1">
      <c r="C25" s="63"/>
    </row>
    <row r="26" spans="1:4" ht="21" customHeight="1">
      <c r="A26" s="818" t="s">
        <v>152</v>
      </c>
      <c r="B26" s="62" t="s">
        <v>153</v>
      </c>
      <c r="C26" s="63" t="str">
        <f>IF('F3 - ULD'!I50&gt;0,"No","Yes")</f>
        <v>Yes</v>
      </c>
      <c r="D26" s="62" t="str">
        <f>IF(C26="No","Please ensure all items are labelled","")</f>
        <v/>
      </c>
    </row>
    <row r="27" spans="1:4" ht="21" customHeight="1">
      <c r="A27" s="823"/>
      <c r="B27" s="62" t="s">
        <v>138</v>
      </c>
      <c r="C27" s="63" t="str">
        <f>IF('F3 - ULD'!J50&gt;0,"No","Yes")</f>
        <v>Yes</v>
      </c>
      <c r="D27" s="62" t="str">
        <f>IF(C27="No","Please ensure all items are numeric","")</f>
        <v/>
      </c>
    </row>
    <row r="28" spans="1:4" ht="15" customHeight="1">
      <c r="C28" s="63"/>
    </row>
    <row r="29" spans="1:4" ht="21" customHeight="1">
      <c r="A29" s="818" t="s">
        <v>154</v>
      </c>
      <c r="B29" s="62" t="s">
        <v>155</v>
      </c>
      <c r="C29" s="63" t="str">
        <f>IF('F4 - Funding Assumptions'!H94&gt;0,"No","Yes")</f>
        <v>Yes</v>
      </c>
      <c r="D29" s="62" t="str">
        <f>IF(C29="No","Please ensure all items are labelled","")</f>
        <v/>
      </c>
    </row>
    <row r="30" spans="1:4" ht="21" customHeight="1">
      <c r="A30" s="823"/>
      <c r="B30" s="62" t="s">
        <v>138</v>
      </c>
      <c r="C30" s="63" t="str">
        <f>IF('F4 - Funding Assumptions'!I94&gt;0,"No","Yes")</f>
        <v>Yes</v>
      </c>
      <c r="D30" s="62" t="str">
        <f>IF(C30="No","Please ensure all items are numeric","")</f>
        <v/>
      </c>
    </row>
    <row r="31" spans="1:4" ht="15" customHeight="1">
      <c r="C31" s="63"/>
    </row>
    <row r="32" spans="1:4" ht="21" customHeight="1">
      <c r="A32" s="823" t="s">
        <v>156</v>
      </c>
      <c r="B32" s="62" t="s">
        <v>157</v>
      </c>
      <c r="C32" s="63" t="str">
        <f>IF('F5 - Cost Pressures'!AF66&gt;0,"No","Yes")</f>
        <v>Yes</v>
      </c>
      <c r="D32" s="62" t="str">
        <f>IF(C32="No","Please ensure all items are labelled","")</f>
        <v/>
      </c>
    </row>
    <row r="33" spans="1:4" ht="21" customHeight="1">
      <c r="A33" s="823"/>
      <c r="B33" s="62" t="s">
        <v>138</v>
      </c>
      <c r="C33" s="63" t="str">
        <f>IF('F5 - Cost Pressures'!AE66&gt;0,"No","Yes")</f>
        <v>Yes</v>
      </c>
      <c r="D33" s="62" t="str">
        <f>IF(C33="No","Please ensure all items are numeric","")</f>
        <v/>
      </c>
    </row>
    <row r="34" spans="1:4" ht="15" customHeight="1">
      <c r="C34" s="63"/>
    </row>
    <row r="35" spans="1:4" ht="21" customHeight="1">
      <c r="A35" s="824" t="s">
        <v>158</v>
      </c>
      <c r="B35" s="62" t="s">
        <v>159</v>
      </c>
      <c r="C35" s="63" t="str">
        <f>IF(COUNTIFS('F6 - Savings Tracker'!AE2:AE1001,"error")&gt;0,"No","Yes")</f>
        <v>Yes</v>
      </c>
      <c r="D35" s="62" t="str">
        <f>IF(C35="No","Please ensure all schemes are labelled which have a value attached","")</f>
        <v/>
      </c>
    </row>
    <row r="36" spans="1:4" ht="21" customHeight="1">
      <c r="A36" s="825"/>
      <c r="B36" s="62" t="s">
        <v>160</v>
      </c>
      <c r="C36" s="63" t="str">
        <f>IF(COUNTIFS('F6 - Savings Tracker'!AF2:AF1001,"error")&gt;0,"No","Yes")</f>
        <v>Yes</v>
      </c>
      <c r="D36" s="62" t="str">
        <f>IF(C36="No","Please ensure all schemes have a unique ID","")</f>
        <v/>
      </c>
    </row>
    <row r="37" spans="1:4" ht="21" customHeight="1">
      <c r="A37" s="825"/>
      <c r="B37" s="62" t="s">
        <v>161</v>
      </c>
      <c r="C37" s="63" t="str">
        <f>IF(COUNTIFS('F6 - Savings Tracker'!AG2:AG1001,"error")&gt;0,"No","Yes")</f>
        <v>Yes</v>
      </c>
      <c r="D37" s="62" t="str">
        <f>IF(C37="No","Please ensure a monitoring return category is set (except IG/AG)","")</f>
        <v/>
      </c>
    </row>
    <row r="38" spans="1:4" ht="21" hidden="1" customHeight="1">
      <c r="A38" s="825"/>
      <c r="B38" s="62" t="s">
        <v>162</v>
      </c>
      <c r="C38" s="63" t="str">
        <f>IF(COUNTIFS('F6 - Savings Tracker'!AH2:AH1001,"error")&gt;0,"No","Yes")</f>
        <v>Yes</v>
      </c>
      <c r="D38" s="62" t="str">
        <f>IF(C38="No","Please ensure no MMR category is set for IG/AG schemes","")</f>
        <v/>
      </c>
    </row>
    <row r="39" spans="1:4" ht="21" customHeight="1">
      <c r="A39" s="825"/>
      <c r="B39" s="62" t="s">
        <v>163</v>
      </c>
      <c r="C39" s="63" t="str">
        <f>IF(COUNTIFS('F6 - Savings Tracker'!AI2:AI1001,"error")&gt;0,"No","Yes")</f>
        <v>Yes</v>
      </c>
      <c r="D39" s="62" t="str">
        <f>IF(C39="No","Please ensure the FYE of Recurring schemes are not more than the current year plan","")</f>
        <v/>
      </c>
    </row>
    <row r="40" spans="1:4" ht="21" customHeight="1">
      <c r="A40" s="825"/>
      <c r="B40" s="62" t="s">
        <v>164</v>
      </c>
      <c r="C40" s="63" t="str">
        <f>IF(COUNTIFS('F6 - Savings Tracker'!AJ2:AJ1001,"error")&gt;0,"No","Yes")</f>
        <v>Yes</v>
      </c>
      <c r="D40" s="62" t="str">
        <f>IF(C40="No","Please ensure there are not FYE values entered for Non Recurring Schemes","")</f>
        <v/>
      </c>
    </row>
    <row r="41" spans="1:4" ht="21" customHeight="1">
      <c r="A41" s="825"/>
      <c r="B41" s="62" t="s">
        <v>165</v>
      </c>
      <c r="C41" s="63" t="str">
        <f>IF((COUNTIFS('F6 - Savings Tracker'!$AK$2:$AK$1001,"Error")+COUNTIFS('F6 - Savings Tracker'!$AL$2:$AL$1001,"Error"))=0,"Yes","No")</f>
        <v>Yes</v>
      </c>
      <c r="D41" s="62" t="str">
        <f>IF(C41="Yes","","There are "&amp;COUNTIFS('F6 - Savings Tracker'!$AK$2:$AK$1001,"Error")&amp;" Start Dates and "&amp;COUNTIFS('F6 - Savings Tracker'!$AL$2:$AL$1001,"Error")&amp;" Go Green Dates entered incorrectly or outside current year.")</f>
        <v/>
      </c>
    </row>
    <row r="42" spans="1:4" ht="21" customHeight="1">
      <c r="A42" s="61"/>
      <c r="B42" s="62" t="s">
        <v>166</v>
      </c>
      <c r="C42" s="63" t="str">
        <f>IF(COUNTIFS('F6 - Savings Tracker'!AM7:AM1006,"error")&gt;0,"No","Yes")</f>
        <v>Yes</v>
      </c>
      <c r="D42" s="62" t="str">
        <f>IF(C42="No","Please ensure all items are numeric","")</f>
        <v/>
      </c>
    </row>
    <row r="43" spans="1:4" ht="15" customHeight="1">
      <c r="C43" s="63"/>
    </row>
    <row r="44" spans="1:4" ht="21" customHeight="1">
      <c r="A44" s="818" t="s">
        <v>167</v>
      </c>
      <c r="B44" s="62" t="s">
        <v>168</v>
      </c>
      <c r="C44" s="63" t="str">
        <f>IF('F7 - Opportunity Pipeline'!J70&gt;0,"No","Yes")</f>
        <v>Yes</v>
      </c>
      <c r="D44" s="62" t="str">
        <f>IF(C44="No","Please ensure all items are labelled","")</f>
        <v/>
      </c>
    </row>
    <row r="45" spans="1:4" ht="21" customHeight="1">
      <c r="A45" s="823"/>
      <c r="B45" s="62" t="s">
        <v>169</v>
      </c>
      <c r="C45" s="63" t="str">
        <f>IF(('F7 - Opportunity Pipeline'!E69)&gt;=('F1 - Revenue Plan'!C31),"Yes","No")</f>
        <v>Yes</v>
      </c>
    </row>
    <row r="46" spans="1:4" ht="15" customHeight="1">
      <c r="C46" s="63"/>
    </row>
    <row r="47" spans="1:4" ht="15" customHeight="1">
      <c r="A47" s="823" t="s">
        <v>170</v>
      </c>
      <c r="B47" s="62" t="s">
        <v>171</v>
      </c>
      <c r="C47" s="63" t="str">
        <f>IF('F2 - Net Expenditure'!C37='F8 - Pay Split'!C38,"Yes","No")</f>
        <v>Yes</v>
      </c>
    </row>
    <row r="48" spans="1:4" ht="15" customHeight="1">
      <c r="A48" s="823"/>
      <c r="B48" s="62" t="s">
        <v>172</v>
      </c>
      <c r="C48" s="63" t="str">
        <f>IF('F2 - Net Expenditure'!D37='F8 - Pay Split'!D38,"Yes","No")</f>
        <v>Yes</v>
      </c>
    </row>
    <row r="49" spans="1:4" ht="21" customHeight="1">
      <c r="A49" s="826"/>
      <c r="B49" s="62" t="s">
        <v>138</v>
      </c>
      <c r="C49" s="63" t="str">
        <f>IF('F8 - Pay Split'!J51=0,"Yes","No")</f>
        <v>Yes</v>
      </c>
      <c r="D49" s="62" t="str">
        <f>IF(C49="No","Please ensure all items are numeric","")</f>
        <v/>
      </c>
    </row>
    <row r="50" spans="1:4" ht="15" customHeight="1">
      <c r="C50" s="63"/>
    </row>
    <row r="51" spans="1:4" ht="21" customHeight="1">
      <c r="A51" s="818" t="s">
        <v>173</v>
      </c>
      <c r="B51" s="62" t="s">
        <v>174</v>
      </c>
      <c r="C51" s="63" t="str">
        <f>IF('F9 - Project Profile'!U44&gt;0,"No","Yes")</f>
        <v>Yes</v>
      </c>
      <c r="D51" s="62" t="str">
        <f>IF(C51="No","Please ensure all items are labelled","")</f>
        <v/>
      </c>
    </row>
    <row r="52" spans="1:4" ht="21" customHeight="1">
      <c r="A52" s="823"/>
      <c r="B52" s="62" t="s">
        <v>138</v>
      </c>
      <c r="C52" s="63" t="str">
        <f>IF('F9 - Project Profile'!V44=0,"Yes","No")</f>
        <v>Yes</v>
      </c>
      <c r="D52" s="62" t="str">
        <f>IF(C52="No","Please ensure all items are numeric","")</f>
        <v/>
      </c>
    </row>
    <row r="53" spans="1:4" ht="15" customHeight="1">
      <c r="C53" s="63"/>
    </row>
    <row r="54" spans="1:4" ht="21" customHeight="1">
      <c r="A54" s="61" t="s">
        <v>175</v>
      </c>
      <c r="B54" s="62" t="s">
        <v>157</v>
      </c>
      <c r="C54" s="63" t="str">
        <f>IF('F10 - Risks &amp; Opportunities'!G48=0,"Yes","No")</f>
        <v>No</v>
      </c>
      <c r="D54" s="62" t="str">
        <f>IF(C54="No","Please label all entries of value","")</f>
        <v>Please label all entries of value</v>
      </c>
    </row>
    <row r="55" spans="1:4" ht="15" customHeight="1"/>
  </sheetData>
  <customSheetViews>
    <customSheetView guid="{95B84344-25FE-4A71-9083-825DAB5E8F01}" scale="90" showGridLines="0">
      <selection activeCell="D65" sqref="D65"/>
      <pageMargins left="0" right="0" top="0" bottom="0" header="0" footer="0"/>
      <pageSetup paperSize="9" orientation="portrait" r:id="rId1"/>
    </customSheetView>
  </customSheetViews>
  <mergeCells count="9">
    <mergeCell ref="A51:A52"/>
    <mergeCell ref="A35:A41"/>
    <mergeCell ref="A3:A4"/>
    <mergeCell ref="A19:A22"/>
    <mergeCell ref="A32:A33"/>
    <mergeCell ref="A26:A27"/>
    <mergeCell ref="A29:A30"/>
    <mergeCell ref="A44:A45"/>
    <mergeCell ref="A47:A49"/>
  </mergeCells>
  <conditionalFormatting sqref="C3:C54">
    <cfRule type="cellIs" dxfId="5" priority="1" operator="equal">
      <formula>"No"</formula>
    </cfRule>
    <cfRule type="cellIs" dxfId="4" priority="2" operator="equal">
      <formula>"Yes"</formula>
    </cfRule>
  </conditionalFormatting>
  <pageMargins left="0.70866141732283472" right="0.70866141732283472" top="0.74803149606299213" bottom="0.74803149606299213" header="0.31496062992125984" footer="0.31496062992125984"/>
  <pageSetup paperSize="9" scale="57" fitToHeight="0"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7"/>
    <pageSetUpPr fitToPage="1"/>
  </sheetPr>
  <dimension ref="B1:G19"/>
  <sheetViews>
    <sheetView zoomScale="90" zoomScaleNormal="130" workbookViewId="0">
      <selection activeCell="C9" sqref="C9"/>
    </sheetView>
  </sheetViews>
  <sheetFormatPr defaultColWidth="8.84375" defaultRowHeight="13"/>
  <cols>
    <col min="1" max="1" width="2.84375" style="1" customWidth="1"/>
    <col min="2" max="2" width="54.07421875" style="1" bestFit="1" customWidth="1"/>
    <col min="3" max="6" width="11.07421875" style="1" customWidth="1"/>
    <col min="7" max="7" width="9.4609375" style="1" customWidth="1"/>
    <col min="8" max="36" width="8.23046875" style="1" customWidth="1"/>
    <col min="37" max="16384" width="8.84375" style="1"/>
  </cols>
  <sheetData>
    <row r="1" spans="2:7" ht="23.5">
      <c r="B1" s="199" t="s">
        <v>1084</v>
      </c>
      <c r="C1" s="199"/>
      <c r="D1" s="199"/>
      <c r="E1" s="199"/>
      <c r="F1" s="199"/>
      <c r="G1" s="77"/>
    </row>
    <row r="2" spans="2:7">
      <c r="B2" s="77"/>
      <c r="C2" s="77"/>
      <c r="D2" s="77"/>
      <c r="E2" s="77"/>
      <c r="F2" s="77"/>
      <c r="G2" s="77"/>
    </row>
    <row r="3" spans="2:7" ht="47.25" customHeight="1">
      <c r="B3" s="86" t="s">
        <v>1085</v>
      </c>
      <c r="C3" s="150" t="s">
        <v>926</v>
      </c>
      <c r="D3" s="150" t="s">
        <v>927</v>
      </c>
      <c r="E3" s="150" t="s">
        <v>928</v>
      </c>
      <c r="F3" s="150" t="s">
        <v>929</v>
      </c>
    </row>
    <row r="4" spans="2:7" ht="15" customHeight="1">
      <c r="B4" s="86"/>
      <c r="C4" s="66" t="s">
        <v>949</v>
      </c>
      <c r="D4" s="66" t="s">
        <v>949</v>
      </c>
      <c r="E4" s="66" t="s">
        <v>949</v>
      </c>
      <c r="F4" s="66" t="s">
        <v>949</v>
      </c>
    </row>
    <row r="5" spans="2:7" ht="15" customHeight="1">
      <c r="B5" s="198" t="s">
        <v>1086</v>
      </c>
      <c r="C5" s="375">
        <f>'F11 - Capital Data'!C14</f>
        <v>10.530000000000001</v>
      </c>
      <c r="D5" s="77"/>
      <c r="E5" s="77"/>
      <c r="F5" s="77"/>
    </row>
    <row r="6" spans="2:7">
      <c r="B6" s="198" t="s">
        <v>1087</v>
      </c>
      <c r="C6" s="375">
        <f>'F11 - Capital Data'!C39</f>
        <v>-0.85</v>
      </c>
      <c r="D6" s="77"/>
      <c r="E6" s="77"/>
      <c r="F6" s="77"/>
      <c r="G6" s="77"/>
    </row>
    <row r="7" spans="2:7" ht="15" customHeight="1">
      <c r="B7" s="198" t="s">
        <v>1088</v>
      </c>
      <c r="C7" s="375">
        <f>'F11 - Capital Data'!C99</f>
        <v>12.968</v>
      </c>
      <c r="D7" s="375">
        <f>'F11 - Capital Data'!D99</f>
        <v>0</v>
      </c>
      <c r="E7" s="375">
        <f>'F11 - Capital Data'!E99</f>
        <v>0</v>
      </c>
      <c r="F7" s="375">
        <f>'F11 - Capital Data'!F99</f>
        <v>0</v>
      </c>
    </row>
    <row r="8" spans="2:7" ht="15" customHeight="1">
      <c r="B8" s="198" t="s">
        <v>1089</v>
      </c>
      <c r="C8" s="375">
        <f>'F11 - Capital Data'!C140</f>
        <v>61.291213534541633</v>
      </c>
      <c r="D8" s="375">
        <f>'F11 - Capital Data'!D140</f>
        <v>77.676974819714545</v>
      </c>
      <c r="E8" s="375">
        <f>'F11 - Capital Data'!E140</f>
        <v>137.51045553518935</v>
      </c>
      <c r="F8" s="375">
        <f>'F11 - Capital Data'!F140</f>
        <v>151.93359401993357</v>
      </c>
    </row>
    <row r="9" spans="2:7">
      <c r="B9" s="198" t="s">
        <v>1090</v>
      </c>
      <c r="C9" s="375">
        <f>'F11 - Capital Data'!C62</f>
        <v>40.106000000000002</v>
      </c>
      <c r="D9" s="375">
        <f>'F11 - Capital Data'!D62</f>
        <v>0.75</v>
      </c>
      <c r="E9" s="375">
        <f>'F11 - Capital Data'!E62</f>
        <v>0.75</v>
      </c>
      <c r="F9" s="375">
        <f>'F11 - Capital Data'!F62</f>
        <v>9.4710000000000001</v>
      </c>
      <c r="G9" s="77"/>
    </row>
    <row r="10" spans="2:7">
      <c r="B10" s="152" t="s">
        <v>1091</v>
      </c>
      <c r="C10" s="376">
        <f>SUM(C5:C9)</f>
        <v>124.04521353454163</v>
      </c>
      <c r="D10" s="376">
        <f>SUM(D5:D9)</f>
        <v>78.426974819714545</v>
      </c>
      <c r="E10" s="376">
        <f>SUM(E5:E9)</f>
        <v>138.26045553518935</v>
      </c>
      <c r="F10" s="376">
        <f>SUM(F5:F9)</f>
        <v>161.40459401993357</v>
      </c>
      <c r="G10" s="77"/>
    </row>
    <row r="12" spans="2:7" ht="46.5">
      <c r="B12" s="86" t="s">
        <v>1092</v>
      </c>
      <c r="C12" s="150" t="s">
        <v>1093</v>
      </c>
      <c r="D12" s="150" t="s">
        <v>1094</v>
      </c>
      <c r="E12" s="150" t="s">
        <v>1095</v>
      </c>
      <c r="F12" s="150" t="s">
        <v>1096</v>
      </c>
      <c r="G12" s="77"/>
    </row>
    <row r="13" spans="2:7" ht="15" customHeight="1">
      <c r="B13" s="86"/>
      <c r="C13" s="66" t="s">
        <v>949</v>
      </c>
      <c r="D13" s="66" t="s">
        <v>949</v>
      </c>
      <c r="E13" s="66" t="s">
        <v>949</v>
      </c>
      <c r="F13" s="66" t="s">
        <v>949</v>
      </c>
    </row>
    <row r="14" spans="2:7" ht="12.75" customHeight="1">
      <c r="B14" s="198" t="s">
        <v>1097</v>
      </c>
      <c r="C14" s="375">
        <f>'F11 - Capital Data'!K14+'F11 - Capital Data'!K39</f>
        <v>0</v>
      </c>
      <c r="D14" s="375">
        <f>'F11 - Capital Data'!L14+'F11 - Capital Data'!L39</f>
        <v>0</v>
      </c>
      <c r="E14" s="375">
        <f>'F11 - Capital Data'!M14+'F11 - Capital Data'!M39</f>
        <v>0</v>
      </c>
      <c r="F14" s="375">
        <f>'F11 - Capital Data'!N14+'F11 - Capital Data'!N39</f>
        <v>0</v>
      </c>
      <c r="G14" s="77"/>
    </row>
    <row r="15" spans="2:7">
      <c r="B15" s="198" t="s">
        <v>1088</v>
      </c>
      <c r="C15" s="375">
        <f>'F11 - Capital Data'!K99</f>
        <v>0.7330000000000001</v>
      </c>
      <c r="D15" s="375">
        <f>'F11 - Capital Data'!L99</f>
        <v>10.087000000000002</v>
      </c>
      <c r="E15" s="375">
        <f>'F11 - Capital Data'!M99</f>
        <v>0</v>
      </c>
      <c r="F15" s="375">
        <f>'F11 - Capital Data'!N99</f>
        <v>0</v>
      </c>
      <c r="G15" s="77"/>
    </row>
    <row r="16" spans="2:7">
      <c r="B16" s="198" t="s">
        <v>1089</v>
      </c>
      <c r="C16" s="375">
        <f>'F11 - Capital Data'!K140</f>
        <v>0.33999999999999997</v>
      </c>
      <c r="D16" s="375">
        <f>'F11 - Capital Data'!L140</f>
        <v>5.992</v>
      </c>
      <c r="E16" s="375">
        <f>'F11 - Capital Data'!M140</f>
        <v>0</v>
      </c>
      <c r="F16" s="375">
        <f>'F11 - Capital Data'!N140</f>
        <v>0</v>
      </c>
      <c r="G16" s="77"/>
    </row>
    <row r="17" spans="2:7">
      <c r="B17" s="198" t="s">
        <v>1090</v>
      </c>
      <c r="C17" s="375">
        <f>'F11 - Capital Data'!K62</f>
        <v>1.6539999999999999</v>
      </c>
      <c r="D17" s="375">
        <f>'F11 - Capital Data'!L62</f>
        <v>0</v>
      </c>
      <c r="E17" s="375">
        <f>'F11 - Capital Data'!M62</f>
        <v>0</v>
      </c>
      <c r="F17" s="375">
        <f>'F11 - Capital Data'!N62</f>
        <v>0</v>
      </c>
      <c r="G17" s="77"/>
    </row>
    <row r="18" spans="2:7">
      <c r="B18" s="152" t="s">
        <v>1098</v>
      </c>
      <c r="C18" s="376">
        <f>SUM(C14:C17)</f>
        <v>2.7269999999999999</v>
      </c>
      <c r="D18" s="376">
        <f>SUM(D14:D17)</f>
        <v>16.079000000000001</v>
      </c>
      <c r="E18" s="376">
        <f>SUM(E14:E17)</f>
        <v>0</v>
      </c>
      <c r="F18" s="376">
        <f>SUM(F14:F17)</f>
        <v>0</v>
      </c>
      <c r="G18" s="77"/>
    </row>
    <row r="19" spans="2:7">
      <c r="B19" s="77"/>
      <c r="C19" s="77"/>
      <c r="D19" s="77"/>
      <c r="E19" s="77"/>
      <c r="F19" s="77"/>
      <c r="G19" s="77"/>
    </row>
  </sheetData>
  <sheetProtection sheet="1" objects="1" scenarios="1"/>
  <pageMargins left="0.25" right="0.25" top="0.75" bottom="0.75" header="0.3" footer="0.3"/>
  <pageSetup paperSize="9" fitToHeight="0" orientation="landscape"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7"/>
    <pageSetUpPr fitToPage="1"/>
  </sheetPr>
  <dimension ref="B1:AR137"/>
  <sheetViews>
    <sheetView showGridLines="0" zoomScale="70" zoomScaleNormal="70" workbookViewId="0">
      <selection activeCell="P26" sqref="P26"/>
    </sheetView>
  </sheetViews>
  <sheetFormatPr defaultRowHeight="15.5"/>
  <cols>
    <col min="1" max="1" width="4" customWidth="1"/>
    <col min="2" max="2" width="11" customWidth="1"/>
    <col min="3" max="5" width="12.3046875" customWidth="1"/>
    <col min="6" max="6" width="20" customWidth="1"/>
    <col min="7" max="7" width="12.3046875" customWidth="1"/>
    <col min="8" max="8" width="2.69140625" customWidth="1"/>
    <col min="9" max="10" width="12.3046875" customWidth="1"/>
    <col min="11" max="11" width="15.07421875" customWidth="1"/>
    <col min="12" max="12" width="12.3046875" customWidth="1"/>
    <col min="13" max="13" width="2.69140625" style="453" customWidth="1"/>
    <col min="14" max="14" width="4.69140625" customWidth="1"/>
    <col min="15" max="17" width="12.3046875" customWidth="1"/>
    <col min="18" max="18" width="5.765625" customWidth="1"/>
    <col min="19" max="19" width="21.07421875" customWidth="1"/>
    <col min="20" max="44" width="11.84375" customWidth="1"/>
  </cols>
  <sheetData>
    <row r="1" spans="2:27" ht="16" thickBot="1"/>
    <row r="2" spans="2:27" ht="19" customHeight="1" thickBot="1">
      <c r="B2" s="149" t="s">
        <v>1099</v>
      </c>
      <c r="D2" s="909" t="s">
        <v>268</v>
      </c>
      <c r="E2" s="910"/>
      <c r="F2" s="911"/>
      <c r="O2" s="149" t="s">
        <v>1100</v>
      </c>
    </row>
    <row r="3" spans="2:27" s="404" customFormat="1" ht="19" customHeight="1">
      <c r="B3" s="414"/>
      <c r="M3" s="454"/>
    </row>
    <row r="4" spans="2:27" ht="19" customHeight="1">
      <c r="O4" s="149" t="s">
        <v>1101</v>
      </c>
      <c r="S4" s="149" t="s">
        <v>1102</v>
      </c>
    </row>
    <row r="5" spans="2:27" ht="19" customHeight="1">
      <c r="O5" s="410" t="s">
        <v>1103</v>
      </c>
      <c r="P5" s="410" t="s">
        <v>1104</v>
      </c>
      <c r="Q5" s="410" t="s">
        <v>328</v>
      </c>
      <c r="S5" s="404"/>
      <c r="T5" s="78" t="s">
        <v>1105</v>
      </c>
      <c r="U5" s="78" t="s">
        <v>1106</v>
      </c>
      <c r="V5" s="232" t="s">
        <v>1107</v>
      </c>
      <c r="W5" s="232" t="s">
        <v>1108</v>
      </c>
      <c r="X5" s="232" t="s">
        <v>1109</v>
      </c>
      <c r="Y5" s="232" t="s">
        <v>1110</v>
      </c>
      <c r="Z5" s="78" t="s">
        <v>1111</v>
      </c>
      <c r="AA5" s="78" t="s">
        <v>1112</v>
      </c>
    </row>
    <row r="6" spans="2:27" ht="19" customHeight="1">
      <c r="O6" s="412">
        <v>43585</v>
      </c>
      <c r="P6" s="413">
        <f>IFERROR(
IF($D$2="TOTAL",
GETPIVOTDATA("Sum of "&amp;'Front Sheet and Checklist'!$C$5,'Ref.Staff'!$U$1,"mmm-yy",TEXT($O6,"mmm-yy")),
GETPIVOTDATA("Sum of "&amp;'Front Sheet and Checklist'!$C$5,'Ref.Staff'!$U$1,"Category",$D$2,"mmm-yy",TEXT($O6,"mmm-yy"))
),"")</f>
        <v>11285.869970000002</v>
      </c>
      <c r="Q6" s="410"/>
      <c r="T6" s="455" t="s">
        <v>269</v>
      </c>
      <c r="U6" s="455" t="s">
        <v>270</v>
      </c>
      <c r="V6" s="456" t="s">
        <v>271</v>
      </c>
      <c r="W6" s="456" t="s">
        <v>272</v>
      </c>
      <c r="X6" s="456" t="s">
        <v>273</v>
      </c>
      <c r="Y6" s="456" t="s">
        <v>274</v>
      </c>
      <c r="Z6" s="455" t="s">
        <v>264</v>
      </c>
      <c r="AA6" s="455" t="s">
        <v>265</v>
      </c>
    </row>
    <row r="7" spans="2:27" ht="19" customHeight="1">
      <c r="O7" s="412">
        <f>EOMONTH(O6,0)+5</f>
        <v>43590</v>
      </c>
      <c r="P7" s="413">
        <f>IFERROR(
IF($D$2="TOTAL",
GETPIVOTDATA("Sum of "&amp;'Front Sheet and Checklist'!$C$5,'Ref.Staff'!$U$1,"mmm-yy",TEXT($O7,"mmm-yy")),
GETPIVOTDATA("Sum of "&amp;'Front Sheet and Checklist'!$C$5,'Ref.Staff'!$U$1,"Category",$D$2,"mmm-yy",TEXT($O7,"mmm-yy"))
),"")</f>
        <v>11234.52751</v>
      </c>
      <c r="Q7" s="410"/>
      <c r="S7" s="408" t="s">
        <v>1113</v>
      </c>
      <c r="T7" s="409">
        <f>INDEX('Workforce WTE'!$C$21:$J$33,MATCH($D$2,'Workforce WTE'!$B$21:$B$33,0),MATCH(T$6,'Workforce WTE'!$C$2:$J$2,0))</f>
        <v>12122.317190000025</v>
      </c>
      <c r="U7" s="409" t="e">
        <f>INDEX('Workforce WTE'!$C$21:$J$33,MATCH($D$2,'Workforce WTE'!$B$21:$B$33,0),MATCH(U$6,'Workforce WTE'!$C$2:$J$2,0))</f>
        <v>#N/A</v>
      </c>
      <c r="V7" s="409" t="e">
        <f>INDEX('Workforce WTE'!$C$21:$J$33,MATCH($D$2,'Workforce WTE'!$B$21:$B$33,0),MATCH(V$6,'Workforce WTE'!$C$2:$J$2,0))</f>
        <v>#N/A</v>
      </c>
      <c r="W7" s="409" t="e">
        <f>INDEX('Workforce WTE'!$C$21:$J$33,MATCH($D$2,'Workforce WTE'!$B$21:$B$33,0),MATCH(W$6,'Workforce WTE'!$C$2:$J$2,0))</f>
        <v>#N/A</v>
      </c>
      <c r="X7" s="409" t="e">
        <f>INDEX('Workforce WTE'!$C$21:$J$33,MATCH($D$2,'Workforce WTE'!$B$21:$B$33,0),MATCH(X$6,'Workforce WTE'!$C$2:$J$2,0))</f>
        <v>#N/A</v>
      </c>
      <c r="Y7" s="409" t="e">
        <f>INDEX('Workforce WTE'!$C$21:$J$33,MATCH($D$2,'Workforce WTE'!$B$21:$B$33,0),MATCH(Y$6,'Workforce WTE'!$C$2:$J$2,0))</f>
        <v>#N/A</v>
      </c>
      <c r="Z7" s="409">
        <f>INDEX('Workforce WTE'!$C$21:$J$33,MATCH($D$2,'Workforce WTE'!$B$21:$B$33,0),MATCH(Z$6,'Workforce WTE'!$C$2:$J$2,0))</f>
        <v>0</v>
      </c>
      <c r="AA7" s="409">
        <f>INDEX('Workforce WTE'!$C$21:$J$33,MATCH($D$2,'Workforce WTE'!$B$21:$B$33,0),MATCH(AA$6,'Workforce WTE'!$C$2:$J$2,0))</f>
        <v>0</v>
      </c>
    </row>
    <row r="8" spans="2:27" ht="19" customHeight="1">
      <c r="O8" s="412">
        <f t="shared" ref="O8:O17" si="0">EOMONTH(O7,0)+5</f>
        <v>43621</v>
      </c>
      <c r="P8" s="413">
        <f>IFERROR(
IF($D$2="TOTAL",
GETPIVOTDATA("Sum of "&amp;'Front Sheet and Checklist'!$C$5,'Ref.Staff'!$U$1,"mmm-yy",TEXT($O8,"mmm-yy")),
GETPIVOTDATA("Sum of "&amp;'Front Sheet and Checklist'!$C$5,'Ref.Staff'!$U$1,"Category",$D$2,"mmm-yy",TEXT($O8,"mmm-yy"))
),"")</f>
        <v>11221.991890000001</v>
      </c>
      <c r="Q8" s="410"/>
      <c r="S8" s="408" t="s">
        <v>1114</v>
      </c>
      <c r="T8" s="409">
        <f>INDEX('Workforce WTE'!$C$36:$J$47,MATCH($D$2,'Workforce WTE'!$B$36:$B$47,0),MATCH(T$6,'Workforce WTE'!$C$2:$J$2,0))</f>
        <v>160.56</v>
      </c>
      <c r="U8" s="409" t="e">
        <f>INDEX('Workforce WTE'!$C$36:$J$47,MATCH($D$2,'Workforce WTE'!$B$36:$B$47,0),MATCH(U$6,'Workforce WTE'!$C$2:$J$2,0))</f>
        <v>#N/A</v>
      </c>
      <c r="V8" s="409" t="e">
        <f>INDEX('Workforce WTE'!$C$36:$J$47,MATCH($D$2,'Workforce WTE'!$B$36:$B$47,0),MATCH(V$6,'Workforce WTE'!$C$2:$J$2,0))</f>
        <v>#N/A</v>
      </c>
      <c r="W8" s="409" t="e">
        <f>INDEX('Workforce WTE'!$C$36:$J$47,MATCH($D$2,'Workforce WTE'!$B$36:$B$47,0),MATCH(W$6,'Workforce WTE'!$C$2:$J$2,0))</f>
        <v>#N/A</v>
      </c>
      <c r="X8" s="409" t="e">
        <f>INDEX('Workforce WTE'!$C$36:$J$47,MATCH($D$2,'Workforce WTE'!$B$36:$B$47,0),MATCH(X$6,'Workforce WTE'!$C$2:$J$2,0))</f>
        <v>#N/A</v>
      </c>
      <c r="Y8" s="409" t="e">
        <f>INDEX('Workforce WTE'!$C$36:$J$47,MATCH($D$2,'Workforce WTE'!$B$36:$B$47,0),MATCH(Y$6,'Workforce WTE'!$C$2:$J$2,0))</f>
        <v>#N/A</v>
      </c>
      <c r="Z8" s="409">
        <f>INDEX('Workforce WTE'!$C$36:$J$47,MATCH($D$2,'Workforce WTE'!$B$36:$B$47,0),MATCH(Z$6,'Workforce WTE'!$C$2:$J$2,0))</f>
        <v>0</v>
      </c>
      <c r="AA8" s="409">
        <f>INDEX('Workforce WTE'!$C$36:$J$47,MATCH($D$2,'Workforce WTE'!$B$36:$B$47,0),MATCH(AA$6,'Workforce WTE'!$C$2:$J$2,0))</f>
        <v>0</v>
      </c>
    </row>
    <row r="9" spans="2:27" ht="19" customHeight="1">
      <c r="O9" s="412">
        <f t="shared" si="0"/>
        <v>43651</v>
      </c>
      <c r="P9" s="413">
        <f>IFERROR(
IF($D$2="TOTAL",
GETPIVOTDATA("Sum of "&amp;'Front Sheet and Checklist'!$C$5,'Ref.Staff'!$U$1,"mmm-yy",TEXT($O9,"mmm-yy")),
GETPIVOTDATA("Sum of "&amp;'Front Sheet and Checklist'!$C$5,'Ref.Staff'!$U$1,"Category",$D$2,"mmm-yy",TEXT($O9,"mmm-yy"))
),"")</f>
        <v>11209.986000000001</v>
      </c>
      <c r="Q9" s="410"/>
      <c r="S9" s="408" t="s">
        <v>1115</v>
      </c>
      <c r="T9" s="409">
        <f>INDEX('Workforce WTE'!$C$50:$J$61,MATCH($D$2,'Workforce WTE'!$B$50:$B$61,0),MATCH(T$6,'Workforce WTE'!$C$2:$J$2,0))</f>
        <v>508.85500000000002</v>
      </c>
      <c r="U9" s="409" t="e">
        <f>INDEX('Workforce WTE'!$C$50:$J$61,MATCH($D$2,'Workforce WTE'!$B$50:$B$61,0),MATCH(U$6,'Workforce WTE'!$C$2:$J$2,0))</f>
        <v>#N/A</v>
      </c>
      <c r="V9" s="409" t="e">
        <f>INDEX('Workforce WTE'!$C$50:$J$61,MATCH($D$2,'Workforce WTE'!$B$50:$B$61,0),MATCH(V$6,'Workforce WTE'!$C$2:$J$2,0))</f>
        <v>#N/A</v>
      </c>
      <c r="W9" s="409" t="e">
        <f>INDEX('Workforce WTE'!$C$50:$J$61,MATCH($D$2,'Workforce WTE'!$B$50:$B$61,0),MATCH(W$6,'Workforce WTE'!$C$2:$J$2,0))</f>
        <v>#N/A</v>
      </c>
      <c r="X9" s="409" t="e">
        <f>INDEX('Workforce WTE'!$C$50:$J$61,MATCH($D$2,'Workforce WTE'!$B$50:$B$61,0),MATCH(X$6,'Workforce WTE'!$C$2:$J$2,0))</f>
        <v>#N/A</v>
      </c>
      <c r="Y9" s="409" t="e">
        <f>INDEX('Workforce WTE'!$C$50:$J$61,MATCH($D$2,'Workforce WTE'!$B$50:$B$61,0),MATCH(Y$6,'Workforce WTE'!$C$2:$J$2,0))</f>
        <v>#N/A</v>
      </c>
      <c r="Z9" s="409">
        <f>INDEX('Workforce WTE'!$C$50:$J$61,MATCH($D$2,'Workforce WTE'!$B$50:$B$61,0),MATCH(Z$6,'Workforce WTE'!$C$2:$J$2,0))</f>
        <v>0</v>
      </c>
      <c r="AA9" s="409">
        <f>INDEX('Workforce WTE'!$C$50:$J$61,MATCH($D$2,'Workforce WTE'!$B$50:$B$61,0),MATCH(AA$6,'Workforce WTE'!$C$2:$J$2,0))</f>
        <v>0</v>
      </c>
    </row>
    <row r="10" spans="2:27" ht="19" customHeight="1">
      <c r="O10" s="412">
        <f t="shared" si="0"/>
        <v>43682</v>
      </c>
      <c r="P10" s="413">
        <f>IFERROR(
IF($D$2="TOTAL",
GETPIVOTDATA("Sum of "&amp;'Front Sheet and Checklist'!$C$5,'Ref.Staff'!$U$1,"mmm-yy",TEXT($O10,"mmm-yy")),
GETPIVOTDATA("Sum of "&amp;'Front Sheet and Checklist'!$C$5,'Ref.Staff'!$U$1,"Category",$D$2,"mmm-yy",TEXT($O10,"mmm-yy"))
),"")</f>
        <v>11228.704839999999</v>
      </c>
      <c r="Q10" s="410"/>
    </row>
    <row r="11" spans="2:27" ht="19" customHeight="1">
      <c r="O11" s="412">
        <f t="shared" si="0"/>
        <v>43713</v>
      </c>
      <c r="P11" s="413">
        <f>IFERROR(
IF($D$2="TOTAL",
GETPIVOTDATA("Sum of "&amp;'Front Sheet and Checklist'!$C$5,'Ref.Staff'!$U$1,"mmm-yy",TEXT($O11,"mmm-yy")),
GETPIVOTDATA("Sum of "&amp;'Front Sheet and Checklist'!$C$5,'Ref.Staff'!$U$1,"Category",$D$2,"mmm-yy",TEXT($O11,"mmm-yy"))
),"")</f>
        <v>11246.29731</v>
      </c>
      <c r="Q11" s="410"/>
      <c r="S11" s="149" t="s">
        <v>1116</v>
      </c>
    </row>
    <row r="12" spans="2:27" ht="19" customHeight="1">
      <c r="O12" s="412">
        <f t="shared" si="0"/>
        <v>43743</v>
      </c>
      <c r="P12" s="413">
        <f>IFERROR(
IF($D$2="TOTAL",
GETPIVOTDATA("Sum of "&amp;'Front Sheet and Checklist'!$C$5,'Ref.Staff'!$U$1,"mmm-yy",TEXT($O12,"mmm-yy")),
GETPIVOTDATA("Sum of "&amp;'Front Sheet and Checklist'!$C$5,'Ref.Staff'!$U$1,"Category",$D$2,"mmm-yy",TEXT($O12,"mmm-yy"))
),"")</f>
        <v>11397.637699999999</v>
      </c>
      <c r="Q12" s="410"/>
      <c r="S12" s="470" t="s">
        <v>284</v>
      </c>
      <c r="T12" s="459" t="s">
        <v>284</v>
      </c>
      <c r="U12" s="459"/>
      <c r="V12" s="459"/>
      <c r="W12" s="459"/>
      <c r="X12" s="459"/>
      <c r="Y12" s="459"/>
      <c r="Z12" s="459"/>
      <c r="AA12" s="463">
        <f>'Workforce WTE'!D104</f>
        <v>12318.817190000025</v>
      </c>
    </row>
    <row r="13" spans="2:27" ht="19" customHeight="1">
      <c r="O13" s="412">
        <f t="shared" si="0"/>
        <v>43774</v>
      </c>
      <c r="P13" s="413">
        <f>IFERROR(
IF($D$2="TOTAL",
GETPIVOTDATA("Sum of "&amp;'Front Sheet and Checklist'!$C$5,'Ref.Staff'!$U$1,"mmm-yy",TEXT($O13,"mmm-yy")),
GETPIVOTDATA("Sum of "&amp;'Front Sheet and Checklist'!$C$5,'Ref.Staff'!$U$1,"Category",$D$2,"mmm-yy",TEXT($O13,"mmm-yy"))
),"")</f>
        <v>11426.0214</v>
      </c>
      <c r="Q13" s="410"/>
      <c r="S13" s="471" t="s">
        <v>1117</v>
      </c>
      <c r="T13" s="462" t="s">
        <v>285</v>
      </c>
      <c r="U13" s="462"/>
      <c r="V13" s="462"/>
      <c r="W13" s="462"/>
      <c r="X13" s="462"/>
      <c r="Y13" s="462"/>
      <c r="Z13" s="462"/>
      <c r="AA13" s="465">
        <f>'Workforce WTE'!D106</f>
        <v>1672</v>
      </c>
    </row>
    <row r="14" spans="2:27" ht="19" customHeight="1">
      <c r="O14" s="412">
        <f t="shared" si="0"/>
        <v>43804</v>
      </c>
      <c r="P14" s="413">
        <f>IFERROR(
IF($D$2="TOTAL",
GETPIVOTDATA("Sum of "&amp;'Front Sheet and Checklist'!$C$5,'Ref.Staff'!$U$1,"mmm-yy",TEXT($O14,"mmm-yy")),
GETPIVOTDATA("Sum of "&amp;'Front Sheet and Checklist'!$C$5,'Ref.Staff'!$U$1,"Category",$D$2,"mmm-yy",TEXT($O14,"mmm-yy"))
),"")</f>
        <v>11416.335079999999</v>
      </c>
      <c r="Q14" s="410"/>
      <c r="S14" s="471" t="s">
        <v>1118</v>
      </c>
      <c r="T14" s="462" t="s">
        <v>286</v>
      </c>
      <c r="U14" s="462"/>
      <c r="V14" s="462"/>
      <c r="W14" s="462"/>
      <c r="X14" s="462"/>
      <c r="Y14" s="462"/>
      <c r="Z14" s="462"/>
      <c r="AA14" s="465">
        <f>'Workforce WTE'!D107</f>
        <v>0</v>
      </c>
    </row>
    <row r="15" spans="2:27" ht="19" customHeight="1">
      <c r="O15" s="412">
        <f t="shared" si="0"/>
        <v>43835</v>
      </c>
      <c r="P15" s="413">
        <f>IFERROR(
IF($D$2="TOTAL",
GETPIVOTDATA("Sum of "&amp;'Front Sheet and Checklist'!$C$5,'Ref.Staff'!$U$1,"mmm-yy",TEXT($O15,"mmm-yy")),
GETPIVOTDATA("Sum of "&amp;'Front Sheet and Checklist'!$C$5,'Ref.Staff'!$U$1,"Category",$D$2,"mmm-yy",TEXT($O15,"mmm-yy"))
),"")</f>
        <v>11360.070880000001</v>
      </c>
      <c r="Q15" s="410"/>
      <c r="S15" s="471" t="s">
        <v>1119</v>
      </c>
      <c r="T15" s="462" t="s">
        <v>287</v>
      </c>
      <c r="U15" s="462"/>
      <c r="V15" s="462"/>
      <c r="W15" s="462"/>
      <c r="X15" s="462"/>
      <c r="Y15" s="462"/>
      <c r="Z15" s="462"/>
      <c r="AA15" s="461">
        <f>'Workforce WTE'!D110</f>
        <v>-1233.213769250001</v>
      </c>
    </row>
    <row r="16" spans="2:27" ht="19" customHeight="1">
      <c r="O16" s="412">
        <f t="shared" si="0"/>
        <v>43866</v>
      </c>
      <c r="P16" s="413">
        <f>IFERROR(
IF($D$2="TOTAL",
GETPIVOTDATA("Sum of "&amp;'Front Sheet and Checklist'!$C$5,'Ref.Staff'!$U$1,"mmm-yy",TEXT($O16,"mmm-yy")),
GETPIVOTDATA("Sum of "&amp;'Front Sheet and Checklist'!$C$5,'Ref.Staff'!$U$1,"Category",$D$2,"mmm-yy",TEXT($O16,"mmm-yy"))
),"")</f>
        <v>11397.61988</v>
      </c>
      <c r="Q16" s="410"/>
      <c r="S16" s="471" t="s">
        <v>1120</v>
      </c>
      <c r="T16" s="462" t="s">
        <v>288</v>
      </c>
      <c r="U16" s="462"/>
      <c r="V16" s="462"/>
      <c r="W16" s="462"/>
      <c r="X16" s="462"/>
      <c r="Y16" s="462"/>
      <c r="Z16" s="462"/>
      <c r="AA16" s="461">
        <f>'Workforce WTE'!D111</f>
        <v>0</v>
      </c>
    </row>
    <row r="17" spans="15:44" ht="19" customHeight="1">
      <c r="O17" s="412">
        <f t="shared" si="0"/>
        <v>43895</v>
      </c>
      <c r="P17" s="413">
        <f>IFERROR(
IF($D$2="TOTAL",
GETPIVOTDATA("Sum of "&amp;'Front Sheet and Checklist'!$C$5,'Ref.Staff'!$U$1,"mmm-yy",TEXT($O17,"mmm-yy")),
GETPIVOTDATA("Sum of "&amp;'Front Sheet and Checklist'!$C$5,'Ref.Staff'!$U$1,"Category",$D$2,"mmm-yy",TEXT($O17,"mmm-yy"))
),"")</f>
        <v>11375.596289999999</v>
      </c>
      <c r="Q17" s="410"/>
      <c r="S17" s="472" t="s">
        <v>1121</v>
      </c>
      <c r="T17" s="458" t="s">
        <v>289</v>
      </c>
      <c r="U17" s="460"/>
      <c r="V17" s="460"/>
      <c r="W17" s="458"/>
      <c r="X17" s="460"/>
      <c r="Y17" s="458"/>
      <c r="Z17" s="460"/>
      <c r="AA17" s="464">
        <f>'Workforce WTE'!D113</f>
        <v>12757.603420750023</v>
      </c>
    </row>
    <row r="18" spans="15:44" ht="19" customHeight="1">
      <c r="O18" s="412">
        <v>43951</v>
      </c>
      <c r="P18" s="413">
        <f>IFERROR(
IF($D$2="TOTAL",
GETPIVOTDATA("Sum of "&amp;'Front Sheet and Checklist'!$C$5,'Ref.Staff'!$U$1,"mmm-yy",TEXT($O18,"mmm-yy")),
GETPIVOTDATA("Sum of "&amp;'Front Sheet and Checklist'!$C$5,'Ref.Staff'!$U$1,"Category",$D$2,"mmm-yy",TEXT($O18,"mmm-yy"))
),"")</f>
        <v>11467.965</v>
      </c>
      <c r="Q18" s="413"/>
    </row>
    <row r="19" spans="15:44" ht="19" customHeight="1">
      <c r="O19" s="412">
        <v>43982</v>
      </c>
      <c r="P19" s="413">
        <f>IFERROR(
IF($D$2="TOTAL",
GETPIVOTDATA("Sum of "&amp;'Front Sheet and Checklist'!$C$5,'Ref.Staff'!$U$1,"mmm-yy",TEXT($O19,"mmm-yy")),
GETPIVOTDATA("Sum of "&amp;'Front Sheet and Checklist'!$C$5,'Ref.Staff'!$U$1,"Category",$D$2,"mmm-yy",TEXT($O19,"mmm-yy"))
),"")</f>
        <v>11846.47205</v>
      </c>
      <c r="Q19" s="413"/>
      <c r="S19" s="149" t="s">
        <v>1122</v>
      </c>
    </row>
    <row r="20" spans="15:44" ht="19" customHeight="1">
      <c r="O20" s="412">
        <v>44012</v>
      </c>
      <c r="P20" s="413">
        <f>IFERROR(
IF($D$2="TOTAL",
GETPIVOTDATA("Sum of "&amp;'Front Sheet and Checklist'!$C$5,'Ref.Staff'!$U$1,"mmm-yy",TEXT($O20,"mmm-yy")),
GETPIVOTDATA("Sum of "&amp;'Front Sheet and Checklist'!$C$5,'Ref.Staff'!$U$1,"Category",$D$2,"mmm-yy",TEXT($O20,"mmm-yy"))
),"")</f>
        <v>11884.37377</v>
      </c>
      <c r="Q20" s="413"/>
      <c r="S20" s="404"/>
      <c r="T20" s="191">
        <v>45412</v>
      </c>
      <c r="U20" s="191">
        <v>45443</v>
      </c>
      <c r="V20" s="191">
        <v>45473</v>
      </c>
      <c r="W20" s="191">
        <v>45504</v>
      </c>
      <c r="X20" s="191">
        <v>45535</v>
      </c>
      <c r="Y20" s="191">
        <v>45565</v>
      </c>
      <c r="Z20" s="191">
        <v>45596</v>
      </c>
      <c r="AA20" s="191">
        <v>45626</v>
      </c>
      <c r="AB20" s="191">
        <v>45657</v>
      </c>
      <c r="AC20" s="191">
        <v>45688</v>
      </c>
      <c r="AD20" s="191">
        <v>45716</v>
      </c>
      <c r="AE20" s="191">
        <v>45747</v>
      </c>
    </row>
    <row r="21" spans="15:44" ht="19" customHeight="1">
      <c r="O21" s="412">
        <v>44043</v>
      </c>
      <c r="P21" s="413">
        <f>IFERROR(
IF($D$2="TOTAL",
GETPIVOTDATA("Sum of "&amp;'Front Sheet and Checklist'!$C$5,'Ref.Staff'!$U$1,"mmm-yy",TEXT($O21,"mmm-yy")),
GETPIVOTDATA("Sum of "&amp;'Front Sheet and Checklist'!$C$5,'Ref.Staff'!$U$1,"Category",$D$2,"mmm-yy",TEXT($O21,"mmm-yy"))
),"")</f>
        <v>11736.6268</v>
      </c>
      <c r="Q21" s="413"/>
      <c r="S21" s="408" t="s">
        <v>1122</v>
      </c>
      <c r="T21" s="409">
        <f>SUMIFS('F6 - Savings Tracker'!R$1:R$1001,'F6 - Savings Tracker'!$O$1:$O$1001,"Pay*")</f>
        <v>1584.9999999999998</v>
      </c>
      <c r="U21" s="409">
        <f>SUMIFS('F6 - Savings Tracker'!S$1:S$1001,'F6 - Savings Tracker'!$O$1:$O$1001,"Pay*")</f>
        <v>1584.9999999999998</v>
      </c>
      <c r="V21" s="409">
        <f>SUMIFS('F6 - Savings Tracker'!T$1:T$1001,'F6 - Savings Tracker'!$O$1:$O$1001,"Pay*")</f>
        <v>1584.9999999999998</v>
      </c>
      <c r="W21" s="409">
        <f>SUMIFS('F6 - Savings Tracker'!U$1:U$1001,'F6 - Savings Tracker'!$O$1:$O$1001,"Pay*")</f>
        <v>1584.9999999999998</v>
      </c>
      <c r="X21" s="409">
        <f>SUMIFS('F6 - Savings Tracker'!V$1:V$1001,'F6 - Savings Tracker'!$O$1:$O$1001,"Pay*")</f>
        <v>1584.9999999999998</v>
      </c>
      <c r="Y21" s="409">
        <f>SUMIFS('F6 - Savings Tracker'!W$1:W$1001,'F6 - Savings Tracker'!$O$1:$O$1001,"Pay*")</f>
        <v>1584.9999999999998</v>
      </c>
      <c r="Z21" s="409">
        <f>SUMIFS('F6 - Savings Tracker'!X$1:X$1001,'F6 - Savings Tracker'!$O$1:$O$1001,"Pay*")</f>
        <v>1584.9999999999998</v>
      </c>
      <c r="AA21" s="409">
        <f>SUMIFS('F6 - Savings Tracker'!Y$1:Y$1001,'F6 - Savings Tracker'!$O$1:$O$1001,"Pay*")</f>
        <v>1584.9999999999998</v>
      </c>
      <c r="AB21" s="409">
        <f>SUMIFS('F6 - Savings Tracker'!Z$1:Z$1001,'F6 - Savings Tracker'!$O$1:$O$1001,"Pay*")</f>
        <v>1584.9999999999998</v>
      </c>
      <c r="AC21" s="409">
        <f>SUMIFS('F6 - Savings Tracker'!AA$1:AA$1001,'F6 - Savings Tracker'!$O$1:$O$1001,"Pay*")</f>
        <v>1584.9999999999998</v>
      </c>
      <c r="AD21" s="409">
        <f>SUMIFS('F6 - Savings Tracker'!AB$1:AB$1001,'F6 - Savings Tracker'!$O$1:$O$1001,"Pay*")</f>
        <v>1584.9999999999998</v>
      </c>
      <c r="AE21" s="409">
        <f>SUMIFS('F6 - Savings Tracker'!AC$1:AC$1001,'F6 - Savings Tracker'!$O$1:$O$1001,"Pay*")</f>
        <v>1584.9999999999998</v>
      </c>
    </row>
    <row r="22" spans="15:44" ht="19" customHeight="1">
      <c r="O22" s="412">
        <v>44074</v>
      </c>
      <c r="P22" s="413">
        <f>IFERROR(
IF($D$2="TOTAL",
GETPIVOTDATA("Sum of "&amp;'Front Sheet and Checklist'!$C$5,'Ref.Staff'!$U$1,"mmm-yy",TEXT($O22,"mmm-yy")),
GETPIVOTDATA("Sum of "&amp;'Front Sheet and Checklist'!$C$5,'Ref.Staff'!$U$1,"Category",$D$2,"mmm-yy",TEXT($O22,"mmm-yy"))
),"")</f>
        <v>11679.598260000001</v>
      </c>
      <c r="Q22" s="413"/>
    </row>
    <row r="23" spans="15:44" ht="19" customHeight="1">
      <c r="O23" s="412">
        <v>44104</v>
      </c>
      <c r="P23" s="413">
        <f>IFERROR(
IF($D$2="TOTAL",
GETPIVOTDATA("Sum of "&amp;'Front Sheet and Checklist'!$C$5,'Ref.Staff'!$U$1,"mmm-yy",TEXT($O23,"mmm-yy")),
GETPIVOTDATA("Sum of "&amp;'Front Sheet and Checklist'!$C$5,'Ref.Staff'!$U$1,"Category",$D$2,"mmm-yy",TEXT($O23,"mmm-yy"))
),"")</f>
        <v>11677.099620000001</v>
      </c>
      <c r="Q23" s="413"/>
      <c r="S23" s="149" t="s">
        <v>1123</v>
      </c>
    </row>
    <row r="24" spans="15:44" ht="19" customHeight="1">
      <c r="O24" s="412">
        <v>44135</v>
      </c>
      <c r="P24" s="413">
        <f>IFERROR(
IF($D$2="TOTAL",
GETPIVOTDATA("Sum of "&amp;'Front Sheet and Checklist'!$C$5,'Ref.Staff'!$U$1,"mmm-yy",TEXT($O24,"mmm-yy")),
GETPIVOTDATA("Sum of "&amp;'Front Sheet and Checklist'!$C$5,'Ref.Staff'!$U$1,"Category",$D$2,"mmm-yy",TEXT($O24,"mmm-yy"))
),"")</f>
        <v>11704.606360000002</v>
      </c>
      <c r="Q24" s="413"/>
      <c r="S24" s="477" t="s">
        <v>1124</v>
      </c>
      <c r="T24" s="190" t="s">
        <v>282</v>
      </c>
      <c r="U24" s="190" t="s">
        <v>1125</v>
      </c>
      <c r="V24" s="190" t="s">
        <v>1126</v>
      </c>
      <c r="W24" s="190" t="s">
        <v>1127</v>
      </c>
      <c r="X24" s="190" t="s">
        <v>1128</v>
      </c>
      <c r="Y24" s="190" t="s">
        <v>1129</v>
      </c>
      <c r="Z24" s="190" t="s">
        <v>1130</v>
      </c>
    </row>
    <row r="25" spans="15:44" ht="19" customHeight="1">
      <c r="O25" s="412">
        <v>44165</v>
      </c>
      <c r="P25" s="413">
        <f>IFERROR(
IF($D$2="TOTAL",
GETPIVOTDATA("Sum of "&amp;'Front Sheet and Checklist'!$C$5,'Ref.Staff'!$U$1,"mmm-yy",TEXT($O25,"mmm-yy")),
GETPIVOTDATA("Sum of "&amp;'Front Sheet and Checklist'!$C$5,'Ref.Staff'!$U$1,"Category",$D$2,"mmm-yy",TEXT($O25,"mmm-yy"))
),"")</f>
        <v>11699.63314</v>
      </c>
      <c r="Q25" s="413"/>
      <c r="S25" s="408" t="s">
        <v>1131</v>
      </c>
      <c r="T25" s="409" t="e">
        <f t="shared" ref="T25:Z25" si="1">(T49+U49)/2</f>
        <v>#N/A</v>
      </c>
      <c r="U25" s="409" t="e">
        <f t="shared" si="1"/>
        <v>#N/A</v>
      </c>
      <c r="V25" s="409" t="e">
        <f t="shared" si="1"/>
        <v>#N/A</v>
      </c>
      <c r="W25" s="409" t="e">
        <f t="shared" si="1"/>
        <v>#N/A</v>
      </c>
      <c r="X25" s="409" t="e">
        <f t="shared" si="1"/>
        <v>#N/A</v>
      </c>
      <c r="Y25" s="409" t="e">
        <f t="shared" si="1"/>
        <v>#N/A</v>
      </c>
      <c r="Z25" s="409">
        <f t="shared" si="1"/>
        <v>0</v>
      </c>
    </row>
    <row r="26" spans="15:44" ht="19" customHeight="1">
      <c r="O26" s="412">
        <v>44196</v>
      </c>
      <c r="P26" s="413">
        <f>IFERROR(
IF($D$2="TOTAL",
GETPIVOTDATA("Sum of "&amp;'Front Sheet and Checklist'!$C$5,'Ref.Staff'!$U$1,"mmm-yy",TEXT($O26,"mmm-yy")),
GETPIVOTDATA("Sum of "&amp;'Front Sheet and Checklist'!$C$5,'Ref.Staff'!$U$1,"Category",$D$2,"mmm-yy",TEXT($O26,"mmm-yy"))
),"")</f>
        <v>11712.67211</v>
      </c>
      <c r="Q26" s="413"/>
      <c r="S26" s="408" t="s">
        <v>1132</v>
      </c>
      <c r="T26" s="409">
        <f>'F2 - Net Expenditure'!C35</f>
        <v>696762.38257000013</v>
      </c>
      <c r="U26" s="409">
        <f>SUM('F2 - Net Expenditure'!U35:W35)*4</f>
        <v>681859.29862814571</v>
      </c>
      <c r="V26" s="409">
        <f>SUM('F2 - Net Expenditure'!X35:Z35)*4</f>
        <v>681859.29862814571</v>
      </c>
      <c r="W26" s="409">
        <f>SUM('F2 - Net Expenditure'!AA35:AC35)*4</f>
        <v>681859.29862814571</v>
      </c>
      <c r="X26" s="409">
        <f>SUM('F2 - Net Expenditure'!AD35:AF35)*4</f>
        <v>681859.29862814571</v>
      </c>
      <c r="Y26" s="409">
        <f>'F2 - Net Expenditure'!E35</f>
        <v>0</v>
      </c>
      <c r="Z26" s="409">
        <f>'F2 - Net Expenditure'!F35</f>
        <v>0</v>
      </c>
    </row>
    <row r="27" spans="15:44" ht="19" customHeight="1">
      <c r="O27" s="412">
        <v>44227</v>
      </c>
      <c r="P27" s="413">
        <f>IFERROR(
IF($D$2="TOTAL",
GETPIVOTDATA("Sum of "&amp;'Front Sheet and Checklist'!$C$5,'Ref.Staff'!$U$1,"mmm-yy",TEXT($O27,"mmm-yy")),
GETPIVOTDATA("Sum of "&amp;'Front Sheet and Checklist'!$C$5,'Ref.Staff'!$U$1,"Category",$D$2,"mmm-yy",TEXT($O27,"mmm-yy"))
),"")</f>
        <v>11716.807259999998</v>
      </c>
      <c r="Q27" s="413"/>
      <c r="S27" s="408" t="s">
        <v>1133</v>
      </c>
      <c r="T27" s="409" t="e">
        <f>T26/T25</f>
        <v>#N/A</v>
      </c>
      <c r="U27" s="409" t="e">
        <f>U26/U25</f>
        <v>#N/A</v>
      </c>
      <c r="V27" s="409" t="e">
        <f t="shared" ref="V27:Z27" si="2">V26/V25</f>
        <v>#N/A</v>
      </c>
      <c r="W27" s="409" t="e">
        <f t="shared" si="2"/>
        <v>#N/A</v>
      </c>
      <c r="X27" s="409" t="e">
        <f t="shared" si="2"/>
        <v>#N/A</v>
      </c>
      <c r="Y27" s="409" t="e">
        <f t="shared" si="2"/>
        <v>#N/A</v>
      </c>
      <c r="Z27" s="409" t="e">
        <f t="shared" si="2"/>
        <v>#DIV/0!</v>
      </c>
    </row>
    <row r="28" spans="15:44" ht="19" customHeight="1">
      <c r="O28" s="412">
        <v>44255</v>
      </c>
      <c r="P28" s="413">
        <f>IFERROR(
IF($D$2="TOTAL",
GETPIVOTDATA("Sum of "&amp;'Front Sheet and Checklist'!$C$5,'Ref.Staff'!$U$1,"mmm-yy",TEXT($O28,"mmm-yy")),
GETPIVOTDATA("Sum of "&amp;'Front Sheet and Checklist'!$C$5,'Ref.Staff'!$U$1,"Category",$D$2,"mmm-yy",TEXT($O28,"mmm-yy"))
),"")</f>
        <v>11788.898009999999</v>
      </c>
      <c r="Q28" s="413"/>
    </row>
    <row r="29" spans="15:44" ht="19" customHeight="1">
      <c r="O29" s="412">
        <v>44286</v>
      </c>
      <c r="P29" s="413">
        <f>IFERROR(
IF($D$2="TOTAL",
GETPIVOTDATA("Sum of "&amp;'Front Sheet and Checklist'!$C$5,'Ref.Staff'!$U$1,"mmm-yy",TEXT($O29,"mmm-yy")),
GETPIVOTDATA("Sum of "&amp;'Front Sheet and Checklist'!$C$5,'Ref.Staff'!$U$1,"Category",$D$2,"mmm-yy",TEXT($O29,"mmm-yy"))
),"")</f>
        <v>11830.380659999999</v>
      </c>
      <c r="Q29" s="413"/>
      <c r="S29" s="149" t="s">
        <v>1134</v>
      </c>
    </row>
    <row r="30" spans="15:44" ht="19" customHeight="1">
      <c r="O30" s="412">
        <v>44316</v>
      </c>
      <c r="P30" s="413">
        <f>IFERROR(
IF($D$2="TOTAL",
GETPIVOTDATA("Sum of "&amp;'Front Sheet and Checklist'!$C$5,'Ref.Staff'!$U$1,"mmm-yy",TEXT($O30,"mmm-yy")),
GETPIVOTDATA("Sum of "&amp;'Front Sheet and Checklist'!$C$5,'Ref.Staff'!$U$1,"Category",$D$2,"mmm-yy",TEXT($O30,"mmm-yy"))
),"")</f>
        <v>11763.29365</v>
      </c>
      <c r="Q30" s="413"/>
      <c r="S30" s="404"/>
      <c r="T30" s="266">
        <v>45016</v>
      </c>
      <c r="U30" s="266">
        <v>45046</v>
      </c>
      <c r="V30" s="266">
        <v>45077</v>
      </c>
      <c r="W30" s="266">
        <v>45107</v>
      </c>
      <c r="X30" s="266">
        <v>45138</v>
      </c>
      <c r="Y30" s="266">
        <v>45169</v>
      </c>
      <c r="Z30" s="266">
        <v>45199</v>
      </c>
      <c r="AA30" s="266">
        <v>45230</v>
      </c>
      <c r="AB30" s="266">
        <v>45260</v>
      </c>
      <c r="AC30" s="266">
        <v>45291</v>
      </c>
      <c r="AD30" s="266">
        <v>45322</v>
      </c>
      <c r="AE30" s="266">
        <v>45351</v>
      </c>
      <c r="AF30" s="266">
        <v>45382</v>
      </c>
      <c r="AG30" s="266">
        <v>45412</v>
      </c>
      <c r="AH30" s="266">
        <v>45443</v>
      </c>
      <c r="AI30" s="266">
        <v>45473</v>
      </c>
      <c r="AJ30" s="266">
        <v>45504</v>
      </c>
      <c r="AK30" s="266">
        <v>45535</v>
      </c>
      <c r="AL30" s="266">
        <v>45565</v>
      </c>
      <c r="AM30" s="266">
        <v>45596</v>
      </c>
      <c r="AN30" s="266">
        <v>45626</v>
      </c>
      <c r="AO30" s="266">
        <v>45657</v>
      </c>
      <c r="AP30" s="266">
        <v>45688</v>
      </c>
      <c r="AQ30" s="266">
        <v>45716</v>
      </c>
      <c r="AR30" s="266">
        <v>45747</v>
      </c>
    </row>
    <row r="31" spans="15:44" ht="19" customHeight="1">
      <c r="O31" s="412">
        <v>44347</v>
      </c>
      <c r="P31" s="413">
        <f>IFERROR(
IF($D$2="TOTAL",
GETPIVOTDATA("Sum of "&amp;'Front Sheet and Checklist'!$C$5,'Ref.Staff'!$U$1,"mmm-yy",TEXT($O31,"mmm-yy")),
GETPIVOTDATA("Sum of "&amp;'Front Sheet and Checklist'!$C$5,'Ref.Staff'!$U$1,"Category",$D$2,"mmm-yy",TEXT($O31,"mmm-yy"))
),"")</f>
        <v>11747.517959999999</v>
      </c>
      <c r="Q31" s="413"/>
      <c r="S31" s="408" t="s">
        <v>338</v>
      </c>
      <c r="T31" s="408"/>
      <c r="U31" s="409">
        <f>'F2 - Net Expenditure'!H37</f>
        <v>3315.4850799999995</v>
      </c>
      <c r="V31" s="409">
        <f>'F2 - Net Expenditure'!I37</f>
        <v>3533.2210599999994</v>
      </c>
      <c r="W31" s="409">
        <f>'F2 - Net Expenditure'!J37</f>
        <v>3713.5836499999996</v>
      </c>
      <c r="X31" s="409">
        <f>'F2 - Net Expenditure'!K37</f>
        <v>3342.4333500000002</v>
      </c>
      <c r="Y31" s="409">
        <f>'F2 - Net Expenditure'!L37</f>
        <v>3204.3601799999997</v>
      </c>
      <c r="Z31" s="409">
        <f>'F2 - Net Expenditure'!M37</f>
        <v>2472.1860000000001</v>
      </c>
      <c r="AA31" s="409">
        <f>'F2 - Net Expenditure'!N37</f>
        <v>2252.3696999999997</v>
      </c>
      <c r="AB31" s="409">
        <f>'F2 - Net Expenditure'!O37</f>
        <v>2937.1777400000005</v>
      </c>
      <c r="AC31" s="409">
        <f>'F2 - Net Expenditure'!P37</f>
        <v>2546.0269899999994</v>
      </c>
      <c r="AD31" s="409">
        <f>'F2 - Net Expenditure'!Q37</f>
        <v>2494.2070800000006</v>
      </c>
      <c r="AE31" s="409">
        <f>'F2 - Net Expenditure'!R37</f>
        <v>2375.9491400000002</v>
      </c>
      <c r="AF31" s="409">
        <f>'F2 - Net Expenditure'!S37</f>
        <v>2472.0610700000002</v>
      </c>
      <c r="AG31" s="408">
        <f>'F2 - Net Expenditure'!U37</f>
        <v>2471.58842</v>
      </c>
      <c r="AH31" s="408">
        <f>'F2 - Net Expenditure'!V37</f>
        <v>2471.58842</v>
      </c>
      <c r="AI31" s="408">
        <f>'F2 - Net Expenditure'!W37</f>
        <v>2471.58842</v>
      </c>
      <c r="AJ31" s="408">
        <f>'F2 - Net Expenditure'!X37</f>
        <v>2471.58842</v>
      </c>
      <c r="AK31" s="408">
        <f>'F2 - Net Expenditure'!Y37</f>
        <v>2471.58842</v>
      </c>
      <c r="AL31" s="408">
        <f>'F2 - Net Expenditure'!Z37</f>
        <v>2471.58842</v>
      </c>
      <c r="AM31" s="408">
        <f>'F2 - Net Expenditure'!AA37</f>
        <v>2471.58842</v>
      </c>
      <c r="AN31" s="408">
        <f>'F2 - Net Expenditure'!AB37</f>
        <v>2471.58842</v>
      </c>
      <c r="AO31" s="408">
        <f>'F2 - Net Expenditure'!AC37</f>
        <v>2471.58842</v>
      </c>
      <c r="AP31" s="408">
        <f>'F2 - Net Expenditure'!AD37</f>
        <v>2471.58842</v>
      </c>
      <c r="AQ31" s="408">
        <f>'F2 - Net Expenditure'!AE37</f>
        <v>2471.58842</v>
      </c>
      <c r="AR31" s="408">
        <f>'F2 - Net Expenditure'!AF37</f>
        <v>2471.58842</v>
      </c>
    </row>
    <row r="32" spans="15:44" ht="19" customHeight="1">
      <c r="O32" s="412">
        <v>44377</v>
      </c>
      <c r="P32" s="413">
        <f>IFERROR(
IF($D$2="TOTAL",
GETPIVOTDATA("Sum of "&amp;'Front Sheet and Checklist'!$C$5,'Ref.Staff'!$U$1,"mmm-yy",TEXT($O32,"mmm-yy")),
GETPIVOTDATA("Sum of "&amp;'Front Sheet and Checklist'!$C$5,'Ref.Staff'!$U$1,"Category",$D$2,"mmm-yy",TEXT($O32,"mmm-yy"))
),"")</f>
        <v>11773.27693</v>
      </c>
      <c r="Q32" s="413"/>
      <c r="S32" s="408" t="s">
        <v>1135</v>
      </c>
      <c r="T32" s="409">
        <f>INDEX('Workforce WTE'!$C$50:$J$61,MATCH("Total",'Workforce WTE'!$B$50:$B$61,0),MATCH(T$6,'Workforce WTE'!$C$2:$J$2,0))</f>
        <v>508.85500000000002</v>
      </c>
      <c r="U32" s="409">
        <f t="shared" ref="U32:AE32" si="3">($AF32-$T32)/12+T32</f>
        <v>502.60791666666671</v>
      </c>
      <c r="V32" s="409">
        <f t="shared" si="3"/>
        <v>496.3608333333334</v>
      </c>
      <c r="W32" s="409">
        <f t="shared" si="3"/>
        <v>490.1137500000001</v>
      </c>
      <c r="X32" s="409">
        <f t="shared" si="3"/>
        <v>483.86666666666679</v>
      </c>
      <c r="Y32" s="409">
        <f t="shared" si="3"/>
        <v>477.61958333333348</v>
      </c>
      <c r="Z32" s="409">
        <f t="shared" si="3"/>
        <v>471.37250000000017</v>
      </c>
      <c r="AA32" s="409">
        <f t="shared" si="3"/>
        <v>465.12541666666687</v>
      </c>
      <c r="AB32" s="409">
        <f t="shared" si="3"/>
        <v>458.87833333333356</v>
      </c>
      <c r="AC32" s="409">
        <f t="shared" si="3"/>
        <v>452.63125000000025</v>
      </c>
      <c r="AD32" s="409">
        <f t="shared" si="3"/>
        <v>446.38416666666694</v>
      </c>
      <c r="AE32" s="409">
        <f t="shared" si="3"/>
        <v>440.13708333333363</v>
      </c>
      <c r="AF32" s="409">
        <f>'Workforce WTE'!D61</f>
        <v>433.89</v>
      </c>
      <c r="AG32" s="409">
        <f>(AI32-AF32)/3+AF32</f>
        <v>390.00666666666666</v>
      </c>
      <c r="AH32" s="409">
        <f>(AI32-AF32)/3+AG32</f>
        <v>346.12333333333333</v>
      </c>
      <c r="AI32" s="409">
        <f>'Workforce WTE'!E61</f>
        <v>302.24</v>
      </c>
      <c r="AJ32" s="409">
        <f>(AL32-AI32)/3+AI32</f>
        <v>276.04333333333335</v>
      </c>
      <c r="AK32" s="409">
        <f>(AL32-AI32)/3+AJ32</f>
        <v>249.84666666666669</v>
      </c>
      <c r="AL32" s="409">
        <f>'Workforce WTE'!F61</f>
        <v>223.65000000000003</v>
      </c>
      <c r="AM32" s="409">
        <f>(AO32-AL32)/3+AL32</f>
        <v>239.89333333333335</v>
      </c>
      <c r="AN32" s="409">
        <f>(AO32-AL32)/3+AM32</f>
        <v>256.13666666666666</v>
      </c>
      <c r="AO32" s="409">
        <f>'Workforce WTE'!G61</f>
        <v>272.38</v>
      </c>
      <c r="AP32" s="409">
        <f>(AR32-AO32)/3+AO32</f>
        <v>257.56333333333333</v>
      </c>
      <c r="AQ32" s="409">
        <f>(AR32-AO32)/3+AP32</f>
        <v>242.74666666666667</v>
      </c>
      <c r="AR32" s="409">
        <f>'Workforce WTE'!H61</f>
        <v>227.93</v>
      </c>
    </row>
    <row r="33" spans="15:27" ht="19" customHeight="1">
      <c r="O33" s="412">
        <v>44408</v>
      </c>
      <c r="P33" s="413">
        <f>IFERROR(
IF($D$2="TOTAL",
GETPIVOTDATA("Sum of "&amp;'Front Sheet and Checklist'!$C$5,'Ref.Staff'!$U$1,"mmm-yy",TEXT($O33,"mmm-yy")),
GETPIVOTDATA("Sum of "&amp;'Front Sheet and Checklist'!$C$5,'Ref.Staff'!$U$1,"Category",$D$2,"mmm-yy",TEXT($O33,"mmm-yy"))
),"")</f>
        <v>11728.973409999999</v>
      </c>
      <c r="Q33" s="413"/>
    </row>
    <row r="34" spans="15:27" ht="19" customHeight="1">
      <c r="O34" s="412">
        <v>44439</v>
      </c>
      <c r="P34" s="413">
        <f>IFERROR(
IF($D$2="TOTAL",
GETPIVOTDATA("Sum of "&amp;'Front Sheet and Checklist'!$C$5,'Ref.Staff'!$U$1,"mmm-yy",TEXT($O34,"mmm-yy")),
GETPIVOTDATA("Sum of "&amp;'Front Sheet and Checklist'!$C$5,'Ref.Staff'!$U$1,"Category",$D$2,"mmm-yy",TEXT($O34,"mmm-yy"))
),"")</f>
        <v>11657.292000000001</v>
      </c>
      <c r="Q34" s="413"/>
      <c r="S34" s="149" t="s">
        <v>1136</v>
      </c>
      <c r="V34" s="475" t="s">
        <v>1137</v>
      </c>
      <c r="W34" s="476"/>
      <c r="X34" s="149"/>
      <c r="Y34" s="475" t="s">
        <v>1138</v>
      </c>
      <c r="Z34" s="476"/>
    </row>
    <row r="35" spans="15:27" ht="19" customHeight="1">
      <c r="O35" s="412">
        <v>44469</v>
      </c>
      <c r="P35" s="413">
        <f>IFERROR(
IF($D$2="TOTAL",
GETPIVOTDATA("Sum of "&amp;'Front Sheet and Checklist'!$C$5,'Ref.Staff'!$U$1,"mmm-yy",TEXT($O35,"mmm-yy")),
GETPIVOTDATA("Sum of "&amp;'Front Sheet and Checklist'!$C$5,'Ref.Staff'!$U$1,"Category",$D$2,"mmm-yy",TEXT($O35,"mmm-yy"))
),"")</f>
        <v>11639.24388</v>
      </c>
      <c r="Q35" s="413"/>
      <c r="V35" s="473" t="s">
        <v>282</v>
      </c>
      <c r="W35" s="473" t="s">
        <v>248</v>
      </c>
      <c r="Y35" s="474" t="s">
        <v>282</v>
      </c>
      <c r="Z35" s="474" t="s">
        <v>248</v>
      </c>
    </row>
    <row r="36" spans="15:27" ht="19" customHeight="1">
      <c r="O36" s="412">
        <v>44500</v>
      </c>
      <c r="P36" s="413">
        <f>IFERROR(
IF($D$2="TOTAL",
GETPIVOTDATA("Sum of "&amp;'Front Sheet and Checklist'!$C$5,'Ref.Staff'!$U$1,"mmm-yy",TEXT($O36,"mmm-yy")),
GETPIVOTDATA("Sum of "&amp;'Front Sheet and Checklist'!$C$5,'Ref.Staff'!$U$1,"Category",$D$2,"mmm-yy",TEXT($O36,"mmm-yy"))
),"")</f>
        <v>11698.34023</v>
      </c>
      <c r="Q36" s="413"/>
      <c r="S36" s="468" t="s">
        <v>276</v>
      </c>
      <c r="T36" s="466"/>
      <c r="U36" s="467"/>
      <c r="V36" s="457">
        <f>'F8 - Pay Split'!F41</f>
        <v>0.1348686294582081</v>
      </c>
      <c r="W36" s="411">
        <f>'F8 - Pay Split'!G41</f>
        <v>0.1357950516108215</v>
      </c>
      <c r="Y36" s="411">
        <f>'Workforce WTE'!M65</f>
        <v>0.19683077760690884</v>
      </c>
      <c r="Z36" s="411">
        <f>'Workforce WTE'!N65</f>
        <v>0.18282957677107953</v>
      </c>
    </row>
    <row r="37" spans="15:27" ht="19" customHeight="1">
      <c r="O37" s="412">
        <v>44530</v>
      </c>
      <c r="P37" s="413">
        <f>IFERROR(
IF($D$2="TOTAL",
GETPIVOTDATA("Sum of "&amp;'Front Sheet and Checklist'!$C$5,'Ref.Staff'!$U$1,"mmm-yy",TEXT($O37,"mmm-yy")),
GETPIVOTDATA("Sum of "&amp;'Front Sheet and Checklist'!$C$5,'Ref.Staff'!$U$1,"Category",$D$2,"mmm-yy",TEXT($O37,"mmm-yy"))
),"")</f>
        <v>11724.386759999999</v>
      </c>
      <c r="Q37" s="413"/>
      <c r="S37" s="468" t="s">
        <v>277</v>
      </c>
      <c r="T37" s="466"/>
      <c r="U37" s="467"/>
      <c r="V37" s="457">
        <f>'F8 - Pay Split'!F42</f>
        <v>0.24388400058061385</v>
      </c>
      <c r="W37" s="411">
        <f>'F8 - Pay Split'!G42</f>
        <v>0.24332798154868157</v>
      </c>
      <c r="Y37" s="411">
        <f>'Workforce WTE'!M66</f>
        <v>7.636495900921178E-2</v>
      </c>
      <c r="Z37" s="411">
        <f>'Workforce WTE'!N66</f>
        <v>7.6276720391303093E-2</v>
      </c>
    </row>
    <row r="38" spans="15:27" ht="19" customHeight="1">
      <c r="O38" s="412">
        <v>44561</v>
      </c>
      <c r="P38" s="413">
        <f>IFERROR(
IF($D$2="TOTAL",
GETPIVOTDATA("Sum of "&amp;'Front Sheet and Checklist'!$C$5,'Ref.Staff'!$U$1,"mmm-yy",TEXT($O38,"mmm-yy")),
GETPIVOTDATA("Sum of "&amp;'Front Sheet and Checklist'!$C$5,'Ref.Staff'!$U$1,"Category",$D$2,"mmm-yy",TEXT($O38,"mmm-yy"))
),"")</f>
        <v>11739.967180000001</v>
      </c>
      <c r="Q38" s="413"/>
      <c r="S38" s="468" t="s">
        <v>278</v>
      </c>
      <c r="T38" s="466"/>
      <c r="U38" s="467"/>
      <c r="V38" s="457">
        <f>'F8 - Pay Split'!F43</f>
        <v>0.29984276910910856</v>
      </c>
      <c r="W38" s="411">
        <f>'F8 - Pay Split'!G43</f>
        <v>0.29679946952184699</v>
      </c>
      <c r="Y38" s="411">
        <f>'Workforce WTE'!M67</f>
        <v>0.31275765561315255</v>
      </c>
      <c r="Z38" s="411">
        <f>'Workforce WTE'!N67</f>
        <v>0.3130648100386908</v>
      </c>
    </row>
    <row r="39" spans="15:27" ht="19" customHeight="1">
      <c r="O39" s="412">
        <v>44592</v>
      </c>
      <c r="P39" s="413">
        <f>IFERROR(
IF($D$2="TOTAL",
GETPIVOTDATA("Sum of "&amp;'Front Sheet and Checklist'!$C$5,'Ref.Staff'!$U$1,"mmm-yy",TEXT($O39,"mmm-yy")),
GETPIVOTDATA("Sum of "&amp;'Front Sheet and Checklist'!$C$5,'Ref.Staff'!$U$1,"Category",$D$2,"mmm-yy",TEXT($O39,"mmm-yy"))
),"")</f>
        <v>11779.777070000002</v>
      </c>
      <c r="Q39" s="413"/>
      <c r="S39" s="468" t="s">
        <v>74</v>
      </c>
      <c r="T39" s="466"/>
      <c r="U39" s="467"/>
      <c r="V39" s="457">
        <f>'F8 - Pay Split'!F44</f>
        <v>3.1686731360912664E-2</v>
      </c>
      <c r="W39" s="411">
        <f>'F8 - Pay Split'!G44</f>
        <v>3.1892067175117146E-2</v>
      </c>
      <c r="Y39" s="411">
        <f>'Workforce WTE'!M68</f>
        <v>3.2200082427077045E-2</v>
      </c>
      <c r="Z39" s="411">
        <f>'Workforce WTE'!N68</f>
        <v>3.1124171077139624E-2</v>
      </c>
    </row>
    <row r="40" spans="15:27" ht="19" customHeight="1">
      <c r="O40" s="412">
        <v>44620</v>
      </c>
      <c r="P40" s="413">
        <f>IFERROR(
IF($D$2="TOTAL",
GETPIVOTDATA("Sum of "&amp;'Front Sheet and Checklist'!$C$5,'Ref.Staff'!$U$1,"mmm-yy",TEXT($O40,"mmm-yy")),
GETPIVOTDATA("Sum of "&amp;'Front Sheet and Checklist'!$C$5,'Ref.Staff'!$U$1,"Category",$D$2,"mmm-yy",TEXT($O40,"mmm-yy"))
),"")</f>
        <v>11794.61558</v>
      </c>
      <c r="Q40" s="413"/>
      <c r="S40" s="468" t="s">
        <v>886</v>
      </c>
      <c r="T40" s="466"/>
      <c r="U40" s="467"/>
      <c r="V40" s="457">
        <f>'F8 - Pay Split'!F45</f>
        <v>0.13970322312918648</v>
      </c>
      <c r="W40" s="411">
        <f>'F8 - Pay Split'!G45</f>
        <v>0.14104519814152583</v>
      </c>
      <c r="Y40" s="411">
        <f>'Workforce WTE'!M69</f>
        <v>0.19945068195753152</v>
      </c>
      <c r="Z40" s="411">
        <f>'Workforce WTE'!N69</f>
        <v>0.20415003967154477</v>
      </c>
    </row>
    <row r="41" spans="15:27" ht="19" customHeight="1">
      <c r="O41" s="412">
        <v>44651</v>
      </c>
      <c r="P41" s="413">
        <f>IFERROR(
IF($D$2="TOTAL",
GETPIVOTDATA("Sum of "&amp;'Front Sheet and Checklist'!$C$5,'Ref.Staff'!$U$1,"mmm-yy",TEXT($O41,"mmm-yy")),
GETPIVOTDATA("Sum of "&amp;'Front Sheet and Checklist'!$C$5,'Ref.Staff'!$U$1,"Category",$D$2,"mmm-yy",TEXT($O41,"mmm-yy"))
),"")</f>
        <v>11841.079119999999</v>
      </c>
      <c r="Q41" s="413"/>
      <c r="S41" s="468" t="s">
        <v>69</v>
      </c>
      <c r="T41" s="466"/>
      <c r="U41" s="467"/>
      <c r="V41" s="457">
        <f>'F8 - Pay Split'!F46</f>
        <v>7.0404003754193464E-2</v>
      </c>
      <c r="W41" s="411">
        <f>'F8 - Pay Split'!G46</f>
        <v>7.0898125998884579E-2</v>
      </c>
      <c r="Y41" s="411">
        <f>'Workforce WTE'!M70</f>
        <v>7.4230248229046156E-2</v>
      </c>
      <c r="Z41" s="411">
        <f>'Workforce WTE'!N70</f>
        <v>7.34537568494327E-2</v>
      </c>
    </row>
    <row r="42" spans="15:27" ht="19" customHeight="1">
      <c r="O42" s="412">
        <v>44681</v>
      </c>
      <c r="P42" s="413">
        <f>IFERROR(
IF($D$2="TOTAL",
GETPIVOTDATA("Sum of "&amp;'Front Sheet and Checklist'!$C$5,'Ref.Staff'!$U$1,"mmm-yy",TEXT($O42,"mmm-yy")),
GETPIVOTDATA("Sum of "&amp;'Front Sheet and Checklist'!$C$5,'Ref.Staff'!$U$1,"Category",$D$2,"mmm-yy",TEXT($O42,"mmm-yy"))
),"")</f>
        <v>11705.22565</v>
      </c>
      <c r="Q42" s="413"/>
      <c r="S42" s="468" t="s">
        <v>279</v>
      </c>
      <c r="T42" s="466"/>
      <c r="U42" s="467"/>
      <c r="V42" s="457">
        <f>'F8 - Pay Split'!F47</f>
        <v>3.0565607036672882E-2</v>
      </c>
      <c r="W42" s="411">
        <f>'F8 - Pay Split'!G47</f>
        <v>3.0835330663314141E-2</v>
      </c>
      <c r="Y42" s="411">
        <f>'Workforce WTE'!M71</f>
        <v>2.9067641793593026E-2</v>
      </c>
      <c r="Z42" s="411">
        <f>'Workforce WTE'!N71</f>
        <v>2.8280469448048458E-2</v>
      </c>
    </row>
    <row r="43" spans="15:27" ht="19" customHeight="1">
      <c r="O43" s="412">
        <v>44712</v>
      </c>
      <c r="P43" s="413">
        <f>IFERROR(
IF($D$2="TOTAL",
GETPIVOTDATA("Sum of "&amp;'Front Sheet and Checklist'!$C$5,'Ref.Staff'!$U$1,"mmm-yy",TEXT($O43,"mmm-yy")),
GETPIVOTDATA("Sum of "&amp;'Front Sheet and Checklist'!$C$5,'Ref.Staff'!$U$1,"Category",$D$2,"mmm-yy",TEXT($O43,"mmm-yy"))
),"")</f>
        <v>11694.540730000001</v>
      </c>
      <c r="Q43" s="413"/>
      <c r="S43" s="468" t="s">
        <v>280</v>
      </c>
      <c r="T43" s="466"/>
      <c r="U43" s="467"/>
      <c r="V43" s="457">
        <f>'F8 - Pay Split'!F48</f>
        <v>4.9031669336857986E-2</v>
      </c>
      <c r="W43" s="411">
        <f>'F8 - Pay Split'!G48</f>
        <v>4.9393324855955913E-2</v>
      </c>
      <c r="Y43" s="411">
        <f>'Workforce WTE'!M72</f>
        <v>7.9097953363479162E-2</v>
      </c>
      <c r="Z43" s="411">
        <f>'Workforce WTE'!N72</f>
        <v>7.3858403035735654E-2</v>
      </c>
    </row>
    <row r="44" spans="15:27" ht="19" customHeight="1">
      <c r="O44" s="412">
        <v>44742</v>
      </c>
      <c r="P44" s="413">
        <f>IFERROR(
IF($D$2="TOTAL",
GETPIVOTDATA("Sum of "&amp;'Front Sheet and Checklist'!$C$5,'Ref.Staff'!$U$1,"mmm-yy",TEXT($O44,"mmm-yy")),
GETPIVOTDATA("Sum of "&amp;'Front Sheet and Checklist'!$C$5,'Ref.Staff'!$U$1,"Category",$D$2,"mmm-yy",TEXT($O44,"mmm-yy"))
),"")</f>
        <v>11718.423299999999</v>
      </c>
      <c r="Q44" s="413"/>
      <c r="S44" s="468" t="s">
        <v>281</v>
      </c>
      <c r="T44" s="466"/>
      <c r="U44" s="467"/>
      <c r="V44" s="457">
        <f>'F8 - Pay Split'!F49</f>
        <v>1.3366234245766492E-5</v>
      </c>
      <c r="W44" s="411">
        <f>'F8 - Pay Split'!G49</f>
        <v>1.3450483852401064E-5</v>
      </c>
      <c r="Y44" s="411">
        <f>'Workforce WTE'!M73</f>
        <v>0</v>
      </c>
      <c r="Z44" s="411">
        <f>'Workforce WTE'!N73</f>
        <v>0</v>
      </c>
    </row>
    <row r="45" spans="15:27">
      <c r="O45" s="412">
        <v>44773</v>
      </c>
      <c r="P45" s="413">
        <f>IFERROR(
IF($D$2="TOTAL",
GETPIVOTDATA("Sum of "&amp;'Front Sheet and Checklist'!$C$5,'Ref.Staff'!$U$1,"mmm-yy",TEXT($O45,"mmm-yy")),
GETPIVOTDATA("Sum of "&amp;'Front Sheet and Checklist'!$C$5,'Ref.Staff'!$U$1,"Category",$D$2,"mmm-yy",TEXT($O45,"mmm-yy"))
),"")</f>
        <v>11670.374519999999</v>
      </c>
      <c r="Q45" s="413"/>
      <c r="S45" s="469" t="s">
        <v>890</v>
      </c>
      <c r="T45" s="143"/>
      <c r="U45" s="142"/>
      <c r="V45" s="457">
        <f>'F8 - Pay Split'!F50</f>
        <v>1</v>
      </c>
      <c r="W45" s="411">
        <f>'F8 - Pay Split'!G50</f>
        <v>1</v>
      </c>
      <c r="Y45" s="411">
        <f>'Workforce WTE'!M74</f>
        <v>0</v>
      </c>
      <c r="Z45" s="411">
        <f>'Workforce WTE'!N74</f>
        <v>1.696205271702533E-2</v>
      </c>
    </row>
    <row r="46" spans="15:27">
      <c r="O46" s="412">
        <v>44804</v>
      </c>
      <c r="P46" s="413">
        <f>IFERROR(
IF($D$2="TOTAL",
GETPIVOTDATA("Sum of "&amp;'Front Sheet and Checklist'!$C$5,'Ref.Staff'!$U$1,"mmm-yy",TEXT($O46,"mmm-yy")),
GETPIVOTDATA("Sum of "&amp;'Front Sheet and Checklist'!$C$5,'Ref.Staff'!$U$1,"Category",$D$2,"mmm-yy",TEXT($O46,"mmm-yy"))
),"")</f>
        <v>11669.7111</v>
      </c>
      <c r="Q46" s="413"/>
    </row>
    <row r="47" spans="15:27">
      <c r="O47" s="412">
        <v>44834</v>
      </c>
      <c r="P47" s="413">
        <f>IFERROR(
IF($D$2="TOTAL",
GETPIVOTDATA("Sum of "&amp;'Front Sheet and Checklist'!$C$5,'Ref.Staff'!$U$1,"mmm-yy",TEXT($O47,"mmm-yy")),
GETPIVOTDATA("Sum of "&amp;'Front Sheet and Checklist'!$C$5,'Ref.Staff'!$U$1,"Category",$D$2,"mmm-yy",TEXT($O47,"mmm-yy"))
),"")</f>
        <v>11713.347460000001</v>
      </c>
      <c r="Q47" s="413"/>
    </row>
    <row r="48" spans="15:27" ht="21">
      <c r="O48" s="412">
        <v>44865</v>
      </c>
      <c r="P48" s="413">
        <f>IFERROR(
IF($D$2="TOTAL",
GETPIVOTDATA("Sum of "&amp;'Front Sheet and Checklist'!$C$5,'Ref.Staff'!$U$1,"mmm-yy",TEXT($O48,"mmm-yy")),
GETPIVOTDATA("Sum of "&amp;'Front Sheet and Checklist'!$C$5,'Ref.Staff'!$U$1,"Category",$D$2,"mmm-yy",TEXT($O48,"mmm-yy"))
),"")</f>
        <v>11864.863829999998</v>
      </c>
      <c r="Q48" s="413"/>
      <c r="S48" s="404"/>
      <c r="T48" s="455" t="s">
        <v>269</v>
      </c>
      <c r="U48" s="455" t="s">
        <v>270</v>
      </c>
      <c r="V48" s="456" t="s">
        <v>271</v>
      </c>
      <c r="W48" s="456" t="s">
        <v>272</v>
      </c>
      <c r="X48" s="456" t="s">
        <v>273</v>
      </c>
      <c r="Y48" s="456" t="s">
        <v>274</v>
      </c>
      <c r="Z48" s="455" t="s">
        <v>264</v>
      </c>
      <c r="AA48" s="455" t="s">
        <v>265</v>
      </c>
    </row>
    <row r="49" spans="15:27">
      <c r="O49" s="412">
        <v>44895</v>
      </c>
      <c r="P49" s="413">
        <f>IFERROR(
IF($D$2="TOTAL",
GETPIVOTDATA("Sum of "&amp;'Front Sheet and Checklist'!$C$5,'Ref.Staff'!$U$1,"mmm-yy",TEXT($O49,"mmm-yy")),
GETPIVOTDATA("Sum of "&amp;'Front Sheet and Checklist'!$C$5,'Ref.Staff'!$U$1,"Category",$D$2,"mmm-yy",TEXT($O49,"mmm-yy"))
),"")</f>
        <v>11967.810469999999</v>
      </c>
      <c r="Q49" s="413"/>
      <c r="S49" s="408" t="s">
        <v>1139</v>
      </c>
      <c r="T49" s="409">
        <f>INDEX('Workforce WTE'!$C$21:$J$33,MATCH($D$2,'Workforce WTE'!$B$21:$B$33,0),MATCH(T$6,'Workforce WTE'!$C$2:$J$2,0))</f>
        <v>12122.317190000025</v>
      </c>
      <c r="U49" s="409" t="e">
        <f>INDEX('Workforce WTE'!$C$21:$J$33,MATCH($D$2,'Workforce WTE'!$B$21:$B$33,0),MATCH(U$6,'Workforce WTE'!$C$2:$J$2,0))</f>
        <v>#N/A</v>
      </c>
      <c r="V49" s="409" t="e">
        <f>INDEX('Workforce WTE'!$C$21:$J$33,MATCH($D$2,'Workforce WTE'!$B$21:$B$33,0),MATCH(V$6,'Workforce WTE'!$C$2:$J$2,0))</f>
        <v>#N/A</v>
      </c>
      <c r="W49" s="409" t="e">
        <f>INDEX('Workforce WTE'!$C$21:$J$33,MATCH($D$2,'Workforce WTE'!$B$21:$B$33,0),MATCH(W$6,'Workforce WTE'!$C$2:$J$2,0))</f>
        <v>#N/A</v>
      </c>
      <c r="X49" s="409" t="e">
        <f>INDEX('Workforce WTE'!$C$21:$J$33,MATCH($D$2,'Workforce WTE'!$B$21:$B$33,0),MATCH(X$6,'Workforce WTE'!$C$2:$J$2,0))</f>
        <v>#N/A</v>
      </c>
      <c r="Y49" s="409" t="e">
        <f>INDEX('Workforce WTE'!$C$21:$J$33,MATCH($D$2,'Workforce WTE'!$B$21:$B$33,0),MATCH(Y$6,'Workforce WTE'!$C$2:$J$2,0))</f>
        <v>#N/A</v>
      </c>
      <c r="Z49" s="409">
        <f>INDEX('Workforce WTE'!$C$21:$J$33,MATCH($D$2,'Workforce WTE'!$B$21:$B$33,0),MATCH(Z$6,'Workforce WTE'!$C$2:$J$2,0))</f>
        <v>0</v>
      </c>
      <c r="AA49" s="409">
        <f>INDEX('Workforce WTE'!$C$21:$J$33,MATCH($D$2,'Workforce WTE'!$B$21:$B$33,0),MATCH(AA$6,'Workforce WTE'!$C$2:$J$2,0))</f>
        <v>0</v>
      </c>
    </row>
    <row r="50" spans="15:27">
      <c r="O50" s="412">
        <v>44926</v>
      </c>
      <c r="P50" s="413">
        <f>IFERROR(
IF($D$2="TOTAL",
GETPIVOTDATA("Sum of "&amp;'Front Sheet and Checklist'!$C$5,'Ref.Staff'!$U$1,"mmm-yy",TEXT($O50,"mmm-yy")),
GETPIVOTDATA("Sum of "&amp;'Front Sheet and Checklist'!$C$5,'Ref.Staff'!$U$1,"Category",$D$2,"mmm-yy",TEXT($O50,"mmm-yy"))
),"")</f>
        <v>11996.996690000002</v>
      </c>
      <c r="Q50" s="413"/>
      <c r="S50" s="408" t="s">
        <v>1140</v>
      </c>
      <c r="T50" s="408">
        <f>INDEX('Workforce WTE'!$C$36:$J$47,MATCH($D$2,'Workforce WTE'!$B$36:$B$47,0),MATCH(T$6,'Workforce WTE'!$C$2:$J$2,0))</f>
        <v>160.56</v>
      </c>
      <c r="U50" s="408" t="e">
        <f>INDEX('Workforce WTE'!$C$36:$J$47,MATCH($D$2,'Workforce WTE'!$B$36:$B$47,0),MATCH(U$6,'Workforce WTE'!$C$2:$J$2,0))</f>
        <v>#N/A</v>
      </c>
      <c r="V50" s="408" t="e">
        <f>INDEX('Workforce WTE'!$C$36:$J$47,MATCH($D$2,'Workforce WTE'!$B$36:$B$47,0),MATCH(V$6,'Workforce WTE'!$C$2:$J$2,0))</f>
        <v>#N/A</v>
      </c>
      <c r="W50" s="408" t="e">
        <f>INDEX('Workforce WTE'!$C$36:$J$47,MATCH($D$2,'Workforce WTE'!$B$36:$B$47,0),MATCH(W$6,'Workforce WTE'!$C$2:$J$2,0))</f>
        <v>#N/A</v>
      </c>
      <c r="X50" s="408" t="e">
        <f>INDEX('Workforce WTE'!$C$36:$J$47,MATCH($D$2,'Workforce WTE'!$B$36:$B$47,0),MATCH(X$6,'Workforce WTE'!$C$2:$J$2,0))</f>
        <v>#N/A</v>
      </c>
      <c r="Y50" s="408" t="e">
        <f>INDEX('Workforce WTE'!$C$36:$J$47,MATCH($D$2,'Workforce WTE'!$B$36:$B$47,0),MATCH(Y$6,'Workforce WTE'!$C$2:$J$2,0))</f>
        <v>#N/A</v>
      </c>
      <c r="Z50" s="408">
        <f>INDEX('Workforce WTE'!$C$36:$J$47,MATCH($D$2,'Workforce WTE'!$B$36:$B$47,0),MATCH(Z$6,'Workforce WTE'!$C$2:$J$2,0))</f>
        <v>0</v>
      </c>
      <c r="AA50" s="408">
        <f>INDEX('Workforce WTE'!$C$36:$J$47,MATCH($D$2,'Workforce WTE'!$B$36:$B$47,0),MATCH(AA$6,'Workforce WTE'!$C$2:$J$2,0))</f>
        <v>0</v>
      </c>
    </row>
    <row r="51" spans="15:27">
      <c r="O51" s="412">
        <v>44957</v>
      </c>
      <c r="P51" s="413">
        <f>IFERROR(
IF($D$2="TOTAL",
GETPIVOTDATA("Sum of "&amp;'Front Sheet and Checklist'!$C$5,'Ref.Staff'!$U$1,"mmm-yy",TEXT($O51,"mmm-yy")),
GETPIVOTDATA("Sum of "&amp;'Front Sheet and Checklist'!$C$5,'Ref.Staff'!$U$1,"Category",$D$2,"mmm-yy",TEXT($O51,"mmm-yy"))
),"")</f>
        <v>12037.993880000002</v>
      </c>
      <c r="Q51" s="413"/>
      <c r="S51" s="408" t="s">
        <v>1141</v>
      </c>
      <c r="T51" s="409">
        <f>INDEX('Workforce WTE'!$C$50:$J$61,MATCH($D$2,'Workforce WTE'!$B$50:$B$61,0),MATCH(T$6,'Workforce WTE'!$C$2:$J$2,0))</f>
        <v>508.85500000000002</v>
      </c>
      <c r="U51" s="409" t="e">
        <f>INDEX('Workforce WTE'!$C$50:$J$61,MATCH($D$2,'Workforce WTE'!$B$50:$B$61,0),MATCH(U$6,'Workforce WTE'!$C$2:$J$2,0))</f>
        <v>#N/A</v>
      </c>
      <c r="V51" s="409" t="e">
        <f>INDEX('Workforce WTE'!$C$50:$J$61,MATCH($D$2,'Workforce WTE'!$B$50:$B$61,0),MATCH(V$6,'Workforce WTE'!$C$2:$J$2,0))</f>
        <v>#N/A</v>
      </c>
      <c r="W51" s="409" t="e">
        <f>INDEX('Workforce WTE'!$C$50:$J$61,MATCH($D$2,'Workforce WTE'!$B$50:$B$61,0),MATCH(W$6,'Workforce WTE'!$C$2:$J$2,0))</f>
        <v>#N/A</v>
      </c>
      <c r="X51" s="409" t="e">
        <f>INDEX('Workforce WTE'!$C$50:$J$61,MATCH($D$2,'Workforce WTE'!$B$50:$B$61,0),MATCH(X$6,'Workforce WTE'!$C$2:$J$2,0))</f>
        <v>#N/A</v>
      </c>
      <c r="Y51" s="409" t="e">
        <f>INDEX('Workforce WTE'!$C$50:$J$61,MATCH($D$2,'Workforce WTE'!$B$50:$B$61,0),MATCH(Y$6,'Workforce WTE'!$C$2:$J$2,0))</f>
        <v>#N/A</v>
      </c>
      <c r="Z51" s="409">
        <f>INDEX('Workforce WTE'!$C$50:$J$61,MATCH($D$2,'Workforce WTE'!$B$50:$B$61,0),MATCH(Z$6,'Workforce WTE'!$C$2:$J$2,0))</f>
        <v>0</v>
      </c>
      <c r="AA51" s="409">
        <f>INDEX('Workforce WTE'!$C$50:$J$61,MATCH($D$2,'Workforce WTE'!$B$50:$B$61,0),MATCH(AA$6,'Workforce WTE'!$C$2:$J$2,0))</f>
        <v>0</v>
      </c>
    </row>
    <row r="52" spans="15:27">
      <c r="O52" s="412">
        <v>44985</v>
      </c>
      <c r="P52" s="413">
        <f>IFERROR(
IF($D$2="TOTAL",
GETPIVOTDATA("Sum of "&amp;'Front Sheet and Checklist'!$C$5,'Ref.Staff'!$U$1,"mmm-yy",TEXT($O52,"mmm-yy")),
GETPIVOTDATA("Sum of "&amp;'Front Sheet and Checklist'!$C$5,'Ref.Staff'!$U$1,"Category",$D$2,"mmm-yy",TEXT($O52,"mmm-yy"))
),"")</f>
        <v>12084.76167</v>
      </c>
      <c r="Q52" s="413"/>
    </row>
    <row r="53" spans="15:27">
      <c r="O53" s="412">
        <v>45016</v>
      </c>
      <c r="P53" s="413">
        <f>IFERROR(
IF($D$2="TOTAL",
GETPIVOTDATA("Sum of "&amp;'Front Sheet and Checklist'!$C$5,'Ref.Staff'!$U$1,"mmm-yy",TEXT($O53,"mmm-yy")),
GETPIVOTDATA("Sum of "&amp;'Front Sheet and Checklist'!$C$5,'Ref.Staff'!$U$1,"Category",$D$2,"mmm-yy",TEXT($O53,"mmm-yy"))
),"")</f>
        <v>12121.31719</v>
      </c>
      <c r="Q53" s="413">
        <f>VLOOKUP($D$2,'Workforce WTE'!$B$20:$J$33,2,FALSE)</f>
        <v>12122.317190000025</v>
      </c>
    </row>
    <row r="54" spans="15:27">
      <c r="O54" s="412">
        <v>45046</v>
      </c>
      <c r="P54" s="413">
        <f>IFERROR(
IF($D$2="TOTAL",
GETPIVOTDATA("Sum of "&amp;'Front Sheet and Checklist'!$C$5,'Ref.Staff'!$U$1,"mmm-yy",TEXT($O54,"mmm-yy")),
GETPIVOTDATA("Sum of "&amp;'Front Sheet and Checklist'!$C$5,'Ref.Staff'!$U$1,"Category",$D$2,"mmm-yy",TEXT($O54,"mmm-yy"))
),"")</f>
        <v>12086.76168</v>
      </c>
      <c r="Q54" s="413">
        <f t="shared" ref="Q54:Q62" si="4">Q53+(Q$63-Q$53)/12</f>
        <v>12138.692190000025</v>
      </c>
    </row>
    <row r="55" spans="15:27">
      <c r="O55" s="412">
        <v>45077</v>
      </c>
      <c r="P55" s="413">
        <f>IFERROR(
IF($D$2="TOTAL",
GETPIVOTDATA("Sum of "&amp;'Front Sheet and Checklist'!$C$5,'Ref.Staff'!$U$1,"mmm-yy",TEXT($O55,"mmm-yy")),
GETPIVOTDATA("Sum of "&amp;'Front Sheet and Checklist'!$C$5,'Ref.Staff'!$U$1,"Category",$D$2,"mmm-yy",TEXT($O55,"mmm-yy"))
),"")</f>
        <v>12118.682330000001</v>
      </c>
      <c r="Q55" s="413">
        <f t="shared" si="4"/>
        <v>12155.067190000025</v>
      </c>
    </row>
    <row r="56" spans="15:27">
      <c r="O56" s="412">
        <v>45107</v>
      </c>
      <c r="P56" s="413">
        <f>IFERROR(
IF($D$2="TOTAL",
GETPIVOTDATA("Sum of "&amp;'Front Sheet and Checklist'!$C$5,'Ref.Staff'!$U$1,"mmm-yy",TEXT($O56,"mmm-yy")),
GETPIVOTDATA("Sum of "&amp;'Front Sheet and Checklist'!$C$5,'Ref.Staff'!$U$1,"Category",$D$2,"mmm-yy",TEXT($O56,"mmm-yy"))
),"")</f>
        <v>12156.78204</v>
      </c>
      <c r="Q56" s="413">
        <f t="shared" si="4"/>
        <v>12171.442190000025</v>
      </c>
    </row>
    <row r="57" spans="15:27">
      <c r="O57" s="412">
        <v>45138</v>
      </c>
      <c r="P57" s="413">
        <f>IFERROR(
IF($D$2="TOTAL",
GETPIVOTDATA("Sum of "&amp;'Front Sheet and Checklist'!$C$5,'Ref.Staff'!$U$1,"mmm-yy",TEXT($O57,"mmm-yy")),
GETPIVOTDATA("Sum of "&amp;'Front Sheet and Checklist'!$C$5,'Ref.Staff'!$U$1,"Category",$D$2,"mmm-yy",TEXT($O57,"mmm-yy"))
),"")</f>
        <v>12176.103930000001</v>
      </c>
      <c r="Q57" s="413">
        <f t="shared" si="4"/>
        <v>12187.817190000025</v>
      </c>
    </row>
    <row r="58" spans="15:27">
      <c r="O58" s="412">
        <v>45169</v>
      </c>
      <c r="P58" s="413">
        <f>IFERROR(
IF($D$2="TOTAL",
GETPIVOTDATA("Sum of "&amp;'Front Sheet and Checklist'!$C$5,'Ref.Staff'!$U$1,"mmm-yy",TEXT($O58,"mmm-yy")),
GETPIVOTDATA("Sum of "&amp;'Front Sheet and Checklist'!$C$5,'Ref.Staff'!$U$1,"Category",$D$2,"mmm-yy",TEXT($O58,"mmm-yy"))
),"")</f>
        <v>12190.74106</v>
      </c>
      <c r="Q58" s="413">
        <f t="shared" si="4"/>
        <v>12204.192190000025</v>
      </c>
    </row>
    <row r="59" spans="15:27">
      <c r="O59" s="412">
        <v>45199</v>
      </c>
      <c r="P59" s="413"/>
      <c r="Q59" s="413">
        <f t="shared" si="4"/>
        <v>12220.567190000025</v>
      </c>
    </row>
    <row r="60" spans="15:27">
      <c r="O60" s="412">
        <v>45230</v>
      </c>
      <c r="P60" s="413"/>
      <c r="Q60" s="413">
        <f t="shared" si="4"/>
        <v>12236.942190000025</v>
      </c>
    </row>
    <row r="61" spans="15:27">
      <c r="O61" s="412">
        <v>45260</v>
      </c>
      <c r="P61" s="413"/>
      <c r="Q61" s="413">
        <f t="shared" si="4"/>
        <v>12253.317190000025</v>
      </c>
    </row>
    <row r="62" spans="15:27">
      <c r="O62" s="412">
        <v>45291</v>
      </c>
      <c r="P62" s="413"/>
      <c r="Q62" s="413">
        <f t="shared" si="4"/>
        <v>12269.692190000025</v>
      </c>
    </row>
    <row r="63" spans="15:27">
      <c r="O63" s="412">
        <v>45382</v>
      </c>
      <c r="P63" s="413"/>
      <c r="Q63" s="413">
        <f>VLOOKUP($D$2,'Workforce WTE'!$B$20:$J$33,3,FALSE)</f>
        <v>12318.817190000025</v>
      </c>
    </row>
    <row r="64" spans="15:27">
      <c r="O64" s="412">
        <v>45473</v>
      </c>
      <c r="P64" s="413"/>
      <c r="Q64" s="413">
        <f>VLOOKUP($D$2,'Workforce WTE'!$B$20:$J$33,4,FALSE)</f>
        <v>12724.194829999999</v>
      </c>
    </row>
    <row r="65" spans="5:17">
      <c r="O65" s="412">
        <v>45565</v>
      </c>
      <c r="P65" s="413"/>
      <c r="Q65" s="413">
        <f>VLOOKUP($D$2,'Workforce WTE'!$B$20:$J$33,5,FALSE)</f>
        <v>13349.589630000002</v>
      </c>
    </row>
    <row r="66" spans="5:17">
      <c r="O66" s="412">
        <v>45657</v>
      </c>
      <c r="P66" s="413"/>
      <c r="Q66" s="413">
        <f>VLOOKUP($D$2,'Workforce WTE'!$B$20:$J$33,6,FALSE)</f>
        <v>13413.429999999998</v>
      </c>
    </row>
    <row r="67" spans="5:17">
      <c r="O67" s="412">
        <v>45747</v>
      </c>
      <c r="P67" s="413"/>
      <c r="Q67" s="413">
        <f>VLOOKUP($D$2,'Workforce WTE'!$B$20:$J$33,7,FALSE)</f>
        <v>13433.630000000001</v>
      </c>
    </row>
    <row r="68" spans="5:17">
      <c r="O68" s="412">
        <v>46112</v>
      </c>
      <c r="P68" s="413"/>
      <c r="Q68" s="413">
        <f>VLOOKUP($D$2,'Workforce WTE'!$B$20:$J$33,8,FALSE)</f>
        <v>0</v>
      </c>
    </row>
    <row r="69" spans="5:17">
      <c r="O69" s="412">
        <v>46477</v>
      </c>
      <c r="P69" s="413"/>
      <c r="Q69" s="413">
        <f>VLOOKUP($D$2,'Workforce WTE'!$B$20:$J$33,9,FALSE)</f>
        <v>0</v>
      </c>
    </row>
    <row r="73" spans="5:17">
      <c r="E73" s="149"/>
      <c r="F73" s="149"/>
    </row>
    <row r="74" spans="5:17">
      <c r="E74" s="243"/>
      <c r="F74" s="149"/>
    </row>
    <row r="75" spans="5:17">
      <c r="E75" s="243"/>
      <c r="F75" s="149"/>
    </row>
    <row r="76" spans="5:17">
      <c r="E76" s="243"/>
      <c r="F76" s="149"/>
    </row>
    <row r="77" spans="5:17">
      <c r="E77" s="243"/>
      <c r="F77" s="149"/>
    </row>
    <row r="78" spans="5:17">
      <c r="E78" s="243"/>
      <c r="F78" s="149"/>
    </row>
    <row r="79" spans="5:17">
      <c r="E79" s="243"/>
      <c r="F79" s="149"/>
    </row>
    <row r="80" spans="5:17">
      <c r="E80" s="243"/>
      <c r="F80" s="149"/>
    </row>
    <row r="81" spans="5:6">
      <c r="E81" s="243"/>
      <c r="F81" s="149"/>
    </row>
    <row r="82" spans="5:6">
      <c r="E82" s="243"/>
      <c r="F82" s="149"/>
    </row>
    <row r="83" spans="5:6">
      <c r="E83" s="243"/>
      <c r="F83" s="149"/>
    </row>
    <row r="84" spans="5:6">
      <c r="E84" s="243"/>
      <c r="F84" s="149"/>
    </row>
    <row r="85" spans="5:6">
      <c r="E85" s="243"/>
      <c r="F85" s="149"/>
    </row>
    <row r="86" spans="5:6">
      <c r="E86" s="243"/>
    </row>
    <row r="87" spans="5:6">
      <c r="E87" s="243"/>
    </row>
    <row r="88" spans="5:6">
      <c r="E88" s="243"/>
    </row>
    <row r="89" spans="5:6">
      <c r="E89" s="243"/>
    </row>
    <row r="90" spans="5:6">
      <c r="E90" s="243"/>
    </row>
    <row r="91" spans="5:6">
      <c r="E91" s="243"/>
    </row>
    <row r="92" spans="5:6">
      <c r="E92" s="243"/>
    </row>
    <row r="93" spans="5:6">
      <c r="E93" s="243"/>
    </row>
    <row r="94" spans="5:6">
      <c r="E94" s="243"/>
    </row>
    <row r="95" spans="5:6">
      <c r="E95" s="243"/>
    </row>
    <row r="96" spans="5:6">
      <c r="E96" s="243"/>
    </row>
    <row r="97" spans="5:5">
      <c r="E97" s="243"/>
    </row>
    <row r="98" spans="5:5">
      <c r="E98" s="243"/>
    </row>
    <row r="99" spans="5:5">
      <c r="E99" s="243"/>
    </row>
    <row r="100" spans="5:5">
      <c r="E100" s="243"/>
    </row>
    <row r="101" spans="5:5">
      <c r="E101" s="243"/>
    </row>
    <row r="102" spans="5:5">
      <c r="E102" s="243"/>
    </row>
    <row r="103" spans="5:5">
      <c r="E103" s="243"/>
    </row>
    <row r="104" spans="5:5">
      <c r="E104" s="243"/>
    </row>
    <row r="105" spans="5:5">
      <c r="E105" s="243"/>
    </row>
    <row r="106" spans="5:5">
      <c r="E106" s="243"/>
    </row>
    <row r="107" spans="5:5">
      <c r="E107" s="243"/>
    </row>
    <row r="108" spans="5:5">
      <c r="E108" s="243"/>
    </row>
    <row r="109" spans="5:5">
      <c r="E109" s="243"/>
    </row>
    <row r="110" spans="5:5">
      <c r="E110" s="243"/>
    </row>
    <row r="111" spans="5:5">
      <c r="E111" s="243"/>
    </row>
    <row r="112" spans="5:5">
      <c r="E112" s="243"/>
    </row>
    <row r="113" spans="5:6">
      <c r="E113" s="243"/>
    </row>
    <row r="114" spans="5:6">
      <c r="E114" s="243"/>
    </row>
    <row r="115" spans="5:6">
      <c r="E115" s="243"/>
    </row>
    <row r="116" spans="5:6">
      <c r="E116" s="243"/>
    </row>
    <row r="117" spans="5:6">
      <c r="E117" s="243"/>
    </row>
    <row r="118" spans="5:6">
      <c r="E118" s="243"/>
    </row>
    <row r="119" spans="5:6">
      <c r="E119" s="243"/>
    </row>
    <row r="120" spans="5:6">
      <c r="E120" s="243"/>
    </row>
    <row r="121" spans="5:6">
      <c r="E121" s="243"/>
      <c r="F121" s="243"/>
    </row>
    <row r="122" spans="5:6">
      <c r="E122" s="243"/>
      <c r="F122" s="243"/>
    </row>
    <row r="123" spans="5:6">
      <c r="E123" s="243"/>
      <c r="F123" s="243"/>
    </row>
    <row r="124" spans="5:6">
      <c r="E124" s="243"/>
      <c r="F124" s="243"/>
    </row>
    <row r="125" spans="5:6">
      <c r="E125" s="243"/>
      <c r="F125" s="243"/>
    </row>
    <row r="126" spans="5:6">
      <c r="E126" s="243"/>
      <c r="F126" s="243"/>
    </row>
    <row r="127" spans="5:6">
      <c r="E127" s="243"/>
      <c r="F127" s="243"/>
    </row>
    <row r="128" spans="5:6">
      <c r="E128" s="243"/>
      <c r="F128" s="243"/>
    </row>
    <row r="129" spans="5:6">
      <c r="E129" s="243"/>
      <c r="F129" s="243"/>
    </row>
    <row r="130" spans="5:6">
      <c r="E130" s="243"/>
      <c r="F130" s="243"/>
    </row>
    <row r="131" spans="5:6">
      <c r="E131" s="243"/>
      <c r="F131" s="243"/>
    </row>
    <row r="132" spans="5:6">
      <c r="E132" s="243"/>
      <c r="F132" s="243"/>
    </row>
    <row r="133" spans="5:6">
      <c r="E133" s="243"/>
      <c r="F133" s="243"/>
    </row>
    <row r="134" spans="5:6">
      <c r="E134" s="243"/>
      <c r="F134" s="243"/>
    </row>
    <row r="135" spans="5:6">
      <c r="E135" s="243"/>
      <c r="F135" s="243"/>
    </row>
    <row r="136" spans="5:6">
      <c r="E136" s="243"/>
      <c r="F136" s="243"/>
    </row>
    <row r="137" spans="5:6">
      <c r="E137" s="243"/>
      <c r="F137" s="243"/>
    </row>
  </sheetData>
  <customSheetViews>
    <customSheetView guid="{95B84344-25FE-4A71-9083-825DAB5E8F01}" scale="70" showGridLines="0" hiddenColumns="1">
      <selection activeCell="C2" sqref="C2"/>
      <pageMargins left="0" right="0" top="0" bottom="0" header="0" footer="0"/>
      <pageSetup paperSize="9" orientation="portrait" r:id="rId1"/>
    </customSheetView>
  </customSheetViews>
  <mergeCells count="1">
    <mergeCell ref="D2:F2"/>
  </mergeCells>
  <dataValidations disablePrompts="1" count="1">
    <dataValidation type="list" allowBlank="1" showInputMessage="1" showErrorMessage="1" sqref="D2:D3" xr:uid="{00000000-0002-0000-2800-000000000000}">
      <formula1>#REF!</formula1>
    </dataValidation>
  </dataValidations>
  <pageMargins left="0.25" right="0.25" top="0.75" bottom="0.75" header="0.3" footer="0.3"/>
  <pageSetup paperSize="9" scale="84" fitToWidth="0" fitToHeight="2" orientation="landscape" r:id="rId2"/>
  <rowBreaks count="1" manualBreakCount="1">
    <brk id="34" max="16383" man="1"/>
  </rowBreaks>
  <drawing r:id="rId3"/>
  <legacy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pageSetUpPr fitToPage="1"/>
  </sheetPr>
  <dimension ref="Q2:AE109"/>
  <sheetViews>
    <sheetView showGridLines="0" zoomScale="85" zoomScaleNormal="85" workbookViewId="0">
      <selection activeCell="Z16" sqref="Z16"/>
    </sheetView>
  </sheetViews>
  <sheetFormatPr defaultRowHeight="15.5"/>
  <cols>
    <col min="1" max="1" width="0.84375" customWidth="1"/>
    <col min="2" max="10" width="5.07421875" customWidth="1"/>
    <col min="12" max="14" width="10.3046875" customWidth="1"/>
    <col min="17" max="17" width="8.84375" customWidth="1"/>
    <col min="18" max="18" width="10.53515625" customWidth="1"/>
    <col min="19" max="19" width="10.84375" customWidth="1"/>
    <col min="20" max="20" width="12.69140625" customWidth="1"/>
    <col min="21" max="22" width="13.3046875" customWidth="1"/>
    <col min="23" max="28" width="8.84375" customWidth="1"/>
    <col min="29" max="29" width="11" customWidth="1"/>
    <col min="30" max="31" width="8.84375" customWidth="1"/>
  </cols>
  <sheetData>
    <row r="2" spans="17:31" ht="16" thickBot="1"/>
    <row r="3" spans="17:31" ht="44" thickBot="1">
      <c r="Q3" s="421" t="s">
        <v>1103</v>
      </c>
      <c r="R3" s="422" t="s">
        <v>1142</v>
      </c>
      <c r="S3" s="423" t="s">
        <v>1143</v>
      </c>
      <c r="T3" s="421" t="s">
        <v>1144</v>
      </c>
      <c r="U3" s="422" t="s">
        <v>1145</v>
      </c>
      <c r="V3" s="423" t="s">
        <v>1146</v>
      </c>
      <c r="X3" s="492" t="s">
        <v>1147</v>
      </c>
      <c r="Y3" s="424" t="s">
        <v>1144</v>
      </c>
      <c r="Z3" s="424" t="s">
        <v>1148</v>
      </c>
      <c r="AA3" s="424" t="s">
        <v>1149</v>
      </c>
      <c r="AB3" s="424" t="s">
        <v>1150</v>
      </c>
      <c r="AC3" s="424" t="s">
        <v>1151</v>
      </c>
      <c r="AD3" s="424" t="s">
        <v>1152</v>
      </c>
      <c r="AE3" s="425" t="s">
        <v>1153</v>
      </c>
    </row>
    <row r="4" spans="17:31">
      <c r="Q4" s="430">
        <v>43556</v>
      </c>
      <c r="R4" s="429">
        <f>IFERROR(GETPIVOTDATA("Sum of "&amp;'Front Sheet and Checklist'!$C$5,'Ref Bedplan'!$P$1,"Report Month",TEXT(Q4,"mmm-yy"),"Avail/Occupied","Available"),"")</f>
        <v>1611</v>
      </c>
      <c r="S4" s="431">
        <f>IFERROR(GETPIVOTDATA("Sum of "&amp;'Front Sheet and Checklist'!$C$5,'Ref Bedplan'!$P$1,"Report Month",TEXT(Q4,"mmm-yy"),"Avail/Occupied","Occupied"),"")</f>
        <v>1410</v>
      </c>
      <c r="T4" s="438"/>
      <c r="U4" s="418"/>
      <c r="V4" s="439"/>
      <c r="X4" s="417">
        <v>44986</v>
      </c>
      <c r="Y4" s="418" t="e">
        <f>#REF!</f>
        <v>#REF!</v>
      </c>
      <c r="Z4" s="418" t="e">
        <f>SUM(#REF!)</f>
        <v>#REF!</v>
      </c>
      <c r="AA4" s="419" t="e">
        <f>#REF!</f>
        <v>#REF!</v>
      </c>
      <c r="AB4" s="420" t="e">
        <f>AA4/Y4</f>
        <v>#REF!</v>
      </c>
      <c r="AC4" s="420" t="e">
        <f>AA4/Z4</f>
        <v>#REF!</v>
      </c>
      <c r="AD4" s="418" t="e">
        <f>#REF!</f>
        <v>#REF!</v>
      </c>
      <c r="AE4" s="420" t="e">
        <f>IF(#REF!=0,AD4/Y4,#REF!)</f>
        <v>#REF!</v>
      </c>
    </row>
    <row r="5" spans="17:31">
      <c r="Q5" s="432">
        <f>EOMONTH(Q4,1)</f>
        <v>43616</v>
      </c>
      <c r="R5" s="426">
        <f>IFERROR(GETPIVOTDATA("Sum of "&amp;'Front Sheet and Checklist'!$C$5,'Ref Bedplan'!$P$1,"Report Month",TEXT(Q5,"mmm-yy"),"Avail/Occupied","Available"),"")</f>
        <v>1602</v>
      </c>
      <c r="S5" s="433">
        <f>IFERROR(GETPIVOTDATA("Sum of "&amp;'Front Sheet and Checklist'!$C$5,'Ref Bedplan'!$P$1,"Report Month",TEXT(Q5,"mmm-yy"),"Avail/Occupied","Occupied"),"")</f>
        <v>1398</v>
      </c>
      <c r="T5" s="440"/>
      <c r="U5" s="408"/>
      <c r="V5" s="441"/>
      <c r="X5" s="415">
        <v>45352</v>
      </c>
      <c r="Y5" s="408" t="e">
        <f>#REF!</f>
        <v>#REF!</v>
      </c>
      <c r="Z5" s="408" t="e">
        <f>SUM(#REF!)</f>
        <v>#REF!</v>
      </c>
      <c r="AA5" s="409" t="e">
        <f>#REF!</f>
        <v>#REF!</v>
      </c>
      <c r="AB5" s="416" t="e">
        <f t="shared" ref="AB5:AB11" si="0">AA5/Y5</f>
        <v>#REF!</v>
      </c>
      <c r="AC5" s="416" t="e">
        <f t="shared" ref="AC5:AC11" si="1">AA5/Z5</f>
        <v>#REF!</v>
      </c>
      <c r="AD5" s="408" t="e">
        <f>#REF!</f>
        <v>#REF!</v>
      </c>
      <c r="AE5" s="416" t="e">
        <f>IF(#REF!=0,AD5/Y5,#REF!)</f>
        <v>#REF!</v>
      </c>
    </row>
    <row r="6" spans="17:31">
      <c r="Q6" s="432">
        <f t="shared" ref="Q6:Q15" si="2">EOMONTH(Q5,1)</f>
        <v>43646</v>
      </c>
      <c r="R6" s="426">
        <f>IFERROR(GETPIVOTDATA("Sum of "&amp;'Front Sheet and Checklist'!$C$5,'Ref Bedplan'!$P$1,"Report Month",TEXT(Q6,"mmm-yy"),"Avail/Occupied","Available"),"")</f>
        <v>1597</v>
      </c>
      <c r="S6" s="433">
        <f>IFERROR(GETPIVOTDATA("Sum of "&amp;'Front Sheet and Checklist'!$C$5,'Ref Bedplan'!$P$1,"Report Month",TEXT(Q6,"mmm-yy"),"Avail/Occupied","Occupied"),"")</f>
        <v>1395</v>
      </c>
      <c r="T6" s="440"/>
      <c r="U6" s="408"/>
      <c r="V6" s="441"/>
      <c r="X6" s="415">
        <v>45444</v>
      </c>
      <c r="Y6" s="408" t="e">
        <f>#REF!</f>
        <v>#REF!</v>
      </c>
      <c r="Z6" s="408" t="e">
        <f>SUM(#REF!)</f>
        <v>#REF!</v>
      </c>
      <c r="AA6" s="409" t="e">
        <f>#REF!</f>
        <v>#REF!</v>
      </c>
      <c r="AB6" s="416" t="e">
        <f t="shared" si="0"/>
        <v>#REF!</v>
      </c>
      <c r="AC6" s="416" t="e">
        <f t="shared" si="1"/>
        <v>#REF!</v>
      </c>
      <c r="AD6" s="408" t="e">
        <f>#REF!</f>
        <v>#REF!</v>
      </c>
      <c r="AE6" s="416" t="e">
        <f>IF(#REF!=0,AD6/Y6,#REF!)</f>
        <v>#REF!</v>
      </c>
    </row>
    <row r="7" spans="17:31">
      <c r="Q7" s="432">
        <f t="shared" si="2"/>
        <v>43677</v>
      </c>
      <c r="R7" s="426">
        <f>IFERROR(GETPIVOTDATA("Sum of "&amp;'Front Sheet and Checklist'!$C$5,'Ref Bedplan'!$P$1,"Report Month",TEXT(Q7,"mmm-yy"),"Avail/Occupied","Available"),"")</f>
        <v>1587</v>
      </c>
      <c r="S7" s="433">
        <f>IFERROR(GETPIVOTDATA("Sum of "&amp;'Front Sheet and Checklist'!$C$5,'Ref Bedplan'!$P$1,"Report Month",TEXT(Q7,"mmm-yy"),"Avail/Occupied","Occupied"),"")</f>
        <v>1379</v>
      </c>
      <c r="T7" s="440"/>
      <c r="U7" s="408"/>
      <c r="V7" s="441"/>
      <c r="X7" s="415">
        <v>45536</v>
      </c>
      <c r="Y7" s="408" t="e">
        <f>#REF!</f>
        <v>#REF!</v>
      </c>
      <c r="Z7" s="408" t="e">
        <f>SUM(#REF!)</f>
        <v>#REF!</v>
      </c>
      <c r="AA7" s="409" t="e">
        <f>#REF!</f>
        <v>#REF!</v>
      </c>
      <c r="AB7" s="416" t="e">
        <f t="shared" si="0"/>
        <v>#REF!</v>
      </c>
      <c r="AC7" s="416" t="e">
        <f t="shared" si="1"/>
        <v>#REF!</v>
      </c>
      <c r="AD7" s="408" t="e">
        <f>#REF!</f>
        <v>#REF!</v>
      </c>
      <c r="AE7" s="416" t="e">
        <f>IF(#REF!=0,AD7/Y7,#REF!)</f>
        <v>#REF!</v>
      </c>
    </row>
    <row r="8" spans="17:31">
      <c r="Q8" s="432">
        <f t="shared" si="2"/>
        <v>43708</v>
      </c>
      <c r="R8" s="426">
        <f>IFERROR(GETPIVOTDATA("Sum of "&amp;'Front Sheet and Checklist'!$C$5,'Ref Bedplan'!$P$1,"Report Month",TEXT(Q8,"mmm-yy"),"Avail/Occupied","Available"),"")</f>
        <v>1594</v>
      </c>
      <c r="S8" s="433">
        <f>IFERROR(GETPIVOTDATA("Sum of "&amp;'Front Sheet and Checklist'!$C$5,'Ref Bedplan'!$P$1,"Report Month",TEXT(Q8,"mmm-yy"),"Avail/Occupied","Occupied"),"")</f>
        <v>1368</v>
      </c>
      <c r="T8" s="440"/>
      <c r="U8" s="408"/>
      <c r="V8" s="441"/>
      <c r="X8" s="415">
        <v>45627</v>
      </c>
      <c r="Y8" s="408" t="e">
        <f>#REF!</f>
        <v>#REF!</v>
      </c>
      <c r="Z8" s="408" t="e">
        <f>SUM(#REF!)</f>
        <v>#REF!</v>
      </c>
      <c r="AA8" s="409" t="e">
        <f>#REF!</f>
        <v>#REF!</v>
      </c>
      <c r="AB8" s="416" t="e">
        <f t="shared" si="0"/>
        <v>#REF!</v>
      </c>
      <c r="AC8" s="416" t="e">
        <f t="shared" si="1"/>
        <v>#REF!</v>
      </c>
      <c r="AD8" s="408" t="e">
        <f>#REF!</f>
        <v>#REF!</v>
      </c>
      <c r="AE8" s="416" t="e">
        <f>IF(#REF!=0,AD8/Y8,#REF!)</f>
        <v>#REF!</v>
      </c>
    </row>
    <row r="9" spans="17:31">
      <c r="Q9" s="432">
        <f t="shared" si="2"/>
        <v>43738</v>
      </c>
      <c r="R9" s="426">
        <f>IFERROR(GETPIVOTDATA("Sum of "&amp;'Front Sheet and Checklist'!$C$5,'Ref Bedplan'!$P$1,"Report Month",TEXT(Q9,"mmm-yy"),"Avail/Occupied","Available"),"")</f>
        <v>1572</v>
      </c>
      <c r="S9" s="433">
        <f>IFERROR(GETPIVOTDATA("Sum of "&amp;'Front Sheet and Checklist'!$C$5,'Ref Bedplan'!$P$1,"Report Month",TEXT(Q9,"mmm-yy"),"Avail/Occupied","Occupied"),"")</f>
        <v>1400</v>
      </c>
      <c r="T9" s="440"/>
      <c r="U9" s="408"/>
      <c r="V9" s="441"/>
      <c r="X9" s="415">
        <v>45717</v>
      </c>
      <c r="Y9" s="408" t="e">
        <f>#REF!</f>
        <v>#REF!</v>
      </c>
      <c r="Z9" s="408" t="e">
        <f>SUM(#REF!)</f>
        <v>#REF!</v>
      </c>
      <c r="AA9" s="409" t="e">
        <f>#REF!</f>
        <v>#REF!</v>
      </c>
      <c r="AB9" s="416" t="e">
        <f t="shared" si="0"/>
        <v>#REF!</v>
      </c>
      <c r="AC9" s="416" t="e">
        <f t="shared" si="1"/>
        <v>#REF!</v>
      </c>
      <c r="AD9" s="408" t="e">
        <f>#REF!</f>
        <v>#REF!</v>
      </c>
      <c r="AE9" s="416" t="e">
        <f>IF(#REF!=0,AD9/Y9,#REF!)</f>
        <v>#REF!</v>
      </c>
    </row>
    <row r="10" spans="17:31">
      <c r="Q10" s="432">
        <f t="shared" si="2"/>
        <v>43769</v>
      </c>
      <c r="R10" s="426">
        <f>IFERROR(GETPIVOTDATA("Sum of "&amp;'Front Sheet and Checklist'!$C$5,'Ref Bedplan'!$P$1,"Report Month",TEXT(Q10,"mmm-yy"),"Avail/Occupied","Available"),"")</f>
        <v>1607</v>
      </c>
      <c r="S10" s="433">
        <f>IFERROR(GETPIVOTDATA("Sum of "&amp;'Front Sheet and Checklist'!$C$5,'Ref Bedplan'!$P$1,"Report Month",TEXT(Q10,"mmm-yy"),"Avail/Occupied","Occupied"),"")</f>
        <v>1409</v>
      </c>
      <c r="T10" s="440"/>
      <c r="U10" s="408"/>
      <c r="V10" s="441"/>
      <c r="X10" s="415">
        <v>46082</v>
      </c>
      <c r="Y10" s="408" t="e">
        <f>#REF!</f>
        <v>#REF!</v>
      </c>
      <c r="Z10" s="408" t="e">
        <f>SUM(#REF!)</f>
        <v>#REF!</v>
      </c>
      <c r="AA10" s="409" t="e">
        <f>#REF!</f>
        <v>#REF!</v>
      </c>
      <c r="AB10" s="416" t="e">
        <f t="shared" si="0"/>
        <v>#REF!</v>
      </c>
      <c r="AC10" s="416" t="e">
        <f t="shared" si="1"/>
        <v>#REF!</v>
      </c>
      <c r="AD10" s="408" t="e">
        <f>#REF!</f>
        <v>#REF!</v>
      </c>
      <c r="AE10" s="416" t="e">
        <f>IF(#REF!=0,AD10/Y10,#REF!)</f>
        <v>#REF!</v>
      </c>
    </row>
    <row r="11" spans="17:31">
      <c r="Q11" s="432">
        <f t="shared" si="2"/>
        <v>43799</v>
      </c>
      <c r="R11" s="426">
        <f>IFERROR(GETPIVOTDATA("Sum of "&amp;'Front Sheet and Checklist'!$C$5,'Ref Bedplan'!$P$1,"Report Month",TEXT(Q11,"mmm-yy"),"Avail/Occupied","Available"),"")</f>
        <v>1605</v>
      </c>
      <c r="S11" s="433">
        <f>IFERROR(GETPIVOTDATA("Sum of "&amp;'Front Sheet and Checklist'!$C$5,'Ref Bedplan'!$P$1,"Report Month",TEXT(Q11,"mmm-yy"),"Avail/Occupied","Occupied"),"")</f>
        <v>1426</v>
      </c>
      <c r="T11" s="440"/>
      <c r="U11" s="408"/>
      <c r="V11" s="441"/>
      <c r="X11" s="415">
        <v>46447</v>
      </c>
      <c r="Y11" s="408" t="e">
        <f>#REF!</f>
        <v>#REF!</v>
      </c>
      <c r="Z11" s="408" t="e">
        <f>SUM(#REF!)</f>
        <v>#REF!</v>
      </c>
      <c r="AA11" s="409" t="e">
        <f>#REF!</f>
        <v>#REF!</v>
      </c>
      <c r="AB11" s="416" t="e">
        <f t="shared" si="0"/>
        <v>#REF!</v>
      </c>
      <c r="AC11" s="416" t="e">
        <f t="shared" si="1"/>
        <v>#REF!</v>
      </c>
      <c r="AD11" s="408" t="e">
        <f>#REF!</f>
        <v>#REF!</v>
      </c>
      <c r="AE11" s="416" t="e">
        <f>IF(#REF!=0,AD11/Y11,#REF!)</f>
        <v>#REF!</v>
      </c>
    </row>
    <row r="12" spans="17:31">
      <c r="Q12" s="432">
        <f t="shared" si="2"/>
        <v>43830</v>
      </c>
      <c r="R12" s="426">
        <f>IFERROR(GETPIVOTDATA("Sum of "&amp;'Front Sheet and Checklist'!$C$5,'Ref Bedplan'!$P$1,"Report Month",TEXT(Q12,"mmm-yy"),"Avail/Occupied","Available"),"")</f>
        <v>1605</v>
      </c>
      <c r="S12" s="433">
        <f>IFERROR(GETPIVOTDATA("Sum of "&amp;'Front Sheet and Checklist'!$C$5,'Ref Bedplan'!$P$1,"Report Month",TEXT(Q12,"mmm-yy"),"Avail/Occupied","Occupied"),"")</f>
        <v>1416</v>
      </c>
      <c r="T12" s="440"/>
      <c r="U12" s="408"/>
      <c r="V12" s="441"/>
      <c r="AB12" s="110"/>
    </row>
    <row r="13" spans="17:31">
      <c r="Q13" s="432">
        <f t="shared" si="2"/>
        <v>43861</v>
      </c>
      <c r="R13" s="426">
        <f>IFERROR(GETPIVOTDATA("Sum of "&amp;'Front Sheet and Checklist'!$C$5,'Ref Bedplan'!$P$1,"Report Month",TEXT(Q13,"mmm-yy"),"Avail/Occupied","Available"),"")</f>
        <v>1625</v>
      </c>
      <c r="S13" s="433">
        <f>IFERROR(GETPIVOTDATA("Sum of "&amp;'Front Sheet and Checklist'!$C$5,'Ref Bedplan'!$P$1,"Report Month",TEXT(Q13,"mmm-yy"),"Avail/Occupied","Occupied"),"")</f>
        <v>1442</v>
      </c>
      <c r="T13" s="440"/>
      <c r="U13" s="408"/>
      <c r="V13" s="441"/>
    </row>
    <row r="14" spans="17:31">
      <c r="Q14" s="432">
        <f t="shared" si="2"/>
        <v>43890</v>
      </c>
      <c r="R14" s="426">
        <f>IFERROR(GETPIVOTDATA("Sum of "&amp;'Front Sheet and Checklist'!$C$5,'Ref Bedplan'!$P$1,"Report Month",TEXT(Q14,"mmm-yy"),"Avail/Occupied","Available"),"")</f>
        <v>1598</v>
      </c>
      <c r="S14" s="433">
        <f>IFERROR(GETPIVOTDATA("Sum of "&amp;'Front Sheet and Checklist'!$C$5,'Ref Bedplan'!$P$1,"Report Month",TEXT(Q14,"mmm-yy"),"Avail/Occupied","Occupied"),"")</f>
        <v>1401</v>
      </c>
      <c r="T14" s="440"/>
      <c r="U14" s="408"/>
      <c r="V14" s="441"/>
    </row>
    <row r="15" spans="17:31">
      <c r="Q15" s="432">
        <f t="shared" si="2"/>
        <v>43921</v>
      </c>
      <c r="R15" s="426">
        <f>IFERROR(GETPIVOTDATA("Sum of "&amp;'Front Sheet and Checklist'!$C$5,'Ref Bedplan'!$P$1,"Report Month",TEXT(Q15,"mmm-yy"),"Avail/Occupied","Available"),"")</f>
        <v>1543</v>
      </c>
      <c r="S15" s="433">
        <f>IFERROR(GETPIVOTDATA("Sum of "&amp;'Front Sheet and Checklist'!$C$5,'Ref Bedplan'!$P$1,"Report Month",TEXT(Q15,"mmm-yy"),"Avail/Occupied","Occupied"),"")</f>
        <v>1219</v>
      </c>
      <c r="T15" s="440"/>
      <c r="U15" s="408"/>
      <c r="V15" s="441"/>
    </row>
    <row r="16" spans="17:31">
      <c r="Q16" s="432">
        <v>43922</v>
      </c>
      <c r="R16" s="426">
        <f>IFERROR(GETPIVOTDATA("Sum of "&amp;'Front Sheet and Checklist'!$C$5,'Ref Bedplan'!$P$1,"Report Month",TEXT(Q16,"mmm-yy"),"Avail/Occupied","Available"),"")</f>
        <v>1462</v>
      </c>
      <c r="S16" s="433">
        <f>IFERROR(GETPIVOTDATA("Sum of "&amp;'Front Sheet and Checklist'!$C$5,'Ref Bedplan'!$P$1,"Report Month",TEXT(Q16,"mmm-yy"),"Avail/Occupied","Occupied"),"")</f>
        <v>799</v>
      </c>
      <c r="T16" s="442"/>
      <c r="U16" s="409"/>
      <c r="V16" s="441"/>
    </row>
    <row r="17" spans="17:22">
      <c r="Q17" s="432">
        <v>43952</v>
      </c>
      <c r="R17" s="426">
        <f>IFERROR(GETPIVOTDATA("Sum of "&amp;'Front Sheet and Checklist'!$C$5,'Ref Bedplan'!$P$1,"Report Month",TEXT(Q17,"mmm-yy"),"Avail/Occupied","Available"),"")</f>
        <v>1257</v>
      </c>
      <c r="S17" s="433">
        <f>IFERROR(GETPIVOTDATA("Sum of "&amp;'Front Sheet and Checklist'!$C$5,'Ref Bedplan'!$P$1,"Report Month",TEXT(Q17,"mmm-yy"),"Avail/Occupied","Occupied"),"")</f>
        <v>845</v>
      </c>
      <c r="T17" s="442"/>
      <c r="U17" s="409"/>
      <c r="V17" s="441"/>
    </row>
    <row r="18" spans="17:22">
      <c r="Q18" s="432">
        <v>43983</v>
      </c>
      <c r="R18" s="426">
        <f>IFERROR(GETPIVOTDATA("Sum of "&amp;'Front Sheet and Checklist'!$C$5,'Ref Bedplan'!$P$1,"Report Month",TEXT(Q18,"mmm-yy"),"Avail/Occupied","Available"),"")</f>
        <v>1320</v>
      </c>
      <c r="S18" s="433">
        <f>IFERROR(GETPIVOTDATA("Sum of "&amp;'Front Sheet and Checklist'!$C$5,'Ref Bedplan'!$P$1,"Report Month",TEXT(Q18,"mmm-yy"),"Avail/Occupied","Occupied"),"")</f>
        <v>959</v>
      </c>
      <c r="T18" s="442"/>
      <c r="U18" s="409"/>
      <c r="V18" s="441"/>
    </row>
    <row r="19" spans="17:22">
      <c r="Q19" s="432">
        <v>44013</v>
      </c>
      <c r="R19" s="426">
        <f>IFERROR(GETPIVOTDATA("Sum of "&amp;'Front Sheet and Checklist'!$C$5,'Ref Bedplan'!$P$1,"Report Month",TEXT(Q19,"mmm-yy"),"Avail/Occupied","Available"),"")</f>
        <v>1359</v>
      </c>
      <c r="S19" s="433">
        <f>IFERROR(GETPIVOTDATA("Sum of "&amp;'Front Sheet and Checklist'!$C$5,'Ref Bedplan'!$P$1,"Report Month",TEXT(Q19,"mmm-yy"),"Avail/Occupied","Occupied"),"")</f>
        <v>1051</v>
      </c>
      <c r="T19" s="442"/>
      <c r="U19" s="409"/>
      <c r="V19" s="441"/>
    </row>
    <row r="20" spans="17:22">
      <c r="Q20" s="432">
        <v>44044</v>
      </c>
      <c r="R20" s="426">
        <f>IFERROR(GETPIVOTDATA("Sum of "&amp;'Front Sheet and Checklist'!$C$5,'Ref Bedplan'!$P$1,"Report Month",TEXT(Q20,"mmm-yy"),"Avail/Occupied","Available"),"")</f>
        <v>1437</v>
      </c>
      <c r="S20" s="433">
        <f>IFERROR(GETPIVOTDATA("Sum of "&amp;'Front Sheet and Checklist'!$C$5,'Ref Bedplan'!$P$1,"Report Month",TEXT(Q20,"mmm-yy"),"Avail/Occupied","Occupied"),"")</f>
        <v>1125</v>
      </c>
      <c r="T20" s="442"/>
      <c r="U20" s="409"/>
      <c r="V20" s="441"/>
    </row>
    <row r="21" spans="17:22">
      <c r="Q21" s="432">
        <v>44075</v>
      </c>
      <c r="R21" s="426">
        <f>IFERROR(GETPIVOTDATA("Sum of "&amp;'Front Sheet and Checklist'!$C$5,'Ref Bedplan'!$P$1,"Report Month",TEXT(Q21,"mmm-yy"),"Avail/Occupied","Available"),"")</f>
        <v>1454</v>
      </c>
      <c r="S21" s="433">
        <f>IFERROR(GETPIVOTDATA("Sum of "&amp;'Front Sheet and Checklist'!$C$5,'Ref Bedplan'!$P$1,"Report Month",TEXT(Q21,"mmm-yy"),"Avail/Occupied","Occupied"),"")</f>
        <v>1167</v>
      </c>
      <c r="T21" s="442"/>
      <c r="U21" s="409"/>
      <c r="V21" s="441"/>
    </row>
    <row r="22" spans="17:22">
      <c r="Q22" s="432">
        <v>44105</v>
      </c>
      <c r="R22" s="426">
        <f>IFERROR(GETPIVOTDATA("Sum of "&amp;'Front Sheet and Checklist'!$C$5,'Ref Bedplan'!$P$1,"Report Month",TEXT(Q22,"mmm-yy"),"Avail/Occupied","Available"),"")</f>
        <v>1473</v>
      </c>
      <c r="S22" s="433">
        <f>IFERROR(GETPIVOTDATA("Sum of "&amp;'Front Sheet and Checklist'!$C$5,'Ref Bedplan'!$P$1,"Report Month",TEXT(Q22,"mmm-yy"),"Avail/Occupied","Occupied"),"")</f>
        <v>1161</v>
      </c>
      <c r="T22" s="442"/>
      <c r="U22" s="409"/>
      <c r="V22" s="441"/>
    </row>
    <row r="23" spans="17:22">
      <c r="Q23" s="432">
        <v>44136</v>
      </c>
      <c r="R23" s="426">
        <f>IFERROR(GETPIVOTDATA("Sum of "&amp;'Front Sheet and Checklist'!$C$5,'Ref Bedplan'!$P$1,"Report Month",TEXT(Q23,"mmm-yy"),"Avail/Occupied","Available"),"")</f>
        <v>1447</v>
      </c>
      <c r="S23" s="433">
        <f>IFERROR(GETPIVOTDATA("Sum of "&amp;'Front Sheet and Checklist'!$C$5,'Ref Bedplan'!$P$1,"Report Month",TEXT(Q23,"mmm-yy"),"Avail/Occupied","Occupied"),"")</f>
        <v>1150</v>
      </c>
      <c r="T23" s="442"/>
      <c r="U23" s="409"/>
      <c r="V23" s="441"/>
    </row>
    <row r="24" spans="17:22">
      <c r="Q24" s="432">
        <v>44166</v>
      </c>
      <c r="R24" s="426">
        <f>IFERROR(GETPIVOTDATA("Sum of "&amp;'Front Sheet and Checklist'!$C$5,'Ref Bedplan'!$P$1,"Report Month",TEXT(Q24,"mmm-yy"),"Avail/Occupied","Available"),"")</f>
        <v>1475</v>
      </c>
      <c r="S24" s="433">
        <f>IFERROR(GETPIVOTDATA("Sum of "&amp;'Front Sheet and Checklist'!$C$5,'Ref Bedplan'!$P$1,"Report Month",TEXT(Q24,"mmm-yy"),"Avail/Occupied","Occupied"),"")</f>
        <v>1160</v>
      </c>
      <c r="T24" s="442"/>
      <c r="U24" s="409"/>
      <c r="V24" s="441"/>
    </row>
    <row r="25" spans="17:22">
      <c r="Q25" s="432">
        <v>44197</v>
      </c>
      <c r="R25" s="426">
        <f>IFERROR(GETPIVOTDATA("Sum of "&amp;'Front Sheet and Checklist'!$C$5,'Ref Bedplan'!$P$1,"Report Month",TEXT(Q25,"mmm-yy"),"Avail/Occupied","Available"),"")</f>
        <v>1504</v>
      </c>
      <c r="S25" s="433">
        <f>IFERROR(GETPIVOTDATA("Sum of "&amp;'Front Sheet and Checklist'!$C$5,'Ref Bedplan'!$P$1,"Report Month",TEXT(Q25,"mmm-yy"),"Avail/Occupied","Occupied"),"")</f>
        <v>1196</v>
      </c>
      <c r="T25" s="442"/>
      <c r="U25" s="409"/>
      <c r="V25" s="441"/>
    </row>
    <row r="26" spans="17:22">
      <c r="Q26" s="432">
        <v>44228</v>
      </c>
      <c r="R26" s="426">
        <f>IFERROR(GETPIVOTDATA("Sum of "&amp;'Front Sheet and Checklist'!$C$5,'Ref Bedplan'!$P$1,"Report Month",TEXT(Q26,"mmm-yy"),"Avail/Occupied","Available"),"")</f>
        <v>1493</v>
      </c>
      <c r="S26" s="433">
        <f>IFERROR(GETPIVOTDATA("Sum of "&amp;'Front Sheet and Checklist'!$C$5,'Ref Bedplan'!$P$1,"Report Month",TEXT(Q26,"mmm-yy"),"Avail/Occupied","Occupied"),"")</f>
        <v>1180</v>
      </c>
      <c r="T26" s="442"/>
      <c r="U26" s="409"/>
      <c r="V26" s="441"/>
    </row>
    <row r="27" spans="17:22">
      <c r="Q27" s="432">
        <v>44256</v>
      </c>
      <c r="R27" s="426">
        <f>IFERROR(GETPIVOTDATA("Sum of "&amp;'Front Sheet and Checklist'!$C$5,'Ref Bedplan'!$P$1,"Report Month",TEXT(Q27,"mmm-yy"),"Avail/Occupied","Available"),"")</f>
        <v>1501</v>
      </c>
      <c r="S27" s="433">
        <f>IFERROR(GETPIVOTDATA("Sum of "&amp;'Front Sheet and Checklist'!$C$5,'Ref Bedplan'!$P$1,"Report Month",TEXT(Q27,"mmm-yy"),"Avail/Occupied","Occupied"),"")</f>
        <v>1212</v>
      </c>
      <c r="T27" s="442"/>
      <c r="U27" s="409"/>
      <c r="V27" s="441"/>
    </row>
    <row r="28" spans="17:22">
      <c r="Q28" s="432">
        <v>44287</v>
      </c>
      <c r="R28" s="426">
        <f>IFERROR(GETPIVOTDATA("Sum of "&amp;'Front Sheet and Checklist'!$C$5,'Ref Bedplan'!$P$1,"Report Month",TEXT(Q28,"mmm-yy"),"Avail/Occupied","Available"),"")</f>
        <v>1513</v>
      </c>
      <c r="S28" s="433">
        <f>IFERROR(GETPIVOTDATA("Sum of "&amp;'Front Sheet and Checklist'!$C$5,'Ref Bedplan'!$P$1,"Report Month",TEXT(Q28,"mmm-yy"),"Avail/Occupied","Occupied"),"")</f>
        <v>1224</v>
      </c>
      <c r="T28" s="442"/>
      <c r="U28" s="409"/>
      <c r="V28" s="441"/>
    </row>
    <row r="29" spans="17:22">
      <c r="Q29" s="432">
        <v>44317</v>
      </c>
      <c r="R29" s="426">
        <f>IFERROR(GETPIVOTDATA("Sum of "&amp;'Front Sheet and Checklist'!$C$5,'Ref Bedplan'!$P$1,"Report Month",TEXT(Q29,"mmm-yy"),"Avail/Occupied","Available"),"")</f>
        <v>1540</v>
      </c>
      <c r="S29" s="433">
        <f>IFERROR(GETPIVOTDATA("Sum of "&amp;'Front Sheet and Checklist'!$C$5,'Ref Bedplan'!$P$1,"Report Month",TEXT(Q29,"mmm-yy"),"Avail/Occupied","Occupied"),"")</f>
        <v>1263</v>
      </c>
      <c r="T29" s="442"/>
      <c r="U29" s="409"/>
      <c r="V29" s="441"/>
    </row>
    <row r="30" spans="17:22">
      <c r="Q30" s="432">
        <v>44348</v>
      </c>
      <c r="R30" s="426">
        <f>IFERROR(GETPIVOTDATA("Sum of "&amp;'Front Sheet and Checklist'!$C$5,'Ref Bedplan'!$P$1,"Report Month",TEXT(Q30,"mmm-yy"),"Avail/Occupied","Available"),"")</f>
        <v>1517</v>
      </c>
      <c r="S30" s="433">
        <f>IFERROR(GETPIVOTDATA("Sum of "&amp;'Front Sheet and Checklist'!$C$5,'Ref Bedplan'!$P$1,"Report Month",TEXT(Q30,"mmm-yy"),"Avail/Occupied","Occupied"),"")</f>
        <v>1277</v>
      </c>
      <c r="T30" s="442"/>
      <c r="U30" s="409"/>
      <c r="V30" s="441"/>
    </row>
    <row r="31" spans="17:22">
      <c r="Q31" s="432">
        <v>44378</v>
      </c>
      <c r="R31" s="426">
        <f>IFERROR(GETPIVOTDATA("Sum of "&amp;'Front Sheet and Checklist'!$C$5,'Ref Bedplan'!$P$1,"Report Month",TEXT(Q31,"mmm-yy"),"Avail/Occupied","Available"),"")</f>
        <v>1515</v>
      </c>
      <c r="S31" s="433">
        <f>IFERROR(GETPIVOTDATA("Sum of "&amp;'Front Sheet and Checklist'!$C$5,'Ref Bedplan'!$P$1,"Report Month",TEXT(Q31,"mmm-yy"),"Avail/Occupied","Occupied"),"")</f>
        <v>1261</v>
      </c>
      <c r="T31" s="442"/>
      <c r="U31" s="409"/>
      <c r="V31" s="441"/>
    </row>
    <row r="32" spans="17:22">
      <c r="Q32" s="432">
        <v>44409</v>
      </c>
      <c r="R32" s="426">
        <f>IFERROR(GETPIVOTDATA("Sum of "&amp;'Front Sheet and Checklist'!$C$5,'Ref Bedplan'!$P$1,"Report Month",TEXT(Q32,"mmm-yy"),"Avail/Occupied","Available"),"")</f>
        <v>1505</v>
      </c>
      <c r="S32" s="433">
        <f>IFERROR(GETPIVOTDATA("Sum of "&amp;'Front Sheet and Checklist'!$C$5,'Ref Bedplan'!$P$1,"Report Month",TEXT(Q32,"mmm-yy"),"Avail/Occupied","Occupied"),"")</f>
        <v>1264</v>
      </c>
      <c r="T32" s="442"/>
      <c r="U32" s="409"/>
      <c r="V32" s="441"/>
    </row>
    <row r="33" spans="17:22">
      <c r="Q33" s="432">
        <v>44440</v>
      </c>
      <c r="R33" s="426">
        <f>IFERROR(GETPIVOTDATA("Sum of "&amp;'Front Sheet and Checklist'!$C$5,'Ref Bedplan'!$P$1,"Report Month",TEXT(Q33,"mmm-yy"),"Avail/Occupied","Available"),"")</f>
        <v>1541</v>
      </c>
      <c r="S33" s="433">
        <f>IFERROR(GETPIVOTDATA("Sum of "&amp;'Front Sheet and Checklist'!$C$5,'Ref Bedplan'!$P$1,"Report Month",TEXT(Q33,"mmm-yy"),"Avail/Occupied","Occupied"),"")</f>
        <v>1310</v>
      </c>
      <c r="T33" s="442"/>
      <c r="U33" s="409"/>
      <c r="V33" s="441"/>
    </row>
    <row r="34" spans="17:22">
      <c r="Q34" s="432">
        <v>44470</v>
      </c>
      <c r="R34" s="426">
        <f>IFERROR(GETPIVOTDATA("Sum of "&amp;'Front Sheet and Checklist'!$C$5,'Ref Bedplan'!$P$1,"Report Month",TEXT(Q34,"mmm-yy"),"Avail/Occupied","Available"),"")</f>
        <v>1577</v>
      </c>
      <c r="S34" s="433">
        <f>IFERROR(GETPIVOTDATA("Sum of "&amp;'Front Sheet and Checklist'!$C$5,'Ref Bedplan'!$P$1,"Report Month",TEXT(Q34,"mmm-yy"),"Avail/Occupied","Occupied"),"")</f>
        <v>1317</v>
      </c>
      <c r="T34" s="442"/>
      <c r="U34" s="409"/>
      <c r="V34" s="441"/>
    </row>
    <row r="35" spans="17:22">
      <c r="Q35" s="432">
        <v>44501</v>
      </c>
      <c r="R35" s="426">
        <f>IFERROR(GETPIVOTDATA("Sum of "&amp;'Front Sheet and Checklist'!$C$5,'Ref Bedplan'!$P$1,"Report Month",TEXT(Q35,"mmm-yy"),"Avail/Occupied","Available"),"")</f>
        <v>1562</v>
      </c>
      <c r="S35" s="433">
        <f>IFERROR(GETPIVOTDATA("Sum of "&amp;'Front Sheet and Checklist'!$C$5,'Ref Bedplan'!$P$1,"Report Month",TEXT(Q35,"mmm-yy"),"Avail/Occupied","Occupied"),"")</f>
        <v>1321</v>
      </c>
      <c r="T35" s="442"/>
      <c r="U35" s="409"/>
      <c r="V35" s="441"/>
    </row>
    <row r="36" spans="17:22">
      <c r="Q36" s="432">
        <v>44531</v>
      </c>
      <c r="R36" s="426">
        <f>IFERROR(GETPIVOTDATA("Sum of "&amp;'Front Sheet and Checklist'!$C$5,'Ref Bedplan'!$P$1,"Report Month",TEXT(Q36,"mmm-yy"),"Avail/Occupied","Available"),"")</f>
        <v>1539</v>
      </c>
      <c r="S36" s="433">
        <f>IFERROR(GETPIVOTDATA("Sum of "&amp;'Front Sheet and Checklist'!$C$5,'Ref Bedplan'!$P$1,"Report Month",TEXT(Q36,"mmm-yy"),"Avail/Occupied","Occupied"),"")</f>
        <v>1261</v>
      </c>
      <c r="T36" s="442"/>
      <c r="U36" s="409"/>
      <c r="V36" s="441"/>
    </row>
    <row r="37" spans="17:22">
      <c r="Q37" s="432">
        <v>44562</v>
      </c>
      <c r="R37" s="426">
        <f>IFERROR(GETPIVOTDATA("Sum of "&amp;'Front Sheet and Checklist'!$C$5,'Ref Bedplan'!$P$1,"Report Month",TEXT(Q37,"mmm-yy"),"Avail/Occupied","Available"),"")</f>
        <v>1552</v>
      </c>
      <c r="S37" s="433">
        <f>IFERROR(GETPIVOTDATA("Sum of "&amp;'Front Sheet and Checklist'!$C$5,'Ref Bedplan'!$P$1,"Report Month",TEXT(Q37,"mmm-yy"),"Avail/Occupied","Occupied"),"")</f>
        <v>1297</v>
      </c>
      <c r="T37" s="442"/>
      <c r="U37" s="409"/>
      <c r="V37" s="441"/>
    </row>
    <row r="38" spans="17:22">
      <c r="Q38" s="432">
        <v>44593</v>
      </c>
      <c r="R38" s="426">
        <f>IFERROR(GETPIVOTDATA("Sum of "&amp;'Front Sheet and Checklist'!$C$5,'Ref Bedplan'!$P$1,"Report Month",TEXT(Q38,"mmm-yy"),"Avail/Occupied","Available"),"")</f>
        <v>1535</v>
      </c>
      <c r="S38" s="433">
        <f>IFERROR(GETPIVOTDATA("Sum of "&amp;'Front Sheet and Checklist'!$C$5,'Ref Bedplan'!$P$1,"Report Month",TEXT(Q38,"mmm-yy"),"Avail/Occupied","Occupied"),"")</f>
        <v>1300</v>
      </c>
      <c r="T38" s="442"/>
      <c r="U38" s="409"/>
      <c r="V38" s="441"/>
    </row>
    <row r="39" spans="17:22">
      <c r="Q39" s="432">
        <v>44621</v>
      </c>
      <c r="R39" s="426">
        <f>IFERROR(GETPIVOTDATA("Sum of "&amp;'Front Sheet and Checklist'!$C$5,'Ref Bedplan'!$P$1,"Report Month",TEXT(Q39,"mmm-yy"),"Avail/Occupied","Available"),"")</f>
        <v>1542</v>
      </c>
      <c r="S39" s="433">
        <f>IFERROR(GETPIVOTDATA("Sum of "&amp;'Front Sheet and Checklist'!$C$5,'Ref Bedplan'!$P$1,"Report Month",TEXT(Q39,"mmm-yy"),"Avail/Occupied","Occupied"),"")</f>
        <v>1294</v>
      </c>
      <c r="T39" s="442"/>
      <c r="U39" s="409"/>
      <c r="V39" s="441"/>
    </row>
    <row r="40" spans="17:22">
      <c r="Q40" s="432">
        <v>44652</v>
      </c>
      <c r="R40" s="426">
        <f>IFERROR(GETPIVOTDATA("Sum of "&amp;'Front Sheet and Checklist'!$C$5,'Ref Bedplan'!$P$1,"Report Month",TEXT(Q40,"mmm-yy"),"Avail/Occupied","Available"),"")</f>
        <v>1548</v>
      </c>
      <c r="S40" s="433">
        <f>IFERROR(GETPIVOTDATA("Sum of "&amp;'Front Sheet and Checklist'!$C$5,'Ref Bedplan'!$P$1,"Report Month",TEXT(Q40,"mmm-yy"),"Avail/Occupied","Occupied"),"")</f>
        <v>1302</v>
      </c>
      <c r="T40" s="442"/>
      <c r="U40" s="409"/>
      <c r="V40" s="441"/>
    </row>
    <row r="41" spans="17:22">
      <c r="Q41" s="432">
        <v>44682</v>
      </c>
      <c r="R41" s="426">
        <f>IFERROR(GETPIVOTDATA("Sum of "&amp;'Front Sheet and Checklist'!$C$5,'Ref Bedplan'!$P$1,"Report Month",TEXT(Q41,"mmm-yy"),"Avail/Occupied","Available"),"")</f>
        <v>1545</v>
      </c>
      <c r="S41" s="433">
        <f>IFERROR(GETPIVOTDATA("Sum of "&amp;'Front Sheet and Checklist'!$C$5,'Ref Bedplan'!$P$1,"Report Month",TEXT(Q41,"mmm-yy"),"Avail/Occupied","Occupied"),"")</f>
        <v>1305</v>
      </c>
      <c r="T41" s="442"/>
      <c r="U41" s="409"/>
      <c r="V41" s="441"/>
    </row>
    <row r="42" spans="17:22">
      <c r="Q42" s="432">
        <v>44713</v>
      </c>
      <c r="R42" s="426">
        <f>IFERROR(GETPIVOTDATA("Sum of "&amp;'Front Sheet and Checklist'!$C$5,'Ref Bedplan'!$P$1,"Report Month",TEXT(Q42,"mmm-yy"),"Avail/Occupied","Available"),"")</f>
        <v>1534</v>
      </c>
      <c r="S42" s="433">
        <f>IFERROR(GETPIVOTDATA("Sum of "&amp;'Front Sheet and Checklist'!$C$5,'Ref Bedplan'!$P$1,"Report Month",TEXT(Q42,"mmm-yy"),"Avail/Occupied","Occupied"),"")</f>
        <v>1322</v>
      </c>
      <c r="T42" s="442"/>
      <c r="U42" s="409"/>
      <c r="V42" s="441"/>
    </row>
    <row r="43" spans="17:22">
      <c r="Q43" s="432">
        <v>44743</v>
      </c>
      <c r="R43" s="426">
        <f>IFERROR(GETPIVOTDATA("Sum of "&amp;'Front Sheet and Checklist'!$C$5,'Ref Bedplan'!$P$1,"Report Month",TEXT(Q43,"mmm-yy"),"Avail/Occupied","Available"),"")</f>
        <v>1514</v>
      </c>
      <c r="S43" s="433">
        <f>IFERROR(GETPIVOTDATA("Sum of "&amp;'Front Sheet and Checklist'!$C$5,'Ref Bedplan'!$P$1,"Report Month",TEXT(Q43,"mmm-yy"),"Avail/Occupied","Occupied"),"")</f>
        <v>1318</v>
      </c>
      <c r="T43" s="442"/>
      <c r="U43" s="409"/>
      <c r="V43" s="441"/>
    </row>
    <row r="44" spans="17:22">
      <c r="Q44" s="432">
        <v>44774</v>
      </c>
      <c r="R44" s="426">
        <f>IFERROR(GETPIVOTDATA("Sum of "&amp;'Front Sheet and Checklist'!$C$5,'Ref Bedplan'!$P$1,"Report Month",TEXT(Q44,"mmm-yy"),"Avail/Occupied","Available"),"")</f>
        <v>1509</v>
      </c>
      <c r="S44" s="433">
        <f>IFERROR(GETPIVOTDATA("Sum of "&amp;'Front Sheet and Checklist'!$C$5,'Ref Bedplan'!$P$1,"Report Month",TEXT(Q44,"mmm-yy"),"Avail/Occupied","Occupied"),"")</f>
        <v>1301</v>
      </c>
      <c r="T44" s="442"/>
      <c r="U44" s="409"/>
      <c r="V44" s="441"/>
    </row>
    <row r="45" spans="17:22">
      <c r="Q45" s="432">
        <v>44805</v>
      </c>
      <c r="R45" s="426">
        <f>IFERROR(GETPIVOTDATA("Sum of "&amp;'Front Sheet and Checklist'!$C$5,'Ref Bedplan'!$P$1,"Report Month",TEXT(Q45,"mmm-yy"),"Avail/Occupied","Available"),"")</f>
        <v>1547</v>
      </c>
      <c r="S45" s="433">
        <f>IFERROR(GETPIVOTDATA("Sum of "&amp;'Front Sheet and Checklist'!$C$5,'Ref Bedplan'!$P$1,"Report Month",TEXT(Q45,"mmm-yy"),"Avail/Occupied","Occupied"),"")</f>
        <v>1347</v>
      </c>
      <c r="T45" s="442"/>
      <c r="U45" s="409"/>
      <c r="V45" s="441"/>
    </row>
    <row r="46" spans="17:22">
      <c r="Q46" s="432">
        <v>44835</v>
      </c>
      <c r="R46" s="426">
        <f>IFERROR(GETPIVOTDATA("Sum of "&amp;'Front Sheet and Checklist'!$C$5,'Ref Bedplan'!$P$1,"Report Month",TEXT(Q46,"mmm-yy"),"Avail/Occupied","Available"),"")</f>
        <v>1554</v>
      </c>
      <c r="S46" s="433">
        <f>IFERROR(GETPIVOTDATA("Sum of "&amp;'Front Sheet and Checklist'!$C$5,'Ref Bedplan'!$P$1,"Report Month",TEXT(Q46,"mmm-yy"),"Avail/Occupied","Occupied"),"")</f>
        <v>1357</v>
      </c>
      <c r="T46" s="442"/>
      <c r="U46" s="409"/>
      <c r="V46" s="441"/>
    </row>
    <row r="47" spans="17:22">
      <c r="Q47" s="432">
        <v>44866</v>
      </c>
      <c r="R47" s="426">
        <f>IFERROR(GETPIVOTDATA("Sum of "&amp;'Front Sheet and Checklist'!$C$5,'Ref Bedplan'!$P$1,"Report Month",TEXT(Q47,"mmm-yy"),"Avail/Occupied","Available"),"")</f>
        <v>1589</v>
      </c>
      <c r="S47" s="433">
        <f>IFERROR(GETPIVOTDATA("Sum of "&amp;'Front Sheet and Checklist'!$C$5,'Ref Bedplan'!$P$1,"Report Month",TEXT(Q47,"mmm-yy"),"Avail/Occupied","Occupied"),"")</f>
        <v>1357</v>
      </c>
      <c r="T47" s="442"/>
      <c r="U47" s="409"/>
      <c r="V47" s="441"/>
    </row>
    <row r="48" spans="17:22">
      <c r="Q48" s="432">
        <v>44896</v>
      </c>
      <c r="R48" s="426">
        <f>IFERROR(GETPIVOTDATA("Sum of "&amp;'Front Sheet and Checklist'!$C$5,'Ref Bedplan'!$P$1,"Report Month",TEXT(Q48,"mmm-yy"),"Avail/Occupied","Available"),"")</f>
        <v>1609</v>
      </c>
      <c r="S48" s="433">
        <f>IFERROR(GETPIVOTDATA("Sum of "&amp;'Front Sheet and Checklist'!$C$5,'Ref Bedplan'!$P$1,"Report Month",TEXT(Q48,"mmm-yy"),"Avail/Occupied","Occupied"),"")</f>
        <v>1374</v>
      </c>
      <c r="T48" s="442"/>
      <c r="U48" s="409"/>
      <c r="V48" s="441"/>
    </row>
    <row r="49" spans="17:22">
      <c r="Q49" s="432">
        <v>44927</v>
      </c>
      <c r="R49" s="426">
        <f>IFERROR(GETPIVOTDATA("Sum of "&amp;'Front Sheet and Checklist'!$C$5,'Ref Bedplan'!$P$1,"Report Month",TEXT(Q49,"mmm-yy"),"Avail/Occupied","Available"),"")</f>
        <v>1586</v>
      </c>
      <c r="S49" s="433">
        <f>IFERROR(GETPIVOTDATA("Sum of "&amp;'Front Sheet and Checklist'!$C$5,'Ref Bedplan'!$P$1,"Report Month",TEXT(Q49,"mmm-yy"),"Avail/Occupied","Occupied"),"")</f>
        <v>1348</v>
      </c>
      <c r="T49" s="442"/>
      <c r="U49" s="409"/>
      <c r="V49" s="441"/>
    </row>
    <row r="50" spans="17:22">
      <c r="Q50" s="432">
        <v>44958</v>
      </c>
      <c r="R50" s="426">
        <f>IFERROR(GETPIVOTDATA("Sum of "&amp;'Front Sheet and Checklist'!$C$5,'Ref Bedplan'!$P$1,"Report Month",TEXT(Q50,"mmm-yy"),"Avail/Occupied","Available"),"")</f>
        <v>1548</v>
      </c>
      <c r="S50" s="433">
        <f>IFERROR(GETPIVOTDATA("Sum of "&amp;'Front Sheet and Checklist'!$C$5,'Ref Bedplan'!$P$1,"Report Month",TEXT(Q50,"mmm-yy"),"Avail/Occupied","Occupied"),"")</f>
        <v>1320</v>
      </c>
      <c r="T50" s="442"/>
      <c r="U50" s="409"/>
      <c r="V50" s="441"/>
    </row>
    <row r="51" spans="17:22">
      <c r="Q51" s="432">
        <v>44986</v>
      </c>
      <c r="R51" s="426">
        <f>IFERROR(GETPIVOTDATA("Sum of "&amp;'Front Sheet and Checklist'!$C$5,'Ref Bedplan'!$P$1,"Report Month",TEXT(Q51,"mmm-yy"),"Avail/Occupied","Available"),"")</f>
        <v>1560</v>
      </c>
      <c r="S51" s="433">
        <f>IFERROR(GETPIVOTDATA("Sum of "&amp;'Front Sheet and Checklist'!$C$5,'Ref Bedplan'!$P$1,"Report Month",TEXT(Q51,"mmm-yy"),"Avail/Occupied","Occupied"),"")</f>
        <v>1312</v>
      </c>
      <c r="T51" s="443" t="e">
        <f>#REF!</f>
        <v>#REF!</v>
      </c>
      <c r="U51" s="427" t="e">
        <f>SUM(#REF!)</f>
        <v>#REF!</v>
      </c>
      <c r="V51" s="444" t="e">
        <f>#REF!</f>
        <v>#REF!</v>
      </c>
    </row>
    <row r="52" spans="17:22">
      <c r="Q52" s="432">
        <v>45017</v>
      </c>
      <c r="R52" s="426">
        <f>IFERROR(GETPIVOTDATA("Sum of "&amp;'Front Sheet and Checklist'!$C$5,'Ref Bedplan'!$P$1,"Report Month",TEXT(Q52,"mmm-yy"),"Avail/Occupied","Available"),"")</f>
        <v>1539</v>
      </c>
      <c r="S52" s="433">
        <f>IFERROR(GETPIVOTDATA("Sum of "&amp;'Front Sheet and Checklist'!$C$5,'Ref Bedplan'!$P$1,"Report Month",TEXT(Q52,"mmm-yy"),"Avail/Occupied","Occupied"),"")</f>
        <v>1325</v>
      </c>
      <c r="T52" s="445" t="e">
        <f>(T$63-T$51)/12+T51</f>
        <v>#REF!</v>
      </c>
      <c r="U52" s="426" t="e">
        <f>(U$63-U$51)/12+U51</f>
        <v>#REF!</v>
      </c>
      <c r="V52" s="433" t="e">
        <f>(V$63-V$51)/12+V51</f>
        <v>#REF!</v>
      </c>
    </row>
    <row r="53" spans="17:22">
      <c r="Q53" s="432">
        <v>45047</v>
      </c>
      <c r="R53" s="426">
        <f>IFERROR(GETPIVOTDATA("Sum of "&amp;'Front Sheet and Checklist'!$C$5,'Ref Bedplan'!$P$1,"Report Month",TEXT(Q53,"mmm-yy"),"Avail/Occupied","Available"),"")</f>
        <v>1520</v>
      </c>
      <c r="S53" s="433">
        <f>IFERROR(GETPIVOTDATA("Sum of "&amp;'Front Sheet and Checklist'!$C$5,'Ref Bedplan'!$P$1,"Report Month",TEXT(Q53,"mmm-yy"),"Avail/Occupied","Occupied"),"")</f>
        <v>1317</v>
      </c>
      <c r="T53" s="445" t="e">
        <f t="shared" ref="T53:V62" si="3">(T$63-T$51)/12+T52</f>
        <v>#REF!</v>
      </c>
      <c r="U53" s="426" t="e">
        <f t="shared" si="3"/>
        <v>#REF!</v>
      </c>
      <c r="V53" s="433" t="e">
        <f t="shared" si="3"/>
        <v>#REF!</v>
      </c>
    </row>
    <row r="54" spans="17:22">
      <c r="Q54" s="432">
        <v>45078</v>
      </c>
      <c r="R54" s="426">
        <f>IFERROR(GETPIVOTDATA("Sum of "&amp;'Front Sheet and Checklist'!$C$5,'Ref Bedplan'!$P$1,"Report Month",TEXT(Q54,"mmm-yy"),"Avail/Occupied","Available"),"")</f>
        <v>1512</v>
      </c>
      <c r="S54" s="433">
        <f>IFERROR(GETPIVOTDATA("Sum of "&amp;'Front Sheet and Checklist'!$C$5,'Ref Bedplan'!$P$1,"Report Month",TEXT(Q54,"mmm-yy"),"Avail/Occupied","Occupied"),"")</f>
        <v>1322</v>
      </c>
      <c r="T54" s="445" t="e">
        <f t="shared" si="3"/>
        <v>#REF!</v>
      </c>
      <c r="U54" s="426" t="e">
        <f t="shared" si="3"/>
        <v>#REF!</v>
      </c>
      <c r="V54" s="433" t="e">
        <f t="shared" si="3"/>
        <v>#REF!</v>
      </c>
    </row>
    <row r="55" spans="17:22">
      <c r="Q55" s="432">
        <v>45108</v>
      </c>
      <c r="R55" s="426">
        <f>IFERROR(GETPIVOTDATA("Sum of "&amp;'Front Sheet and Checklist'!$C$5,'Ref Bedplan'!$P$1,"Report Month",TEXT(Q55,"mmm-yy"),"Avail/Occupied","Available"),"")</f>
        <v>1488</v>
      </c>
      <c r="S55" s="433">
        <f>IFERROR(GETPIVOTDATA("Sum of "&amp;'Front Sheet and Checklist'!$C$5,'Ref Bedplan'!$P$1,"Report Month",TEXT(Q55,"mmm-yy"),"Avail/Occupied","Occupied"),"")</f>
        <v>1279</v>
      </c>
      <c r="T55" s="445" t="e">
        <f t="shared" si="3"/>
        <v>#REF!</v>
      </c>
      <c r="U55" s="426" t="e">
        <f t="shared" si="3"/>
        <v>#REF!</v>
      </c>
      <c r="V55" s="433" t="e">
        <f t="shared" si="3"/>
        <v>#REF!</v>
      </c>
    </row>
    <row r="56" spans="17:22">
      <c r="Q56" s="432">
        <v>45139</v>
      </c>
      <c r="R56" s="426"/>
      <c r="S56" s="433"/>
      <c r="T56" s="445" t="e">
        <f t="shared" si="3"/>
        <v>#REF!</v>
      </c>
      <c r="U56" s="426" t="e">
        <f t="shared" si="3"/>
        <v>#REF!</v>
      </c>
      <c r="V56" s="433" t="e">
        <f t="shared" si="3"/>
        <v>#REF!</v>
      </c>
    </row>
    <row r="57" spans="17:22">
      <c r="Q57" s="432">
        <v>45170</v>
      </c>
      <c r="R57" s="426"/>
      <c r="S57" s="433"/>
      <c r="T57" s="445" t="e">
        <f t="shared" si="3"/>
        <v>#REF!</v>
      </c>
      <c r="U57" s="426" t="e">
        <f t="shared" si="3"/>
        <v>#REF!</v>
      </c>
      <c r="V57" s="433" t="e">
        <f t="shared" si="3"/>
        <v>#REF!</v>
      </c>
    </row>
    <row r="58" spans="17:22">
      <c r="Q58" s="432">
        <v>45200</v>
      </c>
      <c r="R58" s="426"/>
      <c r="S58" s="433"/>
      <c r="T58" s="445" t="e">
        <f t="shared" si="3"/>
        <v>#REF!</v>
      </c>
      <c r="U58" s="426" t="e">
        <f t="shared" si="3"/>
        <v>#REF!</v>
      </c>
      <c r="V58" s="433" t="e">
        <f t="shared" si="3"/>
        <v>#REF!</v>
      </c>
    </row>
    <row r="59" spans="17:22">
      <c r="Q59" s="432">
        <v>45231</v>
      </c>
      <c r="R59" s="426"/>
      <c r="S59" s="433"/>
      <c r="T59" s="445" t="e">
        <f t="shared" si="3"/>
        <v>#REF!</v>
      </c>
      <c r="U59" s="426" t="e">
        <f t="shared" si="3"/>
        <v>#REF!</v>
      </c>
      <c r="V59" s="433" t="e">
        <f t="shared" si="3"/>
        <v>#REF!</v>
      </c>
    </row>
    <row r="60" spans="17:22">
      <c r="Q60" s="432">
        <v>45261</v>
      </c>
      <c r="R60" s="426"/>
      <c r="S60" s="433"/>
      <c r="T60" s="445" t="e">
        <f t="shared" si="3"/>
        <v>#REF!</v>
      </c>
      <c r="U60" s="426" t="e">
        <f t="shared" si="3"/>
        <v>#REF!</v>
      </c>
      <c r="V60" s="433" t="e">
        <f t="shared" si="3"/>
        <v>#REF!</v>
      </c>
    </row>
    <row r="61" spans="17:22">
      <c r="Q61" s="432">
        <v>45292</v>
      </c>
      <c r="R61" s="426"/>
      <c r="S61" s="433"/>
      <c r="T61" s="445" t="e">
        <f t="shared" si="3"/>
        <v>#REF!</v>
      </c>
      <c r="U61" s="426" t="e">
        <f t="shared" si="3"/>
        <v>#REF!</v>
      </c>
      <c r="V61" s="433" t="e">
        <f t="shared" si="3"/>
        <v>#REF!</v>
      </c>
    </row>
    <row r="62" spans="17:22">
      <c r="Q62" s="432">
        <v>45323</v>
      </c>
      <c r="R62" s="426"/>
      <c r="S62" s="433"/>
      <c r="T62" s="445" t="e">
        <f t="shared" si="3"/>
        <v>#REF!</v>
      </c>
      <c r="U62" s="426" t="e">
        <f t="shared" si="3"/>
        <v>#REF!</v>
      </c>
      <c r="V62" s="433" t="e">
        <f t="shared" si="3"/>
        <v>#REF!</v>
      </c>
    </row>
    <row r="63" spans="17:22">
      <c r="Q63" s="432">
        <v>45352</v>
      </c>
      <c r="R63" s="426"/>
      <c r="S63" s="433"/>
      <c r="T63" s="443" t="e">
        <f>#REF!</f>
        <v>#REF!</v>
      </c>
      <c r="U63" s="427" t="e">
        <f>SUM(#REF!)</f>
        <v>#REF!</v>
      </c>
      <c r="V63" s="444" t="e">
        <f>#REF!</f>
        <v>#REF!</v>
      </c>
    </row>
    <row r="64" spans="17:22">
      <c r="Q64" s="432">
        <v>45383</v>
      </c>
      <c r="R64" s="426"/>
      <c r="S64" s="433"/>
      <c r="T64" s="445" t="e">
        <f>(T66-T63)/3+T63</f>
        <v>#REF!</v>
      </c>
      <c r="U64" s="426" t="e">
        <f>(U66-U63)/3+U63</f>
        <v>#REF!</v>
      </c>
      <c r="V64" s="433" t="e">
        <f>(V66-V63)/3+V63</f>
        <v>#REF!</v>
      </c>
    </row>
    <row r="65" spans="17:22">
      <c r="Q65" s="432">
        <v>45413</v>
      </c>
      <c r="R65" s="426"/>
      <c r="S65" s="433"/>
      <c r="T65" s="445" t="e">
        <f>(T66-T63)/3+T64</f>
        <v>#REF!</v>
      </c>
      <c r="U65" s="426" t="e">
        <f>(U66-U63)/3+U64</f>
        <v>#REF!</v>
      </c>
      <c r="V65" s="433" t="e">
        <f>(V66-V63)/3+V64</f>
        <v>#REF!</v>
      </c>
    </row>
    <row r="66" spans="17:22">
      <c r="Q66" s="432">
        <v>45444</v>
      </c>
      <c r="R66" s="426"/>
      <c r="S66" s="433"/>
      <c r="T66" s="443" t="e">
        <f>#REF!</f>
        <v>#REF!</v>
      </c>
      <c r="U66" s="427" t="e">
        <f>SUM(#REF!)</f>
        <v>#REF!</v>
      </c>
      <c r="V66" s="444" t="e">
        <f>#REF!</f>
        <v>#REF!</v>
      </c>
    </row>
    <row r="67" spans="17:22">
      <c r="Q67" s="432">
        <v>45474</v>
      </c>
      <c r="R67" s="426"/>
      <c r="S67" s="433"/>
      <c r="T67" s="445" t="e">
        <f>(T69-T66)/3+T66</f>
        <v>#REF!</v>
      </c>
      <c r="U67" s="426" t="e">
        <f>(U69-U66)/3+U66</f>
        <v>#REF!</v>
      </c>
      <c r="V67" s="433" t="e">
        <f>(V69-V66)/3+V66</f>
        <v>#REF!</v>
      </c>
    </row>
    <row r="68" spans="17:22">
      <c r="Q68" s="432">
        <v>45505</v>
      </c>
      <c r="R68" s="428"/>
      <c r="S68" s="434"/>
      <c r="T68" s="445" t="e">
        <f>(T69-T66)/3+T67</f>
        <v>#REF!</v>
      </c>
      <c r="U68" s="426" t="e">
        <f>(U69-U66)/3+U67</f>
        <v>#REF!</v>
      </c>
      <c r="V68" s="433" t="e">
        <f>(V69-V66)/3+V67</f>
        <v>#REF!</v>
      </c>
    </row>
    <row r="69" spans="17:22">
      <c r="Q69" s="432">
        <v>45536</v>
      </c>
      <c r="R69" s="428"/>
      <c r="S69" s="434"/>
      <c r="T69" s="443" t="e">
        <f>#REF!</f>
        <v>#REF!</v>
      </c>
      <c r="U69" s="427" t="e">
        <f>SUM(#REF!)</f>
        <v>#REF!</v>
      </c>
      <c r="V69" s="444" t="e">
        <f>#REF!</f>
        <v>#REF!</v>
      </c>
    </row>
    <row r="70" spans="17:22">
      <c r="Q70" s="432">
        <v>45566</v>
      </c>
      <c r="R70" s="428"/>
      <c r="S70" s="434"/>
      <c r="T70" s="445" t="e">
        <f>(T72-T69)/3+T69</f>
        <v>#REF!</v>
      </c>
      <c r="U70" s="426" t="e">
        <f>(U72-U69)/3+U69</f>
        <v>#REF!</v>
      </c>
      <c r="V70" s="433" t="e">
        <f>(V72-V69)/3+V69</f>
        <v>#REF!</v>
      </c>
    </row>
    <row r="71" spans="17:22">
      <c r="Q71" s="432">
        <v>45597</v>
      </c>
      <c r="R71" s="428"/>
      <c r="S71" s="434"/>
      <c r="T71" s="445" t="e">
        <f>(T72-T69)/3+T70</f>
        <v>#REF!</v>
      </c>
      <c r="U71" s="426" t="e">
        <f>(U72-U69)/3+U70</f>
        <v>#REF!</v>
      </c>
      <c r="V71" s="433" t="e">
        <f>(V72-V69)/3+V70</f>
        <v>#REF!</v>
      </c>
    </row>
    <row r="72" spans="17:22">
      <c r="Q72" s="432">
        <v>45627</v>
      </c>
      <c r="R72" s="428"/>
      <c r="S72" s="434"/>
      <c r="T72" s="443" t="e">
        <f>#REF!</f>
        <v>#REF!</v>
      </c>
      <c r="U72" s="427" t="e">
        <f>SUM(#REF!)</f>
        <v>#REF!</v>
      </c>
      <c r="V72" s="444" t="e">
        <f>#REF!</f>
        <v>#REF!</v>
      </c>
    </row>
    <row r="73" spans="17:22">
      <c r="Q73" s="432">
        <v>45658</v>
      </c>
      <c r="R73" s="428"/>
      <c r="S73" s="434"/>
      <c r="T73" s="445" t="e">
        <f>(T75-T72)/3+T72</f>
        <v>#REF!</v>
      </c>
      <c r="U73" s="426" t="e">
        <f>(U75-U72)/3+U72</f>
        <v>#REF!</v>
      </c>
      <c r="V73" s="433" t="e">
        <f>(V75-V72)/3+V72</f>
        <v>#REF!</v>
      </c>
    </row>
    <row r="74" spans="17:22">
      <c r="Q74" s="432">
        <v>45689</v>
      </c>
      <c r="R74" s="428"/>
      <c r="S74" s="434"/>
      <c r="T74" s="445" t="e">
        <f>(T75-T72)/3+T73</f>
        <v>#REF!</v>
      </c>
      <c r="U74" s="426" t="e">
        <f>(U75-U72)/3+U73</f>
        <v>#REF!</v>
      </c>
      <c r="V74" s="433" t="e">
        <f>(V75-V72)/3+V73</f>
        <v>#REF!</v>
      </c>
    </row>
    <row r="75" spans="17:22" ht="16" thickBot="1">
      <c r="Q75" s="435">
        <v>45717</v>
      </c>
      <c r="R75" s="436"/>
      <c r="S75" s="437"/>
      <c r="T75" s="446" t="e">
        <f>#REF!</f>
        <v>#REF!</v>
      </c>
      <c r="U75" s="447" t="e">
        <f>SUM(#REF!)</f>
        <v>#REF!</v>
      </c>
      <c r="V75" s="448" t="e">
        <f>#REF!</f>
        <v>#REF!</v>
      </c>
    </row>
    <row r="76" spans="17:22">
      <c r="T76" s="194"/>
      <c r="U76" s="194"/>
    </row>
    <row r="77" spans="17:22">
      <c r="T77" s="194"/>
      <c r="U77" s="194"/>
    </row>
    <row r="78" spans="17:22">
      <c r="T78" s="194"/>
      <c r="U78" s="194"/>
    </row>
    <row r="79" spans="17:22">
      <c r="T79" s="194"/>
      <c r="U79" s="194"/>
    </row>
    <row r="80" spans="17:22">
      <c r="T80" s="194"/>
      <c r="U80" s="194"/>
    </row>
    <row r="81" spans="20:21">
      <c r="T81" s="194"/>
      <c r="U81" s="194"/>
    </row>
    <row r="82" spans="20:21">
      <c r="T82" s="194"/>
      <c r="U82" s="194"/>
    </row>
    <row r="83" spans="20:21">
      <c r="T83" s="194"/>
      <c r="U83" s="194"/>
    </row>
    <row r="84" spans="20:21">
      <c r="T84" s="194"/>
    </row>
    <row r="85" spans="20:21">
      <c r="T85" s="194"/>
    </row>
    <row r="86" spans="20:21">
      <c r="T86" s="194"/>
    </row>
    <row r="87" spans="20:21">
      <c r="T87" s="194"/>
    </row>
    <row r="88" spans="20:21">
      <c r="T88" s="194"/>
    </row>
    <row r="89" spans="20:21">
      <c r="T89" s="194"/>
    </row>
    <row r="90" spans="20:21">
      <c r="T90" s="194"/>
    </row>
    <row r="91" spans="20:21">
      <c r="T91" s="194"/>
    </row>
    <row r="92" spans="20:21">
      <c r="T92" s="194"/>
    </row>
    <row r="93" spans="20:21">
      <c r="T93" s="194"/>
    </row>
    <row r="94" spans="20:21">
      <c r="T94" s="194"/>
    </row>
    <row r="95" spans="20:21">
      <c r="T95" s="194"/>
    </row>
    <row r="96" spans="20:21">
      <c r="T96" s="194"/>
    </row>
    <row r="97" spans="20:20">
      <c r="T97" s="194"/>
    </row>
    <row r="98" spans="20:20">
      <c r="T98" s="194"/>
    </row>
    <row r="99" spans="20:20">
      <c r="T99" s="194"/>
    </row>
    <row r="100" spans="20:20">
      <c r="T100" s="194"/>
    </row>
    <row r="101" spans="20:20">
      <c r="T101" s="194"/>
    </row>
    <row r="102" spans="20:20">
      <c r="T102" s="194"/>
    </row>
    <row r="103" spans="20:20">
      <c r="T103" s="194"/>
    </row>
    <row r="104" spans="20:20">
      <c r="T104" s="194"/>
    </row>
    <row r="105" spans="20:20">
      <c r="T105" s="194"/>
    </row>
    <row r="106" spans="20:20">
      <c r="T106" s="194"/>
    </row>
    <row r="107" spans="20:20">
      <c r="T107" s="194"/>
    </row>
    <row r="108" spans="20:20">
      <c r="T108" s="194"/>
    </row>
    <row r="109" spans="20:20">
      <c r="T109" s="194"/>
    </row>
  </sheetData>
  <sheetProtection sheet="1" objects="1" scenarios="1"/>
  <pageMargins left="0.7" right="0.7" top="0.75" bottom="0.75" header="0.3" footer="0.3"/>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tint="-0.499984740745262"/>
  </sheetPr>
  <dimension ref="A1:Q128"/>
  <sheetViews>
    <sheetView zoomScale="85" zoomScaleNormal="85" workbookViewId="0">
      <selection activeCell="G8" sqref="G8"/>
    </sheetView>
  </sheetViews>
  <sheetFormatPr defaultRowHeight="15.5"/>
  <cols>
    <col min="1" max="1" width="12.765625" customWidth="1"/>
    <col min="4" max="4" width="47.53515625" bestFit="1" customWidth="1"/>
    <col min="15" max="15" width="26.765625" customWidth="1"/>
  </cols>
  <sheetData>
    <row r="1" spans="1:17">
      <c r="A1" s="149" t="s">
        <v>1154</v>
      </c>
      <c r="C1" s="149" t="s">
        <v>1155</v>
      </c>
      <c r="D1" t="s">
        <v>1156</v>
      </c>
      <c r="M1" s="149" t="s">
        <v>1155</v>
      </c>
      <c r="N1" t="s">
        <v>1157</v>
      </c>
    </row>
    <row r="3" spans="1:17">
      <c r="A3" t="str">
        <f>IFERROR(INDEX('Ref Lists'!$A$1:$B$16,MATCH('Front Sheet and Checklist'!$C$5,'Ref Lists'!$B$1:$B$16,0),1),"None Selected")</f>
        <v>SB</v>
      </c>
      <c r="C3" t="s">
        <v>1158</v>
      </c>
      <c r="D3" t="s">
        <v>179</v>
      </c>
      <c r="E3" t="s">
        <v>1159</v>
      </c>
      <c r="F3" t="s">
        <v>1066</v>
      </c>
      <c r="M3" t="s">
        <v>426</v>
      </c>
      <c r="N3" t="s">
        <v>427</v>
      </c>
      <c r="O3" t="s">
        <v>428</v>
      </c>
      <c r="P3" t="s">
        <v>434</v>
      </c>
      <c r="Q3" t="s">
        <v>1160</v>
      </c>
    </row>
    <row r="4" spans="1:17">
      <c r="C4" t="s">
        <v>743</v>
      </c>
      <c r="D4" t="s">
        <v>375</v>
      </c>
      <c r="E4">
        <v>37371</v>
      </c>
      <c r="F4">
        <v>27365</v>
      </c>
      <c r="M4" t="s">
        <v>743</v>
      </c>
      <c r="N4">
        <v>8</v>
      </c>
      <c r="O4" t="s">
        <v>451</v>
      </c>
      <c r="P4">
        <v>192691</v>
      </c>
      <c r="Q4" t="s">
        <v>552</v>
      </c>
    </row>
    <row r="5" spans="1:17">
      <c r="C5" t="s">
        <v>743</v>
      </c>
      <c r="D5" t="s">
        <v>376</v>
      </c>
      <c r="E5">
        <v>40351</v>
      </c>
      <c r="F5">
        <v>35791</v>
      </c>
      <c r="M5" t="s">
        <v>743</v>
      </c>
      <c r="N5">
        <v>9</v>
      </c>
      <c r="O5" t="s">
        <v>450</v>
      </c>
      <c r="P5">
        <v>114331</v>
      </c>
      <c r="Q5" t="s">
        <v>550</v>
      </c>
    </row>
    <row r="6" spans="1:17">
      <c r="C6" t="s">
        <v>743</v>
      </c>
      <c r="D6" t="s">
        <v>377</v>
      </c>
      <c r="E6">
        <v>2723</v>
      </c>
      <c r="F6">
        <v>2723</v>
      </c>
      <c r="M6" t="s">
        <v>743</v>
      </c>
      <c r="N6">
        <v>10</v>
      </c>
      <c r="O6" t="s">
        <v>433</v>
      </c>
      <c r="P6">
        <v>747005</v>
      </c>
      <c r="Q6" t="s">
        <v>548</v>
      </c>
    </row>
    <row r="7" spans="1:17">
      <c r="C7" t="s">
        <v>743</v>
      </c>
      <c r="D7" t="s">
        <v>378</v>
      </c>
      <c r="E7">
        <v>1629</v>
      </c>
      <c r="F7">
        <v>1629</v>
      </c>
      <c r="M7" t="s">
        <v>743</v>
      </c>
      <c r="N7">
        <v>11</v>
      </c>
      <c r="O7" t="s">
        <v>445</v>
      </c>
      <c r="P7">
        <v>147627</v>
      </c>
      <c r="Q7" t="s">
        <v>549</v>
      </c>
    </row>
    <row r="8" spans="1:17">
      <c r="C8" t="s">
        <v>743</v>
      </c>
      <c r="D8" t="s">
        <v>379</v>
      </c>
      <c r="E8">
        <v>12453</v>
      </c>
      <c r="F8">
        <v>12453</v>
      </c>
      <c r="M8" t="s">
        <v>743</v>
      </c>
      <c r="N8">
        <v>12</v>
      </c>
      <c r="O8" t="s">
        <v>454</v>
      </c>
      <c r="P8">
        <v>61664</v>
      </c>
      <c r="Q8" t="s">
        <v>551</v>
      </c>
    </row>
    <row r="9" spans="1:17">
      <c r="C9" t="s">
        <v>743</v>
      </c>
      <c r="D9" t="s">
        <v>552</v>
      </c>
      <c r="E9">
        <v>2600</v>
      </c>
      <c r="F9">
        <v>1000</v>
      </c>
      <c r="M9" t="s">
        <v>743</v>
      </c>
      <c r="N9">
        <v>13</v>
      </c>
      <c r="O9" t="s">
        <v>441</v>
      </c>
      <c r="P9">
        <v>317050</v>
      </c>
      <c r="Q9" t="s">
        <v>441</v>
      </c>
    </row>
    <row r="10" spans="1:17">
      <c r="C10" t="s">
        <v>743</v>
      </c>
      <c r="D10" t="s">
        <v>553</v>
      </c>
      <c r="E10">
        <v>20272</v>
      </c>
      <c r="F10">
        <v>20272</v>
      </c>
      <c r="M10" t="s">
        <v>743</v>
      </c>
      <c r="N10">
        <v>15</v>
      </c>
      <c r="O10" t="s">
        <v>437</v>
      </c>
      <c r="P10">
        <v>110400</v>
      </c>
      <c r="Q10" t="s">
        <v>379</v>
      </c>
    </row>
    <row r="11" spans="1:17">
      <c r="C11" t="s">
        <v>743</v>
      </c>
      <c r="D11" t="s">
        <v>554</v>
      </c>
      <c r="E11">
        <v>0</v>
      </c>
      <c r="F11">
        <v>0</v>
      </c>
      <c r="M11" t="s">
        <v>743</v>
      </c>
      <c r="N11">
        <v>16</v>
      </c>
      <c r="O11" t="s">
        <v>449</v>
      </c>
      <c r="P11">
        <v>13946</v>
      </c>
      <c r="Q11" t="s">
        <v>449</v>
      </c>
    </row>
    <row r="12" spans="1:17">
      <c r="C12" t="s">
        <v>743</v>
      </c>
      <c r="D12" t="s">
        <v>449</v>
      </c>
      <c r="E12">
        <v>0</v>
      </c>
      <c r="F12">
        <v>0</v>
      </c>
      <c r="M12" t="s">
        <v>743</v>
      </c>
      <c r="N12">
        <v>17</v>
      </c>
      <c r="O12" t="s">
        <v>443</v>
      </c>
      <c r="P12">
        <v>47504</v>
      </c>
      <c r="Q12" t="s">
        <v>555</v>
      </c>
    </row>
    <row r="13" spans="1:17">
      <c r="C13" t="s">
        <v>743</v>
      </c>
      <c r="D13" t="s">
        <v>555</v>
      </c>
      <c r="E13">
        <v>194</v>
      </c>
      <c r="F13">
        <v>196</v>
      </c>
      <c r="M13" t="s">
        <v>743</v>
      </c>
      <c r="N13">
        <v>18</v>
      </c>
      <c r="O13" t="s">
        <v>444</v>
      </c>
      <c r="P13">
        <v>1525</v>
      </c>
    </row>
    <row r="14" spans="1:17">
      <c r="C14" t="s">
        <v>769</v>
      </c>
      <c r="D14" t="s">
        <v>375</v>
      </c>
      <c r="E14">
        <v>30631</v>
      </c>
      <c r="F14">
        <v>19182</v>
      </c>
      <c r="M14" t="s">
        <v>743</v>
      </c>
      <c r="N14">
        <v>22</v>
      </c>
      <c r="O14" t="s">
        <v>439</v>
      </c>
      <c r="P14">
        <v>49836.398000000001</v>
      </c>
    </row>
    <row r="15" spans="1:17">
      <c r="C15" t="s">
        <v>769</v>
      </c>
      <c r="D15" t="s">
        <v>376</v>
      </c>
      <c r="E15">
        <v>32065</v>
      </c>
      <c r="F15">
        <v>19377</v>
      </c>
      <c r="M15" t="s">
        <v>743</v>
      </c>
      <c r="N15">
        <v>23</v>
      </c>
      <c r="O15" t="s">
        <v>435</v>
      </c>
      <c r="P15">
        <v>-19032.419999999998</v>
      </c>
    </row>
    <row r="16" spans="1:17">
      <c r="C16" t="s">
        <v>769</v>
      </c>
      <c r="D16" t="s">
        <v>377</v>
      </c>
      <c r="E16">
        <v>9650</v>
      </c>
      <c r="F16">
        <v>9650</v>
      </c>
      <c r="M16" t="s">
        <v>743</v>
      </c>
      <c r="N16">
        <v>25</v>
      </c>
      <c r="O16" t="s">
        <v>452</v>
      </c>
      <c r="P16">
        <v>-530</v>
      </c>
    </row>
    <row r="17" spans="3:17">
      <c r="C17" t="s">
        <v>769</v>
      </c>
      <c r="D17" t="s">
        <v>378</v>
      </c>
      <c r="E17">
        <v>9182</v>
      </c>
      <c r="F17">
        <v>9182</v>
      </c>
      <c r="M17" t="s">
        <v>769</v>
      </c>
      <c r="N17">
        <v>8</v>
      </c>
      <c r="O17" t="s">
        <v>451</v>
      </c>
      <c r="P17">
        <v>222113</v>
      </c>
      <c r="Q17" t="s">
        <v>552</v>
      </c>
    </row>
    <row r="18" spans="3:17">
      <c r="C18" t="s">
        <v>769</v>
      </c>
      <c r="D18" t="s">
        <v>379</v>
      </c>
      <c r="E18">
        <v>14762</v>
      </c>
      <c r="F18">
        <v>14762</v>
      </c>
      <c r="M18" t="s">
        <v>769</v>
      </c>
      <c r="N18">
        <v>9</v>
      </c>
      <c r="O18" t="s">
        <v>450</v>
      </c>
      <c r="P18">
        <v>120819</v>
      </c>
      <c r="Q18" t="s">
        <v>550</v>
      </c>
    </row>
    <row r="19" spans="3:17">
      <c r="C19" t="s">
        <v>769</v>
      </c>
      <c r="D19" t="s">
        <v>552</v>
      </c>
      <c r="E19">
        <v>10650</v>
      </c>
      <c r="F19">
        <v>10650</v>
      </c>
      <c r="M19" t="s">
        <v>769</v>
      </c>
      <c r="N19">
        <v>10</v>
      </c>
      <c r="O19" t="s">
        <v>433</v>
      </c>
      <c r="P19">
        <v>1011602</v>
      </c>
      <c r="Q19" t="s">
        <v>548</v>
      </c>
    </row>
    <row r="20" spans="3:17">
      <c r="C20" t="s">
        <v>769</v>
      </c>
      <c r="D20" t="s">
        <v>553</v>
      </c>
      <c r="E20">
        <v>10260</v>
      </c>
      <c r="F20">
        <v>10260</v>
      </c>
      <c r="M20" t="s">
        <v>769</v>
      </c>
      <c r="N20">
        <v>11</v>
      </c>
      <c r="O20" t="s">
        <v>445</v>
      </c>
      <c r="P20">
        <v>210517</v>
      </c>
      <c r="Q20" t="s">
        <v>549</v>
      </c>
    </row>
    <row r="21" spans="3:17">
      <c r="C21" t="s">
        <v>769</v>
      </c>
      <c r="D21" t="s">
        <v>554</v>
      </c>
      <c r="E21">
        <v>0</v>
      </c>
      <c r="F21">
        <v>0</v>
      </c>
      <c r="M21" t="s">
        <v>769</v>
      </c>
      <c r="N21">
        <v>12</v>
      </c>
      <c r="O21" t="s">
        <v>454</v>
      </c>
      <c r="P21">
        <v>82882</v>
      </c>
      <c r="Q21" t="s">
        <v>551</v>
      </c>
    </row>
    <row r="22" spans="3:17">
      <c r="C22" t="s">
        <v>769</v>
      </c>
      <c r="D22" t="s">
        <v>449</v>
      </c>
      <c r="E22">
        <v>8244</v>
      </c>
      <c r="F22">
        <v>8244</v>
      </c>
      <c r="M22" t="s">
        <v>769</v>
      </c>
      <c r="N22">
        <v>13</v>
      </c>
      <c r="O22" t="s">
        <v>441</v>
      </c>
      <c r="P22">
        <v>312253</v>
      </c>
      <c r="Q22" t="s">
        <v>441</v>
      </c>
    </row>
    <row r="23" spans="3:17">
      <c r="C23" t="s">
        <v>769</v>
      </c>
      <c r="D23" t="s">
        <v>555</v>
      </c>
      <c r="E23">
        <v>1495</v>
      </c>
      <c r="F23">
        <v>1495</v>
      </c>
      <c r="M23" t="s">
        <v>769</v>
      </c>
      <c r="N23">
        <v>15</v>
      </c>
      <c r="O23" t="s">
        <v>437</v>
      </c>
      <c r="P23">
        <v>104080</v>
      </c>
      <c r="Q23" t="s">
        <v>379</v>
      </c>
    </row>
    <row r="24" spans="3:17">
      <c r="C24" t="s">
        <v>788</v>
      </c>
      <c r="D24" t="s">
        <v>375</v>
      </c>
      <c r="E24">
        <v>39044</v>
      </c>
      <c r="F24">
        <v>39044</v>
      </c>
      <c r="M24" t="s">
        <v>769</v>
      </c>
      <c r="N24">
        <v>16</v>
      </c>
      <c r="O24" t="s">
        <v>449</v>
      </c>
      <c r="P24">
        <v>24872</v>
      </c>
      <c r="Q24" t="s">
        <v>449</v>
      </c>
    </row>
    <row r="25" spans="3:17">
      <c r="C25" t="s">
        <v>788</v>
      </c>
      <c r="D25" t="s">
        <v>376</v>
      </c>
      <c r="E25">
        <v>31590.66</v>
      </c>
      <c r="F25">
        <v>31590.66</v>
      </c>
      <c r="M25" t="s">
        <v>769</v>
      </c>
      <c r="N25">
        <v>17</v>
      </c>
      <c r="O25" t="s">
        <v>443</v>
      </c>
      <c r="P25">
        <v>5898</v>
      </c>
      <c r="Q25" t="s">
        <v>555</v>
      </c>
    </row>
    <row r="26" spans="3:17">
      <c r="C26" t="s">
        <v>788</v>
      </c>
      <c r="D26" t="s">
        <v>377</v>
      </c>
      <c r="E26">
        <v>7981</v>
      </c>
      <c r="F26">
        <v>7981</v>
      </c>
      <c r="M26" t="s">
        <v>769</v>
      </c>
      <c r="N26">
        <v>18</v>
      </c>
      <c r="O26" t="s">
        <v>444</v>
      </c>
      <c r="P26">
        <v>5641</v>
      </c>
    </row>
    <row r="27" spans="3:17">
      <c r="C27" t="s">
        <v>788</v>
      </c>
      <c r="D27" t="s">
        <v>378</v>
      </c>
      <c r="E27">
        <v>8796.2289999999994</v>
      </c>
      <c r="F27">
        <v>8796.2289999999994</v>
      </c>
      <c r="M27" t="s">
        <v>769</v>
      </c>
      <c r="N27">
        <v>22</v>
      </c>
      <c r="O27" t="s">
        <v>439</v>
      </c>
      <c r="P27">
        <v>40627</v>
      </c>
    </row>
    <row r="28" spans="3:17">
      <c r="C28" t="s">
        <v>788</v>
      </c>
      <c r="D28" t="s">
        <v>379</v>
      </c>
      <c r="E28">
        <v>15087</v>
      </c>
      <c r="F28">
        <v>15087</v>
      </c>
      <c r="M28" t="s">
        <v>769</v>
      </c>
      <c r="N28">
        <v>23</v>
      </c>
      <c r="O28" t="s">
        <v>435</v>
      </c>
      <c r="P28">
        <v>2103</v>
      </c>
    </row>
    <row r="29" spans="3:17">
      <c r="C29" t="s">
        <v>788</v>
      </c>
      <c r="D29" t="s">
        <v>552</v>
      </c>
      <c r="E29">
        <v>0</v>
      </c>
      <c r="F29">
        <v>0</v>
      </c>
      <c r="M29" t="s">
        <v>769</v>
      </c>
      <c r="N29">
        <v>25</v>
      </c>
      <c r="O29" t="s">
        <v>452</v>
      </c>
      <c r="P29">
        <v>-16</v>
      </c>
    </row>
    <row r="30" spans="3:17">
      <c r="C30" t="s">
        <v>788</v>
      </c>
      <c r="D30" t="s">
        <v>553</v>
      </c>
      <c r="E30">
        <v>8001</v>
      </c>
      <c r="F30">
        <v>8001</v>
      </c>
      <c r="M30" t="s">
        <v>788</v>
      </c>
      <c r="N30">
        <v>8</v>
      </c>
      <c r="O30" t="s">
        <v>451</v>
      </c>
      <c r="P30">
        <v>169696</v>
      </c>
      <c r="Q30" t="s">
        <v>552</v>
      </c>
    </row>
    <row r="31" spans="3:17">
      <c r="C31" t="s">
        <v>788</v>
      </c>
      <c r="D31" t="s">
        <v>554</v>
      </c>
      <c r="E31">
        <v>0</v>
      </c>
      <c r="F31">
        <v>0</v>
      </c>
      <c r="M31" t="s">
        <v>788</v>
      </c>
      <c r="N31">
        <v>9</v>
      </c>
      <c r="O31" t="s">
        <v>450</v>
      </c>
      <c r="P31">
        <v>88681</v>
      </c>
      <c r="Q31" t="s">
        <v>550</v>
      </c>
    </row>
    <row r="32" spans="3:17">
      <c r="C32" t="s">
        <v>788</v>
      </c>
      <c r="D32" t="s">
        <v>449</v>
      </c>
      <c r="E32">
        <v>162.11099999999999</v>
      </c>
      <c r="F32">
        <v>162.11099999999999</v>
      </c>
      <c r="M32" t="s">
        <v>788</v>
      </c>
      <c r="N32">
        <v>10</v>
      </c>
      <c r="O32" t="s">
        <v>433</v>
      </c>
      <c r="P32">
        <v>860165</v>
      </c>
      <c r="Q32" t="s">
        <v>548</v>
      </c>
    </row>
    <row r="33" spans="3:17">
      <c r="C33" t="s">
        <v>788</v>
      </c>
      <c r="D33" t="s">
        <v>555</v>
      </c>
      <c r="E33">
        <v>0</v>
      </c>
      <c r="F33">
        <v>0</v>
      </c>
      <c r="M33" t="s">
        <v>788</v>
      </c>
      <c r="N33">
        <v>11</v>
      </c>
      <c r="O33" t="s">
        <v>445</v>
      </c>
      <c r="P33">
        <v>233735</v>
      </c>
      <c r="Q33" t="s">
        <v>549</v>
      </c>
    </row>
    <row r="34" spans="3:17">
      <c r="C34" t="s">
        <v>329</v>
      </c>
      <c r="D34" t="s">
        <v>375</v>
      </c>
      <c r="E34">
        <v>14390</v>
      </c>
      <c r="F34">
        <v>5800</v>
      </c>
      <c r="M34" t="s">
        <v>788</v>
      </c>
      <c r="N34">
        <v>12</v>
      </c>
      <c r="O34" t="s">
        <v>454</v>
      </c>
      <c r="P34">
        <v>134915</v>
      </c>
      <c r="Q34" t="s">
        <v>551</v>
      </c>
    </row>
    <row r="35" spans="3:17">
      <c r="C35" t="s">
        <v>329</v>
      </c>
      <c r="D35" t="s">
        <v>376</v>
      </c>
      <c r="E35">
        <v>16210</v>
      </c>
      <c r="F35">
        <v>8900</v>
      </c>
      <c r="M35" t="s">
        <v>788</v>
      </c>
      <c r="N35">
        <v>13</v>
      </c>
      <c r="O35" t="s">
        <v>441</v>
      </c>
      <c r="P35">
        <v>230748</v>
      </c>
      <c r="Q35" t="s">
        <v>441</v>
      </c>
    </row>
    <row r="36" spans="3:17">
      <c r="C36" t="s">
        <v>329</v>
      </c>
      <c r="D36" t="s">
        <v>377</v>
      </c>
      <c r="E36">
        <v>8000</v>
      </c>
      <c r="F36">
        <v>8000</v>
      </c>
      <c r="M36" t="s">
        <v>788</v>
      </c>
      <c r="N36">
        <v>15</v>
      </c>
      <c r="O36" t="s">
        <v>437</v>
      </c>
      <c r="P36">
        <v>83076</v>
      </c>
      <c r="Q36" t="s">
        <v>379</v>
      </c>
    </row>
    <row r="37" spans="3:17">
      <c r="C37" t="s">
        <v>329</v>
      </c>
      <c r="D37" t="s">
        <v>378</v>
      </c>
      <c r="E37">
        <v>2900</v>
      </c>
      <c r="F37">
        <v>2900</v>
      </c>
      <c r="M37" t="s">
        <v>788</v>
      </c>
      <c r="N37">
        <v>16</v>
      </c>
      <c r="O37" t="s">
        <v>449</v>
      </c>
      <c r="P37">
        <v>25837</v>
      </c>
      <c r="Q37" t="s">
        <v>449</v>
      </c>
    </row>
    <row r="38" spans="3:17">
      <c r="C38" t="s">
        <v>329</v>
      </c>
      <c r="D38" t="s">
        <v>379</v>
      </c>
      <c r="E38">
        <v>7100</v>
      </c>
      <c r="F38">
        <v>6900</v>
      </c>
      <c r="M38" t="s">
        <v>788</v>
      </c>
      <c r="N38">
        <v>17</v>
      </c>
      <c r="O38" t="s">
        <v>443</v>
      </c>
      <c r="P38">
        <v>1175</v>
      </c>
      <c r="Q38" t="s">
        <v>555</v>
      </c>
    </row>
    <row r="39" spans="3:17">
      <c r="C39" t="s">
        <v>329</v>
      </c>
      <c r="D39" t="s">
        <v>552</v>
      </c>
      <c r="E39">
        <v>0</v>
      </c>
      <c r="F39">
        <v>0</v>
      </c>
      <c r="M39" t="s">
        <v>788</v>
      </c>
      <c r="N39">
        <v>22</v>
      </c>
      <c r="O39" t="s">
        <v>439</v>
      </c>
      <c r="P39">
        <v>42677.2</v>
      </c>
    </row>
    <row r="40" spans="3:17">
      <c r="C40" t="s">
        <v>329</v>
      </c>
      <c r="D40" t="s">
        <v>553</v>
      </c>
      <c r="E40">
        <v>12950</v>
      </c>
      <c r="F40">
        <v>12850</v>
      </c>
      <c r="M40" t="s">
        <v>788</v>
      </c>
      <c r="N40">
        <v>23</v>
      </c>
      <c r="O40" t="s">
        <v>435</v>
      </c>
      <c r="P40">
        <v>-12178</v>
      </c>
    </row>
    <row r="41" spans="3:17">
      <c r="C41" t="s">
        <v>329</v>
      </c>
      <c r="D41" t="s">
        <v>554</v>
      </c>
      <c r="E41">
        <v>400</v>
      </c>
      <c r="F41">
        <v>0</v>
      </c>
      <c r="M41" t="s">
        <v>788</v>
      </c>
      <c r="N41">
        <v>25</v>
      </c>
      <c r="O41" t="s">
        <v>452</v>
      </c>
      <c r="P41">
        <v>34</v>
      </c>
    </row>
    <row r="42" spans="3:17">
      <c r="C42" t="s">
        <v>329</v>
      </c>
      <c r="D42" t="s">
        <v>449</v>
      </c>
      <c r="E42">
        <v>3500</v>
      </c>
      <c r="F42">
        <v>3500</v>
      </c>
      <c r="M42" t="s">
        <v>329</v>
      </c>
      <c r="N42">
        <v>8</v>
      </c>
      <c r="O42" t="s">
        <v>451</v>
      </c>
      <c r="P42">
        <v>150782</v>
      </c>
      <c r="Q42" t="s">
        <v>552</v>
      </c>
    </row>
    <row r="43" spans="3:17">
      <c r="C43" t="s">
        <v>329</v>
      </c>
      <c r="D43" t="s">
        <v>555</v>
      </c>
      <c r="E43">
        <v>1000</v>
      </c>
      <c r="F43">
        <v>1000</v>
      </c>
      <c r="M43" t="s">
        <v>329</v>
      </c>
      <c r="N43">
        <v>9</v>
      </c>
      <c r="O43" t="s">
        <v>450</v>
      </c>
      <c r="P43">
        <v>97754</v>
      </c>
      <c r="Q43" t="s">
        <v>550</v>
      </c>
    </row>
    <row r="44" spans="3:17">
      <c r="C44" t="s">
        <v>830</v>
      </c>
      <c r="D44" t="s">
        <v>375</v>
      </c>
      <c r="E44">
        <v>43636.5</v>
      </c>
      <c r="F44">
        <v>35627.5</v>
      </c>
      <c r="M44" t="s">
        <v>329</v>
      </c>
      <c r="N44">
        <v>10</v>
      </c>
      <c r="O44" t="s">
        <v>433</v>
      </c>
      <c r="P44">
        <v>665015</v>
      </c>
      <c r="Q44" t="s">
        <v>548</v>
      </c>
    </row>
    <row r="45" spans="3:17">
      <c r="C45" t="s">
        <v>830</v>
      </c>
      <c r="D45" t="s">
        <v>376</v>
      </c>
      <c r="E45">
        <v>18365.8</v>
      </c>
      <c r="F45">
        <v>8243.7999999999993</v>
      </c>
      <c r="M45" t="s">
        <v>329</v>
      </c>
      <c r="N45">
        <v>11</v>
      </c>
      <c r="O45" t="s">
        <v>445</v>
      </c>
      <c r="P45">
        <v>123884</v>
      </c>
      <c r="Q45" t="s">
        <v>549</v>
      </c>
    </row>
    <row r="46" spans="3:17">
      <c r="C46" t="s">
        <v>830</v>
      </c>
      <c r="D46" t="s">
        <v>377</v>
      </c>
      <c r="E46">
        <v>7838</v>
      </c>
      <c r="F46">
        <v>7838</v>
      </c>
      <c r="M46" t="s">
        <v>329</v>
      </c>
      <c r="N46">
        <v>12</v>
      </c>
      <c r="O46" t="s">
        <v>454</v>
      </c>
      <c r="P46">
        <v>48280</v>
      </c>
      <c r="Q46" t="s">
        <v>551</v>
      </c>
    </row>
    <row r="47" spans="3:17">
      <c r="C47" t="s">
        <v>830</v>
      </c>
      <c r="D47" t="s">
        <v>378</v>
      </c>
      <c r="E47">
        <v>0</v>
      </c>
      <c r="F47">
        <v>0</v>
      </c>
      <c r="M47" t="s">
        <v>329</v>
      </c>
      <c r="N47">
        <v>13</v>
      </c>
      <c r="O47" t="s">
        <v>441</v>
      </c>
      <c r="P47">
        <v>259172</v>
      </c>
      <c r="Q47" t="s">
        <v>441</v>
      </c>
    </row>
    <row r="48" spans="3:17">
      <c r="C48" t="s">
        <v>830</v>
      </c>
      <c r="D48" t="s">
        <v>379</v>
      </c>
      <c r="E48">
        <v>8369</v>
      </c>
      <c r="F48">
        <v>8369</v>
      </c>
      <c r="M48" t="s">
        <v>329</v>
      </c>
      <c r="N48">
        <v>14</v>
      </c>
      <c r="O48" t="s">
        <v>447</v>
      </c>
      <c r="P48">
        <v>3516</v>
      </c>
      <c r="Q48" t="s">
        <v>554</v>
      </c>
    </row>
    <row r="49" spans="3:17">
      <c r="C49" t="s">
        <v>830</v>
      </c>
      <c r="D49" t="s">
        <v>552</v>
      </c>
      <c r="E49">
        <v>7394</v>
      </c>
      <c r="F49">
        <v>5394</v>
      </c>
      <c r="M49" t="s">
        <v>329</v>
      </c>
      <c r="N49">
        <v>15</v>
      </c>
      <c r="O49" t="s">
        <v>437</v>
      </c>
      <c r="P49">
        <v>59082</v>
      </c>
      <c r="Q49" t="s">
        <v>379</v>
      </c>
    </row>
    <row r="50" spans="3:17">
      <c r="C50" t="s">
        <v>830</v>
      </c>
      <c r="D50" t="s">
        <v>553</v>
      </c>
      <c r="E50">
        <v>10252</v>
      </c>
      <c r="F50">
        <v>10252</v>
      </c>
      <c r="M50" t="s">
        <v>329</v>
      </c>
      <c r="N50">
        <v>16</v>
      </c>
      <c r="O50" t="s">
        <v>449</v>
      </c>
      <c r="P50">
        <v>17717</v>
      </c>
      <c r="Q50" t="s">
        <v>449</v>
      </c>
    </row>
    <row r="51" spans="3:17">
      <c r="C51" t="s">
        <v>830</v>
      </c>
      <c r="D51" t="s">
        <v>554</v>
      </c>
      <c r="E51">
        <v>0</v>
      </c>
      <c r="F51">
        <v>0</v>
      </c>
      <c r="M51" t="s">
        <v>329</v>
      </c>
      <c r="N51">
        <v>17</v>
      </c>
      <c r="O51" t="s">
        <v>443</v>
      </c>
      <c r="P51">
        <v>4901</v>
      </c>
      <c r="Q51" t="s">
        <v>555</v>
      </c>
    </row>
    <row r="52" spans="3:17">
      <c r="C52" t="s">
        <v>830</v>
      </c>
      <c r="D52" t="s">
        <v>449</v>
      </c>
      <c r="E52">
        <v>0</v>
      </c>
      <c r="F52">
        <v>0</v>
      </c>
      <c r="M52" t="s">
        <v>329</v>
      </c>
      <c r="N52">
        <v>22</v>
      </c>
      <c r="O52" t="s">
        <v>439</v>
      </c>
      <c r="P52">
        <v>32804.457999999999</v>
      </c>
    </row>
    <row r="53" spans="3:17">
      <c r="C53" t="s">
        <v>830</v>
      </c>
      <c r="D53" t="s">
        <v>555</v>
      </c>
      <c r="E53">
        <v>0</v>
      </c>
      <c r="F53">
        <v>0</v>
      </c>
      <c r="M53" t="s">
        <v>329</v>
      </c>
      <c r="N53">
        <v>23</v>
      </c>
      <c r="O53" t="s">
        <v>435</v>
      </c>
      <c r="P53">
        <v>46152.0186666667</v>
      </c>
    </row>
    <row r="54" spans="3:17">
      <c r="C54" t="s">
        <v>852</v>
      </c>
      <c r="D54" t="s">
        <v>375</v>
      </c>
      <c r="E54">
        <v>6582.4272387199999</v>
      </c>
      <c r="F54">
        <v>6582.4272387199999</v>
      </c>
      <c r="M54" t="s">
        <v>329</v>
      </c>
      <c r="N54">
        <v>25</v>
      </c>
      <c r="O54" t="s">
        <v>452</v>
      </c>
      <c r="P54">
        <v>-76.296999999999997</v>
      </c>
    </row>
    <row r="55" spans="3:17">
      <c r="C55" t="s">
        <v>852</v>
      </c>
      <c r="D55" t="s">
        <v>376</v>
      </c>
      <c r="E55">
        <v>7733.5141254828895</v>
      </c>
      <c r="F55">
        <v>7733.5141254828895</v>
      </c>
      <c r="M55" t="s">
        <v>848</v>
      </c>
      <c r="N55">
        <v>10</v>
      </c>
      <c r="O55" t="s">
        <v>433</v>
      </c>
      <c r="P55">
        <v>322859.57983</v>
      </c>
      <c r="Q55" t="s">
        <v>548</v>
      </c>
    </row>
    <row r="56" spans="3:17">
      <c r="C56" t="s">
        <v>852</v>
      </c>
      <c r="D56" t="s">
        <v>377</v>
      </c>
      <c r="E56">
        <v>2747.86823</v>
      </c>
      <c r="F56">
        <v>2747.86823</v>
      </c>
      <c r="M56" t="s">
        <v>848</v>
      </c>
      <c r="N56">
        <v>18</v>
      </c>
      <c r="O56" t="s">
        <v>444</v>
      </c>
      <c r="P56">
        <v>136727.03636999999</v>
      </c>
    </row>
    <row r="57" spans="3:17">
      <c r="C57" t="s">
        <v>852</v>
      </c>
      <c r="D57" t="s">
        <v>378</v>
      </c>
      <c r="E57">
        <v>0</v>
      </c>
      <c r="F57">
        <v>0</v>
      </c>
      <c r="M57" t="s">
        <v>837</v>
      </c>
      <c r="N57">
        <v>10</v>
      </c>
      <c r="O57" t="s">
        <v>433</v>
      </c>
      <c r="P57">
        <v>54848</v>
      </c>
      <c r="Q57" t="s">
        <v>548</v>
      </c>
    </row>
    <row r="58" spans="3:17">
      <c r="C58" t="s">
        <v>852</v>
      </c>
      <c r="D58" t="s">
        <v>379</v>
      </c>
      <c r="E58">
        <v>2814.3566559840001</v>
      </c>
      <c r="F58">
        <v>2814.3566559840001</v>
      </c>
      <c r="M58" t="s">
        <v>837</v>
      </c>
      <c r="N58">
        <v>11</v>
      </c>
      <c r="O58" t="s">
        <v>445</v>
      </c>
      <c r="P58">
        <v>85761</v>
      </c>
      <c r="Q58" t="s">
        <v>549</v>
      </c>
    </row>
    <row r="59" spans="3:17">
      <c r="C59" t="s">
        <v>852</v>
      </c>
      <c r="D59" t="s">
        <v>552</v>
      </c>
      <c r="E59">
        <v>0</v>
      </c>
      <c r="F59">
        <v>0</v>
      </c>
      <c r="M59" t="s">
        <v>837</v>
      </c>
      <c r="N59">
        <v>22</v>
      </c>
      <c r="O59" t="s">
        <v>439</v>
      </c>
      <c r="P59">
        <v>10456.25</v>
      </c>
    </row>
    <row r="60" spans="3:17">
      <c r="C60" t="s">
        <v>852</v>
      </c>
      <c r="D60" t="s">
        <v>553</v>
      </c>
      <c r="E60">
        <v>9693.4677465337681</v>
      </c>
      <c r="F60">
        <v>9693.4677465337681</v>
      </c>
      <c r="M60" t="s">
        <v>837</v>
      </c>
      <c r="N60">
        <v>23</v>
      </c>
      <c r="O60" t="s">
        <v>435</v>
      </c>
      <c r="P60">
        <v>6</v>
      </c>
    </row>
    <row r="61" spans="3:17">
      <c r="C61" t="s">
        <v>852</v>
      </c>
      <c r="D61" t="s">
        <v>554</v>
      </c>
      <c r="E61">
        <v>0</v>
      </c>
      <c r="F61">
        <v>0</v>
      </c>
      <c r="M61" t="s">
        <v>830</v>
      </c>
      <c r="N61">
        <v>8</v>
      </c>
      <c r="O61" t="s">
        <v>451</v>
      </c>
      <c r="P61">
        <v>136975</v>
      </c>
      <c r="Q61" t="s">
        <v>552</v>
      </c>
    </row>
    <row r="62" spans="3:17">
      <c r="C62" t="s">
        <v>852</v>
      </c>
      <c r="D62" t="s">
        <v>449</v>
      </c>
      <c r="E62">
        <v>228.91145599999999</v>
      </c>
      <c r="F62">
        <v>228.91145599999999</v>
      </c>
      <c r="M62" t="s">
        <v>830</v>
      </c>
      <c r="N62">
        <v>9</v>
      </c>
      <c r="O62" t="s">
        <v>450</v>
      </c>
      <c r="P62">
        <v>87599</v>
      </c>
      <c r="Q62" t="s">
        <v>550</v>
      </c>
    </row>
    <row r="63" spans="3:17">
      <c r="C63" t="s">
        <v>852</v>
      </c>
      <c r="D63" t="s">
        <v>555</v>
      </c>
      <c r="E63">
        <v>1500</v>
      </c>
      <c r="F63">
        <v>1500</v>
      </c>
      <c r="M63" t="s">
        <v>830</v>
      </c>
      <c r="N63">
        <v>10</v>
      </c>
      <c r="O63" t="s">
        <v>433</v>
      </c>
      <c r="P63">
        <v>567608</v>
      </c>
      <c r="Q63" t="s">
        <v>548</v>
      </c>
    </row>
    <row r="64" spans="3:17">
      <c r="C64" t="s">
        <v>861</v>
      </c>
      <c r="D64" t="s">
        <v>375</v>
      </c>
      <c r="E64">
        <v>89583.494501777008</v>
      </c>
      <c r="F64">
        <v>89583.494501777008</v>
      </c>
      <c r="M64" t="s">
        <v>830</v>
      </c>
      <c r="N64">
        <v>11</v>
      </c>
      <c r="O64" t="s">
        <v>445</v>
      </c>
      <c r="P64">
        <v>105346.5</v>
      </c>
      <c r="Q64" t="s">
        <v>549</v>
      </c>
    </row>
    <row r="65" spans="3:17">
      <c r="C65" t="s">
        <v>861</v>
      </c>
      <c r="D65" t="s">
        <v>376</v>
      </c>
      <c r="E65">
        <v>39814.234898372313</v>
      </c>
      <c r="F65">
        <v>39814.234898372313</v>
      </c>
      <c r="M65" t="s">
        <v>830</v>
      </c>
      <c r="N65">
        <v>12</v>
      </c>
      <c r="O65" t="s">
        <v>454</v>
      </c>
      <c r="P65">
        <v>54945.5</v>
      </c>
      <c r="Q65" t="s">
        <v>551</v>
      </c>
    </row>
    <row r="66" spans="3:17">
      <c r="C66" t="s">
        <v>861</v>
      </c>
      <c r="D66" t="s">
        <v>377</v>
      </c>
      <c r="E66">
        <v>12306.674999999999</v>
      </c>
      <c r="F66">
        <v>12306.674999999999</v>
      </c>
      <c r="M66" t="s">
        <v>830</v>
      </c>
      <c r="N66">
        <v>13</v>
      </c>
      <c r="O66" t="s">
        <v>441</v>
      </c>
      <c r="P66">
        <v>179742</v>
      </c>
      <c r="Q66" t="s">
        <v>441</v>
      </c>
    </row>
    <row r="67" spans="3:17">
      <c r="C67" t="s">
        <v>861</v>
      </c>
      <c r="D67" t="s">
        <v>378</v>
      </c>
      <c r="E67">
        <v>9210.6696699999884</v>
      </c>
      <c r="F67">
        <v>9210.6696699999884</v>
      </c>
      <c r="M67" t="s">
        <v>830</v>
      </c>
      <c r="N67">
        <v>15</v>
      </c>
      <c r="O67" t="s">
        <v>437</v>
      </c>
      <c r="P67">
        <v>53197</v>
      </c>
      <c r="Q67" t="s">
        <v>379</v>
      </c>
    </row>
    <row r="68" spans="3:17">
      <c r="C68" t="s">
        <v>861</v>
      </c>
      <c r="D68" t="s">
        <v>379</v>
      </c>
      <c r="E68">
        <v>20356.5</v>
      </c>
      <c r="F68">
        <v>20356.5</v>
      </c>
      <c r="M68" t="s">
        <v>830</v>
      </c>
      <c r="N68">
        <v>16</v>
      </c>
      <c r="O68" t="s">
        <v>449</v>
      </c>
      <c r="P68">
        <v>3743</v>
      </c>
      <c r="Q68" t="s">
        <v>449</v>
      </c>
    </row>
    <row r="69" spans="3:17">
      <c r="C69" t="s">
        <v>861</v>
      </c>
      <c r="D69" t="s">
        <v>552</v>
      </c>
      <c r="E69">
        <v>0</v>
      </c>
      <c r="F69">
        <v>0</v>
      </c>
      <c r="M69" t="s">
        <v>830</v>
      </c>
      <c r="N69">
        <v>17</v>
      </c>
      <c r="O69" t="s">
        <v>443</v>
      </c>
      <c r="P69">
        <v>1210</v>
      </c>
      <c r="Q69" t="s">
        <v>555</v>
      </c>
    </row>
    <row r="70" spans="3:17">
      <c r="C70" t="s">
        <v>861</v>
      </c>
      <c r="D70" t="s">
        <v>553</v>
      </c>
      <c r="E70">
        <v>4231</v>
      </c>
      <c r="F70">
        <v>4231</v>
      </c>
      <c r="M70" t="s">
        <v>830</v>
      </c>
      <c r="N70">
        <v>18</v>
      </c>
      <c r="O70" t="s">
        <v>444</v>
      </c>
      <c r="P70">
        <v>617</v>
      </c>
    </row>
    <row r="71" spans="3:17">
      <c r="C71" t="s">
        <v>861</v>
      </c>
      <c r="D71" t="s">
        <v>554</v>
      </c>
      <c r="E71">
        <v>0</v>
      </c>
      <c r="F71">
        <v>0</v>
      </c>
      <c r="M71" t="s">
        <v>830</v>
      </c>
      <c r="N71">
        <v>22</v>
      </c>
      <c r="O71" t="s">
        <v>439</v>
      </c>
      <c r="P71">
        <v>24888</v>
      </c>
    </row>
    <row r="72" spans="3:17">
      <c r="C72" t="s">
        <v>861</v>
      </c>
      <c r="D72" t="s">
        <v>449</v>
      </c>
      <c r="E72">
        <v>0</v>
      </c>
      <c r="F72">
        <v>0</v>
      </c>
      <c r="M72" t="s">
        <v>830</v>
      </c>
      <c r="N72">
        <v>23</v>
      </c>
      <c r="O72" t="s">
        <v>435</v>
      </c>
      <c r="P72">
        <v>12766</v>
      </c>
    </row>
    <row r="73" spans="3:17">
      <c r="C73" t="s">
        <v>861</v>
      </c>
      <c r="D73" t="s">
        <v>555</v>
      </c>
      <c r="E73">
        <v>0</v>
      </c>
      <c r="F73">
        <v>0</v>
      </c>
      <c r="M73" t="s">
        <v>51</v>
      </c>
      <c r="N73">
        <v>10</v>
      </c>
      <c r="O73" t="s">
        <v>433</v>
      </c>
      <c r="P73">
        <v>25563</v>
      </c>
      <c r="Q73" t="s">
        <v>548</v>
      </c>
    </row>
    <row r="74" spans="3:17">
      <c r="M74" t="s">
        <v>51</v>
      </c>
      <c r="N74">
        <v>11</v>
      </c>
      <c r="O74" t="s">
        <v>445</v>
      </c>
      <c r="P74">
        <v>12989</v>
      </c>
      <c r="Q74" t="s">
        <v>549</v>
      </c>
    </row>
    <row r="75" spans="3:17">
      <c r="M75" t="s">
        <v>51</v>
      </c>
      <c r="N75">
        <v>16</v>
      </c>
      <c r="O75" t="s">
        <v>449</v>
      </c>
      <c r="P75">
        <v>250519</v>
      </c>
      <c r="Q75" t="s">
        <v>449</v>
      </c>
    </row>
    <row r="76" spans="3:17">
      <c r="M76" t="s">
        <v>51</v>
      </c>
      <c r="N76">
        <v>22</v>
      </c>
      <c r="O76" t="s">
        <v>439</v>
      </c>
      <c r="P76">
        <v>876</v>
      </c>
    </row>
    <row r="77" spans="3:17">
      <c r="M77" t="s">
        <v>848</v>
      </c>
      <c r="N77">
        <v>23</v>
      </c>
      <c r="O77" t="s">
        <v>435</v>
      </c>
      <c r="P77">
        <v>2253.6833333333302</v>
      </c>
    </row>
    <row r="78" spans="3:17">
      <c r="M78" t="s">
        <v>848</v>
      </c>
      <c r="N78">
        <v>11</v>
      </c>
      <c r="O78" t="s">
        <v>445</v>
      </c>
      <c r="P78">
        <v>240405.86</v>
      </c>
      <c r="Q78" t="s">
        <v>549</v>
      </c>
    </row>
    <row r="79" spans="3:17">
      <c r="M79" t="s">
        <v>848</v>
      </c>
      <c r="N79">
        <v>22</v>
      </c>
      <c r="O79" t="s">
        <v>439</v>
      </c>
      <c r="P79">
        <v>6493.0259900000001</v>
      </c>
    </row>
    <row r="80" spans="3:17">
      <c r="M80" t="s">
        <v>858</v>
      </c>
      <c r="N80">
        <v>10</v>
      </c>
      <c r="O80" t="s">
        <v>433</v>
      </c>
      <c r="P80">
        <v>128888</v>
      </c>
      <c r="Q80" t="s">
        <v>548</v>
      </c>
    </row>
    <row r="81" spans="13:17">
      <c r="M81" t="s">
        <v>858</v>
      </c>
      <c r="N81">
        <v>11</v>
      </c>
      <c r="O81" t="s">
        <v>445</v>
      </c>
      <c r="P81">
        <v>96745.925000000003</v>
      </c>
      <c r="Q81" t="s">
        <v>549</v>
      </c>
    </row>
    <row r="82" spans="13:17">
      <c r="M82" t="s">
        <v>858</v>
      </c>
      <c r="N82">
        <v>22</v>
      </c>
      <c r="O82" t="s">
        <v>439</v>
      </c>
      <c r="P82">
        <v>6208.7</v>
      </c>
    </row>
    <row r="83" spans="13:17">
      <c r="M83" t="s">
        <v>858</v>
      </c>
      <c r="N83">
        <v>23</v>
      </c>
      <c r="O83" t="s">
        <v>435</v>
      </c>
      <c r="P83">
        <v>1548.375</v>
      </c>
    </row>
    <row r="84" spans="13:17">
      <c r="M84" t="s">
        <v>858</v>
      </c>
      <c r="N84">
        <v>25</v>
      </c>
      <c r="O84" t="s">
        <v>452</v>
      </c>
      <c r="P84">
        <v>-118</v>
      </c>
    </row>
    <row r="85" spans="13:17">
      <c r="M85" t="s">
        <v>852</v>
      </c>
      <c r="N85">
        <v>8</v>
      </c>
      <c r="O85" t="s">
        <v>451</v>
      </c>
      <c r="P85">
        <v>43172.59</v>
      </c>
      <c r="Q85" t="s">
        <v>552</v>
      </c>
    </row>
    <row r="86" spans="13:17">
      <c r="M86" t="s">
        <v>852</v>
      </c>
      <c r="N86">
        <v>9</v>
      </c>
      <c r="O86" t="s">
        <v>450</v>
      </c>
      <c r="P86">
        <v>33454.660000000003</v>
      </c>
      <c r="Q86" t="s">
        <v>550</v>
      </c>
    </row>
    <row r="87" spans="13:17">
      <c r="M87" t="s">
        <v>852</v>
      </c>
      <c r="N87">
        <v>10</v>
      </c>
      <c r="O87" t="s">
        <v>433</v>
      </c>
      <c r="P87">
        <v>102982.32</v>
      </c>
      <c r="Q87" t="s">
        <v>548</v>
      </c>
    </row>
    <row r="88" spans="13:17">
      <c r="M88" t="s">
        <v>852</v>
      </c>
      <c r="N88">
        <v>11</v>
      </c>
      <c r="O88" t="s">
        <v>445</v>
      </c>
      <c r="P88">
        <v>16493.43</v>
      </c>
      <c r="Q88" t="s">
        <v>549</v>
      </c>
    </row>
    <row r="89" spans="13:17">
      <c r="M89" t="s">
        <v>852</v>
      </c>
      <c r="N89">
        <v>12</v>
      </c>
      <c r="O89" t="s">
        <v>454</v>
      </c>
      <c r="P89">
        <v>1410</v>
      </c>
      <c r="Q89" t="s">
        <v>551</v>
      </c>
    </row>
    <row r="90" spans="13:17">
      <c r="M90" t="s">
        <v>852</v>
      </c>
      <c r="N90">
        <v>13</v>
      </c>
      <c r="O90" t="s">
        <v>441</v>
      </c>
      <c r="P90">
        <v>156831.73000000001</v>
      </c>
      <c r="Q90" t="s">
        <v>441</v>
      </c>
    </row>
    <row r="91" spans="13:17">
      <c r="M91" t="s">
        <v>852</v>
      </c>
      <c r="N91">
        <v>15</v>
      </c>
      <c r="O91" t="s">
        <v>437</v>
      </c>
      <c r="P91">
        <v>26744.39</v>
      </c>
      <c r="Q91" t="s">
        <v>379</v>
      </c>
    </row>
    <row r="92" spans="13:17">
      <c r="M92" t="s">
        <v>852</v>
      </c>
      <c r="N92">
        <v>16</v>
      </c>
      <c r="O92" t="s">
        <v>449</v>
      </c>
      <c r="P92">
        <v>3342.41</v>
      </c>
      <c r="Q92" t="s">
        <v>449</v>
      </c>
    </row>
    <row r="93" spans="13:17">
      <c r="M93" t="s">
        <v>852</v>
      </c>
      <c r="N93">
        <v>17</v>
      </c>
      <c r="O93" t="s">
        <v>443</v>
      </c>
      <c r="P93">
        <v>14706.76</v>
      </c>
      <c r="Q93" t="s">
        <v>555</v>
      </c>
    </row>
    <row r="94" spans="13:17">
      <c r="M94" t="s">
        <v>852</v>
      </c>
      <c r="N94">
        <v>22</v>
      </c>
      <c r="O94" t="s">
        <v>439</v>
      </c>
      <c r="P94">
        <v>4662.46</v>
      </c>
    </row>
    <row r="95" spans="13:17">
      <c r="M95" t="s">
        <v>852</v>
      </c>
      <c r="N95">
        <v>23</v>
      </c>
      <c r="O95" t="s">
        <v>435</v>
      </c>
      <c r="P95">
        <v>1546.07</v>
      </c>
    </row>
    <row r="96" spans="13:17">
      <c r="M96" t="s">
        <v>861</v>
      </c>
      <c r="N96">
        <v>8</v>
      </c>
      <c r="O96" t="s">
        <v>451</v>
      </c>
      <c r="P96">
        <v>116426.527</v>
      </c>
      <c r="Q96" t="s">
        <v>552</v>
      </c>
    </row>
    <row r="97" spans="13:17">
      <c r="M97" t="s">
        <v>861</v>
      </c>
      <c r="N97">
        <v>9</v>
      </c>
      <c r="O97" t="s">
        <v>450</v>
      </c>
      <c r="P97">
        <v>83665.426999999996</v>
      </c>
      <c r="Q97" t="s">
        <v>550</v>
      </c>
    </row>
    <row r="98" spans="13:17">
      <c r="M98" t="s">
        <v>861</v>
      </c>
      <c r="N98">
        <v>10</v>
      </c>
      <c r="O98" t="s">
        <v>433</v>
      </c>
      <c r="P98">
        <v>718260.49600000004</v>
      </c>
      <c r="Q98" t="s">
        <v>548</v>
      </c>
    </row>
    <row r="99" spans="13:17">
      <c r="M99" t="s">
        <v>861</v>
      </c>
      <c r="N99">
        <v>11</v>
      </c>
      <c r="O99" t="s">
        <v>445</v>
      </c>
      <c r="P99">
        <v>141603.55499999999</v>
      </c>
      <c r="Q99" t="s">
        <v>549</v>
      </c>
    </row>
    <row r="100" spans="13:17">
      <c r="M100" t="s">
        <v>861</v>
      </c>
      <c r="N100">
        <v>12</v>
      </c>
      <c r="O100" t="s">
        <v>454</v>
      </c>
      <c r="P100">
        <v>78786.657000000007</v>
      </c>
      <c r="Q100" t="s">
        <v>551</v>
      </c>
    </row>
    <row r="101" spans="13:17">
      <c r="M101" t="s">
        <v>861</v>
      </c>
      <c r="N101">
        <v>13</v>
      </c>
      <c r="O101" t="s">
        <v>441</v>
      </c>
      <c r="P101">
        <v>180150.21599999999</v>
      </c>
      <c r="Q101" t="s">
        <v>441</v>
      </c>
    </row>
    <row r="102" spans="13:17">
      <c r="M102" t="s">
        <v>861</v>
      </c>
      <c r="N102">
        <v>15</v>
      </c>
      <c r="O102" t="s">
        <v>437</v>
      </c>
      <c r="P102">
        <v>69796.407000000007</v>
      </c>
      <c r="Q102" t="s">
        <v>379</v>
      </c>
    </row>
    <row r="103" spans="13:17">
      <c r="M103" t="s">
        <v>861</v>
      </c>
      <c r="N103">
        <v>16</v>
      </c>
      <c r="O103" t="s">
        <v>449</v>
      </c>
      <c r="P103">
        <v>16426.313999999998</v>
      </c>
      <c r="Q103" t="s">
        <v>449</v>
      </c>
    </row>
    <row r="104" spans="13:17">
      <c r="M104" t="s">
        <v>861</v>
      </c>
      <c r="N104">
        <v>17</v>
      </c>
      <c r="O104" t="s">
        <v>443</v>
      </c>
      <c r="P104">
        <v>24756.812000000002</v>
      </c>
      <c r="Q104" t="s">
        <v>555</v>
      </c>
    </row>
    <row r="105" spans="13:17">
      <c r="M105" t="s">
        <v>861</v>
      </c>
      <c r="N105">
        <v>18</v>
      </c>
      <c r="O105" t="s">
        <v>444</v>
      </c>
      <c r="P105">
        <v>-130.821</v>
      </c>
    </row>
    <row r="106" spans="13:17">
      <c r="M106" t="s">
        <v>861</v>
      </c>
      <c r="N106">
        <v>22</v>
      </c>
      <c r="O106" t="s">
        <v>439</v>
      </c>
      <c r="P106">
        <v>32248.201000000001</v>
      </c>
    </row>
    <row r="107" spans="13:17">
      <c r="M107" t="s">
        <v>861</v>
      </c>
      <c r="N107">
        <v>23</v>
      </c>
      <c r="O107" t="s">
        <v>435</v>
      </c>
      <c r="P107">
        <v>-5092.384</v>
      </c>
    </row>
    <row r="108" spans="13:17">
      <c r="M108" t="s">
        <v>861</v>
      </c>
      <c r="N108">
        <v>25</v>
      </c>
      <c r="O108" t="s">
        <v>452</v>
      </c>
      <c r="P108">
        <v>-115.74299999999999</v>
      </c>
    </row>
    <row r="109" spans="13:17">
      <c r="M109" t="s">
        <v>864</v>
      </c>
      <c r="N109">
        <v>10</v>
      </c>
      <c r="O109" t="s">
        <v>433</v>
      </c>
      <c r="P109">
        <v>82117.593349999996</v>
      </c>
      <c r="Q109" t="s">
        <v>548</v>
      </c>
    </row>
    <row r="110" spans="13:17">
      <c r="M110" t="s">
        <v>864</v>
      </c>
      <c r="N110">
        <v>11</v>
      </c>
      <c r="O110" t="s">
        <v>445</v>
      </c>
      <c r="P110">
        <v>48537.941107979801</v>
      </c>
      <c r="Q110" t="s">
        <v>549</v>
      </c>
    </row>
    <row r="111" spans="13:17">
      <c r="M111" t="s">
        <v>864</v>
      </c>
      <c r="N111">
        <v>12</v>
      </c>
      <c r="O111" t="s">
        <v>454</v>
      </c>
      <c r="P111">
        <v>47419</v>
      </c>
      <c r="Q111" t="s">
        <v>551</v>
      </c>
    </row>
    <row r="112" spans="13:17">
      <c r="M112" t="s">
        <v>864</v>
      </c>
      <c r="N112">
        <v>20</v>
      </c>
      <c r="O112" t="s">
        <v>456</v>
      </c>
      <c r="P112">
        <v>-989</v>
      </c>
    </row>
    <row r="113" spans="13:17">
      <c r="M113" t="s">
        <v>864</v>
      </c>
      <c r="N113">
        <v>22</v>
      </c>
      <c r="O113" t="s">
        <v>439</v>
      </c>
      <c r="P113">
        <v>6167.5202020201996</v>
      </c>
    </row>
    <row r="114" spans="13:17">
      <c r="M114" t="s">
        <v>864</v>
      </c>
      <c r="N114">
        <v>23</v>
      </c>
      <c r="O114" t="s">
        <v>435</v>
      </c>
      <c r="P114">
        <v>211.433333333333</v>
      </c>
    </row>
    <row r="115" spans="13:17">
      <c r="M115" t="s">
        <v>867</v>
      </c>
      <c r="N115">
        <v>10</v>
      </c>
      <c r="O115" t="s">
        <v>433</v>
      </c>
      <c r="P115">
        <v>197857</v>
      </c>
      <c r="Q115" t="s">
        <v>548</v>
      </c>
    </row>
    <row r="116" spans="13:17">
      <c r="M116" t="s">
        <v>867</v>
      </c>
      <c r="N116">
        <v>11</v>
      </c>
      <c r="O116" t="s">
        <v>445</v>
      </c>
      <c r="P116">
        <v>47349</v>
      </c>
      <c r="Q116" t="s">
        <v>549</v>
      </c>
    </row>
    <row r="117" spans="13:17">
      <c r="M117" t="s">
        <v>867</v>
      </c>
      <c r="N117">
        <v>12</v>
      </c>
      <c r="O117" t="s">
        <v>454</v>
      </c>
      <c r="P117">
        <v>695</v>
      </c>
      <c r="Q117" t="s">
        <v>551</v>
      </c>
    </row>
    <row r="118" spans="13:17">
      <c r="M118" t="s">
        <v>867</v>
      </c>
      <c r="N118">
        <v>16</v>
      </c>
      <c r="O118" t="s">
        <v>449</v>
      </c>
      <c r="P118">
        <v>12541</v>
      </c>
      <c r="Q118" t="s">
        <v>449</v>
      </c>
    </row>
    <row r="119" spans="13:17">
      <c r="M119" t="s">
        <v>867</v>
      </c>
      <c r="N119">
        <v>18</v>
      </c>
      <c r="O119" t="s">
        <v>444</v>
      </c>
      <c r="P119">
        <v>935</v>
      </c>
    </row>
    <row r="120" spans="13:17">
      <c r="M120" t="s">
        <v>867</v>
      </c>
      <c r="N120">
        <v>20</v>
      </c>
      <c r="O120" t="s">
        <v>456</v>
      </c>
      <c r="P120">
        <v>-431</v>
      </c>
    </row>
    <row r="121" spans="13:17">
      <c r="M121" t="s">
        <v>867</v>
      </c>
      <c r="N121">
        <v>21</v>
      </c>
      <c r="O121" t="s">
        <v>455</v>
      </c>
      <c r="P121">
        <v>123</v>
      </c>
    </row>
    <row r="122" spans="13:17">
      <c r="M122" t="s">
        <v>867</v>
      </c>
      <c r="N122">
        <v>22</v>
      </c>
      <c r="O122" t="s">
        <v>439</v>
      </c>
      <c r="P122">
        <v>19077</v>
      </c>
    </row>
    <row r="123" spans="13:17">
      <c r="M123" t="s">
        <v>867</v>
      </c>
      <c r="N123">
        <v>23</v>
      </c>
      <c r="O123" t="s">
        <v>435</v>
      </c>
      <c r="P123">
        <v>9350</v>
      </c>
    </row>
    <row r="124" spans="13:17">
      <c r="M124" t="s">
        <v>867</v>
      </c>
      <c r="N124">
        <v>25</v>
      </c>
      <c r="O124" t="s">
        <v>452</v>
      </c>
      <c r="P124">
        <v>-278</v>
      </c>
    </row>
    <row r="125" spans="13:17">
      <c r="M125" t="s">
        <v>461</v>
      </c>
      <c r="N125">
        <v>10</v>
      </c>
      <c r="O125" t="s">
        <v>433</v>
      </c>
      <c r="P125">
        <v>7641.1541299999999</v>
      </c>
      <c r="Q125" t="s">
        <v>548</v>
      </c>
    </row>
    <row r="126" spans="13:17">
      <c r="M126" t="s">
        <v>461</v>
      </c>
      <c r="N126">
        <v>11</v>
      </c>
      <c r="O126" t="s">
        <v>445</v>
      </c>
      <c r="P126">
        <v>1882</v>
      </c>
      <c r="Q126" t="s">
        <v>549</v>
      </c>
    </row>
    <row r="127" spans="13:17">
      <c r="M127" t="s">
        <v>461</v>
      </c>
      <c r="N127">
        <v>13</v>
      </c>
      <c r="O127" t="s">
        <v>441</v>
      </c>
      <c r="P127">
        <v>1001137.66671</v>
      </c>
      <c r="Q127" t="s">
        <v>441</v>
      </c>
    </row>
    <row r="128" spans="13:17">
      <c r="M128" t="s">
        <v>461</v>
      </c>
      <c r="N128">
        <v>16</v>
      </c>
      <c r="O128" t="s">
        <v>449</v>
      </c>
      <c r="P128">
        <v>35983</v>
      </c>
      <c r="Q128" t="s">
        <v>449</v>
      </c>
    </row>
  </sheetData>
  <autoFilter ref="M3:P128" xr:uid="{00000000-0009-0000-0000-00002A00000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tint="-0.499984740745262"/>
  </sheetPr>
  <dimension ref="A1:BK6046"/>
  <sheetViews>
    <sheetView workbookViewId="0">
      <selection activeCell="H16" sqref="H16"/>
    </sheetView>
  </sheetViews>
  <sheetFormatPr defaultRowHeight="15.5"/>
  <cols>
    <col min="1" max="1" width="18.53515625" customWidth="1"/>
    <col min="3" max="3" width="10.69140625" customWidth="1"/>
    <col min="4" max="4" width="14.23046875" customWidth="1"/>
    <col min="5" max="5" width="16.69140625" customWidth="1"/>
    <col min="7" max="7" width="13.69140625" customWidth="1"/>
    <col min="9" max="9" width="11.23046875" customWidth="1"/>
    <col min="15" max="15" width="30.84375" customWidth="1"/>
    <col min="16" max="16" width="15.69140625" bestFit="1" customWidth="1"/>
    <col min="17" max="26" width="11" bestFit="1" customWidth="1"/>
    <col min="27" max="27" width="12" bestFit="1" customWidth="1"/>
    <col min="28" max="28" width="11" bestFit="1" customWidth="1"/>
    <col min="29" max="32" width="12" bestFit="1" customWidth="1"/>
    <col min="33" max="34" width="11" bestFit="1" customWidth="1"/>
    <col min="35" max="35" width="12" bestFit="1" customWidth="1"/>
    <col min="36" max="38" width="11" bestFit="1" customWidth="1"/>
    <col min="39" max="52" width="12" bestFit="1" customWidth="1"/>
    <col min="53" max="53" width="11" bestFit="1" customWidth="1"/>
    <col min="54" max="89" width="12" bestFit="1" customWidth="1"/>
  </cols>
  <sheetData>
    <row r="1" spans="1:63">
      <c r="A1" t="s">
        <v>425</v>
      </c>
      <c r="B1" t="s">
        <v>426</v>
      </c>
      <c r="C1" t="s">
        <v>427</v>
      </c>
      <c r="D1" t="s">
        <v>428</v>
      </c>
      <c r="E1" t="s">
        <v>429</v>
      </c>
      <c r="F1" t="s">
        <v>430</v>
      </c>
      <c r="G1" t="s">
        <v>431</v>
      </c>
      <c r="I1" t="s">
        <v>249</v>
      </c>
      <c r="J1" t="s">
        <v>2</v>
      </c>
      <c r="K1" t="s">
        <v>1161</v>
      </c>
      <c r="L1" t="s">
        <v>1162</v>
      </c>
      <c r="O1" s="219" t="s">
        <v>432</v>
      </c>
      <c r="P1" s="219" t="s">
        <v>294</v>
      </c>
    </row>
    <row r="2" spans="1:63">
      <c r="A2" s="216">
        <v>43891</v>
      </c>
      <c r="B2" t="s">
        <v>42</v>
      </c>
      <c r="C2">
        <v>4</v>
      </c>
      <c r="D2" t="s">
        <v>442</v>
      </c>
      <c r="E2" s="217">
        <v>43891</v>
      </c>
      <c r="F2">
        <v>110109</v>
      </c>
      <c r="G2" s="227" t="s">
        <v>70</v>
      </c>
      <c r="I2" t="str">
        <f>J2&amp;"_Mar-"&amp;RIGHT(K2,2)</f>
        <v>Aneurin Bevan UHB_Mar-20</v>
      </c>
      <c r="J2" t="s">
        <v>42</v>
      </c>
      <c r="K2" t="s">
        <v>1163</v>
      </c>
      <c r="L2">
        <v>22985</v>
      </c>
      <c r="O2" s="219" t="s">
        <v>55</v>
      </c>
      <c r="P2" t="s">
        <v>70</v>
      </c>
      <c r="Q2" t="s">
        <v>114</v>
      </c>
      <c r="R2" t="s">
        <v>105</v>
      </c>
      <c r="S2" t="s">
        <v>100</v>
      </c>
      <c r="T2" t="s">
        <v>83</v>
      </c>
      <c r="U2" t="s">
        <v>127</v>
      </c>
      <c r="V2" t="s">
        <v>123</v>
      </c>
      <c r="W2" t="s">
        <v>119</v>
      </c>
      <c r="X2" t="s">
        <v>88</v>
      </c>
      <c r="Y2" t="s">
        <v>96</v>
      </c>
      <c r="Z2" t="s">
        <v>92</v>
      </c>
      <c r="AA2" t="s">
        <v>110</v>
      </c>
      <c r="AB2" t="s">
        <v>79</v>
      </c>
      <c r="AC2" t="s">
        <v>115</v>
      </c>
      <c r="AD2" t="s">
        <v>106</v>
      </c>
      <c r="AE2" t="s">
        <v>101</v>
      </c>
      <c r="AF2" t="s">
        <v>84</v>
      </c>
      <c r="AG2" t="s">
        <v>128</v>
      </c>
      <c r="AH2" t="s">
        <v>124</v>
      </c>
      <c r="AI2" t="s">
        <v>120</v>
      </c>
      <c r="AJ2" t="s">
        <v>89</v>
      </c>
      <c r="AK2" t="s">
        <v>97</v>
      </c>
      <c r="AL2" t="s">
        <v>93</v>
      </c>
      <c r="AM2" t="s">
        <v>111</v>
      </c>
      <c r="AN2" t="s">
        <v>80</v>
      </c>
      <c r="AO2" t="s">
        <v>116</v>
      </c>
      <c r="AP2" t="s">
        <v>107</v>
      </c>
      <c r="AQ2" t="s">
        <v>102</v>
      </c>
      <c r="AR2" t="s">
        <v>85</v>
      </c>
      <c r="AS2" t="s">
        <v>129</v>
      </c>
      <c r="AT2" t="s">
        <v>125</v>
      </c>
      <c r="AU2" t="s">
        <v>121</v>
      </c>
      <c r="AV2" t="s">
        <v>90</v>
      </c>
      <c r="AW2" t="s">
        <v>98</v>
      </c>
      <c r="AX2" t="s">
        <v>94</v>
      </c>
      <c r="AY2" t="s">
        <v>112</v>
      </c>
      <c r="AZ2" t="s">
        <v>81</v>
      </c>
      <c r="BA2" t="s">
        <v>117</v>
      </c>
      <c r="BB2" t="s">
        <v>108</v>
      </c>
      <c r="BC2" t="s">
        <v>103</v>
      </c>
      <c r="BD2" t="s">
        <v>86</v>
      </c>
      <c r="BE2" t="s">
        <v>130</v>
      </c>
      <c r="BF2" t="s">
        <v>126</v>
      </c>
      <c r="BG2" t="s">
        <v>122</v>
      </c>
      <c r="BH2" t="s">
        <v>91</v>
      </c>
      <c r="BI2" t="s">
        <v>99</v>
      </c>
      <c r="BJ2" t="s">
        <v>95</v>
      </c>
      <c r="BK2" t="s">
        <v>113</v>
      </c>
    </row>
    <row r="3" spans="1:63">
      <c r="A3" s="216">
        <v>43891</v>
      </c>
      <c r="B3" t="s">
        <v>42</v>
      </c>
      <c r="C3">
        <v>4</v>
      </c>
      <c r="D3" t="s">
        <v>442</v>
      </c>
      <c r="E3" s="217">
        <v>43891</v>
      </c>
      <c r="F3">
        <v>112140</v>
      </c>
      <c r="G3" s="227" t="s">
        <v>114</v>
      </c>
      <c r="I3" t="str">
        <f t="shared" ref="I3:I29" si="0">J3&amp;"_Mar-"&amp;RIGHT(K3,2)</f>
        <v>Aneurin Bevan UHB_Mar-21</v>
      </c>
      <c r="J3" t="s">
        <v>42</v>
      </c>
      <c r="K3" t="s">
        <v>1164</v>
      </c>
      <c r="L3">
        <v>25189</v>
      </c>
      <c r="O3" s="7" t="s">
        <v>42</v>
      </c>
      <c r="P3">
        <v>216553</v>
      </c>
      <c r="Q3">
        <v>219680</v>
      </c>
      <c r="R3">
        <v>218203</v>
      </c>
      <c r="S3">
        <v>212504</v>
      </c>
      <c r="T3">
        <v>221015</v>
      </c>
      <c r="U3">
        <v>215955</v>
      </c>
      <c r="V3">
        <v>241875</v>
      </c>
      <c r="W3">
        <v>229151</v>
      </c>
      <c r="X3">
        <v>228295</v>
      </c>
      <c r="Y3">
        <v>230122</v>
      </c>
      <c r="Z3">
        <v>226687.88699999999</v>
      </c>
      <c r="AA3">
        <v>303053.84100000001</v>
      </c>
      <c r="AB3">
        <v>230315</v>
      </c>
      <c r="AC3">
        <v>229108</v>
      </c>
      <c r="AD3">
        <v>237331</v>
      </c>
      <c r="AE3">
        <v>222114</v>
      </c>
      <c r="AF3">
        <v>233028</v>
      </c>
      <c r="AG3">
        <v>245875.7</v>
      </c>
      <c r="AH3">
        <v>252142.34</v>
      </c>
      <c r="AI3">
        <v>248543</v>
      </c>
      <c r="AJ3">
        <v>249739.5</v>
      </c>
      <c r="AK3">
        <v>321411</v>
      </c>
      <c r="AL3">
        <v>255148</v>
      </c>
      <c r="AM3">
        <v>413527.4</v>
      </c>
      <c r="AN3">
        <v>237067</v>
      </c>
      <c r="AO3">
        <v>254777</v>
      </c>
      <c r="AP3">
        <v>262398</v>
      </c>
      <c r="AQ3">
        <v>260355</v>
      </c>
      <c r="AR3">
        <v>260198</v>
      </c>
      <c r="AS3">
        <v>272763.3</v>
      </c>
      <c r="AT3">
        <v>255820.65</v>
      </c>
      <c r="AU3">
        <v>271333</v>
      </c>
      <c r="AV3">
        <v>279496.2</v>
      </c>
      <c r="AW3">
        <v>289998</v>
      </c>
      <c r="AX3">
        <v>279818</v>
      </c>
      <c r="AY3">
        <v>386762</v>
      </c>
      <c r="AZ3">
        <v>268338</v>
      </c>
      <c r="BA3">
        <v>271401</v>
      </c>
      <c r="BB3">
        <v>269074</v>
      </c>
      <c r="BC3">
        <v>263783</v>
      </c>
      <c r="BD3">
        <v>267625</v>
      </c>
      <c r="BE3">
        <v>298696</v>
      </c>
      <c r="BF3">
        <v>265460</v>
      </c>
      <c r="BG3">
        <v>281940</v>
      </c>
      <c r="BH3">
        <v>287689</v>
      </c>
      <c r="BI3">
        <v>285300</v>
      </c>
      <c r="BJ3">
        <v>292315</v>
      </c>
      <c r="BK3">
        <v>386321.88699999999</v>
      </c>
    </row>
    <row r="4" spans="1:63">
      <c r="A4" s="216">
        <v>43891</v>
      </c>
      <c r="B4" t="s">
        <v>42</v>
      </c>
      <c r="C4">
        <v>4</v>
      </c>
      <c r="D4" t="s">
        <v>442</v>
      </c>
      <c r="E4" s="217">
        <v>43891</v>
      </c>
      <c r="F4">
        <v>111548</v>
      </c>
      <c r="G4" s="227" t="s">
        <v>105</v>
      </c>
      <c r="I4" t="str">
        <f t="shared" si="0"/>
        <v>Aneurin Bevan UHB_Mar-22</v>
      </c>
      <c r="J4" t="s">
        <v>42</v>
      </c>
      <c r="K4" t="s">
        <v>1165</v>
      </c>
      <c r="L4">
        <v>26915</v>
      </c>
      <c r="O4" s="221" t="s">
        <v>442</v>
      </c>
      <c r="P4">
        <v>110109</v>
      </c>
      <c r="Q4">
        <v>112140</v>
      </c>
      <c r="R4">
        <v>111548</v>
      </c>
      <c r="S4">
        <v>104321</v>
      </c>
      <c r="T4">
        <v>112725</v>
      </c>
      <c r="U4">
        <v>110760</v>
      </c>
      <c r="V4">
        <v>127484</v>
      </c>
      <c r="W4">
        <v>117768</v>
      </c>
      <c r="X4">
        <v>117262</v>
      </c>
      <c r="Y4">
        <v>118520</v>
      </c>
      <c r="Z4">
        <v>117110.887</v>
      </c>
      <c r="AA4">
        <v>161011.84099999999</v>
      </c>
      <c r="AB4">
        <v>114552</v>
      </c>
      <c r="AC4">
        <v>115985</v>
      </c>
      <c r="AD4">
        <v>123759</v>
      </c>
      <c r="AE4">
        <v>109180</v>
      </c>
      <c r="AF4">
        <v>118144</v>
      </c>
      <c r="AG4">
        <v>131724.70000000001</v>
      </c>
      <c r="AH4">
        <v>131588.34</v>
      </c>
      <c r="AI4">
        <v>128139</v>
      </c>
      <c r="AJ4">
        <v>128520.5</v>
      </c>
      <c r="AK4">
        <v>199074</v>
      </c>
      <c r="AL4">
        <v>131307</v>
      </c>
      <c r="AM4">
        <v>216369.4</v>
      </c>
      <c r="AN4">
        <v>113977</v>
      </c>
      <c r="AO4">
        <v>131565</v>
      </c>
      <c r="AP4">
        <v>136100</v>
      </c>
      <c r="AQ4">
        <v>134299</v>
      </c>
      <c r="AR4">
        <v>134722</v>
      </c>
      <c r="AS4">
        <v>140277.29999999999</v>
      </c>
      <c r="AT4">
        <v>130403</v>
      </c>
      <c r="AU4">
        <v>139854</v>
      </c>
      <c r="AV4">
        <v>144291.20000000001</v>
      </c>
      <c r="AW4">
        <v>149483</v>
      </c>
      <c r="AX4">
        <v>144745</v>
      </c>
      <c r="AY4">
        <v>208052</v>
      </c>
      <c r="AZ4">
        <v>137283</v>
      </c>
      <c r="BA4">
        <v>138959</v>
      </c>
      <c r="BB4">
        <v>137084</v>
      </c>
      <c r="BC4">
        <v>132648</v>
      </c>
      <c r="BD4">
        <v>136883</v>
      </c>
      <c r="BE4">
        <v>150983</v>
      </c>
      <c r="BF4">
        <v>129745</v>
      </c>
      <c r="BG4">
        <v>143715</v>
      </c>
      <c r="BH4">
        <v>147299</v>
      </c>
      <c r="BI4">
        <v>145744</v>
      </c>
      <c r="BJ4">
        <v>151343</v>
      </c>
      <c r="BK4">
        <v>195488.88699999999</v>
      </c>
    </row>
    <row r="5" spans="1:63">
      <c r="A5" s="216">
        <v>43891</v>
      </c>
      <c r="B5" t="s">
        <v>42</v>
      </c>
      <c r="C5">
        <v>4</v>
      </c>
      <c r="D5" t="s">
        <v>442</v>
      </c>
      <c r="E5" s="217">
        <v>43891</v>
      </c>
      <c r="F5">
        <v>104321</v>
      </c>
      <c r="G5" s="227" t="s">
        <v>100</v>
      </c>
      <c r="I5" t="str">
        <f t="shared" si="0"/>
        <v>Aneurin Bevan UHB_Mar-23</v>
      </c>
      <c r="J5" t="s">
        <v>42</v>
      </c>
      <c r="K5" t="s">
        <v>1166</v>
      </c>
      <c r="L5">
        <v>28427</v>
      </c>
      <c r="O5" s="221" t="s">
        <v>450</v>
      </c>
      <c r="P5">
        <v>8164</v>
      </c>
      <c r="Q5">
        <v>8119</v>
      </c>
      <c r="R5">
        <v>7959</v>
      </c>
      <c r="S5">
        <v>8312</v>
      </c>
      <c r="T5">
        <v>8524</v>
      </c>
      <c r="U5">
        <v>8455</v>
      </c>
      <c r="V5">
        <v>8395</v>
      </c>
      <c r="W5">
        <v>8478</v>
      </c>
      <c r="X5">
        <v>8667</v>
      </c>
      <c r="Y5">
        <v>8464</v>
      </c>
      <c r="Z5">
        <v>8289</v>
      </c>
      <c r="AA5">
        <v>8823</v>
      </c>
      <c r="AB5">
        <v>8518</v>
      </c>
      <c r="AC5">
        <v>9690</v>
      </c>
      <c r="AD5">
        <v>9123</v>
      </c>
      <c r="AE5">
        <v>9092</v>
      </c>
      <c r="AF5">
        <v>8784</v>
      </c>
      <c r="AG5">
        <v>8805</v>
      </c>
      <c r="AH5">
        <v>8779</v>
      </c>
      <c r="AI5">
        <v>8659</v>
      </c>
      <c r="AJ5">
        <v>8695</v>
      </c>
      <c r="AK5">
        <v>8780</v>
      </c>
      <c r="AL5">
        <v>8736</v>
      </c>
      <c r="AM5">
        <v>9191</v>
      </c>
      <c r="AN5">
        <v>8998</v>
      </c>
      <c r="AO5">
        <v>8948</v>
      </c>
      <c r="AP5">
        <v>9227</v>
      </c>
      <c r="AQ5">
        <v>8776</v>
      </c>
      <c r="AR5">
        <v>8824</v>
      </c>
      <c r="AS5">
        <v>8877</v>
      </c>
      <c r="AT5">
        <v>8663</v>
      </c>
      <c r="AU5">
        <v>8943</v>
      </c>
      <c r="AV5">
        <v>8811</v>
      </c>
      <c r="AW5">
        <v>8981</v>
      </c>
      <c r="AX5">
        <v>8808</v>
      </c>
      <c r="AY5">
        <v>9029</v>
      </c>
      <c r="AZ5">
        <v>8733</v>
      </c>
      <c r="BA5">
        <v>8767</v>
      </c>
      <c r="BB5">
        <v>8845</v>
      </c>
      <c r="BC5">
        <v>8783</v>
      </c>
      <c r="BD5">
        <v>9320</v>
      </c>
      <c r="BE5">
        <v>9332</v>
      </c>
      <c r="BF5">
        <v>9552</v>
      </c>
      <c r="BG5">
        <v>9535</v>
      </c>
      <c r="BH5">
        <v>9732</v>
      </c>
      <c r="BI5">
        <v>9804</v>
      </c>
      <c r="BJ5">
        <v>9912</v>
      </c>
      <c r="BK5">
        <v>12016</v>
      </c>
    </row>
    <row r="6" spans="1:63">
      <c r="A6" s="216">
        <v>43891</v>
      </c>
      <c r="B6" t="s">
        <v>42</v>
      </c>
      <c r="C6">
        <v>4</v>
      </c>
      <c r="D6" t="s">
        <v>442</v>
      </c>
      <c r="E6" s="217">
        <v>43891</v>
      </c>
      <c r="F6">
        <v>112725</v>
      </c>
      <c r="G6" s="227" t="s">
        <v>83</v>
      </c>
      <c r="I6" t="str">
        <f t="shared" si="0"/>
        <v>Betsi Cadwaladr UHB_Mar-20</v>
      </c>
      <c r="J6" t="s">
        <v>43</v>
      </c>
      <c r="K6" t="s">
        <v>1163</v>
      </c>
      <c r="L6">
        <v>31627</v>
      </c>
      <c r="O6" s="221" t="s">
        <v>451</v>
      </c>
      <c r="P6">
        <v>13384</v>
      </c>
      <c r="Q6">
        <v>14454</v>
      </c>
      <c r="R6">
        <v>14624</v>
      </c>
      <c r="S6">
        <v>14293</v>
      </c>
      <c r="T6">
        <v>14353</v>
      </c>
      <c r="U6">
        <v>13776</v>
      </c>
      <c r="V6">
        <v>14471</v>
      </c>
      <c r="W6">
        <v>15247</v>
      </c>
      <c r="X6">
        <v>14060</v>
      </c>
      <c r="Y6">
        <v>14510</v>
      </c>
      <c r="Z6">
        <v>14563</v>
      </c>
      <c r="AA6">
        <v>17155</v>
      </c>
      <c r="AB6">
        <v>13874</v>
      </c>
      <c r="AC6">
        <v>15116</v>
      </c>
      <c r="AD6">
        <v>14092</v>
      </c>
      <c r="AE6">
        <v>14727</v>
      </c>
      <c r="AF6">
        <v>14474</v>
      </c>
      <c r="AG6">
        <v>14608</v>
      </c>
      <c r="AH6">
        <v>14139</v>
      </c>
      <c r="AI6">
        <v>15049</v>
      </c>
      <c r="AJ6">
        <v>14538</v>
      </c>
      <c r="AK6">
        <v>16025</v>
      </c>
      <c r="AL6">
        <v>16032</v>
      </c>
      <c r="AM6">
        <v>17530</v>
      </c>
      <c r="AN6">
        <v>14919</v>
      </c>
      <c r="AO6">
        <v>15531</v>
      </c>
      <c r="AP6">
        <v>14382</v>
      </c>
      <c r="AQ6">
        <v>16952</v>
      </c>
      <c r="AR6">
        <v>15915</v>
      </c>
      <c r="AS6">
        <v>14030</v>
      </c>
      <c r="AT6">
        <v>14348</v>
      </c>
      <c r="AU6">
        <v>14378</v>
      </c>
      <c r="AV6">
        <v>16910</v>
      </c>
      <c r="AW6">
        <v>17124</v>
      </c>
      <c r="AX6">
        <v>15777</v>
      </c>
      <c r="AY6">
        <v>17200</v>
      </c>
      <c r="AZ6">
        <v>14731</v>
      </c>
      <c r="BA6">
        <v>15648</v>
      </c>
      <c r="BB6">
        <v>15694</v>
      </c>
      <c r="BC6">
        <v>14239</v>
      </c>
      <c r="BD6">
        <v>15588</v>
      </c>
      <c r="BE6">
        <v>15962</v>
      </c>
      <c r="BF6">
        <v>16067</v>
      </c>
      <c r="BG6">
        <v>18213</v>
      </c>
      <c r="BH6">
        <v>16120</v>
      </c>
      <c r="BI6">
        <v>15644</v>
      </c>
      <c r="BJ6">
        <v>17331</v>
      </c>
      <c r="BK6">
        <v>17454</v>
      </c>
    </row>
    <row r="7" spans="1:63">
      <c r="A7" s="216">
        <v>43891</v>
      </c>
      <c r="B7" t="s">
        <v>42</v>
      </c>
      <c r="C7">
        <v>4</v>
      </c>
      <c r="D7" t="s">
        <v>442</v>
      </c>
      <c r="E7" s="217">
        <v>43891</v>
      </c>
      <c r="F7">
        <v>110760</v>
      </c>
      <c r="G7" s="227" t="s">
        <v>127</v>
      </c>
      <c r="I7" t="str">
        <f t="shared" si="0"/>
        <v>Betsi Cadwaladr UHB_Mar-21</v>
      </c>
      <c r="J7" t="s">
        <v>43</v>
      </c>
      <c r="K7" t="s">
        <v>1164</v>
      </c>
      <c r="L7">
        <v>33693</v>
      </c>
      <c r="O7" s="221" t="s">
        <v>454</v>
      </c>
      <c r="P7">
        <v>3939</v>
      </c>
      <c r="Q7">
        <v>4075</v>
      </c>
      <c r="R7">
        <v>3952</v>
      </c>
      <c r="S7">
        <v>4045</v>
      </c>
      <c r="T7">
        <v>3931</v>
      </c>
      <c r="U7">
        <v>3901</v>
      </c>
      <c r="V7">
        <v>4727</v>
      </c>
      <c r="W7">
        <v>4325</v>
      </c>
      <c r="X7">
        <v>4450</v>
      </c>
      <c r="Y7">
        <v>4620</v>
      </c>
      <c r="Z7">
        <v>3954</v>
      </c>
      <c r="AA7">
        <v>4189</v>
      </c>
      <c r="AB7">
        <v>3666</v>
      </c>
      <c r="AC7">
        <v>3893</v>
      </c>
      <c r="AD7">
        <v>3285</v>
      </c>
      <c r="AE7">
        <v>4045</v>
      </c>
      <c r="AF7">
        <v>3764</v>
      </c>
      <c r="AG7">
        <v>4357</v>
      </c>
      <c r="AH7">
        <v>3522</v>
      </c>
      <c r="AI7">
        <v>4148</v>
      </c>
      <c r="AJ7">
        <v>3835</v>
      </c>
      <c r="AK7">
        <v>4007</v>
      </c>
      <c r="AL7">
        <v>3805</v>
      </c>
      <c r="AM7">
        <v>4460</v>
      </c>
      <c r="AN7">
        <v>4197</v>
      </c>
      <c r="AO7">
        <v>3767</v>
      </c>
      <c r="AP7">
        <v>4961</v>
      </c>
      <c r="AQ7">
        <v>4547</v>
      </c>
      <c r="AR7">
        <v>4709</v>
      </c>
      <c r="AS7">
        <v>4289</v>
      </c>
      <c r="AT7">
        <v>4406</v>
      </c>
      <c r="AU7">
        <v>4780</v>
      </c>
      <c r="AV7">
        <v>4727</v>
      </c>
      <c r="AW7">
        <v>4828</v>
      </c>
      <c r="AX7">
        <v>4964</v>
      </c>
      <c r="AY7">
        <v>4865</v>
      </c>
      <c r="AZ7">
        <v>4527</v>
      </c>
      <c r="BA7">
        <v>5283</v>
      </c>
      <c r="BB7">
        <v>4943</v>
      </c>
      <c r="BC7">
        <v>4937</v>
      </c>
      <c r="BD7">
        <v>5196</v>
      </c>
      <c r="BE7">
        <v>5390</v>
      </c>
      <c r="BF7">
        <v>4742</v>
      </c>
      <c r="BG7">
        <v>5147</v>
      </c>
      <c r="BH7">
        <v>5365</v>
      </c>
      <c r="BI7">
        <v>5641</v>
      </c>
      <c r="BJ7">
        <v>4845</v>
      </c>
      <c r="BK7">
        <v>5648</v>
      </c>
    </row>
    <row r="8" spans="1:63">
      <c r="A8" s="216">
        <v>43891</v>
      </c>
      <c r="B8" t="s">
        <v>42</v>
      </c>
      <c r="C8">
        <v>4</v>
      </c>
      <c r="D8" t="s">
        <v>442</v>
      </c>
      <c r="E8" s="217">
        <v>43891</v>
      </c>
      <c r="F8">
        <v>127484</v>
      </c>
      <c r="G8" s="227" t="s">
        <v>123</v>
      </c>
      <c r="I8" t="str">
        <f t="shared" si="0"/>
        <v>Betsi Cadwaladr UHB_Mar-22</v>
      </c>
      <c r="J8" t="s">
        <v>43</v>
      </c>
      <c r="K8" t="s">
        <v>1165</v>
      </c>
      <c r="L8">
        <v>35583</v>
      </c>
      <c r="O8" s="221" t="s">
        <v>433</v>
      </c>
      <c r="P8">
        <v>45510</v>
      </c>
      <c r="Q8">
        <v>44910</v>
      </c>
      <c r="R8">
        <v>44148</v>
      </c>
      <c r="S8">
        <v>44414</v>
      </c>
      <c r="T8">
        <v>45250</v>
      </c>
      <c r="U8">
        <v>44338</v>
      </c>
      <c r="V8">
        <v>46689</v>
      </c>
      <c r="W8">
        <v>45093</v>
      </c>
      <c r="X8">
        <v>45044</v>
      </c>
      <c r="Y8">
        <v>46072</v>
      </c>
      <c r="Z8">
        <v>46836</v>
      </c>
      <c r="AA8">
        <v>68681</v>
      </c>
      <c r="AB8">
        <v>47675</v>
      </c>
      <c r="AC8">
        <v>47572</v>
      </c>
      <c r="AD8">
        <v>47847</v>
      </c>
      <c r="AE8">
        <v>47383</v>
      </c>
      <c r="AF8">
        <v>47621</v>
      </c>
      <c r="AG8">
        <v>47167</v>
      </c>
      <c r="AH8">
        <v>50435</v>
      </c>
      <c r="AI8">
        <v>50345</v>
      </c>
      <c r="AJ8">
        <v>51630</v>
      </c>
      <c r="AK8">
        <v>52947</v>
      </c>
      <c r="AL8">
        <v>54684</v>
      </c>
      <c r="AM8">
        <v>113372</v>
      </c>
      <c r="AN8">
        <v>52141</v>
      </c>
      <c r="AO8">
        <v>52720</v>
      </c>
      <c r="AP8">
        <v>52905</v>
      </c>
      <c r="AQ8">
        <v>52020</v>
      </c>
      <c r="AR8">
        <v>53294</v>
      </c>
      <c r="AS8">
        <v>61697</v>
      </c>
      <c r="AT8">
        <v>53802.65</v>
      </c>
      <c r="AU8">
        <v>57195</v>
      </c>
      <c r="AV8">
        <v>58034</v>
      </c>
      <c r="AW8">
        <v>59325</v>
      </c>
      <c r="AX8">
        <v>58753</v>
      </c>
      <c r="AY8">
        <v>88309</v>
      </c>
      <c r="AZ8">
        <v>55828</v>
      </c>
      <c r="BA8">
        <v>57512</v>
      </c>
      <c r="BB8">
        <v>56156</v>
      </c>
      <c r="BC8">
        <v>55972</v>
      </c>
      <c r="BD8">
        <v>55212</v>
      </c>
      <c r="BE8">
        <v>69059</v>
      </c>
      <c r="BF8">
        <v>58701</v>
      </c>
      <c r="BG8">
        <v>59267</v>
      </c>
      <c r="BH8">
        <v>57246</v>
      </c>
      <c r="BI8">
        <v>59571</v>
      </c>
      <c r="BJ8">
        <v>59138</v>
      </c>
      <c r="BK8">
        <v>103343</v>
      </c>
    </row>
    <row r="9" spans="1:63">
      <c r="A9" s="216">
        <v>43891</v>
      </c>
      <c r="B9" t="s">
        <v>42</v>
      </c>
      <c r="C9">
        <v>4</v>
      </c>
      <c r="D9" t="s">
        <v>442</v>
      </c>
      <c r="E9" s="217">
        <v>43891</v>
      </c>
      <c r="F9">
        <v>117768</v>
      </c>
      <c r="G9" s="227" t="s">
        <v>119</v>
      </c>
      <c r="I9" t="str">
        <f t="shared" si="0"/>
        <v>Betsi Cadwaladr UHB_Mar-23</v>
      </c>
      <c r="J9" t="s">
        <v>43</v>
      </c>
      <c r="K9" t="s">
        <v>1166</v>
      </c>
      <c r="L9">
        <v>38357</v>
      </c>
      <c r="O9" s="221" t="s">
        <v>445</v>
      </c>
      <c r="P9">
        <v>7897</v>
      </c>
      <c r="Q9">
        <v>8703</v>
      </c>
      <c r="R9">
        <v>8231</v>
      </c>
      <c r="S9">
        <v>8918</v>
      </c>
      <c r="T9">
        <v>7805</v>
      </c>
      <c r="U9">
        <v>8397</v>
      </c>
      <c r="V9">
        <v>9113</v>
      </c>
      <c r="W9">
        <v>9320</v>
      </c>
      <c r="X9">
        <v>10830</v>
      </c>
      <c r="Y9">
        <v>9527</v>
      </c>
      <c r="Z9">
        <v>9058</v>
      </c>
      <c r="AA9">
        <v>11548</v>
      </c>
      <c r="AB9">
        <v>12014</v>
      </c>
      <c r="AC9">
        <v>7350</v>
      </c>
      <c r="AD9">
        <v>9926</v>
      </c>
      <c r="AE9">
        <v>9139</v>
      </c>
      <c r="AF9">
        <v>8829</v>
      </c>
      <c r="AG9">
        <v>10547</v>
      </c>
      <c r="AH9">
        <v>9427</v>
      </c>
      <c r="AI9">
        <v>11179</v>
      </c>
      <c r="AJ9">
        <v>12201</v>
      </c>
      <c r="AK9">
        <v>10071</v>
      </c>
      <c r="AL9">
        <v>9811</v>
      </c>
      <c r="AM9">
        <v>15476</v>
      </c>
      <c r="AN9">
        <v>9692</v>
      </c>
      <c r="AO9">
        <v>9736</v>
      </c>
      <c r="AP9">
        <v>11479</v>
      </c>
      <c r="AQ9">
        <v>11271</v>
      </c>
      <c r="AR9">
        <v>10715</v>
      </c>
      <c r="AS9">
        <v>10584</v>
      </c>
      <c r="AT9">
        <v>10473</v>
      </c>
      <c r="AU9">
        <v>11544</v>
      </c>
      <c r="AV9">
        <v>11642</v>
      </c>
      <c r="AW9">
        <v>13811</v>
      </c>
      <c r="AX9">
        <v>12997</v>
      </c>
      <c r="AY9">
        <v>22807</v>
      </c>
      <c r="AZ9">
        <v>11736</v>
      </c>
      <c r="BA9">
        <v>10949</v>
      </c>
      <c r="BB9">
        <v>12076</v>
      </c>
      <c r="BC9">
        <v>10090</v>
      </c>
      <c r="BD9">
        <v>10968</v>
      </c>
      <c r="BE9">
        <v>12663</v>
      </c>
      <c r="BF9">
        <v>12973</v>
      </c>
      <c r="BG9">
        <v>12136</v>
      </c>
      <c r="BH9">
        <v>13341</v>
      </c>
      <c r="BI9">
        <v>13891</v>
      </c>
      <c r="BJ9">
        <v>11929</v>
      </c>
      <c r="BK9">
        <v>14875</v>
      </c>
    </row>
    <row r="10" spans="1:63">
      <c r="A10" s="216">
        <v>43891</v>
      </c>
      <c r="B10" t="s">
        <v>42</v>
      </c>
      <c r="C10">
        <v>4</v>
      </c>
      <c r="D10" t="s">
        <v>442</v>
      </c>
      <c r="E10" s="217">
        <v>43891</v>
      </c>
      <c r="F10">
        <v>117262</v>
      </c>
      <c r="G10" s="227" t="s">
        <v>88</v>
      </c>
      <c r="I10" t="str">
        <f t="shared" si="0"/>
        <v>Cardiff &amp; Vale UHB_Mar-20</v>
      </c>
      <c r="J10" t="s">
        <v>44</v>
      </c>
      <c r="K10" t="s">
        <v>1163</v>
      </c>
      <c r="L10">
        <v>27078</v>
      </c>
      <c r="O10" s="221" t="s">
        <v>437</v>
      </c>
      <c r="P10">
        <v>7847</v>
      </c>
      <c r="Q10">
        <v>7475</v>
      </c>
      <c r="R10">
        <v>7896</v>
      </c>
      <c r="S10">
        <v>7785</v>
      </c>
      <c r="T10">
        <v>8141</v>
      </c>
      <c r="U10">
        <v>6443</v>
      </c>
      <c r="V10">
        <v>7397</v>
      </c>
      <c r="W10">
        <v>7476</v>
      </c>
      <c r="X10">
        <v>7256</v>
      </c>
      <c r="Y10">
        <v>7093</v>
      </c>
      <c r="Z10">
        <v>6801</v>
      </c>
      <c r="AA10">
        <v>9826</v>
      </c>
      <c r="AB10">
        <v>8481</v>
      </c>
      <c r="AC10">
        <v>8194</v>
      </c>
      <c r="AD10">
        <v>7884</v>
      </c>
      <c r="AE10">
        <v>7409</v>
      </c>
      <c r="AF10">
        <v>8149</v>
      </c>
      <c r="AG10">
        <v>8081</v>
      </c>
      <c r="AH10">
        <v>10331</v>
      </c>
      <c r="AI10">
        <v>7598</v>
      </c>
      <c r="AJ10">
        <v>8072</v>
      </c>
      <c r="AK10">
        <v>8015</v>
      </c>
      <c r="AL10">
        <v>9362</v>
      </c>
      <c r="AM10">
        <v>11830</v>
      </c>
      <c r="AN10">
        <v>8363</v>
      </c>
      <c r="AO10">
        <v>8746</v>
      </c>
      <c r="AP10">
        <v>8289</v>
      </c>
      <c r="AQ10">
        <v>8309</v>
      </c>
      <c r="AR10">
        <v>9075</v>
      </c>
      <c r="AS10">
        <v>8884</v>
      </c>
      <c r="AT10">
        <v>9102</v>
      </c>
      <c r="AU10">
        <v>8888</v>
      </c>
      <c r="AV10">
        <v>10421</v>
      </c>
      <c r="AW10">
        <v>9343</v>
      </c>
      <c r="AX10">
        <v>8582</v>
      </c>
      <c r="AY10">
        <v>9101</v>
      </c>
      <c r="AZ10">
        <v>9497</v>
      </c>
      <c r="BA10">
        <v>8176</v>
      </c>
      <c r="BB10">
        <v>8512</v>
      </c>
      <c r="BC10">
        <v>10526</v>
      </c>
      <c r="BD10">
        <v>9329</v>
      </c>
      <c r="BE10">
        <v>9886</v>
      </c>
      <c r="BF10">
        <v>8811</v>
      </c>
      <c r="BG10">
        <v>9514</v>
      </c>
      <c r="BH10">
        <v>9528</v>
      </c>
      <c r="BI10">
        <v>9285</v>
      </c>
      <c r="BJ10">
        <v>7468</v>
      </c>
      <c r="BK10">
        <v>9868</v>
      </c>
    </row>
    <row r="11" spans="1:63">
      <c r="A11" s="216">
        <v>43891</v>
      </c>
      <c r="B11" t="s">
        <v>42</v>
      </c>
      <c r="C11">
        <v>4</v>
      </c>
      <c r="D11" t="s">
        <v>442</v>
      </c>
      <c r="E11" s="217">
        <v>43891</v>
      </c>
      <c r="F11">
        <v>118520</v>
      </c>
      <c r="G11" s="227" t="s">
        <v>96</v>
      </c>
      <c r="I11" t="str">
        <f t="shared" si="0"/>
        <v>Cardiff &amp; Vale UHB_Mar-21</v>
      </c>
      <c r="J11" t="s">
        <v>44</v>
      </c>
      <c r="K11" t="s">
        <v>1164</v>
      </c>
      <c r="L11">
        <v>29617</v>
      </c>
      <c r="O11" s="221" t="s">
        <v>441</v>
      </c>
      <c r="P11">
        <v>19703</v>
      </c>
      <c r="Q11">
        <v>19804</v>
      </c>
      <c r="R11">
        <v>19845</v>
      </c>
      <c r="S11">
        <v>20416</v>
      </c>
      <c r="T11">
        <v>20286</v>
      </c>
      <c r="U11">
        <v>19885</v>
      </c>
      <c r="V11">
        <v>23599</v>
      </c>
      <c r="W11">
        <v>21444</v>
      </c>
      <c r="X11">
        <v>20726</v>
      </c>
      <c r="Y11">
        <v>21316</v>
      </c>
      <c r="Z11">
        <v>20076</v>
      </c>
      <c r="AA11">
        <v>21820</v>
      </c>
      <c r="AB11">
        <v>21535</v>
      </c>
      <c r="AC11">
        <v>21308</v>
      </c>
      <c r="AD11">
        <v>21415</v>
      </c>
      <c r="AE11">
        <v>21139</v>
      </c>
      <c r="AF11">
        <v>23263</v>
      </c>
      <c r="AG11">
        <v>20586</v>
      </c>
      <c r="AH11">
        <v>23921</v>
      </c>
      <c r="AI11">
        <v>23426</v>
      </c>
      <c r="AJ11">
        <v>22248</v>
      </c>
      <c r="AK11">
        <v>22492</v>
      </c>
      <c r="AL11">
        <v>21411</v>
      </c>
      <c r="AM11">
        <v>25299</v>
      </c>
      <c r="AN11">
        <v>24780</v>
      </c>
      <c r="AO11">
        <v>23764</v>
      </c>
      <c r="AP11">
        <v>25055</v>
      </c>
      <c r="AQ11">
        <v>24181</v>
      </c>
      <c r="AR11">
        <v>22944</v>
      </c>
      <c r="AS11">
        <v>24125</v>
      </c>
      <c r="AT11">
        <v>24623</v>
      </c>
      <c r="AU11">
        <v>25751</v>
      </c>
      <c r="AV11">
        <v>24660</v>
      </c>
      <c r="AW11">
        <v>27103</v>
      </c>
      <c r="AX11">
        <v>25192</v>
      </c>
      <c r="AY11">
        <v>27399</v>
      </c>
      <c r="AZ11">
        <v>26003</v>
      </c>
      <c r="BA11">
        <v>26107</v>
      </c>
      <c r="BB11">
        <v>25764</v>
      </c>
      <c r="BC11">
        <v>26588</v>
      </c>
      <c r="BD11">
        <v>25129</v>
      </c>
      <c r="BE11">
        <v>25421</v>
      </c>
      <c r="BF11">
        <v>24869</v>
      </c>
      <c r="BG11">
        <v>24413</v>
      </c>
      <c r="BH11">
        <v>29058</v>
      </c>
      <c r="BI11">
        <v>25720</v>
      </c>
      <c r="BJ11">
        <v>30349</v>
      </c>
      <c r="BK11">
        <v>27629</v>
      </c>
    </row>
    <row r="12" spans="1:63">
      <c r="A12" s="216">
        <v>43891</v>
      </c>
      <c r="B12" t="s">
        <v>42</v>
      </c>
      <c r="C12">
        <v>4</v>
      </c>
      <c r="D12" t="s">
        <v>442</v>
      </c>
      <c r="E12" s="217">
        <v>43891</v>
      </c>
      <c r="F12">
        <v>117110.887</v>
      </c>
      <c r="G12" s="227" t="s">
        <v>92</v>
      </c>
      <c r="I12" t="str">
        <f t="shared" si="0"/>
        <v>Cardiff &amp; Vale UHB_Mar-22</v>
      </c>
      <c r="J12" t="s">
        <v>44</v>
      </c>
      <c r="K12" t="s">
        <v>1165</v>
      </c>
      <c r="L12">
        <v>31602</v>
      </c>
      <c r="O12" s="221" t="s">
        <v>447</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row>
    <row r="13" spans="1:63">
      <c r="A13" s="216">
        <v>43891</v>
      </c>
      <c r="B13" t="s">
        <v>42</v>
      </c>
      <c r="C13">
        <v>4</v>
      </c>
      <c r="D13" t="s">
        <v>442</v>
      </c>
      <c r="E13" s="217">
        <v>43891</v>
      </c>
      <c r="F13">
        <v>161011.84099999999</v>
      </c>
      <c r="G13" s="227" t="s">
        <v>110</v>
      </c>
      <c r="I13" t="str">
        <f t="shared" si="0"/>
        <v>Cardiff &amp; Vale UHB_Mar-23</v>
      </c>
      <c r="J13" t="s">
        <v>44</v>
      </c>
      <c r="K13" t="s">
        <v>1166</v>
      </c>
      <c r="L13">
        <v>34012</v>
      </c>
      <c r="O13" s="7" t="s">
        <v>43</v>
      </c>
      <c r="P13">
        <v>271573</v>
      </c>
      <c r="Q13">
        <v>270276</v>
      </c>
      <c r="R13">
        <v>269358</v>
      </c>
      <c r="S13">
        <v>280148</v>
      </c>
      <c r="T13">
        <v>273431</v>
      </c>
      <c r="U13">
        <v>272682</v>
      </c>
      <c r="V13">
        <v>282328</v>
      </c>
      <c r="W13">
        <v>274473</v>
      </c>
      <c r="X13">
        <v>279247</v>
      </c>
      <c r="Y13">
        <v>281448</v>
      </c>
      <c r="Z13">
        <v>283006</v>
      </c>
      <c r="AA13">
        <v>432415</v>
      </c>
      <c r="AB13">
        <v>328690</v>
      </c>
      <c r="AC13">
        <v>276071</v>
      </c>
      <c r="AD13">
        <v>285184</v>
      </c>
      <c r="AE13">
        <v>296401</v>
      </c>
      <c r="AF13">
        <v>258350</v>
      </c>
      <c r="AG13">
        <v>314665</v>
      </c>
      <c r="AH13">
        <v>320065</v>
      </c>
      <c r="AI13">
        <v>282105</v>
      </c>
      <c r="AJ13">
        <v>306596</v>
      </c>
      <c r="AK13">
        <v>304936</v>
      </c>
      <c r="AL13">
        <v>313592</v>
      </c>
      <c r="AM13">
        <v>549012</v>
      </c>
      <c r="AN13">
        <v>296016</v>
      </c>
      <c r="AO13">
        <v>311777</v>
      </c>
      <c r="AP13">
        <v>311308</v>
      </c>
      <c r="AQ13">
        <v>310252</v>
      </c>
      <c r="AR13">
        <v>322483</v>
      </c>
      <c r="AS13">
        <v>313057</v>
      </c>
      <c r="AT13">
        <v>316296</v>
      </c>
      <c r="AU13">
        <v>321558</v>
      </c>
      <c r="AV13">
        <v>338217</v>
      </c>
      <c r="AW13">
        <v>349667</v>
      </c>
      <c r="AX13">
        <v>336375</v>
      </c>
      <c r="AY13">
        <v>452899</v>
      </c>
      <c r="AZ13">
        <v>324816</v>
      </c>
      <c r="BA13">
        <v>320957</v>
      </c>
      <c r="BB13">
        <v>322902</v>
      </c>
      <c r="BC13">
        <v>333797</v>
      </c>
      <c r="BD13">
        <v>336499</v>
      </c>
      <c r="BE13">
        <v>369197</v>
      </c>
      <c r="BF13">
        <v>336965</v>
      </c>
      <c r="BG13">
        <v>336132</v>
      </c>
      <c r="BH13">
        <v>340122</v>
      </c>
      <c r="BI13">
        <v>342412</v>
      </c>
      <c r="BJ13">
        <v>353350</v>
      </c>
      <c r="BK13">
        <v>490897</v>
      </c>
    </row>
    <row r="14" spans="1:63">
      <c r="A14" s="216">
        <v>43891</v>
      </c>
      <c r="B14" t="s">
        <v>42</v>
      </c>
      <c r="C14">
        <v>4</v>
      </c>
      <c r="D14" t="s">
        <v>442</v>
      </c>
      <c r="E14" s="217">
        <v>43891</v>
      </c>
      <c r="F14">
        <v>1420759.7279999999</v>
      </c>
      <c r="G14" s="227" t="s">
        <v>434</v>
      </c>
      <c r="I14" t="str">
        <f t="shared" si="0"/>
        <v>Cwm Taf Morgannwg UHB_Mar-20</v>
      </c>
      <c r="J14" t="s">
        <v>45</v>
      </c>
      <c r="K14" t="s">
        <v>1163</v>
      </c>
      <c r="L14">
        <v>21732</v>
      </c>
      <c r="O14" s="221" t="s">
        <v>442</v>
      </c>
      <c r="P14">
        <v>135578</v>
      </c>
      <c r="Q14">
        <v>135093</v>
      </c>
      <c r="R14">
        <v>135237</v>
      </c>
      <c r="S14">
        <v>140318</v>
      </c>
      <c r="T14">
        <v>136848</v>
      </c>
      <c r="U14">
        <v>136797</v>
      </c>
      <c r="V14">
        <v>141873</v>
      </c>
      <c r="W14">
        <v>137747</v>
      </c>
      <c r="X14">
        <v>139680</v>
      </c>
      <c r="Y14">
        <v>141178</v>
      </c>
      <c r="Z14">
        <v>141490</v>
      </c>
      <c r="AA14">
        <v>241615</v>
      </c>
      <c r="AB14">
        <v>164439</v>
      </c>
      <c r="AC14">
        <v>138343</v>
      </c>
      <c r="AD14">
        <v>142646</v>
      </c>
      <c r="AE14">
        <v>149545</v>
      </c>
      <c r="AF14">
        <v>115810</v>
      </c>
      <c r="AG14">
        <v>172239</v>
      </c>
      <c r="AH14">
        <v>172464</v>
      </c>
      <c r="AI14">
        <v>143393</v>
      </c>
      <c r="AJ14">
        <v>155881</v>
      </c>
      <c r="AK14">
        <v>152635</v>
      </c>
      <c r="AL14">
        <v>158284</v>
      </c>
      <c r="AM14">
        <v>278451</v>
      </c>
      <c r="AN14">
        <v>148714</v>
      </c>
      <c r="AO14">
        <v>158971</v>
      </c>
      <c r="AP14">
        <v>158807</v>
      </c>
      <c r="AQ14">
        <v>158991</v>
      </c>
      <c r="AR14">
        <v>163848</v>
      </c>
      <c r="AS14">
        <v>160347</v>
      </c>
      <c r="AT14">
        <v>160918</v>
      </c>
      <c r="AU14">
        <v>163862</v>
      </c>
      <c r="AV14">
        <v>171682</v>
      </c>
      <c r="AW14">
        <v>178082</v>
      </c>
      <c r="AX14">
        <v>173208</v>
      </c>
      <c r="AY14">
        <v>229897</v>
      </c>
      <c r="AZ14">
        <v>164175</v>
      </c>
      <c r="BA14">
        <v>162396</v>
      </c>
      <c r="BB14">
        <v>163819</v>
      </c>
      <c r="BC14">
        <v>170733</v>
      </c>
      <c r="BD14">
        <v>172741</v>
      </c>
      <c r="BE14">
        <v>187122</v>
      </c>
      <c r="BF14">
        <v>170898</v>
      </c>
      <c r="BG14">
        <v>171284</v>
      </c>
      <c r="BH14">
        <v>172317</v>
      </c>
      <c r="BI14">
        <v>173837</v>
      </c>
      <c r="BJ14">
        <v>179306</v>
      </c>
      <c r="BK14">
        <v>255152</v>
      </c>
    </row>
    <row r="15" spans="1:63">
      <c r="A15" s="216">
        <v>43891</v>
      </c>
      <c r="B15" t="s">
        <v>42</v>
      </c>
      <c r="C15">
        <v>5</v>
      </c>
      <c r="D15" t="s">
        <v>451</v>
      </c>
      <c r="E15" s="217">
        <v>43891</v>
      </c>
      <c r="F15">
        <v>13384</v>
      </c>
      <c r="G15" s="227" t="s">
        <v>70</v>
      </c>
      <c r="I15" t="str">
        <f t="shared" si="0"/>
        <v>Cwm Taf Morgannwg UHB_Mar-21</v>
      </c>
      <c r="J15" t="s">
        <v>45</v>
      </c>
      <c r="K15" t="s">
        <v>1164</v>
      </c>
      <c r="L15">
        <v>23888</v>
      </c>
      <c r="O15" s="221" t="s">
        <v>450</v>
      </c>
      <c r="P15">
        <v>8156</v>
      </c>
      <c r="Q15">
        <v>8253</v>
      </c>
      <c r="R15">
        <v>8224</v>
      </c>
      <c r="S15">
        <v>8168</v>
      </c>
      <c r="T15">
        <v>8583</v>
      </c>
      <c r="U15">
        <v>8660</v>
      </c>
      <c r="V15">
        <v>8765</v>
      </c>
      <c r="W15">
        <v>8335</v>
      </c>
      <c r="X15">
        <v>9872</v>
      </c>
      <c r="Y15">
        <v>10588</v>
      </c>
      <c r="Z15">
        <v>9401</v>
      </c>
      <c r="AA15">
        <v>11033</v>
      </c>
      <c r="AB15">
        <v>8924</v>
      </c>
      <c r="AC15">
        <v>8566</v>
      </c>
      <c r="AD15">
        <v>10494</v>
      </c>
      <c r="AE15">
        <v>11035</v>
      </c>
      <c r="AF15">
        <v>8729</v>
      </c>
      <c r="AG15">
        <v>9040</v>
      </c>
      <c r="AH15">
        <v>9355</v>
      </c>
      <c r="AI15">
        <v>8711</v>
      </c>
      <c r="AJ15">
        <v>9842</v>
      </c>
      <c r="AK15">
        <v>9491</v>
      </c>
      <c r="AL15">
        <v>8973</v>
      </c>
      <c r="AM15">
        <v>10853</v>
      </c>
      <c r="AN15">
        <v>9198</v>
      </c>
      <c r="AO15">
        <v>7930</v>
      </c>
      <c r="AP15">
        <v>9258</v>
      </c>
      <c r="AQ15">
        <v>10467</v>
      </c>
      <c r="AR15">
        <v>9325</v>
      </c>
      <c r="AS15">
        <v>9801</v>
      </c>
      <c r="AT15">
        <v>8807</v>
      </c>
      <c r="AU15">
        <v>9252</v>
      </c>
      <c r="AV15">
        <v>10283</v>
      </c>
      <c r="AW15">
        <v>9316</v>
      </c>
      <c r="AX15">
        <v>8901</v>
      </c>
      <c r="AY15">
        <v>9764</v>
      </c>
      <c r="AZ15">
        <v>8696</v>
      </c>
      <c r="BA15">
        <v>8772</v>
      </c>
      <c r="BB15">
        <v>9930</v>
      </c>
      <c r="BC15">
        <v>10087</v>
      </c>
      <c r="BD15">
        <v>10344</v>
      </c>
      <c r="BE15">
        <v>10503</v>
      </c>
      <c r="BF15">
        <v>9917</v>
      </c>
      <c r="BG15">
        <v>9936</v>
      </c>
      <c r="BH15">
        <v>10197</v>
      </c>
      <c r="BI15">
        <v>10353</v>
      </c>
      <c r="BJ15">
        <v>10266</v>
      </c>
      <c r="BK15">
        <v>11818</v>
      </c>
    </row>
    <row r="16" spans="1:63">
      <c r="A16" s="216">
        <v>43891</v>
      </c>
      <c r="B16" t="s">
        <v>42</v>
      </c>
      <c r="C16">
        <v>5</v>
      </c>
      <c r="D16" t="s">
        <v>451</v>
      </c>
      <c r="E16" s="217">
        <v>43891</v>
      </c>
      <c r="F16">
        <v>14454</v>
      </c>
      <c r="G16" s="227" t="s">
        <v>114</v>
      </c>
      <c r="I16" t="str">
        <f t="shared" si="0"/>
        <v>Cwm Taf Morgannwg UHB_Mar-22</v>
      </c>
      <c r="J16" t="s">
        <v>45</v>
      </c>
      <c r="K16" t="s">
        <v>1165</v>
      </c>
      <c r="L16">
        <v>25111</v>
      </c>
      <c r="O16" s="221" t="s">
        <v>451</v>
      </c>
      <c r="P16">
        <v>16762</v>
      </c>
      <c r="Q16">
        <v>16948</v>
      </c>
      <c r="R16">
        <v>17304</v>
      </c>
      <c r="S16">
        <v>16850</v>
      </c>
      <c r="T16">
        <v>17352</v>
      </c>
      <c r="U16">
        <v>17343</v>
      </c>
      <c r="V16">
        <v>18530</v>
      </c>
      <c r="W16">
        <v>18106</v>
      </c>
      <c r="X16">
        <v>17030</v>
      </c>
      <c r="Y16">
        <v>17589</v>
      </c>
      <c r="Z16">
        <v>17988</v>
      </c>
      <c r="AA16">
        <v>21805</v>
      </c>
      <c r="AB16">
        <v>17237</v>
      </c>
      <c r="AC16">
        <v>17621</v>
      </c>
      <c r="AD16">
        <v>15892</v>
      </c>
      <c r="AE16">
        <v>17474</v>
      </c>
      <c r="AF16">
        <v>17177</v>
      </c>
      <c r="AG16">
        <v>16646</v>
      </c>
      <c r="AH16">
        <v>17172</v>
      </c>
      <c r="AI16">
        <v>17893</v>
      </c>
      <c r="AJ16">
        <v>17882</v>
      </c>
      <c r="AK16">
        <v>18717</v>
      </c>
      <c r="AL16">
        <v>19735</v>
      </c>
      <c r="AM16">
        <v>23404</v>
      </c>
      <c r="AN16">
        <v>18135</v>
      </c>
      <c r="AO16">
        <v>19071</v>
      </c>
      <c r="AP16">
        <v>19080</v>
      </c>
      <c r="AQ16">
        <v>19713</v>
      </c>
      <c r="AR16">
        <v>18455</v>
      </c>
      <c r="AS16">
        <v>17954</v>
      </c>
      <c r="AT16">
        <v>18689</v>
      </c>
      <c r="AU16">
        <v>18851</v>
      </c>
      <c r="AV16">
        <v>20808</v>
      </c>
      <c r="AW16">
        <v>20257</v>
      </c>
      <c r="AX16">
        <v>18240</v>
      </c>
      <c r="AY16">
        <v>19387</v>
      </c>
      <c r="AZ16">
        <v>18117</v>
      </c>
      <c r="BA16">
        <v>17906</v>
      </c>
      <c r="BB16">
        <v>16529</v>
      </c>
      <c r="BC16">
        <v>18135</v>
      </c>
      <c r="BD16">
        <v>17415</v>
      </c>
      <c r="BE16">
        <v>18117</v>
      </c>
      <c r="BF16">
        <v>18719</v>
      </c>
      <c r="BG16">
        <v>22109</v>
      </c>
      <c r="BH16">
        <v>18909</v>
      </c>
      <c r="BI16">
        <v>19628</v>
      </c>
      <c r="BJ16">
        <v>18988</v>
      </c>
      <c r="BK16">
        <v>17541</v>
      </c>
    </row>
    <row r="17" spans="1:63">
      <c r="A17" s="216">
        <v>43891</v>
      </c>
      <c r="B17" t="s">
        <v>42</v>
      </c>
      <c r="C17">
        <v>5</v>
      </c>
      <c r="D17" t="s">
        <v>451</v>
      </c>
      <c r="E17" s="217">
        <v>43891</v>
      </c>
      <c r="F17">
        <v>14624</v>
      </c>
      <c r="G17" s="227" t="s">
        <v>105</v>
      </c>
      <c r="I17" t="str">
        <f t="shared" si="0"/>
        <v>Cwm Taf Morgannwg UHB_Mar-23</v>
      </c>
      <c r="J17" t="s">
        <v>45</v>
      </c>
      <c r="K17" t="s">
        <v>1166</v>
      </c>
      <c r="L17">
        <v>26057</v>
      </c>
      <c r="O17" s="221" t="s">
        <v>454</v>
      </c>
      <c r="P17">
        <v>5891</v>
      </c>
      <c r="Q17">
        <v>5977</v>
      </c>
      <c r="R17">
        <v>5585</v>
      </c>
      <c r="S17">
        <v>6291</v>
      </c>
      <c r="T17">
        <v>5840</v>
      </c>
      <c r="U17">
        <v>5950</v>
      </c>
      <c r="V17">
        <v>5996</v>
      </c>
      <c r="W17">
        <v>6135</v>
      </c>
      <c r="X17">
        <v>6008</v>
      </c>
      <c r="Y17">
        <v>6625</v>
      </c>
      <c r="Z17">
        <v>5686</v>
      </c>
      <c r="AA17">
        <v>6328</v>
      </c>
      <c r="AB17">
        <v>5375</v>
      </c>
      <c r="AC17">
        <v>5016</v>
      </c>
      <c r="AD17">
        <v>5523</v>
      </c>
      <c r="AE17">
        <v>5843</v>
      </c>
      <c r="AF17">
        <v>5400</v>
      </c>
      <c r="AG17">
        <v>6208</v>
      </c>
      <c r="AH17">
        <v>6326</v>
      </c>
      <c r="AI17">
        <v>5968</v>
      </c>
      <c r="AJ17">
        <v>6595</v>
      </c>
      <c r="AK17">
        <v>6308</v>
      </c>
      <c r="AL17">
        <v>6604</v>
      </c>
      <c r="AM17">
        <v>7562</v>
      </c>
      <c r="AN17">
        <v>5618</v>
      </c>
      <c r="AO17">
        <v>6033</v>
      </c>
      <c r="AP17">
        <v>6797</v>
      </c>
      <c r="AQ17">
        <v>6861</v>
      </c>
      <c r="AR17">
        <v>7056</v>
      </c>
      <c r="AS17">
        <v>7521</v>
      </c>
      <c r="AT17">
        <v>7455</v>
      </c>
      <c r="AU17">
        <v>7101</v>
      </c>
      <c r="AV17">
        <v>7149</v>
      </c>
      <c r="AW17">
        <v>7184</v>
      </c>
      <c r="AX17">
        <v>6359</v>
      </c>
      <c r="AY17">
        <v>7081</v>
      </c>
      <c r="AZ17">
        <v>6977</v>
      </c>
      <c r="BA17">
        <v>7289</v>
      </c>
      <c r="BB17">
        <v>5359</v>
      </c>
      <c r="BC17">
        <v>6659</v>
      </c>
      <c r="BD17">
        <v>7189</v>
      </c>
      <c r="BE17">
        <v>7151</v>
      </c>
      <c r="BF17">
        <v>7033</v>
      </c>
      <c r="BG17">
        <v>7427</v>
      </c>
      <c r="BH17">
        <v>7129</v>
      </c>
      <c r="BI17">
        <v>7419</v>
      </c>
      <c r="BJ17">
        <v>7543</v>
      </c>
      <c r="BK17">
        <v>5707</v>
      </c>
    </row>
    <row r="18" spans="1:63">
      <c r="A18" s="216">
        <v>43891</v>
      </c>
      <c r="B18" t="s">
        <v>42</v>
      </c>
      <c r="C18">
        <v>5</v>
      </c>
      <c r="D18" t="s">
        <v>451</v>
      </c>
      <c r="E18" s="217">
        <v>43891</v>
      </c>
      <c r="F18">
        <v>14293</v>
      </c>
      <c r="G18" s="227" t="s">
        <v>100</v>
      </c>
      <c r="I18" t="str">
        <f t="shared" si="0"/>
        <v>Hywel Dda UHB_Mar-20</v>
      </c>
      <c r="J18" t="s">
        <v>46</v>
      </c>
      <c r="K18" t="s">
        <v>1163</v>
      </c>
      <c r="L18">
        <v>17529</v>
      </c>
      <c r="O18" s="221" t="s">
        <v>433</v>
      </c>
      <c r="P18">
        <v>64595</v>
      </c>
      <c r="Q18">
        <v>61921</v>
      </c>
      <c r="R18">
        <v>61957</v>
      </c>
      <c r="S18">
        <v>62303</v>
      </c>
      <c r="T18">
        <v>62241</v>
      </c>
      <c r="U18">
        <v>62078</v>
      </c>
      <c r="V18">
        <v>64679</v>
      </c>
      <c r="W18">
        <v>62115</v>
      </c>
      <c r="X18">
        <v>62297</v>
      </c>
      <c r="Y18">
        <v>62877</v>
      </c>
      <c r="Z18">
        <v>63214</v>
      </c>
      <c r="AA18">
        <v>95038</v>
      </c>
      <c r="AB18">
        <v>64970</v>
      </c>
      <c r="AC18">
        <v>66116</v>
      </c>
      <c r="AD18">
        <v>68155</v>
      </c>
      <c r="AE18">
        <v>67297</v>
      </c>
      <c r="AF18">
        <v>65990</v>
      </c>
      <c r="AG18">
        <v>65584</v>
      </c>
      <c r="AH18">
        <v>68063</v>
      </c>
      <c r="AI18">
        <v>67254</v>
      </c>
      <c r="AJ18">
        <v>67482</v>
      </c>
      <c r="AK18">
        <v>68814</v>
      </c>
      <c r="AL18">
        <v>69601</v>
      </c>
      <c r="AM18">
        <v>150495</v>
      </c>
      <c r="AN18">
        <v>68195</v>
      </c>
      <c r="AO18">
        <v>70220</v>
      </c>
      <c r="AP18">
        <v>69655</v>
      </c>
      <c r="AQ18">
        <v>69040</v>
      </c>
      <c r="AR18">
        <v>76096</v>
      </c>
      <c r="AS18">
        <v>71989</v>
      </c>
      <c r="AT18">
        <v>68512</v>
      </c>
      <c r="AU18">
        <v>74010</v>
      </c>
      <c r="AV18">
        <v>75451</v>
      </c>
      <c r="AW18">
        <v>76663</v>
      </c>
      <c r="AX18">
        <v>75266</v>
      </c>
      <c r="AY18">
        <v>119373</v>
      </c>
      <c r="AZ18">
        <v>76620</v>
      </c>
      <c r="BA18">
        <v>73442</v>
      </c>
      <c r="BB18">
        <v>75384</v>
      </c>
      <c r="BC18">
        <v>76336</v>
      </c>
      <c r="BD18">
        <v>75084</v>
      </c>
      <c r="BE18">
        <v>95804</v>
      </c>
      <c r="BF18">
        <v>79428</v>
      </c>
      <c r="BG18">
        <v>79684</v>
      </c>
      <c r="BH18">
        <v>75126</v>
      </c>
      <c r="BI18">
        <v>80774</v>
      </c>
      <c r="BJ18">
        <v>81475</v>
      </c>
      <c r="BK18">
        <v>142445</v>
      </c>
    </row>
    <row r="19" spans="1:63">
      <c r="A19" s="216">
        <v>43891</v>
      </c>
      <c r="B19" t="s">
        <v>42</v>
      </c>
      <c r="C19">
        <v>5</v>
      </c>
      <c r="D19" t="s">
        <v>451</v>
      </c>
      <c r="E19" s="217">
        <v>43891</v>
      </c>
      <c r="F19">
        <v>14353</v>
      </c>
      <c r="G19" s="227" t="s">
        <v>83</v>
      </c>
      <c r="I19" t="str">
        <f t="shared" si="0"/>
        <v>Hywel Dda UHB_Mar-21</v>
      </c>
      <c r="J19" t="s">
        <v>46</v>
      </c>
      <c r="K19" t="s">
        <v>1164</v>
      </c>
      <c r="L19">
        <v>19270</v>
      </c>
      <c r="O19" s="221" t="s">
        <v>445</v>
      </c>
      <c r="P19">
        <v>11166</v>
      </c>
      <c r="Q19">
        <v>12836</v>
      </c>
      <c r="R19">
        <v>11322</v>
      </c>
      <c r="S19">
        <v>15177</v>
      </c>
      <c r="T19">
        <v>12215</v>
      </c>
      <c r="U19">
        <v>12396</v>
      </c>
      <c r="V19">
        <v>13925</v>
      </c>
      <c r="W19">
        <v>12279</v>
      </c>
      <c r="X19">
        <v>13463</v>
      </c>
      <c r="Y19">
        <v>12843</v>
      </c>
      <c r="Z19">
        <v>14954</v>
      </c>
      <c r="AA19">
        <v>28053</v>
      </c>
      <c r="AB19">
        <v>36725</v>
      </c>
      <c r="AC19">
        <v>9551</v>
      </c>
      <c r="AD19">
        <v>11764</v>
      </c>
      <c r="AE19">
        <v>13936</v>
      </c>
      <c r="AF19">
        <v>14172</v>
      </c>
      <c r="AG19">
        <v>12961</v>
      </c>
      <c r="AH19">
        <v>14976</v>
      </c>
      <c r="AI19">
        <v>6135</v>
      </c>
      <c r="AJ19">
        <v>18643</v>
      </c>
      <c r="AK19">
        <v>16165</v>
      </c>
      <c r="AL19">
        <v>17641</v>
      </c>
      <c r="AM19">
        <v>40567</v>
      </c>
      <c r="AN19">
        <v>15182</v>
      </c>
      <c r="AO19">
        <v>17563</v>
      </c>
      <c r="AP19">
        <v>15845</v>
      </c>
      <c r="AQ19">
        <v>10560</v>
      </c>
      <c r="AR19">
        <v>15781</v>
      </c>
      <c r="AS19">
        <v>14590</v>
      </c>
      <c r="AT19">
        <v>19039</v>
      </c>
      <c r="AU19">
        <v>16871</v>
      </c>
      <c r="AV19">
        <v>20436</v>
      </c>
      <c r="AW19">
        <v>22073</v>
      </c>
      <c r="AX19">
        <v>22726</v>
      </c>
      <c r="AY19">
        <v>30049</v>
      </c>
      <c r="AZ19">
        <v>15727</v>
      </c>
      <c r="BA19">
        <v>15984</v>
      </c>
      <c r="BB19">
        <v>17801</v>
      </c>
      <c r="BC19">
        <v>13728</v>
      </c>
      <c r="BD19">
        <v>19442</v>
      </c>
      <c r="BE19">
        <v>19295</v>
      </c>
      <c r="BF19">
        <v>17657</v>
      </c>
      <c r="BG19">
        <v>15311</v>
      </c>
      <c r="BH19">
        <v>19687</v>
      </c>
      <c r="BI19">
        <v>16256</v>
      </c>
      <c r="BJ19">
        <v>17756</v>
      </c>
      <c r="BK19">
        <v>21873</v>
      </c>
    </row>
    <row r="20" spans="1:63">
      <c r="A20" s="216">
        <v>43891</v>
      </c>
      <c r="B20" t="s">
        <v>42</v>
      </c>
      <c r="C20">
        <v>5</v>
      </c>
      <c r="D20" t="s">
        <v>451</v>
      </c>
      <c r="E20" s="217">
        <v>43891</v>
      </c>
      <c r="F20">
        <v>13776</v>
      </c>
      <c r="G20" s="227" t="s">
        <v>127</v>
      </c>
      <c r="I20" t="str">
        <f t="shared" si="0"/>
        <v>Hywel Dda UHB_Mar-22</v>
      </c>
      <c r="J20" t="s">
        <v>46</v>
      </c>
      <c r="K20" t="s">
        <v>1165</v>
      </c>
      <c r="L20">
        <v>20465</v>
      </c>
      <c r="O20" s="221" t="s">
        <v>437</v>
      </c>
      <c r="P20">
        <v>8260</v>
      </c>
      <c r="Q20">
        <v>8296</v>
      </c>
      <c r="R20">
        <v>8159</v>
      </c>
      <c r="S20">
        <v>7973</v>
      </c>
      <c r="T20">
        <v>8190</v>
      </c>
      <c r="U20">
        <v>7998</v>
      </c>
      <c r="V20">
        <v>7938</v>
      </c>
      <c r="W20">
        <v>7980</v>
      </c>
      <c r="X20">
        <v>9296</v>
      </c>
      <c r="Y20">
        <v>7483</v>
      </c>
      <c r="Z20">
        <v>7301</v>
      </c>
      <c r="AA20">
        <v>8168</v>
      </c>
      <c r="AB20">
        <v>8365</v>
      </c>
      <c r="AC20">
        <v>8197</v>
      </c>
      <c r="AD20">
        <v>9101</v>
      </c>
      <c r="AE20">
        <v>8933</v>
      </c>
      <c r="AF20">
        <v>9026</v>
      </c>
      <c r="AG20">
        <v>9529</v>
      </c>
      <c r="AH20">
        <v>9851</v>
      </c>
      <c r="AI20">
        <v>9834</v>
      </c>
      <c r="AJ20">
        <v>8001</v>
      </c>
      <c r="AK20">
        <v>11211</v>
      </c>
      <c r="AL20">
        <v>10659</v>
      </c>
      <c r="AM20">
        <v>10080</v>
      </c>
      <c r="AN20">
        <v>8153</v>
      </c>
      <c r="AO20">
        <v>9156</v>
      </c>
      <c r="AP20">
        <v>8479</v>
      </c>
      <c r="AQ20">
        <v>10208</v>
      </c>
      <c r="AR20">
        <v>8645</v>
      </c>
      <c r="AS20">
        <v>7130</v>
      </c>
      <c r="AT20">
        <v>9354</v>
      </c>
      <c r="AU20">
        <v>7147</v>
      </c>
      <c r="AV20">
        <v>8907</v>
      </c>
      <c r="AW20">
        <v>8738</v>
      </c>
      <c r="AX20">
        <v>7552</v>
      </c>
      <c r="AY20">
        <v>9385</v>
      </c>
      <c r="AZ20">
        <v>9380</v>
      </c>
      <c r="BA20">
        <v>9423</v>
      </c>
      <c r="BB20">
        <v>9396</v>
      </c>
      <c r="BC20">
        <v>10233</v>
      </c>
      <c r="BD20">
        <v>9604</v>
      </c>
      <c r="BE20">
        <v>5472</v>
      </c>
      <c r="BF20">
        <v>8685</v>
      </c>
      <c r="BG20">
        <v>8833</v>
      </c>
      <c r="BH20">
        <v>8864</v>
      </c>
      <c r="BI20">
        <v>6966</v>
      </c>
      <c r="BJ20">
        <v>6929</v>
      </c>
      <c r="BK20">
        <v>10295</v>
      </c>
    </row>
    <row r="21" spans="1:63">
      <c r="A21" s="216">
        <v>43891</v>
      </c>
      <c r="B21" t="s">
        <v>42</v>
      </c>
      <c r="C21">
        <v>5</v>
      </c>
      <c r="D21" t="s">
        <v>451</v>
      </c>
      <c r="E21" s="217">
        <v>43891</v>
      </c>
      <c r="F21">
        <v>14471</v>
      </c>
      <c r="G21" s="227" t="s">
        <v>123</v>
      </c>
      <c r="I21" t="str">
        <f t="shared" si="0"/>
        <v>Hywel Dda UHB_Mar-23</v>
      </c>
      <c r="J21" t="s">
        <v>46</v>
      </c>
      <c r="K21" t="s">
        <v>1166</v>
      </c>
      <c r="L21">
        <v>21999</v>
      </c>
      <c r="O21" s="221" t="s">
        <v>441</v>
      </c>
      <c r="P21">
        <v>21165</v>
      </c>
      <c r="Q21">
        <v>20952</v>
      </c>
      <c r="R21">
        <v>21570</v>
      </c>
      <c r="S21">
        <v>23068</v>
      </c>
      <c r="T21">
        <v>22162</v>
      </c>
      <c r="U21">
        <v>21460</v>
      </c>
      <c r="V21">
        <v>20622</v>
      </c>
      <c r="W21">
        <v>21776</v>
      </c>
      <c r="X21">
        <v>21601</v>
      </c>
      <c r="Y21">
        <v>22265</v>
      </c>
      <c r="Z21">
        <v>22972</v>
      </c>
      <c r="AA21">
        <v>20375</v>
      </c>
      <c r="AB21">
        <v>22655</v>
      </c>
      <c r="AC21">
        <v>22661</v>
      </c>
      <c r="AD21">
        <v>21609</v>
      </c>
      <c r="AE21">
        <v>22338</v>
      </c>
      <c r="AF21">
        <v>22046</v>
      </c>
      <c r="AG21">
        <v>22458</v>
      </c>
      <c r="AH21">
        <v>21858</v>
      </c>
      <c r="AI21">
        <v>22917</v>
      </c>
      <c r="AJ21">
        <v>22270</v>
      </c>
      <c r="AK21">
        <v>21595</v>
      </c>
      <c r="AL21">
        <v>22095</v>
      </c>
      <c r="AM21">
        <v>27600</v>
      </c>
      <c r="AN21">
        <v>22821</v>
      </c>
      <c r="AO21">
        <v>22833</v>
      </c>
      <c r="AP21">
        <v>23387</v>
      </c>
      <c r="AQ21">
        <v>24412</v>
      </c>
      <c r="AR21">
        <v>23277</v>
      </c>
      <c r="AS21">
        <v>23725</v>
      </c>
      <c r="AT21">
        <v>23522</v>
      </c>
      <c r="AU21">
        <v>24464</v>
      </c>
      <c r="AV21">
        <v>23501</v>
      </c>
      <c r="AW21">
        <v>27354</v>
      </c>
      <c r="AX21">
        <v>24123</v>
      </c>
      <c r="AY21">
        <v>27963</v>
      </c>
      <c r="AZ21">
        <v>25124</v>
      </c>
      <c r="BA21">
        <v>25745</v>
      </c>
      <c r="BB21">
        <v>24684</v>
      </c>
      <c r="BC21">
        <v>27886</v>
      </c>
      <c r="BD21">
        <v>24680</v>
      </c>
      <c r="BE21">
        <v>25733</v>
      </c>
      <c r="BF21">
        <v>24628</v>
      </c>
      <c r="BG21">
        <v>21548</v>
      </c>
      <c r="BH21">
        <v>27893</v>
      </c>
      <c r="BI21">
        <v>27179</v>
      </c>
      <c r="BJ21">
        <v>31087</v>
      </c>
      <c r="BK21">
        <v>26066</v>
      </c>
    </row>
    <row r="22" spans="1:63">
      <c r="A22" s="216">
        <v>43891</v>
      </c>
      <c r="B22" t="s">
        <v>42</v>
      </c>
      <c r="C22">
        <v>5</v>
      </c>
      <c r="D22" t="s">
        <v>451</v>
      </c>
      <c r="E22" s="217">
        <v>43891</v>
      </c>
      <c r="F22">
        <v>15247</v>
      </c>
      <c r="G22" s="227" t="s">
        <v>119</v>
      </c>
      <c r="I22" t="str">
        <f t="shared" si="0"/>
        <v>Powys THB_Mar-20</v>
      </c>
      <c r="J22" t="s">
        <v>47</v>
      </c>
      <c r="K22" t="s">
        <v>1163</v>
      </c>
      <c r="L22">
        <v>3473</v>
      </c>
      <c r="O22" s="221" t="s">
        <v>447</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row>
    <row r="23" spans="1:63">
      <c r="A23" s="216">
        <v>43891</v>
      </c>
      <c r="B23" t="s">
        <v>42</v>
      </c>
      <c r="C23">
        <v>5</v>
      </c>
      <c r="D23" t="s">
        <v>451</v>
      </c>
      <c r="E23" s="217">
        <v>43891</v>
      </c>
      <c r="F23">
        <v>14060</v>
      </c>
      <c r="G23" s="227" t="s">
        <v>88</v>
      </c>
      <c r="I23" t="str">
        <f t="shared" si="0"/>
        <v>Powys THB_Mar-21</v>
      </c>
      <c r="J23" t="s">
        <v>47</v>
      </c>
      <c r="K23" t="s">
        <v>1164</v>
      </c>
      <c r="L23">
        <v>3761</v>
      </c>
      <c r="O23" s="7" t="s">
        <v>44</v>
      </c>
      <c r="P23">
        <v>230056</v>
      </c>
      <c r="Q23">
        <v>227153</v>
      </c>
      <c r="R23">
        <v>234104</v>
      </c>
      <c r="S23">
        <v>235063</v>
      </c>
      <c r="T23">
        <v>233017</v>
      </c>
      <c r="U23">
        <v>228475.87449346075</v>
      </c>
      <c r="V23">
        <v>234399</v>
      </c>
      <c r="W23">
        <v>237874</v>
      </c>
      <c r="X23">
        <v>233045</v>
      </c>
      <c r="Y23">
        <v>239419</v>
      </c>
      <c r="Z23">
        <v>229583</v>
      </c>
      <c r="AA23">
        <v>351268</v>
      </c>
      <c r="AB23">
        <v>263101</v>
      </c>
      <c r="AC23">
        <v>243538</v>
      </c>
      <c r="AD23">
        <v>241471</v>
      </c>
      <c r="AE23">
        <v>239219</v>
      </c>
      <c r="AF23">
        <v>279253</v>
      </c>
      <c r="AG23">
        <v>271259</v>
      </c>
      <c r="AH23">
        <v>260989</v>
      </c>
      <c r="AI23">
        <v>252791</v>
      </c>
      <c r="AJ23">
        <v>264990</v>
      </c>
      <c r="AK23">
        <v>275213</v>
      </c>
      <c r="AL23">
        <v>251659</v>
      </c>
      <c r="AM23">
        <v>444349</v>
      </c>
      <c r="AN23">
        <v>260251</v>
      </c>
      <c r="AO23">
        <v>261517</v>
      </c>
      <c r="AP23">
        <v>261390</v>
      </c>
      <c r="AQ23">
        <v>261076</v>
      </c>
      <c r="AR23">
        <v>267843</v>
      </c>
      <c r="AS23">
        <v>283724</v>
      </c>
      <c r="AT23">
        <v>272274</v>
      </c>
      <c r="AU23">
        <v>270433</v>
      </c>
      <c r="AV23">
        <v>273856</v>
      </c>
      <c r="AW23">
        <v>290172</v>
      </c>
      <c r="AX23">
        <v>283137</v>
      </c>
      <c r="AY23">
        <v>415487</v>
      </c>
      <c r="AZ23">
        <v>274739</v>
      </c>
      <c r="BA23">
        <v>279804</v>
      </c>
      <c r="BB23">
        <v>276988</v>
      </c>
      <c r="BC23">
        <v>276702</v>
      </c>
      <c r="BD23">
        <v>279674</v>
      </c>
      <c r="BE23">
        <v>322426</v>
      </c>
      <c r="BF23">
        <v>293939</v>
      </c>
      <c r="BG23">
        <v>299737</v>
      </c>
      <c r="BH23">
        <v>299779</v>
      </c>
      <c r="BI23">
        <v>303917</v>
      </c>
      <c r="BJ23">
        <v>293841</v>
      </c>
      <c r="BK23">
        <v>431242</v>
      </c>
    </row>
    <row r="24" spans="1:63">
      <c r="A24" s="216">
        <v>43891</v>
      </c>
      <c r="B24" t="s">
        <v>42</v>
      </c>
      <c r="C24">
        <v>5</v>
      </c>
      <c r="D24" t="s">
        <v>451</v>
      </c>
      <c r="E24" s="217">
        <v>43891</v>
      </c>
      <c r="F24">
        <v>14510</v>
      </c>
      <c r="G24" s="227" t="s">
        <v>96</v>
      </c>
      <c r="I24" t="str">
        <f t="shared" si="0"/>
        <v>Powys THB_Mar-22</v>
      </c>
      <c r="J24" t="s">
        <v>47</v>
      </c>
      <c r="K24" t="s">
        <v>1165</v>
      </c>
      <c r="L24">
        <v>4064</v>
      </c>
      <c r="O24" s="221" t="s">
        <v>442</v>
      </c>
      <c r="P24">
        <v>118171</v>
      </c>
      <c r="Q24">
        <v>116510</v>
      </c>
      <c r="R24">
        <v>120540</v>
      </c>
      <c r="S24">
        <v>120926</v>
      </c>
      <c r="T24">
        <v>119838</v>
      </c>
      <c r="U24">
        <v>117826</v>
      </c>
      <c r="V24">
        <v>116741</v>
      </c>
      <c r="W24">
        <v>122286</v>
      </c>
      <c r="X24">
        <v>120542</v>
      </c>
      <c r="Y24">
        <v>123220</v>
      </c>
      <c r="Z24">
        <v>117890</v>
      </c>
      <c r="AA24">
        <v>192725</v>
      </c>
      <c r="AB24">
        <v>114539</v>
      </c>
      <c r="AC24">
        <v>117677</v>
      </c>
      <c r="AD24">
        <v>125179</v>
      </c>
      <c r="AE24">
        <v>118175</v>
      </c>
      <c r="AF24">
        <v>154202</v>
      </c>
      <c r="AG24">
        <v>151569</v>
      </c>
      <c r="AH24">
        <v>132599</v>
      </c>
      <c r="AI24">
        <v>127189</v>
      </c>
      <c r="AJ24">
        <v>135494</v>
      </c>
      <c r="AK24">
        <v>139925</v>
      </c>
      <c r="AL24">
        <v>128848</v>
      </c>
      <c r="AM24">
        <v>229703</v>
      </c>
      <c r="AN24">
        <v>131714</v>
      </c>
      <c r="AO24">
        <v>134136</v>
      </c>
      <c r="AP24">
        <v>133824</v>
      </c>
      <c r="AQ24">
        <v>133200</v>
      </c>
      <c r="AR24">
        <v>136512</v>
      </c>
      <c r="AS24">
        <v>145048</v>
      </c>
      <c r="AT24">
        <v>138991</v>
      </c>
      <c r="AU24">
        <v>137916</v>
      </c>
      <c r="AV24">
        <v>139432</v>
      </c>
      <c r="AW24">
        <v>148020</v>
      </c>
      <c r="AX24">
        <v>144658</v>
      </c>
      <c r="AY24">
        <v>207927</v>
      </c>
      <c r="AZ24">
        <v>139167</v>
      </c>
      <c r="BA24">
        <v>141633</v>
      </c>
      <c r="BB24">
        <v>140362</v>
      </c>
      <c r="BC24">
        <v>140267</v>
      </c>
      <c r="BD24">
        <v>141762</v>
      </c>
      <c r="BE24">
        <v>162462</v>
      </c>
      <c r="BF24">
        <v>149518</v>
      </c>
      <c r="BG24">
        <v>151654</v>
      </c>
      <c r="BH24">
        <v>151606</v>
      </c>
      <c r="BI24">
        <v>154408</v>
      </c>
      <c r="BJ24">
        <v>148694</v>
      </c>
      <c r="BK24">
        <v>210239</v>
      </c>
    </row>
    <row r="25" spans="1:63">
      <c r="A25" s="216">
        <v>43891</v>
      </c>
      <c r="B25" t="s">
        <v>42</v>
      </c>
      <c r="C25">
        <v>5</v>
      </c>
      <c r="D25" t="s">
        <v>451</v>
      </c>
      <c r="E25" s="217">
        <v>43891</v>
      </c>
      <c r="F25">
        <v>14563</v>
      </c>
      <c r="G25" s="227" t="s">
        <v>92</v>
      </c>
      <c r="I25" t="str">
        <f t="shared" si="0"/>
        <v>Powys THB_Mar-23</v>
      </c>
      <c r="J25" t="s">
        <v>47</v>
      </c>
      <c r="K25" t="s">
        <v>1166</v>
      </c>
      <c r="L25">
        <v>4254</v>
      </c>
      <c r="O25" s="221" t="s">
        <v>450</v>
      </c>
      <c r="P25">
        <v>5649</v>
      </c>
      <c r="Q25">
        <v>6258</v>
      </c>
      <c r="R25">
        <v>6173</v>
      </c>
      <c r="S25">
        <v>6174</v>
      </c>
      <c r="T25">
        <v>6462</v>
      </c>
      <c r="U25">
        <v>5839</v>
      </c>
      <c r="V25">
        <v>6446</v>
      </c>
      <c r="W25">
        <v>6220</v>
      </c>
      <c r="X25">
        <v>6295</v>
      </c>
      <c r="Y25">
        <v>6384</v>
      </c>
      <c r="Z25">
        <v>6107</v>
      </c>
      <c r="AA25">
        <v>7124</v>
      </c>
      <c r="AB25">
        <v>6287</v>
      </c>
      <c r="AC25">
        <v>6715</v>
      </c>
      <c r="AD25">
        <v>7264</v>
      </c>
      <c r="AE25">
        <v>6433</v>
      </c>
      <c r="AF25">
        <v>6865</v>
      </c>
      <c r="AG25">
        <v>6382</v>
      </c>
      <c r="AH25">
        <v>6971</v>
      </c>
      <c r="AI25">
        <v>6471</v>
      </c>
      <c r="AJ25">
        <v>7180</v>
      </c>
      <c r="AK25">
        <v>7001</v>
      </c>
      <c r="AL25">
        <v>6169</v>
      </c>
      <c r="AM25">
        <v>7301</v>
      </c>
      <c r="AN25">
        <v>6518</v>
      </c>
      <c r="AO25">
        <v>6648</v>
      </c>
      <c r="AP25">
        <v>6979</v>
      </c>
      <c r="AQ25">
        <v>7037</v>
      </c>
      <c r="AR25">
        <v>6490</v>
      </c>
      <c r="AS25">
        <v>7053</v>
      </c>
      <c r="AT25">
        <v>6749</v>
      </c>
      <c r="AU25">
        <v>6904</v>
      </c>
      <c r="AV25">
        <v>7054</v>
      </c>
      <c r="AW25">
        <v>6059</v>
      </c>
      <c r="AX25">
        <v>6670</v>
      </c>
      <c r="AY25">
        <v>8097</v>
      </c>
      <c r="AZ25">
        <v>6685</v>
      </c>
      <c r="BA25">
        <v>6824</v>
      </c>
      <c r="BB25">
        <v>6473</v>
      </c>
      <c r="BC25">
        <v>7428</v>
      </c>
      <c r="BD25">
        <v>7314</v>
      </c>
      <c r="BE25">
        <v>7246</v>
      </c>
      <c r="BF25">
        <v>6938</v>
      </c>
      <c r="BG25">
        <v>7936</v>
      </c>
      <c r="BH25">
        <v>8173</v>
      </c>
      <c r="BI25">
        <v>7404</v>
      </c>
      <c r="BJ25">
        <v>6279</v>
      </c>
      <c r="BK25">
        <v>9981</v>
      </c>
    </row>
    <row r="26" spans="1:63">
      <c r="A26" s="216">
        <v>43891</v>
      </c>
      <c r="B26" t="s">
        <v>42</v>
      </c>
      <c r="C26">
        <v>5</v>
      </c>
      <c r="D26" t="s">
        <v>451</v>
      </c>
      <c r="E26" s="217">
        <v>43891</v>
      </c>
      <c r="F26">
        <v>17155</v>
      </c>
      <c r="G26" s="227" t="s">
        <v>110</v>
      </c>
      <c r="I26" t="str">
        <f t="shared" si="0"/>
        <v>Swansea Bay UHB_Mar-20</v>
      </c>
      <c r="J26" t="s">
        <v>3</v>
      </c>
      <c r="K26" t="s">
        <v>1163</v>
      </c>
      <c r="L26">
        <v>23584</v>
      </c>
      <c r="O26" s="221" t="s">
        <v>451</v>
      </c>
      <c r="P26">
        <v>13642</v>
      </c>
      <c r="Q26">
        <v>13407</v>
      </c>
      <c r="R26">
        <v>13214</v>
      </c>
      <c r="S26">
        <v>13763</v>
      </c>
      <c r="T26">
        <v>13925</v>
      </c>
      <c r="U26">
        <v>13561</v>
      </c>
      <c r="V26">
        <v>15234</v>
      </c>
      <c r="W26">
        <v>14522</v>
      </c>
      <c r="X26">
        <v>13369</v>
      </c>
      <c r="Y26">
        <v>12993</v>
      </c>
      <c r="Z26">
        <v>11036</v>
      </c>
      <c r="AA26">
        <v>14009</v>
      </c>
      <c r="AB26">
        <v>13623</v>
      </c>
      <c r="AC26">
        <v>13214</v>
      </c>
      <c r="AD26">
        <v>13154</v>
      </c>
      <c r="AE26">
        <v>13636</v>
      </c>
      <c r="AF26">
        <v>13313</v>
      </c>
      <c r="AG26">
        <v>13642</v>
      </c>
      <c r="AH26">
        <v>14021</v>
      </c>
      <c r="AI26">
        <v>13682</v>
      </c>
      <c r="AJ26">
        <v>13249</v>
      </c>
      <c r="AK26">
        <v>15606</v>
      </c>
      <c r="AL26">
        <v>11941</v>
      </c>
      <c r="AM26">
        <v>14100</v>
      </c>
      <c r="AN26">
        <v>13860</v>
      </c>
      <c r="AO26">
        <v>13663</v>
      </c>
      <c r="AP26">
        <v>13329</v>
      </c>
      <c r="AQ26">
        <v>15444</v>
      </c>
      <c r="AR26">
        <v>13625</v>
      </c>
      <c r="AS26">
        <v>14158</v>
      </c>
      <c r="AT26">
        <v>15535</v>
      </c>
      <c r="AU26">
        <v>12869</v>
      </c>
      <c r="AV26">
        <v>13830</v>
      </c>
      <c r="AW26">
        <v>15740</v>
      </c>
      <c r="AX26">
        <v>14546</v>
      </c>
      <c r="AY26">
        <v>11633</v>
      </c>
      <c r="AZ26">
        <v>13381</v>
      </c>
      <c r="BA26">
        <v>12842</v>
      </c>
      <c r="BB26">
        <v>13234</v>
      </c>
      <c r="BC26">
        <v>14113</v>
      </c>
      <c r="BD26">
        <v>13020</v>
      </c>
      <c r="BE26">
        <v>14233</v>
      </c>
      <c r="BF26">
        <v>14342</v>
      </c>
      <c r="BG26">
        <v>16849</v>
      </c>
      <c r="BH26">
        <v>15149</v>
      </c>
      <c r="BI26">
        <v>14314</v>
      </c>
      <c r="BJ26">
        <v>13887</v>
      </c>
      <c r="BK26">
        <v>14332</v>
      </c>
    </row>
    <row r="27" spans="1:63">
      <c r="A27" s="216">
        <v>43891</v>
      </c>
      <c r="B27" t="s">
        <v>42</v>
      </c>
      <c r="C27">
        <v>5</v>
      </c>
      <c r="D27" t="s">
        <v>451</v>
      </c>
      <c r="E27" s="217">
        <v>43891</v>
      </c>
      <c r="F27">
        <v>174890</v>
      </c>
      <c r="G27" s="227" t="s">
        <v>434</v>
      </c>
      <c r="I27" t="str">
        <f t="shared" si="0"/>
        <v>Swansea Bay UHB_Mar-21</v>
      </c>
      <c r="J27" t="s">
        <v>3</v>
      </c>
      <c r="K27" t="s">
        <v>1164</v>
      </c>
      <c r="L27">
        <v>25321</v>
      </c>
      <c r="O27" s="221" t="s">
        <v>454</v>
      </c>
      <c r="P27">
        <v>6148</v>
      </c>
      <c r="Q27">
        <v>6482</v>
      </c>
      <c r="R27">
        <v>7153</v>
      </c>
      <c r="S27">
        <v>6328</v>
      </c>
      <c r="T27">
        <v>6943</v>
      </c>
      <c r="U27">
        <v>6282</v>
      </c>
      <c r="V27">
        <v>7264</v>
      </c>
      <c r="W27">
        <v>7039</v>
      </c>
      <c r="X27">
        <v>5858</v>
      </c>
      <c r="Y27">
        <v>7405</v>
      </c>
      <c r="Z27">
        <v>7161</v>
      </c>
      <c r="AA27">
        <v>8300</v>
      </c>
      <c r="AB27">
        <v>6611</v>
      </c>
      <c r="AC27">
        <v>6055</v>
      </c>
      <c r="AD27">
        <v>6139</v>
      </c>
      <c r="AE27">
        <v>7015</v>
      </c>
      <c r="AF27">
        <v>8795</v>
      </c>
      <c r="AG27">
        <v>7612.8280000000004</v>
      </c>
      <c r="AH27">
        <v>7264</v>
      </c>
      <c r="AI27">
        <v>7558</v>
      </c>
      <c r="AJ27">
        <v>7069</v>
      </c>
      <c r="AK27">
        <v>11232</v>
      </c>
      <c r="AL27">
        <v>8811</v>
      </c>
      <c r="AM27">
        <v>10109</v>
      </c>
      <c r="AN27">
        <v>9357</v>
      </c>
      <c r="AO27">
        <v>9226</v>
      </c>
      <c r="AP27">
        <v>9918</v>
      </c>
      <c r="AQ27">
        <v>7740</v>
      </c>
      <c r="AR27">
        <v>10280</v>
      </c>
      <c r="AS27">
        <v>8530</v>
      </c>
      <c r="AT27">
        <v>10621</v>
      </c>
      <c r="AU27">
        <v>8479</v>
      </c>
      <c r="AV27">
        <v>8485</v>
      </c>
      <c r="AW27">
        <v>9416</v>
      </c>
      <c r="AX27">
        <v>9550</v>
      </c>
      <c r="AY27">
        <v>13377</v>
      </c>
      <c r="AZ27">
        <v>10327</v>
      </c>
      <c r="BA27">
        <v>12549</v>
      </c>
      <c r="BB27">
        <v>10511</v>
      </c>
      <c r="BC27">
        <v>10343</v>
      </c>
      <c r="BD27">
        <v>11708</v>
      </c>
      <c r="BE27">
        <v>11260</v>
      </c>
      <c r="BF27">
        <v>10435</v>
      </c>
      <c r="BG27">
        <v>9401</v>
      </c>
      <c r="BH27">
        <v>12013</v>
      </c>
      <c r="BI27">
        <v>13121</v>
      </c>
      <c r="BJ27">
        <v>10810</v>
      </c>
      <c r="BK27">
        <v>12437</v>
      </c>
    </row>
    <row r="28" spans="1:63">
      <c r="A28" s="216">
        <v>43891</v>
      </c>
      <c r="B28" t="s">
        <v>42</v>
      </c>
      <c r="C28">
        <v>6</v>
      </c>
      <c r="D28" t="s">
        <v>450</v>
      </c>
      <c r="E28" s="217">
        <v>43891</v>
      </c>
      <c r="F28">
        <v>8164</v>
      </c>
      <c r="G28" s="227" t="s">
        <v>70</v>
      </c>
      <c r="I28" t="str">
        <f t="shared" si="0"/>
        <v>Swansea Bay UHB_Mar-22</v>
      </c>
      <c r="J28" t="s">
        <v>3</v>
      </c>
      <c r="K28" t="s">
        <v>1165</v>
      </c>
      <c r="L28">
        <v>26782</v>
      </c>
      <c r="O28" s="221" t="s">
        <v>433</v>
      </c>
      <c r="P28">
        <v>53404</v>
      </c>
      <c r="Q28">
        <v>51517</v>
      </c>
      <c r="R28">
        <v>51556</v>
      </c>
      <c r="S28">
        <v>51858</v>
      </c>
      <c r="T28">
        <v>51452</v>
      </c>
      <c r="U28">
        <v>51207</v>
      </c>
      <c r="V28">
        <v>53428</v>
      </c>
      <c r="W28">
        <v>52331</v>
      </c>
      <c r="X28">
        <v>51936</v>
      </c>
      <c r="Y28">
        <v>52639</v>
      </c>
      <c r="Z28">
        <v>51797</v>
      </c>
      <c r="AA28">
        <v>81652</v>
      </c>
      <c r="AB28">
        <v>54468</v>
      </c>
      <c r="AC28">
        <v>57428</v>
      </c>
      <c r="AD28">
        <v>56741</v>
      </c>
      <c r="AE28">
        <v>56234</v>
      </c>
      <c r="AF28">
        <v>55431</v>
      </c>
      <c r="AG28">
        <v>55177</v>
      </c>
      <c r="AH28">
        <v>58708</v>
      </c>
      <c r="AI28">
        <v>56643</v>
      </c>
      <c r="AJ28">
        <v>57989</v>
      </c>
      <c r="AK28">
        <v>59573</v>
      </c>
      <c r="AL28">
        <v>57848</v>
      </c>
      <c r="AM28">
        <v>118235</v>
      </c>
      <c r="AN28">
        <v>59095</v>
      </c>
      <c r="AO28">
        <v>59945</v>
      </c>
      <c r="AP28">
        <v>58874</v>
      </c>
      <c r="AQ28">
        <v>58673</v>
      </c>
      <c r="AR28">
        <v>60651</v>
      </c>
      <c r="AS28">
        <v>68599</v>
      </c>
      <c r="AT28">
        <v>59221</v>
      </c>
      <c r="AU28">
        <v>62995</v>
      </c>
      <c r="AV28">
        <v>63492</v>
      </c>
      <c r="AW28">
        <v>66171</v>
      </c>
      <c r="AX28">
        <v>62135</v>
      </c>
      <c r="AY28">
        <v>104023</v>
      </c>
      <c r="AZ28">
        <v>63041</v>
      </c>
      <c r="BA28">
        <v>63471</v>
      </c>
      <c r="BB28">
        <v>63835</v>
      </c>
      <c r="BC28">
        <v>63939</v>
      </c>
      <c r="BD28">
        <v>63586</v>
      </c>
      <c r="BE28">
        <v>81911</v>
      </c>
      <c r="BF28">
        <v>67812</v>
      </c>
      <c r="BG28">
        <v>68741</v>
      </c>
      <c r="BH28">
        <v>67105</v>
      </c>
      <c r="BI28">
        <v>68120</v>
      </c>
      <c r="BJ28">
        <v>68201</v>
      </c>
      <c r="BK28">
        <v>120403</v>
      </c>
    </row>
    <row r="29" spans="1:63">
      <c r="A29" s="216">
        <v>43891</v>
      </c>
      <c r="B29" t="s">
        <v>42</v>
      </c>
      <c r="C29">
        <v>6</v>
      </c>
      <c r="D29" t="s">
        <v>450</v>
      </c>
      <c r="E29" s="217">
        <v>43891</v>
      </c>
      <c r="F29">
        <v>8119</v>
      </c>
      <c r="G29" s="227" t="s">
        <v>114</v>
      </c>
      <c r="I29" t="str">
        <f t="shared" si="0"/>
        <v>Swansea Bay UHB_Mar-23</v>
      </c>
      <c r="J29" t="s">
        <v>3</v>
      </c>
      <c r="K29" t="s">
        <v>1166</v>
      </c>
      <c r="L29">
        <v>28483</v>
      </c>
      <c r="O29" s="221" t="s">
        <v>445</v>
      </c>
      <c r="P29">
        <v>12974</v>
      </c>
      <c r="Q29">
        <v>14318</v>
      </c>
      <c r="R29">
        <v>14015</v>
      </c>
      <c r="S29">
        <v>15316</v>
      </c>
      <c r="T29">
        <v>13342</v>
      </c>
      <c r="U29">
        <v>13177</v>
      </c>
      <c r="V29">
        <v>14482</v>
      </c>
      <c r="W29">
        <v>15104</v>
      </c>
      <c r="X29">
        <v>14309</v>
      </c>
      <c r="Y29">
        <v>16211</v>
      </c>
      <c r="Z29">
        <v>15129</v>
      </c>
      <c r="AA29">
        <v>26067</v>
      </c>
      <c r="AB29">
        <v>46536</v>
      </c>
      <c r="AC29">
        <v>20940</v>
      </c>
      <c r="AD29">
        <v>12221</v>
      </c>
      <c r="AE29">
        <v>16176</v>
      </c>
      <c r="AF29">
        <v>19591</v>
      </c>
      <c r="AG29">
        <v>15587.172</v>
      </c>
      <c r="AH29">
        <v>19623</v>
      </c>
      <c r="AI29">
        <v>19933</v>
      </c>
      <c r="AJ29">
        <v>21253</v>
      </c>
      <c r="AK29">
        <v>19200</v>
      </c>
      <c r="AL29">
        <v>17362</v>
      </c>
      <c r="AM29">
        <v>38731</v>
      </c>
      <c r="AN29">
        <v>16900</v>
      </c>
      <c r="AO29">
        <v>15010</v>
      </c>
      <c r="AP29">
        <v>16548</v>
      </c>
      <c r="AQ29">
        <v>16114</v>
      </c>
      <c r="AR29">
        <v>17234</v>
      </c>
      <c r="AS29">
        <v>18098</v>
      </c>
      <c r="AT29">
        <v>17866</v>
      </c>
      <c r="AU29">
        <v>18315</v>
      </c>
      <c r="AV29">
        <v>17835</v>
      </c>
      <c r="AW29">
        <v>19760</v>
      </c>
      <c r="AX29">
        <v>22279</v>
      </c>
      <c r="AY29">
        <v>44327</v>
      </c>
      <c r="AZ29">
        <v>17793</v>
      </c>
      <c r="BA29">
        <v>18657</v>
      </c>
      <c r="BB29">
        <v>17567</v>
      </c>
      <c r="BC29">
        <v>16185</v>
      </c>
      <c r="BD29">
        <v>17247</v>
      </c>
      <c r="BE29">
        <v>17612</v>
      </c>
      <c r="BF29">
        <v>18697</v>
      </c>
      <c r="BG29">
        <v>19817</v>
      </c>
      <c r="BH29">
        <v>18413</v>
      </c>
      <c r="BI29">
        <v>19972</v>
      </c>
      <c r="BJ29">
        <v>16801</v>
      </c>
      <c r="BK29">
        <v>34974</v>
      </c>
    </row>
    <row r="30" spans="1:63">
      <c r="A30" s="216">
        <v>43891</v>
      </c>
      <c r="B30" t="s">
        <v>42</v>
      </c>
      <c r="C30">
        <v>6</v>
      </c>
      <c r="D30" t="s">
        <v>450</v>
      </c>
      <c r="E30" s="217">
        <v>43891</v>
      </c>
      <c r="F30">
        <v>7959</v>
      </c>
      <c r="G30" s="227" t="s">
        <v>105</v>
      </c>
      <c r="O30" s="221" t="s">
        <v>437</v>
      </c>
      <c r="P30">
        <v>5418</v>
      </c>
      <c r="Q30">
        <v>5669</v>
      </c>
      <c r="R30">
        <v>5646</v>
      </c>
      <c r="S30">
        <v>5718</v>
      </c>
      <c r="T30">
        <v>6027</v>
      </c>
      <c r="U30">
        <v>5906</v>
      </c>
      <c r="V30">
        <v>6133</v>
      </c>
      <c r="W30">
        <v>5629</v>
      </c>
      <c r="X30">
        <v>5878</v>
      </c>
      <c r="Y30">
        <v>5563</v>
      </c>
      <c r="Z30">
        <v>4915</v>
      </c>
      <c r="AA30">
        <v>5719</v>
      </c>
      <c r="AB30">
        <v>5775</v>
      </c>
      <c r="AC30">
        <v>6028</v>
      </c>
      <c r="AD30">
        <v>5933</v>
      </c>
      <c r="AE30">
        <v>5922</v>
      </c>
      <c r="AF30">
        <v>5844</v>
      </c>
      <c r="AG30">
        <v>4682</v>
      </c>
      <c r="AH30">
        <v>6302</v>
      </c>
      <c r="AI30">
        <v>5782</v>
      </c>
      <c r="AJ30">
        <v>6521</v>
      </c>
      <c r="AK30">
        <v>7043</v>
      </c>
      <c r="AL30">
        <v>5747</v>
      </c>
      <c r="AM30">
        <v>7495</v>
      </c>
      <c r="AN30">
        <v>6270</v>
      </c>
      <c r="AO30">
        <v>6468</v>
      </c>
      <c r="AP30">
        <v>6144</v>
      </c>
      <c r="AQ30">
        <v>6309</v>
      </c>
      <c r="AR30">
        <v>6411</v>
      </c>
      <c r="AS30">
        <v>6048</v>
      </c>
      <c r="AT30">
        <v>6108</v>
      </c>
      <c r="AU30">
        <v>6083</v>
      </c>
      <c r="AV30">
        <v>6315</v>
      </c>
      <c r="AW30">
        <v>6220</v>
      </c>
      <c r="AX30">
        <v>5620</v>
      </c>
      <c r="AY30">
        <v>7174</v>
      </c>
      <c r="AZ30">
        <v>6450</v>
      </c>
      <c r="BA30">
        <v>6538</v>
      </c>
      <c r="BB30">
        <v>6567</v>
      </c>
      <c r="BC30">
        <v>6651</v>
      </c>
      <c r="BD30">
        <v>6663</v>
      </c>
      <c r="BE30">
        <v>6547</v>
      </c>
      <c r="BF30">
        <v>7272</v>
      </c>
      <c r="BG30">
        <v>7580</v>
      </c>
      <c r="BH30">
        <v>6877</v>
      </c>
      <c r="BI30">
        <v>7115</v>
      </c>
      <c r="BJ30">
        <v>6924</v>
      </c>
      <c r="BK30">
        <v>7892</v>
      </c>
    </row>
    <row r="31" spans="1:63">
      <c r="A31" s="216">
        <v>43891</v>
      </c>
      <c r="B31" t="s">
        <v>42</v>
      </c>
      <c r="C31">
        <v>6</v>
      </c>
      <c r="D31" t="s">
        <v>450</v>
      </c>
      <c r="E31" s="217">
        <v>43891</v>
      </c>
      <c r="F31">
        <v>8312</v>
      </c>
      <c r="G31" s="227" t="s">
        <v>100</v>
      </c>
      <c r="O31" s="221" t="s">
        <v>441</v>
      </c>
      <c r="P31">
        <v>13873</v>
      </c>
      <c r="Q31">
        <v>12209</v>
      </c>
      <c r="R31">
        <v>15020</v>
      </c>
      <c r="S31">
        <v>13965</v>
      </c>
      <c r="T31">
        <v>14122</v>
      </c>
      <c r="U31">
        <v>13844</v>
      </c>
      <c r="V31">
        <v>13778</v>
      </c>
      <c r="W31">
        <v>13862</v>
      </c>
      <c r="X31">
        <v>14008</v>
      </c>
      <c r="Y31">
        <v>14136</v>
      </c>
      <c r="Z31">
        <v>14640</v>
      </c>
      <c r="AA31">
        <v>15296</v>
      </c>
      <c r="AB31">
        <v>14392</v>
      </c>
      <c r="AC31">
        <v>14506</v>
      </c>
      <c r="AD31">
        <v>13926</v>
      </c>
      <c r="AE31">
        <v>14728</v>
      </c>
      <c r="AF31">
        <v>14311</v>
      </c>
      <c r="AG31">
        <v>15743</v>
      </c>
      <c r="AH31">
        <v>14617</v>
      </c>
      <c r="AI31">
        <v>14602</v>
      </c>
      <c r="AJ31">
        <v>15312</v>
      </c>
      <c r="AK31">
        <v>14701</v>
      </c>
      <c r="AL31">
        <v>13977</v>
      </c>
      <c r="AM31">
        <v>17816</v>
      </c>
      <c r="AN31">
        <v>15646</v>
      </c>
      <c r="AO31">
        <v>15518</v>
      </c>
      <c r="AP31">
        <v>14920</v>
      </c>
      <c r="AQ31">
        <v>15629</v>
      </c>
      <c r="AR31">
        <v>15663</v>
      </c>
      <c r="AS31">
        <v>15248</v>
      </c>
      <c r="AT31">
        <v>16232</v>
      </c>
      <c r="AU31">
        <v>15999</v>
      </c>
      <c r="AV31">
        <v>16306</v>
      </c>
      <c r="AW31">
        <v>17752</v>
      </c>
      <c r="AX31">
        <v>16801</v>
      </c>
      <c r="AY31">
        <v>17568</v>
      </c>
      <c r="AZ31">
        <v>17895</v>
      </c>
      <c r="BA31">
        <v>17290</v>
      </c>
      <c r="BB31">
        <v>18439</v>
      </c>
      <c r="BC31">
        <v>17776</v>
      </c>
      <c r="BD31">
        <v>18374</v>
      </c>
      <c r="BE31">
        <v>21155</v>
      </c>
      <c r="BF31">
        <v>18925</v>
      </c>
      <c r="BG31">
        <v>17759</v>
      </c>
      <c r="BH31">
        <v>20443</v>
      </c>
      <c r="BI31">
        <v>19463</v>
      </c>
      <c r="BJ31">
        <v>22245</v>
      </c>
      <c r="BK31">
        <v>20984</v>
      </c>
    </row>
    <row r="32" spans="1:63">
      <c r="A32" s="216">
        <v>43891</v>
      </c>
      <c r="B32" t="s">
        <v>42</v>
      </c>
      <c r="C32">
        <v>6</v>
      </c>
      <c r="D32" t="s">
        <v>450</v>
      </c>
      <c r="E32" s="217">
        <v>43891</v>
      </c>
      <c r="F32">
        <v>8524</v>
      </c>
      <c r="G32" s="227" t="s">
        <v>83</v>
      </c>
      <c r="O32" s="221" t="s">
        <v>447</v>
      </c>
      <c r="P32">
        <v>777</v>
      </c>
      <c r="Q32">
        <v>783</v>
      </c>
      <c r="R32">
        <v>787</v>
      </c>
      <c r="S32">
        <v>1015</v>
      </c>
      <c r="T32">
        <v>906</v>
      </c>
      <c r="U32">
        <v>833.87449346076505</v>
      </c>
      <c r="V32">
        <v>893</v>
      </c>
      <c r="W32">
        <v>881</v>
      </c>
      <c r="X32">
        <v>850</v>
      </c>
      <c r="Y32">
        <v>868</v>
      </c>
      <c r="Z32">
        <v>908</v>
      </c>
      <c r="AA32">
        <v>376</v>
      </c>
      <c r="AB32">
        <v>870</v>
      </c>
      <c r="AC32">
        <v>975</v>
      </c>
      <c r="AD32">
        <v>914</v>
      </c>
      <c r="AE32">
        <v>900</v>
      </c>
      <c r="AF32">
        <v>901</v>
      </c>
      <c r="AG32">
        <v>864</v>
      </c>
      <c r="AH32">
        <v>884</v>
      </c>
      <c r="AI32">
        <v>931</v>
      </c>
      <c r="AJ32">
        <v>923</v>
      </c>
      <c r="AK32">
        <v>932</v>
      </c>
      <c r="AL32">
        <v>956</v>
      </c>
      <c r="AM32">
        <v>859</v>
      </c>
      <c r="AN32">
        <v>891</v>
      </c>
      <c r="AO32">
        <v>903</v>
      </c>
      <c r="AP32">
        <v>854</v>
      </c>
      <c r="AQ32">
        <v>930</v>
      </c>
      <c r="AR32">
        <v>977</v>
      </c>
      <c r="AS32">
        <v>942</v>
      </c>
      <c r="AT32">
        <v>951</v>
      </c>
      <c r="AU32">
        <v>873</v>
      </c>
      <c r="AV32">
        <v>1107</v>
      </c>
      <c r="AW32">
        <v>1034</v>
      </c>
      <c r="AX32">
        <v>878</v>
      </c>
      <c r="AY32">
        <v>1361</v>
      </c>
      <c r="AZ32">
        <v>0</v>
      </c>
      <c r="BA32">
        <v>0</v>
      </c>
      <c r="BB32">
        <v>0</v>
      </c>
      <c r="BC32">
        <v>0</v>
      </c>
      <c r="BD32">
        <v>0</v>
      </c>
      <c r="BE32">
        <v>0</v>
      </c>
      <c r="BF32">
        <v>0</v>
      </c>
      <c r="BG32">
        <v>0</v>
      </c>
      <c r="BH32">
        <v>0</v>
      </c>
      <c r="BI32">
        <v>0</v>
      </c>
      <c r="BJ32">
        <v>0</v>
      </c>
      <c r="BK32">
        <v>0</v>
      </c>
    </row>
    <row r="33" spans="1:63">
      <c r="A33" s="216">
        <v>43891</v>
      </c>
      <c r="B33" t="s">
        <v>42</v>
      </c>
      <c r="C33">
        <v>6</v>
      </c>
      <c r="D33" t="s">
        <v>450</v>
      </c>
      <c r="E33" s="217">
        <v>43891</v>
      </c>
      <c r="F33">
        <v>8455</v>
      </c>
      <c r="G33" s="227" t="s">
        <v>127</v>
      </c>
      <c r="O33" s="7" t="s">
        <v>45</v>
      </c>
      <c r="P33">
        <v>181773.35545999976</v>
      </c>
      <c r="Q33">
        <v>186938.64454000021</v>
      </c>
      <c r="R33">
        <v>182636</v>
      </c>
      <c r="S33">
        <v>196620</v>
      </c>
      <c r="T33">
        <v>187298</v>
      </c>
      <c r="U33">
        <v>182320</v>
      </c>
      <c r="V33">
        <v>197192</v>
      </c>
      <c r="W33">
        <v>201025</v>
      </c>
      <c r="X33">
        <v>201698</v>
      </c>
      <c r="Y33">
        <v>194664</v>
      </c>
      <c r="Z33">
        <v>198828</v>
      </c>
      <c r="AA33">
        <v>268634</v>
      </c>
      <c r="AB33">
        <v>196157</v>
      </c>
      <c r="AC33">
        <v>259744</v>
      </c>
      <c r="AD33">
        <v>170512.3279794117</v>
      </c>
      <c r="AE33">
        <v>196139.56602058822</v>
      </c>
      <c r="AF33">
        <v>194766.106</v>
      </c>
      <c r="AG33">
        <v>235962</v>
      </c>
      <c r="AH33">
        <v>214566</v>
      </c>
      <c r="AI33">
        <v>207346</v>
      </c>
      <c r="AJ33">
        <v>202282.14337000024</v>
      </c>
      <c r="AK33">
        <v>208648.74502999993</v>
      </c>
      <c r="AL33">
        <v>208998</v>
      </c>
      <c r="AM33">
        <v>382050.1115999996</v>
      </c>
      <c r="AN33">
        <v>207078.05678999992</v>
      </c>
      <c r="AO33">
        <v>214782.58903999985</v>
      </c>
      <c r="AP33">
        <v>214045.41517000023</v>
      </c>
      <c r="AQ33">
        <v>215500.152</v>
      </c>
      <c r="AR33">
        <v>214236</v>
      </c>
      <c r="AS33">
        <v>224751</v>
      </c>
      <c r="AT33">
        <v>217469.23258000001</v>
      </c>
      <c r="AU33">
        <v>226478.76742000005</v>
      </c>
      <c r="AV33">
        <v>235510.98282000018</v>
      </c>
      <c r="AW33">
        <v>230001.68675999995</v>
      </c>
      <c r="AX33">
        <v>224818.46700000003</v>
      </c>
      <c r="AY33">
        <v>338862.47342999955</v>
      </c>
      <c r="AZ33">
        <v>216661.86205996069</v>
      </c>
      <c r="BA33">
        <v>217184.47641999999</v>
      </c>
      <c r="BB33">
        <v>222200.97</v>
      </c>
      <c r="BC33">
        <v>220905.13121999998</v>
      </c>
      <c r="BD33">
        <v>221828.62</v>
      </c>
      <c r="BE33">
        <v>239028.76</v>
      </c>
      <c r="BF33">
        <v>233018.72</v>
      </c>
      <c r="BG33">
        <v>229453.73000000004</v>
      </c>
      <c r="BH33">
        <v>245431.56000000003</v>
      </c>
      <c r="BI33">
        <v>227392.99000000002</v>
      </c>
      <c r="BJ33">
        <v>243117.18000000002</v>
      </c>
      <c r="BK33">
        <v>375762.00030003942</v>
      </c>
    </row>
    <row r="34" spans="1:63">
      <c r="A34" s="216">
        <v>43891</v>
      </c>
      <c r="B34" t="s">
        <v>42</v>
      </c>
      <c r="C34">
        <v>6</v>
      </c>
      <c r="D34" t="s">
        <v>450</v>
      </c>
      <c r="E34" s="217">
        <v>43891</v>
      </c>
      <c r="F34">
        <v>8395</v>
      </c>
      <c r="G34" s="227" t="s">
        <v>123</v>
      </c>
      <c r="O34" s="221" t="s">
        <v>442</v>
      </c>
      <c r="P34">
        <v>91969.010540000003</v>
      </c>
      <c r="Q34">
        <v>94669.989459999997</v>
      </c>
      <c r="R34">
        <v>91892</v>
      </c>
      <c r="S34">
        <v>100866</v>
      </c>
      <c r="T34">
        <v>95280</v>
      </c>
      <c r="U34">
        <v>92395</v>
      </c>
      <c r="V34">
        <v>100599</v>
      </c>
      <c r="W34">
        <v>102102</v>
      </c>
      <c r="X34">
        <v>102626</v>
      </c>
      <c r="Y34">
        <v>99051</v>
      </c>
      <c r="Z34">
        <v>100801</v>
      </c>
      <c r="AA34">
        <v>135313</v>
      </c>
      <c r="AB34">
        <v>96201</v>
      </c>
      <c r="AC34">
        <v>128263</v>
      </c>
      <c r="AD34">
        <v>90028.010079411702</v>
      </c>
      <c r="AE34">
        <v>96766.883920588196</v>
      </c>
      <c r="AF34">
        <v>97268.106</v>
      </c>
      <c r="AG34">
        <v>126188</v>
      </c>
      <c r="AH34">
        <v>108978</v>
      </c>
      <c r="AI34">
        <v>105943</v>
      </c>
      <c r="AJ34">
        <v>101012.29313999999</v>
      </c>
      <c r="AK34">
        <v>105493.66494</v>
      </c>
      <c r="AL34">
        <v>105845</v>
      </c>
      <c r="AM34">
        <v>202727.04191999999</v>
      </c>
      <c r="AN34">
        <v>105094.20754</v>
      </c>
      <c r="AO34">
        <v>108759.84035</v>
      </c>
      <c r="AP34">
        <v>109874.07311</v>
      </c>
      <c r="AQ34">
        <v>109787.092</v>
      </c>
      <c r="AR34">
        <v>108931</v>
      </c>
      <c r="AS34">
        <v>114844</v>
      </c>
      <c r="AT34">
        <v>111072.13124</v>
      </c>
      <c r="AU34">
        <v>115297.86876</v>
      </c>
      <c r="AV34">
        <v>119861.25685999999</v>
      </c>
      <c r="AW34">
        <v>118180.02849</v>
      </c>
      <c r="AX34">
        <v>115200.861</v>
      </c>
      <c r="AY34">
        <v>182809.72132000001</v>
      </c>
      <c r="AZ34">
        <v>109304.79902000001</v>
      </c>
      <c r="BA34">
        <v>108992.78268999999</v>
      </c>
      <c r="BB34">
        <v>112509.36</v>
      </c>
      <c r="BC34">
        <v>111442.36</v>
      </c>
      <c r="BD34">
        <v>111511.26</v>
      </c>
      <c r="BE34">
        <v>121213.26</v>
      </c>
      <c r="BF34">
        <v>117481.47</v>
      </c>
      <c r="BG34">
        <v>116736.92</v>
      </c>
      <c r="BH34">
        <v>123129.88</v>
      </c>
      <c r="BI34">
        <v>114933.99</v>
      </c>
      <c r="BJ34">
        <v>123583.87</v>
      </c>
      <c r="BK34">
        <v>213661.04829000001</v>
      </c>
    </row>
    <row r="35" spans="1:63">
      <c r="A35" s="216">
        <v>43891</v>
      </c>
      <c r="B35" t="s">
        <v>42</v>
      </c>
      <c r="C35">
        <v>6</v>
      </c>
      <c r="D35" t="s">
        <v>450</v>
      </c>
      <c r="E35" s="217">
        <v>43891</v>
      </c>
      <c r="F35">
        <v>8478</v>
      </c>
      <c r="G35" s="227" t="s">
        <v>119</v>
      </c>
      <c r="O35" s="221" t="s">
        <v>450</v>
      </c>
      <c r="P35">
        <v>6852.4148100000002</v>
      </c>
      <c r="Q35">
        <v>7341.5851899999998</v>
      </c>
      <c r="R35">
        <v>7143</v>
      </c>
      <c r="S35">
        <v>7017</v>
      </c>
      <c r="T35">
        <v>6791</v>
      </c>
      <c r="U35">
        <v>8003</v>
      </c>
      <c r="V35">
        <v>7472</v>
      </c>
      <c r="W35">
        <v>7325</v>
      </c>
      <c r="X35">
        <v>7211</v>
      </c>
      <c r="Y35">
        <v>6381</v>
      </c>
      <c r="Z35">
        <v>6591</v>
      </c>
      <c r="AA35">
        <v>7760</v>
      </c>
      <c r="AB35">
        <v>7299</v>
      </c>
      <c r="AC35">
        <v>7600</v>
      </c>
      <c r="AD35">
        <v>8417.2114399999991</v>
      </c>
      <c r="AE35">
        <v>8584.7885600000009</v>
      </c>
      <c r="AF35">
        <v>7034</v>
      </c>
      <c r="AG35">
        <v>7861</v>
      </c>
      <c r="AH35">
        <v>6836</v>
      </c>
      <c r="AI35">
        <v>7971</v>
      </c>
      <c r="AJ35">
        <v>8130.10051999998</v>
      </c>
      <c r="AK35">
        <v>6447.2242399999996</v>
      </c>
      <c r="AL35">
        <v>6429</v>
      </c>
      <c r="AM35">
        <v>8002.6752400000096</v>
      </c>
      <c r="AN35">
        <v>7911.9652699999997</v>
      </c>
      <c r="AO35">
        <v>7597.1791199999998</v>
      </c>
      <c r="AP35">
        <v>7872.7656100000004</v>
      </c>
      <c r="AQ35">
        <v>8009.09</v>
      </c>
      <c r="AR35">
        <v>6810</v>
      </c>
      <c r="AS35">
        <v>7887</v>
      </c>
      <c r="AT35">
        <v>8731.5594199999996</v>
      </c>
      <c r="AU35">
        <v>7358.4405800000004</v>
      </c>
      <c r="AV35">
        <v>7626.2950099999998</v>
      </c>
      <c r="AW35">
        <v>7399.0248199999996</v>
      </c>
      <c r="AX35">
        <v>7020.9279999999999</v>
      </c>
      <c r="AY35">
        <v>8867.8571699999993</v>
      </c>
      <c r="AZ35">
        <v>7731.24161</v>
      </c>
      <c r="BA35">
        <v>7506.5236599999998</v>
      </c>
      <c r="BB35">
        <v>7271.22</v>
      </c>
      <c r="BC35">
        <v>7964.2404699999997</v>
      </c>
      <c r="BD35">
        <v>7568.72</v>
      </c>
      <c r="BE35">
        <v>7649.19</v>
      </c>
      <c r="BF35">
        <v>8814.4699999999993</v>
      </c>
      <c r="BG35">
        <v>8893.3799999999992</v>
      </c>
      <c r="BH35">
        <v>11447.68</v>
      </c>
      <c r="BI35">
        <v>7467.96</v>
      </c>
      <c r="BJ35">
        <v>6999.75</v>
      </c>
      <c r="BK35">
        <v>8439.6242600000096</v>
      </c>
    </row>
    <row r="36" spans="1:63">
      <c r="A36" s="216">
        <v>43891</v>
      </c>
      <c r="B36" t="s">
        <v>42</v>
      </c>
      <c r="C36">
        <v>6</v>
      </c>
      <c r="D36" t="s">
        <v>450</v>
      </c>
      <c r="E36" s="217">
        <v>43891</v>
      </c>
      <c r="F36">
        <v>8667</v>
      </c>
      <c r="G36" s="227" t="s">
        <v>88</v>
      </c>
      <c r="O36" s="221" t="s">
        <v>451</v>
      </c>
      <c r="P36">
        <v>10939.1183</v>
      </c>
      <c r="Q36">
        <v>11620.8817</v>
      </c>
      <c r="R36">
        <v>11299</v>
      </c>
      <c r="S36">
        <v>12118</v>
      </c>
      <c r="T36">
        <v>12091</v>
      </c>
      <c r="U36">
        <v>11326</v>
      </c>
      <c r="V36">
        <v>12238</v>
      </c>
      <c r="W36">
        <v>12613</v>
      </c>
      <c r="X36">
        <v>11711</v>
      </c>
      <c r="Y36">
        <v>12186</v>
      </c>
      <c r="Z36">
        <v>12304</v>
      </c>
      <c r="AA36">
        <v>14520</v>
      </c>
      <c r="AB36">
        <v>11562</v>
      </c>
      <c r="AC36">
        <v>11751</v>
      </c>
      <c r="AD36">
        <v>11781.013080000001</v>
      </c>
      <c r="AE36">
        <v>12457.986919999999</v>
      </c>
      <c r="AF36">
        <v>11180</v>
      </c>
      <c r="AG36">
        <v>12291</v>
      </c>
      <c r="AH36">
        <v>12475</v>
      </c>
      <c r="AI36">
        <v>12833</v>
      </c>
      <c r="AJ36">
        <v>12338.4897599998</v>
      </c>
      <c r="AK36">
        <v>12051.85468</v>
      </c>
      <c r="AL36">
        <v>12476</v>
      </c>
      <c r="AM36">
        <v>16282.655560000199</v>
      </c>
      <c r="AN36">
        <v>11797.687519999999</v>
      </c>
      <c r="AO36">
        <v>12631.91973</v>
      </c>
      <c r="AP36">
        <v>12820.392750000001</v>
      </c>
      <c r="AQ36">
        <v>12516</v>
      </c>
      <c r="AR36">
        <v>12955</v>
      </c>
      <c r="AS36">
        <v>12426</v>
      </c>
      <c r="AT36">
        <v>12612.27248</v>
      </c>
      <c r="AU36">
        <v>12219.72752</v>
      </c>
      <c r="AV36">
        <v>12897.78311</v>
      </c>
      <c r="AW36">
        <v>13464.3905</v>
      </c>
      <c r="AX36">
        <v>12180.707</v>
      </c>
      <c r="AY36">
        <v>16066.365610000001</v>
      </c>
      <c r="AZ36">
        <v>11317.823420000001</v>
      </c>
      <c r="BA36">
        <v>12360.58812</v>
      </c>
      <c r="BB36">
        <v>12251.86</v>
      </c>
      <c r="BC36">
        <v>13075.485699999999</v>
      </c>
      <c r="BD36">
        <v>11518.38</v>
      </c>
      <c r="BE36">
        <v>12759.98</v>
      </c>
      <c r="BF36">
        <v>12647.09</v>
      </c>
      <c r="BG36">
        <v>11987.37</v>
      </c>
      <c r="BH36">
        <v>14920.98</v>
      </c>
      <c r="BI36">
        <v>12610.92</v>
      </c>
      <c r="BJ36">
        <v>12507.2</v>
      </c>
      <c r="BK36">
        <v>12824.322759999999</v>
      </c>
    </row>
    <row r="37" spans="1:63">
      <c r="A37" s="216">
        <v>43891</v>
      </c>
      <c r="B37" t="s">
        <v>42</v>
      </c>
      <c r="C37">
        <v>6</v>
      </c>
      <c r="D37" t="s">
        <v>450</v>
      </c>
      <c r="E37" s="217">
        <v>43891</v>
      </c>
      <c r="F37">
        <v>8464</v>
      </c>
      <c r="G37" s="227" t="s">
        <v>96</v>
      </c>
      <c r="O37" s="221" t="s">
        <v>454</v>
      </c>
      <c r="P37">
        <v>3170.83644</v>
      </c>
      <c r="Q37">
        <v>3150.16356</v>
      </c>
      <c r="R37">
        <v>2712</v>
      </c>
      <c r="S37">
        <v>2657</v>
      </c>
      <c r="T37">
        <v>2912</v>
      </c>
      <c r="U37">
        <v>2882</v>
      </c>
      <c r="V37">
        <v>3306</v>
      </c>
      <c r="W37">
        <v>2963</v>
      </c>
      <c r="X37">
        <v>3439</v>
      </c>
      <c r="Y37">
        <v>3059</v>
      </c>
      <c r="Z37">
        <v>3080</v>
      </c>
      <c r="AA37">
        <v>3369</v>
      </c>
      <c r="AB37">
        <v>2317</v>
      </c>
      <c r="AC37">
        <v>1581</v>
      </c>
      <c r="AD37">
        <v>2607.8865300000002</v>
      </c>
      <c r="AE37">
        <v>2589.1134699999998</v>
      </c>
      <c r="AF37">
        <v>2694</v>
      </c>
      <c r="AG37">
        <v>2987</v>
      </c>
      <c r="AH37">
        <v>3160</v>
      </c>
      <c r="AI37">
        <v>3221</v>
      </c>
      <c r="AJ37">
        <v>3171.4568900000199</v>
      </c>
      <c r="AK37">
        <v>2831.2586500000002</v>
      </c>
      <c r="AL37">
        <v>2491</v>
      </c>
      <c r="AM37">
        <v>2714.2844599999798</v>
      </c>
      <c r="AN37">
        <v>2733.24125</v>
      </c>
      <c r="AO37">
        <v>3802.8693899999998</v>
      </c>
      <c r="AP37">
        <v>3149.8313600000001</v>
      </c>
      <c r="AQ37">
        <v>3047.058</v>
      </c>
      <c r="AR37">
        <v>3273</v>
      </c>
      <c r="AS37">
        <v>3943</v>
      </c>
      <c r="AT37">
        <v>2660.1433299999999</v>
      </c>
      <c r="AU37">
        <v>4014.8566700000001</v>
      </c>
      <c r="AV37">
        <v>3558.9527899999998</v>
      </c>
      <c r="AW37">
        <v>3269.3787900000002</v>
      </c>
      <c r="AX37">
        <v>3380.7939999999999</v>
      </c>
      <c r="AY37">
        <v>3417.3430199999998</v>
      </c>
      <c r="AZ37">
        <v>3272.81196</v>
      </c>
      <c r="BA37">
        <v>3664.5612999999998</v>
      </c>
      <c r="BB37">
        <v>3376.54</v>
      </c>
      <c r="BC37">
        <v>3679.15</v>
      </c>
      <c r="BD37">
        <v>3627.73</v>
      </c>
      <c r="BE37">
        <v>3979.55</v>
      </c>
      <c r="BF37">
        <v>4329.3</v>
      </c>
      <c r="BG37">
        <v>4552.38</v>
      </c>
      <c r="BH37">
        <v>4813.03</v>
      </c>
      <c r="BI37">
        <v>3960.65</v>
      </c>
      <c r="BJ37">
        <v>4397.04</v>
      </c>
      <c r="BK37">
        <v>4627.2567399999998</v>
      </c>
    </row>
    <row r="38" spans="1:63">
      <c r="A38" s="216">
        <v>43891</v>
      </c>
      <c r="B38" t="s">
        <v>42</v>
      </c>
      <c r="C38">
        <v>6</v>
      </c>
      <c r="D38" t="s">
        <v>450</v>
      </c>
      <c r="E38" s="217">
        <v>43891</v>
      </c>
      <c r="F38">
        <v>8289</v>
      </c>
      <c r="G38" s="227" t="s">
        <v>92</v>
      </c>
      <c r="O38" s="221" t="s">
        <v>433</v>
      </c>
      <c r="P38">
        <v>42459.096129999802</v>
      </c>
      <c r="Q38">
        <v>41952.903870000198</v>
      </c>
      <c r="R38">
        <v>41778</v>
      </c>
      <c r="S38">
        <v>42649</v>
      </c>
      <c r="T38">
        <v>42095</v>
      </c>
      <c r="U38">
        <v>41583</v>
      </c>
      <c r="V38">
        <v>44537</v>
      </c>
      <c r="W38">
        <v>42836</v>
      </c>
      <c r="X38">
        <v>44201</v>
      </c>
      <c r="Y38">
        <v>43651</v>
      </c>
      <c r="Z38">
        <v>43450</v>
      </c>
      <c r="AA38">
        <v>66390</v>
      </c>
      <c r="AB38">
        <v>45605</v>
      </c>
      <c r="AC38">
        <v>45773</v>
      </c>
      <c r="AD38">
        <v>45214.977500000001</v>
      </c>
      <c r="AE38">
        <v>45419.022499999999</v>
      </c>
      <c r="AF38">
        <v>44551</v>
      </c>
      <c r="AG38">
        <v>44950</v>
      </c>
      <c r="AH38">
        <v>47252</v>
      </c>
      <c r="AI38">
        <v>47547</v>
      </c>
      <c r="AJ38">
        <v>46076.791119998903</v>
      </c>
      <c r="AK38">
        <v>48474.337029999901</v>
      </c>
      <c r="AL38">
        <v>46720</v>
      </c>
      <c r="AM38">
        <v>101506.871850001</v>
      </c>
      <c r="AN38">
        <v>47687.627739999902</v>
      </c>
      <c r="AO38">
        <v>48147.642169999803</v>
      </c>
      <c r="AP38">
        <v>46433.380090000297</v>
      </c>
      <c r="AQ38">
        <v>46374.35</v>
      </c>
      <c r="AR38">
        <v>48957</v>
      </c>
      <c r="AS38">
        <v>54174</v>
      </c>
      <c r="AT38">
        <v>49232.751550000001</v>
      </c>
      <c r="AU38">
        <v>51482.248449999999</v>
      </c>
      <c r="AV38">
        <v>50544.791360000199</v>
      </c>
      <c r="AW38">
        <v>52672</v>
      </c>
      <c r="AX38">
        <v>51259.67</v>
      </c>
      <c r="AY38">
        <v>80236.249819999604</v>
      </c>
      <c r="AZ38">
        <v>50860.746679999698</v>
      </c>
      <c r="BA38">
        <v>49530.882879999903</v>
      </c>
      <c r="BB38">
        <v>50460.06</v>
      </c>
      <c r="BC38">
        <v>49350.02</v>
      </c>
      <c r="BD38">
        <v>48994.95</v>
      </c>
      <c r="BE38">
        <v>62397.78</v>
      </c>
      <c r="BF38">
        <v>52462.8</v>
      </c>
      <c r="BG38">
        <v>52407.51</v>
      </c>
      <c r="BH38">
        <v>52408.99</v>
      </c>
      <c r="BI38">
        <v>52657.91</v>
      </c>
      <c r="BJ38">
        <v>52172.69</v>
      </c>
      <c r="BK38">
        <v>91310.660440000502</v>
      </c>
    </row>
    <row r="39" spans="1:63">
      <c r="A39" s="216">
        <v>43891</v>
      </c>
      <c r="B39" t="s">
        <v>42</v>
      </c>
      <c r="C39">
        <v>6</v>
      </c>
      <c r="D39" t="s">
        <v>450</v>
      </c>
      <c r="E39" s="217">
        <v>43891</v>
      </c>
      <c r="F39">
        <v>8823</v>
      </c>
      <c r="G39" s="227" t="s">
        <v>110</v>
      </c>
      <c r="O39" s="221" t="s">
        <v>445</v>
      </c>
      <c r="P39">
        <v>6262.1683800000001</v>
      </c>
      <c r="Q39">
        <v>7066.8316199999999</v>
      </c>
      <c r="R39">
        <v>6473</v>
      </c>
      <c r="S39">
        <v>7616</v>
      </c>
      <c r="T39">
        <v>6402</v>
      </c>
      <c r="U39">
        <v>5097</v>
      </c>
      <c r="V39">
        <v>7370</v>
      </c>
      <c r="W39">
        <v>11071</v>
      </c>
      <c r="X39">
        <v>9031</v>
      </c>
      <c r="Y39">
        <v>8605</v>
      </c>
      <c r="Z39">
        <v>9719</v>
      </c>
      <c r="AA39">
        <v>17685</v>
      </c>
      <c r="AB39">
        <v>10591</v>
      </c>
      <c r="AC39">
        <v>8300</v>
      </c>
      <c r="AD39">
        <v>8507.3465699999997</v>
      </c>
      <c r="AE39">
        <v>8090.6534300000003</v>
      </c>
      <c r="AF39">
        <v>8981</v>
      </c>
      <c r="AG39">
        <v>5725</v>
      </c>
      <c r="AH39">
        <v>12682</v>
      </c>
      <c r="AI39">
        <v>6222</v>
      </c>
      <c r="AJ39">
        <v>8941.3389300016006</v>
      </c>
      <c r="AK39">
        <v>11159.582270000001</v>
      </c>
      <c r="AL39">
        <v>10000</v>
      </c>
      <c r="AM39">
        <v>26720.078799998399</v>
      </c>
      <c r="AN39">
        <v>8695.1322800000307</v>
      </c>
      <c r="AO39">
        <v>8340.6691000000301</v>
      </c>
      <c r="AP39">
        <v>9671.1066199999404</v>
      </c>
      <c r="AQ39">
        <v>10044.092000000001</v>
      </c>
      <c r="AR39">
        <v>7368</v>
      </c>
      <c r="AS39">
        <v>10642</v>
      </c>
      <c r="AT39">
        <v>8575.8895500000108</v>
      </c>
      <c r="AU39">
        <v>10396.11045</v>
      </c>
      <c r="AV39">
        <v>9413.9241899999997</v>
      </c>
      <c r="AW39">
        <v>9722.9972199999993</v>
      </c>
      <c r="AX39">
        <v>9554.2990000000009</v>
      </c>
      <c r="AY39">
        <v>15921.86428</v>
      </c>
      <c r="AZ39">
        <v>8437.5106099610002</v>
      </c>
      <c r="BA39">
        <v>8801.9457400000902</v>
      </c>
      <c r="BB39">
        <v>9565.84</v>
      </c>
      <c r="BC39">
        <v>9237.8700000000008</v>
      </c>
      <c r="BD39">
        <v>11800.63</v>
      </c>
      <c r="BE39">
        <v>8260.66</v>
      </c>
      <c r="BF39">
        <v>9767.6200000000008</v>
      </c>
      <c r="BG39">
        <v>9823.3700000000008</v>
      </c>
      <c r="BH39">
        <v>10062.98</v>
      </c>
      <c r="BI39">
        <v>11106.56</v>
      </c>
      <c r="BJ39">
        <v>10184.379999999999</v>
      </c>
      <c r="BK39">
        <v>16834.633650038901</v>
      </c>
    </row>
    <row r="40" spans="1:63">
      <c r="A40" s="216">
        <v>43891</v>
      </c>
      <c r="B40" t="s">
        <v>42</v>
      </c>
      <c r="C40">
        <v>6</v>
      </c>
      <c r="D40" t="s">
        <v>450</v>
      </c>
      <c r="E40" s="217">
        <v>43891</v>
      </c>
      <c r="F40">
        <v>100649</v>
      </c>
      <c r="G40" s="227" t="s">
        <v>434</v>
      </c>
      <c r="O40" s="221" t="s">
        <v>437</v>
      </c>
      <c r="P40">
        <v>4351.2358599999998</v>
      </c>
      <c r="Q40">
        <v>4137.7641400000002</v>
      </c>
      <c r="R40">
        <v>3914</v>
      </c>
      <c r="S40">
        <v>4211</v>
      </c>
      <c r="T40">
        <v>4305</v>
      </c>
      <c r="U40">
        <v>3513</v>
      </c>
      <c r="V40">
        <v>4169</v>
      </c>
      <c r="W40">
        <v>5040</v>
      </c>
      <c r="X40">
        <v>5290</v>
      </c>
      <c r="Y40">
        <v>4343</v>
      </c>
      <c r="Z40">
        <v>4335</v>
      </c>
      <c r="AA40">
        <v>3144</v>
      </c>
      <c r="AB40">
        <v>4555</v>
      </c>
      <c r="AC40">
        <v>4679</v>
      </c>
      <c r="AD40">
        <v>4508.8827799999999</v>
      </c>
      <c r="AE40">
        <v>3209.1172200000001</v>
      </c>
      <c r="AF40">
        <v>4911</v>
      </c>
      <c r="AG40">
        <v>8788</v>
      </c>
      <c r="AH40">
        <v>4001</v>
      </c>
      <c r="AI40">
        <v>4048</v>
      </c>
      <c r="AJ40">
        <v>4449.3487699999896</v>
      </c>
      <c r="AK40">
        <v>3220.8063499999998</v>
      </c>
      <c r="AL40">
        <v>4325</v>
      </c>
      <c r="AM40">
        <v>209.84488000001099</v>
      </c>
      <c r="AN40">
        <v>4570.3742300000004</v>
      </c>
      <c r="AO40">
        <v>5468.8433999999997</v>
      </c>
      <c r="AP40">
        <v>4550.7823699999999</v>
      </c>
      <c r="AQ40">
        <v>5615</v>
      </c>
      <c r="AR40">
        <v>4325</v>
      </c>
      <c r="AS40">
        <v>799</v>
      </c>
      <c r="AT40">
        <v>3878.9904700000002</v>
      </c>
      <c r="AU40">
        <v>4860.0095300000003</v>
      </c>
      <c r="AV40">
        <v>5492.61096</v>
      </c>
      <c r="AW40">
        <v>4897.33277000001</v>
      </c>
      <c r="AX40">
        <v>3047.165</v>
      </c>
      <c r="AY40">
        <v>5204.3797599999998</v>
      </c>
      <c r="AZ40">
        <v>5065.7678800000003</v>
      </c>
      <c r="BA40">
        <v>4727.8933200000001</v>
      </c>
      <c r="BB40">
        <v>4955.6400000000003</v>
      </c>
      <c r="BC40">
        <v>5415.1350499999999</v>
      </c>
      <c r="BD40">
        <v>5622.2</v>
      </c>
      <c r="BE40">
        <v>2749.82</v>
      </c>
      <c r="BF40">
        <v>5346.85</v>
      </c>
      <c r="BG40">
        <v>5244.25</v>
      </c>
      <c r="BH40">
        <v>5190.79</v>
      </c>
      <c r="BI40">
        <v>4987.25</v>
      </c>
      <c r="BJ40">
        <v>4793.34</v>
      </c>
      <c r="BK40">
        <v>4983.0637500000003</v>
      </c>
    </row>
    <row r="41" spans="1:63">
      <c r="A41" s="216">
        <v>43891</v>
      </c>
      <c r="B41" t="s">
        <v>42</v>
      </c>
      <c r="C41">
        <v>7</v>
      </c>
      <c r="D41" t="s">
        <v>433</v>
      </c>
      <c r="E41" s="217">
        <v>43891</v>
      </c>
      <c r="F41">
        <v>45510</v>
      </c>
      <c r="G41" s="227" t="s">
        <v>70</v>
      </c>
      <c r="O41" s="221" t="s">
        <v>441</v>
      </c>
      <c r="P41">
        <v>15710.55034</v>
      </c>
      <c r="Q41">
        <v>16928.449659999998</v>
      </c>
      <c r="R41">
        <v>17352</v>
      </c>
      <c r="S41">
        <v>19394</v>
      </c>
      <c r="T41">
        <v>17308</v>
      </c>
      <c r="U41">
        <v>17449</v>
      </c>
      <c r="V41">
        <v>17431</v>
      </c>
      <c r="W41">
        <v>17015</v>
      </c>
      <c r="X41">
        <v>18116</v>
      </c>
      <c r="Y41">
        <v>17290</v>
      </c>
      <c r="Z41">
        <v>18441</v>
      </c>
      <c r="AA41">
        <v>20058</v>
      </c>
      <c r="AB41">
        <v>17947</v>
      </c>
      <c r="AC41">
        <v>51780</v>
      </c>
      <c r="AD41">
        <v>-495</v>
      </c>
      <c r="AE41">
        <v>19009</v>
      </c>
      <c r="AF41">
        <v>18134</v>
      </c>
      <c r="AG41">
        <v>27159</v>
      </c>
      <c r="AH41">
        <v>19169</v>
      </c>
      <c r="AI41">
        <v>19557</v>
      </c>
      <c r="AJ41">
        <v>18149.439439999998</v>
      </c>
      <c r="AK41">
        <v>18957.059280000001</v>
      </c>
      <c r="AL41">
        <v>20699</v>
      </c>
      <c r="AM41">
        <v>23873.501280000099</v>
      </c>
      <c r="AN41">
        <v>18574.604220000001</v>
      </c>
      <c r="AO41">
        <v>20020.409039999999</v>
      </c>
      <c r="AP41">
        <v>19660.083259999999</v>
      </c>
      <c r="AQ41">
        <v>20094.47</v>
      </c>
      <c r="AR41">
        <v>21603</v>
      </c>
      <c r="AS41">
        <v>20021</v>
      </c>
      <c r="AT41">
        <v>20513.195650000001</v>
      </c>
      <c r="AU41">
        <v>20808.50546</v>
      </c>
      <c r="AV41">
        <v>26074.527539999999</v>
      </c>
      <c r="AW41">
        <v>20137.799169999998</v>
      </c>
      <c r="AX41">
        <v>22920.756000000001</v>
      </c>
      <c r="AY41">
        <v>26148.39645</v>
      </c>
      <c r="AZ41">
        <v>20664.935880000001</v>
      </c>
      <c r="BA41">
        <v>21017.05471</v>
      </c>
      <c r="BB41">
        <v>21517.46</v>
      </c>
      <c r="BC41">
        <v>20447.05</v>
      </c>
      <c r="BD41">
        <v>20890.93</v>
      </c>
      <c r="BE41">
        <v>19724.7</v>
      </c>
      <c r="BF41">
        <v>21875.3</v>
      </c>
      <c r="BG41">
        <v>19557.91</v>
      </c>
      <c r="BH41">
        <v>23168.81</v>
      </c>
      <c r="BI41">
        <v>19379.330000000002</v>
      </c>
      <c r="BJ41">
        <v>28190.49</v>
      </c>
      <c r="BK41">
        <v>22738.029409999999</v>
      </c>
    </row>
    <row r="42" spans="1:63">
      <c r="A42" s="216">
        <v>43891</v>
      </c>
      <c r="B42" t="s">
        <v>42</v>
      </c>
      <c r="C42">
        <v>7</v>
      </c>
      <c r="D42" t="s">
        <v>433</v>
      </c>
      <c r="E42" s="217">
        <v>43891</v>
      </c>
      <c r="F42">
        <v>44910</v>
      </c>
      <c r="G42" s="227" t="s">
        <v>114</v>
      </c>
      <c r="O42" s="221" t="s">
        <v>447</v>
      </c>
      <c r="P42">
        <v>58.924660000000003</v>
      </c>
      <c r="Q42">
        <v>70.075339999999997</v>
      </c>
      <c r="R42">
        <v>73</v>
      </c>
      <c r="S42">
        <v>92</v>
      </c>
      <c r="T42">
        <v>114</v>
      </c>
      <c r="U42">
        <v>72</v>
      </c>
      <c r="V42">
        <v>70</v>
      </c>
      <c r="W42">
        <v>60</v>
      </c>
      <c r="X42">
        <v>73</v>
      </c>
      <c r="Y42">
        <v>98</v>
      </c>
      <c r="Z42">
        <v>107</v>
      </c>
      <c r="AA42">
        <v>395</v>
      </c>
      <c r="AB42">
        <v>80</v>
      </c>
      <c r="AC42">
        <v>17</v>
      </c>
      <c r="AD42">
        <v>-58</v>
      </c>
      <c r="AE42">
        <v>13</v>
      </c>
      <c r="AF42">
        <v>13</v>
      </c>
      <c r="AG42">
        <v>13</v>
      </c>
      <c r="AH42">
        <v>13</v>
      </c>
      <c r="AI42">
        <v>4</v>
      </c>
      <c r="AJ42">
        <v>12.8848</v>
      </c>
      <c r="AK42">
        <v>12.95759</v>
      </c>
      <c r="AL42">
        <v>13</v>
      </c>
      <c r="AM42">
        <v>13.15761</v>
      </c>
      <c r="AN42">
        <v>13.21674</v>
      </c>
      <c r="AO42">
        <v>13.21674</v>
      </c>
      <c r="AP42">
        <v>13</v>
      </c>
      <c r="AQ42">
        <v>13</v>
      </c>
      <c r="AR42">
        <v>14</v>
      </c>
      <c r="AS42">
        <v>15</v>
      </c>
      <c r="AT42">
        <v>192.29889</v>
      </c>
      <c r="AU42">
        <v>41</v>
      </c>
      <c r="AV42">
        <v>40.841000000000001</v>
      </c>
      <c r="AW42">
        <v>258.73500000000001</v>
      </c>
      <c r="AX42">
        <v>253.28700000000001</v>
      </c>
      <c r="AY42">
        <v>190.29599999999999</v>
      </c>
      <c r="AZ42">
        <v>6.2249999999999996</v>
      </c>
      <c r="BA42">
        <v>582.24400000000003</v>
      </c>
      <c r="BB42">
        <v>292.99</v>
      </c>
      <c r="BC42">
        <v>293.82</v>
      </c>
      <c r="BD42">
        <v>293.82</v>
      </c>
      <c r="BE42">
        <v>293.82</v>
      </c>
      <c r="BF42">
        <v>293.82</v>
      </c>
      <c r="BG42">
        <v>250.64</v>
      </c>
      <c r="BH42">
        <v>288.42</v>
      </c>
      <c r="BI42">
        <v>288.42</v>
      </c>
      <c r="BJ42">
        <v>288.42</v>
      </c>
      <c r="BK42">
        <v>343.36099999999999</v>
      </c>
    </row>
    <row r="43" spans="1:63">
      <c r="A43" s="216">
        <v>43891</v>
      </c>
      <c r="B43" t="s">
        <v>42</v>
      </c>
      <c r="C43">
        <v>7</v>
      </c>
      <c r="D43" t="s">
        <v>433</v>
      </c>
      <c r="E43" s="217">
        <v>43891</v>
      </c>
      <c r="F43">
        <v>44148</v>
      </c>
      <c r="G43" s="227" t="s">
        <v>105</v>
      </c>
      <c r="O43" s="221" t="s">
        <v>1167</v>
      </c>
      <c r="AN43">
        <v>0</v>
      </c>
      <c r="AO43">
        <v>0</v>
      </c>
      <c r="AP43">
        <v>0</v>
      </c>
      <c r="AQ43">
        <v>0</v>
      </c>
      <c r="AR43">
        <v>0</v>
      </c>
      <c r="AS43">
        <v>0</v>
      </c>
      <c r="AT43">
        <v>0</v>
      </c>
      <c r="AU43">
        <v>0</v>
      </c>
      <c r="AV43">
        <v>0</v>
      </c>
      <c r="AW43">
        <v>0</v>
      </c>
      <c r="AX43">
        <v>0</v>
      </c>
      <c r="AY43">
        <v>0</v>
      </c>
    </row>
    <row r="44" spans="1:63">
      <c r="A44" s="216">
        <v>43891</v>
      </c>
      <c r="B44" t="s">
        <v>42</v>
      </c>
      <c r="C44">
        <v>7</v>
      </c>
      <c r="D44" t="s">
        <v>433</v>
      </c>
      <c r="E44" s="217">
        <v>43891</v>
      </c>
      <c r="F44">
        <v>44414</v>
      </c>
      <c r="G44" s="227" t="s">
        <v>100</v>
      </c>
      <c r="O44" s="7" t="s">
        <v>52</v>
      </c>
      <c r="AN44">
        <v>16948</v>
      </c>
      <c r="AO44">
        <v>18367</v>
      </c>
      <c r="AP44">
        <v>18225</v>
      </c>
      <c r="AQ44">
        <v>19564</v>
      </c>
      <c r="AR44">
        <v>18985</v>
      </c>
      <c r="AS44">
        <v>21552</v>
      </c>
      <c r="AT44">
        <v>19867</v>
      </c>
      <c r="AU44">
        <v>21392</v>
      </c>
      <c r="AV44">
        <v>22712</v>
      </c>
      <c r="AW44">
        <v>19957</v>
      </c>
      <c r="AX44">
        <v>19687</v>
      </c>
      <c r="AY44">
        <v>35578</v>
      </c>
      <c r="AZ44">
        <v>19973</v>
      </c>
      <c r="BA44">
        <v>19698</v>
      </c>
      <c r="BB44">
        <v>20528</v>
      </c>
      <c r="BC44">
        <v>19852</v>
      </c>
      <c r="BD44">
        <v>22828</v>
      </c>
      <c r="BE44">
        <v>22963</v>
      </c>
      <c r="BF44">
        <v>25770</v>
      </c>
      <c r="BG44">
        <v>24434</v>
      </c>
      <c r="BH44">
        <v>24544</v>
      </c>
      <c r="BI44">
        <v>23831</v>
      </c>
      <c r="BJ44">
        <v>30057</v>
      </c>
      <c r="BK44">
        <v>37275</v>
      </c>
    </row>
    <row r="45" spans="1:63">
      <c r="A45" s="216">
        <v>43891</v>
      </c>
      <c r="B45" t="s">
        <v>42</v>
      </c>
      <c r="C45">
        <v>7</v>
      </c>
      <c r="D45" t="s">
        <v>433</v>
      </c>
      <c r="E45" s="217">
        <v>43891</v>
      </c>
      <c r="F45">
        <v>45250</v>
      </c>
      <c r="G45" s="227" t="s">
        <v>83</v>
      </c>
      <c r="O45" s="221" t="s">
        <v>442</v>
      </c>
      <c r="AN45">
        <v>8989</v>
      </c>
      <c r="AO45">
        <v>9597</v>
      </c>
      <c r="AP45">
        <v>9475</v>
      </c>
      <c r="AQ45">
        <v>10185</v>
      </c>
      <c r="AR45">
        <v>9863</v>
      </c>
      <c r="AS45">
        <v>11207</v>
      </c>
      <c r="AT45">
        <v>10306</v>
      </c>
      <c r="AU45">
        <v>11202</v>
      </c>
      <c r="AV45">
        <v>11715</v>
      </c>
      <c r="AW45">
        <v>10337</v>
      </c>
      <c r="AX45">
        <v>10181</v>
      </c>
      <c r="AY45">
        <v>18011</v>
      </c>
      <c r="AZ45">
        <v>10389</v>
      </c>
      <c r="BA45">
        <v>10269</v>
      </c>
      <c r="BB45">
        <v>10619</v>
      </c>
      <c r="BC45">
        <v>10562</v>
      </c>
      <c r="BD45">
        <v>11885</v>
      </c>
      <c r="BE45">
        <v>12028</v>
      </c>
      <c r="BF45">
        <v>13306</v>
      </c>
      <c r="BG45">
        <v>12643</v>
      </c>
      <c r="BH45">
        <v>12622</v>
      </c>
      <c r="BI45">
        <v>12285</v>
      </c>
      <c r="BJ45">
        <v>15351</v>
      </c>
      <c r="BK45">
        <v>19185</v>
      </c>
    </row>
    <row r="46" spans="1:63">
      <c r="A46" s="216">
        <v>43891</v>
      </c>
      <c r="B46" t="s">
        <v>42</v>
      </c>
      <c r="C46">
        <v>7</v>
      </c>
      <c r="D46" t="s">
        <v>433</v>
      </c>
      <c r="E46" s="217">
        <v>43891</v>
      </c>
      <c r="F46">
        <v>44338</v>
      </c>
      <c r="G46" s="227" t="s">
        <v>127</v>
      </c>
      <c r="O46" s="221" t="s">
        <v>450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row>
    <row r="47" spans="1:63">
      <c r="A47" s="216">
        <v>43891</v>
      </c>
      <c r="B47" t="s">
        <v>42</v>
      </c>
      <c r="C47">
        <v>7</v>
      </c>
      <c r="D47" t="s">
        <v>433</v>
      </c>
      <c r="E47" s="217">
        <v>43891</v>
      </c>
      <c r="F47">
        <v>46689</v>
      </c>
      <c r="G47" s="227" t="s">
        <v>123</v>
      </c>
      <c r="O47" s="221" t="s">
        <v>451</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row>
    <row r="48" spans="1:63">
      <c r="A48" s="216">
        <v>43891</v>
      </c>
      <c r="B48" t="s">
        <v>42</v>
      </c>
      <c r="C48">
        <v>7</v>
      </c>
      <c r="D48" t="s">
        <v>433</v>
      </c>
      <c r="E48" s="217">
        <v>43891</v>
      </c>
      <c r="F48">
        <v>45093</v>
      </c>
      <c r="G48" s="227" t="s">
        <v>119</v>
      </c>
      <c r="O48" s="221" t="s">
        <v>454</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row>
    <row r="49" spans="1:63">
      <c r="A49" s="216">
        <v>43891</v>
      </c>
      <c r="B49" t="s">
        <v>42</v>
      </c>
      <c r="C49">
        <v>7</v>
      </c>
      <c r="D49" t="s">
        <v>433</v>
      </c>
      <c r="E49" s="217">
        <v>43891</v>
      </c>
      <c r="F49">
        <v>45044</v>
      </c>
      <c r="G49" s="227" t="s">
        <v>88</v>
      </c>
      <c r="O49" s="221" t="s">
        <v>433</v>
      </c>
      <c r="AN49">
        <v>3075</v>
      </c>
      <c r="AO49">
        <v>3242</v>
      </c>
      <c r="AP49">
        <v>3399</v>
      </c>
      <c r="AQ49">
        <v>3343</v>
      </c>
      <c r="AR49">
        <v>3530</v>
      </c>
      <c r="AS49">
        <v>3578</v>
      </c>
      <c r="AT49">
        <v>3538</v>
      </c>
      <c r="AU49">
        <v>3598</v>
      </c>
      <c r="AV49">
        <v>3617</v>
      </c>
      <c r="AW49">
        <v>3528</v>
      </c>
      <c r="AX49">
        <v>3544</v>
      </c>
      <c r="AY49">
        <v>6229</v>
      </c>
      <c r="AZ49">
        <v>3897</v>
      </c>
      <c r="BA49">
        <v>4176</v>
      </c>
      <c r="BB49">
        <v>3583</v>
      </c>
      <c r="BC49">
        <v>3921</v>
      </c>
      <c r="BD49">
        <v>3939</v>
      </c>
      <c r="BE49">
        <v>4960</v>
      </c>
      <c r="BF49">
        <v>4208</v>
      </c>
      <c r="BG49">
        <v>4354</v>
      </c>
      <c r="BH49">
        <v>4508</v>
      </c>
      <c r="BI49">
        <v>4516</v>
      </c>
      <c r="BJ49">
        <v>4567</v>
      </c>
      <c r="BK49">
        <v>8219</v>
      </c>
    </row>
    <row r="50" spans="1:63">
      <c r="A50" s="216">
        <v>43891</v>
      </c>
      <c r="B50" t="s">
        <v>42</v>
      </c>
      <c r="C50">
        <v>7</v>
      </c>
      <c r="D50" t="s">
        <v>433</v>
      </c>
      <c r="E50" s="217">
        <v>43891</v>
      </c>
      <c r="F50">
        <v>46072</v>
      </c>
      <c r="G50" s="227" t="s">
        <v>96</v>
      </c>
      <c r="O50" s="221" t="s">
        <v>445</v>
      </c>
      <c r="AN50">
        <v>4820</v>
      </c>
      <c r="AO50">
        <v>5452</v>
      </c>
      <c r="AP50">
        <v>5295</v>
      </c>
      <c r="AQ50">
        <v>5988</v>
      </c>
      <c r="AR50">
        <v>5528</v>
      </c>
      <c r="AS50">
        <v>6631</v>
      </c>
      <c r="AT50">
        <v>5957</v>
      </c>
      <c r="AU50">
        <v>6528</v>
      </c>
      <c r="AV50">
        <v>7316</v>
      </c>
      <c r="AW50">
        <v>6028</v>
      </c>
      <c r="AX50">
        <v>5898</v>
      </c>
      <c r="AY50">
        <v>11274</v>
      </c>
      <c r="AZ50">
        <v>5687</v>
      </c>
      <c r="BA50">
        <v>5253</v>
      </c>
      <c r="BB50">
        <v>6326</v>
      </c>
      <c r="BC50">
        <v>5369</v>
      </c>
      <c r="BD50">
        <v>7004</v>
      </c>
      <c r="BE50">
        <v>5975</v>
      </c>
      <c r="BF50">
        <v>8256</v>
      </c>
      <c r="BG50">
        <v>7437</v>
      </c>
      <c r="BH50">
        <v>7414</v>
      </c>
      <c r="BI50">
        <v>7030</v>
      </c>
      <c r="BJ50">
        <v>10139</v>
      </c>
      <c r="BK50">
        <v>9871</v>
      </c>
    </row>
    <row r="51" spans="1:63">
      <c r="A51" s="216">
        <v>43891</v>
      </c>
      <c r="B51" t="s">
        <v>42</v>
      </c>
      <c r="C51">
        <v>7</v>
      </c>
      <c r="D51" t="s">
        <v>433</v>
      </c>
      <c r="E51" s="217">
        <v>43891</v>
      </c>
      <c r="F51">
        <v>46836</v>
      </c>
      <c r="G51" s="227" t="s">
        <v>92</v>
      </c>
      <c r="O51" s="221" t="s">
        <v>437</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row>
    <row r="52" spans="1:63">
      <c r="A52" s="216">
        <v>43891</v>
      </c>
      <c r="B52" t="s">
        <v>42</v>
      </c>
      <c r="C52">
        <v>7</v>
      </c>
      <c r="D52" t="s">
        <v>433</v>
      </c>
      <c r="E52" s="217">
        <v>43891</v>
      </c>
      <c r="F52">
        <v>68681</v>
      </c>
      <c r="G52" s="227" t="s">
        <v>110</v>
      </c>
      <c r="O52" s="221" t="s">
        <v>441</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row>
    <row r="53" spans="1:63">
      <c r="A53" s="216">
        <v>43891</v>
      </c>
      <c r="B53" t="s">
        <v>42</v>
      </c>
      <c r="C53">
        <v>7</v>
      </c>
      <c r="D53" t="s">
        <v>433</v>
      </c>
      <c r="E53" s="217">
        <v>43891</v>
      </c>
      <c r="F53">
        <v>566985</v>
      </c>
      <c r="G53" s="227" t="s">
        <v>434</v>
      </c>
      <c r="O53" s="221" t="s">
        <v>447</v>
      </c>
      <c r="AN53">
        <v>64</v>
      </c>
      <c r="AO53">
        <v>76</v>
      </c>
      <c r="AP53">
        <v>56</v>
      </c>
      <c r="AQ53">
        <v>48</v>
      </c>
      <c r="AR53">
        <v>64</v>
      </c>
      <c r="AS53">
        <v>136</v>
      </c>
      <c r="AT53">
        <v>66</v>
      </c>
      <c r="AU53">
        <v>64</v>
      </c>
      <c r="AV53">
        <v>64</v>
      </c>
      <c r="AW53">
        <v>64</v>
      </c>
      <c r="AX53">
        <v>64</v>
      </c>
      <c r="AY53">
        <v>64</v>
      </c>
      <c r="AZ53">
        <v>0</v>
      </c>
      <c r="BA53">
        <v>0</v>
      </c>
      <c r="BB53">
        <v>0</v>
      </c>
      <c r="BC53">
        <v>0</v>
      </c>
      <c r="BD53">
        <v>0</v>
      </c>
      <c r="BE53">
        <v>0</v>
      </c>
      <c r="BF53">
        <v>0</v>
      </c>
      <c r="BG53">
        <v>0</v>
      </c>
      <c r="BH53">
        <v>0</v>
      </c>
      <c r="BI53">
        <v>0</v>
      </c>
      <c r="BJ53">
        <v>0</v>
      </c>
      <c r="BK53">
        <v>0</v>
      </c>
    </row>
    <row r="54" spans="1:63">
      <c r="A54" s="216">
        <v>43891</v>
      </c>
      <c r="B54" t="s">
        <v>42</v>
      </c>
      <c r="C54">
        <v>8</v>
      </c>
      <c r="D54" t="s">
        <v>445</v>
      </c>
      <c r="E54" s="217">
        <v>43891</v>
      </c>
      <c r="F54">
        <v>7897</v>
      </c>
      <c r="G54" s="227" t="s">
        <v>70</v>
      </c>
      <c r="O54" s="7" t="s">
        <v>51</v>
      </c>
      <c r="P54">
        <v>18641</v>
      </c>
      <c r="Q54">
        <v>18996</v>
      </c>
      <c r="R54">
        <v>19605</v>
      </c>
      <c r="S54">
        <v>19439</v>
      </c>
      <c r="T54">
        <v>18847</v>
      </c>
      <c r="U54">
        <v>20616</v>
      </c>
      <c r="V54">
        <v>20427</v>
      </c>
      <c r="W54">
        <v>19895</v>
      </c>
      <c r="X54">
        <v>19716</v>
      </c>
      <c r="Y54">
        <v>20114</v>
      </c>
      <c r="Z54">
        <v>20838</v>
      </c>
      <c r="AA54">
        <v>24270</v>
      </c>
      <c r="AB54">
        <v>20109</v>
      </c>
      <c r="AC54">
        <v>20889</v>
      </c>
      <c r="AD54">
        <v>21094</v>
      </c>
      <c r="AE54">
        <v>16457</v>
      </c>
      <c r="AF54">
        <v>20820</v>
      </c>
      <c r="AG54">
        <v>22982</v>
      </c>
      <c r="AH54">
        <v>21860</v>
      </c>
      <c r="AI54">
        <v>22946</v>
      </c>
      <c r="AJ54">
        <v>24093</v>
      </c>
      <c r="AK54">
        <v>24746</v>
      </c>
      <c r="AL54">
        <v>23297</v>
      </c>
      <c r="AM54">
        <v>26171</v>
      </c>
      <c r="AN54">
        <v>22410</v>
      </c>
      <c r="AO54">
        <v>22479</v>
      </c>
      <c r="AP54">
        <v>21334</v>
      </c>
      <c r="AQ54">
        <v>22684</v>
      </c>
      <c r="AR54">
        <v>23527</v>
      </c>
      <c r="AS54">
        <v>25994</v>
      </c>
      <c r="AT54">
        <v>26516</v>
      </c>
      <c r="AU54">
        <v>25885</v>
      </c>
      <c r="AV54">
        <v>26007</v>
      </c>
      <c r="AW54">
        <v>25199</v>
      </c>
      <c r="AX54">
        <v>27791</v>
      </c>
      <c r="AY54">
        <v>33725</v>
      </c>
      <c r="AZ54">
        <v>23999</v>
      </c>
      <c r="BA54">
        <v>25320</v>
      </c>
      <c r="BB54">
        <v>24567</v>
      </c>
      <c r="BC54">
        <v>22759</v>
      </c>
      <c r="BD54">
        <v>26136</v>
      </c>
      <c r="BE54">
        <v>28389</v>
      </c>
      <c r="BF54">
        <v>27768</v>
      </c>
      <c r="BG54">
        <v>25579</v>
      </c>
      <c r="BH54">
        <v>27614</v>
      </c>
      <c r="BI54">
        <v>29443</v>
      </c>
      <c r="BJ54">
        <v>27582</v>
      </c>
      <c r="BK54">
        <v>39448</v>
      </c>
    </row>
    <row r="55" spans="1:63">
      <c r="A55" s="216">
        <v>43891</v>
      </c>
      <c r="B55" t="s">
        <v>42</v>
      </c>
      <c r="C55">
        <v>8</v>
      </c>
      <c r="D55" t="s">
        <v>445</v>
      </c>
      <c r="E55" s="217">
        <v>43891</v>
      </c>
      <c r="F55">
        <v>8703</v>
      </c>
      <c r="G55" s="227" t="s">
        <v>114</v>
      </c>
      <c r="O55" s="221" t="s">
        <v>442</v>
      </c>
      <c r="P55">
        <v>16511</v>
      </c>
      <c r="Q55">
        <v>16640</v>
      </c>
      <c r="R55">
        <v>17327</v>
      </c>
      <c r="S55">
        <v>17135</v>
      </c>
      <c r="T55">
        <v>16899</v>
      </c>
      <c r="U55">
        <v>18178</v>
      </c>
      <c r="V55">
        <v>17978</v>
      </c>
      <c r="W55">
        <v>17758</v>
      </c>
      <c r="X55">
        <v>17729</v>
      </c>
      <c r="Y55">
        <v>17996</v>
      </c>
      <c r="Z55">
        <v>18311</v>
      </c>
      <c r="AA55">
        <v>21339</v>
      </c>
      <c r="AB55">
        <v>17692</v>
      </c>
      <c r="AC55">
        <v>18508</v>
      </c>
      <c r="AD55">
        <v>18638</v>
      </c>
      <c r="AE55">
        <v>15418</v>
      </c>
      <c r="AF55">
        <v>18839</v>
      </c>
      <c r="AG55">
        <v>20509</v>
      </c>
      <c r="AH55">
        <v>19451</v>
      </c>
      <c r="AI55">
        <v>20539</v>
      </c>
      <c r="AJ55">
        <v>21268</v>
      </c>
      <c r="AK55">
        <v>21727</v>
      </c>
      <c r="AL55">
        <v>20679</v>
      </c>
      <c r="AM55">
        <v>22083</v>
      </c>
      <c r="AN55">
        <v>20020</v>
      </c>
      <c r="AO55">
        <v>20135</v>
      </c>
      <c r="AP55">
        <v>18799</v>
      </c>
      <c r="AQ55">
        <v>20086</v>
      </c>
      <c r="AR55">
        <v>21160</v>
      </c>
      <c r="AS55">
        <v>23157</v>
      </c>
      <c r="AT55">
        <v>23579</v>
      </c>
      <c r="AU55">
        <v>23124</v>
      </c>
      <c r="AV55">
        <v>22732</v>
      </c>
      <c r="AW55">
        <v>22223</v>
      </c>
      <c r="AX55">
        <v>24602</v>
      </c>
      <c r="AY55">
        <v>29090</v>
      </c>
      <c r="AZ55">
        <v>21574</v>
      </c>
      <c r="BA55">
        <v>22651</v>
      </c>
      <c r="BB55">
        <v>21891</v>
      </c>
      <c r="BC55">
        <v>20012</v>
      </c>
      <c r="BD55">
        <v>23372</v>
      </c>
      <c r="BE55">
        <v>25257</v>
      </c>
      <c r="BF55">
        <v>24865</v>
      </c>
      <c r="BG55">
        <v>22695</v>
      </c>
      <c r="BH55">
        <v>24462</v>
      </c>
      <c r="BI55">
        <v>25410</v>
      </c>
      <c r="BJ55">
        <v>24342</v>
      </c>
      <c r="BK55">
        <v>33521</v>
      </c>
    </row>
    <row r="56" spans="1:63">
      <c r="A56" s="216">
        <v>43891</v>
      </c>
      <c r="B56" t="s">
        <v>42</v>
      </c>
      <c r="C56">
        <v>8</v>
      </c>
      <c r="D56" t="s">
        <v>445</v>
      </c>
      <c r="E56" s="217">
        <v>43891</v>
      </c>
      <c r="F56">
        <v>8231</v>
      </c>
      <c r="G56" s="227" t="s">
        <v>105</v>
      </c>
      <c r="O56" s="221" t="s">
        <v>450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row>
    <row r="57" spans="1:63">
      <c r="A57" s="216">
        <v>43891</v>
      </c>
      <c r="B57" t="s">
        <v>42</v>
      </c>
      <c r="C57">
        <v>8</v>
      </c>
      <c r="D57" t="s">
        <v>445</v>
      </c>
      <c r="E57" s="217">
        <v>43891</v>
      </c>
      <c r="F57">
        <v>8918</v>
      </c>
      <c r="G57" s="227" t="s">
        <v>100</v>
      </c>
      <c r="O57" s="221" t="s">
        <v>451</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row>
    <row r="58" spans="1:63">
      <c r="A58" s="216">
        <v>43891</v>
      </c>
      <c r="B58" t="s">
        <v>42</v>
      </c>
      <c r="C58">
        <v>8</v>
      </c>
      <c r="D58" t="s">
        <v>445</v>
      </c>
      <c r="E58" s="217">
        <v>43891</v>
      </c>
      <c r="F58">
        <v>7805</v>
      </c>
      <c r="G58" s="227" t="s">
        <v>83</v>
      </c>
      <c r="O58" s="221" t="s">
        <v>454</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row>
    <row r="59" spans="1:63">
      <c r="A59" s="216">
        <v>43891</v>
      </c>
      <c r="B59" t="s">
        <v>42</v>
      </c>
      <c r="C59">
        <v>8</v>
      </c>
      <c r="D59" t="s">
        <v>445</v>
      </c>
      <c r="E59" s="217">
        <v>43891</v>
      </c>
      <c r="F59">
        <v>8397</v>
      </c>
      <c r="G59" s="227" t="s">
        <v>127</v>
      </c>
      <c r="O59" s="221" t="s">
        <v>433</v>
      </c>
      <c r="P59">
        <v>1034</v>
      </c>
      <c r="Q59">
        <v>1090</v>
      </c>
      <c r="R59">
        <v>1191</v>
      </c>
      <c r="S59">
        <v>1142</v>
      </c>
      <c r="T59">
        <v>1047</v>
      </c>
      <c r="U59">
        <v>1219</v>
      </c>
      <c r="V59">
        <v>1207</v>
      </c>
      <c r="W59">
        <v>1201</v>
      </c>
      <c r="X59">
        <v>1170</v>
      </c>
      <c r="Y59">
        <v>1239</v>
      </c>
      <c r="Z59">
        <v>1234</v>
      </c>
      <c r="AA59">
        <v>1882</v>
      </c>
      <c r="AB59">
        <v>1268</v>
      </c>
      <c r="AC59">
        <v>1260</v>
      </c>
      <c r="AD59">
        <v>1267</v>
      </c>
      <c r="AE59">
        <v>1265</v>
      </c>
      <c r="AF59">
        <v>1278</v>
      </c>
      <c r="AG59">
        <v>1276</v>
      </c>
      <c r="AH59">
        <v>1351</v>
      </c>
      <c r="AI59">
        <v>1342</v>
      </c>
      <c r="AJ59">
        <v>1397</v>
      </c>
      <c r="AK59">
        <v>1503</v>
      </c>
      <c r="AL59">
        <v>1462</v>
      </c>
      <c r="AM59">
        <v>2411</v>
      </c>
      <c r="AN59">
        <v>1491</v>
      </c>
      <c r="AO59">
        <v>1490</v>
      </c>
      <c r="AP59">
        <v>1560</v>
      </c>
      <c r="AQ59">
        <v>1560</v>
      </c>
      <c r="AR59">
        <v>1584</v>
      </c>
      <c r="AS59">
        <v>1822</v>
      </c>
      <c r="AT59">
        <v>1743</v>
      </c>
      <c r="AU59">
        <v>1752</v>
      </c>
      <c r="AV59">
        <v>1774</v>
      </c>
      <c r="AW59">
        <v>1851</v>
      </c>
      <c r="AX59">
        <v>1850</v>
      </c>
      <c r="AY59">
        <v>2822</v>
      </c>
      <c r="AZ59">
        <v>1841</v>
      </c>
      <c r="BA59">
        <v>1902</v>
      </c>
      <c r="BB59">
        <v>1844</v>
      </c>
      <c r="BC59">
        <v>1897</v>
      </c>
      <c r="BD59">
        <v>1922</v>
      </c>
      <c r="BE59">
        <v>2264</v>
      </c>
      <c r="BF59">
        <v>2053</v>
      </c>
      <c r="BG59">
        <v>2015</v>
      </c>
      <c r="BH59">
        <v>2110</v>
      </c>
      <c r="BI59">
        <v>2103</v>
      </c>
      <c r="BJ59">
        <v>2173</v>
      </c>
      <c r="BK59">
        <v>3439</v>
      </c>
    </row>
    <row r="60" spans="1:63">
      <c r="A60" s="216">
        <v>43891</v>
      </c>
      <c r="B60" t="s">
        <v>42</v>
      </c>
      <c r="C60">
        <v>8</v>
      </c>
      <c r="D60" t="s">
        <v>445</v>
      </c>
      <c r="E60" s="217">
        <v>43891</v>
      </c>
      <c r="F60">
        <v>9113</v>
      </c>
      <c r="G60" s="227" t="s">
        <v>123</v>
      </c>
      <c r="O60" s="221" t="s">
        <v>445</v>
      </c>
      <c r="P60">
        <v>1096</v>
      </c>
      <c r="Q60">
        <v>1266</v>
      </c>
      <c r="R60">
        <v>1087</v>
      </c>
      <c r="S60">
        <v>1162</v>
      </c>
      <c r="T60">
        <v>901</v>
      </c>
      <c r="U60">
        <v>1219</v>
      </c>
      <c r="V60">
        <v>1242</v>
      </c>
      <c r="W60">
        <v>936</v>
      </c>
      <c r="X60">
        <v>817</v>
      </c>
      <c r="Y60">
        <v>879</v>
      </c>
      <c r="Z60">
        <v>1293</v>
      </c>
      <c r="AA60">
        <v>1049</v>
      </c>
      <c r="AB60">
        <v>1149</v>
      </c>
      <c r="AC60">
        <v>1121</v>
      </c>
      <c r="AD60">
        <v>1189</v>
      </c>
      <c r="AE60">
        <v>-226</v>
      </c>
      <c r="AF60">
        <v>703</v>
      </c>
      <c r="AG60">
        <v>1197</v>
      </c>
      <c r="AH60">
        <v>1058</v>
      </c>
      <c r="AI60">
        <v>1065</v>
      </c>
      <c r="AJ60">
        <v>1428</v>
      </c>
      <c r="AK60">
        <v>1516</v>
      </c>
      <c r="AL60">
        <v>1156</v>
      </c>
      <c r="AM60">
        <v>1677</v>
      </c>
      <c r="AN60">
        <v>899</v>
      </c>
      <c r="AO60">
        <v>854</v>
      </c>
      <c r="AP60">
        <v>975</v>
      </c>
      <c r="AQ60">
        <v>1038</v>
      </c>
      <c r="AR60">
        <v>783</v>
      </c>
      <c r="AS60">
        <v>1015</v>
      </c>
      <c r="AT60">
        <v>1194</v>
      </c>
      <c r="AU60">
        <v>1009</v>
      </c>
      <c r="AV60">
        <v>1501</v>
      </c>
      <c r="AW60">
        <v>1125</v>
      </c>
      <c r="AX60">
        <v>1339</v>
      </c>
      <c r="AY60">
        <v>1813</v>
      </c>
      <c r="AZ60">
        <v>584</v>
      </c>
      <c r="BA60">
        <v>767</v>
      </c>
      <c r="BB60">
        <v>832</v>
      </c>
      <c r="BC60">
        <v>850</v>
      </c>
      <c r="BD60">
        <v>842</v>
      </c>
      <c r="BE60">
        <v>868</v>
      </c>
      <c r="BF60">
        <v>850</v>
      </c>
      <c r="BG60">
        <v>869</v>
      </c>
      <c r="BH60">
        <v>1042</v>
      </c>
      <c r="BI60">
        <v>1930</v>
      </c>
      <c r="BJ60">
        <v>1067</v>
      </c>
      <c r="BK60">
        <v>2488</v>
      </c>
    </row>
    <row r="61" spans="1:63">
      <c r="A61" s="216">
        <v>43891</v>
      </c>
      <c r="B61" t="s">
        <v>42</v>
      </c>
      <c r="C61">
        <v>8</v>
      </c>
      <c r="D61" t="s">
        <v>445</v>
      </c>
      <c r="E61" s="217">
        <v>43891</v>
      </c>
      <c r="F61">
        <v>9320</v>
      </c>
      <c r="G61" s="227" t="s">
        <v>119</v>
      </c>
      <c r="O61" s="221" t="s">
        <v>437</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row>
    <row r="62" spans="1:63">
      <c r="A62" s="216">
        <v>43891</v>
      </c>
      <c r="B62" t="s">
        <v>42</v>
      </c>
      <c r="C62">
        <v>8</v>
      </c>
      <c r="D62" t="s">
        <v>445</v>
      </c>
      <c r="E62" s="217">
        <v>43891</v>
      </c>
      <c r="F62">
        <v>10830</v>
      </c>
      <c r="G62" s="227" t="s">
        <v>88</v>
      </c>
      <c r="O62" s="221" t="s">
        <v>441</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row>
    <row r="63" spans="1:63">
      <c r="A63" s="216">
        <v>43891</v>
      </c>
      <c r="B63" t="s">
        <v>42</v>
      </c>
      <c r="C63">
        <v>8</v>
      </c>
      <c r="D63" t="s">
        <v>445</v>
      </c>
      <c r="E63" s="217">
        <v>43891</v>
      </c>
      <c r="F63">
        <v>9527</v>
      </c>
      <c r="G63" s="227" t="s">
        <v>96</v>
      </c>
      <c r="O63" s="221" t="s">
        <v>447</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row>
    <row r="64" spans="1:63">
      <c r="A64" s="216">
        <v>43891</v>
      </c>
      <c r="B64" t="s">
        <v>42</v>
      </c>
      <c r="C64">
        <v>8</v>
      </c>
      <c r="D64" t="s">
        <v>445</v>
      </c>
      <c r="E64" s="217">
        <v>43891</v>
      </c>
      <c r="F64">
        <v>9058</v>
      </c>
      <c r="G64" s="227" t="s">
        <v>92</v>
      </c>
      <c r="O64" s="7" t="s">
        <v>46</v>
      </c>
      <c r="P64">
        <v>151111.86107333328</v>
      </c>
      <c r="Q64">
        <v>152502.67006</v>
      </c>
      <c r="R64">
        <v>145747.54486000002</v>
      </c>
      <c r="S64">
        <v>153782.45103</v>
      </c>
      <c r="T64">
        <v>151787.85814</v>
      </c>
      <c r="U64">
        <v>149293.99983000002</v>
      </c>
      <c r="V64">
        <v>157508</v>
      </c>
      <c r="W64">
        <v>155017</v>
      </c>
      <c r="X64">
        <v>162930</v>
      </c>
      <c r="Y64">
        <v>149526</v>
      </c>
      <c r="Z64">
        <v>165706</v>
      </c>
      <c r="AA64">
        <v>218375</v>
      </c>
      <c r="AB64">
        <v>154488</v>
      </c>
      <c r="AC64">
        <v>155032</v>
      </c>
      <c r="AD64">
        <v>164578</v>
      </c>
      <c r="AE64">
        <v>162238</v>
      </c>
      <c r="AF64">
        <v>165361</v>
      </c>
      <c r="AG64">
        <v>182572</v>
      </c>
      <c r="AH64">
        <v>180966</v>
      </c>
      <c r="AI64">
        <v>169224.33333333334</v>
      </c>
      <c r="AJ64">
        <v>177505</v>
      </c>
      <c r="AK64">
        <v>184134</v>
      </c>
      <c r="AL64">
        <v>178937</v>
      </c>
      <c r="AM64">
        <v>301656</v>
      </c>
      <c r="AN64">
        <v>166988</v>
      </c>
      <c r="AO64">
        <v>173927</v>
      </c>
      <c r="AP64">
        <v>175690</v>
      </c>
      <c r="AQ64">
        <v>172060.55369999999</v>
      </c>
      <c r="AR64">
        <v>179268</v>
      </c>
      <c r="AS64">
        <v>190403</v>
      </c>
      <c r="AT64">
        <v>181256</v>
      </c>
      <c r="AU64">
        <v>185132</v>
      </c>
      <c r="AV64">
        <v>196289</v>
      </c>
      <c r="AW64">
        <v>196946</v>
      </c>
      <c r="AX64">
        <v>184405</v>
      </c>
      <c r="AY64">
        <v>264094.96799999999</v>
      </c>
      <c r="AZ64">
        <v>180128</v>
      </c>
      <c r="BA64">
        <v>180347</v>
      </c>
      <c r="BB64">
        <v>180400</v>
      </c>
      <c r="BC64">
        <v>179931</v>
      </c>
      <c r="BD64">
        <v>183047</v>
      </c>
      <c r="BE64">
        <v>208132</v>
      </c>
      <c r="BF64">
        <v>192942</v>
      </c>
      <c r="BG64">
        <v>174669</v>
      </c>
      <c r="BH64">
        <v>199297</v>
      </c>
      <c r="BI64">
        <v>191426</v>
      </c>
      <c r="BJ64">
        <v>193873</v>
      </c>
      <c r="BK64">
        <v>290814</v>
      </c>
    </row>
    <row r="65" spans="1:63">
      <c r="A65" s="216">
        <v>43891</v>
      </c>
      <c r="B65" t="s">
        <v>42</v>
      </c>
      <c r="C65">
        <v>8</v>
      </c>
      <c r="D65" t="s">
        <v>445</v>
      </c>
      <c r="E65" s="217">
        <v>43891</v>
      </c>
      <c r="F65">
        <v>11548</v>
      </c>
      <c r="G65" s="227" t="s">
        <v>110</v>
      </c>
      <c r="O65" s="221" t="s">
        <v>442</v>
      </c>
      <c r="P65">
        <v>75031.162453333294</v>
      </c>
      <c r="Q65">
        <v>75643.290479999996</v>
      </c>
      <c r="R65">
        <v>71506.472450000001</v>
      </c>
      <c r="S65">
        <v>78097.099619999994</v>
      </c>
      <c r="T65">
        <v>75648.67916</v>
      </c>
      <c r="U65">
        <v>74576.27923</v>
      </c>
      <c r="V65">
        <v>79532</v>
      </c>
      <c r="W65">
        <v>76852</v>
      </c>
      <c r="X65">
        <v>85903</v>
      </c>
      <c r="Y65">
        <v>70393</v>
      </c>
      <c r="Z65">
        <v>82722</v>
      </c>
      <c r="AA65">
        <v>110823</v>
      </c>
      <c r="AB65">
        <v>74981</v>
      </c>
      <c r="AC65">
        <v>74234</v>
      </c>
      <c r="AD65">
        <v>80394</v>
      </c>
      <c r="AE65">
        <v>80641</v>
      </c>
      <c r="AF65">
        <v>82141</v>
      </c>
      <c r="AG65">
        <v>101856</v>
      </c>
      <c r="AH65">
        <v>91283</v>
      </c>
      <c r="AI65">
        <v>84586</v>
      </c>
      <c r="AJ65">
        <v>88708</v>
      </c>
      <c r="AK65">
        <v>92163</v>
      </c>
      <c r="AL65">
        <v>89517</v>
      </c>
      <c r="AM65">
        <v>150664</v>
      </c>
      <c r="AN65">
        <v>82184</v>
      </c>
      <c r="AO65">
        <v>88374</v>
      </c>
      <c r="AP65">
        <v>88129</v>
      </c>
      <c r="AQ65">
        <v>84819.553700000004</v>
      </c>
      <c r="AR65">
        <v>90071</v>
      </c>
      <c r="AS65">
        <v>95381</v>
      </c>
      <c r="AT65">
        <v>90413</v>
      </c>
      <c r="AU65">
        <v>92890</v>
      </c>
      <c r="AV65">
        <v>102642</v>
      </c>
      <c r="AW65">
        <v>99280</v>
      </c>
      <c r="AX65">
        <v>92935</v>
      </c>
      <c r="AY65">
        <v>132993.484</v>
      </c>
      <c r="AZ65">
        <v>89041</v>
      </c>
      <c r="BA65">
        <v>89467</v>
      </c>
      <c r="BB65">
        <v>89976</v>
      </c>
      <c r="BC65">
        <v>89042</v>
      </c>
      <c r="BD65">
        <v>89698</v>
      </c>
      <c r="BE65">
        <v>102375</v>
      </c>
      <c r="BF65">
        <v>97874</v>
      </c>
      <c r="BG65">
        <v>87940</v>
      </c>
      <c r="BH65">
        <v>97175</v>
      </c>
      <c r="BI65">
        <v>93951</v>
      </c>
      <c r="BJ65">
        <v>95006</v>
      </c>
      <c r="BK65">
        <v>148048</v>
      </c>
    </row>
    <row r="66" spans="1:63">
      <c r="A66" s="216">
        <v>43891</v>
      </c>
      <c r="B66" t="s">
        <v>42</v>
      </c>
      <c r="C66">
        <v>8</v>
      </c>
      <c r="D66" t="s">
        <v>445</v>
      </c>
      <c r="E66" s="217">
        <v>43891</v>
      </c>
      <c r="F66">
        <v>109347</v>
      </c>
      <c r="G66" s="227" t="s">
        <v>434</v>
      </c>
      <c r="O66" s="221" t="s">
        <v>450</v>
      </c>
      <c r="P66">
        <v>5684.9364999999998</v>
      </c>
      <c r="Q66">
        <v>5708.0635000000002</v>
      </c>
      <c r="R66">
        <v>5629.8719099999998</v>
      </c>
      <c r="S66">
        <v>5684.9638500000001</v>
      </c>
      <c r="T66">
        <v>6044.2468099999996</v>
      </c>
      <c r="U66">
        <v>5716.1748399999997</v>
      </c>
      <c r="V66">
        <v>7143</v>
      </c>
      <c r="W66">
        <v>6136</v>
      </c>
      <c r="X66">
        <v>6113</v>
      </c>
      <c r="Y66">
        <v>6406</v>
      </c>
      <c r="Z66">
        <v>5753</v>
      </c>
      <c r="AA66">
        <v>6671</v>
      </c>
      <c r="AB66">
        <v>6368</v>
      </c>
      <c r="AC66">
        <v>6418</v>
      </c>
      <c r="AD66">
        <v>6668</v>
      </c>
      <c r="AE66">
        <v>6535</v>
      </c>
      <c r="AF66">
        <v>5917</v>
      </c>
      <c r="AG66">
        <v>6585</v>
      </c>
      <c r="AH66">
        <v>6992</v>
      </c>
      <c r="AI66">
        <v>6423</v>
      </c>
      <c r="AJ66">
        <v>7176</v>
      </c>
      <c r="AK66">
        <v>6574</v>
      </c>
      <c r="AL66">
        <v>6048</v>
      </c>
      <c r="AM66">
        <v>8945</v>
      </c>
      <c r="AN66">
        <v>6561</v>
      </c>
      <c r="AO66">
        <v>6172</v>
      </c>
      <c r="AP66">
        <v>7006</v>
      </c>
      <c r="AQ66">
        <v>6938</v>
      </c>
      <c r="AR66">
        <v>6473</v>
      </c>
      <c r="AS66">
        <v>6829</v>
      </c>
      <c r="AT66">
        <v>7030</v>
      </c>
      <c r="AU66">
        <v>6850</v>
      </c>
      <c r="AV66">
        <v>6859</v>
      </c>
      <c r="AW66">
        <v>6276</v>
      </c>
      <c r="AX66">
        <v>6078</v>
      </c>
      <c r="AY66">
        <v>6644</v>
      </c>
      <c r="AZ66">
        <v>6936</v>
      </c>
      <c r="BA66">
        <v>6744</v>
      </c>
      <c r="BB66">
        <v>6589</v>
      </c>
      <c r="BC66">
        <v>6792</v>
      </c>
      <c r="BD66">
        <v>7376</v>
      </c>
      <c r="BE66">
        <v>7728</v>
      </c>
      <c r="BF66">
        <v>7176</v>
      </c>
      <c r="BG66">
        <v>7530</v>
      </c>
      <c r="BH66">
        <v>8445</v>
      </c>
      <c r="BI66">
        <v>7461</v>
      </c>
      <c r="BJ66">
        <v>6790</v>
      </c>
      <c r="BK66">
        <v>8032</v>
      </c>
    </row>
    <row r="67" spans="1:63">
      <c r="A67" s="216">
        <v>43891</v>
      </c>
      <c r="B67" t="s">
        <v>42</v>
      </c>
      <c r="C67">
        <v>9</v>
      </c>
      <c r="D67" t="s">
        <v>454</v>
      </c>
      <c r="E67" s="217">
        <v>43891</v>
      </c>
      <c r="F67">
        <v>3939</v>
      </c>
      <c r="G67" s="227" t="s">
        <v>70</v>
      </c>
      <c r="O67" s="221" t="s">
        <v>451</v>
      </c>
      <c r="P67">
        <v>9943.8469600000008</v>
      </c>
      <c r="Q67">
        <v>9937.1530399999992</v>
      </c>
      <c r="R67">
        <v>10134.74107</v>
      </c>
      <c r="S67">
        <v>9889.9639599999991</v>
      </c>
      <c r="T67">
        <v>10095.69464</v>
      </c>
      <c r="U67">
        <v>9884.3479999999909</v>
      </c>
      <c r="V67">
        <v>8924</v>
      </c>
      <c r="W67">
        <v>9962</v>
      </c>
      <c r="X67">
        <v>10227</v>
      </c>
      <c r="Y67">
        <v>9734</v>
      </c>
      <c r="Z67">
        <v>10859</v>
      </c>
      <c r="AA67">
        <v>14205</v>
      </c>
      <c r="AB67">
        <v>10051</v>
      </c>
      <c r="AC67">
        <v>9679</v>
      </c>
      <c r="AD67">
        <v>10102</v>
      </c>
      <c r="AE67">
        <v>10268</v>
      </c>
      <c r="AF67">
        <v>9908</v>
      </c>
      <c r="AG67">
        <v>9606</v>
      </c>
      <c r="AH67">
        <v>9585</v>
      </c>
      <c r="AI67">
        <v>10148</v>
      </c>
      <c r="AJ67">
        <v>9878</v>
      </c>
      <c r="AK67">
        <v>10822</v>
      </c>
      <c r="AL67">
        <v>11774</v>
      </c>
      <c r="AM67">
        <v>12222</v>
      </c>
      <c r="AN67">
        <v>10362</v>
      </c>
      <c r="AO67">
        <v>10752</v>
      </c>
      <c r="AP67">
        <v>11453</v>
      </c>
      <c r="AQ67">
        <v>10428</v>
      </c>
      <c r="AR67">
        <v>10415</v>
      </c>
      <c r="AS67">
        <v>10416</v>
      </c>
      <c r="AT67">
        <v>9360</v>
      </c>
      <c r="AU67">
        <v>10036</v>
      </c>
      <c r="AV67">
        <v>12087</v>
      </c>
      <c r="AW67">
        <v>9698</v>
      </c>
      <c r="AX67">
        <v>9487</v>
      </c>
      <c r="AY67">
        <v>14506</v>
      </c>
      <c r="AZ67">
        <v>10710</v>
      </c>
      <c r="BA67">
        <v>10285</v>
      </c>
      <c r="BB67">
        <v>10294</v>
      </c>
      <c r="BC67">
        <v>10225</v>
      </c>
      <c r="BD67">
        <v>10156</v>
      </c>
      <c r="BE67">
        <v>11058</v>
      </c>
      <c r="BF67">
        <v>10916</v>
      </c>
      <c r="BG67">
        <v>10404</v>
      </c>
      <c r="BH67">
        <v>17078</v>
      </c>
      <c r="BI67">
        <v>11553</v>
      </c>
      <c r="BJ67">
        <v>11083</v>
      </c>
      <c r="BK67">
        <v>13213</v>
      </c>
    </row>
    <row r="68" spans="1:63">
      <c r="A68" s="216">
        <v>43891</v>
      </c>
      <c r="B68" t="s">
        <v>42</v>
      </c>
      <c r="C68">
        <v>9</v>
      </c>
      <c r="D68" t="s">
        <v>454</v>
      </c>
      <c r="E68" s="217">
        <v>43891</v>
      </c>
      <c r="F68">
        <v>4075</v>
      </c>
      <c r="G68" s="227" t="s">
        <v>114</v>
      </c>
      <c r="O68" s="221" t="s">
        <v>454</v>
      </c>
      <c r="P68">
        <v>3579.1733599999998</v>
      </c>
      <c r="Q68">
        <v>3380.8266400000002</v>
      </c>
      <c r="R68">
        <v>3340.87354</v>
      </c>
      <c r="S68">
        <v>3429.1384600000001</v>
      </c>
      <c r="T68">
        <v>3960.1163900000001</v>
      </c>
      <c r="U68">
        <v>3313.8983499999999</v>
      </c>
      <c r="V68">
        <v>3606</v>
      </c>
      <c r="W68">
        <v>3461</v>
      </c>
      <c r="X68">
        <v>3856</v>
      </c>
      <c r="Y68">
        <v>4009</v>
      </c>
      <c r="Z68">
        <v>3222</v>
      </c>
      <c r="AA68">
        <v>4600</v>
      </c>
      <c r="AB68">
        <v>3199</v>
      </c>
      <c r="AC68">
        <v>2883</v>
      </c>
      <c r="AD68">
        <v>3387</v>
      </c>
      <c r="AE68">
        <v>3803</v>
      </c>
      <c r="AF68">
        <v>3312</v>
      </c>
      <c r="AG68">
        <v>3853</v>
      </c>
      <c r="AH68">
        <v>3665</v>
      </c>
      <c r="AI68">
        <v>3911</v>
      </c>
      <c r="AJ68">
        <v>3831</v>
      </c>
      <c r="AK68">
        <v>3904</v>
      </c>
      <c r="AL68">
        <v>3463</v>
      </c>
      <c r="AM68">
        <v>3935</v>
      </c>
      <c r="AN68">
        <v>3932</v>
      </c>
      <c r="AO68">
        <v>4192</v>
      </c>
      <c r="AP68">
        <v>3623</v>
      </c>
      <c r="AQ68">
        <v>4149</v>
      </c>
      <c r="AR68">
        <v>3877</v>
      </c>
      <c r="AS68">
        <v>4319</v>
      </c>
      <c r="AT68">
        <v>4185</v>
      </c>
      <c r="AU68">
        <v>4550</v>
      </c>
      <c r="AV68">
        <v>4491</v>
      </c>
      <c r="AW68">
        <v>4283</v>
      </c>
      <c r="AX68">
        <v>3935</v>
      </c>
      <c r="AY68">
        <v>4568</v>
      </c>
      <c r="AZ68">
        <v>3976</v>
      </c>
      <c r="BA68">
        <v>4604</v>
      </c>
      <c r="BB68">
        <v>4229</v>
      </c>
      <c r="BC68">
        <v>4024</v>
      </c>
      <c r="BD68">
        <v>4674</v>
      </c>
      <c r="BE68">
        <v>4961</v>
      </c>
      <c r="BF68">
        <v>5231.5</v>
      </c>
      <c r="BG68">
        <v>5313</v>
      </c>
      <c r="BH68">
        <v>3375</v>
      </c>
      <c r="BI68">
        <v>5137</v>
      </c>
      <c r="BJ68">
        <v>4560</v>
      </c>
      <c r="BK68">
        <v>4861</v>
      </c>
    </row>
    <row r="69" spans="1:63">
      <c r="A69" s="216">
        <v>43891</v>
      </c>
      <c r="B69" t="s">
        <v>42</v>
      </c>
      <c r="C69">
        <v>9</v>
      </c>
      <c r="D69" t="s">
        <v>454</v>
      </c>
      <c r="E69" s="217">
        <v>43891</v>
      </c>
      <c r="F69">
        <v>3952</v>
      </c>
      <c r="G69" s="227" t="s">
        <v>105</v>
      </c>
      <c r="O69" s="221" t="s">
        <v>433</v>
      </c>
      <c r="P69">
        <v>35605.365539999999</v>
      </c>
      <c r="Q69">
        <v>34579</v>
      </c>
      <c r="R69">
        <v>34024.898699999998</v>
      </c>
      <c r="S69">
        <v>34108.992899999997</v>
      </c>
      <c r="T69">
        <v>34464.784509999998</v>
      </c>
      <c r="U69">
        <v>34553</v>
      </c>
      <c r="V69">
        <v>35827</v>
      </c>
      <c r="W69">
        <v>35093</v>
      </c>
      <c r="X69">
        <v>34770</v>
      </c>
      <c r="Y69">
        <v>35027</v>
      </c>
      <c r="Z69">
        <v>36095</v>
      </c>
      <c r="AA69">
        <v>54542</v>
      </c>
      <c r="AB69">
        <v>36319</v>
      </c>
      <c r="AC69">
        <v>38066</v>
      </c>
      <c r="AD69">
        <v>37790</v>
      </c>
      <c r="AE69">
        <v>36664</v>
      </c>
      <c r="AF69">
        <v>37343</v>
      </c>
      <c r="AG69">
        <v>36446</v>
      </c>
      <c r="AH69">
        <v>39264</v>
      </c>
      <c r="AI69">
        <v>38451</v>
      </c>
      <c r="AJ69">
        <v>38158</v>
      </c>
      <c r="AK69">
        <v>39298</v>
      </c>
      <c r="AL69">
        <v>39524</v>
      </c>
      <c r="AM69">
        <v>85151</v>
      </c>
      <c r="AN69">
        <v>39404</v>
      </c>
      <c r="AO69">
        <v>40234</v>
      </c>
      <c r="AP69">
        <v>39868</v>
      </c>
      <c r="AQ69">
        <v>40045</v>
      </c>
      <c r="AR69">
        <v>42506</v>
      </c>
      <c r="AS69">
        <v>46350</v>
      </c>
      <c r="AT69">
        <v>42567</v>
      </c>
      <c r="AU69">
        <v>43570</v>
      </c>
      <c r="AV69">
        <v>42682</v>
      </c>
      <c r="AW69">
        <v>44191</v>
      </c>
      <c r="AX69">
        <v>43561</v>
      </c>
      <c r="AY69">
        <v>66810.483999999997</v>
      </c>
      <c r="AZ69">
        <v>42671</v>
      </c>
      <c r="BA69">
        <v>42155</v>
      </c>
      <c r="BB69">
        <v>42827</v>
      </c>
      <c r="BC69">
        <v>42851</v>
      </c>
      <c r="BD69">
        <v>42439</v>
      </c>
      <c r="BE69">
        <v>53901</v>
      </c>
      <c r="BF69">
        <v>45345</v>
      </c>
      <c r="BG69">
        <v>37592</v>
      </c>
      <c r="BH69">
        <v>45347</v>
      </c>
      <c r="BI69">
        <v>45838</v>
      </c>
      <c r="BJ69">
        <v>46081</v>
      </c>
      <c r="BK69">
        <v>80561</v>
      </c>
    </row>
    <row r="70" spans="1:63">
      <c r="A70" s="216">
        <v>43891</v>
      </c>
      <c r="B70" t="s">
        <v>42</v>
      </c>
      <c r="C70">
        <v>9</v>
      </c>
      <c r="D70" t="s">
        <v>454</v>
      </c>
      <c r="E70" s="217">
        <v>43891</v>
      </c>
      <c r="F70">
        <v>4045</v>
      </c>
      <c r="G70" s="227" t="s">
        <v>100</v>
      </c>
      <c r="O70" s="221" t="s">
        <v>445</v>
      </c>
      <c r="P70">
        <v>5865.7126600000001</v>
      </c>
      <c r="Q70">
        <v>6605</v>
      </c>
      <c r="R70">
        <v>5449.0097599999999</v>
      </c>
      <c r="S70">
        <v>7001.8401000000003</v>
      </c>
      <c r="T70">
        <v>5841.2601299999997</v>
      </c>
      <c r="U70">
        <v>4829.9059200000002</v>
      </c>
      <c r="V70">
        <v>6678</v>
      </c>
      <c r="W70">
        <v>6750</v>
      </c>
      <c r="X70">
        <v>6274</v>
      </c>
      <c r="Y70">
        <v>7272</v>
      </c>
      <c r="Z70">
        <v>10262</v>
      </c>
      <c r="AA70">
        <v>13215</v>
      </c>
      <c r="AB70">
        <v>6400</v>
      </c>
      <c r="AC70">
        <v>6445</v>
      </c>
      <c r="AD70">
        <v>9645</v>
      </c>
      <c r="AE70">
        <v>6994</v>
      </c>
      <c r="AF70">
        <v>9824</v>
      </c>
      <c r="AG70">
        <v>7540</v>
      </c>
      <c r="AH70">
        <v>8840</v>
      </c>
      <c r="AI70">
        <v>8820.5</v>
      </c>
      <c r="AJ70">
        <v>11702</v>
      </c>
      <c r="AK70">
        <v>12931</v>
      </c>
      <c r="AL70">
        <v>11042</v>
      </c>
      <c r="AM70">
        <v>23460</v>
      </c>
      <c r="AN70">
        <v>6856</v>
      </c>
      <c r="AO70">
        <v>6318</v>
      </c>
      <c r="AP70">
        <v>7132</v>
      </c>
      <c r="AQ70">
        <v>7411</v>
      </c>
      <c r="AR70">
        <v>8071</v>
      </c>
      <c r="AS70">
        <v>8381</v>
      </c>
      <c r="AT70">
        <v>9189</v>
      </c>
      <c r="AU70">
        <v>8799</v>
      </c>
      <c r="AV70">
        <v>9309</v>
      </c>
      <c r="AW70">
        <v>13318</v>
      </c>
      <c r="AX70">
        <v>10681</v>
      </c>
      <c r="AY70">
        <v>20469</v>
      </c>
      <c r="AZ70">
        <v>8474</v>
      </c>
      <c r="BA70">
        <v>8532</v>
      </c>
      <c r="BB70">
        <v>7264</v>
      </c>
      <c r="BC70">
        <v>7806</v>
      </c>
      <c r="BD70">
        <v>8797</v>
      </c>
      <c r="BE70">
        <v>8974</v>
      </c>
      <c r="BF70">
        <v>7476.5</v>
      </c>
      <c r="BG70">
        <v>7124</v>
      </c>
      <c r="BH70">
        <v>9048</v>
      </c>
      <c r="BI70">
        <v>6977</v>
      </c>
      <c r="BJ70">
        <v>8375</v>
      </c>
      <c r="BK70">
        <v>16499</v>
      </c>
    </row>
    <row r="71" spans="1:63">
      <c r="A71" s="216">
        <v>43891</v>
      </c>
      <c r="B71" t="s">
        <v>42</v>
      </c>
      <c r="C71">
        <v>9</v>
      </c>
      <c r="D71" t="s">
        <v>454</v>
      </c>
      <c r="E71" s="217">
        <v>43891</v>
      </c>
      <c r="F71">
        <v>3931</v>
      </c>
      <c r="G71" s="227" t="s">
        <v>83</v>
      </c>
      <c r="O71" s="221" t="s">
        <v>437</v>
      </c>
      <c r="P71">
        <v>3990.0889999999999</v>
      </c>
      <c r="Q71">
        <v>4000.9110000000001</v>
      </c>
      <c r="R71">
        <v>3958.9671899999998</v>
      </c>
      <c r="S71">
        <v>4085.6318200000001</v>
      </c>
      <c r="T71">
        <v>4149.4600399999999</v>
      </c>
      <c r="U71">
        <v>4068.6592700000001</v>
      </c>
      <c r="V71">
        <v>4106</v>
      </c>
      <c r="W71">
        <v>3992</v>
      </c>
      <c r="X71">
        <v>4161</v>
      </c>
      <c r="Y71">
        <v>4070</v>
      </c>
      <c r="Z71">
        <v>4793</v>
      </c>
      <c r="AA71">
        <v>4014</v>
      </c>
      <c r="AB71">
        <v>4729</v>
      </c>
      <c r="AC71">
        <v>4432</v>
      </c>
      <c r="AD71">
        <v>4255</v>
      </c>
      <c r="AE71">
        <v>4330</v>
      </c>
      <c r="AF71">
        <v>4120</v>
      </c>
      <c r="AG71">
        <v>4110</v>
      </c>
      <c r="AH71">
        <v>6377</v>
      </c>
      <c r="AI71">
        <v>4173</v>
      </c>
      <c r="AJ71">
        <v>4498</v>
      </c>
      <c r="AK71">
        <v>4378</v>
      </c>
      <c r="AL71">
        <v>4470</v>
      </c>
      <c r="AM71">
        <v>4255</v>
      </c>
      <c r="AN71">
        <v>4117</v>
      </c>
      <c r="AO71">
        <v>4310</v>
      </c>
      <c r="AP71">
        <v>4754</v>
      </c>
      <c r="AQ71">
        <v>4348</v>
      </c>
      <c r="AR71">
        <v>4168</v>
      </c>
      <c r="AS71">
        <v>4945</v>
      </c>
      <c r="AT71">
        <v>4432</v>
      </c>
      <c r="AU71">
        <v>4303</v>
      </c>
      <c r="AV71">
        <v>4451</v>
      </c>
      <c r="AW71">
        <v>4641</v>
      </c>
      <c r="AX71">
        <v>4144</v>
      </c>
      <c r="AY71">
        <v>3002</v>
      </c>
      <c r="AZ71">
        <v>4182</v>
      </c>
      <c r="BA71">
        <v>4327</v>
      </c>
      <c r="BB71">
        <v>4186</v>
      </c>
      <c r="BC71">
        <v>4227</v>
      </c>
      <c r="BD71">
        <v>5493</v>
      </c>
      <c r="BE71">
        <v>4518</v>
      </c>
      <c r="BF71">
        <v>4566</v>
      </c>
      <c r="BG71">
        <v>4292</v>
      </c>
      <c r="BH71">
        <v>4130</v>
      </c>
      <c r="BI71">
        <v>4430</v>
      </c>
      <c r="BJ71">
        <v>4288</v>
      </c>
      <c r="BK71">
        <v>4558</v>
      </c>
    </row>
    <row r="72" spans="1:63">
      <c r="A72" s="216">
        <v>43891</v>
      </c>
      <c r="B72" t="s">
        <v>42</v>
      </c>
      <c r="C72">
        <v>9</v>
      </c>
      <c r="D72" t="s">
        <v>454</v>
      </c>
      <c r="E72" s="217">
        <v>43891</v>
      </c>
      <c r="F72">
        <v>3901</v>
      </c>
      <c r="G72" s="227" t="s">
        <v>127</v>
      </c>
      <c r="O72" s="221" t="s">
        <v>441</v>
      </c>
      <c r="P72">
        <v>11401.5746</v>
      </c>
      <c r="Q72">
        <v>12643.4254</v>
      </c>
      <c r="R72">
        <v>11695.21024</v>
      </c>
      <c r="S72">
        <v>11484.97782</v>
      </c>
      <c r="T72">
        <v>11583.616459999999</v>
      </c>
      <c r="U72">
        <v>12333.440329999999</v>
      </c>
      <c r="V72">
        <v>11685</v>
      </c>
      <c r="W72">
        <v>12771</v>
      </c>
      <c r="X72">
        <v>11612</v>
      </c>
      <c r="Y72">
        <v>12604</v>
      </c>
      <c r="Z72">
        <v>11990</v>
      </c>
      <c r="AA72">
        <v>10292</v>
      </c>
      <c r="AB72">
        <v>12433</v>
      </c>
      <c r="AC72">
        <v>12867</v>
      </c>
      <c r="AD72">
        <v>12329</v>
      </c>
      <c r="AE72">
        <v>12995</v>
      </c>
      <c r="AF72">
        <v>12788</v>
      </c>
      <c r="AG72">
        <v>12575</v>
      </c>
      <c r="AH72">
        <v>14952</v>
      </c>
      <c r="AI72">
        <v>12705</v>
      </c>
      <c r="AJ72">
        <v>13546</v>
      </c>
      <c r="AK72">
        <v>14064</v>
      </c>
      <c r="AL72">
        <v>13099</v>
      </c>
      <c r="AM72">
        <v>13024</v>
      </c>
      <c r="AN72">
        <v>13572</v>
      </c>
      <c r="AO72">
        <v>13575</v>
      </c>
      <c r="AP72">
        <v>13725</v>
      </c>
      <c r="AQ72">
        <v>13922</v>
      </c>
      <c r="AR72">
        <v>13687</v>
      </c>
      <c r="AS72">
        <v>13782</v>
      </c>
      <c r="AT72">
        <v>14080</v>
      </c>
      <c r="AU72">
        <v>14134</v>
      </c>
      <c r="AV72">
        <v>13768</v>
      </c>
      <c r="AW72">
        <v>15259</v>
      </c>
      <c r="AX72">
        <v>13584</v>
      </c>
      <c r="AY72">
        <v>15102</v>
      </c>
      <c r="AZ72">
        <v>14138</v>
      </c>
      <c r="BA72">
        <v>14233</v>
      </c>
      <c r="BB72">
        <v>15035</v>
      </c>
      <c r="BC72">
        <v>14964</v>
      </c>
      <c r="BD72">
        <v>14414</v>
      </c>
      <c r="BE72">
        <v>14617</v>
      </c>
      <c r="BF72">
        <v>14357</v>
      </c>
      <c r="BG72">
        <v>14474</v>
      </c>
      <c r="BH72">
        <v>14699</v>
      </c>
      <c r="BI72">
        <v>16079</v>
      </c>
      <c r="BJ72">
        <v>17690</v>
      </c>
      <c r="BK72">
        <v>15042</v>
      </c>
    </row>
    <row r="73" spans="1:63">
      <c r="A73" s="216">
        <v>43891</v>
      </c>
      <c r="B73" t="s">
        <v>42</v>
      </c>
      <c r="C73">
        <v>9</v>
      </c>
      <c r="D73" t="s">
        <v>454</v>
      </c>
      <c r="E73" s="217">
        <v>43891</v>
      </c>
      <c r="F73">
        <v>4727</v>
      </c>
      <c r="G73" s="227" t="s">
        <v>123</v>
      </c>
      <c r="O73" s="221" t="s">
        <v>447</v>
      </c>
      <c r="P73">
        <v>10</v>
      </c>
      <c r="Q73">
        <v>5</v>
      </c>
      <c r="R73">
        <v>7.5</v>
      </c>
      <c r="S73">
        <v>-0.157499999999999</v>
      </c>
      <c r="T73">
        <v>0</v>
      </c>
      <c r="U73">
        <v>18.293890000000001</v>
      </c>
      <c r="V73">
        <v>7</v>
      </c>
      <c r="W73">
        <v>0</v>
      </c>
      <c r="X73">
        <v>14</v>
      </c>
      <c r="Y73">
        <v>11</v>
      </c>
      <c r="Z73">
        <v>10</v>
      </c>
      <c r="AA73">
        <v>13</v>
      </c>
      <c r="AB73">
        <v>8</v>
      </c>
      <c r="AC73">
        <v>8</v>
      </c>
      <c r="AD73">
        <v>8</v>
      </c>
      <c r="AE73">
        <v>8</v>
      </c>
      <c r="AF73">
        <v>8</v>
      </c>
      <c r="AG73">
        <v>1</v>
      </c>
      <c r="AH73">
        <v>8</v>
      </c>
      <c r="AI73">
        <v>6.8333333333333304</v>
      </c>
      <c r="AJ73">
        <v>8</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row>
    <row r="74" spans="1:63">
      <c r="A74" s="216">
        <v>43891</v>
      </c>
      <c r="B74" t="s">
        <v>42</v>
      </c>
      <c r="C74">
        <v>9</v>
      </c>
      <c r="D74" t="s">
        <v>454</v>
      </c>
      <c r="E74" s="217">
        <v>43891</v>
      </c>
      <c r="F74">
        <v>4325</v>
      </c>
      <c r="G74" s="227" t="s">
        <v>119</v>
      </c>
      <c r="O74" s="7" t="s">
        <v>1168</v>
      </c>
      <c r="P74">
        <v>5823</v>
      </c>
      <c r="Q74">
        <v>5650</v>
      </c>
      <c r="R74">
        <v>5547</v>
      </c>
      <c r="S74">
        <v>6004</v>
      </c>
      <c r="T74">
        <v>6128</v>
      </c>
      <c r="U74">
        <v>6072</v>
      </c>
      <c r="V74">
        <v>6504</v>
      </c>
      <c r="W74">
        <v>6407</v>
      </c>
      <c r="X74">
        <v>6474</v>
      </c>
      <c r="Y74">
        <v>6803</v>
      </c>
      <c r="Z74">
        <v>8205</v>
      </c>
      <c r="AA74">
        <v>13712</v>
      </c>
      <c r="AB74">
        <v>15805</v>
      </c>
      <c r="AC74">
        <v>13048</v>
      </c>
      <c r="AD74">
        <v>13423</v>
      </c>
      <c r="AE74">
        <v>13361</v>
      </c>
      <c r="AF74">
        <v>13789</v>
      </c>
      <c r="AG74">
        <v>18049</v>
      </c>
      <c r="AH74">
        <v>15395</v>
      </c>
      <c r="AI74">
        <v>14572</v>
      </c>
      <c r="AJ74">
        <v>14290</v>
      </c>
      <c r="AK74">
        <v>14607</v>
      </c>
      <c r="AL74">
        <v>14831</v>
      </c>
      <c r="AM74">
        <v>37549</v>
      </c>
    </row>
    <row r="75" spans="1:63">
      <c r="A75" s="216">
        <v>43891</v>
      </c>
      <c r="B75" t="s">
        <v>42</v>
      </c>
      <c r="C75">
        <v>9</v>
      </c>
      <c r="D75" t="s">
        <v>454</v>
      </c>
      <c r="E75" s="217">
        <v>43891</v>
      </c>
      <c r="F75">
        <v>4450</v>
      </c>
      <c r="G75" s="227" t="s">
        <v>88</v>
      </c>
      <c r="O75" s="221" t="s">
        <v>442</v>
      </c>
      <c r="P75">
        <v>5823</v>
      </c>
      <c r="Q75">
        <v>5650</v>
      </c>
      <c r="R75">
        <v>5547</v>
      </c>
      <c r="S75">
        <v>6004</v>
      </c>
      <c r="T75">
        <v>6128</v>
      </c>
      <c r="U75">
        <v>6072</v>
      </c>
      <c r="V75">
        <v>6504</v>
      </c>
      <c r="W75">
        <v>6407</v>
      </c>
      <c r="X75">
        <v>6474</v>
      </c>
      <c r="Y75">
        <v>6803</v>
      </c>
      <c r="Z75">
        <v>8205</v>
      </c>
      <c r="AA75">
        <v>13712</v>
      </c>
      <c r="AB75">
        <v>8321</v>
      </c>
      <c r="AC75">
        <v>6933</v>
      </c>
      <c r="AD75">
        <v>7115</v>
      </c>
      <c r="AE75">
        <v>7078</v>
      </c>
      <c r="AF75">
        <v>7257</v>
      </c>
      <c r="AG75">
        <v>9309</v>
      </c>
      <c r="AH75">
        <v>8048</v>
      </c>
      <c r="AI75">
        <v>7617</v>
      </c>
      <c r="AJ75">
        <v>7519</v>
      </c>
      <c r="AK75">
        <v>7632</v>
      </c>
      <c r="AL75">
        <v>7852</v>
      </c>
      <c r="AM75">
        <v>18940</v>
      </c>
    </row>
    <row r="76" spans="1:63">
      <c r="A76" s="216">
        <v>43891</v>
      </c>
      <c r="B76" t="s">
        <v>42</v>
      </c>
      <c r="C76">
        <v>9</v>
      </c>
      <c r="D76" t="s">
        <v>454</v>
      </c>
      <c r="E76" s="217">
        <v>43891</v>
      </c>
      <c r="F76">
        <v>4620</v>
      </c>
      <c r="G76" s="227" t="s">
        <v>96</v>
      </c>
      <c r="O76" s="221" t="s">
        <v>450</v>
      </c>
      <c r="AB76">
        <v>0</v>
      </c>
      <c r="AC76">
        <v>0</v>
      </c>
      <c r="AD76">
        <v>0</v>
      </c>
      <c r="AE76">
        <v>0</v>
      </c>
      <c r="AF76">
        <v>0</v>
      </c>
      <c r="AG76">
        <v>0</v>
      </c>
      <c r="AH76">
        <v>0</v>
      </c>
      <c r="AI76">
        <v>0</v>
      </c>
      <c r="AJ76">
        <v>0</v>
      </c>
      <c r="AK76">
        <v>0</v>
      </c>
      <c r="AL76">
        <v>0</v>
      </c>
      <c r="AM76">
        <v>0</v>
      </c>
    </row>
    <row r="77" spans="1:63">
      <c r="A77" s="216">
        <v>43891</v>
      </c>
      <c r="B77" t="s">
        <v>42</v>
      </c>
      <c r="C77">
        <v>9</v>
      </c>
      <c r="D77" t="s">
        <v>454</v>
      </c>
      <c r="E77" s="217">
        <v>43891</v>
      </c>
      <c r="F77">
        <v>3954</v>
      </c>
      <c r="G77" s="227" t="s">
        <v>92</v>
      </c>
      <c r="O77" s="221" t="s">
        <v>451</v>
      </c>
      <c r="AB77">
        <v>0</v>
      </c>
      <c r="AC77">
        <v>0</v>
      </c>
      <c r="AD77">
        <v>0</v>
      </c>
      <c r="AE77">
        <v>0</v>
      </c>
      <c r="AF77">
        <v>0</v>
      </c>
      <c r="AG77">
        <v>0</v>
      </c>
      <c r="AH77">
        <v>0</v>
      </c>
      <c r="AI77">
        <v>0</v>
      </c>
      <c r="AJ77">
        <v>0</v>
      </c>
      <c r="AK77">
        <v>0</v>
      </c>
      <c r="AL77">
        <v>0</v>
      </c>
      <c r="AM77">
        <v>0</v>
      </c>
    </row>
    <row r="78" spans="1:63">
      <c r="A78" s="216">
        <v>43891</v>
      </c>
      <c r="B78" t="s">
        <v>42</v>
      </c>
      <c r="C78">
        <v>9</v>
      </c>
      <c r="D78" t="s">
        <v>454</v>
      </c>
      <c r="E78" s="217">
        <v>43891</v>
      </c>
      <c r="F78">
        <v>4189</v>
      </c>
      <c r="G78" s="227" t="s">
        <v>110</v>
      </c>
      <c r="O78" s="221" t="s">
        <v>454</v>
      </c>
      <c r="AB78">
        <v>0</v>
      </c>
      <c r="AC78">
        <v>0</v>
      </c>
      <c r="AD78">
        <v>0</v>
      </c>
      <c r="AE78">
        <v>0</v>
      </c>
      <c r="AF78">
        <v>0</v>
      </c>
      <c r="AG78">
        <v>0</v>
      </c>
      <c r="AH78">
        <v>0</v>
      </c>
      <c r="AI78">
        <v>0</v>
      </c>
      <c r="AJ78">
        <v>0</v>
      </c>
      <c r="AK78">
        <v>0</v>
      </c>
      <c r="AL78">
        <v>0</v>
      </c>
      <c r="AM78">
        <v>0</v>
      </c>
    </row>
    <row r="79" spans="1:63">
      <c r="A79" s="216">
        <v>43891</v>
      </c>
      <c r="B79" t="s">
        <v>42</v>
      </c>
      <c r="C79">
        <v>9</v>
      </c>
      <c r="D79" t="s">
        <v>454</v>
      </c>
      <c r="E79" s="217">
        <v>43891</v>
      </c>
      <c r="F79">
        <v>50108</v>
      </c>
      <c r="G79" s="227" t="s">
        <v>434</v>
      </c>
      <c r="O79" s="221" t="s">
        <v>433</v>
      </c>
      <c r="AB79">
        <v>2829</v>
      </c>
      <c r="AC79">
        <v>2843</v>
      </c>
      <c r="AD79">
        <v>2826</v>
      </c>
      <c r="AE79">
        <v>2907</v>
      </c>
      <c r="AF79">
        <v>2883</v>
      </c>
      <c r="AG79">
        <v>2859</v>
      </c>
      <c r="AH79">
        <v>2850</v>
      </c>
      <c r="AI79">
        <v>2858</v>
      </c>
      <c r="AJ79">
        <v>2932</v>
      </c>
      <c r="AK79">
        <v>2954</v>
      </c>
      <c r="AL79">
        <v>3007</v>
      </c>
      <c r="AM79">
        <v>4257</v>
      </c>
    </row>
    <row r="80" spans="1:63">
      <c r="A80" s="216">
        <v>43891</v>
      </c>
      <c r="B80" t="s">
        <v>42</v>
      </c>
      <c r="C80">
        <v>10</v>
      </c>
      <c r="D80" t="s">
        <v>441</v>
      </c>
      <c r="E80" s="217">
        <v>43891</v>
      </c>
      <c r="F80">
        <v>19703</v>
      </c>
      <c r="G80" s="227" t="s">
        <v>70</v>
      </c>
      <c r="O80" s="221" t="s">
        <v>445</v>
      </c>
      <c r="AB80">
        <v>4587</v>
      </c>
      <c r="AC80">
        <v>3204</v>
      </c>
      <c r="AD80">
        <v>3412</v>
      </c>
      <c r="AE80">
        <v>3306</v>
      </c>
      <c r="AF80">
        <v>3579</v>
      </c>
      <c r="AG80">
        <v>5806</v>
      </c>
      <c r="AH80">
        <v>4427</v>
      </c>
      <c r="AI80">
        <v>4027</v>
      </c>
      <c r="AJ80">
        <v>3769</v>
      </c>
      <c r="AK80">
        <v>3951</v>
      </c>
      <c r="AL80">
        <v>3901</v>
      </c>
      <c r="AM80">
        <v>14281</v>
      </c>
    </row>
    <row r="81" spans="1:63">
      <c r="A81" s="216">
        <v>43891</v>
      </c>
      <c r="B81" t="s">
        <v>42</v>
      </c>
      <c r="C81">
        <v>10</v>
      </c>
      <c r="D81" t="s">
        <v>441</v>
      </c>
      <c r="E81" s="217">
        <v>43891</v>
      </c>
      <c r="F81">
        <v>19804</v>
      </c>
      <c r="G81" s="227" t="s">
        <v>114</v>
      </c>
      <c r="O81" s="221" t="s">
        <v>437</v>
      </c>
      <c r="AB81">
        <v>0</v>
      </c>
      <c r="AC81">
        <v>0</v>
      </c>
      <c r="AD81">
        <v>0</v>
      </c>
      <c r="AE81">
        <v>0</v>
      </c>
      <c r="AF81">
        <v>0</v>
      </c>
      <c r="AG81">
        <v>0</v>
      </c>
      <c r="AH81">
        <v>0</v>
      </c>
      <c r="AI81">
        <v>0</v>
      </c>
      <c r="AJ81">
        <v>0</v>
      </c>
      <c r="AK81">
        <v>0</v>
      </c>
      <c r="AL81">
        <v>0</v>
      </c>
      <c r="AM81">
        <v>0</v>
      </c>
    </row>
    <row r="82" spans="1:63">
      <c r="A82" s="216">
        <v>43891</v>
      </c>
      <c r="B82" t="s">
        <v>42</v>
      </c>
      <c r="C82">
        <v>10</v>
      </c>
      <c r="D82" t="s">
        <v>441</v>
      </c>
      <c r="E82" s="217">
        <v>43891</v>
      </c>
      <c r="F82">
        <v>19845</v>
      </c>
      <c r="G82" s="227" t="s">
        <v>105</v>
      </c>
      <c r="O82" s="221" t="s">
        <v>441</v>
      </c>
      <c r="AB82">
        <v>0</v>
      </c>
      <c r="AC82">
        <v>0</v>
      </c>
      <c r="AD82">
        <v>0</v>
      </c>
      <c r="AE82">
        <v>0</v>
      </c>
      <c r="AF82">
        <v>0</v>
      </c>
      <c r="AG82">
        <v>0</v>
      </c>
      <c r="AH82">
        <v>0</v>
      </c>
      <c r="AI82">
        <v>0</v>
      </c>
      <c r="AJ82">
        <v>0</v>
      </c>
      <c r="AK82">
        <v>0</v>
      </c>
      <c r="AL82">
        <v>0</v>
      </c>
      <c r="AM82">
        <v>0</v>
      </c>
    </row>
    <row r="83" spans="1:63">
      <c r="A83" s="216">
        <v>43891</v>
      </c>
      <c r="B83" t="s">
        <v>42</v>
      </c>
      <c r="C83">
        <v>10</v>
      </c>
      <c r="D83" t="s">
        <v>441</v>
      </c>
      <c r="E83" s="217">
        <v>43891</v>
      </c>
      <c r="F83">
        <v>20416</v>
      </c>
      <c r="G83" s="227" t="s">
        <v>100</v>
      </c>
      <c r="O83" s="221" t="s">
        <v>447</v>
      </c>
      <c r="AB83">
        <v>68</v>
      </c>
      <c r="AC83">
        <v>68</v>
      </c>
      <c r="AD83">
        <v>70</v>
      </c>
      <c r="AE83">
        <v>70</v>
      </c>
      <c r="AF83">
        <v>70</v>
      </c>
      <c r="AG83">
        <v>75</v>
      </c>
      <c r="AH83">
        <v>70</v>
      </c>
      <c r="AI83">
        <v>70</v>
      </c>
      <c r="AJ83">
        <v>70</v>
      </c>
      <c r="AK83">
        <v>70</v>
      </c>
      <c r="AL83">
        <v>71</v>
      </c>
      <c r="AM83">
        <v>71</v>
      </c>
    </row>
    <row r="84" spans="1:63">
      <c r="A84" s="216">
        <v>43891</v>
      </c>
      <c r="B84" t="s">
        <v>42</v>
      </c>
      <c r="C84">
        <v>10</v>
      </c>
      <c r="D84" t="s">
        <v>441</v>
      </c>
      <c r="E84" s="217">
        <v>43891</v>
      </c>
      <c r="F84">
        <v>20286</v>
      </c>
      <c r="G84" s="227" t="s">
        <v>83</v>
      </c>
      <c r="O84" s="7" t="s">
        <v>53</v>
      </c>
      <c r="P84">
        <v>12749.079</v>
      </c>
      <c r="Q84">
        <v>28631</v>
      </c>
      <c r="R84">
        <v>20545</v>
      </c>
      <c r="S84">
        <v>19456</v>
      </c>
      <c r="T84">
        <v>16815</v>
      </c>
      <c r="U84">
        <v>18024</v>
      </c>
      <c r="V84">
        <v>21888</v>
      </c>
      <c r="W84">
        <v>15482.982</v>
      </c>
      <c r="X84">
        <v>38813</v>
      </c>
      <c r="Y84">
        <v>20811.12</v>
      </c>
      <c r="Z84">
        <v>17361</v>
      </c>
      <c r="AA84">
        <v>54893</v>
      </c>
      <c r="AB84">
        <v>57410</v>
      </c>
      <c r="AC84">
        <v>150151.6</v>
      </c>
      <c r="AD84">
        <v>138342.6</v>
      </c>
      <c r="AE84">
        <v>70825</v>
      </c>
      <c r="AF84">
        <v>75081.437999999995</v>
      </c>
      <c r="AG84">
        <v>110592</v>
      </c>
      <c r="AH84">
        <v>79197.747000000003</v>
      </c>
      <c r="AI84">
        <v>81400.576390000002</v>
      </c>
      <c r="AJ84">
        <v>86966.434000000008</v>
      </c>
      <c r="AK84">
        <v>77440</v>
      </c>
      <c r="AL84">
        <v>65049</v>
      </c>
      <c r="AM84">
        <v>61532</v>
      </c>
      <c r="AN84">
        <v>55786.9</v>
      </c>
      <c r="AO84">
        <v>58594</v>
      </c>
      <c r="AP84">
        <v>62595</v>
      </c>
      <c r="AQ84">
        <v>67286.5</v>
      </c>
      <c r="AR84">
        <v>72101</v>
      </c>
      <c r="AS84">
        <v>82481</v>
      </c>
      <c r="AT84">
        <v>80177</v>
      </c>
      <c r="AU84">
        <v>68478</v>
      </c>
      <c r="AV84">
        <v>106437</v>
      </c>
      <c r="AW84">
        <v>83597.899999999994</v>
      </c>
      <c r="AX84">
        <v>80150.70349</v>
      </c>
      <c r="AY84">
        <v>184460</v>
      </c>
      <c r="AZ84">
        <v>73044.444839999996</v>
      </c>
      <c r="BA84">
        <v>77383.463239999997</v>
      </c>
      <c r="BB84">
        <v>83952.265809999997</v>
      </c>
      <c r="BC84">
        <v>86266.370800000004</v>
      </c>
      <c r="BD84">
        <v>83827.193249999997</v>
      </c>
      <c r="BE84">
        <v>105455</v>
      </c>
      <c r="BF84">
        <v>142608.53396999999</v>
      </c>
      <c r="BG84">
        <v>109513.29578</v>
      </c>
      <c r="BH84">
        <v>113281.44503</v>
      </c>
      <c r="BI84">
        <v>87357.729040000006</v>
      </c>
      <c r="BJ84">
        <v>88780.098070000007</v>
      </c>
      <c r="BK84">
        <v>220547</v>
      </c>
    </row>
    <row r="85" spans="1:63">
      <c r="A85" s="216">
        <v>43891</v>
      </c>
      <c r="B85" t="s">
        <v>42</v>
      </c>
      <c r="C85">
        <v>10</v>
      </c>
      <c r="D85" t="s">
        <v>441</v>
      </c>
      <c r="E85" s="217">
        <v>43891</v>
      </c>
      <c r="F85">
        <v>19885</v>
      </c>
      <c r="G85" s="227" t="s">
        <v>127</v>
      </c>
      <c r="O85" s="221" t="s">
        <v>442</v>
      </c>
      <c r="P85">
        <v>12749.079</v>
      </c>
      <c r="Q85">
        <v>28631</v>
      </c>
      <c r="R85">
        <v>20545</v>
      </c>
      <c r="S85">
        <v>19456</v>
      </c>
      <c r="T85">
        <v>16815</v>
      </c>
      <c r="U85">
        <v>18024</v>
      </c>
      <c r="V85">
        <v>21888</v>
      </c>
      <c r="W85">
        <v>15482.982</v>
      </c>
      <c r="X85">
        <v>38813</v>
      </c>
      <c r="Y85">
        <v>20811.12</v>
      </c>
      <c r="Z85">
        <v>17361</v>
      </c>
      <c r="AA85">
        <v>54893</v>
      </c>
      <c r="AB85">
        <v>30617</v>
      </c>
      <c r="AC85">
        <v>78256</v>
      </c>
      <c r="AD85">
        <v>74454</v>
      </c>
      <c r="AE85">
        <v>42798</v>
      </c>
      <c r="AF85">
        <v>40026.438000000002</v>
      </c>
      <c r="AG85">
        <v>60276</v>
      </c>
      <c r="AH85">
        <v>43665.347000000002</v>
      </c>
      <c r="AI85">
        <v>43935.576390000002</v>
      </c>
      <c r="AJ85">
        <v>52609.434000000001</v>
      </c>
      <c r="AK85">
        <v>40976</v>
      </c>
      <c r="AL85">
        <v>35402</v>
      </c>
      <c r="AM85">
        <v>50105</v>
      </c>
      <c r="AN85">
        <v>28354</v>
      </c>
      <c r="AO85">
        <v>30869</v>
      </c>
      <c r="AP85">
        <v>33558</v>
      </c>
      <c r="AQ85">
        <v>38850</v>
      </c>
      <c r="AR85">
        <v>41327</v>
      </c>
      <c r="AS85">
        <v>45240</v>
      </c>
      <c r="AT85">
        <v>44656</v>
      </c>
      <c r="AU85">
        <v>36686</v>
      </c>
      <c r="AV85">
        <v>69287</v>
      </c>
      <c r="AW85">
        <v>46154</v>
      </c>
      <c r="AX85">
        <v>45991</v>
      </c>
      <c r="AY85">
        <v>112752</v>
      </c>
      <c r="AZ85">
        <v>37085.4</v>
      </c>
      <c r="BA85">
        <v>40048</v>
      </c>
      <c r="BB85">
        <v>45889</v>
      </c>
      <c r="BC85">
        <v>46129</v>
      </c>
      <c r="BD85">
        <v>44727</v>
      </c>
      <c r="BE85">
        <v>56327</v>
      </c>
      <c r="BF85">
        <v>78315</v>
      </c>
      <c r="BG85">
        <v>60835</v>
      </c>
      <c r="BH85">
        <v>68383</v>
      </c>
      <c r="BI85">
        <v>46669</v>
      </c>
      <c r="BJ85">
        <v>48139</v>
      </c>
      <c r="BK85">
        <v>136205</v>
      </c>
    </row>
    <row r="86" spans="1:63">
      <c r="A86" s="216">
        <v>43891</v>
      </c>
      <c r="B86" t="s">
        <v>42</v>
      </c>
      <c r="C86">
        <v>10</v>
      </c>
      <c r="D86" t="s">
        <v>441</v>
      </c>
      <c r="E86" s="217">
        <v>43891</v>
      </c>
      <c r="F86">
        <v>23599</v>
      </c>
      <c r="G86" s="227" t="s">
        <v>123</v>
      </c>
      <c r="O86" s="221" t="s">
        <v>450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row>
    <row r="87" spans="1:63">
      <c r="A87" s="216">
        <v>43891</v>
      </c>
      <c r="B87" t="s">
        <v>42</v>
      </c>
      <c r="C87">
        <v>10</v>
      </c>
      <c r="D87" t="s">
        <v>441</v>
      </c>
      <c r="E87" s="217">
        <v>43891</v>
      </c>
      <c r="F87">
        <v>21444</v>
      </c>
      <c r="G87" s="227" t="s">
        <v>119</v>
      </c>
      <c r="O87" s="221" t="s">
        <v>451</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row>
    <row r="88" spans="1:63">
      <c r="A88" s="216">
        <v>43891</v>
      </c>
      <c r="B88" t="s">
        <v>42</v>
      </c>
      <c r="C88">
        <v>10</v>
      </c>
      <c r="D88" t="s">
        <v>441</v>
      </c>
      <c r="E88" s="217">
        <v>43891</v>
      </c>
      <c r="F88">
        <v>20726</v>
      </c>
      <c r="G88" s="227" t="s">
        <v>88</v>
      </c>
      <c r="O88" s="221" t="s">
        <v>454</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row>
    <row r="89" spans="1:63">
      <c r="A89" s="216">
        <v>43891</v>
      </c>
      <c r="B89" t="s">
        <v>42</v>
      </c>
      <c r="C89">
        <v>10</v>
      </c>
      <c r="D89" t="s">
        <v>441</v>
      </c>
      <c r="E89" s="217">
        <v>43891</v>
      </c>
      <c r="F89">
        <v>21316</v>
      </c>
      <c r="G89" s="227" t="s">
        <v>96</v>
      </c>
      <c r="O89" s="221" t="s">
        <v>433</v>
      </c>
      <c r="AB89">
        <v>7850</v>
      </c>
      <c r="AC89">
        <v>7772</v>
      </c>
      <c r="AD89">
        <v>8124</v>
      </c>
      <c r="AE89">
        <v>7994</v>
      </c>
      <c r="AF89">
        <v>9574</v>
      </c>
      <c r="AG89">
        <v>10786</v>
      </c>
      <c r="AH89">
        <v>11577</v>
      </c>
      <c r="AI89">
        <v>11321</v>
      </c>
      <c r="AJ89">
        <v>11512</v>
      </c>
      <c r="AK89">
        <v>12392</v>
      </c>
      <c r="AL89">
        <v>13053</v>
      </c>
      <c r="AM89">
        <v>22881</v>
      </c>
      <c r="AN89">
        <v>14054</v>
      </c>
      <c r="AO89">
        <v>14687</v>
      </c>
      <c r="AP89">
        <v>14353</v>
      </c>
      <c r="AQ89">
        <v>14293</v>
      </c>
      <c r="AR89">
        <v>16872</v>
      </c>
      <c r="AS89">
        <v>20087</v>
      </c>
      <c r="AT89">
        <v>17698</v>
      </c>
      <c r="AU89">
        <v>19166</v>
      </c>
      <c r="AV89">
        <v>19300</v>
      </c>
      <c r="AW89">
        <v>19539.400000000001</v>
      </c>
      <c r="AX89">
        <v>19220.003489999999</v>
      </c>
      <c r="AY89">
        <v>29159</v>
      </c>
      <c r="AZ89">
        <v>22503.984840000001</v>
      </c>
      <c r="BA89">
        <v>23128.663240000002</v>
      </c>
      <c r="BB89">
        <v>23261.765810000001</v>
      </c>
      <c r="BC89">
        <v>23290.870800000001</v>
      </c>
      <c r="BD89">
        <v>25205.69325</v>
      </c>
      <c r="BE89">
        <v>32060</v>
      </c>
      <c r="BF89">
        <v>26430.53397</v>
      </c>
      <c r="BG89">
        <v>25684.29578</v>
      </c>
      <c r="BH89">
        <v>25585.445029999999</v>
      </c>
      <c r="BI89">
        <v>25199.729039999998</v>
      </c>
      <c r="BJ89">
        <v>25630.09807</v>
      </c>
      <c r="BK89">
        <v>44878.5</v>
      </c>
    </row>
    <row r="90" spans="1:63">
      <c r="A90" s="216">
        <v>43891</v>
      </c>
      <c r="B90" t="s">
        <v>42</v>
      </c>
      <c r="C90">
        <v>10</v>
      </c>
      <c r="D90" t="s">
        <v>441</v>
      </c>
      <c r="E90" s="217">
        <v>43891</v>
      </c>
      <c r="F90">
        <v>20076</v>
      </c>
      <c r="G90" s="227" t="s">
        <v>92</v>
      </c>
      <c r="O90" s="221" t="s">
        <v>445</v>
      </c>
      <c r="AB90">
        <v>18943</v>
      </c>
      <c r="AC90">
        <v>64123.6</v>
      </c>
      <c r="AD90">
        <v>55764.6</v>
      </c>
      <c r="AE90">
        <v>20033</v>
      </c>
      <c r="AF90">
        <v>25481</v>
      </c>
      <c r="AG90">
        <v>39530</v>
      </c>
      <c r="AH90">
        <v>23955.4</v>
      </c>
      <c r="AI90">
        <v>26144</v>
      </c>
      <c r="AJ90">
        <v>22845</v>
      </c>
      <c r="AK90">
        <v>24072</v>
      </c>
      <c r="AL90">
        <v>16594</v>
      </c>
      <c r="AM90">
        <v>-11454</v>
      </c>
      <c r="AN90">
        <v>13378.9</v>
      </c>
      <c r="AO90">
        <v>13038</v>
      </c>
      <c r="AP90">
        <v>14684</v>
      </c>
      <c r="AQ90">
        <v>14143.5</v>
      </c>
      <c r="AR90">
        <v>13902</v>
      </c>
      <c r="AS90">
        <v>17154</v>
      </c>
      <c r="AT90">
        <v>17823</v>
      </c>
      <c r="AU90">
        <v>12626</v>
      </c>
      <c r="AV90">
        <v>17850</v>
      </c>
      <c r="AW90">
        <v>17904.5</v>
      </c>
      <c r="AX90">
        <v>14939.7</v>
      </c>
      <c r="AY90">
        <v>42549</v>
      </c>
      <c r="AZ90">
        <v>13455.06</v>
      </c>
      <c r="BA90">
        <v>14206.8</v>
      </c>
      <c r="BB90">
        <v>14801.5</v>
      </c>
      <c r="BC90">
        <v>16846.5</v>
      </c>
      <c r="BD90">
        <v>13894.5</v>
      </c>
      <c r="BE90">
        <v>17068</v>
      </c>
      <c r="BF90">
        <v>37863</v>
      </c>
      <c r="BG90">
        <v>22994</v>
      </c>
      <c r="BH90">
        <v>19313</v>
      </c>
      <c r="BI90">
        <v>15489</v>
      </c>
      <c r="BJ90">
        <v>15011</v>
      </c>
      <c r="BK90">
        <v>39463.5</v>
      </c>
    </row>
    <row r="91" spans="1:63">
      <c r="A91" s="216">
        <v>43891</v>
      </c>
      <c r="B91" t="s">
        <v>42</v>
      </c>
      <c r="C91">
        <v>10</v>
      </c>
      <c r="D91" t="s">
        <v>441</v>
      </c>
      <c r="E91" s="217">
        <v>43891</v>
      </c>
      <c r="F91">
        <v>21820</v>
      </c>
      <c r="G91" s="227" t="s">
        <v>110</v>
      </c>
      <c r="O91" s="221" t="s">
        <v>437</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row>
    <row r="92" spans="1:63">
      <c r="A92" s="216">
        <v>43891</v>
      </c>
      <c r="B92" t="s">
        <v>42</v>
      </c>
      <c r="C92">
        <v>10</v>
      </c>
      <c r="D92" t="s">
        <v>441</v>
      </c>
      <c r="E92" s="217">
        <v>43891</v>
      </c>
      <c r="F92">
        <v>248920</v>
      </c>
      <c r="G92" s="227" t="s">
        <v>434</v>
      </c>
      <c r="O92" s="221" t="s">
        <v>441</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row>
    <row r="93" spans="1:63">
      <c r="A93" s="216">
        <v>43891</v>
      </c>
      <c r="B93" t="s">
        <v>42</v>
      </c>
      <c r="C93">
        <v>11</v>
      </c>
      <c r="D93" t="s">
        <v>447</v>
      </c>
      <c r="E93" s="217">
        <v>43891</v>
      </c>
      <c r="F93">
        <v>0</v>
      </c>
      <c r="G93" s="227" t="s">
        <v>70</v>
      </c>
      <c r="O93" s="221" t="s">
        <v>447</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row>
    <row r="94" spans="1:63">
      <c r="A94" s="216">
        <v>43891</v>
      </c>
      <c r="B94" t="s">
        <v>42</v>
      </c>
      <c r="C94">
        <v>11</v>
      </c>
      <c r="D94" t="s">
        <v>447</v>
      </c>
      <c r="E94" s="217">
        <v>43891</v>
      </c>
      <c r="F94">
        <v>0</v>
      </c>
      <c r="G94" s="227" t="s">
        <v>114</v>
      </c>
      <c r="O94" s="7" t="s">
        <v>47</v>
      </c>
      <c r="P94">
        <v>52680.58</v>
      </c>
      <c r="Q94">
        <v>51664.759999999995</v>
      </c>
      <c r="R94">
        <v>52749.25</v>
      </c>
      <c r="S94">
        <v>52648.119999999995</v>
      </c>
      <c r="T94">
        <v>52598.19</v>
      </c>
      <c r="U94">
        <v>52900.829999999994</v>
      </c>
      <c r="V94">
        <v>52418.990000000005</v>
      </c>
      <c r="W94">
        <v>54155.77</v>
      </c>
      <c r="X94">
        <v>53899.770000000004</v>
      </c>
      <c r="Y94">
        <v>54574.37</v>
      </c>
      <c r="Z94">
        <v>54414.869999999995</v>
      </c>
      <c r="AA94">
        <v>65831.25999999998</v>
      </c>
      <c r="AB94">
        <v>55050.67</v>
      </c>
      <c r="AC94">
        <v>56092.56</v>
      </c>
      <c r="AD94">
        <v>56030.76</v>
      </c>
      <c r="AE94">
        <v>56217.320000000007</v>
      </c>
      <c r="AF94">
        <v>57502.590000000004</v>
      </c>
      <c r="AG94">
        <v>56169.84</v>
      </c>
      <c r="AH94">
        <v>55891.489999999991</v>
      </c>
      <c r="AI94">
        <v>56292.540000000008</v>
      </c>
      <c r="AJ94">
        <v>57664.030000000006</v>
      </c>
      <c r="AK94">
        <v>57561.49</v>
      </c>
      <c r="AL94">
        <v>58130.75</v>
      </c>
      <c r="AM94">
        <v>84877.532000000007</v>
      </c>
      <c r="AN94">
        <v>59177.790000000008</v>
      </c>
      <c r="AO94">
        <v>58529.649999999994</v>
      </c>
      <c r="AP94">
        <v>60273.420000000006</v>
      </c>
      <c r="AQ94">
        <v>61560.4</v>
      </c>
      <c r="AR94">
        <v>59286.52</v>
      </c>
      <c r="AS94">
        <v>61177.61</v>
      </c>
      <c r="AT94">
        <v>61239.61</v>
      </c>
      <c r="AU94">
        <v>60596.819999999992</v>
      </c>
      <c r="AV94">
        <v>63047.299999999996</v>
      </c>
      <c r="AW94">
        <v>63468.500000000007</v>
      </c>
      <c r="AX94">
        <v>62089.81</v>
      </c>
      <c r="AY94">
        <v>92748.7</v>
      </c>
      <c r="AZ94">
        <v>63074.320000000007</v>
      </c>
      <c r="BA94">
        <v>62296.790000000015</v>
      </c>
      <c r="BB94">
        <v>65141.05</v>
      </c>
      <c r="BC94">
        <v>62574.9</v>
      </c>
      <c r="BD94">
        <v>63673.12999999999</v>
      </c>
      <c r="BE94">
        <v>66508.12</v>
      </c>
      <c r="BF94">
        <v>59678.18</v>
      </c>
      <c r="BG94">
        <v>64345.2</v>
      </c>
      <c r="BH94">
        <v>64169.909999999996</v>
      </c>
      <c r="BI94">
        <v>65090.17</v>
      </c>
      <c r="BJ94">
        <v>65834.670000000013</v>
      </c>
      <c r="BK94">
        <v>77047.97</v>
      </c>
    </row>
    <row r="95" spans="1:63">
      <c r="A95" s="216">
        <v>43891</v>
      </c>
      <c r="B95" t="s">
        <v>42</v>
      </c>
      <c r="C95">
        <v>11</v>
      </c>
      <c r="D95" t="s">
        <v>447</v>
      </c>
      <c r="E95" s="217">
        <v>43891</v>
      </c>
      <c r="F95">
        <v>0</v>
      </c>
      <c r="G95" s="227" t="s">
        <v>105</v>
      </c>
      <c r="O95" s="221" t="s">
        <v>442</v>
      </c>
      <c r="P95">
        <v>26891.79</v>
      </c>
      <c r="Q95">
        <v>26378.86</v>
      </c>
      <c r="R95">
        <v>26841.9</v>
      </c>
      <c r="S95">
        <v>26822.98</v>
      </c>
      <c r="T95">
        <v>26804.6</v>
      </c>
      <c r="U95">
        <v>26968.37</v>
      </c>
      <c r="V95">
        <v>26720.1</v>
      </c>
      <c r="W95">
        <v>27406.63</v>
      </c>
      <c r="X95">
        <v>27449.01</v>
      </c>
      <c r="Y95">
        <v>27927.48</v>
      </c>
      <c r="Z95">
        <v>27889.38</v>
      </c>
      <c r="AA95">
        <v>35658.78</v>
      </c>
      <c r="AB95">
        <v>28196.43</v>
      </c>
      <c r="AC95">
        <v>28751.75</v>
      </c>
      <c r="AD95">
        <v>28801.68</v>
      </c>
      <c r="AE95">
        <v>28761.93</v>
      </c>
      <c r="AF95">
        <v>29582.59</v>
      </c>
      <c r="AG95">
        <v>28671.5</v>
      </c>
      <c r="AH95">
        <v>28736.22</v>
      </c>
      <c r="AI95">
        <v>29049.119999999999</v>
      </c>
      <c r="AJ95">
        <v>29820.33</v>
      </c>
      <c r="AK95">
        <v>29666.84</v>
      </c>
      <c r="AL95">
        <v>30001.86</v>
      </c>
      <c r="AM95">
        <v>43665.366000000002</v>
      </c>
      <c r="AN95">
        <v>30437.66</v>
      </c>
      <c r="AO95">
        <v>30171.17</v>
      </c>
      <c r="AP95">
        <v>31082.53</v>
      </c>
      <c r="AQ95">
        <v>31672.5</v>
      </c>
      <c r="AR95">
        <v>30595.45</v>
      </c>
      <c r="AS95">
        <v>31543.23</v>
      </c>
      <c r="AT95">
        <v>31613.93</v>
      </c>
      <c r="AU95">
        <v>31271.26</v>
      </c>
      <c r="AV95">
        <v>32561.41</v>
      </c>
      <c r="AW95">
        <v>32779.040000000001</v>
      </c>
      <c r="AX95">
        <v>31981.49</v>
      </c>
      <c r="AY95">
        <v>47839.43</v>
      </c>
      <c r="AZ95">
        <v>32505.57</v>
      </c>
      <c r="BA95">
        <v>32055.32</v>
      </c>
      <c r="BB95">
        <v>34033.75</v>
      </c>
      <c r="BC95">
        <v>31713.66</v>
      </c>
      <c r="BD95">
        <v>32518.93</v>
      </c>
      <c r="BE95">
        <v>33987.47</v>
      </c>
      <c r="BF95">
        <v>30298.25</v>
      </c>
      <c r="BG95">
        <v>32560.400000000001</v>
      </c>
      <c r="BH95">
        <v>33007.370000000003</v>
      </c>
      <c r="BI95">
        <v>33152.629999999997</v>
      </c>
      <c r="BJ95">
        <v>34125.15</v>
      </c>
      <c r="BK95">
        <v>38386.79</v>
      </c>
    </row>
    <row r="96" spans="1:63">
      <c r="A96" s="216">
        <v>43891</v>
      </c>
      <c r="B96" t="s">
        <v>42</v>
      </c>
      <c r="C96">
        <v>11</v>
      </c>
      <c r="D96" t="s">
        <v>447</v>
      </c>
      <c r="E96" s="217">
        <v>43891</v>
      </c>
      <c r="F96">
        <v>0</v>
      </c>
      <c r="G96" s="227" t="s">
        <v>100</v>
      </c>
      <c r="O96" s="221" t="s">
        <v>450</v>
      </c>
      <c r="P96">
        <v>2384</v>
      </c>
      <c r="Q96">
        <v>2397.6799999999998</v>
      </c>
      <c r="R96">
        <v>2267.27</v>
      </c>
      <c r="S96">
        <v>2446.5500000000002</v>
      </c>
      <c r="T96">
        <v>2379.63</v>
      </c>
      <c r="U96">
        <v>2375.09</v>
      </c>
      <c r="V96">
        <v>2128.66</v>
      </c>
      <c r="W96">
        <v>2417.2399999999998</v>
      </c>
      <c r="X96">
        <v>2373.8000000000002</v>
      </c>
      <c r="Y96">
        <v>2599.19</v>
      </c>
      <c r="Z96">
        <v>2869.53</v>
      </c>
      <c r="AA96">
        <v>2757.42</v>
      </c>
      <c r="AB96">
        <v>2432.59</v>
      </c>
      <c r="AC96">
        <v>2477.69</v>
      </c>
      <c r="AD96">
        <v>2701.13</v>
      </c>
      <c r="AE96">
        <v>2507.38</v>
      </c>
      <c r="AF96">
        <v>2773.66</v>
      </c>
      <c r="AG96">
        <v>2607.46</v>
      </c>
      <c r="AH96">
        <v>2589.23</v>
      </c>
      <c r="AI96">
        <v>2549.4699999999998</v>
      </c>
      <c r="AJ96">
        <v>2572.4499999999998</v>
      </c>
      <c r="AK96">
        <v>3114.88</v>
      </c>
      <c r="AL96">
        <v>2632.82</v>
      </c>
      <c r="AM96">
        <v>2875.31</v>
      </c>
      <c r="AN96">
        <v>2615.54</v>
      </c>
      <c r="AO96">
        <v>2615.54</v>
      </c>
      <c r="AP96">
        <v>2615.54</v>
      </c>
      <c r="AQ96">
        <v>2680.67</v>
      </c>
      <c r="AR96">
        <v>2552.23</v>
      </c>
      <c r="AS96">
        <v>2585.25</v>
      </c>
      <c r="AT96">
        <v>2450.58</v>
      </c>
      <c r="AU96">
        <v>2467.88</v>
      </c>
      <c r="AV96">
        <v>2457.83</v>
      </c>
      <c r="AW96">
        <v>2486.34</v>
      </c>
      <c r="AX96">
        <v>2446.81</v>
      </c>
      <c r="AY96">
        <v>2728.31</v>
      </c>
      <c r="AZ96">
        <v>2563.94</v>
      </c>
      <c r="BA96">
        <v>2563.94</v>
      </c>
      <c r="BB96">
        <v>2602.79</v>
      </c>
      <c r="BC96">
        <v>2568.87</v>
      </c>
      <c r="BD96">
        <v>2644.91</v>
      </c>
      <c r="BE96">
        <v>2507.41</v>
      </c>
      <c r="BF96">
        <v>2840.59</v>
      </c>
      <c r="BG96">
        <v>2763.69</v>
      </c>
      <c r="BH96">
        <v>3393.75</v>
      </c>
      <c r="BI96">
        <v>2742.5</v>
      </c>
      <c r="BJ96">
        <v>3488.19</v>
      </c>
      <c r="BK96">
        <v>2774.08</v>
      </c>
    </row>
    <row r="97" spans="1:63">
      <c r="A97" s="216">
        <v>43891</v>
      </c>
      <c r="B97" t="s">
        <v>42</v>
      </c>
      <c r="C97">
        <v>11</v>
      </c>
      <c r="D97" t="s">
        <v>447</v>
      </c>
      <c r="E97" s="217">
        <v>43891</v>
      </c>
      <c r="F97">
        <v>0</v>
      </c>
      <c r="G97" s="227" t="s">
        <v>83</v>
      </c>
      <c r="O97" s="221" t="s">
        <v>451</v>
      </c>
      <c r="P97">
        <v>3572</v>
      </c>
      <c r="Q97">
        <v>3556.91</v>
      </c>
      <c r="R97">
        <v>3725.8</v>
      </c>
      <c r="S97">
        <v>3502.32</v>
      </c>
      <c r="T97">
        <v>3523.04</v>
      </c>
      <c r="U97">
        <v>3722.69</v>
      </c>
      <c r="V97">
        <v>3840.56</v>
      </c>
      <c r="W97">
        <v>3785.36</v>
      </c>
      <c r="X97">
        <v>3549.45</v>
      </c>
      <c r="Y97">
        <v>4106.6899999999996</v>
      </c>
      <c r="Z97">
        <v>3150.27</v>
      </c>
      <c r="AA97">
        <v>3750.96</v>
      </c>
      <c r="AB97">
        <v>3265.84</v>
      </c>
      <c r="AC97">
        <v>3269.27</v>
      </c>
      <c r="AD97">
        <v>3405.82</v>
      </c>
      <c r="AE97">
        <v>3202.21</v>
      </c>
      <c r="AF97">
        <v>3279.1</v>
      </c>
      <c r="AG97">
        <v>3017.89</v>
      </c>
      <c r="AH97">
        <v>3050</v>
      </c>
      <c r="AI97">
        <v>3195.89</v>
      </c>
      <c r="AJ97">
        <v>3329.51</v>
      </c>
      <c r="AK97">
        <v>3279.35</v>
      </c>
      <c r="AL97">
        <v>3037.14</v>
      </c>
      <c r="AM97">
        <v>5512.33</v>
      </c>
      <c r="AN97">
        <v>3368.4</v>
      </c>
      <c r="AO97">
        <v>3137.66</v>
      </c>
      <c r="AP97">
        <v>3519.87</v>
      </c>
      <c r="AQ97">
        <v>4073.73</v>
      </c>
      <c r="AR97">
        <v>3430.81</v>
      </c>
      <c r="AS97">
        <v>3400.27</v>
      </c>
      <c r="AT97">
        <v>3387.38</v>
      </c>
      <c r="AU97">
        <v>3046</v>
      </c>
      <c r="AV97">
        <v>3878.89</v>
      </c>
      <c r="AW97">
        <v>3400.79</v>
      </c>
      <c r="AX97">
        <v>3122.65</v>
      </c>
      <c r="AY97">
        <v>5496.65</v>
      </c>
      <c r="AZ97">
        <v>3449.35</v>
      </c>
      <c r="BA97">
        <v>3454.87</v>
      </c>
      <c r="BB97">
        <v>3459.4</v>
      </c>
      <c r="BC97">
        <v>3519.69</v>
      </c>
      <c r="BD97">
        <v>3455.56</v>
      </c>
      <c r="BE97">
        <v>3468.42</v>
      </c>
      <c r="BF97">
        <v>3562.14</v>
      </c>
      <c r="BG97">
        <v>4311.7</v>
      </c>
      <c r="BH97">
        <v>3850.28</v>
      </c>
      <c r="BI97">
        <v>3728.87</v>
      </c>
      <c r="BJ97">
        <v>3357.27</v>
      </c>
      <c r="BK97">
        <v>3555.04</v>
      </c>
    </row>
    <row r="98" spans="1:63">
      <c r="A98" s="216">
        <v>43891</v>
      </c>
      <c r="B98" t="s">
        <v>42</v>
      </c>
      <c r="C98">
        <v>11</v>
      </c>
      <c r="D98" t="s">
        <v>447</v>
      </c>
      <c r="E98" s="217">
        <v>43891</v>
      </c>
      <c r="F98">
        <v>0</v>
      </c>
      <c r="G98" s="227" t="s">
        <v>127</v>
      </c>
      <c r="O98" s="221" t="s">
        <v>454</v>
      </c>
      <c r="P98">
        <v>77</v>
      </c>
      <c r="Q98">
        <v>77.31</v>
      </c>
      <c r="R98">
        <v>89</v>
      </c>
      <c r="S98">
        <v>42.3</v>
      </c>
      <c r="T98">
        <v>107.84</v>
      </c>
      <c r="U98">
        <v>76.52</v>
      </c>
      <c r="V98">
        <v>155.07</v>
      </c>
      <c r="W98">
        <v>79.97</v>
      </c>
      <c r="X98">
        <v>99.4</v>
      </c>
      <c r="Y98">
        <v>93.32</v>
      </c>
      <c r="Z98">
        <v>89.91</v>
      </c>
      <c r="AA98">
        <v>98.88</v>
      </c>
      <c r="AB98">
        <v>83.77</v>
      </c>
      <c r="AC98">
        <v>56.64</v>
      </c>
      <c r="AD98">
        <v>98.19</v>
      </c>
      <c r="AE98">
        <v>76.900000000000006</v>
      </c>
      <c r="AF98">
        <v>81.36</v>
      </c>
      <c r="AG98">
        <v>160.44999999999999</v>
      </c>
      <c r="AH98">
        <v>68.78</v>
      </c>
      <c r="AI98">
        <v>116.5</v>
      </c>
      <c r="AJ98">
        <v>99.29</v>
      </c>
      <c r="AK98">
        <v>91.31</v>
      </c>
      <c r="AL98">
        <v>103.59</v>
      </c>
      <c r="AM98">
        <v>116.19</v>
      </c>
      <c r="AN98">
        <v>121.73</v>
      </c>
      <c r="AO98">
        <v>92.09</v>
      </c>
      <c r="AP98">
        <v>125.61</v>
      </c>
      <c r="AQ98">
        <v>128.56</v>
      </c>
      <c r="AR98">
        <v>87.58</v>
      </c>
      <c r="AS98">
        <v>116</v>
      </c>
      <c r="AT98">
        <v>115.85</v>
      </c>
      <c r="AU98">
        <v>121.2</v>
      </c>
      <c r="AV98">
        <v>114.88</v>
      </c>
      <c r="AW98">
        <v>115.7</v>
      </c>
      <c r="AX98">
        <v>100.26</v>
      </c>
      <c r="AY98">
        <v>123.64</v>
      </c>
      <c r="AZ98">
        <v>118.07</v>
      </c>
      <c r="BA98">
        <v>126.98</v>
      </c>
      <c r="BB98">
        <v>88.86</v>
      </c>
      <c r="BC98">
        <v>116.33</v>
      </c>
      <c r="BD98">
        <v>116.63</v>
      </c>
      <c r="BE98">
        <v>147.91</v>
      </c>
      <c r="BF98">
        <v>89.9</v>
      </c>
      <c r="BG98">
        <v>117.24</v>
      </c>
      <c r="BH98">
        <v>155.1</v>
      </c>
      <c r="BI98">
        <v>107.17</v>
      </c>
      <c r="BJ98">
        <v>134.07</v>
      </c>
      <c r="BK98">
        <v>91.74</v>
      </c>
    </row>
    <row r="99" spans="1:63">
      <c r="A99" s="216">
        <v>43891</v>
      </c>
      <c r="B99" t="s">
        <v>42</v>
      </c>
      <c r="C99">
        <v>11</v>
      </c>
      <c r="D99" t="s">
        <v>447</v>
      </c>
      <c r="E99" s="217">
        <v>43891</v>
      </c>
      <c r="F99">
        <v>0</v>
      </c>
      <c r="G99" s="227" t="s">
        <v>123</v>
      </c>
      <c r="O99" s="221" t="s">
        <v>433</v>
      </c>
      <c r="P99">
        <v>6404.57</v>
      </c>
      <c r="Q99">
        <v>5948.49</v>
      </c>
      <c r="R99">
        <v>6089.03</v>
      </c>
      <c r="S99">
        <v>6155.04</v>
      </c>
      <c r="T99">
        <v>6086.07</v>
      </c>
      <c r="U99">
        <v>6120.62</v>
      </c>
      <c r="V99">
        <v>6402.41</v>
      </c>
      <c r="W99">
        <v>6344.16</v>
      </c>
      <c r="X99">
        <v>6164.9</v>
      </c>
      <c r="Y99">
        <v>6281.69</v>
      </c>
      <c r="Z99">
        <v>6408.17</v>
      </c>
      <c r="AA99">
        <v>9895.49</v>
      </c>
      <c r="AB99">
        <v>6464.91</v>
      </c>
      <c r="AC99">
        <v>6378.06</v>
      </c>
      <c r="AD99">
        <v>6494.03</v>
      </c>
      <c r="AE99">
        <v>6575.83</v>
      </c>
      <c r="AF99">
        <v>6961.05</v>
      </c>
      <c r="AG99">
        <v>6620.4</v>
      </c>
      <c r="AH99">
        <v>6746.74</v>
      </c>
      <c r="AI99">
        <v>6863.69</v>
      </c>
      <c r="AJ99">
        <v>6737.15</v>
      </c>
      <c r="AK99">
        <v>6717.32</v>
      </c>
      <c r="AL99">
        <v>6895.84</v>
      </c>
      <c r="AM99">
        <v>16152.47</v>
      </c>
      <c r="AN99">
        <v>7319.36</v>
      </c>
      <c r="AO99">
        <v>7524.65</v>
      </c>
      <c r="AP99">
        <v>7336.83</v>
      </c>
      <c r="AQ99">
        <v>7351.96</v>
      </c>
      <c r="AR99">
        <v>7350.61</v>
      </c>
      <c r="AS99">
        <v>8124.12</v>
      </c>
      <c r="AT99">
        <v>7339.36</v>
      </c>
      <c r="AU99">
        <v>7627.34</v>
      </c>
      <c r="AV99">
        <v>7539.06</v>
      </c>
      <c r="AW99">
        <v>7818.71</v>
      </c>
      <c r="AX99">
        <v>7600.35</v>
      </c>
      <c r="AY99">
        <v>13137.16</v>
      </c>
      <c r="AZ99">
        <v>7584.47</v>
      </c>
      <c r="BA99">
        <v>7723.23</v>
      </c>
      <c r="BB99">
        <v>7680.26</v>
      </c>
      <c r="BC99">
        <v>7720.13</v>
      </c>
      <c r="BD99">
        <v>7636.8</v>
      </c>
      <c r="BE99">
        <v>9433.98</v>
      </c>
      <c r="BF99">
        <v>8008.1</v>
      </c>
      <c r="BG99">
        <v>8082.04</v>
      </c>
      <c r="BH99">
        <v>7532.53</v>
      </c>
      <c r="BI99">
        <v>8077.7</v>
      </c>
      <c r="BJ99">
        <v>8742.59</v>
      </c>
      <c r="BK99">
        <v>14760.49</v>
      </c>
    </row>
    <row r="100" spans="1:63">
      <c r="A100" s="216">
        <v>43891</v>
      </c>
      <c r="B100" t="s">
        <v>42</v>
      </c>
      <c r="C100">
        <v>11</v>
      </c>
      <c r="D100" t="s">
        <v>447</v>
      </c>
      <c r="E100" s="217">
        <v>43891</v>
      </c>
      <c r="F100">
        <v>0</v>
      </c>
      <c r="G100" s="227" t="s">
        <v>119</v>
      </c>
      <c r="O100" s="221" t="s">
        <v>445</v>
      </c>
      <c r="P100">
        <v>1409.22</v>
      </c>
      <c r="Q100">
        <v>1358.59</v>
      </c>
      <c r="R100">
        <v>1614.1</v>
      </c>
      <c r="S100">
        <v>1555.56</v>
      </c>
      <c r="T100">
        <v>1303.3599999999999</v>
      </c>
      <c r="U100">
        <v>1283.27</v>
      </c>
      <c r="V100">
        <v>925.71</v>
      </c>
      <c r="W100">
        <v>631.63</v>
      </c>
      <c r="X100">
        <v>1637.12</v>
      </c>
      <c r="Y100">
        <v>1075.6199999999999</v>
      </c>
      <c r="Z100">
        <v>960.32</v>
      </c>
      <c r="AA100">
        <v>1966.59</v>
      </c>
      <c r="AB100">
        <v>1589.73</v>
      </c>
      <c r="AC100">
        <v>2146.8000000000002</v>
      </c>
      <c r="AD100">
        <v>1581.52</v>
      </c>
      <c r="AE100">
        <v>2002.78</v>
      </c>
      <c r="AF100">
        <v>1704.96</v>
      </c>
      <c r="AG100">
        <v>1884.34</v>
      </c>
      <c r="AH100">
        <v>1975.78</v>
      </c>
      <c r="AI100">
        <v>1250.72</v>
      </c>
      <c r="AJ100">
        <v>1987.01</v>
      </c>
      <c r="AK100">
        <v>1614.15</v>
      </c>
      <c r="AL100">
        <v>2863.05</v>
      </c>
      <c r="AM100">
        <v>2351.636</v>
      </c>
      <c r="AN100">
        <v>1767.62</v>
      </c>
      <c r="AO100">
        <v>1486.94</v>
      </c>
      <c r="AP100">
        <v>1854.3</v>
      </c>
      <c r="AQ100">
        <v>1842.62</v>
      </c>
      <c r="AR100">
        <v>1364.21</v>
      </c>
      <c r="AS100">
        <v>1440.9</v>
      </c>
      <c r="AT100">
        <v>2273.94</v>
      </c>
      <c r="AU100">
        <v>1916</v>
      </c>
      <c r="AV100">
        <v>2182.12</v>
      </c>
      <c r="AW100">
        <v>2606.98</v>
      </c>
      <c r="AX100">
        <v>3033.24</v>
      </c>
      <c r="AY100">
        <v>5456.6</v>
      </c>
      <c r="AZ100">
        <v>2470.09</v>
      </c>
      <c r="BA100">
        <v>1853.23</v>
      </c>
      <c r="BB100">
        <v>2565.0300000000002</v>
      </c>
      <c r="BC100">
        <v>2129.77</v>
      </c>
      <c r="BD100">
        <v>2285.0300000000002</v>
      </c>
      <c r="BE100">
        <v>2048.65</v>
      </c>
      <c r="BF100">
        <v>323.39999999999998</v>
      </c>
      <c r="BG100">
        <v>1865.52</v>
      </c>
      <c r="BH100">
        <v>-1010.3</v>
      </c>
      <c r="BI100">
        <v>2206.86</v>
      </c>
      <c r="BJ100">
        <v>290.75</v>
      </c>
      <c r="BK100">
        <v>-534.6</v>
      </c>
    </row>
    <row r="101" spans="1:63">
      <c r="A101" s="216">
        <v>43891</v>
      </c>
      <c r="B101" t="s">
        <v>42</v>
      </c>
      <c r="C101">
        <v>11</v>
      </c>
      <c r="D101" t="s">
        <v>447</v>
      </c>
      <c r="E101" s="217">
        <v>43891</v>
      </c>
      <c r="F101">
        <v>0</v>
      </c>
      <c r="G101" s="227" t="s">
        <v>88</v>
      </c>
      <c r="O101" s="221" t="s">
        <v>437</v>
      </c>
      <c r="P101">
        <v>1156</v>
      </c>
      <c r="Q101">
        <v>1150.29</v>
      </c>
      <c r="R101">
        <v>1226.67</v>
      </c>
      <c r="S101">
        <v>1195.53</v>
      </c>
      <c r="T101">
        <v>1215.5</v>
      </c>
      <c r="U101">
        <v>1233.49</v>
      </c>
      <c r="V101">
        <v>1437.33</v>
      </c>
      <c r="W101">
        <v>1160.49</v>
      </c>
      <c r="X101">
        <v>1164.8599999999999</v>
      </c>
      <c r="Y101">
        <v>1228.6400000000001</v>
      </c>
      <c r="Z101">
        <v>1283.31</v>
      </c>
      <c r="AA101">
        <v>1168.25</v>
      </c>
      <c r="AB101">
        <v>1257.23</v>
      </c>
      <c r="AC101">
        <v>1224.22</v>
      </c>
      <c r="AD101">
        <v>1258.6099999999999</v>
      </c>
      <c r="AE101">
        <v>1326.2</v>
      </c>
      <c r="AF101">
        <v>1181.9000000000001</v>
      </c>
      <c r="AG101">
        <v>1381.91</v>
      </c>
      <c r="AH101">
        <v>1318.47</v>
      </c>
      <c r="AI101">
        <v>1295.73</v>
      </c>
      <c r="AJ101">
        <v>1350.32</v>
      </c>
      <c r="AK101">
        <v>1309.68</v>
      </c>
      <c r="AL101">
        <v>1364.53</v>
      </c>
      <c r="AM101">
        <v>1808.77</v>
      </c>
      <c r="AN101">
        <v>1531.46</v>
      </c>
      <c r="AO101">
        <v>1480.18</v>
      </c>
      <c r="AP101">
        <v>1730.81</v>
      </c>
      <c r="AQ101">
        <v>1506.61</v>
      </c>
      <c r="AR101">
        <v>1555.21</v>
      </c>
      <c r="AS101">
        <v>1628.97</v>
      </c>
      <c r="AT101">
        <v>1797.64</v>
      </c>
      <c r="AU101">
        <v>1922.87</v>
      </c>
      <c r="AV101">
        <v>1612.01</v>
      </c>
      <c r="AW101">
        <v>1924.43</v>
      </c>
      <c r="AX101">
        <v>1766.84</v>
      </c>
      <c r="AY101">
        <v>3292.76</v>
      </c>
      <c r="AZ101">
        <v>1851.6</v>
      </c>
      <c r="BA101">
        <v>2078.5100000000002</v>
      </c>
      <c r="BB101">
        <v>2107.58</v>
      </c>
      <c r="BC101">
        <v>2412.58</v>
      </c>
      <c r="BD101">
        <v>2416.27</v>
      </c>
      <c r="BE101">
        <v>2180.35</v>
      </c>
      <c r="BF101">
        <v>2293.8000000000002</v>
      </c>
      <c r="BG101">
        <v>2232.69</v>
      </c>
      <c r="BH101">
        <v>2034.14</v>
      </c>
      <c r="BI101">
        <v>1928.43</v>
      </c>
      <c r="BJ101">
        <v>1864.91</v>
      </c>
      <c r="BK101">
        <v>3343.53</v>
      </c>
    </row>
    <row r="102" spans="1:63">
      <c r="A102" s="216">
        <v>43891</v>
      </c>
      <c r="B102" t="s">
        <v>42</v>
      </c>
      <c r="C102">
        <v>11</v>
      </c>
      <c r="D102" t="s">
        <v>447</v>
      </c>
      <c r="E102" s="217">
        <v>43891</v>
      </c>
      <c r="F102">
        <v>0</v>
      </c>
      <c r="G102" s="227" t="s">
        <v>96</v>
      </c>
      <c r="O102" s="221" t="s">
        <v>441</v>
      </c>
      <c r="P102">
        <v>10786</v>
      </c>
      <c r="Q102">
        <v>10796.63</v>
      </c>
      <c r="R102">
        <v>10895.48</v>
      </c>
      <c r="S102">
        <v>10927.84</v>
      </c>
      <c r="T102">
        <v>11178.15</v>
      </c>
      <c r="U102">
        <v>11120.78</v>
      </c>
      <c r="V102">
        <v>10809.15</v>
      </c>
      <c r="W102">
        <v>12330.29</v>
      </c>
      <c r="X102">
        <v>11461.23</v>
      </c>
      <c r="Y102">
        <v>11261.74</v>
      </c>
      <c r="Z102">
        <v>11763.98</v>
      </c>
      <c r="AA102">
        <v>10534.89</v>
      </c>
      <c r="AB102">
        <v>11760.17</v>
      </c>
      <c r="AC102">
        <v>11788.13</v>
      </c>
      <c r="AD102">
        <v>11689.78</v>
      </c>
      <c r="AE102">
        <v>11764.09</v>
      </c>
      <c r="AF102">
        <v>11937.97</v>
      </c>
      <c r="AG102">
        <v>11825.89</v>
      </c>
      <c r="AH102">
        <v>11406.27</v>
      </c>
      <c r="AI102">
        <v>11971.42</v>
      </c>
      <c r="AJ102">
        <v>11767.97</v>
      </c>
      <c r="AK102">
        <v>11767.96</v>
      </c>
      <c r="AL102">
        <v>11231.92</v>
      </c>
      <c r="AM102">
        <v>12395.46</v>
      </c>
      <c r="AN102">
        <v>12016.02</v>
      </c>
      <c r="AO102">
        <v>12021.42</v>
      </c>
      <c r="AP102">
        <v>12007.93</v>
      </c>
      <c r="AQ102">
        <v>12303.75</v>
      </c>
      <c r="AR102">
        <v>12350.42</v>
      </c>
      <c r="AS102">
        <v>12338.87</v>
      </c>
      <c r="AT102">
        <v>12260.93</v>
      </c>
      <c r="AU102">
        <v>12224.27</v>
      </c>
      <c r="AV102">
        <v>12701.1</v>
      </c>
      <c r="AW102">
        <v>12336.51</v>
      </c>
      <c r="AX102">
        <v>12038.17</v>
      </c>
      <c r="AY102">
        <v>14674.15</v>
      </c>
      <c r="AZ102">
        <v>12531.23</v>
      </c>
      <c r="BA102">
        <v>12440.71</v>
      </c>
      <c r="BB102">
        <v>12603.38</v>
      </c>
      <c r="BC102">
        <v>12393.87</v>
      </c>
      <c r="BD102">
        <v>12599</v>
      </c>
      <c r="BE102">
        <v>12733.93</v>
      </c>
      <c r="BF102">
        <v>12262</v>
      </c>
      <c r="BG102">
        <v>12411.92</v>
      </c>
      <c r="BH102">
        <v>15207.04</v>
      </c>
      <c r="BI102">
        <v>13146.01</v>
      </c>
      <c r="BJ102">
        <v>13831.74</v>
      </c>
      <c r="BK102">
        <v>14670.9</v>
      </c>
    </row>
    <row r="103" spans="1:63">
      <c r="A103" s="216">
        <v>43891</v>
      </c>
      <c r="B103" t="s">
        <v>42</v>
      </c>
      <c r="C103">
        <v>11</v>
      </c>
      <c r="D103" t="s">
        <v>447</v>
      </c>
      <c r="E103" s="217">
        <v>43891</v>
      </c>
      <c r="F103">
        <v>0</v>
      </c>
      <c r="G103" s="227" t="s">
        <v>92</v>
      </c>
      <c r="O103" s="221" t="s">
        <v>447</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row>
    <row r="104" spans="1:63">
      <c r="A104" s="216">
        <v>43891</v>
      </c>
      <c r="B104" t="s">
        <v>42</v>
      </c>
      <c r="C104">
        <v>11</v>
      </c>
      <c r="D104" t="s">
        <v>447</v>
      </c>
      <c r="E104" s="217">
        <v>43891</v>
      </c>
      <c r="F104">
        <v>0</v>
      </c>
      <c r="G104" s="227" t="s">
        <v>110</v>
      </c>
      <c r="O104" s="7" t="s">
        <v>48</v>
      </c>
      <c r="P104">
        <v>11664</v>
      </c>
      <c r="Q104">
        <v>12605</v>
      </c>
      <c r="R104">
        <v>11855</v>
      </c>
      <c r="S104">
        <v>11920</v>
      </c>
      <c r="T104">
        <v>12233</v>
      </c>
      <c r="U104">
        <v>12035</v>
      </c>
      <c r="V104">
        <v>13262</v>
      </c>
      <c r="W104">
        <v>12524</v>
      </c>
      <c r="X104">
        <v>12570</v>
      </c>
      <c r="Y104">
        <v>13261</v>
      </c>
      <c r="Z104">
        <v>11939</v>
      </c>
      <c r="AA104">
        <v>19479</v>
      </c>
      <c r="AB104">
        <v>27786.079333333331</v>
      </c>
      <c r="AC104">
        <v>25560</v>
      </c>
      <c r="AD104">
        <v>30209</v>
      </c>
      <c r="AE104">
        <v>31158</v>
      </c>
      <c r="AF104">
        <v>30344</v>
      </c>
      <c r="AG104">
        <v>29550</v>
      </c>
      <c r="AH104">
        <v>34270.1</v>
      </c>
      <c r="AI104">
        <v>38239.9</v>
      </c>
      <c r="AJ104">
        <v>38335.5</v>
      </c>
      <c r="AK104">
        <v>39570.699999999997</v>
      </c>
      <c r="AL104">
        <v>39412.300000000003</v>
      </c>
      <c r="AM104">
        <v>65835.5</v>
      </c>
      <c r="AN104">
        <v>35938</v>
      </c>
      <c r="AO104">
        <v>33718</v>
      </c>
      <c r="AP104">
        <v>35089</v>
      </c>
      <c r="AQ104">
        <v>40878</v>
      </c>
      <c r="AR104">
        <v>41582.620000000003</v>
      </c>
      <c r="AS104">
        <v>43976.34</v>
      </c>
      <c r="AT104">
        <v>43001.34</v>
      </c>
      <c r="AU104">
        <v>47622.34</v>
      </c>
      <c r="AV104">
        <v>41416.339999999997</v>
      </c>
      <c r="AW104">
        <v>43586.34</v>
      </c>
      <c r="AX104">
        <v>41633.339999999997</v>
      </c>
      <c r="AY104">
        <v>66992.58</v>
      </c>
      <c r="AZ104">
        <v>34997</v>
      </c>
      <c r="BA104">
        <v>34694</v>
      </c>
      <c r="BB104">
        <v>34306.050000000003</v>
      </c>
      <c r="BC104">
        <v>40620.9</v>
      </c>
      <c r="BD104">
        <v>36763.9</v>
      </c>
      <c r="BE104">
        <v>38933.9</v>
      </c>
      <c r="BF104">
        <v>35696.175000000003</v>
      </c>
      <c r="BG104">
        <v>34870</v>
      </c>
      <c r="BH104">
        <v>37370</v>
      </c>
      <c r="BI104">
        <v>34284</v>
      </c>
      <c r="BJ104">
        <v>36453</v>
      </c>
      <c r="BK104">
        <v>60003</v>
      </c>
    </row>
    <row r="105" spans="1:63">
      <c r="A105" s="216">
        <v>43891</v>
      </c>
      <c r="B105" t="s">
        <v>42</v>
      </c>
      <c r="C105">
        <v>11</v>
      </c>
      <c r="D105" t="s">
        <v>447</v>
      </c>
      <c r="E105" s="217">
        <v>43891</v>
      </c>
      <c r="F105">
        <v>0</v>
      </c>
      <c r="G105" s="227" t="s">
        <v>434</v>
      </c>
      <c r="O105" s="221" t="s">
        <v>442</v>
      </c>
      <c r="P105">
        <v>11664</v>
      </c>
      <c r="Q105">
        <v>12605</v>
      </c>
      <c r="R105">
        <v>11855</v>
      </c>
      <c r="S105">
        <v>11920</v>
      </c>
      <c r="T105">
        <v>12233</v>
      </c>
      <c r="U105">
        <v>12035</v>
      </c>
      <c r="V105">
        <v>13262</v>
      </c>
      <c r="W105">
        <v>12524</v>
      </c>
      <c r="X105">
        <v>12570</v>
      </c>
      <c r="Y105">
        <v>13261</v>
      </c>
      <c r="Z105">
        <v>11939</v>
      </c>
      <c r="AA105">
        <v>19479</v>
      </c>
      <c r="AB105">
        <v>14055</v>
      </c>
      <c r="AC105">
        <v>12909</v>
      </c>
      <c r="AD105">
        <v>15247</v>
      </c>
      <c r="AE105">
        <v>15723</v>
      </c>
      <c r="AF105">
        <v>15314</v>
      </c>
      <c r="AG105">
        <v>14812</v>
      </c>
      <c r="AH105">
        <v>17263</v>
      </c>
      <c r="AI105">
        <v>19244</v>
      </c>
      <c r="AJ105">
        <v>19303</v>
      </c>
      <c r="AK105">
        <v>19916</v>
      </c>
      <c r="AL105">
        <v>19825</v>
      </c>
      <c r="AM105">
        <v>33047</v>
      </c>
      <c r="AN105">
        <v>18121</v>
      </c>
      <c r="AO105">
        <v>17015</v>
      </c>
      <c r="AP105">
        <v>17677</v>
      </c>
      <c r="AQ105">
        <v>20600</v>
      </c>
      <c r="AR105">
        <v>21134</v>
      </c>
      <c r="AS105">
        <v>22180</v>
      </c>
      <c r="AT105">
        <v>21651</v>
      </c>
      <c r="AU105">
        <v>23994</v>
      </c>
      <c r="AV105">
        <v>20893</v>
      </c>
      <c r="AW105">
        <v>21986</v>
      </c>
      <c r="AX105">
        <v>20989</v>
      </c>
      <c r="AY105">
        <v>33663.24</v>
      </c>
      <c r="AZ105">
        <v>17660</v>
      </c>
      <c r="BA105">
        <v>17489</v>
      </c>
      <c r="BB105">
        <v>17586</v>
      </c>
      <c r="BC105">
        <v>20556</v>
      </c>
      <c r="BD105">
        <v>18905</v>
      </c>
      <c r="BE105">
        <v>19402</v>
      </c>
      <c r="BF105">
        <v>18681</v>
      </c>
      <c r="BG105">
        <v>17382</v>
      </c>
      <c r="BH105">
        <v>18898</v>
      </c>
      <c r="BI105">
        <v>17364</v>
      </c>
      <c r="BJ105">
        <v>18372</v>
      </c>
      <c r="BK105">
        <v>31063</v>
      </c>
    </row>
    <row r="106" spans="1:63">
      <c r="A106" s="216">
        <v>43891</v>
      </c>
      <c r="B106" t="s">
        <v>42</v>
      </c>
      <c r="C106">
        <v>12</v>
      </c>
      <c r="D106" t="s">
        <v>437</v>
      </c>
      <c r="E106" s="217">
        <v>43891</v>
      </c>
      <c r="F106">
        <v>7847</v>
      </c>
      <c r="G106" s="227" t="s">
        <v>70</v>
      </c>
      <c r="O106" s="221" t="s">
        <v>450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row>
    <row r="107" spans="1:63">
      <c r="A107" s="216">
        <v>43891</v>
      </c>
      <c r="B107" t="s">
        <v>42</v>
      </c>
      <c r="C107">
        <v>12</v>
      </c>
      <c r="D107" t="s">
        <v>437</v>
      </c>
      <c r="E107" s="217">
        <v>43891</v>
      </c>
      <c r="F107">
        <v>7475</v>
      </c>
      <c r="G107" s="227" t="s">
        <v>114</v>
      </c>
      <c r="O107" s="221" t="s">
        <v>451</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row>
    <row r="108" spans="1:63">
      <c r="A108" s="216">
        <v>43891</v>
      </c>
      <c r="B108" t="s">
        <v>42</v>
      </c>
      <c r="C108">
        <v>12</v>
      </c>
      <c r="D108" t="s">
        <v>437</v>
      </c>
      <c r="E108" s="217">
        <v>43891</v>
      </c>
      <c r="F108">
        <v>7896</v>
      </c>
      <c r="G108" s="227" t="s">
        <v>105</v>
      </c>
      <c r="O108" s="221" t="s">
        <v>454</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row>
    <row r="109" spans="1:63">
      <c r="A109" s="216">
        <v>43891</v>
      </c>
      <c r="B109" t="s">
        <v>42</v>
      </c>
      <c r="C109">
        <v>12</v>
      </c>
      <c r="D109" t="s">
        <v>437</v>
      </c>
      <c r="E109" s="217">
        <v>43891</v>
      </c>
      <c r="F109">
        <v>7785</v>
      </c>
      <c r="G109" s="227" t="s">
        <v>100</v>
      </c>
      <c r="O109" s="221" t="s">
        <v>433</v>
      </c>
      <c r="AB109">
        <v>8168</v>
      </c>
      <c r="AC109">
        <v>8484</v>
      </c>
      <c r="AD109">
        <v>8606</v>
      </c>
      <c r="AE109">
        <v>8438</v>
      </c>
      <c r="AF109">
        <v>8264</v>
      </c>
      <c r="AG109">
        <v>8533</v>
      </c>
      <c r="AH109">
        <v>8700</v>
      </c>
      <c r="AI109">
        <v>8904</v>
      </c>
      <c r="AJ109">
        <v>8706</v>
      </c>
      <c r="AK109">
        <v>9214</v>
      </c>
      <c r="AL109">
        <v>9309</v>
      </c>
      <c r="AM109">
        <v>15503</v>
      </c>
      <c r="AN109">
        <v>9364</v>
      </c>
      <c r="AO109">
        <v>9274</v>
      </c>
      <c r="AP109">
        <v>9808</v>
      </c>
      <c r="AQ109">
        <v>9714</v>
      </c>
      <c r="AR109">
        <v>9563</v>
      </c>
      <c r="AS109">
        <v>10719</v>
      </c>
      <c r="AT109">
        <v>9928</v>
      </c>
      <c r="AU109">
        <v>10274</v>
      </c>
      <c r="AV109">
        <v>10442</v>
      </c>
      <c r="AW109">
        <v>10407</v>
      </c>
      <c r="AX109">
        <v>9616</v>
      </c>
      <c r="AY109">
        <v>12552</v>
      </c>
      <c r="AZ109">
        <v>10578</v>
      </c>
      <c r="BA109">
        <v>10789</v>
      </c>
      <c r="BB109">
        <v>10488</v>
      </c>
      <c r="BC109">
        <v>10346</v>
      </c>
      <c r="BD109">
        <v>10059</v>
      </c>
      <c r="BE109">
        <v>12135</v>
      </c>
      <c r="BF109">
        <v>9858</v>
      </c>
      <c r="BG109">
        <v>9957</v>
      </c>
      <c r="BH109">
        <v>9361</v>
      </c>
      <c r="BI109">
        <v>9479</v>
      </c>
      <c r="BJ109">
        <v>9839</v>
      </c>
      <c r="BK109">
        <v>15999</v>
      </c>
    </row>
    <row r="110" spans="1:63">
      <c r="A110" s="216">
        <v>43891</v>
      </c>
      <c r="B110" t="s">
        <v>42</v>
      </c>
      <c r="C110">
        <v>12</v>
      </c>
      <c r="D110" t="s">
        <v>437</v>
      </c>
      <c r="E110" s="217">
        <v>43891</v>
      </c>
      <c r="F110">
        <v>8141</v>
      </c>
      <c r="G110" s="227" t="s">
        <v>83</v>
      </c>
      <c r="O110" s="221" t="s">
        <v>445</v>
      </c>
      <c r="AB110">
        <v>5563.0793333333304</v>
      </c>
      <c r="AC110">
        <v>4167</v>
      </c>
      <c r="AD110">
        <v>6356</v>
      </c>
      <c r="AE110">
        <v>6997</v>
      </c>
      <c r="AF110">
        <v>6766</v>
      </c>
      <c r="AG110">
        <v>6205</v>
      </c>
      <c r="AH110">
        <v>8307.1</v>
      </c>
      <c r="AI110">
        <v>10091.9</v>
      </c>
      <c r="AJ110">
        <v>10326.5</v>
      </c>
      <c r="AK110">
        <v>10440.700000000001</v>
      </c>
      <c r="AL110">
        <v>10278.299999999999</v>
      </c>
      <c r="AM110">
        <v>17285.5</v>
      </c>
      <c r="AN110">
        <v>8453</v>
      </c>
      <c r="AO110">
        <v>7429</v>
      </c>
      <c r="AP110">
        <v>7604</v>
      </c>
      <c r="AQ110">
        <v>10564</v>
      </c>
      <c r="AR110">
        <v>10885.62</v>
      </c>
      <c r="AS110">
        <v>11077.34</v>
      </c>
      <c r="AT110">
        <v>11422.34</v>
      </c>
      <c r="AU110">
        <v>13354.34</v>
      </c>
      <c r="AV110">
        <v>10081.34</v>
      </c>
      <c r="AW110">
        <v>11193.34</v>
      </c>
      <c r="AX110">
        <v>11028.34</v>
      </c>
      <c r="AY110">
        <v>20777.34</v>
      </c>
      <c r="AZ110">
        <v>6759</v>
      </c>
      <c r="BA110">
        <v>6416</v>
      </c>
      <c r="BB110">
        <v>6232.05</v>
      </c>
      <c r="BC110">
        <v>9718.9</v>
      </c>
      <c r="BD110">
        <v>7799.9</v>
      </c>
      <c r="BE110">
        <v>7396.9</v>
      </c>
      <c r="BF110">
        <v>7157.1750000000002</v>
      </c>
      <c r="BG110">
        <v>7531</v>
      </c>
      <c r="BH110">
        <v>9111</v>
      </c>
      <c r="BI110">
        <v>7441</v>
      </c>
      <c r="BJ110">
        <v>8242</v>
      </c>
      <c r="BK110">
        <v>12941</v>
      </c>
    </row>
    <row r="111" spans="1:63">
      <c r="A111" s="216">
        <v>43891</v>
      </c>
      <c r="B111" t="s">
        <v>42</v>
      </c>
      <c r="C111">
        <v>12</v>
      </c>
      <c r="D111" t="s">
        <v>437</v>
      </c>
      <c r="E111" s="217">
        <v>43891</v>
      </c>
      <c r="F111">
        <v>6443</v>
      </c>
      <c r="G111" s="227" t="s">
        <v>127</v>
      </c>
      <c r="O111" s="221" t="s">
        <v>437</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row>
    <row r="112" spans="1:63">
      <c r="A112" s="216">
        <v>43891</v>
      </c>
      <c r="B112" t="s">
        <v>42</v>
      </c>
      <c r="C112">
        <v>12</v>
      </c>
      <c r="D112" t="s">
        <v>437</v>
      </c>
      <c r="E112" s="217">
        <v>43891</v>
      </c>
      <c r="F112">
        <v>7397</v>
      </c>
      <c r="G112" s="227" t="s">
        <v>123</v>
      </c>
      <c r="O112" s="221" t="s">
        <v>441</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row>
    <row r="113" spans="1:63">
      <c r="A113" s="216">
        <v>43891</v>
      </c>
      <c r="B113" t="s">
        <v>42</v>
      </c>
      <c r="C113">
        <v>12</v>
      </c>
      <c r="D113" t="s">
        <v>437</v>
      </c>
      <c r="E113" s="217">
        <v>43891</v>
      </c>
      <c r="F113">
        <v>7476</v>
      </c>
      <c r="G113" s="227" t="s">
        <v>119</v>
      </c>
      <c r="O113" s="221" t="s">
        <v>447</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row>
    <row r="114" spans="1:63">
      <c r="A114" s="216">
        <v>43891</v>
      </c>
      <c r="B114" t="s">
        <v>42</v>
      </c>
      <c r="C114">
        <v>12</v>
      </c>
      <c r="D114" t="s">
        <v>437</v>
      </c>
      <c r="E114" s="217">
        <v>43891</v>
      </c>
      <c r="F114">
        <v>7256</v>
      </c>
      <c r="G114" s="227" t="s">
        <v>88</v>
      </c>
      <c r="O114" s="7" t="s">
        <v>3</v>
      </c>
      <c r="P114">
        <v>181586.20299999998</v>
      </c>
      <c r="Q114">
        <v>182780.26900000003</v>
      </c>
      <c r="R114">
        <v>184381.47200000001</v>
      </c>
      <c r="S114">
        <v>183737.44699999999</v>
      </c>
      <c r="T114">
        <v>187360.12900000002</v>
      </c>
      <c r="U114">
        <v>183216.22899999999</v>
      </c>
      <c r="V114">
        <v>192739.37599999996</v>
      </c>
      <c r="W114">
        <v>194446.91599999988</v>
      </c>
      <c r="X114">
        <v>191321.12899999999</v>
      </c>
      <c r="Y114">
        <v>190872.19800000006</v>
      </c>
      <c r="Z114">
        <v>196654.30599999998</v>
      </c>
      <c r="AA114">
        <v>254506.959</v>
      </c>
      <c r="AB114">
        <v>183766.66700000002</v>
      </c>
      <c r="AC114">
        <v>192451.37000000002</v>
      </c>
      <c r="AD114">
        <v>238234.45</v>
      </c>
      <c r="AE114">
        <v>181770.867</v>
      </c>
      <c r="AF114">
        <v>191479.99299999999</v>
      </c>
      <c r="AG114">
        <v>219512.44399999996</v>
      </c>
      <c r="AH114">
        <v>207762.217</v>
      </c>
      <c r="AI114">
        <v>201637.32</v>
      </c>
      <c r="AJ114">
        <v>205157.823</v>
      </c>
      <c r="AK114">
        <v>207144.774</v>
      </c>
      <c r="AL114">
        <v>214018.33700000003</v>
      </c>
      <c r="AM114">
        <v>372127.75199999998</v>
      </c>
      <c r="AN114">
        <v>198886.81400000001</v>
      </c>
      <c r="AO114">
        <v>202675.50600000002</v>
      </c>
      <c r="AP114">
        <v>202839.70799999998</v>
      </c>
      <c r="AQ114">
        <v>211183.71300000002</v>
      </c>
      <c r="AR114">
        <v>211294.609</v>
      </c>
      <c r="AS114">
        <v>227539.80499999999</v>
      </c>
      <c r="AT114">
        <v>213968.68</v>
      </c>
      <c r="AU114">
        <v>216491.57500000004</v>
      </c>
      <c r="AV114">
        <v>222527.40399999998</v>
      </c>
      <c r="AW114">
        <v>228762.53599999996</v>
      </c>
      <c r="AX114">
        <v>220638.76700000005</v>
      </c>
      <c r="AY114">
        <v>349081.88999999996</v>
      </c>
      <c r="AZ114">
        <v>201102.39499999999</v>
      </c>
      <c r="BA114">
        <v>223026.74099999995</v>
      </c>
      <c r="BB114">
        <v>220052.80900000004</v>
      </c>
      <c r="BC114">
        <v>228237.96400000001</v>
      </c>
      <c r="BD114">
        <v>226555.75200000001</v>
      </c>
      <c r="BE114">
        <v>256277.56999999998</v>
      </c>
      <c r="BF114">
        <v>234394.37800000003</v>
      </c>
      <c r="BG114">
        <v>235404.15</v>
      </c>
      <c r="BH114">
        <v>217575.90499999997</v>
      </c>
      <c r="BI114">
        <v>230277.42799999999</v>
      </c>
      <c r="BJ114">
        <v>236821.44999999998</v>
      </c>
      <c r="BK114">
        <v>336145.10099999997</v>
      </c>
    </row>
    <row r="115" spans="1:63">
      <c r="A115" s="216">
        <v>43891</v>
      </c>
      <c r="B115" t="s">
        <v>42</v>
      </c>
      <c r="C115">
        <v>12</v>
      </c>
      <c r="D115" t="s">
        <v>437</v>
      </c>
      <c r="E115" s="217">
        <v>43891</v>
      </c>
      <c r="F115">
        <v>7093</v>
      </c>
      <c r="G115" s="227" t="s">
        <v>96</v>
      </c>
      <c r="O115" s="221" t="s">
        <v>442</v>
      </c>
      <c r="P115">
        <v>92207.638000000006</v>
      </c>
      <c r="Q115">
        <v>92031.142000000007</v>
      </c>
      <c r="R115">
        <v>94602.399000000005</v>
      </c>
      <c r="S115">
        <v>92247.258000000002</v>
      </c>
      <c r="T115">
        <v>94808.403000000006</v>
      </c>
      <c r="U115">
        <v>92814.263999999996</v>
      </c>
      <c r="V115">
        <v>97548.347999999998</v>
      </c>
      <c r="W115">
        <v>98348.722999999998</v>
      </c>
      <c r="X115">
        <v>96610.054999999993</v>
      </c>
      <c r="Y115">
        <v>96765.464000000007</v>
      </c>
      <c r="Z115">
        <v>99673.877999999997</v>
      </c>
      <c r="AA115">
        <v>134278.13200000001</v>
      </c>
      <c r="AB115">
        <v>90389.698000000004</v>
      </c>
      <c r="AC115">
        <v>92347.379000000001</v>
      </c>
      <c r="AD115">
        <v>120485.352</v>
      </c>
      <c r="AE115">
        <v>102965.75999999999</v>
      </c>
      <c r="AF115">
        <v>94428.752999999997</v>
      </c>
      <c r="AG115">
        <v>119456.416</v>
      </c>
      <c r="AH115">
        <v>104981.7</v>
      </c>
      <c r="AI115">
        <v>101744.864</v>
      </c>
      <c r="AJ115">
        <v>103501</v>
      </c>
      <c r="AK115">
        <v>104685.30899999999</v>
      </c>
      <c r="AL115">
        <v>113500.53200000001</v>
      </c>
      <c r="AM115">
        <v>193390.86300000001</v>
      </c>
      <c r="AN115">
        <v>99371.835000000006</v>
      </c>
      <c r="AO115">
        <v>102812.94899999999</v>
      </c>
      <c r="AP115">
        <v>103097.849</v>
      </c>
      <c r="AQ115">
        <v>106767.572</v>
      </c>
      <c r="AR115">
        <v>107036.2</v>
      </c>
      <c r="AS115">
        <v>115142.643</v>
      </c>
      <c r="AT115">
        <v>108473.202</v>
      </c>
      <c r="AU115">
        <v>109853.92600000001</v>
      </c>
      <c r="AV115">
        <v>112807.57</v>
      </c>
      <c r="AW115">
        <v>117061.141</v>
      </c>
      <c r="AX115">
        <v>112458.35</v>
      </c>
      <c r="AY115">
        <v>180314.53</v>
      </c>
      <c r="AZ115">
        <v>100674.02099999999</v>
      </c>
      <c r="BA115">
        <v>113088.36199999999</v>
      </c>
      <c r="BB115">
        <v>111954.19100000001</v>
      </c>
      <c r="BC115">
        <v>119781.27</v>
      </c>
      <c r="BD115">
        <v>115410.946</v>
      </c>
      <c r="BE115">
        <v>130184.072</v>
      </c>
      <c r="BF115">
        <v>119703.929</v>
      </c>
      <c r="BG115">
        <v>119662.30899999999</v>
      </c>
      <c r="BH115">
        <v>111028.818</v>
      </c>
      <c r="BI115">
        <v>119133.118</v>
      </c>
      <c r="BJ115">
        <v>122193.465</v>
      </c>
      <c r="BK115">
        <v>174367.85699999999</v>
      </c>
    </row>
    <row r="116" spans="1:63">
      <c r="A116" s="216">
        <v>43891</v>
      </c>
      <c r="B116" t="s">
        <v>42</v>
      </c>
      <c r="C116">
        <v>12</v>
      </c>
      <c r="D116" t="s">
        <v>437</v>
      </c>
      <c r="E116" s="217">
        <v>43891</v>
      </c>
      <c r="F116">
        <v>6801</v>
      </c>
      <c r="G116" s="227" t="s">
        <v>92</v>
      </c>
      <c r="O116" s="221" t="s">
        <v>450</v>
      </c>
      <c r="P116">
        <v>5787.81</v>
      </c>
      <c r="Q116">
        <v>5838.46</v>
      </c>
      <c r="R116">
        <v>5784.3670000000002</v>
      </c>
      <c r="S116">
        <v>6283.2380000000003</v>
      </c>
      <c r="T116">
        <v>5800.7659999999996</v>
      </c>
      <c r="U116">
        <v>5933.5410000000002</v>
      </c>
      <c r="V116">
        <v>6524.47</v>
      </c>
      <c r="W116">
        <v>5975.9569999999903</v>
      </c>
      <c r="X116">
        <v>6430.0190000000002</v>
      </c>
      <c r="Y116">
        <v>6154.7640000000001</v>
      </c>
      <c r="Z116">
        <v>5673.3890000000001</v>
      </c>
      <c r="AA116">
        <v>5284.1019999999999</v>
      </c>
      <c r="AB116">
        <v>6230.1989999999996</v>
      </c>
      <c r="AC116">
        <v>6147.2439999999997</v>
      </c>
      <c r="AD116">
        <v>6983.723</v>
      </c>
      <c r="AE116">
        <v>6349.8639999999996</v>
      </c>
      <c r="AF116">
        <v>6738.1880000000001</v>
      </c>
      <c r="AG116">
        <v>6332.24</v>
      </c>
      <c r="AH116">
        <v>5946.3040000000001</v>
      </c>
      <c r="AI116">
        <v>6343.5659999999998</v>
      </c>
      <c r="AJ116">
        <v>6664.6139999999996</v>
      </c>
      <c r="AK116">
        <v>7058.3710000000001</v>
      </c>
      <c r="AL116">
        <v>6162.4750000000004</v>
      </c>
      <c r="AM116">
        <v>7608.2029999999904</v>
      </c>
      <c r="AN116">
        <v>7046.6049999999996</v>
      </c>
      <c r="AO116">
        <v>6556.1859999999997</v>
      </c>
      <c r="AP116">
        <v>6582.317</v>
      </c>
      <c r="AQ116">
        <v>6593.2579999999998</v>
      </c>
      <c r="AR116">
        <v>6804.7420000000002</v>
      </c>
      <c r="AS116">
        <v>6414.7039999999997</v>
      </c>
      <c r="AT116">
        <v>6247.9229999999998</v>
      </c>
      <c r="AU116">
        <v>6564.1040000000003</v>
      </c>
      <c r="AV116">
        <v>6651.5119999999997</v>
      </c>
      <c r="AW116">
        <v>6603.9009999999898</v>
      </c>
      <c r="AX116">
        <v>6457.5140000000101</v>
      </c>
      <c r="AY116">
        <v>5895.6909999999898</v>
      </c>
      <c r="AZ116">
        <v>6117.5379999999996</v>
      </c>
      <c r="BA116">
        <v>6491.4780000000001</v>
      </c>
      <c r="BB116">
        <v>6364.5950000000003</v>
      </c>
      <c r="BC116">
        <v>6797.7979999999998</v>
      </c>
      <c r="BD116">
        <v>6797.0249999999996</v>
      </c>
      <c r="BE116">
        <v>6903.11</v>
      </c>
      <c r="BF116">
        <v>7482.2969999999996</v>
      </c>
      <c r="BG116">
        <v>7094.8329999999996</v>
      </c>
      <c r="BH116">
        <v>7194.1819999999998</v>
      </c>
      <c r="BI116">
        <v>7183.6950000000097</v>
      </c>
      <c r="BJ116">
        <v>7174.0919999999896</v>
      </c>
      <c r="BK116">
        <v>8064.7839999999997</v>
      </c>
    </row>
    <row r="117" spans="1:63">
      <c r="A117" s="216">
        <v>43891</v>
      </c>
      <c r="B117" t="s">
        <v>42</v>
      </c>
      <c r="C117">
        <v>12</v>
      </c>
      <c r="D117" t="s">
        <v>437</v>
      </c>
      <c r="E117" s="217">
        <v>43891</v>
      </c>
      <c r="F117">
        <v>9826</v>
      </c>
      <c r="G117" s="227" t="s">
        <v>110</v>
      </c>
      <c r="O117" s="221" t="s">
        <v>451</v>
      </c>
      <c r="P117">
        <v>9493.348</v>
      </c>
      <c r="Q117">
        <v>8953.7080000000005</v>
      </c>
      <c r="R117">
        <v>9193.2340000000004</v>
      </c>
      <c r="S117">
        <v>9066.0439999999999</v>
      </c>
      <c r="T117">
        <v>10703.868</v>
      </c>
      <c r="U117">
        <v>9087.8860000000095</v>
      </c>
      <c r="V117">
        <v>9668.7359999999899</v>
      </c>
      <c r="W117">
        <v>11062.136</v>
      </c>
      <c r="X117">
        <v>9963.7919999999904</v>
      </c>
      <c r="Y117">
        <v>9979.9910000000109</v>
      </c>
      <c r="Z117">
        <v>11236.049000000001</v>
      </c>
      <c r="AA117">
        <v>13648.127</v>
      </c>
      <c r="AB117">
        <v>9903.3580000000002</v>
      </c>
      <c r="AC117">
        <v>9612.4339999999993</v>
      </c>
      <c r="AD117">
        <v>9738.0259999999998</v>
      </c>
      <c r="AE117">
        <v>10108.386</v>
      </c>
      <c r="AF117">
        <v>9700.7939999999999</v>
      </c>
      <c r="AG117">
        <v>10021.843999999999</v>
      </c>
      <c r="AH117">
        <v>10161.062</v>
      </c>
      <c r="AI117">
        <v>9493.4770000000008</v>
      </c>
      <c r="AJ117">
        <v>9896.2579999999998</v>
      </c>
      <c r="AK117">
        <v>9074.4080000000104</v>
      </c>
      <c r="AL117">
        <v>10429.717000000001</v>
      </c>
      <c r="AM117">
        <v>7713.1390000000101</v>
      </c>
      <c r="AN117">
        <v>9189.1620000000003</v>
      </c>
      <c r="AO117">
        <v>9665.9369999999999</v>
      </c>
      <c r="AP117">
        <v>9334.65</v>
      </c>
      <c r="AQ117">
        <v>11800.132</v>
      </c>
      <c r="AR117">
        <v>10201.841</v>
      </c>
      <c r="AS117">
        <v>9823.1239999999998</v>
      </c>
      <c r="AT117">
        <v>10016.858</v>
      </c>
      <c r="AU117">
        <v>9680.44</v>
      </c>
      <c r="AV117">
        <v>11324.512000000001</v>
      </c>
      <c r="AW117">
        <v>9693.33</v>
      </c>
      <c r="AX117">
        <v>8845.69</v>
      </c>
      <c r="AY117">
        <v>10929.857</v>
      </c>
      <c r="AZ117">
        <v>10042.727999999999</v>
      </c>
      <c r="BA117">
        <v>10033.941999999999</v>
      </c>
      <c r="BB117">
        <v>10014.053</v>
      </c>
      <c r="BC117">
        <v>9365.1080000000002</v>
      </c>
      <c r="BD117">
        <v>10048.280000000001</v>
      </c>
      <c r="BE117">
        <v>10550.938</v>
      </c>
      <c r="BF117">
        <v>9420.0130000000099</v>
      </c>
      <c r="BG117">
        <v>9818.3769999999895</v>
      </c>
      <c r="BH117">
        <v>11071.933999999999</v>
      </c>
      <c r="BI117">
        <v>8959.0609999999906</v>
      </c>
      <c r="BJ117">
        <v>8891.3940000000002</v>
      </c>
      <c r="BK117">
        <v>8210.6990000000096</v>
      </c>
    </row>
    <row r="118" spans="1:63">
      <c r="A118" s="216">
        <v>43891</v>
      </c>
      <c r="B118" t="s">
        <v>42</v>
      </c>
      <c r="C118">
        <v>12</v>
      </c>
      <c r="D118" t="s">
        <v>437</v>
      </c>
      <c r="E118" s="217">
        <v>43891</v>
      </c>
      <c r="F118">
        <v>91436</v>
      </c>
      <c r="G118" s="227" t="s">
        <v>434</v>
      </c>
      <c r="O118" s="221" t="s">
        <v>454</v>
      </c>
      <c r="P118">
        <v>4948.9279999999999</v>
      </c>
      <c r="Q118">
        <v>5555.1949999999997</v>
      </c>
      <c r="R118">
        <v>5448.9859999999999</v>
      </c>
      <c r="S118">
        <v>6107.2879999999996</v>
      </c>
      <c r="T118">
        <v>5191.741</v>
      </c>
      <c r="U118">
        <v>5164.3850000000002</v>
      </c>
      <c r="V118">
        <v>5819.7520000000004</v>
      </c>
      <c r="W118">
        <v>5815.5349999999999</v>
      </c>
      <c r="X118">
        <v>5742.7760000000098</v>
      </c>
      <c r="Y118">
        <v>6247.63</v>
      </c>
      <c r="Z118">
        <v>5173.6809999999996</v>
      </c>
      <c r="AA118">
        <v>5274.9180000000097</v>
      </c>
      <c r="AB118">
        <v>4835.2089999999998</v>
      </c>
      <c r="AC118">
        <v>4334.0829999999996</v>
      </c>
      <c r="AD118">
        <v>5706.8980000000001</v>
      </c>
      <c r="AE118">
        <v>5631.2730000000001</v>
      </c>
      <c r="AF118">
        <v>4950.4350000000004</v>
      </c>
      <c r="AG118">
        <v>5989.3050000000003</v>
      </c>
      <c r="AH118">
        <v>5627.3379999999997</v>
      </c>
      <c r="AI118">
        <v>5479.4290000000001</v>
      </c>
      <c r="AJ118">
        <v>5706.6710000000003</v>
      </c>
      <c r="AK118">
        <v>4991.9129999999896</v>
      </c>
      <c r="AL118">
        <v>4843.4949999999999</v>
      </c>
      <c r="AM118">
        <v>8617.4269999999997</v>
      </c>
      <c r="AN118">
        <v>5939.1080000000002</v>
      </c>
      <c r="AO118">
        <v>7083.9719999999998</v>
      </c>
      <c r="AP118">
        <v>5482.2049999999999</v>
      </c>
      <c r="AQ118">
        <v>6510.4589999999998</v>
      </c>
      <c r="AR118">
        <v>6037.3389999999999</v>
      </c>
      <c r="AS118">
        <v>6506.4669999999996</v>
      </c>
      <c r="AT118">
        <v>6715.9480000000003</v>
      </c>
      <c r="AU118">
        <v>6363.9369999999999</v>
      </c>
      <c r="AV118">
        <v>5774.6760000000004</v>
      </c>
      <c r="AW118">
        <v>6835.7089999999998</v>
      </c>
      <c r="AX118">
        <v>6422.0140000000001</v>
      </c>
      <c r="AY118">
        <v>6163.7969999999896</v>
      </c>
      <c r="AZ118">
        <v>5047.9690000000001</v>
      </c>
      <c r="BA118">
        <v>6924.3410000000003</v>
      </c>
      <c r="BB118">
        <v>6901.5219999999999</v>
      </c>
      <c r="BC118">
        <v>6462.9880000000003</v>
      </c>
      <c r="BD118">
        <v>7372.2150000000001</v>
      </c>
      <c r="BE118">
        <v>6968.0720000000001</v>
      </c>
      <c r="BF118">
        <v>5927.2759999999998</v>
      </c>
      <c r="BG118">
        <v>7154.4030000000002</v>
      </c>
      <c r="BH118">
        <v>6636.8519999999999</v>
      </c>
      <c r="BI118">
        <v>6549.4160000000002</v>
      </c>
      <c r="BJ118">
        <v>6374.0950000000003</v>
      </c>
      <c r="BK118">
        <v>6467.5079999999998</v>
      </c>
    </row>
    <row r="119" spans="1:63">
      <c r="A119" s="216">
        <v>43891</v>
      </c>
      <c r="B119" t="s">
        <v>43</v>
      </c>
      <c r="C119">
        <v>4</v>
      </c>
      <c r="D119" t="s">
        <v>442</v>
      </c>
      <c r="E119" s="217">
        <v>43891</v>
      </c>
      <c r="F119">
        <v>135578</v>
      </c>
      <c r="G119" s="227" t="s">
        <v>70</v>
      </c>
      <c r="O119" s="221" t="s">
        <v>433</v>
      </c>
      <c r="P119">
        <v>44989.853000000003</v>
      </c>
      <c r="Q119">
        <v>45145.612999999998</v>
      </c>
      <c r="R119">
        <v>44904.81</v>
      </c>
      <c r="S119">
        <v>44255.51</v>
      </c>
      <c r="T119">
        <v>45213.09</v>
      </c>
      <c r="U119">
        <v>44015.006999999998</v>
      </c>
      <c r="V119">
        <v>45849.432999999997</v>
      </c>
      <c r="W119">
        <v>45156.236999999899</v>
      </c>
      <c r="X119">
        <v>44729.95</v>
      </c>
      <c r="Y119">
        <v>44977.838000000003</v>
      </c>
      <c r="Z119">
        <v>47527.355000000003</v>
      </c>
      <c r="AA119">
        <v>69730.870999999999</v>
      </c>
      <c r="AB119">
        <v>45794.502</v>
      </c>
      <c r="AC119">
        <v>48892.273000000001</v>
      </c>
      <c r="AD119">
        <v>48286.326000000001</v>
      </c>
      <c r="AE119">
        <v>47391.203999999998</v>
      </c>
      <c r="AF119">
        <v>48099.415999999997</v>
      </c>
      <c r="AG119">
        <v>47453.936000000002</v>
      </c>
      <c r="AH119">
        <v>51615.071000000004</v>
      </c>
      <c r="AI119">
        <v>48462.625</v>
      </c>
      <c r="AJ119">
        <v>49294.923999999999</v>
      </c>
      <c r="AK119">
        <v>51509.915999999997</v>
      </c>
      <c r="AL119">
        <v>50741.074000000001</v>
      </c>
      <c r="AM119">
        <v>110729.932</v>
      </c>
      <c r="AN119">
        <v>49002.392999999996</v>
      </c>
      <c r="AO119">
        <v>49071.368000000002</v>
      </c>
      <c r="AP119">
        <v>48376.724000000002</v>
      </c>
      <c r="AQ119">
        <v>49139.817999999999</v>
      </c>
      <c r="AR119">
        <v>50532.385000000002</v>
      </c>
      <c r="AS119">
        <v>57539.614999999998</v>
      </c>
      <c r="AT119">
        <v>51711.83</v>
      </c>
      <c r="AU119">
        <v>52682.656000000003</v>
      </c>
      <c r="AV119">
        <v>52273.201999999997</v>
      </c>
      <c r="AW119">
        <v>56191.694000000003</v>
      </c>
      <c r="AX119">
        <v>53486.351999999999</v>
      </c>
      <c r="AY119">
        <v>95795.86</v>
      </c>
      <c r="AZ119">
        <v>48209.665000000001</v>
      </c>
      <c r="BA119">
        <v>53948.307999999997</v>
      </c>
      <c r="BB119">
        <v>52408.711000000003</v>
      </c>
      <c r="BC119">
        <v>54695.156999999999</v>
      </c>
      <c r="BD119">
        <v>54327.529000000002</v>
      </c>
      <c r="BE119">
        <v>67324.932000000001</v>
      </c>
      <c r="BF119">
        <v>56578.864999999998</v>
      </c>
      <c r="BG119">
        <v>58703.39</v>
      </c>
      <c r="BH119">
        <v>46512.389000000003</v>
      </c>
      <c r="BI119">
        <v>56068.531000000003</v>
      </c>
      <c r="BJ119">
        <v>57246.319000000003</v>
      </c>
      <c r="BK119">
        <v>112236.7</v>
      </c>
    </row>
    <row r="120" spans="1:63">
      <c r="A120" s="216">
        <v>43891</v>
      </c>
      <c r="B120" t="s">
        <v>43</v>
      </c>
      <c r="C120">
        <v>4</v>
      </c>
      <c r="D120" t="s">
        <v>442</v>
      </c>
      <c r="E120" s="217">
        <v>43891</v>
      </c>
      <c r="F120">
        <v>135093</v>
      </c>
      <c r="G120" s="227" t="s">
        <v>114</v>
      </c>
      <c r="O120" s="221" t="s">
        <v>445</v>
      </c>
      <c r="P120">
        <v>8539.4549999999999</v>
      </c>
      <c r="Q120">
        <v>8656.0969999999998</v>
      </c>
      <c r="R120">
        <v>7524.2640000000001</v>
      </c>
      <c r="S120">
        <v>9021.8459999999995</v>
      </c>
      <c r="T120">
        <v>8938.1760000000104</v>
      </c>
      <c r="U120">
        <v>9257.768</v>
      </c>
      <c r="V120">
        <v>10742.359</v>
      </c>
      <c r="W120">
        <v>10508.003000000001</v>
      </c>
      <c r="X120">
        <v>10136.911</v>
      </c>
      <c r="Y120">
        <v>9458.7950000000201</v>
      </c>
      <c r="Z120">
        <v>10466.075000000001</v>
      </c>
      <c r="AA120">
        <v>11150.107</v>
      </c>
      <c r="AB120">
        <v>9272.0249999999996</v>
      </c>
      <c r="AC120">
        <v>13603.628000000001</v>
      </c>
      <c r="AD120">
        <v>29775.412</v>
      </c>
      <c r="AE120">
        <v>-9289.6229999999996</v>
      </c>
      <c r="AF120">
        <v>9675.6260000000002</v>
      </c>
      <c r="AG120">
        <v>10043.677</v>
      </c>
      <c r="AH120">
        <v>10657.379000000001</v>
      </c>
      <c r="AI120">
        <v>11254.642</v>
      </c>
      <c r="AJ120">
        <v>11328.553</v>
      </c>
      <c r="AK120">
        <v>10732.597</v>
      </c>
      <c r="AL120">
        <v>11377.268</v>
      </c>
      <c r="AM120">
        <v>22712</v>
      </c>
      <c r="AN120">
        <v>9733.2649999999994</v>
      </c>
      <c r="AO120">
        <v>8893.42</v>
      </c>
      <c r="AP120">
        <v>11533.084999999999</v>
      </c>
      <c r="AQ120">
        <v>10913.953</v>
      </c>
      <c r="AR120">
        <v>10884.763999999999</v>
      </c>
      <c r="AS120">
        <v>11726.383</v>
      </c>
      <c r="AT120">
        <v>11037.362999999999</v>
      </c>
      <c r="AU120">
        <v>11991.054</v>
      </c>
      <c r="AV120">
        <v>13200.569</v>
      </c>
      <c r="AW120">
        <v>12404.708000000001</v>
      </c>
      <c r="AX120">
        <v>13618.137000000001</v>
      </c>
      <c r="AY120">
        <v>25482.395</v>
      </c>
      <c r="AZ120">
        <v>11423.199000000001</v>
      </c>
      <c r="BA120">
        <v>12473.735000000001</v>
      </c>
      <c r="BB120">
        <v>11315.875</v>
      </c>
      <c r="BC120">
        <v>11101.58</v>
      </c>
      <c r="BD120">
        <v>12317.021000000001</v>
      </c>
      <c r="BE120">
        <v>13018.234</v>
      </c>
      <c r="BF120">
        <v>14511.834999999999</v>
      </c>
      <c r="BG120">
        <v>11986.706</v>
      </c>
      <c r="BH120">
        <v>12033.463</v>
      </c>
      <c r="BI120">
        <v>11465.636</v>
      </c>
      <c r="BJ120">
        <v>11982.66</v>
      </c>
      <c r="BK120">
        <v>7973.6109999999999</v>
      </c>
    </row>
    <row r="121" spans="1:63">
      <c r="A121" s="216">
        <v>43891</v>
      </c>
      <c r="B121" t="s">
        <v>43</v>
      </c>
      <c r="C121">
        <v>4</v>
      </c>
      <c r="D121" t="s">
        <v>442</v>
      </c>
      <c r="E121" s="217">
        <v>43891</v>
      </c>
      <c r="F121">
        <v>135237</v>
      </c>
      <c r="G121" s="227" t="s">
        <v>105</v>
      </c>
      <c r="O121" s="221" t="s">
        <v>437</v>
      </c>
      <c r="P121">
        <v>4078.9749999999999</v>
      </c>
      <c r="Q121">
        <v>4305.2820000000002</v>
      </c>
      <c r="R121">
        <v>4102.0069999999996</v>
      </c>
      <c r="S121">
        <v>4428.3919999999998</v>
      </c>
      <c r="T121">
        <v>4434.1790000000001</v>
      </c>
      <c r="U121">
        <v>4396.2</v>
      </c>
      <c r="V121">
        <v>4499.47</v>
      </c>
      <c r="W121">
        <v>4503.7070000000003</v>
      </c>
      <c r="X121">
        <v>5035.3339999999998</v>
      </c>
      <c r="Y121">
        <v>4356.4560000000001</v>
      </c>
      <c r="Z121">
        <v>4336.6750000000002</v>
      </c>
      <c r="AA121">
        <v>4612.2150000000001</v>
      </c>
      <c r="AB121">
        <v>4601.5680000000002</v>
      </c>
      <c r="AC121">
        <v>4717.3220000000001</v>
      </c>
      <c r="AD121">
        <v>4538.2079999999996</v>
      </c>
      <c r="AE121">
        <v>4969.2169999999996</v>
      </c>
      <c r="AF121">
        <v>4900.1210000000001</v>
      </c>
      <c r="AG121">
        <v>5834.0990000000002</v>
      </c>
      <c r="AH121">
        <v>5560.1629999999996</v>
      </c>
      <c r="AI121">
        <v>5121.3779999999997</v>
      </c>
      <c r="AJ121">
        <v>5292.8379999999997</v>
      </c>
      <c r="AK121">
        <v>5751.5209999999997</v>
      </c>
      <c r="AL121">
        <v>5199.3460000000096</v>
      </c>
      <c r="AM121">
        <v>7384.3050000000003</v>
      </c>
      <c r="AN121">
        <v>5248.7579999999998</v>
      </c>
      <c r="AO121">
        <v>5180.8670000000002</v>
      </c>
      <c r="AP121">
        <v>4923.6499999999996</v>
      </c>
      <c r="AQ121">
        <v>5190.9350000000004</v>
      </c>
      <c r="AR121">
        <v>5108.1009999999997</v>
      </c>
      <c r="AS121">
        <v>5522.2120000000004</v>
      </c>
      <c r="AT121">
        <v>5579.6769999999997</v>
      </c>
      <c r="AU121">
        <v>5296.3770000000004</v>
      </c>
      <c r="AV121">
        <v>6124.9080000000004</v>
      </c>
      <c r="AW121">
        <v>5312.2749999999996</v>
      </c>
      <c r="AX121">
        <v>6317.2160000000003</v>
      </c>
      <c r="AY121">
        <v>8562.6219999999994</v>
      </c>
      <c r="AZ121">
        <v>5541.5119999999997</v>
      </c>
      <c r="BA121">
        <v>5886.0119999999997</v>
      </c>
      <c r="BB121">
        <v>5639.8739999999998</v>
      </c>
      <c r="BC121">
        <v>5347.4189999999999</v>
      </c>
      <c r="BD121">
        <v>6043.6580000000004</v>
      </c>
      <c r="BE121">
        <v>6155.4350000000004</v>
      </c>
      <c r="BF121">
        <v>6014.9269999999997</v>
      </c>
      <c r="BG121">
        <v>6114.1509999999998</v>
      </c>
      <c r="BH121">
        <v>6934.0680000000002</v>
      </c>
      <c r="BI121">
        <v>6487.81</v>
      </c>
      <c r="BJ121">
        <v>5725.6090000000004</v>
      </c>
      <c r="BK121">
        <v>3905.9319999999998</v>
      </c>
    </row>
    <row r="122" spans="1:63">
      <c r="A122" s="216">
        <v>43891</v>
      </c>
      <c r="B122" t="s">
        <v>43</v>
      </c>
      <c r="C122">
        <v>4</v>
      </c>
      <c r="D122" t="s">
        <v>442</v>
      </c>
      <c r="E122" s="217">
        <v>43891</v>
      </c>
      <c r="F122">
        <v>140318</v>
      </c>
      <c r="G122" s="227" t="s">
        <v>100</v>
      </c>
      <c r="O122" s="221" t="s">
        <v>441</v>
      </c>
      <c r="P122">
        <v>11540.196</v>
      </c>
      <c r="Q122">
        <v>12294.772000000001</v>
      </c>
      <c r="R122">
        <v>12821.405000000001</v>
      </c>
      <c r="S122">
        <v>12327.870999999999</v>
      </c>
      <c r="T122">
        <v>12269.906000000001</v>
      </c>
      <c r="U122">
        <v>12547.178</v>
      </c>
      <c r="V122">
        <v>12086.808000000001</v>
      </c>
      <c r="W122">
        <v>13076.618</v>
      </c>
      <c r="X122">
        <v>12672.291999999999</v>
      </c>
      <c r="Y122">
        <v>12931.26</v>
      </c>
      <c r="Z122">
        <v>12567.204</v>
      </c>
      <c r="AA122">
        <v>10528.486999999999</v>
      </c>
      <c r="AB122">
        <v>12740.108</v>
      </c>
      <c r="AC122">
        <v>12797.007</v>
      </c>
      <c r="AD122">
        <v>12720.504999999999</v>
      </c>
      <c r="AE122">
        <v>13644.786</v>
      </c>
      <c r="AF122">
        <v>12986.66</v>
      </c>
      <c r="AG122">
        <v>14380.927</v>
      </c>
      <c r="AH122">
        <v>13213.2</v>
      </c>
      <c r="AI122">
        <v>13737.339</v>
      </c>
      <c r="AJ122">
        <v>13472.965</v>
      </c>
      <c r="AK122">
        <v>13340.739</v>
      </c>
      <c r="AL122">
        <v>11764.43</v>
      </c>
      <c r="AM122">
        <v>13971.883</v>
      </c>
      <c r="AN122">
        <v>13355.688</v>
      </c>
      <c r="AO122">
        <v>13410.807000000001</v>
      </c>
      <c r="AP122">
        <v>13509.227999999999</v>
      </c>
      <c r="AQ122">
        <v>14267.585999999999</v>
      </c>
      <c r="AR122">
        <v>14689.236999999999</v>
      </c>
      <c r="AS122">
        <v>14864.656999999999</v>
      </c>
      <c r="AT122">
        <v>14185.879000000001</v>
      </c>
      <c r="AU122">
        <v>14059.081</v>
      </c>
      <c r="AV122">
        <v>14370.455</v>
      </c>
      <c r="AW122">
        <v>14659.778</v>
      </c>
      <c r="AX122">
        <v>13033.494000000001</v>
      </c>
      <c r="AY122">
        <v>15937.138000000001</v>
      </c>
      <c r="AZ122">
        <v>14045.763000000001</v>
      </c>
      <c r="BA122">
        <v>14180.563</v>
      </c>
      <c r="BB122">
        <v>15453.987999999999</v>
      </c>
      <c r="BC122">
        <v>14686.644</v>
      </c>
      <c r="BD122">
        <v>14239.078</v>
      </c>
      <c r="BE122">
        <v>15172.777</v>
      </c>
      <c r="BF122">
        <v>14755.236000000001</v>
      </c>
      <c r="BG122">
        <v>14869.981</v>
      </c>
      <c r="BH122">
        <v>16164.199000000001</v>
      </c>
      <c r="BI122">
        <v>14430.161</v>
      </c>
      <c r="BJ122">
        <v>17233.815999999999</v>
      </c>
      <c r="BK122">
        <v>14918.01</v>
      </c>
    </row>
    <row r="123" spans="1:63">
      <c r="A123" s="216">
        <v>43891</v>
      </c>
      <c r="B123" t="s">
        <v>43</v>
      </c>
      <c r="C123">
        <v>4</v>
      </c>
      <c r="D123" t="s">
        <v>442</v>
      </c>
      <c r="E123" s="217">
        <v>43891</v>
      </c>
      <c r="F123">
        <v>136848</v>
      </c>
      <c r="G123" s="227" t="s">
        <v>83</v>
      </c>
      <c r="O123" s="221" t="s">
        <v>447</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row>
    <row r="124" spans="1:63">
      <c r="A124" s="216">
        <v>43891</v>
      </c>
      <c r="B124" t="s">
        <v>43</v>
      </c>
      <c r="C124">
        <v>4</v>
      </c>
      <c r="D124" t="s">
        <v>442</v>
      </c>
      <c r="E124" s="217">
        <v>43891</v>
      </c>
      <c r="F124">
        <v>136797</v>
      </c>
      <c r="G124" s="227" t="s">
        <v>127</v>
      </c>
      <c r="O124" s="7" t="s">
        <v>49</v>
      </c>
      <c r="P124">
        <v>29030.067999999999</v>
      </c>
      <c r="Q124">
        <v>45642.722000000002</v>
      </c>
      <c r="R124">
        <v>36807.217100000002</v>
      </c>
      <c r="S124">
        <v>36548</v>
      </c>
      <c r="T124">
        <v>34169</v>
      </c>
      <c r="U124">
        <v>35336</v>
      </c>
      <c r="V124">
        <v>40281</v>
      </c>
      <c r="W124">
        <v>32797.482000000004</v>
      </c>
      <c r="X124">
        <v>57833</v>
      </c>
      <c r="Y124">
        <v>39562.120000000003</v>
      </c>
      <c r="Z124">
        <v>37935.434000000001</v>
      </c>
      <c r="AA124">
        <v>93810.334956000006</v>
      </c>
      <c r="AB124">
        <v>20183.720999999998</v>
      </c>
      <c r="AC124">
        <v>26539</v>
      </c>
      <c r="AD124">
        <v>24389.858</v>
      </c>
      <c r="AE124">
        <v>23285.944</v>
      </c>
      <c r="AF124">
        <v>22620.217420000001</v>
      </c>
      <c r="AG124">
        <v>28110.608349999988</v>
      </c>
      <c r="AH124">
        <v>24724.484839999997</v>
      </c>
      <c r="AI124">
        <v>24318.406929999997</v>
      </c>
      <c r="AJ124">
        <v>27694.258589999998</v>
      </c>
      <c r="AK124">
        <v>27608.81709</v>
      </c>
      <c r="AL124">
        <v>16331.982109999999</v>
      </c>
      <c r="AM124">
        <v>32847.827600000004</v>
      </c>
      <c r="AN124">
        <v>25163.542333333298</v>
      </c>
      <c r="AO124">
        <v>26514.167173333299</v>
      </c>
      <c r="AP124">
        <v>25321.575333333301</v>
      </c>
      <c r="AQ124">
        <v>24854.466049999999</v>
      </c>
      <c r="AR124">
        <v>27315.885807777784</v>
      </c>
      <c r="AS124">
        <v>27491.268</v>
      </c>
      <c r="AT124">
        <v>25497.647609999996</v>
      </c>
      <c r="AU124">
        <v>26936.416999999998</v>
      </c>
      <c r="AV124">
        <v>27087.393</v>
      </c>
      <c r="AW124">
        <v>26452.5</v>
      </c>
      <c r="AX124">
        <v>27735.404829999999</v>
      </c>
      <c r="AY124">
        <v>45024.580430000002</v>
      </c>
      <c r="AZ124">
        <v>26935.928</v>
      </c>
      <c r="BA124">
        <v>28691.867393939388</v>
      </c>
      <c r="BB124">
        <v>27691.51</v>
      </c>
      <c r="BC124">
        <v>26946.591509562288</v>
      </c>
      <c r="BD124">
        <v>27164.922009562288</v>
      </c>
      <c r="BE124">
        <v>31894.33595956229</v>
      </c>
      <c r="BF124">
        <v>30498.138129562292</v>
      </c>
      <c r="BG124">
        <v>31611.52722289562</v>
      </c>
      <c r="BH124">
        <v>31567.818212895621</v>
      </c>
      <c r="BI124">
        <v>24585.760740000002</v>
      </c>
      <c r="BJ124">
        <v>27058.232899999999</v>
      </c>
      <c r="BK124">
        <v>46956.492080000004</v>
      </c>
    </row>
    <row r="125" spans="1:63">
      <c r="A125" s="216">
        <v>43891</v>
      </c>
      <c r="B125" t="s">
        <v>43</v>
      </c>
      <c r="C125">
        <v>4</v>
      </c>
      <c r="D125" t="s">
        <v>442</v>
      </c>
      <c r="E125" s="217">
        <v>43891</v>
      </c>
      <c r="F125">
        <v>141873</v>
      </c>
      <c r="G125" s="227" t="s">
        <v>123</v>
      </c>
      <c r="O125" s="221" t="s">
        <v>442</v>
      </c>
      <c r="P125">
        <v>29030.067999999999</v>
      </c>
      <c r="Q125">
        <v>45642.722000000002</v>
      </c>
      <c r="R125">
        <v>36807.217100000002</v>
      </c>
      <c r="S125">
        <v>36548</v>
      </c>
      <c r="T125">
        <v>34169</v>
      </c>
      <c r="U125">
        <v>35336</v>
      </c>
      <c r="V125">
        <v>40281</v>
      </c>
      <c r="W125">
        <v>32797.482000000004</v>
      </c>
      <c r="X125">
        <v>57833</v>
      </c>
      <c r="Y125">
        <v>39562.120000000003</v>
      </c>
      <c r="Z125">
        <v>37935.434000000001</v>
      </c>
      <c r="AA125">
        <v>93810.334956000006</v>
      </c>
      <c r="AB125">
        <v>10361.721</v>
      </c>
      <c r="AC125">
        <v>13537</v>
      </c>
      <c r="AD125">
        <v>12455.279</v>
      </c>
      <c r="AE125">
        <v>11906</v>
      </c>
      <c r="AF125">
        <v>11567.01742</v>
      </c>
      <c r="AG125">
        <v>14334.742840000001</v>
      </c>
      <c r="AH125">
        <v>12617.884840000001</v>
      </c>
      <c r="AI125">
        <v>12432.69593</v>
      </c>
      <c r="AJ125">
        <v>14105.27259</v>
      </c>
      <c r="AK125">
        <v>14066.079589999999</v>
      </c>
      <c r="AL125">
        <v>8427.4275899999993</v>
      </c>
      <c r="AM125">
        <v>16675.827600000001</v>
      </c>
      <c r="AN125">
        <v>12864.0603333333</v>
      </c>
      <c r="AO125">
        <v>13539.667173333301</v>
      </c>
      <c r="AP125">
        <v>12942.6673333333</v>
      </c>
      <c r="AQ125">
        <v>12715.658160000001</v>
      </c>
      <c r="AR125">
        <v>13947.423000000001</v>
      </c>
      <c r="AS125">
        <v>14064.468000000001</v>
      </c>
      <c r="AT125">
        <v>13082.546609999999</v>
      </c>
      <c r="AU125">
        <v>13802.331</v>
      </c>
      <c r="AV125">
        <v>13897.325999999999</v>
      </c>
      <c r="AW125">
        <v>13600</v>
      </c>
      <c r="AX125">
        <v>14267.10483</v>
      </c>
      <c r="AY125">
        <v>22899.280429999999</v>
      </c>
      <c r="AZ125">
        <v>13914.464</v>
      </c>
      <c r="BA125">
        <v>14700.472</v>
      </c>
      <c r="BB125">
        <v>14094.300999999999</v>
      </c>
      <c r="BC125">
        <v>13491.663399999999</v>
      </c>
      <c r="BD125">
        <v>13844.70112</v>
      </c>
      <c r="BE125">
        <v>16196.49215</v>
      </c>
      <c r="BF125">
        <v>15494.787920000001</v>
      </c>
      <c r="BG125">
        <v>15992.8658</v>
      </c>
      <c r="BH125">
        <v>15974.382589999999</v>
      </c>
      <c r="BI125">
        <v>12440.13474</v>
      </c>
      <c r="BJ125">
        <v>13687.632900000001</v>
      </c>
      <c r="BK125">
        <v>23696.692080000001</v>
      </c>
    </row>
    <row r="126" spans="1:63">
      <c r="A126" s="216">
        <v>43891</v>
      </c>
      <c r="B126" t="s">
        <v>43</v>
      </c>
      <c r="C126">
        <v>4</v>
      </c>
      <c r="D126" t="s">
        <v>442</v>
      </c>
      <c r="E126" s="217">
        <v>43891</v>
      </c>
      <c r="F126">
        <v>137747</v>
      </c>
      <c r="G126" s="227" t="s">
        <v>119</v>
      </c>
      <c r="O126" s="221" t="s">
        <v>450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row>
    <row r="127" spans="1:63">
      <c r="A127" s="216">
        <v>43891</v>
      </c>
      <c r="B127" t="s">
        <v>43</v>
      </c>
      <c r="C127">
        <v>4</v>
      </c>
      <c r="D127" t="s">
        <v>442</v>
      </c>
      <c r="E127" s="217">
        <v>43891</v>
      </c>
      <c r="F127">
        <v>139680</v>
      </c>
      <c r="G127" s="227" t="s">
        <v>88</v>
      </c>
      <c r="O127" s="221" t="s">
        <v>451</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row>
    <row r="128" spans="1:63">
      <c r="A128" s="216">
        <v>43891</v>
      </c>
      <c r="B128" t="s">
        <v>43</v>
      </c>
      <c r="C128">
        <v>4</v>
      </c>
      <c r="D128" t="s">
        <v>442</v>
      </c>
      <c r="E128" s="217">
        <v>43891</v>
      </c>
      <c r="F128">
        <v>141178</v>
      </c>
      <c r="G128" s="227" t="s">
        <v>96</v>
      </c>
      <c r="O128" s="221" t="s">
        <v>454</v>
      </c>
      <c r="AB128">
        <v>2255</v>
      </c>
      <c r="AC128">
        <v>3411</v>
      </c>
      <c r="AD128">
        <v>3482</v>
      </c>
      <c r="AE128">
        <v>3193</v>
      </c>
      <c r="AF128">
        <v>2757</v>
      </c>
      <c r="AG128">
        <v>4337</v>
      </c>
      <c r="AH128">
        <v>3212</v>
      </c>
      <c r="AI128">
        <v>3259</v>
      </c>
      <c r="AJ128">
        <v>3300</v>
      </c>
      <c r="AK128">
        <v>4388</v>
      </c>
      <c r="AL128">
        <v>-811</v>
      </c>
      <c r="AM128">
        <v>4003</v>
      </c>
      <c r="AN128">
        <v>3933</v>
      </c>
      <c r="AO128">
        <v>4287</v>
      </c>
      <c r="AP128">
        <v>3441</v>
      </c>
      <c r="AQ128">
        <v>3689</v>
      </c>
      <c r="AR128">
        <v>4246</v>
      </c>
      <c r="AS128">
        <v>3492</v>
      </c>
      <c r="AT128">
        <v>3488</v>
      </c>
      <c r="AU128">
        <v>3609</v>
      </c>
      <c r="AV128">
        <v>4464</v>
      </c>
      <c r="AW128">
        <v>3271</v>
      </c>
      <c r="AX128">
        <v>4330</v>
      </c>
      <c r="AY128">
        <v>5606</v>
      </c>
      <c r="AZ128">
        <v>4265</v>
      </c>
      <c r="BA128">
        <v>4570</v>
      </c>
      <c r="BB128">
        <v>3381</v>
      </c>
      <c r="BC128">
        <v>4036</v>
      </c>
      <c r="BD128">
        <v>3659</v>
      </c>
      <c r="BE128">
        <v>4461</v>
      </c>
      <c r="BF128">
        <v>4553</v>
      </c>
      <c r="BG128">
        <v>5028</v>
      </c>
      <c r="BH128">
        <v>4963</v>
      </c>
      <c r="BI128">
        <v>1449</v>
      </c>
      <c r="BJ128">
        <v>3725</v>
      </c>
      <c r="BK128">
        <v>3329</v>
      </c>
    </row>
    <row r="129" spans="1:63">
      <c r="A129" s="216">
        <v>43891</v>
      </c>
      <c r="B129" t="s">
        <v>43</v>
      </c>
      <c r="C129">
        <v>4</v>
      </c>
      <c r="D129" t="s">
        <v>442</v>
      </c>
      <c r="E129" s="217">
        <v>43891</v>
      </c>
      <c r="F129">
        <v>141490</v>
      </c>
      <c r="G129" s="227" t="s">
        <v>92</v>
      </c>
      <c r="O129" s="221" t="s">
        <v>433</v>
      </c>
      <c r="AB129">
        <v>5267</v>
      </c>
      <c r="AC129">
        <v>5343</v>
      </c>
      <c r="AD129">
        <v>5372.9790000000003</v>
      </c>
      <c r="AE129">
        <v>5522.7439999999997</v>
      </c>
      <c r="AF129">
        <v>5591</v>
      </c>
      <c r="AG129">
        <v>5491.7564000000002</v>
      </c>
      <c r="AH129">
        <v>5728</v>
      </c>
      <c r="AI129">
        <v>5411.1109999999999</v>
      </c>
      <c r="AJ129">
        <v>5471.3860000000004</v>
      </c>
      <c r="AK129">
        <v>5665.0375000000004</v>
      </c>
      <c r="AL129">
        <v>5526.5545199999997</v>
      </c>
      <c r="AM129">
        <v>10901</v>
      </c>
      <c r="AN129">
        <v>5681.482</v>
      </c>
      <c r="AO129">
        <v>5760</v>
      </c>
      <c r="AP129">
        <v>5749.4080000000004</v>
      </c>
      <c r="AQ129">
        <v>5585.3578900000002</v>
      </c>
      <c r="AR129">
        <v>5965.0128077777799</v>
      </c>
      <c r="AS129">
        <v>6770</v>
      </c>
      <c r="AT129">
        <v>5960.9709999999995</v>
      </c>
      <c r="AU129">
        <v>6026.9560000000001</v>
      </c>
      <c r="AV129">
        <v>5755.9369999999999</v>
      </c>
      <c r="AW129">
        <v>6191</v>
      </c>
      <c r="AX129">
        <v>5889</v>
      </c>
      <c r="AY129">
        <v>10257</v>
      </c>
      <c r="AZ129">
        <v>6099.1103899999998</v>
      </c>
      <c r="BA129">
        <v>5896.4560000000001</v>
      </c>
      <c r="BB129">
        <v>5865.2089999999998</v>
      </c>
      <c r="BC129">
        <v>6186.36582</v>
      </c>
      <c r="BD129">
        <v>6075.6585999999998</v>
      </c>
      <c r="BE129">
        <v>7485.2815199999995</v>
      </c>
      <c r="BF129">
        <v>6438.0710200000003</v>
      </c>
      <c r="BG129">
        <v>6606.0749999999998</v>
      </c>
      <c r="BH129">
        <v>6388.64</v>
      </c>
      <c r="BI129">
        <v>6622.7259999999997</v>
      </c>
      <c r="BJ129">
        <v>6338</v>
      </c>
      <c r="BK129">
        <v>12116</v>
      </c>
    </row>
    <row r="130" spans="1:63">
      <c r="A130" s="216">
        <v>43891</v>
      </c>
      <c r="B130" t="s">
        <v>43</v>
      </c>
      <c r="C130">
        <v>4</v>
      </c>
      <c r="D130" t="s">
        <v>442</v>
      </c>
      <c r="E130" s="217">
        <v>43891</v>
      </c>
      <c r="F130">
        <v>241615</v>
      </c>
      <c r="G130" s="227" t="s">
        <v>110</v>
      </c>
      <c r="O130" s="221" t="s">
        <v>445</v>
      </c>
      <c r="AB130">
        <v>2300</v>
      </c>
      <c r="AC130">
        <v>4248</v>
      </c>
      <c r="AD130">
        <v>3079.6</v>
      </c>
      <c r="AE130">
        <v>2664.2</v>
      </c>
      <c r="AF130">
        <v>2705.2</v>
      </c>
      <c r="AG130">
        <v>3947.1091099999899</v>
      </c>
      <c r="AH130">
        <v>3166.6</v>
      </c>
      <c r="AI130">
        <v>3215.6</v>
      </c>
      <c r="AJ130">
        <v>4817.6000000000004</v>
      </c>
      <c r="AK130">
        <v>3489.7</v>
      </c>
      <c r="AL130">
        <v>3189</v>
      </c>
      <c r="AM130">
        <v>1268</v>
      </c>
      <c r="AN130">
        <v>2685</v>
      </c>
      <c r="AO130">
        <v>2927.5</v>
      </c>
      <c r="AP130">
        <v>3188.5</v>
      </c>
      <c r="AQ130">
        <v>2864.45</v>
      </c>
      <c r="AR130">
        <v>3157.45</v>
      </c>
      <c r="AS130">
        <v>3164.8</v>
      </c>
      <c r="AT130">
        <v>2966.13</v>
      </c>
      <c r="AU130">
        <v>3498.13</v>
      </c>
      <c r="AV130">
        <v>2970.13</v>
      </c>
      <c r="AW130">
        <v>3390.5</v>
      </c>
      <c r="AX130">
        <v>3249.3</v>
      </c>
      <c r="AY130">
        <v>6262.3</v>
      </c>
      <c r="AZ130">
        <v>2657.3536100000001</v>
      </c>
      <c r="BA130">
        <v>3524.9393939393899</v>
      </c>
      <c r="BB130">
        <v>4351</v>
      </c>
      <c r="BC130">
        <v>3232.5622895622901</v>
      </c>
      <c r="BD130">
        <v>3585.5622895622901</v>
      </c>
      <c r="BE130">
        <v>3751.5622895622901</v>
      </c>
      <c r="BF130">
        <v>4012.27918956229</v>
      </c>
      <c r="BG130">
        <v>3984.5864228956202</v>
      </c>
      <c r="BH130">
        <v>4241.79562289562</v>
      </c>
      <c r="BI130">
        <v>4073.9</v>
      </c>
      <c r="BJ130">
        <v>3307.6</v>
      </c>
      <c r="BK130">
        <v>7814.8</v>
      </c>
    </row>
    <row r="131" spans="1:63">
      <c r="A131" s="216">
        <v>43891</v>
      </c>
      <c r="B131" t="s">
        <v>43</v>
      </c>
      <c r="C131">
        <v>4</v>
      </c>
      <c r="D131" t="s">
        <v>442</v>
      </c>
      <c r="E131" s="217">
        <v>43891</v>
      </c>
      <c r="F131">
        <v>1763454</v>
      </c>
      <c r="G131" s="227" t="s">
        <v>434</v>
      </c>
      <c r="O131" s="221" t="s">
        <v>437</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row>
    <row r="132" spans="1:63">
      <c r="A132" s="216">
        <v>43891</v>
      </c>
      <c r="B132" t="s">
        <v>43</v>
      </c>
      <c r="C132">
        <v>6</v>
      </c>
      <c r="D132" t="s">
        <v>450</v>
      </c>
      <c r="E132" s="217">
        <v>43891</v>
      </c>
      <c r="F132">
        <v>8156</v>
      </c>
      <c r="G132" s="227" t="s">
        <v>70</v>
      </c>
      <c r="O132" s="221" t="s">
        <v>441</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row>
    <row r="133" spans="1:63">
      <c r="A133" s="216">
        <v>43891</v>
      </c>
      <c r="B133" t="s">
        <v>43</v>
      </c>
      <c r="C133">
        <v>6</v>
      </c>
      <c r="D133" t="s">
        <v>450</v>
      </c>
      <c r="E133" s="217">
        <v>43891</v>
      </c>
      <c r="F133">
        <v>8253</v>
      </c>
      <c r="G133" s="227" t="s">
        <v>114</v>
      </c>
      <c r="O133" s="221" t="s">
        <v>447</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row>
    <row r="134" spans="1:63">
      <c r="A134" s="216">
        <v>43891</v>
      </c>
      <c r="B134" t="s">
        <v>43</v>
      </c>
      <c r="C134">
        <v>6</v>
      </c>
      <c r="D134" t="s">
        <v>450</v>
      </c>
      <c r="E134" s="217">
        <v>43891</v>
      </c>
      <c r="F134">
        <v>8224</v>
      </c>
      <c r="G134" s="227" t="s">
        <v>105</v>
      </c>
      <c r="O134" s="7" t="s">
        <v>50</v>
      </c>
      <c r="P134">
        <v>16224</v>
      </c>
      <c r="Q134">
        <v>15967</v>
      </c>
      <c r="R134">
        <v>16058</v>
      </c>
      <c r="S134">
        <v>17805</v>
      </c>
      <c r="T134">
        <v>16188</v>
      </c>
      <c r="U134">
        <v>16510</v>
      </c>
      <c r="V134">
        <v>16502</v>
      </c>
      <c r="W134">
        <v>18098</v>
      </c>
      <c r="X134">
        <v>17440</v>
      </c>
      <c r="Y134">
        <v>16938</v>
      </c>
      <c r="Z134">
        <v>18258</v>
      </c>
      <c r="AA134">
        <v>25307</v>
      </c>
      <c r="AB134">
        <v>34695</v>
      </c>
      <c r="AC134">
        <v>35637</v>
      </c>
      <c r="AD134">
        <v>35608</v>
      </c>
      <c r="AE134">
        <v>33881</v>
      </c>
      <c r="AF134">
        <v>34589</v>
      </c>
      <c r="AG134">
        <v>34374</v>
      </c>
      <c r="AH134">
        <v>34862</v>
      </c>
      <c r="AI134">
        <v>35452</v>
      </c>
      <c r="AJ134">
        <v>40791</v>
      </c>
      <c r="AK134">
        <v>31769</v>
      </c>
      <c r="AL134">
        <v>40594</v>
      </c>
      <c r="AM134">
        <v>61395</v>
      </c>
      <c r="AN134">
        <v>35896</v>
      </c>
      <c r="AO134">
        <v>37378</v>
      </c>
      <c r="AP134">
        <v>37745</v>
      </c>
      <c r="AQ134">
        <v>41886</v>
      </c>
      <c r="AR134">
        <v>38053</v>
      </c>
      <c r="AS134">
        <v>43860</v>
      </c>
      <c r="AT134">
        <v>39109</v>
      </c>
      <c r="AU134">
        <v>42205</v>
      </c>
      <c r="AV134">
        <v>45199</v>
      </c>
      <c r="AW134">
        <v>43539</v>
      </c>
      <c r="AX134">
        <v>42963</v>
      </c>
      <c r="AY134">
        <v>52453</v>
      </c>
      <c r="AZ134">
        <v>41011</v>
      </c>
      <c r="BA134">
        <v>41627</v>
      </c>
      <c r="BB134">
        <v>41178</v>
      </c>
      <c r="BC134">
        <v>42415</v>
      </c>
      <c r="BD134">
        <v>41933</v>
      </c>
      <c r="BE134">
        <v>50349</v>
      </c>
      <c r="BF134">
        <v>43536</v>
      </c>
      <c r="BG134">
        <v>43836</v>
      </c>
      <c r="BH134">
        <v>44419</v>
      </c>
      <c r="BI134">
        <v>42519</v>
      </c>
      <c r="BJ134">
        <v>43927</v>
      </c>
      <c r="BK134">
        <v>56431</v>
      </c>
    </row>
    <row r="135" spans="1:63">
      <c r="A135" s="216">
        <v>43891</v>
      </c>
      <c r="B135" t="s">
        <v>43</v>
      </c>
      <c r="C135">
        <v>6</v>
      </c>
      <c r="D135" t="s">
        <v>450</v>
      </c>
      <c r="E135" s="217">
        <v>43891</v>
      </c>
      <c r="F135">
        <v>8168</v>
      </c>
      <c r="G135" s="227" t="s">
        <v>100</v>
      </c>
      <c r="O135" s="221" t="s">
        <v>442</v>
      </c>
      <c r="P135">
        <v>16224</v>
      </c>
      <c r="Q135">
        <v>15967</v>
      </c>
      <c r="R135">
        <v>16058</v>
      </c>
      <c r="S135">
        <v>17805</v>
      </c>
      <c r="T135">
        <v>16188</v>
      </c>
      <c r="U135">
        <v>16510</v>
      </c>
      <c r="V135">
        <v>16502</v>
      </c>
      <c r="W135">
        <v>18098</v>
      </c>
      <c r="X135">
        <v>17440</v>
      </c>
      <c r="Y135">
        <v>16938</v>
      </c>
      <c r="Z135">
        <v>18258</v>
      </c>
      <c r="AA135">
        <v>25307</v>
      </c>
      <c r="AB135">
        <v>18374</v>
      </c>
      <c r="AC135">
        <v>18838</v>
      </c>
      <c r="AD135">
        <v>18945</v>
      </c>
      <c r="AE135">
        <v>18065</v>
      </c>
      <c r="AF135">
        <v>18544</v>
      </c>
      <c r="AG135">
        <v>17967</v>
      </c>
      <c r="AH135">
        <v>18401</v>
      </c>
      <c r="AI135">
        <v>18657</v>
      </c>
      <c r="AJ135">
        <v>21742</v>
      </c>
      <c r="AK135">
        <v>16745</v>
      </c>
      <c r="AL135">
        <v>21486</v>
      </c>
      <c r="AM135">
        <v>31861</v>
      </c>
      <c r="AN135">
        <v>18993</v>
      </c>
      <c r="AO135">
        <v>19651</v>
      </c>
      <c r="AP135">
        <v>19900</v>
      </c>
      <c r="AQ135">
        <v>24404</v>
      </c>
      <c r="AR135">
        <v>20246</v>
      </c>
      <c r="AS135">
        <v>23337</v>
      </c>
      <c r="AT135">
        <v>21579</v>
      </c>
      <c r="AU135">
        <v>22855</v>
      </c>
      <c r="AV135">
        <v>24239</v>
      </c>
      <c r="AW135">
        <v>22758</v>
      </c>
      <c r="AX135">
        <v>22771</v>
      </c>
      <c r="AY135">
        <v>27699</v>
      </c>
      <c r="AZ135">
        <v>22035</v>
      </c>
      <c r="BA135">
        <v>22324</v>
      </c>
      <c r="BB135">
        <v>22165</v>
      </c>
      <c r="BC135">
        <v>22742</v>
      </c>
      <c r="BD135">
        <v>22760</v>
      </c>
      <c r="BE135">
        <v>26661</v>
      </c>
      <c r="BF135">
        <v>23518</v>
      </c>
      <c r="BG135">
        <v>23471</v>
      </c>
      <c r="BH135">
        <v>23639</v>
      </c>
      <c r="BI135">
        <v>22819</v>
      </c>
      <c r="BJ135">
        <v>23450</v>
      </c>
      <c r="BK135">
        <v>31696</v>
      </c>
    </row>
    <row r="136" spans="1:63">
      <c r="A136" s="216">
        <v>43891</v>
      </c>
      <c r="B136" t="s">
        <v>43</v>
      </c>
      <c r="C136">
        <v>6</v>
      </c>
      <c r="D136" t="s">
        <v>450</v>
      </c>
      <c r="E136" s="217">
        <v>43891</v>
      </c>
      <c r="F136">
        <v>8583</v>
      </c>
      <c r="G136" s="227" t="s">
        <v>83</v>
      </c>
      <c r="O136" s="221" t="s">
        <v>450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row>
    <row r="137" spans="1:63">
      <c r="A137" s="216">
        <v>43891</v>
      </c>
      <c r="B137" t="s">
        <v>43</v>
      </c>
      <c r="C137">
        <v>6</v>
      </c>
      <c r="D137" t="s">
        <v>450</v>
      </c>
      <c r="E137" s="217">
        <v>43891</v>
      </c>
      <c r="F137">
        <v>8660</v>
      </c>
      <c r="G137" s="227" t="s">
        <v>127</v>
      </c>
      <c r="O137" s="221" t="s">
        <v>451</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row>
    <row r="138" spans="1:63">
      <c r="A138" s="216">
        <v>43891</v>
      </c>
      <c r="B138" t="s">
        <v>43</v>
      </c>
      <c r="C138">
        <v>6</v>
      </c>
      <c r="D138" t="s">
        <v>450</v>
      </c>
      <c r="E138" s="217">
        <v>43891</v>
      </c>
      <c r="F138">
        <v>8765</v>
      </c>
      <c r="G138" s="227" t="s">
        <v>123</v>
      </c>
      <c r="O138" s="221" t="s">
        <v>454</v>
      </c>
      <c r="AB138">
        <v>52</v>
      </c>
      <c r="AC138">
        <v>36</v>
      </c>
      <c r="AD138">
        <v>34</v>
      </c>
      <c r="AE138">
        <v>19</v>
      </c>
      <c r="AF138">
        <v>32</v>
      </c>
      <c r="AG138">
        <v>39</v>
      </c>
      <c r="AH138">
        <v>41</v>
      </c>
      <c r="AI138">
        <v>38</v>
      </c>
      <c r="AJ138">
        <v>40</v>
      </c>
      <c r="AK138">
        <v>31</v>
      </c>
      <c r="AL138">
        <v>35</v>
      </c>
      <c r="AM138">
        <v>27</v>
      </c>
      <c r="AN138">
        <v>34</v>
      </c>
      <c r="AO138">
        <v>35</v>
      </c>
      <c r="AP138">
        <v>35</v>
      </c>
      <c r="AQ138">
        <v>33</v>
      </c>
      <c r="AR138">
        <v>35</v>
      </c>
      <c r="AS138">
        <v>35</v>
      </c>
      <c r="AT138">
        <v>34</v>
      </c>
      <c r="AU138">
        <v>35</v>
      </c>
      <c r="AV138">
        <v>33</v>
      </c>
      <c r="AW138">
        <v>35</v>
      </c>
      <c r="AX138">
        <v>35</v>
      </c>
      <c r="AY138">
        <v>-9</v>
      </c>
      <c r="AZ138">
        <v>33</v>
      </c>
      <c r="BA138">
        <v>33</v>
      </c>
      <c r="BB138">
        <v>44</v>
      </c>
      <c r="BC138">
        <v>33</v>
      </c>
      <c r="BD138">
        <v>45</v>
      </c>
      <c r="BE138">
        <v>49</v>
      </c>
      <c r="BF138">
        <v>40</v>
      </c>
      <c r="BG138">
        <v>35</v>
      </c>
      <c r="BH138">
        <v>35</v>
      </c>
      <c r="BI138">
        <v>42</v>
      </c>
      <c r="BJ138">
        <v>50</v>
      </c>
      <c r="BK138">
        <v>256</v>
      </c>
    </row>
    <row r="139" spans="1:63">
      <c r="A139" s="216">
        <v>43891</v>
      </c>
      <c r="B139" t="s">
        <v>43</v>
      </c>
      <c r="C139">
        <v>6</v>
      </c>
      <c r="D139" t="s">
        <v>450</v>
      </c>
      <c r="E139" s="217">
        <v>43891</v>
      </c>
      <c r="F139">
        <v>8335</v>
      </c>
      <c r="G139" s="227" t="s">
        <v>119</v>
      </c>
      <c r="O139" s="221" t="s">
        <v>433</v>
      </c>
      <c r="AB139">
        <v>12953</v>
      </c>
      <c r="AC139">
        <v>13335</v>
      </c>
      <c r="AD139">
        <v>13310</v>
      </c>
      <c r="AE139">
        <v>12753</v>
      </c>
      <c r="AF139">
        <v>12928</v>
      </c>
      <c r="AG139">
        <v>13282</v>
      </c>
      <c r="AH139">
        <v>13024</v>
      </c>
      <c r="AI139">
        <v>13510</v>
      </c>
      <c r="AJ139">
        <v>15940</v>
      </c>
      <c r="AK139">
        <v>11467</v>
      </c>
      <c r="AL139">
        <v>15726</v>
      </c>
      <c r="AM139">
        <v>25216</v>
      </c>
      <c r="AN139">
        <v>13760</v>
      </c>
      <c r="AO139">
        <v>14358</v>
      </c>
      <c r="AP139">
        <v>14500</v>
      </c>
      <c r="AQ139">
        <v>13986</v>
      </c>
      <c r="AR139">
        <v>14298</v>
      </c>
      <c r="AS139">
        <v>16784</v>
      </c>
      <c r="AT139">
        <v>14402</v>
      </c>
      <c r="AU139">
        <v>15041</v>
      </c>
      <c r="AV139">
        <v>17260</v>
      </c>
      <c r="AW139">
        <v>16284</v>
      </c>
      <c r="AX139">
        <v>15643</v>
      </c>
      <c r="AY139">
        <v>17498</v>
      </c>
      <c r="AZ139">
        <v>15215</v>
      </c>
      <c r="BA139">
        <v>15544</v>
      </c>
      <c r="BB139">
        <v>15287</v>
      </c>
      <c r="BC139">
        <v>15621</v>
      </c>
      <c r="BD139">
        <v>15106</v>
      </c>
      <c r="BE139">
        <v>19886</v>
      </c>
      <c r="BF139">
        <v>15832</v>
      </c>
      <c r="BG139">
        <v>15913</v>
      </c>
      <c r="BH139">
        <v>16695</v>
      </c>
      <c r="BI139">
        <v>16250</v>
      </c>
      <c r="BJ139">
        <v>16171</v>
      </c>
      <c r="BK139">
        <v>20337</v>
      </c>
    </row>
    <row r="140" spans="1:63">
      <c r="A140" s="216">
        <v>43891</v>
      </c>
      <c r="B140" t="s">
        <v>43</v>
      </c>
      <c r="C140">
        <v>6</v>
      </c>
      <c r="D140" t="s">
        <v>450</v>
      </c>
      <c r="E140" s="217">
        <v>43891</v>
      </c>
      <c r="F140">
        <v>9872</v>
      </c>
      <c r="G140" s="227" t="s">
        <v>88</v>
      </c>
      <c r="O140" s="221" t="s">
        <v>445</v>
      </c>
      <c r="AB140">
        <v>3316</v>
      </c>
      <c r="AC140">
        <v>3428</v>
      </c>
      <c r="AD140">
        <v>3319</v>
      </c>
      <c r="AE140">
        <v>3044</v>
      </c>
      <c r="AF140">
        <v>3085</v>
      </c>
      <c r="AG140">
        <v>3086</v>
      </c>
      <c r="AH140">
        <v>3396</v>
      </c>
      <c r="AI140">
        <v>3247</v>
      </c>
      <c r="AJ140">
        <v>3069</v>
      </c>
      <c r="AK140">
        <v>3526</v>
      </c>
      <c r="AL140">
        <v>3347</v>
      </c>
      <c r="AM140">
        <v>4291</v>
      </c>
      <c r="AN140">
        <v>3109</v>
      </c>
      <c r="AO140">
        <v>3334</v>
      </c>
      <c r="AP140">
        <v>3310</v>
      </c>
      <c r="AQ140">
        <v>3463</v>
      </c>
      <c r="AR140">
        <v>3474</v>
      </c>
      <c r="AS140">
        <v>3704</v>
      </c>
      <c r="AT140">
        <v>3094</v>
      </c>
      <c r="AU140">
        <v>4274</v>
      </c>
      <c r="AV140">
        <v>3667</v>
      </c>
      <c r="AW140">
        <v>4462</v>
      </c>
      <c r="AX140">
        <v>4514</v>
      </c>
      <c r="AY140">
        <v>7265</v>
      </c>
      <c r="AZ140">
        <v>3728</v>
      </c>
      <c r="BA140">
        <v>3726</v>
      </c>
      <c r="BB140">
        <v>3682</v>
      </c>
      <c r="BC140">
        <v>4019</v>
      </c>
      <c r="BD140">
        <v>4022</v>
      </c>
      <c r="BE140">
        <v>3753</v>
      </c>
      <c r="BF140">
        <v>4146</v>
      </c>
      <c r="BG140">
        <v>4417</v>
      </c>
      <c r="BH140">
        <v>4050</v>
      </c>
      <c r="BI140">
        <v>3408</v>
      </c>
      <c r="BJ140">
        <v>4256</v>
      </c>
      <c r="BK140">
        <v>4142</v>
      </c>
    </row>
    <row r="141" spans="1:63">
      <c r="A141" s="216">
        <v>43891</v>
      </c>
      <c r="B141" t="s">
        <v>43</v>
      </c>
      <c r="C141">
        <v>6</v>
      </c>
      <c r="D141" t="s">
        <v>450</v>
      </c>
      <c r="E141" s="217">
        <v>43891</v>
      </c>
      <c r="F141">
        <v>10588</v>
      </c>
      <c r="G141" s="227" t="s">
        <v>96</v>
      </c>
      <c r="O141" s="221" t="s">
        <v>437</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row>
    <row r="142" spans="1:63">
      <c r="A142" s="216">
        <v>43891</v>
      </c>
      <c r="B142" t="s">
        <v>43</v>
      </c>
      <c r="C142">
        <v>6</v>
      </c>
      <c r="D142" t="s">
        <v>450</v>
      </c>
      <c r="E142" s="217">
        <v>43891</v>
      </c>
      <c r="F142">
        <v>9401</v>
      </c>
      <c r="G142" s="227" t="s">
        <v>92</v>
      </c>
      <c r="O142" s="221" t="s">
        <v>441</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row>
    <row r="143" spans="1:63">
      <c r="A143" s="216">
        <v>43891</v>
      </c>
      <c r="B143" t="s">
        <v>43</v>
      </c>
      <c r="C143">
        <v>6</v>
      </c>
      <c r="D143" t="s">
        <v>450</v>
      </c>
      <c r="E143" s="217">
        <v>43891</v>
      </c>
      <c r="F143">
        <v>11033</v>
      </c>
      <c r="G143" s="227" t="s">
        <v>110</v>
      </c>
      <c r="O143" s="221" t="s">
        <v>447</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row>
    <row r="144" spans="1:63">
      <c r="A144" s="216">
        <v>43891</v>
      </c>
      <c r="B144" t="s">
        <v>43</v>
      </c>
      <c r="C144">
        <v>6</v>
      </c>
      <c r="D144" t="s">
        <v>450</v>
      </c>
      <c r="E144" s="217">
        <v>43891</v>
      </c>
      <c r="F144">
        <v>108038</v>
      </c>
      <c r="G144" s="227" t="s">
        <v>434</v>
      </c>
      <c r="O144" s="7" t="s">
        <v>461</v>
      </c>
      <c r="P144">
        <v>127793</v>
      </c>
      <c r="Q144">
        <v>127945</v>
      </c>
      <c r="R144">
        <v>127854.618</v>
      </c>
      <c r="S144">
        <v>133187.31</v>
      </c>
      <c r="T144">
        <v>133330.96000000002</v>
      </c>
      <c r="U144">
        <v>126757.41500000001</v>
      </c>
      <c r="V144">
        <v>124626.861</v>
      </c>
      <c r="W144">
        <v>131770.26699999999</v>
      </c>
      <c r="X144">
        <v>128738.97</v>
      </c>
      <c r="Y144">
        <v>128367.679</v>
      </c>
      <c r="Z144">
        <v>134583.649</v>
      </c>
      <c r="AA144">
        <v>138800.65100000001</v>
      </c>
      <c r="AB144">
        <v>143805.58000000002</v>
      </c>
      <c r="AC144">
        <v>139155.66</v>
      </c>
      <c r="AD144">
        <v>132612.24</v>
      </c>
      <c r="AE144">
        <v>141281</v>
      </c>
      <c r="AF144">
        <v>136787</v>
      </c>
      <c r="AG144">
        <v>150850</v>
      </c>
      <c r="AH144">
        <v>137883</v>
      </c>
      <c r="AI144">
        <v>142330</v>
      </c>
      <c r="AJ144">
        <v>150801</v>
      </c>
      <c r="AK144">
        <v>137770</v>
      </c>
      <c r="AL144">
        <v>136688</v>
      </c>
      <c r="AM144">
        <v>181184</v>
      </c>
      <c r="AN144">
        <v>148531</v>
      </c>
      <c r="AO144">
        <v>149093</v>
      </c>
      <c r="AP144">
        <v>147209</v>
      </c>
      <c r="AQ144">
        <v>149017</v>
      </c>
      <c r="AR144">
        <v>147971</v>
      </c>
      <c r="AS144">
        <v>144801</v>
      </c>
      <c r="AT144">
        <v>154586</v>
      </c>
      <c r="AU144">
        <v>149312</v>
      </c>
      <c r="AV144">
        <v>149491</v>
      </c>
      <c r="AW144">
        <v>168938</v>
      </c>
      <c r="AX144">
        <v>157837</v>
      </c>
      <c r="AY144">
        <v>182607</v>
      </c>
      <c r="AZ144">
        <v>161811</v>
      </c>
      <c r="BA144">
        <v>159465.35037</v>
      </c>
      <c r="BB144">
        <v>164120.64974000002</v>
      </c>
      <c r="BC144">
        <v>157058.6752</v>
      </c>
      <c r="BD144">
        <v>163683.18044000003</v>
      </c>
      <c r="BE144">
        <v>162655.13329</v>
      </c>
      <c r="BF144">
        <v>162482.36092000001</v>
      </c>
      <c r="BG144">
        <v>164171.12261000002</v>
      </c>
      <c r="BH144">
        <v>208063.34967</v>
      </c>
      <c r="BI144">
        <v>145376.14348</v>
      </c>
      <c r="BJ144">
        <v>219774.56411000001</v>
      </c>
      <c r="BK144">
        <v>188643.27500999998</v>
      </c>
    </row>
    <row r="145" spans="1:63">
      <c r="A145" s="216">
        <v>43891</v>
      </c>
      <c r="B145" t="s">
        <v>43</v>
      </c>
      <c r="C145">
        <v>7</v>
      </c>
      <c r="D145" t="s">
        <v>433</v>
      </c>
      <c r="E145" s="217">
        <v>43891</v>
      </c>
      <c r="F145">
        <v>64595</v>
      </c>
      <c r="G145" s="227" t="s">
        <v>70</v>
      </c>
      <c r="O145" s="221" t="s">
        <v>442</v>
      </c>
      <c r="P145">
        <v>64999</v>
      </c>
      <c r="Q145">
        <v>65075</v>
      </c>
      <c r="R145">
        <v>65030</v>
      </c>
      <c r="S145">
        <v>67696</v>
      </c>
      <c r="T145">
        <v>67768</v>
      </c>
      <c r="U145">
        <v>64481</v>
      </c>
      <c r="V145">
        <v>63416</v>
      </c>
      <c r="W145">
        <v>66987.399999999994</v>
      </c>
      <c r="X145">
        <v>65472</v>
      </c>
      <c r="Y145">
        <v>65286</v>
      </c>
      <c r="Z145">
        <v>68394</v>
      </c>
      <c r="AA145">
        <v>69891</v>
      </c>
      <c r="AB145">
        <v>76095.58</v>
      </c>
      <c r="AC145">
        <v>73068.66</v>
      </c>
      <c r="AD145">
        <v>68830.240000000005</v>
      </c>
      <c r="AE145">
        <v>73622</v>
      </c>
      <c r="AF145">
        <v>70575</v>
      </c>
      <c r="AG145">
        <v>77001</v>
      </c>
      <c r="AH145">
        <v>70662</v>
      </c>
      <c r="AI145">
        <v>72853</v>
      </c>
      <c r="AJ145">
        <v>76861</v>
      </c>
      <c r="AK145">
        <v>70479</v>
      </c>
      <c r="AL145">
        <v>69994</v>
      </c>
      <c r="AM145">
        <v>93711</v>
      </c>
      <c r="AN145">
        <v>75388</v>
      </c>
      <c r="AO145">
        <v>75669</v>
      </c>
      <c r="AP145">
        <v>74727</v>
      </c>
      <c r="AQ145">
        <v>75931</v>
      </c>
      <c r="AR145">
        <v>75908</v>
      </c>
      <c r="AS145">
        <v>73873</v>
      </c>
      <c r="AT145">
        <v>78657</v>
      </c>
      <c r="AU145">
        <v>75735</v>
      </c>
      <c r="AV145">
        <v>75818</v>
      </c>
      <c r="AW145">
        <v>85829</v>
      </c>
      <c r="AX145">
        <v>80700</v>
      </c>
      <c r="AY145">
        <v>94847</v>
      </c>
      <c r="AZ145">
        <v>81978</v>
      </c>
      <c r="BA145">
        <v>80805</v>
      </c>
      <c r="BB145">
        <v>83133</v>
      </c>
      <c r="BC145">
        <v>79602</v>
      </c>
      <c r="BD145">
        <v>82914</v>
      </c>
      <c r="BE145">
        <v>82400</v>
      </c>
      <c r="BF145">
        <v>82313.483999999997</v>
      </c>
      <c r="BG145">
        <v>83158.2</v>
      </c>
      <c r="BH145">
        <v>105104.2</v>
      </c>
      <c r="BI145">
        <v>73760.7</v>
      </c>
      <c r="BJ145">
        <v>110959.7</v>
      </c>
      <c r="BK145">
        <v>100515.7</v>
      </c>
    </row>
    <row r="146" spans="1:63">
      <c r="A146" s="216">
        <v>43891</v>
      </c>
      <c r="B146" t="s">
        <v>43</v>
      </c>
      <c r="C146">
        <v>7</v>
      </c>
      <c r="D146" t="s">
        <v>433</v>
      </c>
      <c r="E146" s="217">
        <v>43891</v>
      </c>
      <c r="F146">
        <v>61921</v>
      </c>
      <c r="G146" s="227" t="s">
        <v>114</v>
      </c>
      <c r="O146" s="221" t="s">
        <v>450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row>
    <row r="147" spans="1:63">
      <c r="A147" s="216">
        <v>43891</v>
      </c>
      <c r="B147" t="s">
        <v>43</v>
      </c>
      <c r="C147">
        <v>7</v>
      </c>
      <c r="D147" t="s">
        <v>433</v>
      </c>
      <c r="E147" s="217">
        <v>43891</v>
      </c>
      <c r="F147">
        <v>61957</v>
      </c>
      <c r="G147" s="227" t="s">
        <v>105</v>
      </c>
      <c r="O147" s="221" t="s">
        <v>451</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row>
    <row r="148" spans="1:63">
      <c r="A148" s="216">
        <v>43891</v>
      </c>
      <c r="B148" t="s">
        <v>43</v>
      </c>
      <c r="C148">
        <v>7</v>
      </c>
      <c r="D148" t="s">
        <v>433</v>
      </c>
      <c r="E148" s="217">
        <v>43891</v>
      </c>
      <c r="F148">
        <v>62303</v>
      </c>
      <c r="G148" s="227" t="s">
        <v>100</v>
      </c>
      <c r="O148" s="221" t="s">
        <v>454</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row>
    <row r="149" spans="1:63">
      <c r="A149" s="216">
        <v>43891</v>
      </c>
      <c r="B149" t="s">
        <v>43</v>
      </c>
      <c r="C149">
        <v>7</v>
      </c>
      <c r="D149" t="s">
        <v>433</v>
      </c>
      <c r="E149" s="217">
        <v>43891</v>
      </c>
      <c r="F149">
        <v>62241</v>
      </c>
      <c r="G149" s="227" t="s">
        <v>83</v>
      </c>
      <c r="O149" s="221" t="s">
        <v>433</v>
      </c>
      <c r="P149">
        <v>461</v>
      </c>
      <c r="Q149">
        <v>415</v>
      </c>
      <c r="R149">
        <v>468.61799999999999</v>
      </c>
      <c r="S149">
        <v>339.31</v>
      </c>
      <c r="T149">
        <v>463.96</v>
      </c>
      <c r="U149">
        <v>444.41500000000002</v>
      </c>
      <c r="V149">
        <v>453.86099999999999</v>
      </c>
      <c r="W149">
        <v>487.86700000000002</v>
      </c>
      <c r="X149">
        <v>476.47</v>
      </c>
      <c r="Y149">
        <v>507.67899999999997</v>
      </c>
      <c r="Z149">
        <v>426.649</v>
      </c>
      <c r="AA149">
        <v>809.15099999999995</v>
      </c>
      <c r="AB149">
        <v>516</v>
      </c>
      <c r="AC149">
        <v>536</v>
      </c>
      <c r="AD149">
        <v>537</v>
      </c>
      <c r="AE149">
        <v>535</v>
      </c>
      <c r="AF149">
        <v>520</v>
      </c>
      <c r="AG149">
        <v>542</v>
      </c>
      <c r="AH149">
        <v>525</v>
      </c>
      <c r="AI149">
        <v>491</v>
      </c>
      <c r="AJ149">
        <v>532</v>
      </c>
      <c r="AK149">
        <v>547</v>
      </c>
      <c r="AL149">
        <v>561</v>
      </c>
      <c r="AM149">
        <v>867</v>
      </c>
      <c r="AN149">
        <v>533</v>
      </c>
      <c r="AO149">
        <v>584</v>
      </c>
      <c r="AP149">
        <v>648</v>
      </c>
      <c r="AQ149">
        <v>562</v>
      </c>
      <c r="AR149">
        <v>544</v>
      </c>
      <c r="AS149">
        <v>627</v>
      </c>
      <c r="AT149">
        <v>531</v>
      </c>
      <c r="AU149">
        <v>598</v>
      </c>
      <c r="AV149">
        <v>569</v>
      </c>
      <c r="AW149">
        <v>621</v>
      </c>
      <c r="AX149">
        <v>598</v>
      </c>
      <c r="AY149">
        <v>838</v>
      </c>
      <c r="AZ149">
        <v>592.08007999999995</v>
      </c>
      <c r="BA149">
        <v>588.31052999999997</v>
      </c>
      <c r="BB149">
        <v>602.50473999999997</v>
      </c>
      <c r="BC149">
        <v>587</v>
      </c>
      <c r="BD149">
        <v>588.12949000000003</v>
      </c>
      <c r="BE149">
        <v>678.58829000000003</v>
      </c>
      <c r="BF149">
        <v>601.48599999999999</v>
      </c>
      <c r="BG149">
        <v>578.55399999999997</v>
      </c>
      <c r="BH149">
        <v>576.54600000000005</v>
      </c>
      <c r="BI149">
        <v>580.15899999999999</v>
      </c>
      <c r="BJ149">
        <v>567.11099999999999</v>
      </c>
      <c r="BK149">
        <v>1100.6849999999999</v>
      </c>
    </row>
    <row r="150" spans="1:63">
      <c r="A150" s="216">
        <v>43891</v>
      </c>
      <c r="B150" t="s">
        <v>43</v>
      </c>
      <c r="C150">
        <v>7</v>
      </c>
      <c r="D150" t="s">
        <v>433</v>
      </c>
      <c r="E150" s="217">
        <v>43891</v>
      </c>
      <c r="F150">
        <v>62078</v>
      </c>
      <c r="G150" s="227" t="s">
        <v>127</v>
      </c>
      <c r="O150" s="221" t="s">
        <v>445</v>
      </c>
      <c r="P150">
        <v>80</v>
      </c>
      <c r="Q150">
        <v>80</v>
      </c>
      <c r="R150">
        <v>80</v>
      </c>
      <c r="S150">
        <v>80</v>
      </c>
      <c r="T150">
        <v>80</v>
      </c>
      <c r="U150">
        <v>81</v>
      </c>
      <c r="V150">
        <v>81</v>
      </c>
      <c r="W150">
        <v>81</v>
      </c>
      <c r="X150">
        <v>80.5</v>
      </c>
      <c r="Y150">
        <v>81</v>
      </c>
      <c r="Z150">
        <v>81</v>
      </c>
      <c r="AA150">
        <v>511.5</v>
      </c>
      <c r="AB150">
        <v>119</v>
      </c>
      <c r="AC150">
        <v>119</v>
      </c>
      <c r="AD150">
        <v>119</v>
      </c>
      <c r="AE150">
        <v>119</v>
      </c>
      <c r="AF150">
        <v>119</v>
      </c>
      <c r="AG150">
        <v>119</v>
      </c>
      <c r="AH150">
        <v>119</v>
      </c>
      <c r="AI150">
        <v>119</v>
      </c>
      <c r="AJ150">
        <v>119</v>
      </c>
      <c r="AK150">
        <v>119</v>
      </c>
      <c r="AL150">
        <v>119</v>
      </c>
      <c r="AM150">
        <v>119</v>
      </c>
      <c r="AN150">
        <v>119</v>
      </c>
      <c r="AO150">
        <v>119</v>
      </c>
      <c r="AP150">
        <v>119</v>
      </c>
      <c r="AQ150">
        <v>119</v>
      </c>
      <c r="AR150">
        <v>119</v>
      </c>
      <c r="AS150">
        <v>119</v>
      </c>
      <c r="AT150">
        <v>119</v>
      </c>
      <c r="AU150">
        <v>119</v>
      </c>
      <c r="AV150">
        <v>119</v>
      </c>
      <c r="AW150">
        <v>119</v>
      </c>
      <c r="AX150">
        <v>119</v>
      </c>
      <c r="AY150">
        <v>119</v>
      </c>
      <c r="AZ150">
        <v>119</v>
      </c>
      <c r="BA150">
        <v>119</v>
      </c>
      <c r="BB150">
        <v>119</v>
      </c>
      <c r="BC150">
        <v>119</v>
      </c>
      <c r="BD150">
        <v>119</v>
      </c>
      <c r="BE150">
        <v>119</v>
      </c>
      <c r="BF150">
        <v>119</v>
      </c>
      <c r="BG150">
        <v>119</v>
      </c>
      <c r="BH150">
        <v>119</v>
      </c>
      <c r="BI150">
        <v>119</v>
      </c>
      <c r="BJ150">
        <v>119</v>
      </c>
      <c r="BK150">
        <v>573</v>
      </c>
    </row>
    <row r="151" spans="1:63">
      <c r="A151" s="216">
        <v>43891</v>
      </c>
      <c r="B151" t="s">
        <v>43</v>
      </c>
      <c r="C151">
        <v>7</v>
      </c>
      <c r="D151" t="s">
        <v>433</v>
      </c>
      <c r="E151" s="217">
        <v>43891</v>
      </c>
      <c r="F151">
        <v>64679</v>
      </c>
      <c r="G151" s="227" t="s">
        <v>123</v>
      </c>
      <c r="O151" s="221" t="s">
        <v>437</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row>
    <row r="152" spans="1:63">
      <c r="A152" s="216">
        <v>43891</v>
      </c>
      <c r="B152" t="s">
        <v>43</v>
      </c>
      <c r="C152">
        <v>7</v>
      </c>
      <c r="D152" t="s">
        <v>433</v>
      </c>
      <c r="E152" s="217">
        <v>43891</v>
      </c>
      <c r="F152">
        <v>62115</v>
      </c>
      <c r="G152" s="227" t="s">
        <v>119</v>
      </c>
      <c r="O152" s="221" t="s">
        <v>441</v>
      </c>
      <c r="P152">
        <v>62253</v>
      </c>
      <c r="Q152">
        <v>62375</v>
      </c>
      <c r="R152">
        <v>62276</v>
      </c>
      <c r="S152">
        <v>65072</v>
      </c>
      <c r="T152">
        <v>65019</v>
      </c>
      <c r="U152">
        <v>61751</v>
      </c>
      <c r="V152">
        <v>60676</v>
      </c>
      <c r="W152">
        <v>64214</v>
      </c>
      <c r="X152">
        <v>62710</v>
      </c>
      <c r="Y152">
        <v>62493</v>
      </c>
      <c r="Z152">
        <v>65682</v>
      </c>
      <c r="AA152">
        <v>67589</v>
      </c>
      <c r="AB152">
        <v>67075</v>
      </c>
      <c r="AC152">
        <v>65432</v>
      </c>
      <c r="AD152">
        <v>63126</v>
      </c>
      <c r="AE152">
        <v>67005</v>
      </c>
      <c r="AF152">
        <v>65573</v>
      </c>
      <c r="AG152">
        <v>73188</v>
      </c>
      <c r="AH152">
        <v>66577</v>
      </c>
      <c r="AI152">
        <v>68867</v>
      </c>
      <c r="AJ152">
        <v>73289</v>
      </c>
      <c r="AK152">
        <v>66625</v>
      </c>
      <c r="AL152">
        <v>66014</v>
      </c>
      <c r="AM152">
        <v>86487</v>
      </c>
      <c r="AN152">
        <v>72491</v>
      </c>
      <c r="AO152">
        <v>72721</v>
      </c>
      <c r="AP152">
        <v>71715</v>
      </c>
      <c r="AQ152">
        <v>72405</v>
      </c>
      <c r="AR152">
        <v>71400</v>
      </c>
      <c r="AS152">
        <v>70182</v>
      </c>
      <c r="AT152">
        <v>75279</v>
      </c>
      <c r="AU152">
        <v>72860</v>
      </c>
      <c r="AV152">
        <v>72985</v>
      </c>
      <c r="AW152">
        <v>82369</v>
      </c>
      <c r="AX152">
        <v>76420</v>
      </c>
      <c r="AY152">
        <v>86803</v>
      </c>
      <c r="AZ152">
        <v>79121.91992</v>
      </c>
      <c r="BA152">
        <v>77953.039839999998</v>
      </c>
      <c r="BB152">
        <v>80266.145000000004</v>
      </c>
      <c r="BC152">
        <v>76750.675199999998</v>
      </c>
      <c r="BD152">
        <v>80062.050950000004</v>
      </c>
      <c r="BE152">
        <v>79457.544999999998</v>
      </c>
      <c r="BF152">
        <v>79448.390920000005</v>
      </c>
      <c r="BG152">
        <v>80315.368610000005</v>
      </c>
      <c r="BH152">
        <v>102263.60367</v>
      </c>
      <c r="BI152">
        <v>70916.284480000002</v>
      </c>
      <c r="BJ152">
        <v>108128.75311000001</v>
      </c>
      <c r="BK152">
        <v>86453.890010000003</v>
      </c>
    </row>
    <row r="153" spans="1:63">
      <c r="A153" s="216">
        <v>43891</v>
      </c>
      <c r="B153" t="s">
        <v>43</v>
      </c>
      <c r="C153">
        <v>7</v>
      </c>
      <c r="D153" t="s">
        <v>433</v>
      </c>
      <c r="E153" s="217">
        <v>43891</v>
      </c>
      <c r="F153">
        <v>62297</v>
      </c>
      <c r="G153" s="227" t="s">
        <v>88</v>
      </c>
      <c r="O153" s="221" t="s">
        <v>447</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row>
    <row r="154" spans="1:63">
      <c r="A154" s="216">
        <v>43891</v>
      </c>
      <c r="B154" t="s">
        <v>43</v>
      </c>
      <c r="C154">
        <v>7</v>
      </c>
      <c r="D154" t="s">
        <v>433</v>
      </c>
      <c r="E154" s="217">
        <v>43891</v>
      </c>
      <c r="F154">
        <v>62877</v>
      </c>
      <c r="G154" s="227" t="s">
        <v>96</v>
      </c>
      <c r="O154" s="7" t="s">
        <v>131</v>
      </c>
      <c r="P154">
        <v>1507258.1465333332</v>
      </c>
      <c r="Q154">
        <v>1546432.0656000006</v>
      </c>
      <c r="R154">
        <v>1525451.1019599999</v>
      </c>
      <c r="S154">
        <v>1558862.32803</v>
      </c>
      <c r="T154">
        <v>1544218.1371400002</v>
      </c>
      <c r="U154">
        <v>1520194.3483234609</v>
      </c>
      <c r="V154">
        <v>1601951.227</v>
      </c>
      <c r="W154">
        <v>1583117.4169999997</v>
      </c>
      <c r="X154">
        <v>1632020.8689999999</v>
      </c>
      <c r="Y154">
        <v>1586482.4869999997</v>
      </c>
      <c r="Z154">
        <v>1604000.1459999999</v>
      </c>
      <c r="AA154">
        <v>2264356.0459560002</v>
      </c>
      <c r="AB154">
        <v>1731362.7173333333</v>
      </c>
      <c r="AC154">
        <v>1823017.1899999997</v>
      </c>
      <c r="AD154">
        <v>1789020.2359794122</v>
      </c>
      <c r="AE154">
        <v>1684348.697020588</v>
      </c>
      <c r="AF154">
        <v>1713771.3444200002</v>
      </c>
      <c r="AG154">
        <v>1920523.5923499994</v>
      </c>
      <c r="AH154">
        <v>1840574.3788399997</v>
      </c>
      <c r="AI154">
        <v>1777198.0766533331</v>
      </c>
      <c r="AJ154">
        <v>1846905.6889600002</v>
      </c>
      <c r="AK154">
        <v>1912560.5261199996</v>
      </c>
      <c r="AL154">
        <v>1816686.3691100003</v>
      </c>
      <c r="AM154">
        <v>3014114.1232000003</v>
      </c>
      <c r="AN154">
        <v>1766138.1031233328</v>
      </c>
      <c r="AO154">
        <v>1824128.9122133325</v>
      </c>
      <c r="AP154">
        <v>1835463.1185033338</v>
      </c>
      <c r="AQ154">
        <v>1858157.7847499999</v>
      </c>
      <c r="AR154">
        <v>1884144.6348077778</v>
      </c>
      <c r="AS154">
        <v>1963571.3230000001</v>
      </c>
      <c r="AT154">
        <v>1907078.1601899997</v>
      </c>
      <c r="AU154">
        <v>1933853.9194199999</v>
      </c>
      <c r="AV154">
        <v>2027293.6198200001</v>
      </c>
      <c r="AW154">
        <v>2060285.46276</v>
      </c>
      <c r="AX154">
        <v>1989079.4923200004</v>
      </c>
      <c r="AY154">
        <v>2900776.1918599987</v>
      </c>
      <c r="AZ154">
        <v>1910630.9498999612</v>
      </c>
      <c r="BA154">
        <v>1941896.6884239395</v>
      </c>
      <c r="BB154">
        <v>1953102.3045500002</v>
      </c>
      <c r="BC154">
        <v>1961849.5327295621</v>
      </c>
      <c r="BD154">
        <v>1981238.6976995622</v>
      </c>
      <c r="BE154">
        <v>2200904.8192495615</v>
      </c>
      <c r="BF154">
        <v>2084756.4860195622</v>
      </c>
      <c r="BG154">
        <v>2055696.0256128951</v>
      </c>
      <c r="BH154">
        <v>2140923.9879128956</v>
      </c>
      <c r="BI154">
        <v>2033212.2212599993</v>
      </c>
      <c r="BJ154">
        <v>2152784.19508</v>
      </c>
      <c r="BK154">
        <v>3037533.7253900399</v>
      </c>
    </row>
    <row r="155" spans="1:63">
      <c r="A155" s="216">
        <v>43891</v>
      </c>
      <c r="B155" t="s">
        <v>43</v>
      </c>
      <c r="C155">
        <v>7</v>
      </c>
      <c r="D155" t="s">
        <v>433</v>
      </c>
      <c r="E155" s="217">
        <v>43891</v>
      </c>
      <c r="F155">
        <v>63214</v>
      </c>
      <c r="G155" s="227" t="s">
        <v>92</v>
      </c>
    </row>
    <row r="156" spans="1:63">
      <c r="A156" s="216">
        <v>43891</v>
      </c>
      <c r="B156" t="s">
        <v>43</v>
      </c>
      <c r="C156">
        <v>7</v>
      </c>
      <c r="D156" t="s">
        <v>433</v>
      </c>
      <c r="E156" s="217">
        <v>43891</v>
      </c>
      <c r="F156">
        <v>95038</v>
      </c>
      <c r="G156" s="227" t="s">
        <v>110</v>
      </c>
    </row>
    <row r="157" spans="1:63">
      <c r="A157" s="216">
        <v>43891</v>
      </c>
      <c r="B157" t="s">
        <v>43</v>
      </c>
      <c r="C157">
        <v>7</v>
      </c>
      <c r="D157" t="s">
        <v>433</v>
      </c>
      <c r="E157" s="217">
        <v>43891</v>
      </c>
      <c r="F157">
        <v>785315</v>
      </c>
      <c r="G157" s="227" t="s">
        <v>434</v>
      </c>
    </row>
    <row r="158" spans="1:63">
      <c r="A158" s="216">
        <v>43891</v>
      </c>
      <c r="B158" t="s">
        <v>43</v>
      </c>
      <c r="C158">
        <v>8</v>
      </c>
      <c r="D158" t="s">
        <v>445</v>
      </c>
      <c r="E158" s="217">
        <v>43891</v>
      </c>
      <c r="F158">
        <v>11166</v>
      </c>
      <c r="G158" s="227" t="s">
        <v>70</v>
      </c>
    </row>
    <row r="159" spans="1:63">
      <c r="A159" s="216">
        <v>43891</v>
      </c>
      <c r="B159" t="s">
        <v>43</v>
      </c>
      <c r="C159">
        <v>8</v>
      </c>
      <c r="D159" t="s">
        <v>445</v>
      </c>
      <c r="E159" s="217">
        <v>43891</v>
      </c>
      <c r="F159">
        <v>12836</v>
      </c>
      <c r="G159" s="227" t="s">
        <v>114</v>
      </c>
    </row>
    <row r="160" spans="1:63">
      <c r="A160" s="216">
        <v>43891</v>
      </c>
      <c r="B160" t="s">
        <v>43</v>
      </c>
      <c r="C160">
        <v>8</v>
      </c>
      <c r="D160" t="s">
        <v>445</v>
      </c>
      <c r="E160" s="217">
        <v>43891</v>
      </c>
      <c r="F160">
        <v>11322</v>
      </c>
      <c r="G160" s="227" t="s">
        <v>105</v>
      </c>
    </row>
    <row r="161" spans="1:7">
      <c r="A161" s="216">
        <v>43891</v>
      </c>
      <c r="B161" t="s">
        <v>43</v>
      </c>
      <c r="C161">
        <v>8</v>
      </c>
      <c r="D161" t="s">
        <v>445</v>
      </c>
      <c r="E161" s="217">
        <v>43891</v>
      </c>
      <c r="F161">
        <v>15177</v>
      </c>
      <c r="G161" s="227" t="s">
        <v>100</v>
      </c>
    </row>
    <row r="162" spans="1:7">
      <c r="A162" s="216">
        <v>43891</v>
      </c>
      <c r="B162" t="s">
        <v>43</v>
      </c>
      <c r="C162">
        <v>8</v>
      </c>
      <c r="D162" t="s">
        <v>445</v>
      </c>
      <c r="E162" s="217">
        <v>43891</v>
      </c>
      <c r="F162">
        <v>12215</v>
      </c>
      <c r="G162" s="227" t="s">
        <v>83</v>
      </c>
    </row>
    <row r="163" spans="1:7">
      <c r="A163" s="216">
        <v>43891</v>
      </c>
      <c r="B163" t="s">
        <v>43</v>
      </c>
      <c r="C163">
        <v>8</v>
      </c>
      <c r="D163" t="s">
        <v>445</v>
      </c>
      <c r="E163" s="217">
        <v>43891</v>
      </c>
      <c r="F163">
        <v>12396</v>
      </c>
      <c r="G163" s="227" t="s">
        <v>127</v>
      </c>
    </row>
    <row r="164" spans="1:7">
      <c r="A164" s="216">
        <v>43891</v>
      </c>
      <c r="B164" t="s">
        <v>43</v>
      </c>
      <c r="C164">
        <v>8</v>
      </c>
      <c r="D164" t="s">
        <v>445</v>
      </c>
      <c r="E164" s="217">
        <v>43891</v>
      </c>
      <c r="F164">
        <v>13925</v>
      </c>
      <c r="G164" s="227" t="s">
        <v>123</v>
      </c>
    </row>
    <row r="165" spans="1:7">
      <c r="A165" s="216">
        <v>43891</v>
      </c>
      <c r="B165" t="s">
        <v>43</v>
      </c>
      <c r="C165">
        <v>8</v>
      </c>
      <c r="D165" t="s">
        <v>445</v>
      </c>
      <c r="E165" s="217">
        <v>43891</v>
      </c>
      <c r="F165">
        <v>12279</v>
      </c>
      <c r="G165" s="227" t="s">
        <v>119</v>
      </c>
    </row>
    <row r="166" spans="1:7">
      <c r="A166" s="216">
        <v>43891</v>
      </c>
      <c r="B166" t="s">
        <v>43</v>
      </c>
      <c r="C166">
        <v>8</v>
      </c>
      <c r="D166" t="s">
        <v>445</v>
      </c>
      <c r="E166" s="217">
        <v>43891</v>
      </c>
      <c r="F166">
        <v>13463</v>
      </c>
      <c r="G166" s="227" t="s">
        <v>88</v>
      </c>
    </row>
    <row r="167" spans="1:7">
      <c r="A167" s="216">
        <v>43891</v>
      </c>
      <c r="B167" t="s">
        <v>43</v>
      </c>
      <c r="C167">
        <v>8</v>
      </c>
      <c r="D167" t="s">
        <v>445</v>
      </c>
      <c r="E167" s="217">
        <v>43891</v>
      </c>
      <c r="F167">
        <v>12843</v>
      </c>
      <c r="G167" s="227" t="s">
        <v>96</v>
      </c>
    </row>
    <row r="168" spans="1:7">
      <c r="A168" s="216">
        <v>43891</v>
      </c>
      <c r="B168" t="s">
        <v>43</v>
      </c>
      <c r="C168">
        <v>8</v>
      </c>
      <c r="D168" t="s">
        <v>445</v>
      </c>
      <c r="E168" s="217">
        <v>43891</v>
      </c>
      <c r="F168">
        <v>14954</v>
      </c>
      <c r="G168" s="227" t="s">
        <v>92</v>
      </c>
    </row>
    <row r="169" spans="1:7">
      <c r="A169" s="216">
        <v>43891</v>
      </c>
      <c r="B169" t="s">
        <v>43</v>
      </c>
      <c r="C169">
        <v>8</v>
      </c>
      <c r="D169" t="s">
        <v>445</v>
      </c>
      <c r="E169" s="217">
        <v>43891</v>
      </c>
      <c r="F169">
        <v>28053</v>
      </c>
      <c r="G169" s="227" t="s">
        <v>110</v>
      </c>
    </row>
    <row r="170" spans="1:7">
      <c r="A170" s="216">
        <v>43891</v>
      </c>
      <c r="B170" t="s">
        <v>43</v>
      </c>
      <c r="C170">
        <v>8</v>
      </c>
      <c r="D170" t="s">
        <v>445</v>
      </c>
      <c r="E170" s="217">
        <v>43891</v>
      </c>
      <c r="F170">
        <v>170629</v>
      </c>
      <c r="G170" s="227" t="s">
        <v>434</v>
      </c>
    </row>
    <row r="171" spans="1:7">
      <c r="A171" s="216">
        <v>43891</v>
      </c>
      <c r="B171" t="s">
        <v>43</v>
      </c>
      <c r="C171">
        <v>5</v>
      </c>
      <c r="D171" t="s">
        <v>451</v>
      </c>
      <c r="E171" s="217">
        <v>43891</v>
      </c>
      <c r="F171">
        <v>16762</v>
      </c>
      <c r="G171" s="227" t="s">
        <v>70</v>
      </c>
    </row>
    <row r="172" spans="1:7">
      <c r="A172" s="216">
        <v>43891</v>
      </c>
      <c r="B172" t="s">
        <v>43</v>
      </c>
      <c r="C172">
        <v>5</v>
      </c>
      <c r="D172" t="s">
        <v>451</v>
      </c>
      <c r="E172" s="217">
        <v>43891</v>
      </c>
      <c r="F172">
        <v>16948</v>
      </c>
      <c r="G172" s="227" t="s">
        <v>114</v>
      </c>
    </row>
    <row r="173" spans="1:7">
      <c r="A173" s="216">
        <v>43891</v>
      </c>
      <c r="B173" t="s">
        <v>43</v>
      </c>
      <c r="C173">
        <v>5</v>
      </c>
      <c r="D173" t="s">
        <v>451</v>
      </c>
      <c r="E173" s="217">
        <v>43891</v>
      </c>
      <c r="F173">
        <v>17304</v>
      </c>
      <c r="G173" s="227" t="s">
        <v>105</v>
      </c>
    </row>
    <row r="174" spans="1:7">
      <c r="A174" s="216">
        <v>43891</v>
      </c>
      <c r="B174" t="s">
        <v>43</v>
      </c>
      <c r="C174">
        <v>5</v>
      </c>
      <c r="D174" t="s">
        <v>451</v>
      </c>
      <c r="E174" s="217">
        <v>43891</v>
      </c>
      <c r="F174">
        <v>16850</v>
      </c>
      <c r="G174" s="227" t="s">
        <v>100</v>
      </c>
    </row>
    <row r="175" spans="1:7">
      <c r="A175" s="216">
        <v>43891</v>
      </c>
      <c r="B175" t="s">
        <v>43</v>
      </c>
      <c r="C175">
        <v>5</v>
      </c>
      <c r="D175" t="s">
        <v>451</v>
      </c>
      <c r="E175" s="217">
        <v>43891</v>
      </c>
      <c r="F175">
        <v>17352</v>
      </c>
      <c r="G175" s="227" t="s">
        <v>83</v>
      </c>
    </row>
    <row r="176" spans="1:7">
      <c r="A176" s="216">
        <v>43891</v>
      </c>
      <c r="B176" t="s">
        <v>43</v>
      </c>
      <c r="C176">
        <v>5</v>
      </c>
      <c r="D176" t="s">
        <v>451</v>
      </c>
      <c r="E176" s="217">
        <v>43891</v>
      </c>
      <c r="F176">
        <v>17343</v>
      </c>
      <c r="G176" s="227" t="s">
        <v>127</v>
      </c>
    </row>
    <row r="177" spans="1:7">
      <c r="A177" s="216">
        <v>43891</v>
      </c>
      <c r="B177" t="s">
        <v>43</v>
      </c>
      <c r="C177">
        <v>5</v>
      </c>
      <c r="D177" t="s">
        <v>451</v>
      </c>
      <c r="E177" s="217">
        <v>43891</v>
      </c>
      <c r="F177">
        <v>18530</v>
      </c>
      <c r="G177" s="227" t="s">
        <v>123</v>
      </c>
    </row>
    <row r="178" spans="1:7">
      <c r="A178" s="216">
        <v>43891</v>
      </c>
      <c r="B178" t="s">
        <v>43</v>
      </c>
      <c r="C178">
        <v>5</v>
      </c>
      <c r="D178" t="s">
        <v>451</v>
      </c>
      <c r="E178" s="217">
        <v>43891</v>
      </c>
      <c r="F178">
        <v>18106</v>
      </c>
      <c r="G178" s="227" t="s">
        <v>119</v>
      </c>
    </row>
    <row r="179" spans="1:7">
      <c r="A179" s="216">
        <v>43891</v>
      </c>
      <c r="B179" t="s">
        <v>43</v>
      </c>
      <c r="C179">
        <v>5</v>
      </c>
      <c r="D179" t="s">
        <v>451</v>
      </c>
      <c r="E179" s="217">
        <v>43891</v>
      </c>
      <c r="F179">
        <v>17030</v>
      </c>
      <c r="G179" s="227" t="s">
        <v>88</v>
      </c>
    </row>
    <row r="180" spans="1:7">
      <c r="A180" s="216">
        <v>43891</v>
      </c>
      <c r="B180" t="s">
        <v>43</v>
      </c>
      <c r="C180">
        <v>5</v>
      </c>
      <c r="D180" t="s">
        <v>451</v>
      </c>
      <c r="E180" s="217">
        <v>43891</v>
      </c>
      <c r="F180">
        <v>17589</v>
      </c>
      <c r="G180" s="227" t="s">
        <v>96</v>
      </c>
    </row>
    <row r="181" spans="1:7">
      <c r="A181" s="216">
        <v>43891</v>
      </c>
      <c r="B181" t="s">
        <v>43</v>
      </c>
      <c r="C181">
        <v>5</v>
      </c>
      <c r="D181" t="s">
        <v>451</v>
      </c>
      <c r="E181" s="217">
        <v>43891</v>
      </c>
      <c r="F181">
        <v>17988</v>
      </c>
      <c r="G181" s="227" t="s">
        <v>92</v>
      </c>
    </row>
    <row r="182" spans="1:7">
      <c r="A182" s="216">
        <v>43891</v>
      </c>
      <c r="B182" t="s">
        <v>43</v>
      </c>
      <c r="C182">
        <v>5</v>
      </c>
      <c r="D182" t="s">
        <v>451</v>
      </c>
      <c r="E182" s="217">
        <v>43891</v>
      </c>
      <c r="F182">
        <v>21805</v>
      </c>
      <c r="G182" s="227" t="s">
        <v>110</v>
      </c>
    </row>
    <row r="183" spans="1:7">
      <c r="A183" s="216">
        <v>43891</v>
      </c>
      <c r="B183" t="s">
        <v>43</v>
      </c>
      <c r="C183">
        <v>5</v>
      </c>
      <c r="D183" t="s">
        <v>451</v>
      </c>
      <c r="E183" s="217">
        <v>43891</v>
      </c>
      <c r="F183">
        <v>213607</v>
      </c>
      <c r="G183" s="227" t="s">
        <v>434</v>
      </c>
    </row>
    <row r="184" spans="1:7">
      <c r="A184" s="216">
        <v>43891</v>
      </c>
      <c r="B184" t="s">
        <v>43</v>
      </c>
      <c r="C184">
        <v>9</v>
      </c>
      <c r="D184" t="s">
        <v>454</v>
      </c>
      <c r="E184" s="217">
        <v>43891</v>
      </c>
      <c r="F184">
        <v>5891</v>
      </c>
      <c r="G184" s="227" t="s">
        <v>70</v>
      </c>
    </row>
    <row r="185" spans="1:7">
      <c r="A185" s="216">
        <v>43891</v>
      </c>
      <c r="B185" t="s">
        <v>43</v>
      </c>
      <c r="C185">
        <v>9</v>
      </c>
      <c r="D185" t="s">
        <v>454</v>
      </c>
      <c r="E185" s="217">
        <v>43891</v>
      </c>
      <c r="F185">
        <v>5977</v>
      </c>
      <c r="G185" s="227" t="s">
        <v>114</v>
      </c>
    </row>
    <row r="186" spans="1:7">
      <c r="A186" s="216">
        <v>43891</v>
      </c>
      <c r="B186" t="s">
        <v>43</v>
      </c>
      <c r="C186">
        <v>9</v>
      </c>
      <c r="D186" t="s">
        <v>454</v>
      </c>
      <c r="E186" s="217">
        <v>43891</v>
      </c>
      <c r="F186">
        <v>5585</v>
      </c>
      <c r="G186" s="227" t="s">
        <v>105</v>
      </c>
    </row>
    <row r="187" spans="1:7">
      <c r="A187" s="216">
        <v>43891</v>
      </c>
      <c r="B187" t="s">
        <v>43</v>
      </c>
      <c r="C187">
        <v>9</v>
      </c>
      <c r="D187" t="s">
        <v>454</v>
      </c>
      <c r="E187" s="217">
        <v>43891</v>
      </c>
      <c r="F187">
        <v>6291</v>
      </c>
      <c r="G187" s="227" t="s">
        <v>100</v>
      </c>
    </row>
    <row r="188" spans="1:7">
      <c r="A188" s="216">
        <v>43891</v>
      </c>
      <c r="B188" t="s">
        <v>43</v>
      </c>
      <c r="C188">
        <v>9</v>
      </c>
      <c r="D188" t="s">
        <v>454</v>
      </c>
      <c r="E188" s="217">
        <v>43891</v>
      </c>
      <c r="F188">
        <v>5840</v>
      </c>
      <c r="G188" s="227" t="s">
        <v>83</v>
      </c>
    </row>
    <row r="189" spans="1:7">
      <c r="A189" s="216">
        <v>43891</v>
      </c>
      <c r="B189" t="s">
        <v>43</v>
      </c>
      <c r="C189">
        <v>9</v>
      </c>
      <c r="D189" t="s">
        <v>454</v>
      </c>
      <c r="E189" s="217">
        <v>43891</v>
      </c>
      <c r="F189">
        <v>5950</v>
      </c>
      <c r="G189" s="227" t="s">
        <v>127</v>
      </c>
    </row>
    <row r="190" spans="1:7">
      <c r="A190" s="216">
        <v>43891</v>
      </c>
      <c r="B190" t="s">
        <v>43</v>
      </c>
      <c r="C190">
        <v>9</v>
      </c>
      <c r="D190" t="s">
        <v>454</v>
      </c>
      <c r="E190" s="217">
        <v>43891</v>
      </c>
      <c r="F190">
        <v>5996</v>
      </c>
      <c r="G190" s="227" t="s">
        <v>123</v>
      </c>
    </row>
    <row r="191" spans="1:7">
      <c r="A191" s="216">
        <v>43891</v>
      </c>
      <c r="B191" t="s">
        <v>43</v>
      </c>
      <c r="C191">
        <v>9</v>
      </c>
      <c r="D191" t="s">
        <v>454</v>
      </c>
      <c r="E191" s="217">
        <v>43891</v>
      </c>
      <c r="F191">
        <v>6135</v>
      </c>
      <c r="G191" s="227" t="s">
        <v>119</v>
      </c>
    </row>
    <row r="192" spans="1:7">
      <c r="A192" s="216">
        <v>43891</v>
      </c>
      <c r="B192" t="s">
        <v>43</v>
      </c>
      <c r="C192">
        <v>9</v>
      </c>
      <c r="D192" t="s">
        <v>454</v>
      </c>
      <c r="E192" s="217">
        <v>43891</v>
      </c>
      <c r="F192">
        <v>6008</v>
      </c>
      <c r="G192" s="227" t="s">
        <v>88</v>
      </c>
    </row>
    <row r="193" spans="1:7">
      <c r="A193" s="216">
        <v>43891</v>
      </c>
      <c r="B193" t="s">
        <v>43</v>
      </c>
      <c r="C193">
        <v>9</v>
      </c>
      <c r="D193" t="s">
        <v>454</v>
      </c>
      <c r="E193" s="217">
        <v>43891</v>
      </c>
      <c r="F193">
        <v>6625</v>
      </c>
      <c r="G193" s="227" t="s">
        <v>96</v>
      </c>
    </row>
    <row r="194" spans="1:7">
      <c r="A194" s="216">
        <v>43891</v>
      </c>
      <c r="B194" t="s">
        <v>43</v>
      </c>
      <c r="C194">
        <v>9</v>
      </c>
      <c r="D194" t="s">
        <v>454</v>
      </c>
      <c r="E194" s="217">
        <v>43891</v>
      </c>
      <c r="F194">
        <v>5686</v>
      </c>
      <c r="G194" s="227" t="s">
        <v>92</v>
      </c>
    </row>
    <row r="195" spans="1:7">
      <c r="A195" s="216">
        <v>43891</v>
      </c>
      <c r="B195" t="s">
        <v>43</v>
      </c>
      <c r="C195">
        <v>9</v>
      </c>
      <c r="D195" t="s">
        <v>454</v>
      </c>
      <c r="E195" s="217">
        <v>43891</v>
      </c>
      <c r="F195">
        <v>6328</v>
      </c>
      <c r="G195" s="227" t="s">
        <v>110</v>
      </c>
    </row>
    <row r="196" spans="1:7">
      <c r="A196" s="216">
        <v>43891</v>
      </c>
      <c r="B196" t="s">
        <v>43</v>
      </c>
      <c r="C196">
        <v>9</v>
      </c>
      <c r="D196" t="s">
        <v>454</v>
      </c>
      <c r="E196" s="217">
        <v>43891</v>
      </c>
      <c r="F196">
        <v>72312</v>
      </c>
      <c r="G196" s="227" t="s">
        <v>434</v>
      </c>
    </row>
    <row r="197" spans="1:7">
      <c r="A197" s="216">
        <v>43891</v>
      </c>
      <c r="B197" t="s">
        <v>43</v>
      </c>
      <c r="C197">
        <v>10</v>
      </c>
      <c r="D197" t="s">
        <v>441</v>
      </c>
      <c r="E197" s="217">
        <v>43891</v>
      </c>
      <c r="F197">
        <v>21165</v>
      </c>
      <c r="G197" s="227" t="s">
        <v>70</v>
      </c>
    </row>
    <row r="198" spans="1:7">
      <c r="A198" s="216">
        <v>43891</v>
      </c>
      <c r="B198" t="s">
        <v>43</v>
      </c>
      <c r="C198">
        <v>10</v>
      </c>
      <c r="D198" t="s">
        <v>441</v>
      </c>
      <c r="E198" s="217">
        <v>43891</v>
      </c>
      <c r="F198">
        <v>20952</v>
      </c>
      <c r="G198" s="227" t="s">
        <v>114</v>
      </c>
    </row>
    <row r="199" spans="1:7">
      <c r="A199" s="216">
        <v>43891</v>
      </c>
      <c r="B199" t="s">
        <v>43</v>
      </c>
      <c r="C199">
        <v>10</v>
      </c>
      <c r="D199" t="s">
        <v>441</v>
      </c>
      <c r="E199" s="217">
        <v>43891</v>
      </c>
      <c r="F199">
        <v>21570</v>
      </c>
      <c r="G199" s="227" t="s">
        <v>105</v>
      </c>
    </row>
    <row r="200" spans="1:7">
      <c r="A200" s="216">
        <v>43891</v>
      </c>
      <c r="B200" t="s">
        <v>43</v>
      </c>
      <c r="C200">
        <v>10</v>
      </c>
      <c r="D200" t="s">
        <v>441</v>
      </c>
      <c r="E200" s="217">
        <v>43891</v>
      </c>
      <c r="F200">
        <v>23068</v>
      </c>
      <c r="G200" s="227" t="s">
        <v>100</v>
      </c>
    </row>
    <row r="201" spans="1:7">
      <c r="A201" s="216">
        <v>43891</v>
      </c>
      <c r="B201" t="s">
        <v>43</v>
      </c>
      <c r="C201">
        <v>10</v>
      </c>
      <c r="D201" t="s">
        <v>441</v>
      </c>
      <c r="E201" s="217">
        <v>43891</v>
      </c>
      <c r="F201">
        <v>22162</v>
      </c>
      <c r="G201" s="227" t="s">
        <v>83</v>
      </c>
    </row>
    <row r="202" spans="1:7">
      <c r="A202" s="216">
        <v>43891</v>
      </c>
      <c r="B202" t="s">
        <v>43</v>
      </c>
      <c r="C202">
        <v>10</v>
      </c>
      <c r="D202" t="s">
        <v>441</v>
      </c>
      <c r="E202" s="217">
        <v>43891</v>
      </c>
      <c r="F202">
        <v>21460</v>
      </c>
      <c r="G202" s="227" t="s">
        <v>127</v>
      </c>
    </row>
    <row r="203" spans="1:7">
      <c r="A203" s="216">
        <v>43891</v>
      </c>
      <c r="B203" t="s">
        <v>43</v>
      </c>
      <c r="C203">
        <v>10</v>
      </c>
      <c r="D203" t="s">
        <v>441</v>
      </c>
      <c r="E203" s="217">
        <v>43891</v>
      </c>
      <c r="F203">
        <v>20622</v>
      </c>
      <c r="G203" s="227" t="s">
        <v>123</v>
      </c>
    </row>
    <row r="204" spans="1:7">
      <c r="A204" s="216">
        <v>43891</v>
      </c>
      <c r="B204" t="s">
        <v>43</v>
      </c>
      <c r="C204">
        <v>10</v>
      </c>
      <c r="D204" t="s">
        <v>441</v>
      </c>
      <c r="E204" s="217">
        <v>43891</v>
      </c>
      <c r="F204">
        <v>21776</v>
      </c>
      <c r="G204" s="227" t="s">
        <v>119</v>
      </c>
    </row>
    <row r="205" spans="1:7">
      <c r="A205" s="216">
        <v>43891</v>
      </c>
      <c r="B205" t="s">
        <v>43</v>
      </c>
      <c r="C205">
        <v>10</v>
      </c>
      <c r="D205" t="s">
        <v>441</v>
      </c>
      <c r="E205" s="217">
        <v>43891</v>
      </c>
      <c r="F205">
        <v>21601</v>
      </c>
      <c r="G205" s="227" t="s">
        <v>88</v>
      </c>
    </row>
    <row r="206" spans="1:7">
      <c r="A206" s="216">
        <v>43891</v>
      </c>
      <c r="B206" t="s">
        <v>43</v>
      </c>
      <c r="C206">
        <v>10</v>
      </c>
      <c r="D206" t="s">
        <v>441</v>
      </c>
      <c r="E206" s="217">
        <v>43891</v>
      </c>
      <c r="F206">
        <v>22265</v>
      </c>
      <c r="G206" s="227" t="s">
        <v>96</v>
      </c>
    </row>
    <row r="207" spans="1:7">
      <c r="A207" s="216">
        <v>43891</v>
      </c>
      <c r="B207" t="s">
        <v>43</v>
      </c>
      <c r="C207">
        <v>10</v>
      </c>
      <c r="D207" t="s">
        <v>441</v>
      </c>
      <c r="E207" s="217">
        <v>43891</v>
      </c>
      <c r="F207">
        <v>22972</v>
      </c>
      <c r="G207" s="227" t="s">
        <v>92</v>
      </c>
    </row>
    <row r="208" spans="1:7">
      <c r="A208" s="216">
        <v>43891</v>
      </c>
      <c r="B208" t="s">
        <v>43</v>
      </c>
      <c r="C208">
        <v>10</v>
      </c>
      <c r="D208" t="s">
        <v>441</v>
      </c>
      <c r="E208" s="217">
        <v>43891</v>
      </c>
      <c r="F208">
        <v>20375</v>
      </c>
      <c r="G208" s="227" t="s">
        <v>110</v>
      </c>
    </row>
    <row r="209" spans="1:7">
      <c r="A209" s="216">
        <v>43891</v>
      </c>
      <c r="B209" t="s">
        <v>43</v>
      </c>
      <c r="C209">
        <v>10</v>
      </c>
      <c r="D209" t="s">
        <v>441</v>
      </c>
      <c r="E209" s="217">
        <v>43891</v>
      </c>
      <c r="F209">
        <v>259988</v>
      </c>
      <c r="G209" s="227" t="s">
        <v>434</v>
      </c>
    </row>
    <row r="210" spans="1:7">
      <c r="A210" s="216">
        <v>43891</v>
      </c>
      <c r="B210" t="s">
        <v>43</v>
      </c>
      <c r="C210">
        <v>11</v>
      </c>
      <c r="D210" t="s">
        <v>447</v>
      </c>
      <c r="E210" s="217">
        <v>43891</v>
      </c>
      <c r="F210">
        <v>0</v>
      </c>
      <c r="G210" s="227" t="s">
        <v>70</v>
      </c>
    </row>
    <row r="211" spans="1:7">
      <c r="A211" s="216">
        <v>43891</v>
      </c>
      <c r="B211" t="s">
        <v>43</v>
      </c>
      <c r="C211">
        <v>11</v>
      </c>
      <c r="D211" t="s">
        <v>447</v>
      </c>
      <c r="E211" s="217">
        <v>43891</v>
      </c>
      <c r="F211">
        <v>0</v>
      </c>
      <c r="G211" s="227" t="s">
        <v>114</v>
      </c>
    </row>
    <row r="212" spans="1:7">
      <c r="A212" s="216">
        <v>43891</v>
      </c>
      <c r="B212" t="s">
        <v>43</v>
      </c>
      <c r="C212">
        <v>11</v>
      </c>
      <c r="D212" t="s">
        <v>447</v>
      </c>
      <c r="E212" s="217">
        <v>43891</v>
      </c>
      <c r="F212">
        <v>0</v>
      </c>
      <c r="G212" s="227" t="s">
        <v>105</v>
      </c>
    </row>
    <row r="213" spans="1:7">
      <c r="A213" s="216">
        <v>43891</v>
      </c>
      <c r="B213" t="s">
        <v>43</v>
      </c>
      <c r="C213">
        <v>11</v>
      </c>
      <c r="D213" t="s">
        <v>447</v>
      </c>
      <c r="E213" s="217">
        <v>43891</v>
      </c>
      <c r="F213">
        <v>0</v>
      </c>
      <c r="G213" s="227" t="s">
        <v>100</v>
      </c>
    </row>
    <row r="214" spans="1:7">
      <c r="A214" s="216">
        <v>43891</v>
      </c>
      <c r="B214" t="s">
        <v>43</v>
      </c>
      <c r="C214">
        <v>11</v>
      </c>
      <c r="D214" t="s">
        <v>447</v>
      </c>
      <c r="E214" s="217">
        <v>43891</v>
      </c>
      <c r="F214">
        <v>0</v>
      </c>
      <c r="G214" s="227" t="s">
        <v>83</v>
      </c>
    </row>
    <row r="215" spans="1:7">
      <c r="A215" s="216">
        <v>43891</v>
      </c>
      <c r="B215" t="s">
        <v>43</v>
      </c>
      <c r="C215">
        <v>11</v>
      </c>
      <c r="D215" t="s">
        <v>447</v>
      </c>
      <c r="E215" s="217">
        <v>43891</v>
      </c>
      <c r="F215">
        <v>0</v>
      </c>
      <c r="G215" s="227" t="s">
        <v>127</v>
      </c>
    </row>
    <row r="216" spans="1:7">
      <c r="A216" s="216">
        <v>43891</v>
      </c>
      <c r="B216" t="s">
        <v>43</v>
      </c>
      <c r="C216">
        <v>11</v>
      </c>
      <c r="D216" t="s">
        <v>447</v>
      </c>
      <c r="E216" s="217">
        <v>43891</v>
      </c>
      <c r="F216">
        <v>0</v>
      </c>
      <c r="G216" s="227" t="s">
        <v>123</v>
      </c>
    </row>
    <row r="217" spans="1:7">
      <c r="A217" s="216">
        <v>43891</v>
      </c>
      <c r="B217" t="s">
        <v>43</v>
      </c>
      <c r="C217">
        <v>11</v>
      </c>
      <c r="D217" t="s">
        <v>447</v>
      </c>
      <c r="E217" s="217">
        <v>43891</v>
      </c>
      <c r="F217">
        <v>0</v>
      </c>
      <c r="G217" s="227" t="s">
        <v>119</v>
      </c>
    </row>
    <row r="218" spans="1:7">
      <c r="A218" s="216">
        <v>43891</v>
      </c>
      <c r="B218" t="s">
        <v>43</v>
      </c>
      <c r="C218">
        <v>11</v>
      </c>
      <c r="D218" t="s">
        <v>447</v>
      </c>
      <c r="E218" s="217">
        <v>43891</v>
      </c>
      <c r="F218">
        <v>0</v>
      </c>
      <c r="G218" s="227" t="s">
        <v>88</v>
      </c>
    </row>
    <row r="219" spans="1:7">
      <c r="A219" s="216">
        <v>43891</v>
      </c>
      <c r="B219" t="s">
        <v>43</v>
      </c>
      <c r="C219">
        <v>11</v>
      </c>
      <c r="D219" t="s">
        <v>447</v>
      </c>
      <c r="E219" s="217">
        <v>43891</v>
      </c>
      <c r="F219">
        <v>0</v>
      </c>
      <c r="G219" s="227" t="s">
        <v>96</v>
      </c>
    </row>
    <row r="220" spans="1:7">
      <c r="A220" s="216">
        <v>43891</v>
      </c>
      <c r="B220" t="s">
        <v>43</v>
      </c>
      <c r="C220">
        <v>11</v>
      </c>
      <c r="D220" t="s">
        <v>447</v>
      </c>
      <c r="E220" s="217">
        <v>43891</v>
      </c>
      <c r="F220">
        <v>0</v>
      </c>
      <c r="G220" s="227" t="s">
        <v>92</v>
      </c>
    </row>
    <row r="221" spans="1:7">
      <c r="A221" s="216">
        <v>43891</v>
      </c>
      <c r="B221" t="s">
        <v>43</v>
      </c>
      <c r="C221">
        <v>11</v>
      </c>
      <c r="D221" t="s">
        <v>447</v>
      </c>
      <c r="E221" s="217">
        <v>43891</v>
      </c>
      <c r="F221">
        <v>0</v>
      </c>
      <c r="G221" s="227" t="s">
        <v>110</v>
      </c>
    </row>
    <row r="222" spans="1:7">
      <c r="A222" s="216">
        <v>43891</v>
      </c>
      <c r="B222" t="s">
        <v>43</v>
      </c>
      <c r="C222">
        <v>11</v>
      </c>
      <c r="D222" t="s">
        <v>447</v>
      </c>
      <c r="E222" s="217">
        <v>43891</v>
      </c>
      <c r="F222">
        <v>0</v>
      </c>
      <c r="G222" s="227" t="s">
        <v>434</v>
      </c>
    </row>
    <row r="223" spans="1:7">
      <c r="A223" s="216">
        <v>43891</v>
      </c>
      <c r="B223" t="s">
        <v>43</v>
      </c>
      <c r="C223">
        <v>12</v>
      </c>
      <c r="D223" t="s">
        <v>437</v>
      </c>
      <c r="E223" s="217">
        <v>43891</v>
      </c>
      <c r="F223">
        <v>8260</v>
      </c>
      <c r="G223" s="227" t="s">
        <v>70</v>
      </c>
    </row>
    <row r="224" spans="1:7">
      <c r="A224" s="216">
        <v>43891</v>
      </c>
      <c r="B224" t="s">
        <v>43</v>
      </c>
      <c r="C224">
        <v>12</v>
      </c>
      <c r="D224" t="s">
        <v>437</v>
      </c>
      <c r="E224" s="217">
        <v>43891</v>
      </c>
      <c r="F224">
        <v>8296</v>
      </c>
      <c r="G224" s="227" t="s">
        <v>114</v>
      </c>
    </row>
    <row r="225" spans="1:7">
      <c r="A225" s="216">
        <v>43891</v>
      </c>
      <c r="B225" t="s">
        <v>43</v>
      </c>
      <c r="C225">
        <v>12</v>
      </c>
      <c r="D225" t="s">
        <v>437</v>
      </c>
      <c r="E225" s="217">
        <v>43891</v>
      </c>
      <c r="F225">
        <v>8159</v>
      </c>
      <c r="G225" s="227" t="s">
        <v>105</v>
      </c>
    </row>
    <row r="226" spans="1:7">
      <c r="A226" s="216">
        <v>43891</v>
      </c>
      <c r="B226" t="s">
        <v>43</v>
      </c>
      <c r="C226">
        <v>12</v>
      </c>
      <c r="D226" t="s">
        <v>437</v>
      </c>
      <c r="E226" s="217">
        <v>43891</v>
      </c>
      <c r="F226">
        <v>7973</v>
      </c>
      <c r="G226" s="227" t="s">
        <v>100</v>
      </c>
    </row>
    <row r="227" spans="1:7">
      <c r="A227" s="216">
        <v>43891</v>
      </c>
      <c r="B227" t="s">
        <v>43</v>
      </c>
      <c r="C227">
        <v>12</v>
      </c>
      <c r="D227" t="s">
        <v>437</v>
      </c>
      <c r="E227" s="217">
        <v>43891</v>
      </c>
      <c r="F227">
        <v>8190</v>
      </c>
      <c r="G227" s="227" t="s">
        <v>83</v>
      </c>
    </row>
    <row r="228" spans="1:7">
      <c r="A228" s="216">
        <v>43891</v>
      </c>
      <c r="B228" t="s">
        <v>43</v>
      </c>
      <c r="C228">
        <v>12</v>
      </c>
      <c r="D228" t="s">
        <v>437</v>
      </c>
      <c r="E228" s="217">
        <v>43891</v>
      </c>
      <c r="F228">
        <v>7998</v>
      </c>
      <c r="G228" s="227" t="s">
        <v>127</v>
      </c>
    </row>
    <row r="229" spans="1:7">
      <c r="A229" s="216">
        <v>43891</v>
      </c>
      <c r="B229" t="s">
        <v>43</v>
      </c>
      <c r="C229">
        <v>12</v>
      </c>
      <c r="D229" t="s">
        <v>437</v>
      </c>
      <c r="E229" s="217">
        <v>43891</v>
      </c>
      <c r="F229">
        <v>7938</v>
      </c>
      <c r="G229" s="227" t="s">
        <v>123</v>
      </c>
    </row>
    <row r="230" spans="1:7">
      <c r="A230" s="216">
        <v>43891</v>
      </c>
      <c r="B230" t="s">
        <v>43</v>
      </c>
      <c r="C230">
        <v>12</v>
      </c>
      <c r="D230" t="s">
        <v>437</v>
      </c>
      <c r="E230" s="217">
        <v>43891</v>
      </c>
      <c r="F230">
        <v>7980</v>
      </c>
      <c r="G230" s="227" t="s">
        <v>119</v>
      </c>
    </row>
    <row r="231" spans="1:7">
      <c r="A231" s="216">
        <v>43891</v>
      </c>
      <c r="B231" t="s">
        <v>43</v>
      </c>
      <c r="C231">
        <v>12</v>
      </c>
      <c r="D231" t="s">
        <v>437</v>
      </c>
      <c r="E231" s="217">
        <v>43891</v>
      </c>
      <c r="F231">
        <v>9296</v>
      </c>
      <c r="G231" s="227" t="s">
        <v>88</v>
      </c>
    </row>
    <row r="232" spans="1:7">
      <c r="A232" s="216">
        <v>43891</v>
      </c>
      <c r="B232" t="s">
        <v>43</v>
      </c>
      <c r="C232">
        <v>12</v>
      </c>
      <c r="D232" t="s">
        <v>437</v>
      </c>
      <c r="E232" s="217">
        <v>43891</v>
      </c>
      <c r="F232">
        <v>7483</v>
      </c>
      <c r="G232" s="227" t="s">
        <v>96</v>
      </c>
    </row>
    <row r="233" spans="1:7">
      <c r="A233" s="216">
        <v>43891</v>
      </c>
      <c r="B233" t="s">
        <v>43</v>
      </c>
      <c r="C233">
        <v>12</v>
      </c>
      <c r="D233" t="s">
        <v>437</v>
      </c>
      <c r="E233" s="217">
        <v>43891</v>
      </c>
      <c r="F233">
        <v>7301</v>
      </c>
      <c r="G233" s="227" t="s">
        <v>92</v>
      </c>
    </row>
    <row r="234" spans="1:7">
      <c r="A234" s="216">
        <v>43891</v>
      </c>
      <c r="B234" t="s">
        <v>43</v>
      </c>
      <c r="C234">
        <v>12</v>
      </c>
      <c r="D234" t="s">
        <v>437</v>
      </c>
      <c r="E234" s="217">
        <v>43891</v>
      </c>
      <c r="F234">
        <v>8168</v>
      </c>
      <c r="G234" s="227" t="s">
        <v>110</v>
      </c>
    </row>
    <row r="235" spans="1:7">
      <c r="A235" s="216">
        <v>43891</v>
      </c>
      <c r="B235" t="s">
        <v>43</v>
      </c>
      <c r="C235">
        <v>12</v>
      </c>
      <c r="D235" t="s">
        <v>437</v>
      </c>
      <c r="E235" s="217">
        <v>43891</v>
      </c>
      <c r="F235">
        <v>97042</v>
      </c>
      <c r="G235" s="227" t="s">
        <v>434</v>
      </c>
    </row>
    <row r="236" spans="1:7">
      <c r="A236" s="216">
        <v>43891</v>
      </c>
      <c r="B236" t="s">
        <v>45</v>
      </c>
      <c r="C236">
        <v>4</v>
      </c>
      <c r="D236" t="s">
        <v>442</v>
      </c>
      <c r="E236" s="217">
        <v>43891</v>
      </c>
      <c r="F236">
        <v>91969.010540000003</v>
      </c>
      <c r="G236" s="227" t="s">
        <v>70</v>
      </c>
    </row>
    <row r="237" spans="1:7">
      <c r="A237" s="216">
        <v>43891</v>
      </c>
      <c r="B237" t="s">
        <v>45</v>
      </c>
      <c r="C237">
        <v>4</v>
      </c>
      <c r="D237" t="s">
        <v>442</v>
      </c>
      <c r="E237" s="217">
        <v>43891</v>
      </c>
      <c r="F237">
        <v>94669.989459999997</v>
      </c>
      <c r="G237" s="227" t="s">
        <v>114</v>
      </c>
    </row>
    <row r="238" spans="1:7">
      <c r="A238" s="216">
        <v>43891</v>
      </c>
      <c r="B238" t="s">
        <v>45</v>
      </c>
      <c r="C238">
        <v>4</v>
      </c>
      <c r="D238" t="s">
        <v>442</v>
      </c>
      <c r="E238" s="217">
        <v>43891</v>
      </c>
      <c r="F238">
        <v>91892</v>
      </c>
      <c r="G238" s="227" t="s">
        <v>105</v>
      </c>
    </row>
    <row r="239" spans="1:7">
      <c r="A239" s="216">
        <v>43891</v>
      </c>
      <c r="B239" t="s">
        <v>45</v>
      </c>
      <c r="C239">
        <v>4</v>
      </c>
      <c r="D239" t="s">
        <v>442</v>
      </c>
      <c r="E239" s="217">
        <v>43891</v>
      </c>
      <c r="F239">
        <v>100866</v>
      </c>
      <c r="G239" s="227" t="s">
        <v>100</v>
      </c>
    </row>
    <row r="240" spans="1:7">
      <c r="A240" s="216">
        <v>43891</v>
      </c>
      <c r="B240" t="s">
        <v>45</v>
      </c>
      <c r="C240">
        <v>4</v>
      </c>
      <c r="D240" t="s">
        <v>442</v>
      </c>
      <c r="E240" s="217">
        <v>43891</v>
      </c>
      <c r="F240">
        <v>95280</v>
      </c>
      <c r="G240" s="227" t="s">
        <v>83</v>
      </c>
    </row>
    <row r="241" spans="1:7">
      <c r="A241" s="216">
        <v>43891</v>
      </c>
      <c r="B241" t="s">
        <v>45</v>
      </c>
      <c r="C241">
        <v>4</v>
      </c>
      <c r="D241" t="s">
        <v>442</v>
      </c>
      <c r="E241" s="217">
        <v>43891</v>
      </c>
      <c r="F241">
        <v>92395</v>
      </c>
      <c r="G241" s="227" t="s">
        <v>127</v>
      </c>
    </row>
    <row r="242" spans="1:7">
      <c r="A242" s="216">
        <v>43891</v>
      </c>
      <c r="B242" t="s">
        <v>45</v>
      </c>
      <c r="C242">
        <v>4</v>
      </c>
      <c r="D242" t="s">
        <v>442</v>
      </c>
      <c r="E242" s="217">
        <v>43891</v>
      </c>
      <c r="F242">
        <v>100599</v>
      </c>
      <c r="G242" s="227" t="s">
        <v>123</v>
      </c>
    </row>
    <row r="243" spans="1:7">
      <c r="A243" s="216">
        <v>43891</v>
      </c>
      <c r="B243" t="s">
        <v>45</v>
      </c>
      <c r="C243">
        <v>4</v>
      </c>
      <c r="D243" t="s">
        <v>442</v>
      </c>
      <c r="E243" s="217">
        <v>43891</v>
      </c>
      <c r="F243">
        <v>102102</v>
      </c>
      <c r="G243" s="227" t="s">
        <v>119</v>
      </c>
    </row>
    <row r="244" spans="1:7">
      <c r="A244" s="216">
        <v>43891</v>
      </c>
      <c r="B244" t="s">
        <v>45</v>
      </c>
      <c r="C244">
        <v>4</v>
      </c>
      <c r="D244" t="s">
        <v>442</v>
      </c>
      <c r="E244" s="217">
        <v>43891</v>
      </c>
      <c r="F244">
        <v>102626</v>
      </c>
      <c r="G244" s="227" t="s">
        <v>88</v>
      </c>
    </row>
    <row r="245" spans="1:7">
      <c r="A245" s="216">
        <v>43891</v>
      </c>
      <c r="B245" t="s">
        <v>45</v>
      </c>
      <c r="C245">
        <v>4</v>
      </c>
      <c r="D245" t="s">
        <v>442</v>
      </c>
      <c r="E245" s="217">
        <v>43891</v>
      </c>
      <c r="F245">
        <v>99051</v>
      </c>
      <c r="G245" s="227" t="s">
        <v>96</v>
      </c>
    </row>
    <row r="246" spans="1:7">
      <c r="A246" s="216">
        <v>43891</v>
      </c>
      <c r="B246" t="s">
        <v>45</v>
      </c>
      <c r="C246">
        <v>4</v>
      </c>
      <c r="D246" t="s">
        <v>442</v>
      </c>
      <c r="E246" s="217">
        <v>43891</v>
      </c>
      <c r="F246">
        <v>100801</v>
      </c>
      <c r="G246" s="227" t="s">
        <v>92</v>
      </c>
    </row>
    <row r="247" spans="1:7">
      <c r="A247" s="216">
        <v>43891</v>
      </c>
      <c r="B247" t="s">
        <v>45</v>
      </c>
      <c r="C247">
        <v>4</v>
      </c>
      <c r="D247" t="s">
        <v>442</v>
      </c>
      <c r="E247" s="217">
        <v>43891</v>
      </c>
      <c r="F247">
        <v>135313</v>
      </c>
      <c r="G247" s="227" t="s">
        <v>110</v>
      </c>
    </row>
    <row r="248" spans="1:7">
      <c r="A248" s="216">
        <v>43891</v>
      </c>
      <c r="B248" t="s">
        <v>45</v>
      </c>
      <c r="C248">
        <v>4</v>
      </c>
      <c r="D248" t="s">
        <v>442</v>
      </c>
      <c r="E248" s="217">
        <v>43891</v>
      </c>
      <c r="F248">
        <v>1207564</v>
      </c>
      <c r="G248" s="227" t="s">
        <v>434</v>
      </c>
    </row>
    <row r="249" spans="1:7">
      <c r="A249" s="216">
        <v>43891</v>
      </c>
      <c r="B249" t="s">
        <v>45</v>
      </c>
      <c r="C249">
        <v>6</v>
      </c>
      <c r="D249" t="s">
        <v>450</v>
      </c>
      <c r="E249" s="217">
        <v>43891</v>
      </c>
      <c r="F249">
        <v>6852.4148100000002</v>
      </c>
      <c r="G249" s="227" t="s">
        <v>70</v>
      </c>
    </row>
    <row r="250" spans="1:7">
      <c r="A250" s="216">
        <v>43891</v>
      </c>
      <c r="B250" t="s">
        <v>45</v>
      </c>
      <c r="C250">
        <v>6</v>
      </c>
      <c r="D250" t="s">
        <v>450</v>
      </c>
      <c r="E250" s="217">
        <v>43891</v>
      </c>
      <c r="F250">
        <v>7341.5851899999998</v>
      </c>
      <c r="G250" s="227" t="s">
        <v>114</v>
      </c>
    </row>
    <row r="251" spans="1:7">
      <c r="A251" s="216">
        <v>43891</v>
      </c>
      <c r="B251" t="s">
        <v>45</v>
      </c>
      <c r="C251">
        <v>6</v>
      </c>
      <c r="D251" t="s">
        <v>450</v>
      </c>
      <c r="E251" s="217">
        <v>43891</v>
      </c>
      <c r="F251">
        <v>7143</v>
      </c>
      <c r="G251" s="227" t="s">
        <v>105</v>
      </c>
    </row>
    <row r="252" spans="1:7">
      <c r="A252" s="216">
        <v>43891</v>
      </c>
      <c r="B252" t="s">
        <v>45</v>
      </c>
      <c r="C252">
        <v>6</v>
      </c>
      <c r="D252" t="s">
        <v>450</v>
      </c>
      <c r="E252" s="217">
        <v>43891</v>
      </c>
      <c r="F252">
        <v>7017</v>
      </c>
      <c r="G252" s="227" t="s">
        <v>100</v>
      </c>
    </row>
    <row r="253" spans="1:7">
      <c r="A253" s="216">
        <v>43891</v>
      </c>
      <c r="B253" t="s">
        <v>45</v>
      </c>
      <c r="C253">
        <v>6</v>
      </c>
      <c r="D253" t="s">
        <v>450</v>
      </c>
      <c r="E253" s="217">
        <v>43891</v>
      </c>
      <c r="F253">
        <v>6791</v>
      </c>
      <c r="G253" s="227" t="s">
        <v>83</v>
      </c>
    </row>
    <row r="254" spans="1:7">
      <c r="A254" s="216">
        <v>43891</v>
      </c>
      <c r="B254" t="s">
        <v>45</v>
      </c>
      <c r="C254">
        <v>6</v>
      </c>
      <c r="D254" t="s">
        <v>450</v>
      </c>
      <c r="E254" s="217">
        <v>43891</v>
      </c>
      <c r="F254">
        <v>8003</v>
      </c>
      <c r="G254" s="227" t="s">
        <v>127</v>
      </c>
    </row>
    <row r="255" spans="1:7">
      <c r="A255" s="216">
        <v>43891</v>
      </c>
      <c r="B255" t="s">
        <v>45</v>
      </c>
      <c r="C255">
        <v>6</v>
      </c>
      <c r="D255" t="s">
        <v>450</v>
      </c>
      <c r="E255" s="217">
        <v>43891</v>
      </c>
      <c r="F255">
        <v>7472</v>
      </c>
      <c r="G255" s="227" t="s">
        <v>123</v>
      </c>
    </row>
    <row r="256" spans="1:7">
      <c r="A256" s="216">
        <v>43891</v>
      </c>
      <c r="B256" t="s">
        <v>45</v>
      </c>
      <c r="C256">
        <v>6</v>
      </c>
      <c r="D256" t="s">
        <v>450</v>
      </c>
      <c r="E256" s="217">
        <v>43891</v>
      </c>
      <c r="F256">
        <v>7325</v>
      </c>
      <c r="G256" s="227" t="s">
        <v>119</v>
      </c>
    </row>
    <row r="257" spans="1:7">
      <c r="A257" s="216">
        <v>43891</v>
      </c>
      <c r="B257" t="s">
        <v>45</v>
      </c>
      <c r="C257">
        <v>6</v>
      </c>
      <c r="D257" t="s">
        <v>450</v>
      </c>
      <c r="E257" s="217">
        <v>43891</v>
      </c>
      <c r="F257">
        <v>7211</v>
      </c>
      <c r="G257" s="227" t="s">
        <v>88</v>
      </c>
    </row>
    <row r="258" spans="1:7">
      <c r="A258" s="216">
        <v>43891</v>
      </c>
      <c r="B258" t="s">
        <v>45</v>
      </c>
      <c r="C258">
        <v>6</v>
      </c>
      <c r="D258" t="s">
        <v>450</v>
      </c>
      <c r="E258" s="217">
        <v>43891</v>
      </c>
      <c r="F258">
        <v>6381</v>
      </c>
      <c r="G258" s="227" t="s">
        <v>96</v>
      </c>
    </row>
    <row r="259" spans="1:7">
      <c r="A259" s="216">
        <v>43891</v>
      </c>
      <c r="B259" t="s">
        <v>45</v>
      </c>
      <c r="C259">
        <v>6</v>
      </c>
      <c r="D259" t="s">
        <v>450</v>
      </c>
      <c r="E259" s="217">
        <v>43891</v>
      </c>
      <c r="F259">
        <v>6591</v>
      </c>
      <c r="G259" s="227" t="s">
        <v>92</v>
      </c>
    </row>
    <row r="260" spans="1:7">
      <c r="A260" s="216">
        <v>43891</v>
      </c>
      <c r="B260" t="s">
        <v>45</v>
      </c>
      <c r="C260">
        <v>6</v>
      </c>
      <c r="D260" t="s">
        <v>450</v>
      </c>
      <c r="E260" s="217">
        <v>43891</v>
      </c>
      <c r="F260">
        <v>7760</v>
      </c>
      <c r="G260" s="227" t="s">
        <v>110</v>
      </c>
    </row>
    <row r="261" spans="1:7">
      <c r="A261" s="216">
        <v>43891</v>
      </c>
      <c r="B261" t="s">
        <v>45</v>
      </c>
      <c r="C261">
        <v>6</v>
      </c>
      <c r="D261" t="s">
        <v>450</v>
      </c>
      <c r="E261" s="217">
        <v>43891</v>
      </c>
      <c r="F261">
        <v>85888</v>
      </c>
      <c r="G261" s="227" t="s">
        <v>434</v>
      </c>
    </row>
    <row r="262" spans="1:7">
      <c r="A262" s="216">
        <v>43891</v>
      </c>
      <c r="B262" t="s">
        <v>45</v>
      </c>
      <c r="C262">
        <v>7</v>
      </c>
      <c r="D262" t="s">
        <v>433</v>
      </c>
      <c r="E262" s="217">
        <v>43891</v>
      </c>
      <c r="F262">
        <v>42459.096129999802</v>
      </c>
      <c r="G262" s="227" t="s">
        <v>70</v>
      </c>
    </row>
    <row r="263" spans="1:7">
      <c r="A263" s="216">
        <v>43891</v>
      </c>
      <c r="B263" t="s">
        <v>45</v>
      </c>
      <c r="C263">
        <v>7</v>
      </c>
      <c r="D263" t="s">
        <v>433</v>
      </c>
      <c r="E263" s="217">
        <v>43891</v>
      </c>
      <c r="F263">
        <v>41952.903870000198</v>
      </c>
      <c r="G263" s="227" t="s">
        <v>114</v>
      </c>
    </row>
    <row r="264" spans="1:7">
      <c r="A264" s="216">
        <v>43891</v>
      </c>
      <c r="B264" t="s">
        <v>45</v>
      </c>
      <c r="C264">
        <v>7</v>
      </c>
      <c r="D264" t="s">
        <v>433</v>
      </c>
      <c r="E264" s="217">
        <v>43891</v>
      </c>
      <c r="F264">
        <v>41778</v>
      </c>
      <c r="G264" s="227" t="s">
        <v>105</v>
      </c>
    </row>
    <row r="265" spans="1:7">
      <c r="A265" s="216">
        <v>43891</v>
      </c>
      <c r="B265" t="s">
        <v>45</v>
      </c>
      <c r="C265">
        <v>7</v>
      </c>
      <c r="D265" t="s">
        <v>433</v>
      </c>
      <c r="E265" s="217">
        <v>43891</v>
      </c>
      <c r="F265">
        <v>42649</v>
      </c>
      <c r="G265" s="227" t="s">
        <v>100</v>
      </c>
    </row>
    <row r="266" spans="1:7">
      <c r="A266" s="216">
        <v>43891</v>
      </c>
      <c r="B266" t="s">
        <v>45</v>
      </c>
      <c r="C266">
        <v>7</v>
      </c>
      <c r="D266" t="s">
        <v>433</v>
      </c>
      <c r="E266" s="217">
        <v>43891</v>
      </c>
      <c r="F266">
        <v>42095</v>
      </c>
      <c r="G266" s="227" t="s">
        <v>83</v>
      </c>
    </row>
    <row r="267" spans="1:7">
      <c r="A267" s="216">
        <v>43891</v>
      </c>
      <c r="B267" t="s">
        <v>45</v>
      </c>
      <c r="C267">
        <v>7</v>
      </c>
      <c r="D267" t="s">
        <v>433</v>
      </c>
      <c r="E267" s="217">
        <v>43891</v>
      </c>
      <c r="F267">
        <v>41583</v>
      </c>
      <c r="G267" s="227" t="s">
        <v>127</v>
      </c>
    </row>
    <row r="268" spans="1:7">
      <c r="A268" s="216">
        <v>43891</v>
      </c>
      <c r="B268" t="s">
        <v>45</v>
      </c>
      <c r="C268">
        <v>7</v>
      </c>
      <c r="D268" t="s">
        <v>433</v>
      </c>
      <c r="E268" s="217">
        <v>43891</v>
      </c>
      <c r="F268">
        <v>44537</v>
      </c>
      <c r="G268" s="227" t="s">
        <v>123</v>
      </c>
    </row>
    <row r="269" spans="1:7">
      <c r="A269" s="216">
        <v>43891</v>
      </c>
      <c r="B269" t="s">
        <v>45</v>
      </c>
      <c r="C269">
        <v>7</v>
      </c>
      <c r="D269" t="s">
        <v>433</v>
      </c>
      <c r="E269" s="217">
        <v>43891</v>
      </c>
      <c r="F269">
        <v>42836</v>
      </c>
      <c r="G269" s="227" t="s">
        <v>119</v>
      </c>
    </row>
    <row r="270" spans="1:7">
      <c r="A270" s="216">
        <v>43891</v>
      </c>
      <c r="B270" t="s">
        <v>45</v>
      </c>
      <c r="C270">
        <v>7</v>
      </c>
      <c r="D270" t="s">
        <v>433</v>
      </c>
      <c r="E270" s="217">
        <v>43891</v>
      </c>
      <c r="F270">
        <v>44201</v>
      </c>
      <c r="G270" s="227" t="s">
        <v>88</v>
      </c>
    </row>
    <row r="271" spans="1:7">
      <c r="A271" s="216">
        <v>43891</v>
      </c>
      <c r="B271" t="s">
        <v>45</v>
      </c>
      <c r="C271">
        <v>7</v>
      </c>
      <c r="D271" t="s">
        <v>433</v>
      </c>
      <c r="E271" s="217">
        <v>43891</v>
      </c>
      <c r="F271">
        <v>43651</v>
      </c>
      <c r="G271" s="227" t="s">
        <v>96</v>
      </c>
    </row>
    <row r="272" spans="1:7">
      <c r="A272" s="216">
        <v>43891</v>
      </c>
      <c r="B272" t="s">
        <v>45</v>
      </c>
      <c r="C272">
        <v>7</v>
      </c>
      <c r="D272" t="s">
        <v>433</v>
      </c>
      <c r="E272" s="217">
        <v>43891</v>
      </c>
      <c r="F272">
        <v>43450</v>
      </c>
      <c r="G272" s="227" t="s">
        <v>92</v>
      </c>
    </row>
    <row r="273" spans="1:7">
      <c r="A273" s="216">
        <v>43891</v>
      </c>
      <c r="B273" t="s">
        <v>45</v>
      </c>
      <c r="C273">
        <v>7</v>
      </c>
      <c r="D273" t="s">
        <v>433</v>
      </c>
      <c r="E273" s="217">
        <v>43891</v>
      </c>
      <c r="F273">
        <v>66390</v>
      </c>
      <c r="G273" s="227" t="s">
        <v>110</v>
      </c>
    </row>
    <row r="274" spans="1:7">
      <c r="A274" s="216">
        <v>43891</v>
      </c>
      <c r="B274" t="s">
        <v>45</v>
      </c>
      <c r="C274">
        <v>7</v>
      </c>
      <c r="D274" t="s">
        <v>433</v>
      </c>
      <c r="E274" s="217">
        <v>43891</v>
      </c>
      <c r="F274">
        <v>537582</v>
      </c>
      <c r="G274" s="227" t="s">
        <v>434</v>
      </c>
    </row>
    <row r="275" spans="1:7">
      <c r="A275" s="216">
        <v>43891</v>
      </c>
      <c r="B275" t="s">
        <v>45</v>
      </c>
      <c r="C275">
        <v>8</v>
      </c>
      <c r="D275" t="s">
        <v>445</v>
      </c>
      <c r="E275" s="217">
        <v>43891</v>
      </c>
      <c r="F275">
        <v>6262.1683800000001</v>
      </c>
      <c r="G275" s="227" t="s">
        <v>70</v>
      </c>
    </row>
    <row r="276" spans="1:7">
      <c r="A276" s="216">
        <v>43891</v>
      </c>
      <c r="B276" t="s">
        <v>45</v>
      </c>
      <c r="C276">
        <v>8</v>
      </c>
      <c r="D276" t="s">
        <v>445</v>
      </c>
      <c r="E276" s="217">
        <v>43891</v>
      </c>
      <c r="F276">
        <v>7066.8316199999999</v>
      </c>
      <c r="G276" s="227" t="s">
        <v>114</v>
      </c>
    </row>
    <row r="277" spans="1:7">
      <c r="A277" s="216">
        <v>43891</v>
      </c>
      <c r="B277" t="s">
        <v>45</v>
      </c>
      <c r="C277">
        <v>8</v>
      </c>
      <c r="D277" t="s">
        <v>445</v>
      </c>
      <c r="E277" s="217">
        <v>43891</v>
      </c>
      <c r="F277">
        <v>6473</v>
      </c>
      <c r="G277" s="227" t="s">
        <v>105</v>
      </c>
    </row>
    <row r="278" spans="1:7">
      <c r="A278" s="216">
        <v>43891</v>
      </c>
      <c r="B278" t="s">
        <v>45</v>
      </c>
      <c r="C278">
        <v>8</v>
      </c>
      <c r="D278" t="s">
        <v>445</v>
      </c>
      <c r="E278" s="217">
        <v>43891</v>
      </c>
      <c r="F278">
        <v>7616</v>
      </c>
      <c r="G278" s="227" t="s">
        <v>100</v>
      </c>
    </row>
    <row r="279" spans="1:7">
      <c r="A279" s="216">
        <v>43891</v>
      </c>
      <c r="B279" t="s">
        <v>45</v>
      </c>
      <c r="C279">
        <v>8</v>
      </c>
      <c r="D279" t="s">
        <v>445</v>
      </c>
      <c r="E279" s="217">
        <v>43891</v>
      </c>
      <c r="F279">
        <v>6402</v>
      </c>
      <c r="G279" s="227" t="s">
        <v>83</v>
      </c>
    </row>
    <row r="280" spans="1:7">
      <c r="A280" s="216">
        <v>43891</v>
      </c>
      <c r="B280" t="s">
        <v>45</v>
      </c>
      <c r="C280">
        <v>8</v>
      </c>
      <c r="D280" t="s">
        <v>445</v>
      </c>
      <c r="E280" s="217">
        <v>43891</v>
      </c>
      <c r="F280">
        <v>5097</v>
      </c>
      <c r="G280" s="227" t="s">
        <v>127</v>
      </c>
    </row>
    <row r="281" spans="1:7">
      <c r="A281" s="216">
        <v>43891</v>
      </c>
      <c r="B281" t="s">
        <v>45</v>
      </c>
      <c r="C281">
        <v>8</v>
      </c>
      <c r="D281" t="s">
        <v>445</v>
      </c>
      <c r="E281" s="217">
        <v>43891</v>
      </c>
      <c r="F281">
        <v>7370</v>
      </c>
      <c r="G281" s="227" t="s">
        <v>123</v>
      </c>
    </row>
    <row r="282" spans="1:7">
      <c r="A282" s="216">
        <v>43891</v>
      </c>
      <c r="B282" t="s">
        <v>45</v>
      </c>
      <c r="C282">
        <v>8</v>
      </c>
      <c r="D282" t="s">
        <v>445</v>
      </c>
      <c r="E282" s="217">
        <v>43891</v>
      </c>
      <c r="F282">
        <v>11071</v>
      </c>
      <c r="G282" s="227" t="s">
        <v>119</v>
      </c>
    </row>
    <row r="283" spans="1:7">
      <c r="A283" s="216">
        <v>43891</v>
      </c>
      <c r="B283" t="s">
        <v>45</v>
      </c>
      <c r="C283">
        <v>8</v>
      </c>
      <c r="D283" t="s">
        <v>445</v>
      </c>
      <c r="E283" s="217">
        <v>43891</v>
      </c>
      <c r="F283">
        <v>9031</v>
      </c>
      <c r="G283" s="227" t="s">
        <v>88</v>
      </c>
    </row>
    <row r="284" spans="1:7">
      <c r="A284" s="216">
        <v>43891</v>
      </c>
      <c r="B284" t="s">
        <v>45</v>
      </c>
      <c r="C284">
        <v>8</v>
      </c>
      <c r="D284" t="s">
        <v>445</v>
      </c>
      <c r="E284" s="217">
        <v>43891</v>
      </c>
      <c r="F284">
        <v>8605</v>
      </c>
      <c r="G284" s="227" t="s">
        <v>96</v>
      </c>
    </row>
    <row r="285" spans="1:7">
      <c r="A285" s="216">
        <v>43891</v>
      </c>
      <c r="B285" t="s">
        <v>45</v>
      </c>
      <c r="C285">
        <v>8</v>
      </c>
      <c r="D285" t="s">
        <v>445</v>
      </c>
      <c r="E285" s="217">
        <v>43891</v>
      </c>
      <c r="F285">
        <v>9719</v>
      </c>
      <c r="G285" s="227" t="s">
        <v>92</v>
      </c>
    </row>
    <row r="286" spans="1:7">
      <c r="A286" s="216">
        <v>43891</v>
      </c>
      <c r="B286" t="s">
        <v>45</v>
      </c>
      <c r="C286">
        <v>8</v>
      </c>
      <c r="D286" t="s">
        <v>445</v>
      </c>
      <c r="E286" s="217">
        <v>43891</v>
      </c>
      <c r="F286">
        <v>17685</v>
      </c>
      <c r="G286" s="227" t="s">
        <v>110</v>
      </c>
    </row>
    <row r="287" spans="1:7">
      <c r="A287" s="216">
        <v>43891</v>
      </c>
      <c r="B287" t="s">
        <v>45</v>
      </c>
      <c r="C287">
        <v>8</v>
      </c>
      <c r="D287" t="s">
        <v>445</v>
      </c>
      <c r="E287" s="217">
        <v>43891</v>
      </c>
      <c r="F287">
        <v>102398</v>
      </c>
      <c r="G287" s="227" t="s">
        <v>434</v>
      </c>
    </row>
    <row r="288" spans="1:7">
      <c r="A288" s="216">
        <v>43891</v>
      </c>
      <c r="B288" t="s">
        <v>45</v>
      </c>
      <c r="C288">
        <v>5</v>
      </c>
      <c r="D288" t="s">
        <v>451</v>
      </c>
      <c r="E288" s="217">
        <v>43891</v>
      </c>
      <c r="F288">
        <v>10939.1183</v>
      </c>
      <c r="G288" s="227" t="s">
        <v>70</v>
      </c>
    </row>
    <row r="289" spans="1:7">
      <c r="A289" s="216">
        <v>43891</v>
      </c>
      <c r="B289" t="s">
        <v>45</v>
      </c>
      <c r="C289">
        <v>5</v>
      </c>
      <c r="D289" t="s">
        <v>451</v>
      </c>
      <c r="E289" s="217">
        <v>43891</v>
      </c>
      <c r="F289">
        <v>11620.8817</v>
      </c>
      <c r="G289" s="227" t="s">
        <v>114</v>
      </c>
    </row>
    <row r="290" spans="1:7">
      <c r="A290" s="216">
        <v>43891</v>
      </c>
      <c r="B290" t="s">
        <v>45</v>
      </c>
      <c r="C290">
        <v>5</v>
      </c>
      <c r="D290" t="s">
        <v>451</v>
      </c>
      <c r="E290" s="217">
        <v>43891</v>
      </c>
      <c r="F290">
        <v>11299</v>
      </c>
      <c r="G290" s="227" t="s">
        <v>105</v>
      </c>
    </row>
    <row r="291" spans="1:7">
      <c r="A291" s="216">
        <v>43891</v>
      </c>
      <c r="B291" t="s">
        <v>45</v>
      </c>
      <c r="C291">
        <v>5</v>
      </c>
      <c r="D291" t="s">
        <v>451</v>
      </c>
      <c r="E291" s="217">
        <v>43891</v>
      </c>
      <c r="F291">
        <v>12118</v>
      </c>
      <c r="G291" s="227" t="s">
        <v>100</v>
      </c>
    </row>
    <row r="292" spans="1:7">
      <c r="A292" s="216">
        <v>43891</v>
      </c>
      <c r="B292" t="s">
        <v>45</v>
      </c>
      <c r="C292">
        <v>5</v>
      </c>
      <c r="D292" t="s">
        <v>451</v>
      </c>
      <c r="E292" s="217">
        <v>43891</v>
      </c>
      <c r="F292">
        <v>12091</v>
      </c>
      <c r="G292" s="227" t="s">
        <v>83</v>
      </c>
    </row>
    <row r="293" spans="1:7">
      <c r="A293" s="216">
        <v>43891</v>
      </c>
      <c r="B293" t="s">
        <v>45</v>
      </c>
      <c r="C293">
        <v>5</v>
      </c>
      <c r="D293" t="s">
        <v>451</v>
      </c>
      <c r="E293" s="217">
        <v>43891</v>
      </c>
      <c r="F293">
        <v>11326</v>
      </c>
      <c r="G293" s="227" t="s">
        <v>127</v>
      </c>
    </row>
    <row r="294" spans="1:7">
      <c r="A294" s="216">
        <v>43891</v>
      </c>
      <c r="B294" t="s">
        <v>45</v>
      </c>
      <c r="C294">
        <v>5</v>
      </c>
      <c r="D294" t="s">
        <v>451</v>
      </c>
      <c r="E294" s="217">
        <v>43891</v>
      </c>
      <c r="F294">
        <v>12238</v>
      </c>
      <c r="G294" s="227" t="s">
        <v>123</v>
      </c>
    </row>
    <row r="295" spans="1:7">
      <c r="A295" s="216">
        <v>43891</v>
      </c>
      <c r="B295" t="s">
        <v>45</v>
      </c>
      <c r="C295">
        <v>5</v>
      </c>
      <c r="D295" t="s">
        <v>451</v>
      </c>
      <c r="E295" s="217">
        <v>43891</v>
      </c>
      <c r="F295">
        <v>12613</v>
      </c>
      <c r="G295" s="227" t="s">
        <v>119</v>
      </c>
    </row>
    <row r="296" spans="1:7">
      <c r="A296" s="216">
        <v>43891</v>
      </c>
      <c r="B296" t="s">
        <v>45</v>
      </c>
      <c r="C296">
        <v>5</v>
      </c>
      <c r="D296" t="s">
        <v>451</v>
      </c>
      <c r="E296" s="217">
        <v>43891</v>
      </c>
      <c r="F296">
        <v>11711</v>
      </c>
      <c r="G296" s="227" t="s">
        <v>88</v>
      </c>
    </row>
    <row r="297" spans="1:7">
      <c r="A297" s="216">
        <v>43891</v>
      </c>
      <c r="B297" t="s">
        <v>45</v>
      </c>
      <c r="C297">
        <v>5</v>
      </c>
      <c r="D297" t="s">
        <v>451</v>
      </c>
      <c r="E297" s="217">
        <v>43891</v>
      </c>
      <c r="F297">
        <v>12186</v>
      </c>
      <c r="G297" s="227" t="s">
        <v>96</v>
      </c>
    </row>
    <row r="298" spans="1:7">
      <c r="A298" s="216">
        <v>43891</v>
      </c>
      <c r="B298" t="s">
        <v>45</v>
      </c>
      <c r="C298">
        <v>5</v>
      </c>
      <c r="D298" t="s">
        <v>451</v>
      </c>
      <c r="E298" s="217">
        <v>43891</v>
      </c>
      <c r="F298">
        <v>12304</v>
      </c>
      <c r="G298" s="227" t="s">
        <v>92</v>
      </c>
    </row>
    <row r="299" spans="1:7">
      <c r="A299" s="216">
        <v>43891</v>
      </c>
      <c r="B299" t="s">
        <v>45</v>
      </c>
      <c r="C299">
        <v>5</v>
      </c>
      <c r="D299" t="s">
        <v>451</v>
      </c>
      <c r="E299" s="217">
        <v>43891</v>
      </c>
      <c r="F299">
        <v>14520</v>
      </c>
      <c r="G299" s="227" t="s">
        <v>110</v>
      </c>
    </row>
    <row r="300" spans="1:7">
      <c r="A300" s="216">
        <v>43891</v>
      </c>
      <c r="B300" t="s">
        <v>45</v>
      </c>
      <c r="C300">
        <v>5</v>
      </c>
      <c r="D300" t="s">
        <v>451</v>
      </c>
      <c r="E300" s="217">
        <v>43891</v>
      </c>
      <c r="F300">
        <v>144966</v>
      </c>
      <c r="G300" s="227" t="s">
        <v>434</v>
      </c>
    </row>
    <row r="301" spans="1:7">
      <c r="A301" s="216">
        <v>43891</v>
      </c>
      <c r="B301" t="s">
        <v>45</v>
      </c>
      <c r="C301">
        <v>9</v>
      </c>
      <c r="D301" t="s">
        <v>454</v>
      </c>
      <c r="E301" s="217">
        <v>43891</v>
      </c>
      <c r="F301">
        <v>3170.83644</v>
      </c>
      <c r="G301" s="227" t="s">
        <v>70</v>
      </c>
    </row>
    <row r="302" spans="1:7">
      <c r="A302" s="216">
        <v>43891</v>
      </c>
      <c r="B302" t="s">
        <v>45</v>
      </c>
      <c r="C302">
        <v>9</v>
      </c>
      <c r="D302" t="s">
        <v>454</v>
      </c>
      <c r="E302" s="217">
        <v>43891</v>
      </c>
      <c r="F302">
        <v>3150.16356</v>
      </c>
      <c r="G302" s="227" t="s">
        <v>114</v>
      </c>
    </row>
    <row r="303" spans="1:7">
      <c r="A303" s="216">
        <v>43891</v>
      </c>
      <c r="B303" t="s">
        <v>45</v>
      </c>
      <c r="C303">
        <v>9</v>
      </c>
      <c r="D303" t="s">
        <v>454</v>
      </c>
      <c r="E303" s="217">
        <v>43891</v>
      </c>
      <c r="F303">
        <v>2712</v>
      </c>
      <c r="G303" s="227" t="s">
        <v>105</v>
      </c>
    </row>
    <row r="304" spans="1:7">
      <c r="A304" s="216">
        <v>43891</v>
      </c>
      <c r="B304" t="s">
        <v>45</v>
      </c>
      <c r="C304">
        <v>9</v>
      </c>
      <c r="D304" t="s">
        <v>454</v>
      </c>
      <c r="E304" s="217">
        <v>43891</v>
      </c>
      <c r="F304">
        <v>2657</v>
      </c>
      <c r="G304" s="227" t="s">
        <v>100</v>
      </c>
    </row>
    <row r="305" spans="1:7">
      <c r="A305" s="216">
        <v>43891</v>
      </c>
      <c r="B305" t="s">
        <v>45</v>
      </c>
      <c r="C305">
        <v>9</v>
      </c>
      <c r="D305" t="s">
        <v>454</v>
      </c>
      <c r="E305" s="217">
        <v>43891</v>
      </c>
      <c r="F305">
        <v>2912</v>
      </c>
      <c r="G305" s="227" t="s">
        <v>83</v>
      </c>
    </row>
    <row r="306" spans="1:7">
      <c r="A306" s="216">
        <v>43891</v>
      </c>
      <c r="B306" t="s">
        <v>45</v>
      </c>
      <c r="C306">
        <v>9</v>
      </c>
      <c r="D306" t="s">
        <v>454</v>
      </c>
      <c r="E306" s="217">
        <v>43891</v>
      </c>
      <c r="F306">
        <v>2882</v>
      </c>
      <c r="G306" s="227" t="s">
        <v>127</v>
      </c>
    </row>
    <row r="307" spans="1:7">
      <c r="A307" s="216">
        <v>43891</v>
      </c>
      <c r="B307" t="s">
        <v>45</v>
      </c>
      <c r="C307">
        <v>9</v>
      </c>
      <c r="D307" t="s">
        <v>454</v>
      </c>
      <c r="E307" s="217">
        <v>43891</v>
      </c>
      <c r="F307">
        <v>3306</v>
      </c>
      <c r="G307" s="227" t="s">
        <v>123</v>
      </c>
    </row>
    <row r="308" spans="1:7">
      <c r="A308" s="216">
        <v>43891</v>
      </c>
      <c r="B308" t="s">
        <v>45</v>
      </c>
      <c r="C308">
        <v>9</v>
      </c>
      <c r="D308" t="s">
        <v>454</v>
      </c>
      <c r="E308" s="217">
        <v>43891</v>
      </c>
      <c r="F308">
        <v>2963</v>
      </c>
      <c r="G308" s="227" t="s">
        <v>119</v>
      </c>
    </row>
    <row r="309" spans="1:7">
      <c r="A309" s="216">
        <v>43891</v>
      </c>
      <c r="B309" t="s">
        <v>45</v>
      </c>
      <c r="C309">
        <v>9</v>
      </c>
      <c r="D309" t="s">
        <v>454</v>
      </c>
      <c r="E309" s="217">
        <v>43891</v>
      </c>
      <c r="F309">
        <v>3439</v>
      </c>
      <c r="G309" s="227" t="s">
        <v>88</v>
      </c>
    </row>
    <row r="310" spans="1:7">
      <c r="A310" s="216">
        <v>43891</v>
      </c>
      <c r="B310" t="s">
        <v>45</v>
      </c>
      <c r="C310">
        <v>9</v>
      </c>
      <c r="D310" t="s">
        <v>454</v>
      </c>
      <c r="E310" s="217">
        <v>43891</v>
      </c>
      <c r="F310">
        <v>3059</v>
      </c>
      <c r="G310" s="227" t="s">
        <v>96</v>
      </c>
    </row>
    <row r="311" spans="1:7">
      <c r="A311" s="216">
        <v>43891</v>
      </c>
      <c r="B311" t="s">
        <v>45</v>
      </c>
      <c r="C311">
        <v>9</v>
      </c>
      <c r="D311" t="s">
        <v>454</v>
      </c>
      <c r="E311" s="217">
        <v>43891</v>
      </c>
      <c r="F311">
        <v>3080</v>
      </c>
      <c r="G311" s="227" t="s">
        <v>92</v>
      </c>
    </row>
    <row r="312" spans="1:7">
      <c r="A312" s="216">
        <v>43891</v>
      </c>
      <c r="B312" t="s">
        <v>45</v>
      </c>
      <c r="C312">
        <v>9</v>
      </c>
      <c r="D312" t="s">
        <v>454</v>
      </c>
      <c r="E312" s="217">
        <v>43891</v>
      </c>
      <c r="F312">
        <v>3369</v>
      </c>
      <c r="G312" s="227" t="s">
        <v>110</v>
      </c>
    </row>
    <row r="313" spans="1:7">
      <c r="A313" s="216">
        <v>43891</v>
      </c>
      <c r="B313" t="s">
        <v>45</v>
      </c>
      <c r="C313">
        <v>9</v>
      </c>
      <c r="D313" t="s">
        <v>454</v>
      </c>
      <c r="E313" s="217">
        <v>43891</v>
      </c>
      <c r="F313">
        <v>36700</v>
      </c>
      <c r="G313" s="227" t="s">
        <v>434</v>
      </c>
    </row>
    <row r="314" spans="1:7">
      <c r="A314" s="216">
        <v>43891</v>
      </c>
      <c r="B314" t="s">
        <v>45</v>
      </c>
      <c r="C314">
        <v>10</v>
      </c>
      <c r="D314" t="s">
        <v>441</v>
      </c>
      <c r="E314" s="217">
        <v>43891</v>
      </c>
      <c r="F314">
        <v>15710.55034</v>
      </c>
      <c r="G314" s="227" t="s">
        <v>70</v>
      </c>
    </row>
    <row r="315" spans="1:7">
      <c r="A315" s="216">
        <v>43891</v>
      </c>
      <c r="B315" t="s">
        <v>45</v>
      </c>
      <c r="C315">
        <v>10</v>
      </c>
      <c r="D315" t="s">
        <v>441</v>
      </c>
      <c r="E315" s="217">
        <v>43891</v>
      </c>
      <c r="F315">
        <v>16928.449659999998</v>
      </c>
      <c r="G315" s="227" t="s">
        <v>114</v>
      </c>
    </row>
    <row r="316" spans="1:7">
      <c r="A316" s="216">
        <v>43891</v>
      </c>
      <c r="B316" t="s">
        <v>45</v>
      </c>
      <c r="C316">
        <v>10</v>
      </c>
      <c r="D316" t="s">
        <v>441</v>
      </c>
      <c r="E316" s="217">
        <v>43891</v>
      </c>
      <c r="F316">
        <v>17352</v>
      </c>
      <c r="G316" s="227" t="s">
        <v>105</v>
      </c>
    </row>
    <row r="317" spans="1:7">
      <c r="A317" s="216">
        <v>43891</v>
      </c>
      <c r="B317" t="s">
        <v>45</v>
      </c>
      <c r="C317">
        <v>10</v>
      </c>
      <c r="D317" t="s">
        <v>441</v>
      </c>
      <c r="E317" s="217">
        <v>43891</v>
      </c>
      <c r="F317">
        <v>19394</v>
      </c>
      <c r="G317" s="227" t="s">
        <v>100</v>
      </c>
    </row>
    <row r="318" spans="1:7">
      <c r="A318" s="216">
        <v>43891</v>
      </c>
      <c r="B318" t="s">
        <v>45</v>
      </c>
      <c r="C318">
        <v>10</v>
      </c>
      <c r="D318" t="s">
        <v>441</v>
      </c>
      <c r="E318" s="217">
        <v>43891</v>
      </c>
      <c r="F318">
        <v>17308</v>
      </c>
      <c r="G318" s="227" t="s">
        <v>83</v>
      </c>
    </row>
    <row r="319" spans="1:7">
      <c r="A319" s="216">
        <v>43891</v>
      </c>
      <c r="B319" t="s">
        <v>45</v>
      </c>
      <c r="C319">
        <v>10</v>
      </c>
      <c r="D319" t="s">
        <v>441</v>
      </c>
      <c r="E319" s="217">
        <v>43891</v>
      </c>
      <c r="F319">
        <v>17449</v>
      </c>
      <c r="G319" s="227" t="s">
        <v>127</v>
      </c>
    </row>
    <row r="320" spans="1:7">
      <c r="A320" s="216">
        <v>43891</v>
      </c>
      <c r="B320" t="s">
        <v>45</v>
      </c>
      <c r="C320">
        <v>10</v>
      </c>
      <c r="D320" t="s">
        <v>441</v>
      </c>
      <c r="E320" s="217">
        <v>43891</v>
      </c>
      <c r="F320">
        <v>17431</v>
      </c>
      <c r="G320" s="227" t="s">
        <v>123</v>
      </c>
    </row>
    <row r="321" spans="1:7">
      <c r="A321" s="216">
        <v>43891</v>
      </c>
      <c r="B321" t="s">
        <v>45</v>
      </c>
      <c r="C321">
        <v>10</v>
      </c>
      <c r="D321" t="s">
        <v>441</v>
      </c>
      <c r="E321" s="217">
        <v>43891</v>
      </c>
      <c r="F321">
        <v>17015</v>
      </c>
      <c r="G321" s="227" t="s">
        <v>119</v>
      </c>
    </row>
    <row r="322" spans="1:7">
      <c r="A322" s="216">
        <v>43891</v>
      </c>
      <c r="B322" t="s">
        <v>45</v>
      </c>
      <c r="C322">
        <v>10</v>
      </c>
      <c r="D322" t="s">
        <v>441</v>
      </c>
      <c r="E322" s="217">
        <v>43891</v>
      </c>
      <c r="F322">
        <v>18116</v>
      </c>
      <c r="G322" s="227" t="s">
        <v>88</v>
      </c>
    </row>
    <row r="323" spans="1:7">
      <c r="A323" s="216">
        <v>43891</v>
      </c>
      <c r="B323" t="s">
        <v>45</v>
      </c>
      <c r="C323">
        <v>10</v>
      </c>
      <c r="D323" t="s">
        <v>441</v>
      </c>
      <c r="E323" s="217">
        <v>43891</v>
      </c>
      <c r="F323">
        <v>17290</v>
      </c>
      <c r="G323" s="227" t="s">
        <v>96</v>
      </c>
    </row>
    <row r="324" spans="1:7">
      <c r="A324" s="216">
        <v>43891</v>
      </c>
      <c r="B324" t="s">
        <v>45</v>
      </c>
      <c r="C324">
        <v>10</v>
      </c>
      <c r="D324" t="s">
        <v>441</v>
      </c>
      <c r="E324" s="217">
        <v>43891</v>
      </c>
      <c r="F324">
        <v>18441</v>
      </c>
      <c r="G324" s="227" t="s">
        <v>92</v>
      </c>
    </row>
    <row r="325" spans="1:7">
      <c r="A325" s="216">
        <v>43891</v>
      </c>
      <c r="B325" t="s">
        <v>45</v>
      </c>
      <c r="C325">
        <v>10</v>
      </c>
      <c r="D325" t="s">
        <v>441</v>
      </c>
      <c r="E325" s="217">
        <v>43891</v>
      </c>
      <c r="F325">
        <v>20058</v>
      </c>
      <c r="G325" s="227" t="s">
        <v>110</v>
      </c>
    </row>
    <row r="326" spans="1:7">
      <c r="A326" s="216">
        <v>43891</v>
      </c>
      <c r="B326" t="s">
        <v>45</v>
      </c>
      <c r="C326">
        <v>10</v>
      </c>
      <c r="D326" t="s">
        <v>441</v>
      </c>
      <c r="E326" s="217">
        <v>43891</v>
      </c>
      <c r="F326">
        <v>212493</v>
      </c>
      <c r="G326" s="227" t="s">
        <v>434</v>
      </c>
    </row>
    <row r="327" spans="1:7">
      <c r="A327" s="216">
        <v>43891</v>
      </c>
      <c r="B327" t="s">
        <v>45</v>
      </c>
      <c r="C327">
        <v>11</v>
      </c>
      <c r="D327" t="s">
        <v>447</v>
      </c>
      <c r="E327" s="217">
        <v>43891</v>
      </c>
      <c r="F327">
        <v>58.924660000000003</v>
      </c>
      <c r="G327" s="227" t="s">
        <v>70</v>
      </c>
    </row>
    <row r="328" spans="1:7">
      <c r="A328" s="216">
        <v>43891</v>
      </c>
      <c r="B328" t="s">
        <v>45</v>
      </c>
      <c r="C328">
        <v>11</v>
      </c>
      <c r="D328" t="s">
        <v>447</v>
      </c>
      <c r="E328" s="217">
        <v>43891</v>
      </c>
      <c r="F328">
        <v>70.075339999999997</v>
      </c>
      <c r="G328" s="227" t="s">
        <v>114</v>
      </c>
    </row>
    <row r="329" spans="1:7">
      <c r="A329" s="216">
        <v>43891</v>
      </c>
      <c r="B329" t="s">
        <v>45</v>
      </c>
      <c r="C329">
        <v>11</v>
      </c>
      <c r="D329" t="s">
        <v>447</v>
      </c>
      <c r="E329" s="217">
        <v>43891</v>
      </c>
      <c r="F329">
        <v>73</v>
      </c>
      <c r="G329" s="227" t="s">
        <v>105</v>
      </c>
    </row>
    <row r="330" spans="1:7">
      <c r="A330" s="216">
        <v>43891</v>
      </c>
      <c r="B330" t="s">
        <v>45</v>
      </c>
      <c r="C330">
        <v>11</v>
      </c>
      <c r="D330" t="s">
        <v>447</v>
      </c>
      <c r="E330" s="217">
        <v>43891</v>
      </c>
      <c r="F330">
        <v>92</v>
      </c>
      <c r="G330" s="227" t="s">
        <v>100</v>
      </c>
    </row>
    <row r="331" spans="1:7">
      <c r="A331" s="216">
        <v>43891</v>
      </c>
      <c r="B331" t="s">
        <v>45</v>
      </c>
      <c r="C331">
        <v>11</v>
      </c>
      <c r="D331" t="s">
        <v>447</v>
      </c>
      <c r="E331" s="217">
        <v>43891</v>
      </c>
      <c r="F331">
        <v>114</v>
      </c>
      <c r="G331" s="227" t="s">
        <v>83</v>
      </c>
    </row>
    <row r="332" spans="1:7">
      <c r="A332" s="216">
        <v>43891</v>
      </c>
      <c r="B332" t="s">
        <v>45</v>
      </c>
      <c r="C332">
        <v>11</v>
      </c>
      <c r="D332" t="s">
        <v>447</v>
      </c>
      <c r="E332" s="217">
        <v>43891</v>
      </c>
      <c r="F332">
        <v>72</v>
      </c>
      <c r="G332" s="227" t="s">
        <v>127</v>
      </c>
    </row>
    <row r="333" spans="1:7">
      <c r="A333" s="216">
        <v>43891</v>
      </c>
      <c r="B333" t="s">
        <v>45</v>
      </c>
      <c r="C333">
        <v>11</v>
      </c>
      <c r="D333" t="s">
        <v>447</v>
      </c>
      <c r="E333" s="217">
        <v>43891</v>
      </c>
      <c r="F333">
        <v>70</v>
      </c>
      <c r="G333" s="227" t="s">
        <v>123</v>
      </c>
    </row>
    <row r="334" spans="1:7">
      <c r="A334" s="216">
        <v>43891</v>
      </c>
      <c r="B334" t="s">
        <v>45</v>
      </c>
      <c r="C334">
        <v>11</v>
      </c>
      <c r="D334" t="s">
        <v>447</v>
      </c>
      <c r="E334" s="217">
        <v>43891</v>
      </c>
      <c r="F334">
        <v>60</v>
      </c>
      <c r="G334" s="227" t="s">
        <v>119</v>
      </c>
    </row>
    <row r="335" spans="1:7">
      <c r="A335" s="216">
        <v>43891</v>
      </c>
      <c r="B335" t="s">
        <v>45</v>
      </c>
      <c r="C335">
        <v>11</v>
      </c>
      <c r="D335" t="s">
        <v>447</v>
      </c>
      <c r="E335" s="217">
        <v>43891</v>
      </c>
      <c r="F335">
        <v>73</v>
      </c>
      <c r="G335" s="227" t="s">
        <v>88</v>
      </c>
    </row>
    <row r="336" spans="1:7">
      <c r="A336" s="216">
        <v>43891</v>
      </c>
      <c r="B336" t="s">
        <v>45</v>
      </c>
      <c r="C336">
        <v>11</v>
      </c>
      <c r="D336" t="s">
        <v>447</v>
      </c>
      <c r="E336" s="217">
        <v>43891</v>
      </c>
      <c r="F336">
        <v>98</v>
      </c>
      <c r="G336" s="227" t="s">
        <v>96</v>
      </c>
    </row>
    <row r="337" spans="1:7">
      <c r="A337" s="216">
        <v>43891</v>
      </c>
      <c r="B337" t="s">
        <v>45</v>
      </c>
      <c r="C337">
        <v>11</v>
      </c>
      <c r="D337" t="s">
        <v>447</v>
      </c>
      <c r="E337" s="217">
        <v>43891</v>
      </c>
      <c r="F337">
        <v>107</v>
      </c>
      <c r="G337" s="227" t="s">
        <v>92</v>
      </c>
    </row>
    <row r="338" spans="1:7">
      <c r="A338" s="216">
        <v>43891</v>
      </c>
      <c r="B338" t="s">
        <v>45</v>
      </c>
      <c r="C338">
        <v>11</v>
      </c>
      <c r="D338" t="s">
        <v>447</v>
      </c>
      <c r="E338" s="217">
        <v>43891</v>
      </c>
      <c r="F338">
        <v>395</v>
      </c>
      <c r="G338" s="227" t="s">
        <v>110</v>
      </c>
    </row>
    <row r="339" spans="1:7">
      <c r="A339" s="216">
        <v>43891</v>
      </c>
      <c r="B339" t="s">
        <v>45</v>
      </c>
      <c r="C339">
        <v>11</v>
      </c>
      <c r="D339" t="s">
        <v>447</v>
      </c>
      <c r="E339" s="217">
        <v>43891</v>
      </c>
      <c r="F339">
        <v>1283</v>
      </c>
      <c r="G339" s="227" t="s">
        <v>434</v>
      </c>
    </row>
    <row r="340" spans="1:7">
      <c r="A340" s="216">
        <v>43891</v>
      </c>
      <c r="B340" t="s">
        <v>45</v>
      </c>
      <c r="C340">
        <v>12</v>
      </c>
      <c r="D340" t="s">
        <v>437</v>
      </c>
      <c r="E340" s="217">
        <v>43891</v>
      </c>
      <c r="F340">
        <v>4351.2358599999998</v>
      </c>
      <c r="G340" s="227" t="s">
        <v>70</v>
      </c>
    </row>
    <row r="341" spans="1:7">
      <c r="A341" s="216">
        <v>43891</v>
      </c>
      <c r="B341" t="s">
        <v>45</v>
      </c>
      <c r="C341">
        <v>12</v>
      </c>
      <c r="D341" t="s">
        <v>437</v>
      </c>
      <c r="E341" s="217">
        <v>43891</v>
      </c>
      <c r="F341">
        <v>4137.7641400000002</v>
      </c>
      <c r="G341" s="227" t="s">
        <v>114</v>
      </c>
    </row>
    <row r="342" spans="1:7">
      <c r="A342" s="216">
        <v>43891</v>
      </c>
      <c r="B342" t="s">
        <v>45</v>
      </c>
      <c r="C342">
        <v>12</v>
      </c>
      <c r="D342" t="s">
        <v>437</v>
      </c>
      <c r="E342" s="217">
        <v>43891</v>
      </c>
      <c r="F342">
        <v>3914</v>
      </c>
      <c r="G342" s="227" t="s">
        <v>105</v>
      </c>
    </row>
    <row r="343" spans="1:7">
      <c r="A343" s="216">
        <v>43891</v>
      </c>
      <c r="B343" t="s">
        <v>45</v>
      </c>
      <c r="C343">
        <v>12</v>
      </c>
      <c r="D343" t="s">
        <v>437</v>
      </c>
      <c r="E343" s="217">
        <v>43891</v>
      </c>
      <c r="F343">
        <v>4211</v>
      </c>
      <c r="G343" s="227" t="s">
        <v>100</v>
      </c>
    </row>
    <row r="344" spans="1:7">
      <c r="A344" s="216">
        <v>43891</v>
      </c>
      <c r="B344" t="s">
        <v>45</v>
      </c>
      <c r="C344">
        <v>12</v>
      </c>
      <c r="D344" t="s">
        <v>437</v>
      </c>
      <c r="E344" s="217">
        <v>43891</v>
      </c>
      <c r="F344">
        <v>4305</v>
      </c>
      <c r="G344" s="227" t="s">
        <v>83</v>
      </c>
    </row>
    <row r="345" spans="1:7">
      <c r="A345" s="216">
        <v>43891</v>
      </c>
      <c r="B345" t="s">
        <v>45</v>
      </c>
      <c r="C345">
        <v>12</v>
      </c>
      <c r="D345" t="s">
        <v>437</v>
      </c>
      <c r="E345" s="217">
        <v>43891</v>
      </c>
      <c r="F345">
        <v>3513</v>
      </c>
      <c r="G345" s="227" t="s">
        <v>127</v>
      </c>
    </row>
    <row r="346" spans="1:7">
      <c r="A346" s="216">
        <v>43891</v>
      </c>
      <c r="B346" t="s">
        <v>45</v>
      </c>
      <c r="C346">
        <v>12</v>
      </c>
      <c r="D346" t="s">
        <v>437</v>
      </c>
      <c r="E346" s="217">
        <v>43891</v>
      </c>
      <c r="F346">
        <v>4169</v>
      </c>
      <c r="G346" s="227" t="s">
        <v>123</v>
      </c>
    </row>
    <row r="347" spans="1:7">
      <c r="A347" s="216">
        <v>43891</v>
      </c>
      <c r="B347" t="s">
        <v>45</v>
      </c>
      <c r="C347">
        <v>12</v>
      </c>
      <c r="D347" t="s">
        <v>437</v>
      </c>
      <c r="E347" s="217">
        <v>43891</v>
      </c>
      <c r="F347">
        <v>5040</v>
      </c>
      <c r="G347" s="227" t="s">
        <v>119</v>
      </c>
    </row>
    <row r="348" spans="1:7">
      <c r="A348" s="216">
        <v>43891</v>
      </c>
      <c r="B348" t="s">
        <v>45</v>
      </c>
      <c r="C348">
        <v>12</v>
      </c>
      <c r="D348" t="s">
        <v>437</v>
      </c>
      <c r="E348" s="217">
        <v>43891</v>
      </c>
      <c r="F348">
        <v>5290</v>
      </c>
      <c r="G348" s="227" t="s">
        <v>88</v>
      </c>
    </row>
    <row r="349" spans="1:7">
      <c r="A349" s="216">
        <v>43891</v>
      </c>
      <c r="B349" t="s">
        <v>45</v>
      </c>
      <c r="C349">
        <v>12</v>
      </c>
      <c r="D349" t="s">
        <v>437</v>
      </c>
      <c r="E349" s="217">
        <v>43891</v>
      </c>
      <c r="F349">
        <v>4343</v>
      </c>
      <c r="G349" s="227" t="s">
        <v>96</v>
      </c>
    </row>
    <row r="350" spans="1:7">
      <c r="A350" s="216">
        <v>43891</v>
      </c>
      <c r="B350" t="s">
        <v>45</v>
      </c>
      <c r="C350">
        <v>12</v>
      </c>
      <c r="D350" t="s">
        <v>437</v>
      </c>
      <c r="E350" s="217">
        <v>43891</v>
      </c>
      <c r="F350">
        <v>4335</v>
      </c>
      <c r="G350" s="227" t="s">
        <v>92</v>
      </c>
    </row>
    <row r="351" spans="1:7">
      <c r="A351" s="216">
        <v>43891</v>
      </c>
      <c r="B351" t="s">
        <v>45</v>
      </c>
      <c r="C351">
        <v>12</v>
      </c>
      <c r="D351" t="s">
        <v>437</v>
      </c>
      <c r="E351" s="217">
        <v>43891</v>
      </c>
      <c r="F351">
        <v>3144</v>
      </c>
      <c r="G351" s="227" t="s">
        <v>110</v>
      </c>
    </row>
    <row r="352" spans="1:7">
      <c r="A352" s="216">
        <v>43891</v>
      </c>
      <c r="B352" t="s">
        <v>45</v>
      </c>
      <c r="C352">
        <v>12</v>
      </c>
      <c r="D352" t="s">
        <v>437</v>
      </c>
      <c r="E352" s="217">
        <v>43891</v>
      </c>
      <c r="F352">
        <v>50753</v>
      </c>
      <c r="G352" s="227" t="s">
        <v>434</v>
      </c>
    </row>
    <row r="353" spans="1:7">
      <c r="A353" s="216">
        <v>43891</v>
      </c>
      <c r="B353" t="s">
        <v>44</v>
      </c>
      <c r="C353">
        <v>4</v>
      </c>
      <c r="D353" t="s">
        <v>442</v>
      </c>
      <c r="E353" s="217">
        <v>43891</v>
      </c>
      <c r="F353">
        <v>118171</v>
      </c>
      <c r="G353" s="227" t="s">
        <v>70</v>
      </c>
    </row>
    <row r="354" spans="1:7">
      <c r="A354" s="216">
        <v>43891</v>
      </c>
      <c r="B354" t="s">
        <v>44</v>
      </c>
      <c r="C354">
        <v>4</v>
      </c>
      <c r="D354" t="s">
        <v>442</v>
      </c>
      <c r="E354" s="217">
        <v>43891</v>
      </c>
      <c r="F354">
        <v>116510</v>
      </c>
      <c r="G354" s="227" t="s">
        <v>114</v>
      </c>
    </row>
    <row r="355" spans="1:7">
      <c r="A355" s="216">
        <v>43891</v>
      </c>
      <c r="B355" t="s">
        <v>44</v>
      </c>
      <c r="C355">
        <v>4</v>
      </c>
      <c r="D355" t="s">
        <v>442</v>
      </c>
      <c r="E355" s="217">
        <v>43891</v>
      </c>
      <c r="F355">
        <v>120540</v>
      </c>
      <c r="G355" s="227" t="s">
        <v>105</v>
      </c>
    </row>
    <row r="356" spans="1:7">
      <c r="A356" s="216">
        <v>43891</v>
      </c>
      <c r="B356" t="s">
        <v>44</v>
      </c>
      <c r="C356">
        <v>4</v>
      </c>
      <c r="D356" t="s">
        <v>442</v>
      </c>
      <c r="E356" s="217">
        <v>43891</v>
      </c>
      <c r="F356">
        <v>120926</v>
      </c>
      <c r="G356" s="227" t="s">
        <v>100</v>
      </c>
    </row>
    <row r="357" spans="1:7">
      <c r="A357" s="216">
        <v>43891</v>
      </c>
      <c r="B357" t="s">
        <v>44</v>
      </c>
      <c r="C357">
        <v>4</v>
      </c>
      <c r="D357" t="s">
        <v>442</v>
      </c>
      <c r="E357" s="217">
        <v>43891</v>
      </c>
      <c r="F357">
        <v>119838</v>
      </c>
      <c r="G357" s="227" t="s">
        <v>83</v>
      </c>
    </row>
    <row r="358" spans="1:7">
      <c r="A358" s="216">
        <v>43891</v>
      </c>
      <c r="B358" t="s">
        <v>44</v>
      </c>
      <c r="C358">
        <v>4</v>
      </c>
      <c r="D358" t="s">
        <v>442</v>
      </c>
      <c r="E358" s="217">
        <v>43891</v>
      </c>
      <c r="F358">
        <v>117826</v>
      </c>
      <c r="G358" s="227" t="s">
        <v>127</v>
      </c>
    </row>
    <row r="359" spans="1:7">
      <c r="A359" s="216">
        <v>43891</v>
      </c>
      <c r="B359" t="s">
        <v>44</v>
      </c>
      <c r="C359">
        <v>4</v>
      </c>
      <c r="D359" t="s">
        <v>442</v>
      </c>
      <c r="E359" s="217">
        <v>43891</v>
      </c>
      <c r="F359">
        <v>116741</v>
      </c>
      <c r="G359" s="227" t="s">
        <v>123</v>
      </c>
    </row>
    <row r="360" spans="1:7">
      <c r="A360" s="216">
        <v>43891</v>
      </c>
      <c r="B360" t="s">
        <v>44</v>
      </c>
      <c r="C360">
        <v>4</v>
      </c>
      <c r="D360" t="s">
        <v>442</v>
      </c>
      <c r="E360" s="217">
        <v>43891</v>
      </c>
      <c r="F360">
        <v>122286</v>
      </c>
      <c r="G360" s="227" t="s">
        <v>119</v>
      </c>
    </row>
    <row r="361" spans="1:7">
      <c r="A361" s="216">
        <v>43891</v>
      </c>
      <c r="B361" t="s">
        <v>44</v>
      </c>
      <c r="C361">
        <v>4</v>
      </c>
      <c r="D361" t="s">
        <v>442</v>
      </c>
      <c r="E361" s="217">
        <v>43891</v>
      </c>
      <c r="F361">
        <v>120542</v>
      </c>
      <c r="G361" s="227" t="s">
        <v>88</v>
      </c>
    </row>
    <row r="362" spans="1:7">
      <c r="A362" s="216">
        <v>43891</v>
      </c>
      <c r="B362" t="s">
        <v>44</v>
      </c>
      <c r="C362">
        <v>4</v>
      </c>
      <c r="D362" t="s">
        <v>442</v>
      </c>
      <c r="E362" s="217">
        <v>43891</v>
      </c>
      <c r="F362">
        <v>123220</v>
      </c>
      <c r="G362" s="227" t="s">
        <v>96</v>
      </c>
    </row>
    <row r="363" spans="1:7">
      <c r="A363" s="216">
        <v>43891</v>
      </c>
      <c r="B363" t="s">
        <v>44</v>
      </c>
      <c r="C363">
        <v>4</v>
      </c>
      <c r="D363" t="s">
        <v>442</v>
      </c>
      <c r="E363" s="217">
        <v>43891</v>
      </c>
      <c r="F363">
        <v>117890</v>
      </c>
      <c r="G363" s="227" t="s">
        <v>92</v>
      </c>
    </row>
    <row r="364" spans="1:7">
      <c r="A364" s="216">
        <v>43891</v>
      </c>
      <c r="B364" t="s">
        <v>44</v>
      </c>
      <c r="C364">
        <v>4</v>
      </c>
      <c r="D364" t="s">
        <v>442</v>
      </c>
      <c r="E364" s="217">
        <v>43891</v>
      </c>
      <c r="F364">
        <v>192725</v>
      </c>
      <c r="G364" s="227" t="s">
        <v>110</v>
      </c>
    </row>
    <row r="365" spans="1:7">
      <c r="A365" s="216">
        <v>43891</v>
      </c>
      <c r="B365" t="s">
        <v>44</v>
      </c>
      <c r="C365">
        <v>4</v>
      </c>
      <c r="D365" t="s">
        <v>442</v>
      </c>
      <c r="E365" s="217">
        <v>43891</v>
      </c>
      <c r="F365">
        <v>1507215</v>
      </c>
      <c r="G365" s="227" t="s">
        <v>434</v>
      </c>
    </row>
    <row r="366" spans="1:7">
      <c r="A366" s="216">
        <v>43891</v>
      </c>
      <c r="B366" t="s">
        <v>44</v>
      </c>
      <c r="C366">
        <v>5</v>
      </c>
      <c r="D366" t="s">
        <v>451</v>
      </c>
      <c r="E366" s="217">
        <v>43891</v>
      </c>
      <c r="F366">
        <v>13642</v>
      </c>
      <c r="G366" s="227" t="s">
        <v>70</v>
      </c>
    </row>
    <row r="367" spans="1:7">
      <c r="A367" s="216">
        <v>43891</v>
      </c>
      <c r="B367" t="s">
        <v>44</v>
      </c>
      <c r="C367">
        <v>5</v>
      </c>
      <c r="D367" t="s">
        <v>451</v>
      </c>
      <c r="E367" s="217">
        <v>43891</v>
      </c>
      <c r="F367">
        <v>13407</v>
      </c>
      <c r="G367" s="227" t="s">
        <v>114</v>
      </c>
    </row>
    <row r="368" spans="1:7">
      <c r="A368" s="216">
        <v>43891</v>
      </c>
      <c r="B368" t="s">
        <v>44</v>
      </c>
      <c r="C368">
        <v>5</v>
      </c>
      <c r="D368" t="s">
        <v>451</v>
      </c>
      <c r="E368" s="217">
        <v>43891</v>
      </c>
      <c r="F368">
        <v>13214</v>
      </c>
      <c r="G368" s="227" t="s">
        <v>105</v>
      </c>
    </row>
    <row r="369" spans="1:7">
      <c r="A369" s="216">
        <v>43891</v>
      </c>
      <c r="B369" t="s">
        <v>44</v>
      </c>
      <c r="C369">
        <v>5</v>
      </c>
      <c r="D369" t="s">
        <v>451</v>
      </c>
      <c r="E369" s="217">
        <v>43891</v>
      </c>
      <c r="F369">
        <v>13763</v>
      </c>
      <c r="G369" s="227" t="s">
        <v>100</v>
      </c>
    </row>
    <row r="370" spans="1:7">
      <c r="A370" s="216">
        <v>43891</v>
      </c>
      <c r="B370" t="s">
        <v>44</v>
      </c>
      <c r="C370">
        <v>5</v>
      </c>
      <c r="D370" t="s">
        <v>451</v>
      </c>
      <c r="E370" s="217">
        <v>43891</v>
      </c>
      <c r="F370">
        <v>13925</v>
      </c>
      <c r="G370" s="227" t="s">
        <v>83</v>
      </c>
    </row>
    <row r="371" spans="1:7">
      <c r="A371" s="216">
        <v>43891</v>
      </c>
      <c r="B371" t="s">
        <v>44</v>
      </c>
      <c r="C371">
        <v>5</v>
      </c>
      <c r="D371" t="s">
        <v>451</v>
      </c>
      <c r="E371" s="217">
        <v>43891</v>
      </c>
      <c r="F371">
        <v>13561</v>
      </c>
      <c r="G371" s="227" t="s">
        <v>127</v>
      </c>
    </row>
    <row r="372" spans="1:7">
      <c r="A372" s="216">
        <v>43891</v>
      </c>
      <c r="B372" t="s">
        <v>44</v>
      </c>
      <c r="C372">
        <v>5</v>
      </c>
      <c r="D372" t="s">
        <v>451</v>
      </c>
      <c r="E372" s="217">
        <v>43891</v>
      </c>
      <c r="F372">
        <v>15234</v>
      </c>
      <c r="G372" s="227" t="s">
        <v>123</v>
      </c>
    </row>
    <row r="373" spans="1:7">
      <c r="A373" s="216">
        <v>43891</v>
      </c>
      <c r="B373" t="s">
        <v>44</v>
      </c>
      <c r="C373">
        <v>5</v>
      </c>
      <c r="D373" t="s">
        <v>451</v>
      </c>
      <c r="E373" s="217">
        <v>43891</v>
      </c>
      <c r="F373">
        <v>14522</v>
      </c>
      <c r="G373" s="227" t="s">
        <v>119</v>
      </c>
    </row>
    <row r="374" spans="1:7">
      <c r="A374" s="216">
        <v>43891</v>
      </c>
      <c r="B374" t="s">
        <v>44</v>
      </c>
      <c r="C374">
        <v>5</v>
      </c>
      <c r="D374" t="s">
        <v>451</v>
      </c>
      <c r="E374" s="217">
        <v>43891</v>
      </c>
      <c r="F374">
        <v>13369</v>
      </c>
      <c r="G374" s="227" t="s">
        <v>88</v>
      </c>
    </row>
    <row r="375" spans="1:7">
      <c r="A375" s="216">
        <v>43891</v>
      </c>
      <c r="B375" t="s">
        <v>44</v>
      </c>
      <c r="C375">
        <v>5</v>
      </c>
      <c r="D375" t="s">
        <v>451</v>
      </c>
      <c r="E375" s="217">
        <v>43891</v>
      </c>
      <c r="F375">
        <v>12993</v>
      </c>
      <c r="G375" s="227" t="s">
        <v>96</v>
      </c>
    </row>
    <row r="376" spans="1:7">
      <c r="A376" s="216">
        <v>43891</v>
      </c>
      <c r="B376" t="s">
        <v>44</v>
      </c>
      <c r="C376">
        <v>5</v>
      </c>
      <c r="D376" t="s">
        <v>451</v>
      </c>
      <c r="E376" s="217">
        <v>43891</v>
      </c>
      <c r="F376">
        <v>11036</v>
      </c>
      <c r="G376" s="227" t="s">
        <v>92</v>
      </c>
    </row>
    <row r="377" spans="1:7">
      <c r="A377" s="216">
        <v>43891</v>
      </c>
      <c r="B377" t="s">
        <v>44</v>
      </c>
      <c r="C377">
        <v>5</v>
      </c>
      <c r="D377" t="s">
        <v>451</v>
      </c>
      <c r="E377" s="217">
        <v>43891</v>
      </c>
      <c r="F377">
        <v>14009</v>
      </c>
      <c r="G377" s="227" t="s">
        <v>110</v>
      </c>
    </row>
    <row r="378" spans="1:7">
      <c r="A378" s="216">
        <v>43891</v>
      </c>
      <c r="B378" t="s">
        <v>44</v>
      </c>
      <c r="C378">
        <v>5</v>
      </c>
      <c r="D378" t="s">
        <v>451</v>
      </c>
      <c r="E378" s="217">
        <v>43891</v>
      </c>
      <c r="F378">
        <v>162675</v>
      </c>
      <c r="G378" s="227" t="s">
        <v>434</v>
      </c>
    </row>
    <row r="379" spans="1:7">
      <c r="A379" s="216">
        <v>43891</v>
      </c>
      <c r="B379" t="s">
        <v>44</v>
      </c>
      <c r="C379">
        <v>6</v>
      </c>
      <c r="D379" t="s">
        <v>450</v>
      </c>
      <c r="E379" s="217">
        <v>43891</v>
      </c>
      <c r="F379">
        <v>5649</v>
      </c>
      <c r="G379" s="227" t="s">
        <v>70</v>
      </c>
    </row>
    <row r="380" spans="1:7">
      <c r="A380" s="216">
        <v>43891</v>
      </c>
      <c r="B380" t="s">
        <v>44</v>
      </c>
      <c r="C380">
        <v>6</v>
      </c>
      <c r="D380" t="s">
        <v>450</v>
      </c>
      <c r="E380" s="217">
        <v>43891</v>
      </c>
      <c r="F380">
        <v>6258</v>
      </c>
      <c r="G380" s="227" t="s">
        <v>114</v>
      </c>
    </row>
    <row r="381" spans="1:7">
      <c r="A381" s="216">
        <v>43891</v>
      </c>
      <c r="B381" t="s">
        <v>44</v>
      </c>
      <c r="C381">
        <v>6</v>
      </c>
      <c r="D381" t="s">
        <v>450</v>
      </c>
      <c r="E381" s="217">
        <v>43891</v>
      </c>
      <c r="F381">
        <v>6173</v>
      </c>
      <c r="G381" s="227" t="s">
        <v>105</v>
      </c>
    </row>
    <row r="382" spans="1:7">
      <c r="A382" s="216">
        <v>43891</v>
      </c>
      <c r="B382" t="s">
        <v>44</v>
      </c>
      <c r="C382">
        <v>6</v>
      </c>
      <c r="D382" t="s">
        <v>450</v>
      </c>
      <c r="E382" s="217">
        <v>43891</v>
      </c>
      <c r="F382">
        <v>6174</v>
      </c>
      <c r="G382" s="227" t="s">
        <v>100</v>
      </c>
    </row>
    <row r="383" spans="1:7">
      <c r="A383" s="216">
        <v>43891</v>
      </c>
      <c r="B383" t="s">
        <v>44</v>
      </c>
      <c r="C383">
        <v>6</v>
      </c>
      <c r="D383" t="s">
        <v>450</v>
      </c>
      <c r="E383" s="217">
        <v>43891</v>
      </c>
      <c r="F383">
        <v>6462</v>
      </c>
      <c r="G383" s="227" t="s">
        <v>83</v>
      </c>
    </row>
    <row r="384" spans="1:7">
      <c r="A384" s="216">
        <v>43891</v>
      </c>
      <c r="B384" t="s">
        <v>44</v>
      </c>
      <c r="C384">
        <v>6</v>
      </c>
      <c r="D384" t="s">
        <v>450</v>
      </c>
      <c r="E384" s="217">
        <v>43891</v>
      </c>
      <c r="F384">
        <v>5839</v>
      </c>
      <c r="G384" s="227" t="s">
        <v>127</v>
      </c>
    </row>
    <row r="385" spans="1:7">
      <c r="A385" s="216">
        <v>43891</v>
      </c>
      <c r="B385" t="s">
        <v>44</v>
      </c>
      <c r="C385">
        <v>6</v>
      </c>
      <c r="D385" t="s">
        <v>450</v>
      </c>
      <c r="E385" s="217">
        <v>43891</v>
      </c>
      <c r="F385">
        <v>6446</v>
      </c>
      <c r="G385" s="227" t="s">
        <v>123</v>
      </c>
    </row>
    <row r="386" spans="1:7">
      <c r="A386" s="216">
        <v>43891</v>
      </c>
      <c r="B386" t="s">
        <v>44</v>
      </c>
      <c r="C386">
        <v>6</v>
      </c>
      <c r="D386" t="s">
        <v>450</v>
      </c>
      <c r="E386" s="217">
        <v>43891</v>
      </c>
      <c r="F386">
        <v>6220</v>
      </c>
      <c r="G386" s="227" t="s">
        <v>119</v>
      </c>
    </row>
    <row r="387" spans="1:7">
      <c r="A387" s="216">
        <v>43891</v>
      </c>
      <c r="B387" t="s">
        <v>44</v>
      </c>
      <c r="C387">
        <v>6</v>
      </c>
      <c r="D387" t="s">
        <v>450</v>
      </c>
      <c r="E387" s="217">
        <v>43891</v>
      </c>
      <c r="F387">
        <v>6295</v>
      </c>
      <c r="G387" s="227" t="s">
        <v>88</v>
      </c>
    </row>
    <row r="388" spans="1:7">
      <c r="A388" s="216">
        <v>43891</v>
      </c>
      <c r="B388" t="s">
        <v>44</v>
      </c>
      <c r="C388">
        <v>6</v>
      </c>
      <c r="D388" t="s">
        <v>450</v>
      </c>
      <c r="E388" s="217">
        <v>43891</v>
      </c>
      <c r="F388">
        <v>6384</v>
      </c>
      <c r="G388" s="227" t="s">
        <v>96</v>
      </c>
    </row>
    <row r="389" spans="1:7">
      <c r="A389" s="216">
        <v>43891</v>
      </c>
      <c r="B389" t="s">
        <v>44</v>
      </c>
      <c r="C389">
        <v>6</v>
      </c>
      <c r="D389" t="s">
        <v>450</v>
      </c>
      <c r="E389" s="217">
        <v>43891</v>
      </c>
      <c r="F389">
        <v>6107</v>
      </c>
      <c r="G389" s="227" t="s">
        <v>92</v>
      </c>
    </row>
    <row r="390" spans="1:7">
      <c r="A390" s="216">
        <v>43891</v>
      </c>
      <c r="B390" t="s">
        <v>44</v>
      </c>
      <c r="C390">
        <v>6</v>
      </c>
      <c r="D390" t="s">
        <v>450</v>
      </c>
      <c r="E390" s="217">
        <v>43891</v>
      </c>
      <c r="F390">
        <v>7124</v>
      </c>
      <c r="G390" s="227" t="s">
        <v>110</v>
      </c>
    </row>
    <row r="391" spans="1:7">
      <c r="A391" s="216">
        <v>43891</v>
      </c>
      <c r="B391" t="s">
        <v>44</v>
      </c>
      <c r="C391">
        <v>6</v>
      </c>
      <c r="D391" t="s">
        <v>450</v>
      </c>
      <c r="E391" s="217">
        <v>43891</v>
      </c>
      <c r="F391">
        <v>75131</v>
      </c>
      <c r="G391" s="227" t="s">
        <v>434</v>
      </c>
    </row>
    <row r="392" spans="1:7">
      <c r="A392" s="216">
        <v>43891</v>
      </c>
      <c r="B392" t="s">
        <v>44</v>
      </c>
      <c r="C392">
        <v>7</v>
      </c>
      <c r="D392" t="s">
        <v>433</v>
      </c>
      <c r="E392" s="217">
        <v>43891</v>
      </c>
      <c r="F392">
        <v>53404</v>
      </c>
      <c r="G392" s="227" t="s">
        <v>70</v>
      </c>
    </row>
    <row r="393" spans="1:7">
      <c r="A393" s="216">
        <v>43891</v>
      </c>
      <c r="B393" t="s">
        <v>44</v>
      </c>
      <c r="C393">
        <v>7</v>
      </c>
      <c r="D393" t="s">
        <v>433</v>
      </c>
      <c r="E393" s="217">
        <v>43891</v>
      </c>
      <c r="F393">
        <v>51517</v>
      </c>
      <c r="G393" s="227" t="s">
        <v>114</v>
      </c>
    </row>
    <row r="394" spans="1:7">
      <c r="A394" s="216">
        <v>43891</v>
      </c>
      <c r="B394" t="s">
        <v>44</v>
      </c>
      <c r="C394">
        <v>7</v>
      </c>
      <c r="D394" t="s">
        <v>433</v>
      </c>
      <c r="E394" s="217">
        <v>43891</v>
      </c>
      <c r="F394">
        <v>51556</v>
      </c>
      <c r="G394" s="227" t="s">
        <v>105</v>
      </c>
    </row>
    <row r="395" spans="1:7">
      <c r="A395" s="216">
        <v>43891</v>
      </c>
      <c r="B395" t="s">
        <v>44</v>
      </c>
      <c r="C395">
        <v>7</v>
      </c>
      <c r="D395" t="s">
        <v>433</v>
      </c>
      <c r="E395" s="217">
        <v>43891</v>
      </c>
      <c r="F395">
        <v>51858</v>
      </c>
      <c r="G395" s="227" t="s">
        <v>100</v>
      </c>
    </row>
    <row r="396" spans="1:7">
      <c r="A396" s="216">
        <v>43891</v>
      </c>
      <c r="B396" t="s">
        <v>44</v>
      </c>
      <c r="C396">
        <v>7</v>
      </c>
      <c r="D396" t="s">
        <v>433</v>
      </c>
      <c r="E396" s="217">
        <v>43891</v>
      </c>
      <c r="F396">
        <v>51452</v>
      </c>
      <c r="G396" s="227" t="s">
        <v>83</v>
      </c>
    </row>
    <row r="397" spans="1:7">
      <c r="A397" s="216">
        <v>43891</v>
      </c>
      <c r="B397" t="s">
        <v>44</v>
      </c>
      <c r="C397">
        <v>7</v>
      </c>
      <c r="D397" t="s">
        <v>433</v>
      </c>
      <c r="E397" s="217">
        <v>43891</v>
      </c>
      <c r="F397">
        <v>51207</v>
      </c>
      <c r="G397" s="227" t="s">
        <v>127</v>
      </c>
    </row>
    <row r="398" spans="1:7">
      <c r="A398" s="216">
        <v>43891</v>
      </c>
      <c r="B398" t="s">
        <v>44</v>
      </c>
      <c r="C398">
        <v>7</v>
      </c>
      <c r="D398" t="s">
        <v>433</v>
      </c>
      <c r="E398" s="217">
        <v>43891</v>
      </c>
      <c r="F398">
        <v>53428</v>
      </c>
      <c r="G398" s="227" t="s">
        <v>123</v>
      </c>
    </row>
    <row r="399" spans="1:7">
      <c r="A399" s="216">
        <v>43891</v>
      </c>
      <c r="B399" t="s">
        <v>44</v>
      </c>
      <c r="C399">
        <v>7</v>
      </c>
      <c r="D399" t="s">
        <v>433</v>
      </c>
      <c r="E399" s="217">
        <v>43891</v>
      </c>
      <c r="F399">
        <v>52331</v>
      </c>
      <c r="G399" s="227" t="s">
        <v>119</v>
      </c>
    </row>
    <row r="400" spans="1:7">
      <c r="A400" s="216">
        <v>43891</v>
      </c>
      <c r="B400" t="s">
        <v>44</v>
      </c>
      <c r="C400">
        <v>7</v>
      </c>
      <c r="D400" t="s">
        <v>433</v>
      </c>
      <c r="E400" s="217">
        <v>43891</v>
      </c>
      <c r="F400">
        <v>51936</v>
      </c>
      <c r="G400" s="227" t="s">
        <v>88</v>
      </c>
    </row>
    <row r="401" spans="1:7">
      <c r="A401" s="216">
        <v>43891</v>
      </c>
      <c r="B401" t="s">
        <v>44</v>
      </c>
      <c r="C401">
        <v>7</v>
      </c>
      <c r="D401" t="s">
        <v>433</v>
      </c>
      <c r="E401" s="217">
        <v>43891</v>
      </c>
      <c r="F401">
        <v>52639</v>
      </c>
      <c r="G401" s="227" t="s">
        <v>96</v>
      </c>
    </row>
    <row r="402" spans="1:7">
      <c r="A402" s="216">
        <v>43891</v>
      </c>
      <c r="B402" t="s">
        <v>44</v>
      </c>
      <c r="C402">
        <v>7</v>
      </c>
      <c r="D402" t="s">
        <v>433</v>
      </c>
      <c r="E402" s="217">
        <v>43891</v>
      </c>
      <c r="F402">
        <v>51797</v>
      </c>
      <c r="G402" s="227" t="s">
        <v>92</v>
      </c>
    </row>
    <row r="403" spans="1:7">
      <c r="A403" s="216">
        <v>43891</v>
      </c>
      <c r="B403" t="s">
        <v>44</v>
      </c>
      <c r="C403">
        <v>7</v>
      </c>
      <c r="D403" t="s">
        <v>433</v>
      </c>
      <c r="E403" s="217">
        <v>43891</v>
      </c>
      <c r="F403">
        <v>81652</v>
      </c>
      <c r="G403" s="227" t="s">
        <v>110</v>
      </c>
    </row>
    <row r="404" spans="1:7">
      <c r="A404" s="216">
        <v>43891</v>
      </c>
      <c r="B404" t="s">
        <v>44</v>
      </c>
      <c r="C404">
        <v>7</v>
      </c>
      <c r="D404" t="s">
        <v>433</v>
      </c>
      <c r="E404" s="217">
        <v>43891</v>
      </c>
      <c r="F404">
        <v>654777</v>
      </c>
      <c r="G404" s="227" t="s">
        <v>434</v>
      </c>
    </row>
    <row r="405" spans="1:7">
      <c r="A405" s="216">
        <v>43891</v>
      </c>
      <c r="B405" t="s">
        <v>44</v>
      </c>
      <c r="C405">
        <v>8</v>
      </c>
      <c r="D405" t="s">
        <v>445</v>
      </c>
      <c r="E405" s="217">
        <v>43891</v>
      </c>
      <c r="F405">
        <v>12974</v>
      </c>
      <c r="G405" s="227" t="s">
        <v>70</v>
      </c>
    </row>
    <row r="406" spans="1:7">
      <c r="A406" s="216">
        <v>43891</v>
      </c>
      <c r="B406" t="s">
        <v>44</v>
      </c>
      <c r="C406">
        <v>8</v>
      </c>
      <c r="D406" t="s">
        <v>445</v>
      </c>
      <c r="E406" s="217">
        <v>43891</v>
      </c>
      <c r="F406">
        <v>14318</v>
      </c>
      <c r="G406" s="227" t="s">
        <v>114</v>
      </c>
    </row>
    <row r="407" spans="1:7">
      <c r="A407" s="216">
        <v>43891</v>
      </c>
      <c r="B407" t="s">
        <v>44</v>
      </c>
      <c r="C407">
        <v>8</v>
      </c>
      <c r="D407" t="s">
        <v>445</v>
      </c>
      <c r="E407" s="217">
        <v>43891</v>
      </c>
      <c r="F407">
        <v>14015</v>
      </c>
      <c r="G407" s="227" t="s">
        <v>105</v>
      </c>
    </row>
    <row r="408" spans="1:7">
      <c r="A408" s="216">
        <v>43891</v>
      </c>
      <c r="B408" t="s">
        <v>44</v>
      </c>
      <c r="C408">
        <v>8</v>
      </c>
      <c r="D408" t="s">
        <v>445</v>
      </c>
      <c r="E408" s="217">
        <v>43891</v>
      </c>
      <c r="F408">
        <v>15316</v>
      </c>
      <c r="G408" s="227" t="s">
        <v>100</v>
      </c>
    </row>
    <row r="409" spans="1:7">
      <c r="A409" s="216">
        <v>43891</v>
      </c>
      <c r="B409" t="s">
        <v>44</v>
      </c>
      <c r="C409">
        <v>8</v>
      </c>
      <c r="D409" t="s">
        <v>445</v>
      </c>
      <c r="E409" s="217">
        <v>43891</v>
      </c>
      <c r="F409">
        <v>13342</v>
      </c>
      <c r="G409" s="227" t="s">
        <v>83</v>
      </c>
    </row>
    <row r="410" spans="1:7">
      <c r="A410" s="216">
        <v>43891</v>
      </c>
      <c r="B410" t="s">
        <v>44</v>
      </c>
      <c r="C410">
        <v>8</v>
      </c>
      <c r="D410" t="s">
        <v>445</v>
      </c>
      <c r="E410" s="217">
        <v>43891</v>
      </c>
      <c r="F410">
        <v>13177</v>
      </c>
      <c r="G410" s="227" t="s">
        <v>127</v>
      </c>
    </row>
    <row r="411" spans="1:7">
      <c r="A411" s="216">
        <v>43891</v>
      </c>
      <c r="B411" t="s">
        <v>44</v>
      </c>
      <c r="C411">
        <v>8</v>
      </c>
      <c r="D411" t="s">
        <v>445</v>
      </c>
      <c r="E411" s="217">
        <v>43891</v>
      </c>
      <c r="F411">
        <v>14482</v>
      </c>
      <c r="G411" s="227" t="s">
        <v>123</v>
      </c>
    </row>
    <row r="412" spans="1:7">
      <c r="A412" s="216">
        <v>43891</v>
      </c>
      <c r="B412" t="s">
        <v>44</v>
      </c>
      <c r="C412">
        <v>8</v>
      </c>
      <c r="D412" t="s">
        <v>445</v>
      </c>
      <c r="E412" s="217">
        <v>43891</v>
      </c>
      <c r="F412">
        <v>15104</v>
      </c>
      <c r="G412" s="227" t="s">
        <v>119</v>
      </c>
    </row>
    <row r="413" spans="1:7">
      <c r="A413" s="216">
        <v>43891</v>
      </c>
      <c r="B413" t="s">
        <v>44</v>
      </c>
      <c r="C413">
        <v>8</v>
      </c>
      <c r="D413" t="s">
        <v>445</v>
      </c>
      <c r="E413" s="217">
        <v>43891</v>
      </c>
      <c r="F413">
        <v>14309</v>
      </c>
      <c r="G413" s="227" t="s">
        <v>88</v>
      </c>
    </row>
    <row r="414" spans="1:7">
      <c r="A414" s="216">
        <v>43891</v>
      </c>
      <c r="B414" t="s">
        <v>44</v>
      </c>
      <c r="C414">
        <v>8</v>
      </c>
      <c r="D414" t="s">
        <v>445</v>
      </c>
      <c r="E414" s="217">
        <v>43891</v>
      </c>
      <c r="F414">
        <v>16211</v>
      </c>
      <c r="G414" s="227" t="s">
        <v>96</v>
      </c>
    </row>
    <row r="415" spans="1:7">
      <c r="A415" s="216">
        <v>43891</v>
      </c>
      <c r="B415" t="s">
        <v>44</v>
      </c>
      <c r="C415">
        <v>8</v>
      </c>
      <c r="D415" t="s">
        <v>445</v>
      </c>
      <c r="E415" s="217">
        <v>43891</v>
      </c>
      <c r="F415">
        <v>15129</v>
      </c>
      <c r="G415" s="227" t="s">
        <v>92</v>
      </c>
    </row>
    <row r="416" spans="1:7">
      <c r="A416" s="216">
        <v>43891</v>
      </c>
      <c r="B416" t="s">
        <v>44</v>
      </c>
      <c r="C416">
        <v>8</v>
      </c>
      <c r="D416" t="s">
        <v>445</v>
      </c>
      <c r="E416" s="217">
        <v>43891</v>
      </c>
      <c r="F416">
        <v>26067</v>
      </c>
      <c r="G416" s="227" t="s">
        <v>110</v>
      </c>
    </row>
    <row r="417" spans="1:7">
      <c r="A417" s="216">
        <v>43891</v>
      </c>
      <c r="B417" t="s">
        <v>44</v>
      </c>
      <c r="C417">
        <v>8</v>
      </c>
      <c r="D417" t="s">
        <v>445</v>
      </c>
      <c r="E417" s="217">
        <v>43891</v>
      </c>
      <c r="F417">
        <v>184444</v>
      </c>
      <c r="G417" s="227" t="s">
        <v>434</v>
      </c>
    </row>
    <row r="418" spans="1:7">
      <c r="A418" s="216">
        <v>43891</v>
      </c>
      <c r="B418" t="s">
        <v>44</v>
      </c>
      <c r="C418">
        <v>9</v>
      </c>
      <c r="D418" t="s">
        <v>454</v>
      </c>
      <c r="E418" s="217">
        <v>43891</v>
      </c>
      <c r="F418">
        <v>6148</v>
      </c>
      <c r="G418" s="227" t="s">
        <v>70</v>
      </c>
    </row>
    <row r="419" spans="1:7">
      <c r="A419" s="216">
        <v>43891</v>
      </c>
      <c r="B419" t="s">
        <v>44</v>
      </c>
      <c r="C419">
        <v>9</v>
      </c>
      <c r="D419" t="s">
        <v>454</v>
      </c>
      <c r="E419" s="217">
        <v>43891</v>
      </c>
      <c r="F419">
        <v>6482</v>
      </c>
      <c r="G419" s="227" t="s">
        <v>114</v>
      </c>
    </row>
    <row r="420" spans="1:7">
      <c r="A420" s="216">
        <v>43891</v>
      </c>
      <c r="B420" t="s">
        <v>44</v>
      </c>
      <c r="C420">
        <v>9</v>
      </c>
      <c r="D420" t="s">
        <v>454</v>
      </c>
      <c r="E420" s="217">
        <v>43891</v>
      </c>
      <c r="F420">
        <v>7153</v>
      </c>
      <c r="G420" s="227" t="s">
        <v>105</v>
      </c>
    </row>
    <row r="421" spans="1:7">
      <c r="A421" s="216">
        <v>43891</v>
      </c>
      <c r="B421" t="s">
        <v>44</v>
      </c>
      <c r="C421">
        <v>9</v>
      </c>
      <c r="D421" t="s">
        <v>454</v>
      </c>
      <c r="E421" s="217">
        <v>43891</v>
      </c>
      <c r="F421">
        <v>6328</v>
      </c>
      <c r="G421" s="227" t="s">
        <v>100</v>
      </c>
    </row>
    <row r="422" spans="1:7">
      <c r="A422" s="216">
        <v>43891</v>
      </c>
      <c r="B422" t="s">
        <v>44</v>
      </c>
      <c r="C422">
        <v>9</v>
      </c>
      <c r="D422" t="s">
        <v>454</v>
      </c>
      <c r="E422" s="217">
        <v>43891</v>
      </c>
      <c r="F422">
        <v>6943</v>
      </c>
      <c r="G422" s="227" t="s">
        <v>83</v>
      </c>
    </row>
    <row r="423" spans="1:7">
      <c r="A423" s="216">
        <v>43891</v>
      </c>
      <c r="B423" t="s">
        <v>44</v>
      </c>
      <c r="C423">
        <v>9</v>
      </c>
      <c r="D423" t="s">
        <v>454</v>
      </c>
      <c r="E423" s="217">
        <v>43891</v>
      </c>
      <c r="F423">
        <v>6282</v>
      </c>
      <c r="G423" s="227" t="s">
        <v>127</v>
      </c>
    </row>
    <row r="424" spans="1:7">
      <c r="A424" s="216">
        <v>43891</v>
      </c>
      <c r="B424" t="s">
        <v>44</v>
      </c>
      <c r="C424">
        <v>9</v>
      </c>
      <c r="D424" t="s">
        <v>454</v>
      </c>
      <c r="E424" s="217">
        <v>43891</v>
      </c>
      <c r="F424">
        <v>7264</v>
      </c>
      <c r="G424" s="227" t="s">
        <v>123</v>
      </c>
    </row>
    <row r="425" spans="1:7">
      <c r="A425" s="216">
        <v>43891</v>
      </c>
      <c r="B425" t="s">
        <v>44</v>
      </c>
      <c r="C425">
        <v>9</v>
      </c>
      <c r="D425" t="s">
        <v>454</v>
      </c>
      <c r="E425" s="217">
        <v>43891</v>
      </c>
      <c r="F425">
        <v>7039</v>
      </c>
      <c r="G425" s="227" t="s">
        <v>119</v>
      </c>
    </row>
    <row r="426" spans="1:7">
      <c r="A426" s="216">
        <v>43891</v>
      </c>
      <c r="B426" t="s">
        <v>44</v>
      </c>
      <c r="C426">
        <v>9</v>
      </c>
      <c r="D426" t="s">
        <v>454</v>
      </c>
      <c r="E426" s="217">
        <v>43891</v>
      </c>
      <c r="F426">
        <v>5858</v>
      </c>
      <c r="G426" s="227" t="s">
        <v>88</v>
      </c>
    </row>
    <row r="427" spans="1:7">
      <c r="A427" s="216">
        <v>43891</v>
      </c>
      <c r="B427" t="s">
        <v>44</v>
      </c>
      <c r="C427">
        <v>9</v>
      </c>
      <c r="D427" t="s">
        <v>454</v>
      </c>
      <c r="E427" s="217">
        <v>43891</v>
      </c>
      <c r="F427">
        <v>7405</v>
      </c>
      <c r="G427" s="227" t="s">
        <v>96</v>
      </c>
    </row>
    <row r="428" spans="1:7">
      <c r="A428" s="216">
        <v>43891</v>
      </c>
      <c r="B428" t="s">
        <v>44</v>
      </c>
      <c r="C428">
        <v>9</v>
      </c>
      <c r="D428" t="s">
        <v>454</v>
      </c>
      <c r="E428" s="217">
        <v>43891</v>
      </c>
      <c r="F428">
        <v>7161</v>
      </c>
      <c r="G428" s="227" t="s">
        <v>92</v>
      </c>
    </row>
    <row r="429" spans="1:7">
      <c r="A429" s="216">
        <v>43891</v>
      </c>
      <c r="B429" t="s">
        <v>44</v>
      </c>
      <c r="C429">
        <v>9</v>
      </c>
      <c r="D429" t="s">
        <v>454</v>
      </c>
      <c r="E429" s="217">
        <v>43891</v>
      </c>
      <c r="F429">
        <v>8300</v>
      </c>
      <c r="G429" s="227" t="s">
        <v>110</v>
      </c>
    </row>
    <row r="430" spans="1:7">
      <c r="A430" s="216">
        <v>43891</v>
      </c>
      <c r="B430" t="s">
        <v>44</v>
      </c>
      <c r="C430">
        <v>9</v>
      </c>
      <c r="D430" t="s">
        <v>454</v>
      </c>
      <c r="E430" s="217">
        <v>43891</v>
      </c>
      <c r="F430">
        <v>82363</v>
      </c>
      <c r="G430" s="227" t="s">
        <v>434</v>
      </c>
    </row>
    <row r="431" spans="1:7">
      <c r="A431" s="216">
        <v>43891</v>
      </c>
      <c r="B431" t="s">
        <v>44</v>
      </c>
      <c r="C431">
        <v>10</v>
      </c>
      <c r="D431" t="s">
        <v>441</v>
      </c>
      <c r="E431" s="217">
        <v>43891</v>
      </c>
      <c r="F431">
        <v>13873</v>
      </c>
      <c r="G431" s="227" t="s">
        <v>70</v>
      </c>
    </row>
    <row r="432" spans="1:7">
      <c r="A432" s="216">
        <v>43891</v>
      </c>
      <c r="B432" t="s">
        <v>44</v>
      </c>
      <c r="C432">
        <v>10</v>
      </c>
      <c r="D432" t="s">
        <v>441</v>
      </c>
      <c r="E432" s="217">
        <v>43891</v>
      </c>
      <c r="F432">
        <v>12209</v>
      </c>
      <c r="G432" s="227" t="s">
        <v>114</v>
      </c>
    </row>
    <row r="433" spans="1:7">
      <c r="A433" s="216">
        <v>43891</v>
      </c>
      <c r="B433" t="s">
        <v>44</v>
      </c>
      <c r="C433">
        <v>10</v>
      </c>
      <c r="D433" t="s">
        <v>441</v>
      </c>
      <c r="E433" s="217">
        <v>43891</v>
      </c>
      <c r="F433">
        <v>15020</v>
      </c>
      <c r="G433" s="227" t="s">
        <v>105</v>
      </c>
    </row>
    <row r="434" spans="1:7">
      <c r="A434" s="216">
        <v>43891</v>
      </c>
      <c r="B434" t="s">
        <v>44</v>
      </c>
      <c r="C434">
        <v>10</v>
      </c>
      <c r="D434" t="s">
        <v>441</v>
      </c>
      <c r="E434" s="217">
        <v>43891</v>
      </c>
      <c r="F434">
        <v>13965</v>
      </c>
      <c r="G434" s="227" t="s">
        <v>100</v>
      </c>
    </row>
    <row r="435" spans="1:7">
      <c r="A435" s="216">
        <v>43891</v>
      </c>
      <c r="B435" t="s">
        <v>44</v>
      </c>
      <c r="C435">
        <v>10</v>
      </c>
      <c r="D435" t="s">
        <v>441</v>
      </c>
      <c r="E435" s="217">
        <v>43891</v>
      </c>
      <c r="F435">
        <v>14122</v>
      </c>
      <c r="G435" s="227" t="s">
        <v>83</v>
      </c>
    </row>
    <row r="436" spans="1:7">
      <c r="A436" s="216">
        <v>43891</v>
      </c>
      <c r="B436" t="s">
        <v>44</v>
      </c>
      <c r="C436">
        <v>10</v>
      </c>
      <c r="D436" t="s">
        <v>441</v>
      </c>
      <c r="E436" s="217">
        <v>43891</v>
      </c>
      <c r="F436">
        <v>13844</v>
      </c>
      <c r="G436" s="227" t="s">
        <v>127</v>
      </c>
    </row>
    <row r="437" spans="1:7">
      <c r="A437" s="216">
        <v>43891</v>
      </c>
      <c r="B437" t="s">
        <v>44</v>
      </c>
      <c r="C437">
        <v>10</v>
      </c>
      <c r="D437" t="s">
        <v>441</v>
      </c>
      <c r="E437" s="217">
        <v>43891</v>
      </c>
      <c r="F437">
        <v>13778</v>
      </c>
      <c r="G437" s="227" t="s">
        <v>123</v>
      </c>
    </row>
    <row r="438" spans="1:7">
      <c r="A438" s="216">
        <v>43891</v>
      </c>
      <c r="B438" t="s">
        <v>44</v>
      </c>
      <c r="C438">
        <v>10</v>
      </c>
      <c r="D438" t="s">
        <v>441</v>
      </c>
      <c r="E438" s="217">
        <v>43891</v>
      </c>
      <c r="F438">
        <v>13862</v>
      </c>
      <c r="G438" s="227" t="s">
        <v>119</v>
      </c>
    </row>
    <row r="439" spans="1:7">
      <c r="A439" s="216">
        <v>43891</v>
      </c>
      <c r="B439" t="s">
        <v>44</v>
      </c>
      <c r="C439">
        <v>10</v>
      </c>
      <c r="D439" t="s">
        <v>441</v>
      </c>
      <c r="E439" s="217">
        <v>43891</v>
      </c>
      <c r="F439">
        <v>14008</v>
      </c>
      <c r="G439" s="227" t="s">
        <v>88</v>
      </c>
    </row>
    <row r="440" spans="1:7">
      <c r="A440" s="216">
        <v>43891</v>
      </c>
      <c r="B440" t="s">
        <v>44</v>
      </c>
      <c r="C440">
        <v>10</v>
      </c>
      <c r="D440" t="s">
        <v>441</v>
      </c>
      <c r="E440" s="217">
        <v>43891</v>
      </c>
      <c r="F440">
        <v>14136</v>
      </c>
      <c r="G440" s="227" t="s">
        <v>96</v>
      </c>
    </row>
    <row r="441" spans="1:7">
      <c r="A441" s="216">
        <v>43891</v>
      </c>
      <c r="B441" t="s">
        <v>44</v>
      </c>
      <c r="C441">
        <v>10</v>
      </c>
      <c r="D441" t="s">
        <v>441</v>
      </c>
      <c r="E441" s="217">
        <v>43891</v>
      </c>
      <c r="F441">
        <v>14640</v>
      </c>
      <c r="G441" s="227" t="s">
        <v>92</v>
      </c>
    </row>
    <row r="442" spans="1:7">
      <c r="A442" s="216">
        <v>43891</v>
      </c>
      <c r="B442" t="s">
        <v>44</v>
      </c>
      <c r="C442">
        <v>10</v>
      </c>
      <c r="D442" t="s">
        <v>441</v>
      </c>
      <c r="E442" s="217">
        <v>43891</v>
      </c>
      <c r="F442">
        <v>15296</v>
      </c>
      <c r="G442" s="227" t="s">
        <v>110</v>
      </c>
    </row>
    <row r="443" spans="1:7">
      <c r="A443" s="216">
        <v>43891</v>
      </c>
      <c r="B443" t="s">
        <v>44</v>
      </c>
      <c r="C443">
        <v>10</v>
      </c>
      <c r="D443" t="s">
        <v>441</v>
      </c>
      <c r="E443" s="217">
        <v>43891</v>
      </c>
      <c r="F443">
        <v>168753</v>
      </c>
      <c r="G443" s="227" t="s">
        <v>434</v>
      </c>
    </row>
    <row r="444" spans="1:7">
      <c r="A444" s="216">
        <v>43891</v>
      </c>
      <c r="B444" t="s">
        <v>44</v>
      </c>
      <c r="C444">
        <v>11</v>
      </c>
      <c r="D444" t="s">
        <v>447</v>
      </c>
      <c r="E444" s="217">
        <v>43891</v>
      </c>
      <c r="F444">
        <v>777</v>
      </c>
      <c r="G444" s="227" t="s">
        <v>70</v>
      </c>
    </row>
    <row r="445" spans="1:7">
      <c r="A445" s="216">
        <v>43891</v>
      </c>
      <c r="B445" t="s">
        <v>44</v>
      </c>
      <c r="C445">
        <v>11</v>
      </c>
      <c r="D445" t="s">
        <v>447</v>
      </c>
      <c r="E445" s="217">
        <v>43891</v>
      </c>
      <c r="F445">
        <v>783</v>
      </c>
      <c r="G445" s="227" t="s">
        <v>114</v>
      </c>
    </row>
    <row r="446" spans="1:7">
      <c r="A446" s="216">
        <v>43891</v>
      </c>
      <c r="B446" t="s">
        <v>44</v>
      </c>
      <c r="C446">
        <v>11</v>
      </c>
      <c r="D446" t="s">
        <v>447</v>
      </c>
      <c r="E446" s="217">
        <v>43891</v>
      </c>
      <c r="F446">
        <v>787</v>
      </c>
      <c r="G446" s="227" t="s">
        <v>105</v>
      </c>
    </row>
    <row r="447" spans="1:7">
      <c r="A447" s="216">
        <v>43891</v>
      </c>
      <c r="B447" t="s">
        <v>44</v>
      </c>
      <c r="C447">
        <v>11</v>
      </c>
      <c r="D447" t="s">
        <v>447</v>
      </c>
      <c r="E447" s="217">
        <v>43891</v>
      </c>
      <c r="F447">
        <v>1015</v>
      </c>
      <c r="G447" s="227" t="s">
        <v>100</v>
      </c>
    </row>
    <row r="448" spans="1:7">
      <c r="A448" s="216">
        <v>43891</v>
      </c>
      <c r="B448" t="s">
        <v>44</v>
      </c>
      <c r="C448">
        <v>11</v>
      </c>
      <c r="D448" t="s">
        <v>447</v>
      </c>
      <c r="E448" s="217">
        <v>43891</v>
      </c>
      <c r="F448">
        <v>906</v>
      </c>
      <c r="G448" s="227" t="s">
        <v>83</v>
      </c>
    </row>
    <row r="449" spans="1:7">
      <c r="A449" s="216">
        <v>43891</v>
      </c>
      <c r="B449" t="s">
        <v>44</v>
      </c>
      <c r="C449">
        <v>11</v>
      </c>
      <c r="D449" t="s">
        <v>447</v>
      </c>
      <c r="E449" s="217">
        <v>43891</v>
      </c>
      <c r="F449">
        <v>833.87449346076505</v>
      </c>
      <c r="G449" s="227" t="s">
        <v>127</v>
      </c>
    </row>
    <row r="450" spans="1:7">
      <c r="A450" s="216">
        <v>43891</v>
      </c>
      <c r="B450" t="s">
        <v>44</v>
      </c>
      <c r="C450">
        <v>11</v>
      </c>
      <c r="D450" t="s">
        <v>447</v>
      </c>
      <c r="E450" s="217">
        <v>43891</v>
      </c>
      <c r="F450">
        <v>893</v>
      </c>
      <c r="G450" s="227" t="s">
        <v>123</v>
      </c>
    </row>
    <row r="451" spans="1:7">
      <c r="A451" s="216">
        <v>43891</v>
      </c>
      <c r="B451" t="s">
        <v>44</v>
      </c>
      <c r="C451">
        <v>11</v>
      </c>
      <c r="D451" t="s">
        <v>447</v>
      </c>
      <c r="E451" s="217">
        <v>43891</v>
      </c>
      <c r="F451">
        <v>881</v>
      </c>
      <c r="G451" s="227" t="s">
        <v>119</v>
      </c>
    </row>
    <row r="452" spans="1:7">
      <c r="A452" s="216">
        <v>43891</v>
      </c>
      <c r="B452" t="s">
        <v>44</v>
      </c>
      <c r="C452">
        <v>11</v>
      </c>
      <c r="D452" t="s">
        <v>447</v>
      </c>
      <c r="E452" s="217">
        <v>43891</v>
      </c>
      <c r="F452">
        <v>850</v>
      </c>
      <c r="G452" s="227" t="s">
        <v>88</v>
      </c>
    </row>
    <row r="453" spans="1:7">
      <c r="A453" s="216">
        <v>43891</v>
      </c>
      <c r="B453" t="s">
        <v>44</v>
      </c>
      <c r="C453">
        <v>11</v>
      </c>
      <c r="D453" t="s">
        <v>447</v>
      </c>
      <c r="E453" s="217">
        <v>43891</v>
      </c>
      <c r="F453">
        <v>868</v>
      </c>
      <c r="G453" s="227" t="s">
        <v>96</v>
      </c>
    </row>
    <row r="454" spans="1:7">
      <c r="A454" s="216">
        <v>43891</v>
      </c>
      <c r="B454" t="s">
        <v>44</v>
      </c>
      <c r="C454">
        <v>11</v>
      </c>
      <c r="D454" t="s">
        <v>447</v>
      </c>
      <c r="E454" s="217">
        <v>43891</v>
      </c>
      <c r="F454">
        <v>908</v>
      </c>
      <c r="G454" s="227" t="s">
        <v>92</v>
      </c>
    </row>
    <row r="455" spans="1:7">
      <c r="A455" s="216">
        <v>43891</v>
      </c>
      <c r="B455" t="s">
        <v>44</v>
      </c>
      <c r="C455">
        <v>11</v>
      </c>
      <c r="D455" t="s">
        <v>447</v>
      </c>
      <c r="E455" s="217">
        <v>43891</v>
      </c>
      <c r="F455">
        <v>376</v>
      </c>
      <c r="G455" s="227" t="s">
        <v>110</v>
      </c>
    </row>
    <row r="456" spans="1:7">
      <c r="A456" s="216">
        <v>43891</v>
      </c>
      <c r="B456" t="s">
        <v>44</v>
      </c>
      <c r="C456">
        <v>11</v>
      </c>
      <c r="D456" t="s">
        <v>447</v>
      </c>
      <c r="E456" s="217">
        <v>43891</v>
      </c>
      <c r="F456">
        <v>9877.8744934607603</v>
      </c>
      <c r="G456" s="227" t="s">
        <v>434</v>
      </c>
    </row>
    <row r="457" spans="1:7">
      <c r="A457" s="216">
        <v>43891</v>
      </c>
      <c r="B457" t="s">
        <v>44</v>
      </c>
      <c r="C457">
        <v>12</v>
      </c>
      <c r="D457" t="s">
        <v>437</v>
      </c>
      <c r="E457" s="217">
        <v>43891</v>
      </c>
      <c r="F457">
        <v>5418</v>
      </c>
      <c r="G457" s="227" t="s">
        <v>70</v>
      </c>
    </row>
    <row r="458" spans="1:7">
      <c r="A458" s="216">
        <v>43891</v>
      </c>
      <c r="B458" t="s">
        <v>44</v>
      </c>
      <c r="C458">
        <v>12</v>
      </c>
      <c r="D458" t="s">
        <v>437</v>
      </c>
      <c r="E458" s="217">
        <v>43891</v>
      </c>
      <c r="F458">
        <v>5669</v>
      </c>
      <c r="G458" s="227" t="s">
        <v>114</v>
      </c>
    </row>
    <row r="459" spans="1:7">
      <c r="A459" s="216">
        <v>43891</v>
      </c>
      <c r="B459" t="s">
        <v>44</v>
      </c>
      <c r="C459">
        <v>12</v>
      </c>
      <c r="D459" t="s">
        <v>437</v>
      </c>
      <c r="E459" s="217">
        <v>43891</v>
      </c>
      <c r="F459">
        <v>5646</v>
      </c>
      <c r="G459" s="227" t="s">
        <v>105</v>
      </c>
    </row>
    <row r="460" spans="1:7">
      <c r="A460" s="216">
        <v>43891</v>
      </c>
      <c r="B460" t="s">
        <v>44</v>
      </c>
      <c r="C460">
        <v>12</v>
      </c>
      <c r="D460" t="s">
        <v>437</v>
      </c>
      <c r="E460" s="217">
        <v>43891</v>
      </c>
      <c r="F460">
        <v>5718</v>
      </c>
      <c r="G460" s="227" t="s">
        <v>100</v>
      </c>
    </row>
    <row r="461" spans="1:7">
      <c r="A461" s="216">
        <v>43891</v>
      </c>
      <c r="B461" t="s">
        <v>44</v>
      </c>
      <c r="C461">
        <v>12</v>
      </c>
      <c r="D461" t="s">
        <v>437</v>
      </c>
      <c r="E461" s="217">
        <v>43891</v>
      </c>
      <c r="F461">
        <v>6027</v>
      </c>
      <c r="G461" s="227" t="s">
        <v>83</v>
      </c>
    </row>
    <row r="462" spans="1:7">
      <c r="A462" s="216">
        <v>43891</v>
      </c>
      <c r="B462" t="s">
        <v>44</v>
      </c>
      <c r="C462">
        <v>12</v>
      </c>
      <c r="D462" t="s">
        <v>437</v>
      </c>
      <c r="E462" s="217">
        <v>43891</v>
      </c>
      <c r="F462">
        <v>5906</v>
      </c>
      <c r="G462" s="227" t="s">
        <v>127</v>
      </c>
    </row>
    <row r="463" spans="1:7">
      <c r="A463" s="216">
        <v>43891</v>
      </c>
      <c r="B463" t="s">
        <v>44</v>
      </c>
      <c r="C463">
        <v>12</v>
      </c>
      <c r="D463" t="s">
        <v>437</v>
      </c>
      <c r="E463" s="217">
        <v>43891</v>
      </c>
      <c r="F463">
        <v>6133</v>
      </c>
      <c r="G463" s="227" t="s">
        <v>123</v>
      </c>
    </row>
    <row r="464" spans="1:7">
      <c r="A464" s="216">
        <v>43891</v>
      </c>
      <c r="B464" t="s">
        <v>44</v>
      </c>
      <c r="C464">
        <v>12</v>
      </c>
      <c r="D464" t="s">
        <v>437</v>
      </c>
      <c r="E464" s="217">
        <v>43891</v>
      </c>
      <c r="F464">
        <v>5629</v>
      </c>
      <c r="G464" s="227" t="s">
        <v>119</v>
      </c>
    </row>
    <row r="465" spans="1:7">
      <c r="A465" s="216">
        <v>43891</v>
      </c>
      <c r="B465" t="s">
        <v>44</v>
      </c>
      <c r="C465">
        <v>12</v>
      </c>
      <c r="D465" t="s">
        <v>437</v>
      </c>
      <c r="E465" s="217">
        <v>43891</v>
      </c>
      <c r="F465">
        <v>5878</v>
      </c>
      <c r="G465" s="227" t="s">
        <v>88</v>
      </c>
    </row>
    <row r="466" spans="1:7">
      <c r="A466" s="216">
        <v>43891</v>
      </c>
      <c r="B466" t="s">
        <v>44</v>
      </c>
      <c r="C466">
        <v>12</v>
      </c>
      <c r="D466" t="s">
        <v>437</v>
      </c>
      <c r="E466" s="217">
        <v>43891</v>
      </c>
      <c r="F466">
        <v>5563</v>
      </c>
      <c r="G466" s="227" t="s">
        <v>96</v>
      </c>
    </row>
    <row r="467" spans="1:7">
      <c r="A467" s="216">
        <v>43891</v>
      </c>
      <c r="B467" t="s">
        <v>44</v>
      </c>
      <c r="C467">
        <v>12</v>
      </c>
      <c r="D467" t="s">
        <v>437</v>
      </c>
      <c r="E467" s="217">
        <v>43891</v>
      </c>
      <c r="F467">
        <v>4915</v>
      </c>
      <c r="G467" s="227" t="s">
        <v>92</v>
      </c>
    </row>
    <row r="468" spans="1:7">
      <c r="A468" s="216">
        <v>43891</v>
      </c>
      <c r="B468" t="s">
        <v>44</v>
      </c>
      <c r="C468">
        <v>12</v>
      </c>
      <c r="D468" t="s">
        <v>437</v>
      </c>
      <c r="E468" s="217">
        <v>43891</v>
      </c>
      <c r="F468">
        <v>5719</v>
      </c>
      <c r="G468" s="227" t="s">
        <v>110</v>
      </c>
    </row>
    <row r="469" spans="1:7">
      <c r="A469" s="216">
        <v>43891</v>
      </c>
      <c r="B469" t="s">
        <v>44</v>
      </c>
      <c r="C469">
        <v>12</v>
      </c>
      <c r="D469" t="s">
        <v>437</v>
      </c>
      <c r="E469" s="217">
        <v>43891</v>
      </c>
      <c r="F469">
        <v>68221</v>
      </c>
      <c r="G469" s="227" t="s">
        <v>434</v>
      </c>
    </row>
    <row r="470" spans="1:7">
      <c r="A470" s="216">
        <v>43891</v>
      </c>
      <c r="B470" t="s">
        <v>46</v>
      </c>
      <c r="C470">
        <v>4</v>
      </c>
      <c r="D470" t="s">
        <v>442</v>
      </c>
      <c r="E470" s="217">
        <v>43891</v>
      </c>
      <c r="F470">
        <v>75031.162453333294</v>
      </c>
      <c r="G470" s="227" t="s">
        <v>70</v>
      </c>
    </row>
    <row r="471" spans="1:7">
      <c r="A471" s="216">
        <v>43891</v>
      </c>
      <c r="B471" t="s">
        <v>46</v>
      </c>
      <c r="C471">
        <v>4</v>
      </c>
      <c r="D471" t="s">
        <v>442</v>
      </c>
      <c r="E471" s="217">
        <v>43891</v>
      </c>
      <c r="F471">
        <v>75643.290479999996</v>
      </c>
      <c r="G471" s="227" t="s">
        <v>114</v>
      </c>
    </row>
    <row r="472" spans="1:7">
      <c r="A472" s="216">
        <v>43891</v>
      </c>
      <c r="B472" t="s">
        <v>46</v>
      </c>
      <c r="C472">
        <v>4</v>
      </c>
      <c r="D472" t="s">
        <v>442</v>
      </c>
      <c r="E472" s="217">
        <v>43891</v>
      </c>
      <c r="F472">
        <v>71506.472450000001</v>
      </c>
      <c r="G472" s="227" t="s">
        <v>105</v>
      </c>
    </row>
    <row r="473" spans="1:7">
      <c r="A473" s="216">
        <v>43891</v>
      </c>
      <c r="B473" t="s">
        <v>46</v>
      </c>
      <c r="C473">
        <v>4</v>
      </c>
      <c r="D473" t="s">
        <v>442</v>
      </c>
      <c r="E473" s="217">
        <v>43891</v>
      </c>
      <c r="F473">
        <v>78097.099619999994</v>
      </c>
      <c r="G473" s="227" t="s">
        <v>100</v>
      </c>
    </row>
    <row r="474" spans="1:7">
      <c r="A474" s="216">
        <v>43891</v>
      </c>
      <c r="B474" t="s">
        <v>46</v>
      </c>
      <c r="C474">
        <v>4</v>
      </c>
      <c r="D474" t="s">
        <v>442</v>
      </c>
      <c r="E474" s="217">
        <v>43891</v>
      </c>
      <c r="F474">
        <v>75648.67916</v>
      </c>
      <c r="G474" s="227" t="s">
        <v>83</v>
      </c>
    </row>
    <row r="475" spans="1:7">
      <c r="A475" s="216">
        <v>43891</v>
      </c>
      <c r="B475" t="s">
        <v>46</v>
      </c>
      <c r="C475">
        <v>4</v>
      </c>
      <c r="D475" t="s">
        <v>442</v>
      </c>
      <c r="E475" s="217">
        <v>43891</v>
      </c>
      <c r="F475">
        <v>74576.27923</v>
      </c>
      <c r="G475" s="227" t="s">
        <v>127</v>
      </c>
    </row>
    <row r="476" spans="1:7">
      <c r="A476" s="216">
        <v>43891</v>
      </c>
      <c r="B476" t="s">
        <v>46</v>
      </c>
      <c r="C476">
        <v>4</v>
      </c>
      <c r="D476" t="s">
        <v>442</v>
      </c>
      <c r="E476" s="217">
        <v>43891</v>
      </c>
      <c r="F476">
        <v>79532</v>
      </c>
      <c r="G476" s="227" t="s">
        <v>123</v>
      </c>
    </row>
    <row r="477" spans="1:7">
      <c r="A477" s="216">
        <v>43891</v>
      </c>
      <c r="B477" t="s">
        <v>46</v>
      </c>
      <c r="C477">
        <v>4</v>
      </c>
      <c r="D477" t="s">
        <v>442</v>
      </c>
      <c r="E477" s="217">
        <v>43891</v>
      </c>
      <c r="F477">
        <v>76852</v>
      </c>
      <c r="G477" s="227" t="s">
        <v>119</v>
      </c>
    </row>
    <row r="478" spans="1:7">
      <c r="A478" s="216">
        <v>43891</v>
      </c>
      <c r="B478" t="s">
        <v>46</v>
      </c>
      <c r="C478">
        <v>4</v>
      </c>
      <c r="D478" t="s">
        <v>442</v>
      </c>
      <c r="E478" s="217">
        <v>43891</v>
      </c>
      <c r="F478">
        <v>85903</v>
      </c>
      <c r="G478" s="227" t="s">
        <v>88</v>
      </c>
    </row>
    <row r="479" spans="1:7">
      <c r="A479" s="216">
        <v>43891</v>
      </c>
      <c r="B479" t="s">
        <v>46</v>
      </c>
      <c r="C479">
        <v>4</v>
      </c>
      <c r="D479" t="s">
        <v>442</v>
      </c>
      <c r="E479" s="217">
        <v>43891</v>
      </c>
      <c r="F479">
        <v>70393</v>
      </c>
      <c r="G479" s="227" t="s">
        <v>96</v>
      </c>
    </row>
    <row r="480" spans="1:7">
      <c r="A480" s="216">
        <v>43891</v>
      </c>
      <c r="B480" t="s">
        <v>46</v>
      </c>
      <c r="C480">
        <v>4</v>
      </c>
      <c r="D480" t="s">
        <v>442</v>
      </c>
      <c r="E480" s="217">
        <v>43891</v>
      </c>
      <c r="F480">
        <v>82722</v>
      </c>
      <c r="G480" s="227" t="s">
        <v>92</v>
      </c>
    </row>
    <row r="481" spans="1:7">
      <c r="A481" s="216">
        <v>43891</v>
      </c>
      <c r="B481" t="s">
        <v>46</v>
      </c>
      <c r="C481">
        <v>4</v>
      </c>
      <c r="D481" t="s">
        <v>442</v>
      </c>
      <c r="E481" s="217">
        <v>43891</v>
      </c>
      <c r="F481">
        <v>110823</v>
      </c>
      <c r="G481" s="227" t="s">
        <v>110</v>
      </c>
    </row>
    <row r="482" spans="1:7">
      <c r="A482" s="216">
        <v>43891</v>
      </c>
      <c r="B482" t="s">
        <v>46</v>
      </c>
      <c r="C482">
        <v>4</v>
      </c>
      <c r="D482" t="s">
        <v>442</v>
      </c>
      <c r="E482" s="217">
        <v>43891</v>
      </c>
      <c r="F482">
        <v>956727.98339333304</v>
      </c>
      <c r="G482" s="227" t="s">
        <v>434</v>
      </c>
    </row>
    <row r="483" spans="1:7">
      <c r="A483" s="216">
        <v>43891</v>
      </c>
      <c r="B483" t="s">
        <v>46</v>
      </c>
      <c r="C483">
        <v>5</v>
      </c>
      <c r="D483" t="s">
        <v>451</v>
      </c>
      <c r="E483" s="217">
        <v>43891</v>
      </c>
      <c r="F483">
        <v>9943.8469600000008</v>
      </c>
      <c r="G483" s="227" t="s">
        <v>70</v>
      </c>
    </row>
    <row r="484" spans="1:7">
      <c r="A484" s="216">
        <v>43891</v>
      </c>
      <c r="B484" t="s">
        <v>46</v>
      </c>
      <c r="C484">
        <v>5</v>
      </c>
      <c r="D484" t="s">
        <v>451</v>
      </c>
      <c r="E484" s="217">
        <v>43891</v>
      </c>
      <c r="F484">
        <v>9937.1530399999992</v>
      </c>
      <c r="G484" s="227" t="s">
        <v>114</v>
      </c>
    </row>
    <row r="485" spans="1:7">
      <c r="A485" s="216">
        <v>43891</v>
      </c>
      <c r="B485" t="s">
        <v>46</v>
      </c>
      <c r="C485">
        <v>5</v>
      </c>
      <c r="D485" t="s">
        <v>451</v>
      </c>
      <c r="E485" s="217">
        <v>43891</v>
      </c>
      <c r="F485">
        <v>10134.74107</v>
      </c>
      <c r="G485" s="227" t="s">
        <v>105</v>
      </c>
    </row>
    <row r="486" spans="1:7">
      <c r="A486" s="216">
        <v>43891</v>
      </c>
      <c r="B486" t="s">
        <v>46</v>
      </c>
      <c r="C486">
        <v>5</v>
      </c>
      <c r="D486" t="s">
        <v>451</v>
      </c>
      <c r="E486" s="217">
        <v>43891</v>
      </c>
      <c r="F486">
        <v>9889.9639599999991</v>
      </c>
      <c r="G486" s="227" t="s">
        <v>100</v>
      </c>
    </row>
    <row r="487" spans="1:7">
      <c r="A487" s="216">
        <v>43891</v>
      </c>
      <c r="B487" t="s">
        <v>46</v>
      </c>
      <c r="C487">
        <v>5</v>
      </c>
      <c r="D487" t="s">
        <v>451</v>
      </c>
      <c r="E487" s="217">
        <v>43891</v>
      </c>
      <c r="F487">
        <v>10095.69464</v>
      </c>
      <c r="G487" s="227" t="s">
        <v>83</v>
      </c>
    </row>
    <row r="488" spans="1:7">
      <c r="A488" s="216">
        <v>43891</v>
      </c>
      <c r="B488" t="s">
        <v>46</v>
      </c>
      <c r="C488">
        <v>5</v>
      </c>
      <c r="D488" t="s">
        <v>451</v>
      </c>
      <c r="E488" s="217">
        <v>43891</v>
      </c>
      <c r="F488">
        <v>9884.3479999999909</v>
      </c>
      <c r="G488" s="227" t="s">
        <v>127</v>
      </c>
    </row>
    <row r="489" spans="1:7">
      <c r="A489" s="216">
        <v>43891</v>
      </c>
      <c r="B489" t="s">
        <v>46</v>
      </c>
      <c r="C489">
        <v>5</v>
      </c>
      <c r="D489" t="s">
        <v>451</v>
      </c>
      <c r="E489" s="217">
        <v>43891</v>
      </c>
      <c r="F489">
        <v>8924</v>
      </c>
      <c r="G489" s="227" t="s">
        <v>123</v>
      </c>
    </row>
    <row r="490" spans="1:7">
      <c r="A490" s="216">
        <v>43891</v>
      </c>
      <c r="B490" t="s">
        <v>46</v>
      </c>
      <c r="C490">
        <v>5</v>
      </c>
      <c r="D490" t="s">
        <v>451</v>
      </c>
      <c r="E490" s="217">
        <v>43891</v>
      </c>
      <c r="F490">
        <v>9962</v>
      </c>
      <c r="G490" s="227" t="s">
        <v>119</v>
      </c>
    </row>
    <row r="491" spans="1:7">
      <c r="A491" s="216">
        <v>43891</v>
      </c>
      <c r="B491" t="s">
        <v>46</v>
      </c>
      <c r="C491">
        <v>5</v>
      </c>
      <c r="D491" t="s">
        <v>451</v>
      </c>
      <c r="E491" s="217">
        <v>43891</v>
      </c>
      <c r="F491">
        <v>10227</v>
      </c>
      <c r="G491" s="227" t="s">
        <v>88</v>
      </c>
    </row>
    <row r="492" spans="1:7">
      <c r="A492" s="216">
        <v>43891</v>
      </c>
      <c r="B492" t="s">
        <v>46</v>
      </c>
      <c r="C492">
        <v>5</v>
      </c>
      <c r="D492" t="s">
        <v>451</v>
      </c>
      <c r="E492" s="217">
        <v>43891</v>
      </c>
      <c r="F492">
        <v>9734</v>
      </c>
      <c r="G492" s="227" t="s">
        <v>96</v>
      </c>
    </row>
    <row r="493" spans="1:7">
      <c r="A493" s="216">
        <v>43891</v>
      </c>
      <c r="B493" t="s">
        <v>46</v>
      </c>
      <c r="C493">
        <v>5</v>
      </c>
      <c r="D493" t="s">
        <v>451</v>
      </c>
      <c r="E493" s="217">
        <v>43891</v>
      </c>
      <c r="F493">
        <v>10859</v>
      </c>
      <c r="G493" s="227" t="s">
        <v>92</v>
      </c>
    </row>
    <row r="494" spans="1:7">
      <c r="A494" s="216">
        <v>43891</v>
      </c>
      <c r="B494" t="s">
        <v>46</v>
      </c>
      <c r="C494">
        <v>5</v>
      </c>
      <c r="D494" t="s">
        <v>451</v>
      </c>
      <c r="E494" s="217">
        <v>43891</v>
      </c>
      <c r="F494">
        <v>14205</v>
      </c>
      <c r="G494" s="227" t="s">
        <v>110</v>
      </c>
    </row>
    <row r="495" spans="1:7">
      <c r="A495" s="216">
        <v>43891</v>
      </c>
      <c r="B495" t="s">
        <v>46</v>
      </c>
      <c r="C495">
        <v>5</v>
      </c>
      <c r="D495" t="s">
        <v>451</v>
      </c>
      <c r="E495" s="217">
        <v>43891</v>
      </c>
      <c r="F495">
        <v>123796.74767</v>
      </c>
      <c r="G495" s="227" t="s">
        <v>434</v>
      </c>
    </row>
    <row r="496" spans="1:7">
      <c r="A496" s="216">
        <v>43891</v>
      </c>
      <c r="B496" t="s">
        <v>46</v>
      </c>
      <c r="C496">
        <v>6</v>
      </c>
      <c r="D496" t="s">
        <v>450</v>
      </c>
      <c r="E496" s="217">
        <v>43891</v>
      </c>
      <c r="F496">
        <v>5684.9364999999998</v>
      </c>
      <c r="G496" s="227" t="s">
        <v>70</v>
      </c>
    </row>
    <row r="497" spans="1:7">
      <c r="A497" s="216">
        <v>43891</v>
      </c>
      <c r="B497" t="s">
        <v>46</v>
      </c>
      <c r="C497">
        <v>6</v>
      </c>
      <c r="D497" t="s">
        <v>450</v>
      </c>
      <c r="E497" s="217">
        <v>43891</v>
      </c>
      <c r="F497">
        <v>5708.0635000000002</v>
      </c>
      <c r="G497" s="227" t="s">
        <v>114</v>
      </c>
    </row>
    <row r="498" spans="1:7">
      <c r="A498" s="216">
        <v>43891</v>
      </c>
      <c r="B498" t="s">
        <v>46</v>
      </c>
      <c r="C498">
        <v>6</v>
      </c>
      <c r="D498" t="s">
        <v>450</v>
      </c>
      <c r="E498" s="217">
        <v>43891</v>
      </c>
      <c r="F498">
        <v>5629.8719099999998</v>
      </c>
      <c r="G498" s="227" t="s">
        <v>105</v>
      </c>
    </row>
    <row r="499" spans="1:7">
      <c r="A499" s="216">
        <v>43891</v>
      </c>
      <c r="B499" t="s">
        <v>46</v>
      </c>
      <c r="C499">
        <v>6</v>
      </c>
      <c r="D499" t="s">
        <v>450</v>
      </c>
      <c r="E499" s="217">
        <v>43891</v>
      </c>
      <c r="F499">
        <v>5684.9638500000001</v>
      </c>
      <c r="G499" s="227" t="s">
        <v>100</v>
      </c>
    </row>
    <row r="500" spans="1:7">
      <c r="A500" s="216">
        <v>43891</v>
      </c>
      <c r="B500" t="s">
        <v>46</v>
      </c>
      <c r="C500">
        <v>6</v>
      </c>
      <c r="D500" t="s">
        <v>450</v>
      </c>
      <c r="E500" s="217">
        <v>43891</v>
      </c>
      <c r="F500">
        <v>6044.2468099999996</v>
      </c>
      <c r="G500" s="227" t="s">
        <v>83</v>
      </c>
    </row>
    <row r="501" spans="1:7">
      <c r="A501" s="216">
        <v>43891</v>
      </c>
      <c r="B501" t="s">
        <v>46</v>
      </c>
      <c r="C501">
        <v>6</v>
      </c>
      <c r="D501" t="s">
        <v>450</v>
      </c>
      <c r="E501" s="217">
        <v>43891</v>
      </c>
      <c r="F501">
        <v>5716.1748399999997</v>
      </c>
      <c r="G501" s="227" t="s">
        <v>127</v>
      </c>
    </row>
    <row r="502" spans="1:7">
      <c r="A502" s="216">
        <v>43891</v>
      </c>
      <c r="B502" t="s">
        <v>46</v>
      </c>
      <c r="C502">
        <v>6</v>
      </c>
      <c r="D502" t="s">
        <v>450</v>
      </c>
      <c r="E502" s="217">
        <v>43891</v>
      </c>
      <c r="F502">
        <v>7143</v>
      </c>
      <c r="G502" s="227" t="s">
        <v>123</v>
      </c>
    </row>
    <row r="503" spans="1:7">
      <c r="A503" s="216">
        <v>43891</v>
      </c>
      <c r="B503" t="s">
        <v>46</v>
      </c>
      <c r="C503">
        <v>6</v>
      </c>
      <c r="D503" t="s">
        <v>450</v>
      </c>
      <c r="E503" s="217">
        <v>43891</v>
      </c>
      <c r="F503">
        <v>6136</v>
      </c>
      <c r="G503" s="227" t="s">
        <v>119</v>
      </c>
    </row>
    <row r="504" spans="1:7">
      <c r="A504" s="216">
        <v>43891</v>
      </c>
      <c r="B504" t="s">
        <v>46</v>
      </c>
      <c r="C504">
        <v>6</v>
      </c>
      <c r="D504" t="s">
        <v>450</v>
      </c>
      <c r="E504" s="217">
        <v>43891</v>
      </c>
      <c r="F504">
        <v>6113</v>
      </c>
      <c r="G504" s="227" t="s">
        <v>88</v>
      </c>
    </row>
    <row r="505" spans="1:7">
      <c r="A505" s="216">
        <v>43891</v>
      </c>
      <c r="B505" t="s">
        <v>46</v>
      </c>
      <c r="C505">
        <v>6</v>
      </c>
      <c r="D505" t="s">
        <v>450</v>
      </c>
      <c r="E505" s="217">
        <v>43891</v>
      </c>
      <c r="F505">
        <v>6406</v>
      </c>
      <c r="G505" s="227" t="s">
        <v>96</v>
      </c>
    </row>
    <row r="506" spans="1:7">
      <c r="A506" s="216">
        <v>43891</v>
      </c>
      <c r="B506" t="s">
        <v>46</v>
      </c>
      <c r="C506">
        <v>6</v>
      </c>
      <c r="D506" t="s">
        <v>450</v>
      </c>
      <c r="E506" s="217">
        <v>43891</v>
      </c>
      <c r="F506">
        <v>5753</v>
      </c>
      <c r="G506" s="227" t="s">
        <v>92</v>
      </c>
    </row>
    <row r="507" spans="1:7">
      <c r="A507" s="216">
        <v>43891</v>
      </c>
      <c r="B507" t="s">
        <v>46</v>
      </c>
      <c r="C507">
        <v>6</v>
      </c>
      <c r="D507" t="s">
        <v>450</v>
      </c>
      <c r="E507" s="217">
        <v>43891</v>
      </c>
      <c r="F507">
        <v>6671</v>
      </c>
      <c r="G507" s="227" t="s">
        <v>110</v>
      </c>
    </row>
    <row r="508" spans="1:7">
      <c r="A508" s="216">
        <v>43891</v>
      </c>
      <c r="B508" t="s">
        <v>46</v>
      </c>
      <c r="C508">
        <v>6</v>
      </c>
      <c r="D508" t="s">
        <v>450</v>
      </c>
      <c r="E508" s="217">
        <v>43891</v>
      </c>
      <c r="F508">
        <v>72690.257410000006</v>
      </c>
      <c r="G508" s="227" t="s">
        <v>434</v>
      </c>
    </row>
    <row r="509" spans="1:7">
      <c r="A509" s="216">
        <v>43891</v>
      </c>
      <c r="B509" t="s">
        <v>46</v>
      </c>
      <c r="C509">
        <v>7</v>
      </c>
      <c r="D509" t="s">
        <v>433</v>
      </c>
      <c r="E509" s="217">
        <v>43891</v>
      </c>
      <c r="F509">
        <v>35605.365539999999</v>
      </c>
      <c r="G509" s="227" t="s">
        <v>70</v>
      </c>
    </row>
    <row r="510" spans="1:7">
      <c r="A510" s="216">
        <v>43891</v>
      </c>
      <c r="B510" t="s">
        <v>46</v>
      </c>
      <c r="C510">
        <v>7</v>
      </c>
      <c r="D510" t="s">
        <v>433</v>
      </c>
      <c r="E510" s="217">
        <v>43891</v>
      </c>
      <c r="F510">
        <v>34579</v>
      </c>
      <c r="G510" s="227" t="s">
        <v>114</v>
      </c>
    </row>
    <row r="511" spans="1:7">
      <c r="A511" s="216">
        <v>43891</v>
      </c>
      <c r="B511" t="s">
        <v>46</v>
      </c>
      <c r="C511">
        <v>7</v>
      </c>
      <c r="D511" t="s">
        <v>433</v>
      </c>
      <c r="E511" s="217">
        <v>43891</v>
      </c>
      <c r="F511">
        <v>34024.898699999998</v>
      </c>
      <c r="G511" s="227" t="s">
        <v>105</v>
      </c>
    </row>
    <row r="512" spans="1:7">
      <c r="A512" s="216">
        <v>43891</v>
      </c>
      <c r="B512" t="s">
        <v>46</v>
      </c>
      <c r="C512">
        <v>7</v>
      </c>
      <c r="D512" t="s">
        <v>433</v>
      </c>
      <c r="E512" s="217">
        <v>43891</v>
      </c>
      <c r="F512">
        <v>34108.992899999997</v>
      </c>
      <c r="G512" s="227" t="s">
        <v>100</v>
      </c>
    </row>
    <row r="513" spans="1:7">
      <c r="A513" s="216">
        <v>43891</v>
      </c>
      <c r="B513" t="s">
        <v>46</v>
      </c>
      <c r="C513">
        <v>7</v>
      </c>
      <c r="D513" t="s">
        <v>433</v>
      </c>
      <c r="E513" s="217">
        <v>43891</v>
      </c>
      <c r="F513">
        <v>34464.784509999998</v>
      </c>
      <c r="G513" s="227" t="s">
        <v>83</v>
      </c>
    </row>
    <row r="514" spans="1:7">
      <c r="A514" s="216">
        <v>43891</v>
      </c>
      <c r="B514" t="s">
        <v>46</v>
      </c>
      <c r="C514">
        <v>7</v>
      </c>
      <c r="D514" t="s">
        <v>433</v>
      </c>
      <c r="E514" s="217">
        <v>43891</v>
      </c>
      <c r="F514">
        <v>34553</v>
      </c>
      <c r="G514" s="227" t="s">
        <v>127</v>
      </c>
    </row>
    <row r="515" spans="1:7">
      <c r="A515" s="216">
        <v>43891</v>
      </c>
      <c r="B515" t="s">
        <v>46</v>
      </c>
      <c r="C515">
        <v>7</v>
      </c>
      <c r="D515" t="s">
        <v>433</v>
      </c>
      <c r="E515" s="217">
        <v>43891</v>
      </c>
      <c r="F515">
        <v>35827</v>
      </c>
      <c r="G515" s="227" t="s">
        <v>123</v>
      </c>
    </row>
    <row r="516" spans="1:7">
      <c r="A516" s="216">
        <v>43891</v>
      </c>
      <c r="B516" t="s">
        <v>46</v>
      </c>
      <c r="C516">
        <v>7</v>
      </c>
      <c r="D516" t="s">
        <v>433</v>
      </c>
      <c r="E516" s="217">
        <v>43891</v>
      </c>
      <c r="F516">
        <v>35093</v>
      </c>
      <c r="G516" s="227" t="s">
        <v>119</v>
      </c>
    </row>
    <row r="517" spans="1:7">
      <c r="A517" s="216">
        <v>43891</v>
      </c>
      <c r="B517" t="s">
        <v>46</v>
      </c>
      <c r="C517">
        <v>7</v>
      </c>
      <c r="D517" t="s">
        <v>433</v>
      </c>
      <c r="E517" s="217">
        <v>43891</v>
      </c>
      <c r="F517">
        <v>34770</v>
      </c>
      <c r="G517" s="227" t="s">
        <v>88</v>
      </c>
    </row>
    <row r="518" spans="1:7">
      <c r="A518" s="216">
        <v>43891</v>
      </c>
      <c r="B518" t="s">
        <v>46</v>
      </c>
      <c r="C518">
        <v>7</v>
      </c>
      <c r="D518" t="s">
        <v>433</v>
      </c>
      <c r="E518" s="217">
        <v>43891</v>
      </c>
      <c r="F518">
        <v>35027</v>
      </c>
      <c r="G518" s="227" t="s">
        <v>96</v>
      </c>
    </row>
    <row r="519" spans="1:7">
      <c r="A519" s="216">
        <v>43891</v>
      </c>
      <c r="B519" t="s">
        <v>46</v>
      </c>
      <c r="C519">
        <v>7</v>
      </c>
      <c r="D519" t="s">
        <v>433</v>
      </c>
      <c r="E519" s="217">
        <v>43891</v>
      </c>
      <c r="F519">
        <v>36095</v>
      </c>
      <c r="G519" s="227" t="s">
        <v>92</v>
      </c>
    </row>
    <row r="520" spans="1:7">
      <c r="A520" s="216">
        <v>43891</v>
      </c>
      <c r="B520" t="s">
        <v>46</v>
      </c>
      <c r="C520">
        <v>7</v>
      </c>
      <c r="D520" t="s">
        <v>433</v>
      </c>
      <c r="E520" s="217">
        <v>43891</v>
      </c>
      <c r="F520">
        <v>54542</v>
      </c>
      <c r="G520" s="227" t="s">
        <v>110</v>
      </c>
    </row>
    <row r="521" spans="1:7">
      <c r="A521" s="216">
        <v>43891</v>
      </c>
      <c r="B521" t="s">
        <v>46</v>
      </c>
      <c r="C521">
        <v>7</v>
      </c>
      <c r="D521" t="s">
        <v>433</v>
      </c>
      <c r="E521" s="217">
        <v>43891</v>
      </c>
      <c r="F521">
        <v>438690.04165000003</v>
      </c>
      <c r="G521" s="227" t="s">
        <v>434</v>
      </c>
    </row>
    <row r="522" spans="1:7">
      <c r="A522" s="216">
        <v>43891</v>
      </c>
      <c r="B522" t="s">
        <v>46</v>
      </c>
      <c r="C522">
        <v>8</v>
      </c>
      <c r="D522" t="s">
        <v>445</v>
      </c>
      <c r="E522" s="217">
        <v>43891</v>
      </c>
      <c r="F522">
        <v>5865.7126600000001</v>
      </c>
      <c r="G522" s="227" t="s">
        <v>70</v>
      </c>
    </row>
    <row r="523" spans="1:7">
      <c r="A523" s="216">
        <v>43891</v>
      </c>
      <c r="B523" t="s">
        <v>46</v>
      </c>
      <c r="C523">
        <v>8</v>
      </c>
      <c r="D523" t="s">
        <v>445</v>
      </c>
      <c r="E523" s="217">
        <v>43891</v>
      </c>
      <c r="F523">
        <v>6605</v>
      </c>
      <c r="G523" s="227" t="s">
        <v>114</v>
      </c>
    </row>
    <row r="524" spans="1:7">
      <c r="A524" s="216">
        <v>43891</v>
      </c>
      <c r="B524" t="s">
        <v>46</v>
      </c>
      <c r="C524">
        <v>8</v>
      </c>
      <c r="D524" t="s">
        <v>445</v>
      </c>
      <c r="E524" s="217">
        <v>43891</v>
      </c>
      <c r="F524">
        <v>5449.0097599999999</v>
      </c>
      <c r="G524" s="227" t="s">
        <v>105</v>
      </c>
    </row>
    <row r="525" spans="1:7">
      <c r="A525" s="216">
        <v>43891</v>
      </c>
      <c r="B525" t="s">
        <v>46</v>
      </c>
      <c r="C525">
        <v>8</v>
      </c>
      <c r="D525" t="s">
        <v>445</v>
      </c>
      <c r="E525" s="217">
        <v>43891</v>
      </c>
      <c r="F525">
        <v>7001.8401000000003</v>
      </c>
      <c r="G525" s="227" t="s">
        <v>100</v>
      </c>
    </row>
    <row r="526" spans="1:7">
      <c r="A526" s="216">
        <v>43891</v>
      </c>
      <c r="B526" t="s">
        <v>46</v>
      </c>
      <c r="C526">
        <v>8</v>
      </c>
      <c r="D526" t="s">
        <v>445</v>
      </c>
      <c r="E526" s="217">
        <v>43891</v>
      </c>
      <c r="F526">
        <v>5841.2601299999997</v>
      </c>
      <c r="G526" s="227" t="s">
        <v>83</v>
      </c>
    </row>
    <row r="527" spans="1:7">
      <c r="A527" s="216">
        <v>43891</v>
      </c>
      <c r="B527" t="s">
        <v>46</v>
      </c>
      <c r="C527">
        <v>8</v>
      </c>
      <c r="D527" t="s">
        <v>445</v>
      </c>
      <c r="E527" s="217">
        <v>43891</v>
      </c>
      <c r="F527">
        <v>4829.9059200000002</v>
      </c>
      <c r="G527" s="227" t="s">
        <v>127</v>
      </c>
    </row>
    <row r="528" spans="1:7">
      <c r="A528" s="216">
        <v>43891</v>
      </c>
      <c r="B528" t="s">
        <v>46</v>
      </c>
      <c r="C528">
        <v>8</v>
      </c>
      <c r="D528" t="s">
        <v>445</v>
      </c>
      <c r="E528" s="217">
        <v>43891</v>
      </c>
      <c r="F528">
        <v>6678</v>
      </c>
      <c r="G528" s="227" t="s">
        <v>123</v>
      </c>
    </row>
    <row r="529" spans="1:7">
      <c r="A529" s="216">
        <v>43891</v>
      </c>
      <c r="B529" t="s">
        <v>46</v>
      </c>
      <c r="C529">
        <v>8</v>
      </c>
      <c r="D529" t="s">
        <v>445</v>
      </c>
      <c r="E529" s="217">
        <v>43891</v>
      </c>
      <c r="F529">
        <v>6750</v>
      </c>
      <c r="G529" s="227" t="s">
        <v>119</v>
      </c>
    </row>
    <row r="530" spans="1:7">
      <c r="A530" s="216">
        <v>43891</v>
      </c>
      <c r="B530" t="s">
        <v>46</v>
      </c>
      <c r="C530">
        <v>8</v>
      </c>
      <c r="D530" t="s">
        <v>445</v>
      </c>
      <c r="E530" s="217">
        <v>43891</v>
      </c>
      <c r="F530">
        <v>6274</v>
      </c>
      <c r="G530" s="227" t="s">
        <v>88</v>
      </c>
    </row>
    <row r="531" spans="1:7">
      <c r="A531" s="216">
        <v>43891</v>
      </c>
      <c r="B531" t="s">
        <v>46</v>
      </c>
      <c r="C531">
        <v>8</v>
      </c>
      <c r="D531" t="s">
        <v>445</v>
      </c>
      <c r="E531" s="217">
        <v>43891</v>
      </c>
      <c r="F531">
        <v>7272</v>
      </c>
      <c r="G531" s="227" t="s">
        <v>96</v>
      </c>
    </row>
    <row r="532" spans="1:7">
      <c r="A532" s="216">
        <v>43891</v>
      </c>
      <c r="B532" t="s">
        <v>46</v>
      </c>
      <c r="C532">
        <v>8</v>
      </c>
      <c r="D532" t="s">
        <v>445</v>
      </c>
      <c r="E532" s="217">
        <v>43891</v>
      </c>
      <c r="F532">
        <v>10262</v>
      </c>
      <c r="G532" s="227" t="s">
        <v>92</v>
      </c>
    </row>
    <row r="533" spans="1:7">
      <c r="A533" s="216">
        <v>43891</v>
      </c>
      <c r="B533" t="s">
        <v>46</v>
      </c>
      <c r="C533">
        <v>8</v>
      </c>
      <c r="D533" t="s">
        <v>445</v>
      </c>
      <c r="E533" s="217">
        <v>43891</v>
      </c>
      <c r="F533">
        <v>13215</v>
      </c>
      <c r="G533" s="227" t="s">
        <v>110</v>
      </c>
    </row>
    <row r="534" spans="1:7">
      <c r="A534" s="216">
        <v>43891</v>
      </c>
      <c r="B534" t="s">
        <v>46</v>
      </c>
      <c r="C534">
        <v>8</v>
      </c>
      <c r="D534" t="s">
        <v>445</v>
      </c>
      <c r="E534" s="217">
        <v>43891</v>
      </c>
      <c r="F534">
        <v>86043.728570000007</v>
      </c>
      <c r="G534" s="227" t="s">
        <v>434</v>
      </c>
    </row>
    <row r="535" spans="1:7">
      <c r="A535" s="216">
        <v>43891</v>
      </c>
      <c r="B535" t="s">
        <v>46</v>
      </c>
      <c r="C535">
        <v>9</v>
      </c>
      <c r="D535" t="s">
        <v>454</v>
      </c>
      <c r="E535" s="217">
        <v>43891</v>
      </c>
      <c r="F535">
        <v>3579.1733599999998</v>
      </c>
      <c r="G535" s="227" t="s">
        <v>70</v>
      </c>
    </row>
    <row r="536" spans="1:7">
      <c r="A536" s="216">
        <v>43891</v>
      </c>
      <c r="B536" t="s">
        <v>46</v>
      </c>
      <c r="C536">
        <v>9</v>
      </c>
      <c r="D536" t="s">
        <v>454</v>
      </c>
      <c r="E536" s="217">
        <v>43891</v>
      </c>
      <c r="F536">
        <v>3380.8266400000002</v>
      </c>
      <c r="G536" s="227" t="s">
        <v>114</v>
      </c>
    </row>
    <row r="537" spans="1:7">
      <c r="A537" s="216">
        <v>43891</v>
      </c>
      <c r="B537" t="s">
        <v>46</v>
      </c>
      <c r="C537">
        <v>9</v>
      </c>
      <c r="D537" t="s">
        <v>454</v>
      </c>
      <c r="E537" s="217">
        <v>43891</v>
      </c>
      <c r="F537">
        <v>3340.87354</v>
      </c>
      <c r="G537" s="227" t="s">
        <v>105</v>
      </c>
    </row>
    <row r="538" spans="1:7">
      <c r="A538" s="216">
        <v>43891</v>
      </c>
      <c r="B538" t="s">
        <v>46</v>
      </c>
      <c r="C538">
        <v>9</v>
      </c>
      <c r="D538" t="s">
        <v>454</v>
      </c>
      <c r="E538" s="217">
        <v>43891</v>
      </c>
      <c r="F538">
        <v>3429.1384600000001</v>
      </c>
      <c r="G538" s="227" t="s">
        <v>100</v>
      </c>
    </row>
    <row r="539" spans="1:7">
      <c r="A539" s="216">
        <v>43891</v>
      </c>
      <c r="B539" t="s">
        <v>46</v>
      </c>
      <c r="C539">
        <v>9</v>
      </c>
      <c r="D539" t="s">
        <v>454</v>
      </c>
      <c r="E539" s="217">
        <v>43891</v>
      </c>
      <c r="F539">
        <v>3960.1163900000001</v>
      </c>
      <c r="G539" s="227" t="s">
        <v>83</v>
      </c>
    </row>
    <row r="540" spans="1:7">
      <c r="A540" s="216">
        <v>43891</v>
      </c>
      <c r="B540" t="s">
        <v>46</v>
      </c>
      <c r="C540">
        <v>9</v>
      </c>
      <c r="D540" t="s">
        <v>454</v>
      </c>
      <c r="E540" s="217">
        <v>43891</v>
      </c>
      <c r="F540">
        <v>3313.8983499999999</v>
      </c>
      <c r="G540" s="227" t="s">
        <v>127</v>
      </c>
    </row>
    <row r="541" spans="1:7">
      <c r="A541" s="216">
        <v>43891</v>
      </c>
      <c r="B541" t="s">
        <v>46</v>
      </c>
      <c r="C541">
        <v>9</v>
      </c>
      <c r="D541" t="s">
        <v>454</v>
      </c>
      <c r="E541" s="217">
        <v>43891</v>
      </c>
      <c r="F541">
        <v>3606</v>
      </c>
      <c r="G541" s="227" t="s">
        <v>123</v>
      </c>
    </row>
    <row r="542" spans="1:7">
      <c r="A542" s="216">
        <v>43891</v>
      </c>
      <c r="B542" t="s">
        <v>46</v>
      </c>
      <c r="C542">
        <v>9</v>
      </c>
      <c r="D542" t="s">
        <v>454</v>
      </c>
      <c r="E542" s="217">
        <v>43891</v>
      </c>
      <c r="F542">
        <v>3461</v>
      </c>
      <c r="G542" s="227" t="s">
        <v>119</v>
      </c>
    </row>
    <row r="543" spans="1:7">
      <c r="A543" s="216">
        <v>43891</v>
      </c>
      <c r="B543" t="s">
        <v>46</v>
      </c>
      <c r="C543">
        <v>9</v>
      </c>
      <c r="D543" t="s">
        <v>454</v>
      </c>
      <c r="E543" s="217">
        <v>43891</v>
      </c>
      <c r="F543">
        <v>3856</v>
      </c>
      <c r="G543" s="227" t="s">
        <v>88</v>
      </c>
    </row>
    <row r="544" spans="1:7">
      <c r="A544" s="216">
        <v>43891</v>
      </c>
      <c r="B544" t="s">
        <v>46</v>
      </c>
      <c r="C544">
        <v>9</v>
      </c>
      <c r="D544" t="s">
        <v>454</v>
      </c>
      <c r="E544" s="217">
        <v>43891</v>
      </c>
      <c r="F544">
        <v>4009</v>
      </c>
      <c r="G544" s="227" t="s">
        <v>96</v>
      </c>
    </row>
    <row r="545" spans="1:7">
      <c r="A545" s="216">
        <v>43891</v>
      </c>
      <c r="B545" t="s">
        <v>46</v>
      </c>
      <c r="C545">
        <v>9</v>
      </c>
      <c r="D545" t="s">
        <v>454</v>
      </c>
      <c r="E545" s="217">
        <v>43891</v>
      </c>
      <c r="F545">
        <v>3222</v>
      </c>
      <c r="G545" s="227" t="s">
        <v>92</v>
      </c>
    </row>
    <row r="546" spans="1:7">
      <c r="A546" s="216">
        <v>43891</v>
      </c>
      <c r="B546" t="s">
        <v>46</v>
      </c>
      <c r="C546">
        <v>9</v>
      </c>
      <c r="D546" t="s">
        <v>454</v>
      </c>
      <c r="E546" s="217">
        <v>43891</v>
      </c>
      <c r="F546">
        <v>4600</v>
      </c>
      <c r="G546" s="227" t="s">
        <v>110</v>
      </c>
    </row>
    <row r="547" spans="1:7">
      <c r="A547" s="216">
        <v>43891</v>
      </c>
      <c r="B547" t="s">
        <v>46</v>
      </c>
      <c r="C547">
        <v>9</v>
      </c>
      <c r="D547" t="s">
        <v>454</v>
      </c>
      <c r="E547" s="217">
        <v>43891</v>
      </c>
      <c r="F547">
        <v>43758.026740000001</v>
      </c>
      <c r="G547" s="227" t="s">
        <v>434</v>
      </c>
    </row>
    <row r="548" spans="1:7">
      <c r="A548" s="216">
        <v>43891</v>
      </c>
      <c r="B548" t="s">
        <v>46</v>
      </c>
      <c r="C548">
        <v>10</v>
      </c>
      <c r="D548" t="s">
        <v>441</v>
      </c>
      <c r="E548" s="217">
        <v>43891</v>
      </c>
      <c r="F548">
        <v>11401.5746</v>
      </c>
      <c r="G548" s="227" t="s">
        <v>70</v>
      </c>
    </row>
    <row r="549" spans="1:7">
      <c r="A549" s="216">
        <v>43891</v>
      </c>
      <c r="B549" t="s">
        <v>46</v>
      </c>
      <c r="C549">
        <v>10</v>
      </c>
      <c r="D549" t="s">
        <v>441</v>
      </c>
      <c r="E549" s="217">
        <v>43891</v>
      </c>
      <c r="F549">
        <v>12643.4254</v>
      </c>
      <c r="G549" s="227" t="s">
        <v>114</v>
      </c>
    </row>
    <row r="550" spans="1:7">
      <c r="A550" s="216">
        <v>43891</v>
      </c>
      <c r="B550" t="s">
        <v>46</v>
      </c>
      <c r="C550">
        <v>10</v>
      </c>
      <c r="D550" t="s">
        <v>441</v>
      </c>
      <c r="E550" s="217">
        <v>43891</v>
      </c>
      <c r="F550">
        <v>11695.21024</v>
      </c>
      <c r="G550" s="227" t="s">
        <v>105</v>
      </c>
    </row>
    <row r="551" spans="1:7">
      <c r="A551" s="216">
        <v>43891</v>
      </c>
      <c r="B551" t="s">
        <v>46</v>
      </c>
      <c r="C551">
        <v>10</v>
      </c>
      <c r="D551" t="s">
        <v>441</v>
      </c>
      <c r="E551" s="217">
        <v>43891</v>
      </c>
      <c r="F551">
        <v>11484.97782</v>
      </c>
      <c r="G551" s="227" t="s">
        <v>100</v>
      </c>
    </row>
    <row r="552" spans="1:7">
      <c r="A552" s="216">
        <v>43891</v>
      </c>
      <c r="B552" t="s">
        <v>46</v>
      </c>
      <c r="C552">
        <v>10</v>
      </c>
      <c r="D552" t="s">
        <v>441</v>
      </c>
      <c r="E552" s="217">
        <v>43891</v>
      </c>
      <c r="F552">
        <v>11583.616459999999</v>
      </c>
      <c r="G552" s="227" t="s">
        <v>83</v>
      </c>
    </row>
    <row r="553" spans="1:7">
      <c r="A553" s="216">
        <v>43891</v>
      </c>
      <c r="B553" t="s">
        <v>46</v>
      </c>
      <c r="C553">
        <v>10</v>
      </c>
      <c r="D553" t="s">
        <v>441</v>
      </c>
      <c r="E553" s="217">
        <v>43891</v>
      </c>
      <c r="F553">
        <v>12333.440329999999</v>
      </c>
      <c r="G553" s="227" t="s">
        <v>127</v>
      </c>
    </row>
    <row r="554" spans="1:7">
      <c r="A554" s="216">
        <v>43891</v>
      </c>
      <c r="B554" t="s">
        <v>46</v>
      </c>
      <c r="C554">
        <v>10</v>
      </c>
      <c r="D554" t="s">
        <v>441</v>
      </c>
      <c r="E554" s="217">
        <v>43891</v>
      </c>
      <c r="F554">
        <v>11685</v>
      </c>
      <c r="G554" s="227" t="s">
        <v>123</v>
      </c>
    </row>
    <row r="555" spans="1:7">
      <c r="A555" s="216">
        <v>43891</v>
      </c>
      <c r="B555" t="s">
        <v>46</v>
      </c>
      <c r="C555">
        <v>10</v>
      </c>
      <c r="D555" t="s">
        <v>441</v>
      </c>
      <c r="E555" s="217">
        <v>43891</v>
      </c>
      <c r="F555">
        <v>12771</v>
      </c>
      <c r="G555" s="227" t="s">
        <v>119</v>
      </c>
    </row>
    <row r="556" spans="1:7">
      <c r="A556" s="216">
        <v>43891</v>
      </c>
      <c r="B556" t="s">
        <v>46</v>
      </c>
      <c r="C556">
        <v>10</v>
      </c>
      <c r="D556" t="s">
        <v>441</v>
      </c>
      <c r="E556" s="217">
        <v>43891</v>
      </c>
      <c r="F556">
        <v>11612</v>
      </c>
      <c r="G556" s="227" t="s">
        <v>88</v>
      </c>
    </row>
    <row r="557" spans="1:7">
      <c r="A557" s="216">
        <v>43891</v>
      </c>
      <c r="B557" t="s">
        <v>46</v>
      </c>
      <c r="C557">
        <v>10</v>
      </c>
      <c r="D557" t="s">
        <v>441</v>
      </c>
      <c r="E557" s="217">
        <v>43891</v>
      </c>
      <c r="F557">
        <v>12604</v>
      </c>
      <c r="G557" s="227" t="s">
        <v>96</v>
      </c>
    </row>
    <row r="558" spans="1:7">
      <c r="A558" s="216">
        <v>43891</v>
      </c>
      <c r="B558" t="s">
        <v>46</v>
      </c>
      <c r="C558">
        <v>10</v>
      </c>
      <c r="D558" t="s">
        <v>441</v>
      </c>
      <c r="E558" s="217">
        <v>43891</v>
      </c>
      <c r="F558">
        <v>11990</v>
      </c>
      <c r="G558" s="227" t="s">
        <v>92</v>
      </c>
    </row>
    <row r="559" spans="1:7">
      <c r="A559" s="216">
        <v>43891</v>
      </c>
      <c r="B559" t="s">
        <v>46</v>
      </c>
      <c r="C559">
        <v>10</v>
      </c>
      <c r="D559" t="s">
        <v>441</v>
      </c>
      <c r="E559" s="217">
        <v>43891</v>
      </c>
      <c r="F559">
        <v>10292</v>
      </c>
      <c r="G559" s="227" t="s">
        <v>110</v>
      </c>
    </row>
    <row r="560" spans="1:7">
      <c r="A560" s="216">
        <v>43891</v>
      </c>
      <c r="B560" t="s">
        <v>46</v>
      </c>
      <c r="C560">
        <v>10</v>
      </c>
      <c r="D560" t="s">
        <v>441</v>
      </c>
      <c r="E560" s="217">
        <v>43891</v>
      </c>
      <c r="F560">
        <v>142096.24484999999</v>
      </c>
      <c r="G560" s="227" t="s">
        <v>434</v>
      </c>
    </row>
    <row r="561" spans="1:7">
      <c r="A561" s="216">
        <v>43891</v>
      </c>
      <c r="B561" t="s">
        <v>46</v>
      </c>
      <c r="C561">
        <v>11</v>
      </c>
      <c r="D561" t="s">
        <v>447</v>
      </c>
      <c r="E561" s="217">
        <v>43891</v>
      </c>
      <c r="F561">
        <v>10</v>
      </c>
      <c r="G561" s="227" t="s">
        <v>70</v>
      </c>
    </row>
    <row r="562" spans="1:7">
      <c r="A562" s="216">
        <v>43891</v>
      </c>
      <c r="B562" t="s">
        <v>46</v>
      </c>
      <c r="C562">
        <v>11</v>
      </c>
      <c r="D562" t="s">
        <v>447</v>
      </c>
      <c r="E562" s="217">
        <v>43891</v>
      </c>
      <c r="F562">
        <v>5</v>
      </c>
      <c r="G562" s="227" t="s">
        <v>114</v>
      </c>
    </row>
    <row r="563" spans="1:7">
      <c r="A563" s="216">
        <v>43891</v>
      </c>
      <c r="B563" t="s">
        <v>46</v>
      </c>
      <c r="C563">
        <v>11</v>
      </c>
      <c r="D563" t="s">
        <v>447</v>
      </c>
      <c r="E563" s="217">
        <v>43891</v>
      </c>
      <c r="F563">
        <v>7.5</v>
      </c>
      <c r="G563" s="227" t="s">
        <v>105</v>
      </c>
    </row>
    <row r="564" spans="1:7">
      <c r="A564" s="216">
        <v>43891</v>
      </c>
      <c r="B564" t="s">
        <v>46</v>
      </c>
      <c r="C564">
        <v>11</v>
      </c>
      <c r="D564" t="s">
        <v>447</v>
      </c>
      <c r="E564" s="217">
        <v>43891</v>
      </c>
      <c r="F564">
        <v>-0.157499999999999</v>
      </c>
      <c r="G564" s="227" t="s">
        <v>100</v>
      </c>
    </row>
    <row r="565" spans="1:7">
      <c r="A565" s="216">
        <v>43891</v>
      </c>
      <c r="B565" t="s">
        <v>46</v>
      </c>
      <c r="C565">
        <v>11</v>
      </c>
      <c r="D565" t="s">
        <v>447</v>
      </c>
      <c r="E565" s="217">
        <v>43891</v>
      </c>
      <c r="F565">
        <v>0</v>
      </c>
      <c r="G565" s="227" t="s">
        <v>83</v>
      </c>
    </row>
    <row r="566" spans="1:7">
      <c r="A566" s="216">
        <v>43891</v>
      </c>
      <c r="B566" t="s">
        <v>46</v>
      </c>
      <c r="C566">
        <v>11</v>
      </c>
      <c r="D566" t="s">
        <v>447</v>
      </c>
      <c r="E566" s="217">
        <v>43891</v>
      </c>
      <c r="F566">
        <v>18.293890000000001</v>
      </c>
      <c r="G566" s="227" t="s">
        <v>127</v>
      </c>
    </row>
    <row r="567" spans="1:7">
      <c r="A567" s="216">
        <v>43891</v>
      </c>
      <c r="B567" t="s">
        <v>46</v>
      </c>
      <c r="C567">
        <v>11</v>
      </c>
      <c r="D567" t="s">
        <v>447</v>
      </c>
      <c r="E567" s="217">
        <v>43891</v>
      </c>
      <c r="F567">
        <v>7</v>
      </c>
      <c r="G567" s="227" t="s">
        <v>123</v>
      </c>
    </row>
    <row r="568" spans="1:7">
      <c r="A568" s="216">
        <v>43891</v>
      </c>
      <c r="B568" t="s">
        <v>46</v>
      </c>
      <c r="C568">
        <v>11</v>
      </c>
      <c r="D568" t="s">
        <v>447</v>
      </c>
      <c r="E568" s="217">
        <v>43891</v>
      </c>
      <c r="F568">
        <v>0</v>
      </c>
      <c r="G568" s="227" t="s">
        <v>119</v>
      </c>
    </row>
    <row r="569" spans="1:7">
      <c r="A569" s="216">
        <v>43891</v>
      </c>
      <c r="B569" t="s">
        <v>46</v>
      </c>
      <c r="C569">
        <v>11</v>
      </c>
      <c r="D569" t="s">
        <v>447</v>
      </c>
      <c r="E569" s="217">
        <v>43891</v>
      </c>
      <c r="F569">
        <v>14</v>
      </c>
      <c r="G569" s="227" t="s">
        <v>88</v>
      </c>
    </row>
    <row r="570" spans="1:7">
      <c r="A570" s="216">
        <v>43891</v>
      </c>
      <c r="B570" t="s">
        <v>46</v>
      </c>
      <c r="C570">
        <v>11</v>
      </c>
      <c r="D570" t="s">
        <v>447</v>
      </c>
      <c r="E570" s="217">
        <v>43891</v>
      </c>
      <c r="F570">
        <v>11</v>
      </c>
      <c r="G570" s="227" t="s">
        <v>96</v>
      </c>
    </row>
    <row r="571" spans="1:7">
      <c r="A571" s="216">
        <v>43891</v>
      </c>
      <c r="B571" t="s">
        <v>46</v>
      </c>
      <c r="C571">
        <v>11</v>
      </c>
      <c r="D571" t="s">
        <v>447</v>
      </c>
      <c r="E571" s="217">
        <v>43891</v>
      </c>
      <c r="F571">
        <v>10</v>
      </c>
      <c r="G571" s="227" t="s">
        <v>92</v>
      </c>
    </row>
    <row r="572" spans="1:7">
      <c r="A572" s="216">
        <v>43891</v>
      </c>
      <c r="B572" t="s">
        <v>46</v>
      </c>
      <c r="C572">
        <v>11</v>
      </c>
      <c r="D572" t="s">
        <v>447</v>
      </c>
      <c r="E572" s="217">
        <v>43891</v>
      </c>
      <c r="F572">
        <v>13</v>
      </c>
      <c r="G572" s="227" t="s">
        <v>110</v>
      </c>
    </row>
    <row r="573" spans="1:7">
      <c r="A573" s="216">
        <v>43891</v>
      </c>
      <c r="B573" t="s">
        <v>46</v>
      </c>
      <c r="C573">
        <v>11</v>
      </c>
      <c r="D573" t="s">
        <v>447</v>
      </c>
      <c r="E573" s="217">
        <v>43891</v>
      </c>
      <c r="F573">
        <v>95.636390000000006</v>
      </c>
      <c r="G573" s="227" t="s">
        <v>434</v>
      </c>
    </row>
    <row r="574" spans="1:7">
      <c r="A574" s="216">
        <v>43891</v>
      </c>
      <c r="B574" t="s">
        <v>46</v>
      </c>
      <c r="C574">
        <v>12</v>
      </c>
      <c r="D574" t="s">
        <v>437</v>
      </c>
      <c r="E574" s="217">
        <v>43891</v>
      </c>
      <c r="F574">
        <v>3990.0889999999999</v>
      </c>
      <c r="G574" s="227" t="s">
        <v>70</v>
      </c>
    </row>
    <row r="575" spans="1:7">
      <c r="A575" s="216">
        <v>43891</v>
      </c>
      <c r="B575" t="s">
        <v>46</v>
      </c>
      <c r="C575">
        <v>12</v>
      </c>
      <c r="D575" t="s">
        <v>437</v>
      </c>
      <c r="E575" s="217">
        <v>43891</v>
      </c>
      <c r="F575">
        <v>4000.9110000000001</v>
      </c>
      <c r="G575" s="227" t="s">
        <v>114</v>
      </c>
    </row>
    <row r="576" spans="1:7">
      <c r="A576" s="216">
        <v>43891</v>
      </c>
      <c r="B576" t="s">
        <v>46</v>
      </c>
      <c r="C576">
        <v>12</v>
      </c>
      <c r="D576" t="s">
        <v>437</v>
      </c>
      <c r="E576" s="217">
        <v>43891</v>
      </c>
      <c r="F576">
        <v>3958.9671899999998</v>
      </c>
      <c r="G576" s="227" t="s">
        <v>105</v>
      </c>
    </row>
    <row r="577" spans="1:7">
      <c r="A577" s="216">
        <v>43891</v>
      </c>
      <c r="B577" t="s">
        <v>46</v>
      </c>
      <c r="C577">
        <v>12</v>
      </c>
      <c r="D577" t="s">
        <v>437</v>
      </c>
      <c r="E577" s="217">
        <v>43891</v>
      </c>
      <c r="F577">
        <v>4085.6318200000001</v>
      </c>
      <c r="G577" s="227" t="s">
        <v>100</v>
      </c>
    </row>
    <row r="578" spans="1:7">
      <c r="A578" s="216">
        <v>43891</v>
      </c>
      <c r="B578" t="s">
        <v>46</v>
      </c>
      <c r="C578">
        <v>12</v>
      </c>
      <c r="D578" t="s">
        <v>437</v>
      </c>
      <c r="E578" s="217">
        <v>43891</v>
      </c>
      <c r="F578">
        <v>4149.4600399999999</v>
      </c>
      <c r="G578" s="227" t="s">
        <v>83</v>
      </c>
    </row>
    <row r="579" spans="1:7">
      <c r="A579" s="216">
        <v>43891</v>
      </c>
      <c r="B579" t="s">
        <v>46</v>
      </c>
      <c r="C579">
        <v>12</v>
      </c>
      <c r="D579" t="s">
        <v>437</v>
      </c>
      <c r="E579" s="217">
        <v>43891</v>
      </c>
      <c r="F579">
        <v>4068.6592700000001</v>
      </c>
      <c r="G579" s="227" t="s">
        <v>127</v>
      </c>
    </row>
    <row r="580" spans="1:7">
      <c r="A580" s="216">
        <v>43891</v>
      </c>
      <c r="B580" t="s">
        <v>46</v>
      </c>
      <c r="C580">
        <v>12</v>
      </c>
      <c r="D580" t="s">
        <v>437</v>
      </c>
      <c r="E580" s="217">
        <v>43891</v>
      </c>
      <c r="F580">
        <v>4106</v>
      </c>
      <c r="G580" s="227" t="s">
        <v>123</v>
      </c>
    </row>
    <row r="581" spans="1:7">
      <c r="A581" s="216">
        <v>43891</v>
      </c>
      <c r="B581" t="s">
        <v>46</v>
      </c>
      <c r="C581">
        <v>12</v>
      </c>
      <c r="D581" t="s">
        <v>437</v>
      </c>
      <c r="E581" s="217">
        <v>43891</v>
      </c>
      <c r="F581">
        <v>3992</v>
      </c>
      <c r="G581" s="227" t="s">
        <v>119</v>
      </c>
    </row>
    <row r="582" spans="1:7">
      <c r="A582" s="216">
        <v>43891</v>
      </c>
      <c r="B582" t="s">
        <v>46</v>
      </c>
      <c r="C582">
        <v>12</v>
      </c>
      <c r="D582" t="s">
        <v>437</v>
      </c>
      <c r="E582" s="217">
        <v>43891</v>
      </c>
      <c r="F582">
        <v>4161</v>
      </c>
      <c r="G582" s="227" t="s">
        <v>88</v>
      </c>
    </row>
    <row r="583" spans="1:7">
      <c r="A583" s="216">
        <v>43891</v>
      </c>
      <c r="B583" t="s">
        <v>46</v>
      </c>
      <c r="C583">
        <v>12</v>
      </c>
      <c r="D583" t="s">
        <v>437</v>
      </c>
      <c r="E583" s="217">
        <v>43891</v>
      </c>
      <c r="F583">
        <v>4070</v>
      </c>
      <c r="G583" s="227" t="s">
        <v>96</v>
      </c>
    </row>
    <row r="584" spans="1:7">
      <c r="A584" s="216">
        <v>43891</v>
      </c>
      <c r="B584" t="s">
        <v>46</v>
      </c>
      <c r="C584">
        <v>12</v>
      </c>
      <c r="D584" t="s">
        <v>437</v>
      </c>
      <c r="E584" s="217">
        <v>43891</v>
      </c>
      <c r="F584">
        <v>4793</v>
      </c>
      <c r="G584" s="227" t="s">
        <v>92</v>
      </c>
    </row>
    <row r="585" spans="1:7">
      <c r="A585" s="216">
        <v>43891</v>
      </c>
      <c r="B585" t="s">
        <v>46</v>
      </c>
      <c r="C585">
        <v>12</v>
      </c>
      <c r="D585" t="s">
        <v>437</v>
      </c>
      <c r="E585" s="217">
        <v>43891</v>
      </c>
      <c r="F585">
        <v>4014</v>
      </c>
      <c r="G585" s="227" t="s">
        <v>110</v>
      </c>
    </row>
    <row r="586" spans="1:7">
      <c r="A586" s="216">
        <v>43891</v>
      </c>
      <c r="B586" t="s">
        <v>46</v>
      </c>
      <c r="C586">
        <v>12</v>
      </c>
      <c r="D586" t="s">
        <v>437</v>
      </c>
      <c r="E586" s="217">
        <v>43891</v>
      </c>
      <c r="F586">
        <v>49389.71832</v>
      </c>
      <c r="G586" s="227" t="s">
        <v>434</v>
      </c>
    </row>
    <row r="587" spans="1:7">
      <c r="A587" s="216">
        <v>43891</v>
      </c>
      <c r="B587" t="s">
        <v>51</v>
      </c>
      <c r="C587">
        <v>4</v>
      </c>
      <c r="D587" t="s">
        <v>442</v>
      </c>
      <c r="E587" s="217">
        <v>43891</v>
      </c>
      <c r="F587">
        <v>16511</v>
      </c>
      <c r="G587" s="227" t="s">
        <v>70</v>
      </c>
    </row>
    <row r="588" spans="1:7">
      <c r="A588" s="216">
        <v>43891</v>
      </c>
      <c r="B588" t="s">
        <v>51</v>
      </c>
      <c r="C588">
        <v>4</v>
      </c>
      <c r="D588" t="s">
        <v>442</v>
      </c>
      <c r="E588" s="217">
        <v>43891</v>
      </c>
      <c r="F588">
        <v>16640</v>
      </c>
      <c r="G588" s="227" t="s">
        <v>114</v>
      </c>
    </row>
    <row r="589" spans="1:7">
      <c r="A589" s="216">
        <v>43891</v>
      </c>
      <c r="B589" t="s">
        <v>51</v>
      </c>
      <c r="C589">
        <v>4</v>
      </c>
      <c r="D589" t="s">
        <v>442</v>
      </c>
      <c r="E589" s="217">
        <v>43891</v>
      </c>
      <c r="F589">
        <v>17327</v>
      </c>
      <c r="G589" s="227" t="s">
        <v>105</v>
      </c>
    </row>
    <row r="590" spans="1:7">
      <c r="A590" s="216">
        <v>43891</v>
      </c>
      <c r="B590" t="s">
        <v>51</v>
      </c>
      <c r="C590">
        <v>4</v>
      </c>
      <c r="D590" t="s">
        <v>442</v>
      </c>
      <c r="E590" s="217">
        <v>43891</v>
      </c>
      <c r="F590">
        <v>17135</v>
      </c>
      <c r="G590" s="227" t="s">
        <v>100</v>
      </c>
    </row>
    <row r="591" spans="1:7">
      <c r="A591" s="216">
        <v>43891</v>
      </c>
      <c r="B591" t="s">
        <v>51</v>
      </c>
      <c r="C591">
        <v>4</v>
      </c>
      <c r="D591" t="s">
        <v>442</v>
      </c>
      <c r="E591" s="217">
        <v>43891</v>
      </c>
      <c r="F591">
        <v>16899</v>
      </c>
      <c r="G591" s="227" t="s">
        <v>83</v>
      </c>
    </row>
    <row r="592" spans="1:7">
      <c r="A592" s="216">
        <v>43891</v>
      </c>
      <c r="B592" t="s">
        <v>51</v>
      </c>
      <c r="C592">
        <v>4</v>
      </c>
      <c r="D592" t="s">
        <v>442</v>
      </c>
      <c r="E592" s="217">
        <v>43891</v>
      </c>
      <c r="F592">
        <v>18178</v>
      </c>
      <c r="G592" s="227" t="s">
        <v>127</v>
      </c>
    </row>
    <row r="593" spans="1:7">
      <c r="A593" s="216">
        <v>43891</v>
      </c>
      <c r="B593" t="s">
        <v>51</v>
      </c>
      <c r="C593">
        <v>4</v>
      </c>
      <c r="D593" t="s">
        <v>442</v>
      </c>
      <c r="E593" s="217">
        <v>43891</v>
      </c>
      <c r="F593">
        <v>17978</v>
      </c>
      <c r="G593" s="227" t="s">
        <v>123</v>
      </c>
    </row>
    <row r="594" spans="1:7">
      <c r="A594" s="216">
        <v>43891</v>
      </c>
      <c r="B594" t="s">
        <v>51</v>
      </c>
      <c r="C594">
        <v>4</v>
      </c>
      <c r="D594" t="s">
        <v>442</v>
      </c>
      <c r="E594" s="217">
        <v>43891</v>
      </c>
      <c r="F594">
        <v>17758</v>
      </c>
      <c r="G594" s="227" t="s">
        <v>119</v>
      </c>
    </row>
    <row r="595" spans="1:7">
      <c r="A595" s="216">
        <v>43891</v>
      </c>
      <c r="B595" t="s">
        <v>51</v>
      </c>
      <c r="C595">
        <v>4</v>
      </c>
      <c r="D595" t="s">
        <v>442</v>
      </c>
      <c r="E595" s="217">
        <v>43891</v>
      </c>
      <c r="F595">
        <v>17729</v>
      </c>
      <c r="G595" s="227" t="s">
        <v>88</v>
      </c>
    </row>
    <row r="596" spans="1:7">
      <c r="A596" s="216">
        <v>43891</v>
      </c>
      <c r="B596" t="s">
        <v>51</v>
      </c>
      <c r="C596">
        <v>4</v>
      </c>
      <c r="D596" t="s">
        <v>442</v>
      </c>
      <c r="E596" s="217">
        <v>43891</v>
      </c>
      <c r="F596">
        <v>17996</v>
      </c>
      <c r="G596" s="227" t="s">
        <v>96</v>
      </c>
    </row>
    <row r="597" spans="1:7">
      <c r="A597" s="216">
        <v>43891</v>
      </c>
      <c r="B597" t="s">
        <v>51</v>
      </c>
      <c r="C597">
        <v>4</v>
      </c>
      <c r="D597" t="s">
        <v>442</v>
      </c>
      <c r="E597" s="217">
        <v>43891</v>
      </c>
      <c r="F597">
        <v>18311</v>
      </c>
      <c r="G597" s="227" t="s">
        <v>92</v>
      </c>
    </row>
    <row r="598" spans="1:7">
      <c r="A598" s="216">
        <v>43891</v>
      </c>
      <c r="B598" t="s">
        <v>51</v>
      </c>
      <c r="C598">
        <v>4</v>
      </c>
      <c r="D598" t="s">
        <v>442</v>
      </c>
      <c r="E598" s="217">
        <v>43891</v>
      </c>
      <c r="F598">
        <v>21339</v>
      </c>
      <c r="G598" s="227" t="s">
        <v>110</v>
      </c>
    </row>
    <row r="599" spans="1:7">
      <c r="A599" s="216">
        <v>43891</v>
      </c>
      <c r="B599" t="s">
        <v>51</v>
      </c>
      <c r="C599">
        <v>4</v>
      </c>
      <c r="D599" t="s">
        <v>442</v>
      </c>
      <c r="E599" s="217">
        <v>43891</v>
      </c>
      <c r="F599">
        <v>213801</v>
      </c>
      <c r="G599" s="227" t="s">
        <v>434</v>
      </c>
    </row>
    <row r="600" spans="1:7">
      <c r="A600" s="216">
        <v>43891</v>
      </c>
      <c r="B600" t="s">
        <v>51</v>
      </c>
      <c r="C600">
        <v>5</v>
      </c>
      <c r="D600" t="s">
        <v>451</v>
      </c>
      <c r="E600" s="217">
        <v>43891</v>
      </c>
      <c r="F600">
        <v>0</v>
      </c>
      <c r="G600" s="227" t="s">
        <v>70</v>
      </c>
    </row>
    <row r="601" spans="1:7">
      <c r="A601" s="216">
        <v>43891</v>
      </c>
      <c r="B601" t="s">
        <v>51</v>
      </c>
      <c r="C601">
        <v>5</v>
      </c>
      <c r="D601" t="s">
        <v>451</v>
      </c>
      <c r="E601" s="217">
        <v>43891</v>
      </c>
      <c r="F601">
        <v>0</v>
      </c>
      <c r="G601" s="227" t="s">
        <v>114</v>
      </c>
    </row>
    <row r="602" spans="1:7">
      <c r="A602" s="216">
        <v>43891</v>
      </c>
      <c r="B602" t="s">
        <v>51</v>
      </c>
      <c r="C602">
        <v>5</v>
      </c>
      <c r="D602" t="s">
        <v>451</v>
      </c>
      <c r="E602" s="217">
        <v>43891</v>
      </c>
      <c r="F602">
        <v>0</v>
      </c>
      <c r="G602" s="227" t="s">
        <v>105</v>
      </c>
    </row>
    <row r="603" spans="1:7">
      <c r="A603" s="216">
        <v>43891</v>
      </c>
      <c r="B603" t="s">
        <v>51</v>
      </c>
      <c r="C603">
        <v>5</v>
      </c>
      <c r="D603" t="s">
        <v>451</v>
      </c>
      <c r="E603" s="217">
        <v>43891</v>
      </c>
      <c r="F603">
        <v>0</v>
      </c>
      <c r="G603" s="227" t="s">
        <v>100</v>
      </c>
    </row>
    <row r="604" spans="1:7">
      <c r="A604" s="216">
        <v>43891</v>
      </c>
      <c r="B604" t="s">
        <v>51</v>
      </c>
      <c r="C604">
        <v>5</v>
      </c>
      <c r="D604" t="s">
        <v>451</v>
      </c>
      <c r="E604" s="217">
        <v>43891</v>
      </c>
      <c r="F604">
        <v>0</v>
      </c>
      <c r="G604" s="227" t="s">
        <v>83</v>
      </c>
    </row>
    <row r="605" spans="1:7">
      <c r="A605" s="216">
        <v>43891</v>
      </c>
      <c r="B605" t="s">
        <v>51</v>
      </c>
      <c r="C605">
        <v>5</v>
      </c>
      <c r="D605" t="s">
        <v>451</v>
      </c>
      <c r="E605" s="217">
        <v>43891</v>
      </c>
      <c r="F605">
        <v>0</v>
      </c>
      <c r="G605" s="227" t="s">
        <v>127</v>
      </c>
    </row>
    <row r="606" spans="1:7">
      <c r="A606" s="216">
        <v>43891</v>
      </c>
      <c r="B606" t="s">
        <v>51</v>
      </c>
      <c r="C606">
        <v>5</v>
      </c>
      <c r="D606" t="s">
        <v>451</v>
      </c>
      <c r="E606" s="217">
        <v>43891</v>
      </c>
      <c r="F606">
        <v>0</v>
      </c>
      <c r="G606" s="227" t="s">
        <v>123</v>
      </c>
    </row>
    <row r="607" spans="1:7">
      <c r="A607" s="216">
        <v>43891</v>
      </c>
      <c r="B607" t="s">
        <v>51</v>
      </c>
      <c r="C607">
        <v>5</v>
      </c>
      <c r="D607" t="s">
        <v>451</v>
      </c>
      <c r="E607" s="217">
        <v>43891</v>
      </c>
      <c r="F607">
        <v>0</v>
      </c>
      <c r="G607" s="227" t="s">
        <v>119</v>
      </c>
    </row>
    <row r="608" spans="1:7">
      <c r="A608" s="216">
        <v>43891</v>
      </c>
      <c r="B608" t="s">
        <v>51</v>
      </c>
      <c r="C608">
        <v>5</v>
      </c>
      <c r="D608" t="s">
        <v>451</v>
      </c>
      <c r="E608" s="217">
        <v>43891</v>
      </c>
      <c r="F608">
        <v>0</v>
      </c>
      <c r="G608" s="227" t="s">
        <v>88</v>
      </c>
    </row>
    <row r="609" spans="1:7">
      <c r="A609" s="216">
        <v>43891</v>
      </c>
      <c r="B609" t="s">
        <v>51</v>
      </c>
      <c r="C609">
        <v>5</v>
      </c>
      <c r="D609" t="s">
        <v>451</v>
      </c>
      <c r="E609" s="217">
        <v>43891</v>
      </c>
      <c r="F609">
        <v>0</v>
      </c>
      <c r="G609" s="227" t="s">
        <v>96</v>
      </c>
    </row>
    <row r="610" spans="1:7">
      <c r="A610" s="216">
        <v>43891</v>
      </c>
      <c r="B610" t="s">
        <v>51</v>
      </c>
      <c r="C610">
        <v>5</v>
      </c>
      <c r="D610" t="s">
        <v>451</v>
      </c>
      <c r="E610" s="217">
        <v>43891</v>
      </c>
      <c r="F610">
        <v>0</v>
      </c>
      <c r="G610" s="227" t="s">
        <v>92</v>
      </c>
    </row>
    <row r="611" spans="1:7">
      <c r="A611" s="216">
        <v>43891</v>
      </c>
      <c r="B611" t="s">
        <v>51</v>
      </c>
      <c r="C611">
        <v>5</v>
      </c>
      <c r="D611" t="s">
        <v>451</v>
      </c>
      <c r="E611" s="217">
        <v>43891</v>
      </c>
      <c r="F611">
        <v>0</v>
      </c>
      <c r="G611" s="227" t="s">
        <v>110</v>
      </c>
    </row>
    <row r="612" spans="1:7">
      <c r="A612" s="216">
        <v>43891</v>
      </c>
      <c r="B612" t="s">
        <v>51</v>
      </c>
      <c r="C612">
        <v>5</v>
      </c>
      <c r="D612" t="s">
        <v>451</v>
      </c>
      <c r="E612" s="217">
        <v>43891</v>
      </c>
      <c r="F612">
        <v>0</v>
      </c>
      <c r="G612" s="227" t="s">
        <v>434</v>
      </c>
    </row>
    <row r="613" spans="1:7">
      <c r="A613" s="216">
        <v>43891</v>
      </c>
      <c r="B613" t="s">
        <v>51</v>
      </c>
      <c r="C613">
        <v>6</v>
      </c>
      <c r="D613" t="s">
        <v>450</v>
      </c>
      <c r="E613" s="217">
        <v>43891</v>
      </c>
      <c r="F613">
        <v>0</v>
      </c>
      <c r="G613" s="227" t="s">
        <v>70</v>
      </c>
    </row>
    <row r="614" spans="1:7">
      <c r="A614" s="216">
        <v>43891</v>
      </c>
      <c r="B614" t="s">
        <v>51</v>
      </c>
      <c r="C614">
        <v>6</v>
      </c>
      <c r="D614" t="s">
        <v>450</v>
      </c>
      <c r="E614" s="217">
        <v>43891</v>
      </c>
      <c r="F614">
        <v>0</v>
      </c>
      <c r="G614" s="227" t="s">
        <v>114</v>
      </c>
    </row>
    <row r="615" spans="1:7">
      <c r="A615" s="216">
        <v>43891</v>
      </c>
      <c r="B615" t="s">
        <v>51</v>
      </c>
      <c r="C615">
        <v>6</v>
      </c>
      <c r="D615" t="s">
        <v>450</v>
      </c>
      <c r="E615" s="217">
        <v>43891</v>
      </c>
      <c r="F615">
        <v>0</v>
      </c>
      <c r="G615" s="227" t="s">
        <v>105</v>
      </c>
    </row>
    <row r="616" spans="1:7">
      <c r="A616" s="216">
        <v>43891</v>
      </c>
      <c r="B616" t="s">
        <v>51</v>
      </c>
      <c r="C616">
        <v>6</v>
      </c>
      <c r="D616" t="s">
        <v>450</v>
      </c>
      <c r="E616" s="217">
        <v>43891</v>
      </c>
      <c r="F616">
        <v>0</v>
      </c>
      <c r="G616" s="227" t="s">
        <v>100</v>
      </c>
    </row>
    <row r="617" spans="1:7">
      <c r="A617" s="216">
        <v>43891</v>
      </c>
      <c r="B617" t="s">
        <v>51</v>
      </c>
      <c r="C617">
        <v>6</v>
      </c>
      <c r="D617" t="s">
        <v>450</v>
      </c>
      <c r="E617" s="217">
        <v>43891</v>
      </c>
      <c r="F617">
        <v>0</v>
      </c>
      <c r="G617" s="227" t="s">
        <v>83</v>
      </c>
    </row>
    <row r="618" spans="1:7">
      <c r="A618" s="216">
        <v>43891</v>
      </c>
      <c r="B618" t="s">
        <v>51</v>
      </c>
      <c r="C618">
        <v>6</v>
      </c>
      <c r="D618" t="s">
        <v>450</v>
      </c>
      <c r="E618" s="217">
        <v>43891</v>
      </c>
      <c r="F618">
        <v>0</v>
      </c>
      <c r="G618" s="227" t="s">
        <v>127</v>
      </c>
    </row>
    <row r="619" spans="1:7">
      <c r="A619" s="216">
        <v>43891</v>
      </c>
      <c r="B619" t="s">
        <v>51</v>
      </c>
      <c r="C619">
        <v>6</v>
      </c>
      <c r="D619" t="s">
        <v>450</v>
      </c>
      <c r="E619" s="217">
        <v>43891</v>
      </c>
      <c r="F619">
        <v>0</v>
      </c>
      <c r="G619" s="227" t="s">
        <v>123</v>
      </c>
    </row>
    <row r="620" spans="1:7">
      <c r="A620" s="216">
        <v>43891</v>
      </c>
      <c r="B620" t="s">
        <v>51</v>
      </c>
      <c r="C620">
        <v>6</v>
      </c>
      <c r="D620" t="s">
        <v>450</v>
      </c>
      <c r="E620" s="217">
        <v>43891</v>
      </c>
      <c r="F620">
        <v>0</v>
      </c>
      <c r="G620" s="227" t="s">
        <v>119</v>
      </c>
    </row>
    <row r="621" spans="1:7">
      <c r="A621" s="216">
        <v>43891</v>
      </c>
      <c r="B621" t="s">
        <v>51</v>
      </c>
      <c r="C621">
        <v>6</v>
      </c>
      <c r="D621" t="s">
        <v>450</v>
      </c>
      <c r="E621" s="217">
        <v>43891</v>
      </c>
      <c r="F621">
        <v>0</v>
      </c>
      <c r="G621" s="227" t="s">
        <v>88</v>
      </c>
    </row>
    <row r="622" spans="1:7">
      <c r="A622" s="216">
        <v>43891</v>
      </c>
      <c r="B622" t="s">
        <v>51</v>
      </c>
      <c r="C622">
        <v>6</v>
      </c>
      <c r="D622" t="s">
        <v>450</v>
      </c>
      <c r="E622" s="217">
        <v>43891</v>
      </c>
      <c r="F622">
        <v>0</v>
      </c>
      <c r="G622" s="227" t="s">
        <v>96</v>
      </c>
    </row>
    <row r="623" spans="1:7">
      <c r="A623" s="216">
        <v>43891</v>
      </c>
      <c r="B623" t="s">
        <v>51</v>
      </c>
      <c r="C623">
        <v>6</v>
      </c>
      <c r="D623" t="s">
        <v>450</v>
      </c>
      <c r="E623" s="217">
        <v>43891</v>
      </c>
      <c r="F623">
        <v>0</v>
      </c>
      <c r="G623" s="227" t="s">
        <v>92</v>
      </c>
    </row>
    <row r="624" spans="1:7">
      <c r="A624" s="216">
        <v>43891</v>
      </c>
      <c r="B624" t="s">
        <v>51</v>
      </c>
      <c r="C624">
        <v>6</v>
      </c>
      <c r="D624" t="s">
        <v>450</v>
      </c>
      <c r="E624" s="217">
        <v>43891</v>
      </c>
      <c r="F624">
        <v>0</v>
      </c>
      <c r="G624" s="227" t="s">
        <v>110</v>
      </c>
    </row>
    <row r="625" spans="1:7">
      <c r="A625" s="216">
        <v>43891</v>
      </c>
      <c r="B625" t="s">
        <v>51</v>
      </c>
      <c r="C625">
        <v>6</v>
      </c>
      <c r="D625" t="s">
        <v>450</v>
      </c>
      <c r="E625" s="217">
        <v>43891</v>
      </c>
      <c r="F625">
        <v>0</v>
      </c>
      <c r="G625" s="227" t="s">
        <v>434</v>
      </c>
    </row>
    <row r="626" spans="1:7">
      <c r="A626" s="216">
        <v>43891</v>
      </c>
      <c r="B626" t="s">
        <v>51</v>
      </c>
      <c r="C626">
        <v>7</v>
      </c>
      <c r="D626" t="s">
        <v>433</v>
      </c>
      <c r="E626" s="217">
        <v>43891</v>
      </c>
      <c r="F626">
        <v>1034</v>
      </c>
      <c r="G626" s="227" t="s">
        <v>70</v>
      </c>
    </row>
    <row r="627" spans="1:7">
      <c r="A627" s="216">
        <v>43891</v>
      </c>
      <c r="B627" t="s">
        <v>51</v>
      </c>
      <c r="C627">
        <v>7</v>
      </c>
      <c r="D627" t="s">
        <v>433</v>
      </c>
      <c r="E627" s="217">
        <v>43891</v>
      </c>
      <c r="F627">
        <v>1090</v>
      </c>
      <c r="G627" s="227" t="s">
        <v>114</v>
      </c>
    </row>
    <row r="628" spans="1:7">
      <c r="A628" s="216">
        <v>43891</v>
      </c>
      <c r="B628" t="s">
        <v>51</v>
      </c>
      <c r="C628">
        <v>7</v>
      </c>
      <c r="D628" t="s">
        <v>433</v>
      </c>
      <c r="E628" s="217">
        <v>43891</v>
      </c>
      <c r="F628">
        <v>1191</v>
      </c>
      <c r="G628" s="227" t="s">
        <v>105</v>
      </c>
    </row>
    <row r="629" spans="1:7">
      <c r="A629" s="216">
        <v>43891</v>
      </c>
      <c r="B629" t="s">
        <v>51</v>
      </c>
      <c r="C629">
        <v>7</v>
      </c>
      <c r="D629" t="s">
        <v>433</v>
      </c>
      <c r="E629" s="217">
        <v>43891</v>
      </c>
      <c r="F629">
        <v>1142</v>
      </c>
      <c r="G629" s="227" t="s">
        <v>100</v>
      </c>
    </row>
    <row r="630" spans="1:7">
      <c r="A630" s="216">
        <v>43891</v>
      </c>
      <c r="B630" t="s">
        <v>51</v>
      </c>
      <c r="C630">
        <v>7</v>
      </c>
      <c r="D630" t="s">
        <v>433</v>
      </c>
      <c r="E630" s="217">
        <v>43891</v>
      </c>
      <c r="F630">
        <v>1047</v>
      </c>
      <c r="G630" s="227" t="s">
        <v>83</v>
      </c>
    </row>
    <row r="631" spans="1:7">
      <c r="A631" s="216">
        <v>43891</v>
      </c>
      <c r="B631" t="s">
        <v>51</v>
      </c>
      <c r="C631">
        <v>7</v>
      </c>
      <c r="D631" t="s">
        <v>433</v>
      </c>
      <c r="E631" s="217">
        <v>43891</v>
      </c>
      <c r="F631">
        <v>1219</v>
      </c>
      <c r="G631" s="227" t="s">
        <v>127</v>
      </c>
    </row>
    <row r="632" spans="1:7">
      <c r="A632" s="216">
        <v>43891</v>
      </c>
      <c r="B632" t="s">
        <v>51</v>
      </c>
      <c r="C632">
        <v>7</v>
      </c>
      <c r="D632" t="s">
        <v>433</v>
      </c>
      <c r="E632" s="217">
        <v>43891</v>
      </c>
      <c r="F632">
        <v>1207</v>
      </c>
      <c r="G632" s="227" t="s">
        <v>123</v>
      </c>
    </row>
    <row r="633" spans="1:7">
      <c r="A633" s="216">
        <v>43891</v>
      </c>
      <c r="B633" t="s">
        <v>51</v>
      </c>
      <c r="C633">
        <v>7</v>
      </c>
      <c r="D633" t="s">
        <v>433</v>
      </c>
      <c r="E633" s="217">
        <v>43891</v>
      </c>
      <c r="F633">
        <v>1201</v>
      </c>
      <c r="G633" s="227" t="s">
        <v>119</v>
      </c>
    </row>
    <row r="634" spans="1:7">
      <c r="A634" s="216">
        <v>43891</v>
      </c>
      <c r="B634" t="s">
        <v>51</v>
      </c>
      <c r="C634">
        <v>7</v>
      </c>
      <c r="D634" t="s">
        <v>433</v>
      </c>
      <c r="E634" s="217">
        <v>43891</v>
      </c>
      <c r="F634">
        <v>1170</v>
      </c>
      <c r="G634" s="227" t="s">
        <v>88</v>
      </c>
    </row>
    <row r="635" spans="1:7">
      <c r="A635" s="216">
        <v>43891</v>
      </c>
      <c r="B635" t="s">
        <v>51</v>
      </c>
      <c r="C635">
        <v>7</v>
      </c>
      <c r="D635" t="s">
        <v>433</v>
      </c>
      <c r="E635" s="217">
        <v>43891</v>
      </c>
      <c r="F635">
        <v>1239</v>
      </c>
      <c r="G635" s="227" t="s">
        <v>96</v>
      </c>
    </row>
    <row r="636" spans="1:7">
      <c r="A636" s="216">
        <v>43891</v>
      </c>
      <c r="B636" t="s">
        <v>51</v>
      </c>
      <c r="C636">
        <v>7</v>
      </c>
      <c r="D636" t="s">
        <v>433</v>
      </c>
      <c r="E636" s="217">
        <v>43891</v>
      </c>
      <c r="F636">
        <v>1234</v>
      </c>
      <c r="G636" s="227" t="s">
        <v>92</v>
      </c>
    </row>
    <row r="637" spans="1:7">
      <c r="A637" s="216">
        <v>43891</v>
      </c>
      <c r="B637" t="s">
        <v>51</v>
      </c>
      <c r="C637">
        <v>7</v>
      </c>
      <c r="D637" t="s">
        <v>433</v>
      </c>
      <c r="E637" s="217">
        <v>43891</v>
      </c>
      <c r="F637">
        <v>1882</v>
      </c>
      <c r="G637" s="227" t="s">
        <v>110</v>
      </c>
    </row>
    <row r="638" spans="1:7">
      <c r="A638" s="216">
        <v>43891</v>
      </c>
      <c r="B638" t="s">
        <v>51</v>
      </c>
      <c r="C638">
        <v>7</v>
      </c>
      <c r="D638" t="s">
        <v>433</v>
      </c>
      <c r="E638" s="217">
        <v>43891</v>
      </c>
      <c r="F638">
        <v>14656</v>
      </c>
      <c r="G638" s="227" t="s">
        <v>434</v>
      </c>
    </row>
    <row r="639" spans="1:7">
      <c r="A639" s="216">
        <v>43891</v>
      </c>
      <c r="B639" t="s">
        <v>51</v>
      </c>
      <c r="C639">
        <v>8</v>
      </c>
      <c r="D639" t="s">
        <v>445</v>
      </c>
      <c r="E639" s="217">
        <v>43891</v>
      </c>
      <c r="F639">
        <v>1096</v>
      </c>
      <c r="G639" s="227" t="s">
        <v>70</v>
      </c>
    </row>
    <row r="640" spans="1:7">
      <c r="A640" s="216">
        <v>43891</v>
      </c>
      <c r="B640" t="s">
        <v>51</v>
      </c>
      <c r="C640">
        <v>8</v>
      </c>
      <c r="D640" t="s">
        <v>445</v>
      </c>
      <c r="E640" s="217">
        <v>43891</v>
      </c>
      <c r="F640">
        <v>1266</v>
      </c>
      <c r="G640" s="227" t="s">
        <v>114</v>
      </c>
    </row>
    <row r="641" spans="1:7">
      <c r="A641" s="216">
        <v>43891</v>
      </c>
      <c r="B641" t="s">
        <v>51</v>
      </c>
      <c r="C641">
        <v>8</v>
      </c>
      <c r="D641" t="s">
        <v>445</v>
      </c>
      <c r="E641" s="217">
        <v>43891</v>
      </c>
      <c r="F641">
        <v>1087</v>
      </c>
      <c r="G641" s="227" t="s">
        <v>105</v>
      </c>
    </row>
    <row r="642" spans="1:7">
      <c r="A642" s="216">
        <v>43891</v>
      </c>
      <c r="B642" t="s">
        <v>51</v>
      </c>
      <c r="C642">
        <v>8</v>
      </c>
      <c r="D642" t="s">
        <v>445</v>
      </c>
      <c r="E642" s="217">
        <v>43891</v>
      </c>
      <c r="F642">
        <v>1162</v>
      </c>
      <c r="G642" s="227" t="s">
        <v>100</v>
      </c>
    </row>
    <row r="643" spans="1:7">
      <c r="A643" s="216">
        <v>43891</v>
      </c>
      <c r="B643" t="s">
        <v>51</v>
      </c>
      <c r="C643">
        <v>8</v>
      </c>
      <c r="D643" t="s">
        <v>445</v>
      </c>
      <c r="E643" s="217">
        <v>43891</v>
      </c>
      <c r="F643">
        <v>901</v>
      </c>
      <c r="G643" s="227" t="s">
        <v>83</v>
      </c>
    </row>
    <row r="644" spans="1:7">
      <c r="A644" s="216">
        <v>43891</v>
      </c>
      <c r="B644" t="s">
        <v>51</v>
      </c>
      <c r="C644">
        <v>8</v>
      </c>
      <c r="D644" t="s">
        <v>445</v>
      </c>
      <c r="E644" s="217">
        <v>43891</v>
      </c>
      <c r="F644">
        <v>1219</v>
      </c>
      <c r="G644" s="227" t="s">
        <v>127</v>
      </c>
    </row>
    <row r="645" spans="1:7">
      <c r="A645" s="216">
        <v>43891</v>
      </c>
      <c r="B645" t="s">
        <v>51</v>
      </c>
      <c r="C645">
        <v>8</v>
      </c>
      <c r="D645" t="s">
        <v>445</v>
      </c>
      <c r="E645" s="217">
        <v>43891</v>
      </c>
      <c r="F645">
        <v>1242</v>
      </c>
      <c r="G645" s="227" t="s">
        <v>123</v>
      </c>
    </row>
    <row r="646" spans="1:7">
      <c r="A646" s="216">
        <v>43891</v>
      </c>
      <c r="B646" t="s">
        <v>51</v>
      </c>
      <c r="C646">
        <v>8</v>
      </c>
      <c r="D646" t="s">
        <v>445</v>
      </c>
      <c r="E646" s="217">
        <v>43891</v>
      </c>
      <c r="F646">
        <v>936</v>
      </c>
      <c r="G646" s="227" t="s">
        <v>119</v>
      </c>
    </row>
    <row r="647" spans="1:7">
      <c r="A647" s="216">
        <v>43891</v>
      </c>
      <c r="B647" t="s">
        <v>51</v>
      </c>
      <c r="C647">
        <v>8</v>
      </c>
      <c r="D647" t="s">
        <v>445</v>
      </c>
      <c r="E647" s="217">
        <v>43891</v>
      </c>
      <c r="F647">
        <v>817</v>
      </c>
      <c r="G647" s="227" t="s">
        <v>88</v>
      </c>
    </row>
    <row r="648" spans="1:7">
      <c r="A648" s="216">
        <v>43891</v>
      </c>
      <c r="B648" t="s">
        <v>51</v>
      </c>
      <c r="C648">
        <v>8</v>
      </c>
      <c r="D648" t="s">
        <v>445</v>
      </c>
      <c r="E648" s="217">
        <v>43891</v>
      </c>
      <c r="F648">
        <v>879</v>
      </c>
      <c r="G648" s="227" t="s">
        <v>96</v>
      </c>
    </row>
    <row r="649" spans="1:7">
      <c r="A649" s="216">
        <v>43891</v>
      </c>
      <c r="B649" t="s">
        <v>51</v>
      </c>
      <c r="C649">
        <v>8</v>
      </c>
      <c r="D649" t="s">
        <v>445</v>
      </c>
      <c r="E649" s="217">
        <v>43891</v>
      </c>
      <c r="F649">
        <v>1293</v>
      </c>
      <c r="G649" s="227" t="s">
        <v>92</v>
      </c>
    </row>
    <row r="650" spans="1:7">
      <c r="A650" s="216">
        <v>43891</v>
      </c>
      <c r="B650" t="s">
        <v>51</v>
      </c>
      <c r="C650">
        <v>8</v>
      </c>
      <c r="D650" t="s">
        <v>445</v>
      </c>
      <c r="E650" s="217">
        <v>43891</v>
      </c>
      <c r="F650">
        <v>1049</v>
      </c>
      <c r="G650" s="227" t="s">
        <v>110</v>
      </c>
    </row>
    <row r="651" spans="1:7">
      <c r="A651" s="216">
        <v>43891</v>
      </c>
      <c r="B651" t="s">
        <v>51</v>
      </c>
      <c r="C651">
        <v>8</v>
      </c>
      <c r="D651" t="s">
        <v>445</v>
      </c>
      <c r="E651" s="217">
        <v>43891</v>
      </c>
      <c r="F651">
        <v>12947</v>
      </c>
      <c r="G651" s="227" t="s">
        <v>434</v>
      </c>
    </row>
    <row r="652" spans="1:7">
      <c r="A652" s="216">
        <v>43891</v>
      </c>
      <c r="B652" t="s">
        <v>51</v>
      </c>
      <c r="C652">
        <v>9</v>
      </c>
      <c r="D652" t="s">
        <v>454</v>
      </c>
      <c r="E652" s="217">
        <v>43891</v>
      </c>
      <c r="F652">
        <v>0</v>
      </c>
      <c r="G652" s="227" t="s">
        <v>70</v>
      </c>
    </row>
    <row r="653" spans="1:7">
      <c r="A653" s="216">
        <v>43891</v>
      </c>
      <c r="B653" t="s">
        <v>51</v>
      </c>
      <c r="C653">
        <v>9</v>
      </c>
      <c r="D653" t="s">
        <v>454</v>
      </c>
      <c r="E653" s="217">
        <v>43891</v>
      </c>
      <c r="F653">
        <v>0</v>
      </c>
      <c r="G653" s="227" t="s">
        <v>114</v>
      </c>
    </row>
    <row r="654" spans="1:7">
      <c r="A654" s="216">
        <v>43891</v>
      </c>
      <c r="B654" t="s">
        <v>51</v>
      </c>
      <c r="C654">
        <v>9</v>
      </c>
      <c r="D654" t="s">
        <v>454</v>
      </c>
      <c r="E654" s="217">
        <v>43891</v>
      </c>
      <c r="F654">
        <v>0</v>
      </c>
      <c r="G654" s="227" t="s">
        <v>105</v>
      </c>
    </row>
    <row r="655" spans="1:7">
      <c r="A655" s="216">
        <v>43891</v>
      </c>
      <c r="B655" t="s">
        <v>51</v>
      </c>
      <c r="C655">
        <v>9</v>
      </c>
      <c r="D655" t="s">
        <v>454</v>
      </c>
      <c r="E655" s="217">
        <v>43891</v>
      </c>
      <c r="F655">
        <v>0</v>
      </c>
      <c r="G655" s="227" t="s">
        <v>100</v>
      </c>
    </row>
    <row r="656" spans="1:7">
      <c r="A656" s="216">
        <v>43891</v>
      </c>
      <c r="B656" t="s">
        <v>51</v>
      </c>
      <c r="C656">
        <v>9</v>
      </c>
      <c r="D656" t="s">
        <v>454</v>
      </c>
      <c r="E656" s="217">
        <v>43891</v>
      </c>
      <c r="F656">
        <v>0</v>
      </c>
      <c r="G656" s="227" t="s">
        <v>83</v>
      </c>
    </row>
    <row r="657" spans="1:7">
      <c r="A657" s="216">
        <v>43891</v>
      </c>
      <c r="B657" t="s">
        <v>51</v>
      </c>
      <c r="C657">
        <v>9</v>
      </c>
      <c r="D657" t="s">
        <v>454</v>
      </c>
      <c r="E657" s="217">
        <v>43891</v>
      </c>
      <c r="F657">
        <v>0</v>
      </c>
      <c r="G657" s="227" t="s">
        <v>127</v>
      </c>
    </row>
    <row r="658" spans="1:7">
      <c r="A658" s="216">
        <v>43891</v>
      </c>
      <c r="B658" t="s">
        <v>51</v>
      </c>
      <c r="C658">
        <v>9</v>
      </c>
      <c r="D658" t="s">
        <v>454</v>
      </c>
      <c r="E658" s="217">
        <v>43891</v>
      </c>
      <c r="F658">
        <v>0</v>
      </c>
      <c r="G658" s="227" t="s">
        <v>123</v>
      </c>
    </row>
    <row r="659" spans="1:7">
      <c r="A659" s="216">
        <v>43891</v>
      </c>
      <c r="B659" t="s">
        <v>51</v>
      </c>
      <c r="C659">
        <v>9</v>
      </c>
      <c r="D659" t="s">
        <v>454</v>
      </c>
      <c r="E659" s="217">
        <v>43891</v>
      </c>
      <c r="F659">
        <v>0</v>
      </c>
      <c r="G659" s="227" t="s">
        <v>119</v>
      </c>
    </row>
    <row r="660" spans="1:7">
      <c r="A660" s="216">
        <v>43891</v>
      </c>
      <c r="B660" t="s">
        <v>51</v>
      </c>
      <c r="C660">
        <v>9</v>
      </c>
      <c r="D660" t="s">
        <v>454</v>
      </c>
      <c r="E660" s="217">
        <v>43891</v>
      </c>
      <c r="F660">
        <v>0</v>
      </c>
      <c r="G660" s="227" t="s">
        <v>88</v>
      </c>
    </row>
    <row r="661" spans="1:7">
      <c r="A661" s="216">
        <v>43891</v>
      </c>
      <c r="B661" t="s">
        <v>51</v>
      </c>
      <c r="C661">
        <v>9</v>
      </c>
      <c r="D661" t="s">
        <v>454</v>
      </c>
      <c r="E661" s="217">
        <v>43891</v>
      </c>
      <c r="F661">
        <v>0</v>
      </c>
      <c r="G661" s="227" t="s">
        <v>96</v>
      </c>
    </row>
    <row r="662" spans="1:7">
      <c r="A662" s="216">
        <v>43891</v>
      </c>
      <c r="B662" t="s">
        <v>51</v>
      </c>
      <c r="C662">
        <v>9</v>
      </c>
      <c r="D662" t="s">
        <v>454</v>
      </c>
      <c r="E662" s="217">
        <v>43891</v>
      </c>
      <c r="F662">
        <v>0</v>
      </c>
      <c r="G662" s="227" t="s">
        <v>92</v>
      </c>
    </row>
    <row r="663" spans="1:7">
      <c r="A663" s="216">
        <v>43891</v>
      </c>
      <c r="B663" t="s">
        <v>51</v>
      </c>
      <c r="C663">
        <v>9</v>
      </c>
      <c r="D663" t="s">
        <v>454</v>
      </c>
      <c r="E663" s="217">
        <v>43891</v>
      </c>
      <c r="F663">
        <v>0</v>
      </c>
      <c r="G663" s="227" t="s">
        <v>110</v>
      </c>
    </row>
    <row r="664" spans="1:7">
      <c r="A664" s="216">
        <v>43891</v>
      </c>
      <c r="B664" t="s">
        <v>51</v>
      </c>
      <c r="C664">
        <v>9</v>
      </c>
      <c r="D664" t="s">
        <v>454</v>
      </c>
      <c r="E664" s="217">
        <v>43891</v>
      </c>
      <c r="F664">
        <v>0</v>
      </c>
      <c r="G664" s="227" t="s">
        <v>434</v>
      </c>
    </row>
    <row r="665" spans="1:7">
      <c r="A665" s="216">
        <v>43891</v>
      </c>
      <c r="B665" t="s">
        <v>51</v>
      </c>
      <c r="C665">
        <v>10</v>
      </c>
      <c r="D665" t="s">
        <v>441</v>
      </c>
      <c r="E665" s="217">
        <v>43891</v>
      </c>
      <c r="F665">
        <v>0</v>
      </c>
      <c r="G665" s="227" t="s">
        <v>70</v>
      </c>
    </row>
    <row r="666" spans="1:7">
      <c r="A666" s="216">
        <v>43891</v>
      </c>
      <c r="B666" t="s">
        <v>51</v>
      </c>
      <c r="C666">
        <v>10</v>
      </c>
      <c r="D666" t="s">
        <v>441</v>
      </c>
      <c r="E666" s="217">
        <v>43891</v>
      </c>
      <c r="F666">
        <v>0</v>
      </c>
      <c r="G666" s="227" t="s">
        <v>114</v>
      </c>
    </row>
    <row r="667" spans="1:7">
      <c r="A667" s="216">
        <v>43891</v>
      </c>
      <c r="B667" t="s">
        <v>51</v>
      </c>
      <c r="C667">
        <v>10</v>
      </c>
      <c r="D667" t="s">
        <v>441</v>
      </c>
      <c r="E667" s="217">
        <v>43891</v>
      </c>
      <c r="F667">
        <v>0</v>
      </c>
      <c r="G667" s="227" t="s">
        <v>105</v>
      </c>
    </row>
    <row r="668" spans="1:7">
      <c r="A668" s="216">
        <v>43891</v>
      </c>
      <c r="B668" t="s">
        <v>51</v>
      </c>
      <c r="C668">
        <v>10</v>
      </c>
      <c r="D668" t="s">
        <v>441</v>
      </c>
      <c r="E668" s="217">
        <v>43891</v>
      </c>
      <c r="F668">
        <v>0</v>
      </c>
      <c r="G668" s="227" t="s">
        <v>100</v>
      </c>
    </row>
    <row r="669" spans="1:7">
      <c r="A669" s="216">
        <v>43891</v>
      </c>
      <c r="B669" t="s">
        <v>51</v>
      </c>
      <c r="C669">
        <v>10</v>
      </c>
      <c r="D669" t="s">
        <v>441</v>
      </c>
      <c r="E669" s="217">
        <v>43891</v>
      </c>
      <c r="F669">
        <v>0</v>
      </c>
      <c r="G669" s="227" t="s">
        <v>83</v>
      </c>
    </row>
    <row r="670" spans="1:7">
      <c r="A670" s="216">
        <v>43891</v>
      </c>
      <c r="B670" t="s">
        <v>51</v>
      </c>
      <c r="C670">
        <v>10</v>
      </c>
      <c r="D670" t="s">
        <v>441</v>
      </c>
      <c r="E670" s="217">
        <v>43891</v>
      </c>
      <c r="F670">
        <v>0</v>
      </c>
      <c r="G670" s="227" t="s">
        <v>127</v>
      </c>
    </row>
    <row r="671" spans="1:7">
      <c r="A671" s="216">
        <v>43891</v>
      </c>
      <c r="B671" t="s">
        <v>51</v>
      </c>
      <c r="C671">
        <v>10</v>
      </c>
      <c r="D671" t="s">
        <v>441</v>
      </c>
      <c r="E671" s="217">
        <v>43891</v>
      </c>
      <c r="F671">
        <v>0</v>
      </c>
      <c r="G671" s="227" t="s">
        <v>123</v>
      </c>
    </row>
    <row r="672" spans="1:7">
      <c r="A672" s="216">
        <v>43891</v>
      </c>
      <c r="B672" t="s">
        <v>51</v>
      </c>
      <c r="C672">
        <v>10</v>
      </c>
      <c r="D672" t="s">
        <v>441</v>
      </c>
      <c r="E672" s="217">
        <v>43891</v>
      </c>
      <c r="F672">
        <v>0</v>
      </c>
      <c r="G672" s="227" t="s">
        <v>119</v>
      </c>
    </row>
    <row r="673" spans="1:7">
      <c r="A673" s="216">
        <v>43891</v>
      </c>
      <c r="B673" t="s">
        <v>51</v>
      </c>
      <c r="C673">
        <v>10</v>
      </c>
      <c r="D673" t="s">
        <v>441</v>
      </c>
      <c r="E673" s="217">
        <v>43891</v>
      </c>
      <c r="F673">
        <v>0</v>
      </c>
      <c r="G673" s="227" t="s">
        <v>88</v>
      </c>
    </row>
    <row r="674" spans="1:7">
      <c r="A674" s="216">
        <v>43891</v>
      </c>
      <c r="B674" t="s">
        <v>51</v>
      </c>
      <c r="C674">
        <v>10</v>
      </c>
      <c r="D674" t="s">
        <v>441</v>
      </c>
      <c r="E674" s="217">
        <v>43891</v>
      </c>
      <c r="F674">
        <v>0</v>
      </c>
      <c r="G674" s="227" t="s">
        <v>96</v>
      </c>
    </row>
    <row r="675" spans="1:7">
      <c r="A675" s="216">
        <v>43891</v>
      </c>
      <c r="B675" t="s">
        <v>51</v>
      </c>
      <c r="C675">
        <v>10</v>
      </c>
      <c r="D675" t="s">
        <v>441</v>
      </c>
      <c r="E675" s="217">
        <v>43891</v>
      </c>
      <c r="F675">
        <v>0</v>
      </c>
      <c r="G675" s="227" t="s">
        <v>92</v>
      </c>
    </row>
    <row r="676" spans="1:7">
      <c r="A676" s="216">
        <v>43891</v>
      </c>
      <c r="B676" t="s">
        <v>51</v>
      </c>
      <c r="C676">
        <v>10</v>
      </c>
      <c r="D676" t="s">
        <v>441</v>
      </c>
      <c r="E676" s="217">
        <v>43891</v>
      </c>
      <c r="F676">
        <v>0</v>
      </c>
      <c r="G676" s="227" t="s">
        <v>110</v>
      </c>
    </row>
    <row r="677" spans="1:7">
      <c r="A677" s="216">
        <v>43891</v>
      </c>
      <c r="B677" t="s">
        <v>51</v>
      </c>
      <c r="C677">
        <v>10</v>
      </c>
      <c r="D677" t="s">
        <v>441</v>
      </c>
      <c r="E677" s="217">
        <v>43891</v>
      </c>
      <c r="F677">
        <v>0</v>
      </c>
      <c r="G677" s="227" t="s">
        <v>434</v>
      </c>
    </row>
    <row r="678" spans="1:7">
      <c r="A678" s="216">
        <v>43891</v>
      </c>
      <c r="B678" t="s">
        <v>51</v>
      </c>
      <c r="C678">
        <v>11</v>
      </c>
      <c r="D678" t="s">
        <v>447</v>
      </c>
      <c r="E678" s="217">
        <v>43891</v>
      </c>
      <c r="F678">
        <v>0</v>
      </c>
      <c r="G678" s="227" t="s">
        <v>70</v>
      </c>
    </row>
    <row r="679" spans="1:7">
      <c r="A679" s="216">
        <v>43891</v>
      </c>
      <c r="B679" t="s">
        <v>51</v>
      </c>
      <c r="C679">
        <v>11</v>
      </c>
      <c r="D679" t="s">
        <v>447</v>
      </c>
      <c r="E679" s="217">
        <v>43891</v>
      </c>
      <c r="F679">
        <v>0</v>
      </c>
      <c r="G679" s="227" t="s">
        <v>114</v>
      </c>
    </row>
    <row r="680" spans="1:7">
      <c r="A680" s="216">
        <v>43891</v>
      </c>
      <c r="B680" t="s">
        <v>51</v>
      </c>
      <c r="C680">
        <v>11</v>
      </c>
      <c r="D680" t="s">
        <v>447</v>
      </c>
      <c r="E680" s="217">
        <v>43891</v>
      </c>
      <c r="F680">
        <v>0</v>
      </c>
      <c r="G680" s="227" t="s">
        <v>105</v>
      </c>
    </row>
    <row r="681" spans="1:7">
      <c r="A681" s="216">
        <v>43891</v>
      </c>
      <c r="B681" t="s">
        <v>51</v>
      </c>
      <c r="C681">
        <v>11</v>
      </c>
      <c r="D681" t="s">
        <v>447</v>
      </c>
      <c r="E681" s="217">
        <v>43891</v>
      </c>
      <c r="F681">
        <v>0</v>
      </c>
      <c r="G681" s="227" t="s">
        <v>100</v>
      </c>
    </row>
    <row r="682" spans="1:7">
      <c r="A682" s="216">
        <v>43891</v>
      </c>
      <c r="B682" t="s">
        <v>51</v>
      </c>
      <c r="C682">
        <v>11</v>
      </c>
      <c r="D682" t="s">
        <v>447</v>
      </c>
      <c r="E682" s="217">
        <v>43891</v>
      </c>
      <c r="F682">
        <v>0</v>
      </c>
      <c r="G682" s="227" t="s">
        <v>83</v>
      </c>
    </row>
    <row r="683" spans="1:7">
      <c r="A683" s="216">
        <v>43891</v>
      </c>
      <c r="B683" t="s">
        <v>51</v>
      </c>
      <c r="C683">
        <v>11</v>
      </c>
      <c r="D683" t="s">
        <v>447</v>
      </c>
      <c r="E683" s="217">
        <v>43891</v>
      </c>
      <c r="F683">
        <v>0</v>
      </c>
      <c r="G683" s="227" t="s">
        <v>127</v>
      </c>
    </row>
    <row r="684" spans="1:7">
      <c r="A684" s="216">
        <v>43891</v>
      </c>
      <c r="B684" t="s">
        <v>51</v>
      </c>
      <c r="C684">
        <v>11</v>
      </c>
      <c r="D684" t="s">
        <v>447</v>
      </c>
      <c r="E684" s="217">
        <v>43891</v>
      </c>
      <c r="F684">
        <v>0</v>
      </c>
      <c r="G684" s="227" t="s">
        <v>123</v>
      </c>
    </row>
    <row r="685" spans="1:7">
      <c r="A685" s="216">
        <v>43891</v>
      </c>
      <c r="B685" t="s">
        <v>51</v>
      </c>
      <c r="C685">
        <v>11</v>
      </c>
      <c r="D685" t="s">
        <v>447</v>
      </c>
      <c r="E685" s="217">
        <v>43891</v>
      </c>
      <c r="F685">
        <v>0</v>
      </c>
      <c r="G685" s="227" t="s">
        <v>119</v>
      </c>
    </row>
    <row r="686" spans="1:7">
      <c r="A686" s="216">
        <v>43891</v>
      </c>
      <c r="B686" t="s">
        <v>51</v>
      </c>
      <c r="C686">
        <v>11</v>
      </c>
      <c r="D686" t="s">
        <v>447</v>
      </c>
      <c r="E686" s="217">
        <v>43891</v>
      </c>
      <c r="F686">
        <v>0</v>
      </c>
      <c r="G686" s="227" t="s">
        <v>88</v>
      </c>
    </row>
    <row r="687" spans="1:7">
      <c r="A687" s="216">
        <v>43891</v>
      </c>
      <c r="B687" t="s">
        <v>51</v>
      </c>
      <c r="C687">
        <v>11</v>
      </c>
      <c r="D687" t="s">
        <v>447</v>
      </c>
      <c r="E687" s="217">
        <v>43891</v>
      </c>
      <c r="F687">
        <v>0</v>
      </c>
      <c r="G687" s="227" t="s">
        <v>96</v>
      </c>
    </row>
    <row r="688" spans="1:7">
      <c r="A688" s="216">
        <v>43891</v>
      </c>
      <c r="B688" t="s">
        <v>51</v>
      </c>
      <c r="C688">
        <v>11</v>
      </c>
      <c r="D688" t="s">
        <v>447</v>
      </c>
      <c r="E688" s="217">
        <v>43891</v>
      </c>
      <c r="F688">
        <v>0</v>
      </c>
      <c r="G688" s="227" t="s">
        <v>92</v>
      </c>
    </row>
    <row r="689" spans="1:7">
      <c r="A689" s="216">
        <v>43891</v>
      </c>
      <c r="B689" t="s">
        <v>51</v>
      </c>
      <c r="C689">
        <v>11</v>
      </c>
      <c r="D689" t="s">
        <v>447</v>
      </c>
      <c r="E689" s="217">
        <v>43891</v>
      </c>
      <c r="F689">
        <v>0</v>
      </c>
      <c r="G689" s="227" t="s">
        <v>110</v>
      </c>
    </row>
    <row r="690" spans="1:7">
      <c r="A690" s="216">
        <v>43891</v>
      </c>
      <c r="B690" t="s">
        <v>51</v>
      </c>
      <c r="C690">
        <v>11</v>
      </c>
      <c r="D690" t="s">
        <v>447</v>
      </c>
      <c r="E690" s="217">
        <v>43891</v>
      </c>
      <c r="F690">
        <v>0</v>
      </c>
      <c r="G690" s="227" t="s">
        <v>434</v>
      </c>
    </row>
    <row r="691" spans="1:7">
      <c r="A691" s="216">
        <v>43891</v>
      </c>
      <c r="B691" t="s">
        <v>51</v>
      </c>
      <c r="C691">
        <v>12</v>
      </c>
      <c r="D691" t="s">
        <v>437</v>
      </c>
      <c r="E691" s="217">
        <v>43891</v>
      </c>
      <c r="F691">
        <v>0</v>
      </c>
      <c r="G691" s="227" t="s">
        <v>70</v>
      </c>
    </row>
    <row r="692" spans="1:7">
      <c r="A692" s="216">
        <v>43891</v>
      </c>
      <c r="B692" t="s">
        <v>51</v>
      </c>
      <c r="C692">
        <v>12</v>
      </c>
      <c r="D692" t="s">
        <v>437</v>
      </c>
      <c r="E692" s="217">
        <v>43891</v>
      </c>
      <c r="F692">
        <v>0</v>
      </c>
      <c r="G692" s="227" t="s">
        <v>114</v>
      </c>
    </row>
    <row r="693" spans="1:7">
      <c r="A693" s="216">
        <v>43891</v>
      </c>
      <c r="B693" t="s">
        <v>51</v>
      </c>
      <c r="C693">
        <v>12</v>
      </c>
      <c r="D693" t="s">
        <v>437</v>
      </c>
      <c r="E693" s="217">
        <v>43891</v>
      </c>
      <c r="F693">
        <v>0</v>
      </c>
      <c r="G693" s="227" t="s">
        <v>105</v>
      </c>
    </row>
    <row r="694" spans="1:7">
      <c r="A694" s="216">
        <v>43891</v>
      </c>
      <c r="B694" t="s">
        <v>51</v>
      </c>
      <c r="C694">
        <v>12</v>
      </c>
      <c r="D694" t="s">
        <v>437</v>
      </c>
      <c r="E694" s="217">
        <v>43891</v>
      </c>
      <c r="F694">
        <v>0</v>
      </c>
      <c r="G694" s="227" t="s">
        <v>100</v>
      </c>
    </row>
    <row r="695" spans="1:7">
      <c r="A695" s="216">
        <v>43891</v>
      </c>
      <c r="B695" t="s">
        <v>51</v>
      </c>
      <c r="C695">
        <v>12</v>
      </c>
      <c r="D695" t="s">
        <v>437</v>
      </c>
      <c r="E695" s="217">
        <v>43891</v>
      </c>
      <c r="F695">
        <v>0</v>
      </c>
      <c r="G695" s="227" t="s">
        <v>83</v>
      </c>
    </row>
    <row r="696" spans="1:7">
      <c r="A696" s="216">
        <v>43891</v>
      </c>
      <c r="B696" t="s">
        <v>51</v>
      </c>
      <c r="C696">
        <v>12</v>
      </c>
      <c r="D696" t="s">
        <v>437</v>
      </c>
      <c r="E696" s="217">
        <v>43891</v>
      </c>
      <c r="F696">
        <v>0</v>
      </c>
      <c r="G696" s="227" t="s">
        <v>127</v>
      </c>
    </row>
    <row r="697" spans="1:7">
      <c r="A697" s="216">
        <v>43891</v>
      </c>
      <c r="B697" t="s">
        <v>51</v>
      </c>
      <c r="C697">
        <v>12</v>
      </c>
      <c r="D697" t="s">
        <v>437</v>
      </c>
      <c r="E697" s="217">
        <v>43891</v>
      </c>
      <c r="F697">
        <v>0</v>
      </c>
      <c r="G697" s="227" t="s">
        <v>123</v>
      </c>
    </row>
    <row r="698" spans="1:7">
      <c r="A698" s="216">
        <v>43891</v>
      </c>
      <c r="B698" t="s">
        <v>51</v>
      </c>
      <c r="C698">
        <v>12</v>
      </c>
      <c r="D698" t="s">
        <v>437</v>
      </c>
      <c r="E698" s="217">
        <v>43891</v>
      </c>
      <c r="F698">
        <v>0</v>
      </c>
      <c r="G698" s="227" t="s">
        <v>119</v>
      </c>
    </row>
    <row r="699" spans="1:7">
      <c r="A699" s="216">
        <v>43891</v>
      </c>
      <c r="B699" t="s">
        <v>51</v>
      </c>
      <c r="C699">
        <v>12</v>
      </c>
      <c r="D699" t="s">
        <v>437</v>
      </c>
      <c r="E699" s="217">
        <v>43891</v>
      </c>
      <c r="F699">
        <v>0</v>
      </c>
      <c r="G699" s="227" t="s">
        <v>88</v>
      </c>
    </row>
    <row r="700" spans="1:7">
      <c r="A700" s="216">
        <v>43891</v>
      </c>
      <c r="B700" t="s">
        <v>51</v>
      </c>
      <c r="C700">
        <v>12</v>
      </c>
      <c r="D700" t="s">
        <v>437</v>
      </c>
      <c r="E700" s="217">
        <v>43891</v>
      </c>
      <c r="F700">
        <v>0</v>
      </c>
      <c r="G700" s="227" t="s">
        <v>96</v>
      </c>
    </row>
    <row r="701" spans="1:7">
      <c r="A701" s="216">
        <v>43891</v>
      </c>
      <c r="B701" t="s">
        <v>51</v>
      </c>
      <c r="C701">
        <v>12</v>
      </c>
      <c r="D701" t="s">
        <v>437</v>
      </c>
      <c r="E701" s="217">
        <v>43891</v>
      </c>
      <c r="F701">
        <v>0</v>
      </c>
      <c r="G701" s="227" t="s">
        <v>92</v>
      </c>
    </row>
    <row r="702" spans="1:7">
      <c r="A702" s="216">
        <v>43891</v>
      </c>
      <c r="B702" t="s">
        <v>51</v>
      </c>
      <c r="C702">
        <v>12</v>
      </c>
      <c r="D702" t="s">
        <v>437</v>
      </c>
      <c r="E702" s="217">
        <v>43891</v>
      </c>
      <c r="F702">
        <v>0</v>
      </c>
      <c r="G702" s="227" t="s">
        <v>110</v>
      </c>
    </row>
    <row r="703" spans="1:7">
      <c r="A703" s="216">
        <v>43891</v>
      </c>
      <c r="B703" t="s">
        <v>51</v>
      </c>
      <c r="C703">
        <v>12</v>
      </c>
      <c r="D703" t="s">
        <v>437</v>
      </c>
      <c r="E703" s="217">
        <v>43891</v>
      </c>
      <c r="F703">
        <v>0</v>
      </c>
      <c r="G703" s="227" t="s">
        <v>434</v>
      </c>
    </row>
    <row r="704" spans="1:7">
      <c r="A704" s="216">
        <v>43891</v>
      </c>
      <c r="B704" t="s">
        <v>1168</v>
      </c>
      <c r="C704">
        <v>6</v>
      </c>
      <c r="D704" t="s">
        <v>442</v>
      </c>
      <c r="E704" s="217">
        <v>43891</v>
      </c>
      <c r="F704">
        <v>5823</v>
      </c>
      <c r="G704" s="227" t="s">
        <v>70</v>
      </c>
    </row>
    <row r="705" spans="1:7">
      <c r="A705" s="216">
        <v>43891</v>
      </c>
      <c r="B705" t="s">
        <v>1168</v>
      </c>
      <c r="C705">
        <v>6</v>
      </c>
      <c r="D705" t="s">
        <v>442</v>
      </c>
      <c r="E705" s="217">
        <v>43891</v>
      </c>
      <c r="F705">
        <v>5650</v>
      </c>
      <c r="G705" s="227" t="s">
        <v>114</v>
      </c>
    </row>
    <row r="706" spans="1:7">
      <c r="A706" s="216">
        <v>43891</v>
      </c>
      <c r="B706" t="s">
        <v>1168</v>
      </c>
      <c r="C706">
        <v>6</v>
      </c>
      <c r="D706" t="s">
        <v>442</v>
      </c>
      <c r="E706" s="217">
        <v>43891</v>
      </c>
      <c r="F706">
        <v>5547</v>
      </c>
      <c r="G706" s="227" t="s">
        <v>105</v>
      </c>
    </row>
    <row r="707" spans="1:7">
      <c r="A707" s="216">
        <v>43891</v>
      </c>
      <c r="B707" t="s">
        <v>1168</v>
      </c>
      <c r="C707">
        <v>6</v>
      </c>
      <c r="D707" t="s">
        <v>442</v>
      </c>
      <c r="E707" s="217">
        <v>43891</v>
      </c>
      <c r="F707">
        <v>6004</v>
      </c>
      <c r="G707" s="227" t="s">
        <v>100</v>
      </c>
    </row>
    <row r="708" spans="1:7">
      <c r="A708" s="216">
        <v>43891</v>
      </c>
      <c r="B708" t="s">
        <v>1168</v>
      </c>
      <c r="C708">
        <v>6</v>
      </c>
      <c r="D708" t="s">
        <v>442</v>
      </c>
      <c r="E708" s="217">
        <v>43891</v>
      </c>
      <c r="F708">
        <v>6128</v>
      </c>
      <c r="G708" s="227" t="s">
        <v>83</v>
      </c>
    </row>
    <row r="709" spans="1:7">
      <c r="A709" s="216">
        <v>43891</v>
      </c>
      <c r="B709" t="s">
        <v>1168</v>
      </c>
      <c r="C709">
        <v>6</v>
      </c>
      <c r="D709" t="s">
        <v>442</v>
      </c>
      <c r="E709" s="217">
        <v>43891</v>
      </c>
      <c r="F709">
        <v>6072</v>
      </c>
      <c r="G709" s="227" t="s">
        <v>127</v>
      </c>
    </row>
    <row r="710" spans="1:7">
      <c r="A710" s="216">
        <v>43891</v>
      </c>
      <c r="B710" t="s">
        <v>1168</v>
      </c>
      <c r="C710">
        <v>6</v>
      </c>
      <c r="D710" t="s">
        <v>442</v>
      </c>
      <c r="E710" s="217">
        <v>43891</v>
      </c>
      <c r="F710">
        <v>6504</v>
      </c>
      <c r="G710" s="227" t="s">
        <v>123</v>
      </c>
    </row>
    <row r="711" spans="1:7">
      <c r="A711" s="216">
        <v>43891</v>
      </c>
      <c r="B711" t="s">
        <v>1168</v>
      </c>
      <c r="C711">
        <v>6</v>
      </c>
      <c r="D711" t="s">
        <v>442</v>
      </c>
      <c r="E711" s="217">
        <v>43891</v>
      </c>
      <c r="F711">
        <v>6407</v>
      </c>
      <c r="G711" s="227" t="s">
        <v>119</v>
      </c>
    </row>
    <row r="712" spans="1:7">
      <c r="A712" s="216">
        <v>43891</v>
      </c>
      <c r="B712" t="s">
        <v>1168</v>
      </c>
      <c r="C712">
        <v>6</v>
      </c>
      <c r="D712" t="s">
        <v>442</v>
      </c>
      <c r="E712" s="217">
        <v>43891</v>
      </c>
      <c r="F712">
        <v>6474</v>
      </c>
      <c r="G712" s="227" t="s">
        <v>88</v>
      </c>
    </row>
    <row r="713" spans="1:7">
      <c r="A713" s="216">
        <v>43891</v>
      </c>
      <c r="B713" t="s">
        <v>1168</v>
      </c>
      <c r="C713">
        <v>6</v>
      </c>
      <c r="D713" t="s">
        <v>442</v>
      </c>
      <c r="E713" s="217">
        <v>43891</v>
      </c>
      <c r="F713">
        <v>6803</v>
      </c>
      <c r="G713" s="227" t="s">
        <v>96</v>
      </c>
    </row>
    <row r="714" spans="1:7">
      <c r="A714" s="216">
        <v>43891</v>
      </c>
      <c r="B714" t="s">
        <v>1168</v>
      </c>
      <c r="C714">
        <v>6</v>
      </c>
      <c r="D714" t="s">
        <v>442</v>
      </c>
      <c r="E714" s="217">
        <v>43891</v>
      </c>
      <c r="F714">
        <v>8205</v>
      </c>
      <c r="G714" s="227" t="s">
        <v>92</v>
      </c>
    </row>
    <row r="715" spans="1:7">
      <c r="A715" s="216">
        <v>43891</v>
      </c>
      <c r="B715" t="s">
        <v>1168</v>
      </c>
      <c r="C715">
        <v>6</v>
      </c>
      <c r="D715" t="s">
        <v>442</v>
      </c>
      <c r="E715" s="217">
        <v>43891</v>
      </c>
      <c r="F715">
        <v>13712</v>
      </c>
      <c r="G715" s="227" t="s">
        <v>110</v>
      </c>
    </row>
    <row r="716" spans="1:7">
      <c r="A716" s="216">
        <v>43891</v>
      </c>
      <c r="B716" t="s">
        <v>1168</v>
      </c>
      <c r="C716">
        <v>6</v>
      </c>
      <c r="D716" t="s">
        <v>442</v>
      </c>
      <c r="E716" s="217">
        <v>43891</v>
      </c>
      <c r="F716">
        <v>83329</v>
      </c>
      <c r="G716" s="227" t="s">
        <v>434</v>
      </c>
    </row>
    <row r="717" spans="1:7">
      <c r="A717" s="216">
        <v>43891</v>
      </c>
      <c r="B717" t="s">
        <v>53</v>
      </c>
      <c r="C717">
        <v>6</v>
      </c>
      <c r="D717" t="s">
        <v>442</v>
      </c>
      <c r="E717" s="217">
        <v>43891</v>
      </c>
      <c r="F717">
        <v>12749.079</v>
      </c>
      <c r="G717" s="227" t="s">
        <v>70</v>
      </c>
    </row>
    <row r="718" spans="1:7">
      <c r="A718" s="216">
        <v>43891</v>
      </c>
      <c r="B718" t="s">
        <v>53</v>
      </c>
      <c r="C718">
        <v>6</v>
      </c>
      <c r="D718" t="s">
        <v>442</v>
      </c>
      <c r="E718" s="217">
        <v>43891</v>
      </c>
      <c r="F718">
        <v>28631</v>
      </c>
      <c r="G718" s="227" t="s">
        <v>114</v>
      </c>
    </row>
    <row r="719" spans="1:7">
      <c r="A719" s="216">
        <v>43891</v>
      </c>
      <c r="B719" t="s">
        <v>53</v>
      </c>
      <c r="C719">
        <v>6</v>
      </c>
      <c r="D719" t="s">
        <v>442</v>
      </c>
      <c r="E719" s="217">
        <v>43891</v>
      </c>
      <c r="F719">
        <v>20545</v>
      </c>
      <c r="G719" s="227" t="s">
        <v>105</v>
      </c>
    </row>
    <row r="720" spans="1:7">
      <c r="A720" s="216">
        <v>43891</v>
      </c>
      <c r="B720" t="s">
        <v>53</v>
      </c>
      <c r="C720">
        <v>6</v>
      </c>
      <c r="D720" t="s">
        <v>442</v>
      </c>
      <c r="E720" s="217">
        <v>43891</v>
      </c>
      <c r="F720">
        <v>19456</v>
      </c>
      <c r="G720" s="227" t="s">
        <v>100</v>
      </c>
    </row>
    <row r="721" spans="1:7">
      <c r="A721" s="216">
        <v>43891</v>
      </c>
      <c r="B721" t="s">
        <v>53</v>
      </c>
      <c r="C721">
        <v>6</v>
      </c>
      <c r="D721" t="s">
        <v>442</v>
      </c>
      <c r="E721" s="217">
        <v>43891</v>
      </c>
      <c r="F721">
        <v>16815</v>
      </c>
      <c r="G721" s="227" t="s">
        <v>83</v>
      </c>
    </row>
    <row r="722" spans="1:7">
      <c r="A722" s="216">
        <v>43891</v>
      </c>
      <c r="B722" t="s">
        <v>53</v>
      </c>
      <c r="C722">
        <v>6</v>
      </c>
      <c r="D722" t="s">
        <v>442</v>
      </c>
      <c r="E722" s="217">
        <v>43891</v>
      </c>
      <c r="F722">
        <v>18024</v>
      </c>
      <c r="G722" s="227" t="s">
        <v>127</v>
      </c>
    </row>
    <row r="723" spans="1:7">
      <c r="A723" s="216">
        <v>43891</v>
      </c>
      <c r="B723" t="s">
        <v>53</v>
      </c>
      <c r="C723">
        <v>6</v>
      </c>
      <c r="D723" t="s">
        <v>442</v>
      </c>
      <c r="E723" s="217">
        <v>43891</v>
      </c>
      <c r="F723">
        <v>21888</v>
      </c>
      <c r="G723" s="227" t="s">
        <v>123</v>
      </c>
    </row>
    <row r="724" spans="1:7">
      <c r="A724" s="216">
        <v>43891</v>
      </c>
      <c r="B724" t="s">
        <v>53</v>
      </c>
      <c r="C724">
        <v>6</v>
      </c>
      <c r="D724" t="s">
        <v>442</v>
      </c>
      <c r="E724" s="217">
        <v>43891</v>
      </c>
      <c r="F724">
        <v>15482.982</v>
      </c>
      <c r="G724" s="227" t="s">
        <v>119</v>
      </c>
    </row>
    <row r="725" spans="1:7">
      <c r="A725" s="216">
        <v>43891</v>
      </c>
      <c r="B725" t="s">
        <v>53</v>
      </c>
      <c r="C725">
        <v>6</v>
      </c>
      <c r="D725" t="s">
        <v>442</v>
      </c>
      <c r="E725" s="217">
        <v>43891</v>
      </c>
      <c r="F725">
        <v>38813</v>
      </c>
      <c r="G725" s="227" t="s">
        <v>88</v>
      </c>
    </row>
    <row r="726" spans="1:7">
      <c r="A726" s="216">
        <v>43891</v>
      </c>
      <c r="B726" t="s">
        <v>53</v>
      </c>
      <c r="C726">
        <v>6</v>
      </c>
      <c r="D726" t="s">
        <v>442</v>
      </c>
      <c r="E726" s="217">
        <v>43891</v>
      </c>
      <c r="F726">
        <v>20811.12</v>
      </c>
      <c r="G726" s="227" t="s">
        <v>96</v>
      </c>
    </row>
    <row r="727" spans="1:7">
      <c r="A727" s="216">
        <v>43891</v>
      </c>
      <c r="B727" t="s">
        <v>53</v>
      </c>
      <c r="C727">
        <v>6</v>
      </c>
      <c r="D727" t="s">
        <v>442</v>
      </c>
      <c r="E727" s="217">
        <v>43891</v>
      </c>
      <c r="F727">
        <v>17361</v>
      </c>
      <c r="G727" s="227" t="s">
        <v>92</v>
      </c>
    </row>
    <row r="728" spans="1:7">
      <c r="A728" s="216">
        <v>43891</v>
      </c>
      <c r="B728" t="s">
        <v>53</v>
      </c>
      <c r="C728">
        <v>6</v>
      </c>
      <c r="D728" t="s">
        <v>442</v>
      </c>
      <c r="E728" s="217">
        <v>43891</v>
      </c>
      <c r="F728">
        <v>54893</v>
      </c>
      <c r="G728" s="227" t="s">
        <v>110</v>
      </c>
    </row>
    <row r="729" spans="1:7">
      <c r="A729" s="216">
        <v>43891</v>
      </c>
      <c r="B729" t="s">
        <v>53</v>
      </c>
      <c r="C729">
        <v>6</v>
      </c>
      <c r="D729" t="s">
        <v>442</v>
      </c>
      <c r="E729" s="217">
        <v>43891</v>
      </c>
      <c r="F729">
        <v>285469.18099999998</v>
      </c>
      <c r="G729" s="227" t="s">
        <v>434</v>
      </c>
    </row>
    <row r="730" spans="1:7">
      <c r="A730" s="216">
        <v>43891</v>
      </c>
      <c r="B730" t="s">
        <v>48</v>
      </c>
      <c r="C730">
        <v>6</v>
      </c>
      <c r="D730" t="s">
        <v>442</v>
      </c>
      <c r="E730" s="217">
        <v>43891</v>
      </c>
      <c r="F730">
        <v>11664</v>
      </c>
      <c r="G730" s="227" t="s">
        <v>70</v>
      </c>
    </row>
    <row r="731" spans="1:7">
      <c r="A731" s="216">
        <v>43891</v>
      </c>
      <c r="B731" t="s">
        <v>48</v>
      </c>
      <c r="C731">
        <v>6</v>
      </c>
      <c r="D731" t="s">
        <v>442</v>
      </c>
      <c r="E731" s="217">
        <v>43891</v>
      </c>
      <c r="F731">
        <v>12605</v>
      </c>
      <c r="G731" s="227" t="s">
        <v>114</v>
      </c>
    </row>
    <row r="732" spans="1:7">
      <c r="A732" s="216">
        <v>43891</v>
      </c>
      <c r="B732" t="s">
        <v>48</v>
      </c>
      <c r="C732">
        <v>6</v>
      </c>
      <c r="D732" t="s">
        <v>442</v>
      </c>
      <c r="E732" s="217">
        <v>43891</v>
      </c>
      <c r="F732">
        <v>11855</v>
      </c>
      <c r="G732" s="227" t="s">
        <v>105</v>
      </c>
    </row>
    <row r="733" spans="1:7">
      <c r="A733" s="216">
        <v>43891</v>
      </c>
      <c r="B733" t="s">
        <v>48</v>
      </c>
      <c r="C733">
        <v>6</v>
      </c>
      <c r="D733" t="s">
        <v>442</v>
      </c>
      <c r="E733" s="217">
        <v>43891</v>
      </c>
      <c r="F733">
        <v>11920</v>
      </c>
      <c r="G733" s="227" t="s">
        <v>100</v>
      </c>
    </row>
    <row r="734" spans="1:7">
      <c r="A734" s="216">
        <v>43891</v>
      </c>
      <c r="B734" t="s">
        <v>48</v>
      </c>
      <c r="C734">
        <v>6</v>
      </c>
      <c r="D734" t="s">
        <v>442</v>
      </c>
      <c r="E734" s="217">
        <v>43891</v>
      </c>
      <c r="F734">
        <v>12233</v>
      </c>
      <c r="G734" s="227" t="s">
        <v>83</v>
      </c>
    </row>
    <row r="735" spans="1:7">
      <c r="A735" s="216">
        <v>43891</v>
      </c>
      <c r="B735" t="s">
        <v>48</v>
      </c>
      <c r="C735">
        <v>6</v>
      </c>
      <c r="D735" t="s">
        <v>442</v>
      </c>
      <c r="E735" s="217">
        <v>43891</v>
      </c>
      <c r="F735">
        <v>12035</v>
      </c>
      <c r="G735" s="227" t="s">
        <v>127</v>
      </c>
    </row>
    <row r="736" spans="1:7">
      <c r="A736" s="216">
        <v>43891</v>
      </c>
      <c r="B736" t="s">
        <v>48</v>
      </c>
      <c r="C736">
        <v>6</v>
      </c>
      <c r="D736" t="s">
        <v>442</v>
      </c>
      <c r="E736" s="217">
        <v>43891</v>
      </c>
      <c r="F736">
        <v>13262</v>
      </c>
      <c r="G736" s="227" t="s">
        <v>123</v>
      </c>
    </row>
    <row r="737" spans="1:7">
      <c r="A737" s="216">
        <v>43891</v>
      </c>
      <c r="B737" t="s">
        <v>48</v>
      </c>
      <c r="C737">
        <v>6</v>
      </c>
      <c r="D737" t="s">
        <v>442</v>
      </c>
      <c r="E737" s="217">
        <v>43891</v>
      </c>
      <c r="F737">
        <v>12524</v>
      </c>
      <c r="G737" s="227" t="s">
        <v>119</v>
      </c>
    </row>
    <row r="738" spans="1:7">
      <c r="A738" s="216">
        <v>43891</v>
      </c>
      <c r="B738" t="s">
        <v>48</v>
      </c>
      <c r="C738">
        <v>6</v>
      </c>
      <c r="D738" t="s">
        <v>442</v>
      </c>
      <c r="E738" s="217">
        <v>43891</v>
      </c>
      <c r="F738">
        <v>12570</v>
      </c>
      <c r="G738" s="227" t="s">
        <v>88</v>
      </c>
    </row>
    <row r="739" spans="1:7">
      <c r="A739" s="216">
        <v>43891</v>
      </c>
      <c r="B739" t="s">
        <v>48</v>
      </c>
      <c r="C739">
        <v>6</v>
      </c>
      <c r="D739" t="s">
        <v>442</v>
      </c>
      <c r="E739" s="217">
        <v>43891</v>
      </c>
      <c r="F739">
        <v>13261</v>
      </c>
      <c r="G739" s="227" t="s">
        <v>96</v>
      </c>
    </row>
    <row r="740" spans="1:7">
      <c r="A740" s="216">
        <v>43891</v>
      </c>
      <c r="B740" t="s">
        <v>48</v>
      </c>
      <c r="C740">
        <v>6</v>
      </c>
      <c r="D740" t="s">
        <v>442</v>
      </c>
      <c r="E740" s="217">
        <v>43891</v>
      </c>
      <c r="F740">
        <v>11939</v>
      </c>
      <c r="G740" s="227" t="s">
        <v>92</v>
      </c>
    </row>
    <row r="741" spans="1:7">
      <c r="A741" s="216">
        <v>43891</v>
      </c>
      <c r="B741" t="s">
        <v>48</v>
      </c>
      <c r="C741">
        <v>6</v>
      </c>
      <c r="D741" t="s">
        <v>442</v>
      </c>
      <c r="E741" s="217">
        <v>43891</v>
      </c>
      <c r="F741">
        <v>19479</v>
      </c>
      <c r="G741" s="227" t="s">
        <v>110</v>
      </c>
    </row>
    <row r="742" spans="1:7">
      <c r="A742" s="216">
        <v>43891</v>
      </c>
      <c r="B742" t="s">
        <v>48</v>
      </c>
      <c r="C742">
        <v>6</v>
      </c>
      <c r="D742" t="s">
        <v>442</v>
      </c>
      <c r="E742" s="217">
        <v>43891</v>
      </c>
      <c r="F742">
        <v>155347</v>
      </c>
      <c r="G742" s="227" t="s">
        <v>434</v>
      </c>
    </row>
    <row r="743" spans="1:7">
      <c r="A743" s="216">
        <v>43891</v>
      </c>
      <c r="B743" t="s">
        <v>47</v>
      </c>
      <c r="C743">
        <v>4</v>
      </c>
      <c r="D743" t="s">
        <v>442</v>
      </c>
      <c r="E743" s="217">
        <v>43891</v>
      </c>
      <c r="F743">
        <v>26891.79</v>
      </c>
      <c r="G743" s="227" t="s">
        <v>70</v>
      </c>
    </row>
    <row r="744" spans="1:7">
      <c r="A744" s="216">
        <v>43891</v>
      </c>
      <c r="B744" t="s">
        <v>47</v>
      </c>
      <c r="C744">
        <v>4</v>
      </c>
      <c r="D744" t="s">
        <v>442</v>
      </c>
      <c r="E744" s="217">
        <v>43891</v>
      </c>
      <c r="F744">
        <v>26378.86</v>
      </c>
      <c r="G744" s="227" t="s">
        <v>114</v>
      </c>
    </row>
    <row r="745" spans="1:7">
      <c r="A745" s="216">
        <v>43891</v>
      </c>
      <c r="B745" t="s">
        <v>47</v>
      </c>
      <c r="C745">
        <v>4</v>
      </c>
      <c r="D745" t="s">
        <v>442</v>
      </c>
      <c r="E745" s="217">
        <v>43891</v>
      </c>
      <c r="F745">
        <v>26841.9</v>
      </c>
      <c r="G745" s="227" t="s">
        <v>105</v>
      </c>
    </row>
    <row r="746" spans="1:7">
      <c r="A746" s="216">
        <v>43891</v>
      </c>
      <c r="B746" t="s">
        <v>47</v>
      </c>
      <c r="C746">
        <v>4</v>
      </c>
      <c r="D746" t="s">
        <v>442</v>
      </c>
      <c r="E746" s="217">
        <v>43891</v>
      </c>
      <c r="F746">
        <v>26822.98</v>
      </c>
      <c r="G746" s="227" t="s">
        <v>100</v>
      </c>
    </row>
    <row r="747" spans="1:7">
      <c r="A747" s="216">
        <v>43891</v>
      </c>
      <c r="B747" t="s">
        <v>47</v>
      </c>
      <c r="C747">
        <v>4</v>
      </c>
      <c r="D747" t="s">
        <v>442</v>
      </c>
      <c r="E747" s="217">
        <v>43891</v>
      </c>
      <c r="F747">
        <v>26804.6</v>
      </c>
      <c r="G747" s="227" t="s">
        <v>83</v>
      </c>
    </row>
    <row r="748" spans="1:7">
      <c r="A748" s="216">
        <v>43891</v>
      </c>
      <c r="B748" t="s">
        <v>47</v>
      </c>
      <c r="C748">
        <v>4</v>
      </c>
      <c r="D748" t="s">
        <v>442</v>
      </c>
      <c r="E748" s="217">
        <v>43891</v>
      </c>
      <c r="F748">
        <v>26968.37</v>
      </c>
      <c r="G748" s="227" t="s">
        <v>127</v>
      </c>
    </row>
    <row r="749" spans="1:7">
      <c r="A749" s="216">
        <v>43891</v>
      </c>
      <c r="B749" t="s">
        <v>47</v>
      </c>
      <c r="C749">
        <v>4</v>
      </c>
      <c r="D749" t="s">
        <v>442</v>
      </c>
      <c r="E749" s="217">
        <v>43891</v>
      </c>
      <c r="F749">
        <v>26720.1</v>
      </c>
      <c r="G749" s="227" t="s">
        <v>123</v>
      </c>
    </row>
    <row r="750" spans="1:7">
      <c r="A750" s="216">
        <v>43891</v>
      </c>
      <c r="B750" t="s">
        <v>47</v>
      </c>
      <c r="C750">
        <v>4</v>
      </c>
      <c r="D750" t="s">
        <v>442</v>
      </c>
      <c r="E750" s="217">
        <v>43891</v>
      </c>
      <c r="F750">
        <v>27406.63</v>
      </c>
      <c r="G750" s="227" t="s">
        <v>119</v>
      </c>
    </row>
    <row r="751" spans="1:7">
      <c r="A751" s="216">
        <v>43891</v>
      </c>
      <c r="B751" t="s">
        <v>47</v>
      </c>
      <c r="C751">
        <v>4</v>
      </c>
      <c r="D751" t="s">
        <v>442</v>
      </c>
      <c r="E751" s="217">
        <v>43891</v>
      </c>
      <c r="F751">
        <v>27449.01</v>
      </c>
      <c r="G751" s="227" t="s">
        <v>88</v>
      </c>
    </row>
    <row r="752" spans="1:7">
      <c r="A752" s="216">
        <v>43891</v>
      </c>
      <c r="B752" t="s">
        <v>47</v>
      </c>
      <c r="C752">
        <v>4</v>
      </c>
      <c r="D752" t="s">
        <v>442</v>
      </c>
      <c r="E752" s="217">
        <v>43891</v>
      </c>
      <c r="F752">
        <v>27927.48</v>
      </c>
      <c r="G752" s="227" t="s">
        <v>96</v>
      </c>
    </row>
    <row r="753" spans="1:7">
      <c r="A753" s="216">
        <v>43891</v>
      </c>
      <c r="B753" t="s">
        <v>47</v>
      </c>
      <c r="C753">
        <v>4</v>
      </c>
      <c r="D753" t="s">
        <v>442</v>
      </c>
      <c r="E753" s="217">
        <v>43891</v>
      </c>
      <c r="F753">
        <v>27889.38</v>
      </c>
      <c r="G753" s="227" t="s">
        <v>92</v>
      </c>
    </row>
    <row r="754" spans="1:7">
      <c r="A754" s="216">
        <v>43891</v>
      </c>
      <c r="B754" t="s">
        <v>47</v>
      </c>
      <c r="C754">
        <v>4</v>
      </c>
      <c r="D754" t="s">
        <v>442</v>
      </c>
      <c r="E754" s="217">
        <v>43891</v>
      </c>
      <c r="F754">
        <v>35658.78</v>
      </c>
      <c r="G754" s="227" t="s">
        <v>110</v>
      </c>
    </row>
    <row r="755" spans="1:7">
      <c r="A755" s="216">
        <v>43891</v>
      </c>
      <c r="B755" t="s">
        <v>47</v>
      </c>
      <c r="C755">
        <v>4</v>
      </c>
      <c r="D755" t="s">
        <v>442</v>
      </c>
      <c r="E755" s="217">
        <v>43891</v>
      </c>
      <c r="F755">
        <v>333759.88</v>
      </c>
      <c r="G755" s="227" t="s">
        <v>434</v>
      </c>
    </row>
    <row r="756" spans="1:7">
      <c r="A756" s="216">
        <v>43891</v>
      </c>
      <c r="B756" t="s">
        <v>47</v>
      </c>
      <c r="C756">
        <v>5</v>
      </c>
      <c r="D756" t="s">
        <v>451</v>
      </c>
      <c r="E756" s="217">
        <v>43891</v>
      </c>
      <c r="F756">
        <v>3572</v>
      </c>
      <c r="G756" s="227" t="s">
        <v>70</v>
      </c>
    </row>
    <row r="757" spans="1:7">
      <c r="A757" s="216">
        <v>43891</v>
      </c>
      <c r="B757" t="s">
        <v>47</v>
      </c>
      <c r="C757">
        <v>5</v>
      </c>
      <c r="D757" t="s">
        <v>451</v>
      </c>
      <c r="E757" s="217">
        <v>43891</v>
      </c>
      <c r="F757">
        <v>3556.91</v>
      </c>
      <c r="G757" s="227" t="s">
        <v>114</v>
      </c>
    </row>
    <row r="758" spans="1:7">
      <c r="A758" s="216">
        <v>43891</v>
      </c>
      <c r="B758" t="s">
        <v>47</v>
      </c>
      <c r="C758">
        <v>5</v>
      </c>
      <c r="D758" t="s">
        <v>451</v>
      </c>
      <c r="E758" s="217">
        <v>43891</v>
      </c>
      <c r="F758">
        <v>3725.8</v>
      </c>
      <c r="G758" s="227" t="s">
        <v>105</v>
      </c>
    </row>
    <row r="759" spans="1:7">
      <c r="A759" s="216">
        <v>43891</v>
      </c>
      <c r="B759" t="s">
        <v>47</v>
      </c>
      <c r="C759">
        <v>5</v>
      </c>
      <c r="D759" t="s">
        <v>451</v>
      </c>
      <c r="E759" s="217">
        <v>43891</v>
      </c>
      <c r="F759">
        <v>3502.32</v>
      </c>
      <c r="G759" s="227" t="s">
        <v>100</v>
      </c>
    </row>
    <row r="760" spans="1:7">
      <c r="A760" s="216">
        <v>43891</v>
      </c>
      <c r="B760" t="s">
        <v>47</v>
      </c>
      <c r="C760">
        <v>5</v>
      </c>
      <c r="D760" t="s">
        <v>451</v>
      </c>
      <c r="E760" s="217">
        <v>43891</v>
      </c>
      <c r="F760">
        <v>3523.04</v>
      </c>
      <c r="G760" s="227" t="s">
        <v>83</v>
      </c>
    </row>
    <row r="761" spans="1:7">
      <c r="A761" s="216">
        <v>43891</v>
      </c>
      <c r="B761" t="s">
        <v>47</v>
      </c>
      <c r="C761">
        <v>5</v>
      </c>
      <c r="D761" t="s">
        <v>451</v>
      </c>
      <c r="E761" s="217">
        <v>43891</v>
      </c>
      <c r="F761">
        <v>3722.69</v>
      </c>
      <c r="G761" s="227" t="s">
        <v>127</v>
      </c>
    </row>
    <row r="762" spans="1:7">
      <c r="A762" s="216">
        <v>43891</v>
      </c>
      <c r="B762" t="s">
        <v>47</v>
      </c>
      <c r="C762">
        <v>5</v>
      </c>
      <c r="D762" t="s">
        <v>451</v>
      </c>
      <c r="E762" s="217">
        <v>43891</v>
      </c>
      <c r="F762">
        <v>3840.56</v>
      </c>
      <c r="G762" s="227" t="s">
        <v>123</v>
      </c>
    </row>
    <row r="763" spans="1:7">
      <c r="A763" s="216">
        <v>43891</v>
      </c>
      <c r="B763" t="s">
        <v>47</v>
      </c>
      <c r="C763">
        <v>5</v>
      </c>
      <c r="D763" t="s">
        <v>451</v>
      </c>
      <c r="E763" s="217">
        <v>43891</v>
      </c>
      <c r="F763">
        <v>3785.36</v>
      </c>
      <c r="G763" s="227" t="s">
        <v>119</v>
      </c>
    </row>
    <row r="764" spans="1:7">
      <c r="A764" s="216">
        <v>43891</v>
      </c>
      <c r="B764" t="s">
        <v>47</v>
      </c>
      <c r="C764">
        <v>5</v>
      </c>
      <c r="D764" t="s">
        <v>451</v>
      </c>
      <c r="E764" s="217">
        <v>43891</v>
      </c>
      <c r="F764">
        <v>3549.45</v>
      </c>
      <c r="G764" s="227" t="s">
        <v>88</v>
      </c>
    </row>
    <row r="765" spans="1:7">
      <c r="A765" s="216">
        <v>43891</v>
      </c>
      <c r="B765" t="s">
        <v>47</v>
      </c>
      <c r="C765">
        <v>5</v>
      </c>
      <c r="D765" t="s">
        <v>451</v>
      </c>
      <c r="E765" s="217">
        <v>43891</v>
      </c>
      <c r="F765">
        <v>4106.6899999999996</v>
      </c>
      <c r="G765" s="227" t="s">
        <v>96</v>
      </c>
    </row>
    <row r="766" spans="1:7">
      <c r="A766" s="216">
        <v>43891</v>
      </c>
      <c r="B766" t="s">
        <v>47</v>
      </c>
      <c r="C766">
        <v>5</v>
      </c>
      <c r="D766" t="s">
        <v>451</v>
      </c>
      <c r="E766" s="217">
        <v>43891</v>
      </c>
      <c r="F766">
        <v>3150.27</v>
      </c>
      <c r="G766" s="227" t="s">
        <v>92</v>
      </c>
    </row>
    <row r="767" spans="1:7">
      <c r="A767" s="216">
        <v>43891</v>
      </c>
      <c r="B767" t="s">
        <v>47</v>
      </c>
      <c r="C767">
        <v>5</v>
      </c>
      <c r="D767" t="s">
        <v>451</v>
      </c>
      <c r="E767" s="217">
        <v>43891</v>
      </c>
      <c r="F767">
        <v>3750.96</v>
      </c>
      <c r="G767" s="227" t="s">
        <v>110</v>
      </c>
    </row>
    <row r="768" spans="1:7">
      <c r="A768" s="216">
        <v>43891</v>
      </c>
      <c r="B768" t="s">
        <v>47</v>
      </c>
      <c r="C768">
        <v>5</v>
      </c>
      <c r="D768" t="s">
        <v>451</v>
      </c>
      <c r="E768" s="217">
        <v>43891</v>
      </c>
      <c r="F768">
        <v>43786.05</v>
      </c>
      <c r="G768" s="227" t="s">
        <v>434</v>
      </c>
    </row>
    <row r="769" spans="1:7">
      <c r="A769" s="216">
        <v>43891</v>
      </c>
      <c r="B769" t="s">
        <v>47</v>
      </c>
      <c r="C769">
        <v>6</v>
      </c>
      <c r="D769" t="s">
        <v>450</v>
      </c>
      <c r="E769" s="217">
        <v>43891</v>
      </c>
      <c r="F769">
        <v>2384</v>
      </c>
      <c r="G769" s="227" t="s">
        <v>70</v>
      </c>
    </row>
    <row r="770" spans="1:7">
      <c r="A770" s="216">
        <v>43891</v>
      </c>
      <c r="B770" t="s">
        <v>47</v>
      </c>
      <c r="C770">
        <v>6</v>
      </c>
      <c r="D770" t="s">
        <v>450</v>
      </c>
      <c r="E770" s="217">
        <v>43891</v>
      </c>
      <c r="F770">
        <v>2397.6799999999998</v>
      </c>
      <c r="G770" s="227" t="s">
        <v>114</v>
      </c>
    </row>
    <row r="771" spans="1:7">
      <c r="A771" s="216">
        <v>43891</v>
      </c>
      <c r="B771" t="s">
        <v>47</v>
      </c>
      <c r="C771">
        <v>6</v>
      </c>
      <c r="D771" t="s">
        <v>450</v>
      </c>
      <c r="E771" s="217">
        <v>43891</v>
      </c>
      <c r="F771">
        <v>2267.27</v>
      </c>
      <c r="G771" s="227" t="s">
        <v>105</v>
      </c>
    </row>
    <row r="772" spans="1:7">
      <c r="A772" s="216">
        <v>43891</v>
      </c>
      <c r="B772" t="s">
        <v>47</v>
      </c>
      <c r="C772">
        <v>6</v>
      </c>
      <c r="D772" t="s">
        <v>450</v>
      </c>
      <c r="E772" s="217">
        <v>43891</v>
      </c>
      <c r="F772">
        <v>2446.5500000000002</v>
      </c>
      <c r="G772" s="227" t="s">
        <v>100</v>
      </c>
    </row>
    <row r="773" spans="1:7">
      <c r="A773" s="216">
        <v>43891</v>
      </c>
      <c r="B773" t="s">
        <v>47</v>
      </c>
      <c r="C773">
        <v>6</v>
      </c>
      <c r="D773" t="s">
        <v>450</v>
      </c>
      <c r="E773" s="217">
        <v>43891</v>
      </c>
      <c r="F773">
        <v>2379.63</v>
      </c>
      <c r="G773" s="227" t="s">
        <v>83</v>
      </c>
    </row>
    <row r="774" spans="1:7">
      <c r="A774" s="216">
        <v>43891</v>
      </c>
      <c r="B774" t="s">
        <v>47</v>
      </c>
      <c r="C774">
        <v>6</v>
      </c>
      <c r="D774" t="s">
        <v>450</v>
      </c>
      <c r="E774" s="217">
        <v>43891</v>
      </c>
      <c r="F774">
        <v>2375.09</v>
      </c>
      <c r="G774" s="227" t="s">
        <v>127</v>
      </c>
    </row>
    <row r="775" spans="1:7">
      <c r="A775" s="216">
        <v>43891</v>
      </c>
      <c r="B775" t="s">
        <v>47</v>
      </c>
      <c r="C775">
        <v>6</v>
      </c>
      <c r="D775" t="s">
        <v>450</v>
      </c>
      <c r="E775" s="217">
        <v>43891</v>
      </c>
      <c r="F775">
        <v>2128.66</v>
      </c>
      <c r="G775" s="227" t="s">
        <v>123</v>
      </c>
    </row>
    <row r="776" spans="1:7">
      <c r="A776" s="216">
        <v>43891</v>
      </c>
      <c r="B776" t="s">
        <v>47</v>
      </c>
      <c r="C776">
        <v>6</v>
      </c>
      <c r="D776" t="s">
        <v>450</v>
      </c>
      <c r="E776" s="217">
        <v>43891</v>
      </c>
      <c r="F776">
        <v>2417.2399999999998</v>
      </c>
      <c r="G776" s="227" t="s">
        <v>119</v>
      </c>
    </row>
    <row r="777" spans="1:7">
      <c r="A777" s="216">
        <v>43891</v>
      </c>
      <c r="B777" t="s">
        <v>47</v>
      </c>
      <c r="C777">
        <v>6</v>
      </c>
      <c r="D777" t="s">
        <v>450</v>
      </c>
      <c r="E777" s="217">
        <v>43891</v>
      </c>
      <c r="F777">
        <v>2373.8000000000002</v>
      </c>
      <c r="G777" s="227" t="s">
        <v>88</v>
      </c>
    </row>
    <row r="778" spans="1:7">
      <c r="A778" s="216">
        <v>43891</v>
      </c>
      <c r="B778" t="s">
        <v>47</v>
      </c>
      <c r="C778">
        <v>6</v>
      </c>
      <c r="D778" t="s">
        <v>450</v>
      </c>
      <c r="E778" s="217">
        <v>43891</v>
      </c>
      <c r="F778">
        <v>2599.19</v>
      </c>
      <c r="G778" s="227" t="s">
        <v>96</v>
      </c>
    </row>
    <row r="779" spans="1:7">
      <c r="A779" s="216">
        <v>43891</v>
      </c>
      <c r="B779" t="s">
        <v>47</v>
      </c>
      <c r="C779">
        <v>6</v>
      </c>
      <c r="D779" t="s">
        <v>450</v>
      </c>
      <c r="E779" s="217">
        <v>43891</v>
      </c>
      <c r="F779">
        <v>2869.53</v>
      </c>
      <c r="G779" s="227" t="s">
        <v>92</v>
      </c>
    </row>
    <row r="780" spans="1:7">
      <c r="A780" s="216">
        <v>43891</v>
      </c>
      <c r="B780" t="s">
        <v>47</v>
      </c>
      <c r="C780">
        <v>6</v>
      </c>
      <c r="D780" t="s">
        <v>450</v>
      </c>
      <c r="E780" s="217">
        <v>43891</v>
      </c>
      <c r="F780">
        <v>2757.42</v>
      </c>
      <c r="G780" s="227" t="s">
        <v>110</v>
      </c>
    </row>
    <row r="781" spans="1:7">
      <c r="A781" s="216">
        <v>43891</v>
      </c>
      <c r="B781" t="s">
        <v>47</v>
      </c>
      <c r="C781">
        <v>6</v>
      </c>
      <c r="D781" t="s">
        <v>450</v>
      </c>
      <c r="E781" s="217">
        <v>43891</v>
      </c>
      <c r="F781">
        <v>29396.06</v>
      </c>
      <c r="G781" s="227" t="s">
        <v>434</v>
      </c>
    </row>
    <row r="782" spans="1:7">
      <c r="A782" s="216">
        <v>43891</v>
      </c>
      <c r="B782" t="s">
        <v>47</v>
      </c>
      <c r="C782">
        <v>7</v>
      </c>
      <c r="D782" t="s">
        <v>433</v>
      </c>
      <c r="E782" s="217">
        <v>43891</v>
      </c>
      <c r="F782">
        <v>6404.57</v>
      </c>
      <c r="G782" s="227" t="s">
        <v>70</v>
      </c>
    </row>
    <row r="783" spans="1:7">
      <c r="A783" s="216">
        <v>43891</v>
      </c>
      <c r="B783" t="s">
        <v>47</v>
      </c>
      <c r="C783">
        <v>7</v>
      </c>
      <c r="D783" t="s">
        <v>433</v>
      </c>
      <c r="E783" s="217">
        <v>43891</v>
      </c>
      <c r="F783">
        <v>5948.49</v>
      </c>
      <c r="G783" s="227" t="s">
        <v>114</v>
      </c>
    </row>
    <row r="784" spans="1:7">
      <c r="A784" s="216">
        <v>43891</v>
      </c>
      <c r="B784" t="s">
        <v>47</v>
      </c>
      <c r="C784">
        <v>7</v>
      </c>
      <c r="D784" t="s">
        <v>433</v>
      </c>
      <c r="E784" s="217">
        <v>43891</v>
      </c>
      <c r="F784">
        <v>6089.03</v>
      </c>
      <c r="G784" s="227" t="s">
        <v>105</v>
      </c>
    </row>
    <row r="785" spans="1:7">
      <c r="A785" s="216">
        <v>43891</v>
      </c>
      <c r="B785" t="s">
        <v>47</v>
      </c>
      <c r="C785">
        <v>7</v>
      </c>
      <c r="D785" t="s">
        <v>433</v>
      </c>
      <c r="E785" s="217">
        <v>43891</v>
      </c>
      <c r="F785">
        <v>6155.04</v>
      </c>
      <c r="G785" s="227" t="s">
        <v>100</v>
      </c>
    </row>
    <row r="786" spans="1:7">
      <c r="A786" s="216">
        <v>43891</v>
      </c>
      <c r="B786" t="s">
        <v>47</v>
      </c>
      <c r="C786">
        <v>7</v>
      </c>
      <c r="D786" t="s">
        <v>433</v>
      </c>
      <c r="E786" s="217">
        <v>43891</v>
      </c>
      <c r="F786">
        <v>6086.07</v>
      </c>
      <c r="G786" s="227" t="s">
        <v>83</v>
      </c>
    </row>
    <row r="787" spans="1:7">
      <c r="A787" s="216">
        <v>43891</v>
      </c>
      <c r="B787" t="s">
        <v>47</v>
      </c>
      <c r="C787">
        <v>7</v>
      </c>
      <c r="D787" t="s">
        <v>433</v>
      </c>
      <c r="E787" s="217">
        <v>43891</v>
      </c>
      <c r="F787">
        <v>6120.62</v>
      </c>
      <c r="G787" s="227" t="s">
        <v>127</v>
      </c>
    </row>
    <row r="788" spans="1:7">
      <c r="A788" s="216">
        <v>43891</v>
      </c>
      <c r="B788" t="s">
        <v>47</v>
      </c>
      <c r="C788">
        <v>7</v>
      </c>
      <c r="D788" t="s">
        <v>433</v>
      </c>
      <c r="E788" s="217">
        <v>43891</v>
      </c>
      <c r="F788">
        <v>6402.41</v>
      </c>
      <c r="G788" s="227" t="s">
        <v>123</v>
      </c>
    </row>
    <row r="789" spans="1:7">
      <c r="A789" s="216">
        <v>43891</v>
      </c>
      <c r="B789" t="s">
        <v>47</v>
      </c>
      <c r="C789">
        <v>7</v>
      </c>
      <c r="D789" t="s">
        <v>433</v>
      </c>
      <c r="E789" s="217">
        <v>43891</v>
      </c>
      <c r="F789">
        <v>6344.16</v>
      </c>
      <c r="G789" s="227" t="s">
        <v>119</v>
      </c>
    </row>
    <row r="790" spans="1:7">
      <c r="A790" s="216">
        <v>43891</v>
      </c>
      <c r="B790" t="s">
        <v>47</v>
      </c>
      <c r="C790">
        <v>7</v>
      </c>
      <c r="D790" t="s">
        <v>433</v>
      </c>
      <c r="E790" s="217">
        <v>43891</v>
      </c>
      <c r="F790">
        <v>6164.9</v>
      </c>
      <c r="G790" s="227" t="s">
        <v>88</v>
      </c>
    </row>
    <row r="791" spans="1:7">
      <c r="A791" s="216">
        <v>43891</v>
      </c>
      <c r="B791" t="s">
        <v>47</v>
      </c>
      <c r="C791">
        <v>7</v>
      </c>
      <c r="D791" t="s">
        <v>433</v>
      </c>
      <c r="E791" s="217">
        <v>43891</v>
      </c>
      <c r="F791">
        <v>6281.69</v>
      </c>
      <c r="G791" s="227" t="s">
        <v>96</v>
      </c>
    </row>
    <row r="792" spans="1:7">
      <c r="A792" s="216">
        <v>43891</v>
      </c>
      <c r="B792" t="s">
        <v>47</v>
      </c>
      <c r="C792">
        <v>7</v>
      </c>
      <c r="D792" t="s">
        <v>433</v>
      </c>
      <c r="E792" s="217">
        <v>43891</v>
      </c>
      <c r="F792">
        <v>6408.17</v>
      </c>
      <c r="G792" s="227" t="s">
        <v>92</v>
      </c>
    </row>
    <row r="793" spans="1:7">
      <c r="A793" s="216">
        <v>43891</v>
      </c>
      <c r="B793" t="s">
        <v>47</v>
      </c>
      <c r="C793">
        <v>7</v>
      </c>
      <c r="D793" t="s">
        <v>433</v>
      </c>
      <c r="E793" s="217">
        <v>43891</v>
      </c>
      <c r="F793">
        <v>9895.49</v>
      </c>
      <c r="G793" s="227" t="s">
        <v>110</v>
      </c>
    </row>
    <row r="794" spans="1:7">
      <c r="A794" s="216">
        <v>43891</v>
      </c>
      <c r="B794" t="s">
        <v>47</v>
      </c>
      <c r="C794">
        <v>7</v>
      </c>
      <c r="D794" t="s">
        <v>433</v>
      </c>
      <c r="E794" s="217">
        <v>43891</v>
      </c>
      <c r="F794">
        <v>78300.639999999999</v>
      </c>
      <c r="G794" s="227" t="s">
        <v>434</v>
      </c>
    </row>
    <row r="795" spans="1:7">
      <c r="A795" s="216">
        <v>43891</v>
      </c>
      <c r="B795" t="s">
        <v>47</v>
      </c>
      <c r="C795">
        <v>8</v>
      </c>
      <c r="D795" t="s">
        <v>445</v>
      </c>
      <c r="E795" s="217">
        <v>43891</v>
      </c>
      <c r="F795">
        <v>1409.22</v>
      </c>
      <c r="G795" s="227" t="s">
        <v>70</v>
      </c>
    </row>
    <row r="796" spans="1:7">
      <c r="A796" s="216">
        <v>43891</v>
      </c>
      <c r="B796" t="s">
        <v>47</v>
      </c>
      <c r="C796">
        <v>8</v>
      </c>
      <c r="D796" t="s">
        <v>445</v>
      </c>
      <c r="E796" s="217">
        <v>43891</v>
      </c>
      <c r="F796">
        <v>1358.59</v>
      </c>
      <c r="G796" s="227" t="s">
        <v>114</v>
      </c>
    </row>
    <row r="797" spans="1:7">
      <c r="A797" s="216">
        <v>43891</v>
      </c>
      <c r="B797" t="s">
        <v>47</v>
      </c>
      <c r="C797">
        <v>8</v>
      </c>
      <c r="D797" t="s">
        <v>445</v>
      </c>
      <c r="E797" s="217">
        <v>43891</v>
      </c>
      <c r="F797">
        <v>1614.1</v>
      </c>
      <c r="G797" s="227" t="s">
        <v>105</v>
      </c>
    </row>
    <row r="798" spans="1:7">
      <c r="A798" s="216">
        <v>43891</v>
      </c>
      <c r="B798" t="s">
        <v>47</v>
      </c>
      <c r="C798">
        <v>8</v>
      </c>
      <c r="D798" t="s">
        <v>445</v>
      </c>
      <c r="E798" s="217">
        <v>43891</v>
      </c>
      <c r="F798">
        <v>1555.56</v>
      </c>
      <c r="G798" s="227" t="s">
        <v>100</v>
      </c>
    </row>
    <row r="799" spans="1:7">
      <c r="A799" s="216">
        <v>43891</v>
      </c>
      <c r="B799" t="s">
        <v>47</v>
      </c>
      <c r="C799">
        <v>8</v>
      </c>
      <c r="D799" t="s">
        <v>445</v>
      </c>
      <c r="E799" s="217">
        <v>43891</v>
      </c>
      <c r="F799">
        <v>1303.3599999999999</v>
      </c>
      <c r="G799" s="227" t="s">
        <v>83</v>
      </c>
    </row>
    <row r="800" spans="1:7">
      <c r="A800" s="216">
        <v>43891</v>
      </c>
      <c r="B800" t="s">
        <v>47</v>
      </c>
      <c r="C800">
        <v>8</v>
      </c>
      <c r="D800" t="s">
        <v>445</v>
      </c>
      <c r="E800" s="217">
        <v>43891</v>
      </c>
      <c r="F800">
        <v>1283.27</v>
      </c>
      <c r="G800" s="227" t="s">
        <v>127</v>
      </c>
    </row>
    <row r="801" spans="1:7">
      <c r="A801" s="216">
        <v>43891</v>
      </c>
      <c r="B801" t="s">
        <v>47</v>
      </c>
      <c r="C801">
        <v>8</v>
      </c>
      <c r="D801" t="s">
        <v>445</v>
      </c>
      <c r="E801" s="217">
        <v>43891</v>
      </c>
      <c r="F801">
        <v>925.71</v>
      </c>
      <c r="G801" s="227" t="s">
        <v>123</v>
      </c>
    </row>
    <row r="802" spans="1:7">
      <c r="A802" s="216">
        <v>43891</v>
      </c>
      <c r="B802" t="s">
        <v>47</v>
      </c>
      <c r="C802">
        <v>8</v>
      </c>
      <c r="D802" t="s">
        <v>445</v>
      </c>
      <c r="E802" s="217">
        <v>43891</v>
      </c>
      <c r="F802">
        <v>631.63</v>
      </c>
      <c r="G802" s="227" t="s">
        <v>119</v>
      </c>
    </row>
    <row r="803" spans="1:7">
      <c r="A803" s="216">
        <v>43891</v>
      </c>
      <c r="B803" t="s">
        <v>47</v>
      </c>
      <c r="C803">
        <v>8</v>
      </c>
      <c r="D803" t="s">
        <v>445</v>
      </c>
      <c r="E803" s="217">
        <v>43891</v>
      </c>
      <c r="F803">
        <v>1637.12</v>
      </c>
      <c r="G803" s="227" t="s">
        <v>88</v>
      </c>
    </row>
    <row r="804" spans="1:7">
      <c r="A804" s="216">
        <v>43891</v>
      </c>
      <c r="B804" t="s">
        <v>47</v>
      </c>
      <c r="C804">
        <v>8</v>
      </c>
      <c r="D804" t="s">
        <v>445</v>
      </c>
      <c r="E804" s="217">
        <v>43891</v>
      </c>
      <c r="F804">
        <v>1075.6199999999999</v>
      </c>
      <c r="G804" s="227" t="s">
        <v>96</v>
      </c>
    </row>
    <row r="805" spans="1:7">
      <c r="A805" s="216">
        <v>43891</v>
      </c>
      <c r="B805" t="s">
        <v>47</v>
      </c>
      <c r="C805">
        <v>8</v>
      </c>
      <c r="D805" t="s">
        <v>445</v>
      </c>
      <c r="E805" s="217">
        <v>43891</v>
      </c>
      <c r="F805">
        <v>960.32</v>
      </c>
      <c r="G805" s="227" t="s">
        <v>92</v>
      </c>
    </row>
    <row r="806" spans="1:7">
      <c r="A806" s="216">
        <v>43891</v>
      </c>
      <c r="B806" t="s">
        <v>47</v>
      </c>
      <c r="C806">
        <v>8</v>
      </c>
      <c r="D806" t="s">
        <v>445</v>
      </c>
      <c r="E806" s="217">
        <v>43891</v>
      </c>
      <c r="F806">
        <v>1966.59</v>
      </c>
      <c r="G806" s="227" t="s">
        <v>110</v>
      </c>
    </row>
    <row r="807" spans="1:7">
      <c r="A807" s="216">
        <v>43891</v>
      </c>
      <c r="B807" t="s">
        <v>47</v>
      </c>
      <c r="C807">
        <v>8</v>
      </c>
      <c r="D807" t="s">
        <v>445</v>
      </c>
      <c r="E807" s="217">
        <v>43891</v>
      </c>
      <c r="F807">
        <v>15721.09</v>
      </c>
      <c r="G807" s="227" t="s">
        <v>434</v>
      </c>
    </row>
    <row r="808" spans="1:7">
      <c r="A808" s="216">
        <v>43891</v>
      </c>
      <c r="B808" t="s">
        <v>47</v>
      </c>
      <c r="C808">
        <v>9</v>
      </c>
      <c r="D808" t="s">
        <v>454</v>
      </c>
      <c r="E808" s="217">
        <v>43891</v>
      </c>
      <c r="F808">
        <v>77</v>
      </c>
      <c r="G808" s="227" t="s">
        <v>70</v>
      </c>
    </row>
    <row r="809" spans="1:7">
      <c r="A809" s="216">
        <v>43891</v>
      </c>
      <c r="B809" t="s">
        <v>47</v>
      </c>
      <c r="C809">
        <v>9</v>
      </c>
      <c r="D809" t="s">
        <v>454</v>
      </c>
      <c r="E809" s="217">
        <v>43891</v>
      </c>
      <c r="F809">
        <v>77.31</v>
      </c>
      <c r="G809" s="227" t="s">
        <v>114</v>
      </c>
    </row>
    <row r="810" spans="1:7">
      <c r="A810" s="216">
        <v>43891</v>
      </c>
      <c r="B810" t="s">
        <v>47</v>
      </c>
      <c r="C810">
        <v>9</v>
      </c>
      <c r="D810" t="s">
        <v>454</v>
      </c>
      <c r="E810" s="217">
        <v>43891</v>
      </c>
      <c r="F810">
        <v>89</v>
      </c>
      <c r="G810" s="227" t="s">
        <v>105</v>
      </c>
    </row>
    <row r="811" spans="1:7">
      <c r="A811" s="216">
        <v>43891</v>
      </c>
      <c r="B811" t="s">
        <v>47</v>
      </c>
      <c r="C811">
        <v>9</v>
      </c>
      <c r="D811" t="s">
        <v>454</v>
      </c>
      <c r="E811" s="217">
        <v>43891</v>
      </c>
      <c r="F811">
        <v>42.3</v>
      </c>
      <c r="G811" s="227" t="s">
        <v>100</v>
      </c>
    </row>
    <row r="812" spans="1:7">
      <c r="A812" s="216">
        <v>43891</v>
      </c>
      <c r="B812" t="s">
        <v>47</v>
      </c>
      <c r="C812">
        <v>9</v>
      </c>
      <c r="D812" t="s">
        <v>454</v>
      </c>
      <c r="E812" s="217">
        <v>43891</v>
      </c>
      <c r="F812">
        <v>107.84</v>
      </c>
      <c r="G812" s="227" t="s">
        <v>83</v>
      </c>
    </row>
    <row r="813" spans="1:7">
      <c r="A813" s="216">
        <v>43891</v>
      </c>
      <c r="B813" t="s">
        <v>47</v>
      </c>
      <c r="C813">
        <v>9</v>
      </c>
      <c r="D813" t="s">
        <v>454</v>
      </c>
      <c r="E813" s="217">
        <v>43891</v>
      </c>
      <c r="F813">
        <v>76.52</v>
      </c>
      <c r="G813" s="227" t="s">
        <v>127</v>
      </c>
    </row>
    <row r="814" spans="1:7">
      <c r="A814" s="216">
        <v>43891</v>
      </c>
      <c r="B814" t="s">
        <v>47</v>
      </c>
      <c r="C814">
        <v>9</v>
      </c>
      <c r="D814" t="s">
        <v>454</v>
      </c>
      <c r="E814" s="217">
        <v>43891</v>
      </c>
      <c r="F814">
        <v>155.07</v>
      </c>
      <c r="G814" s="227" t="s">
        <v>123</v>
      </c>
    </row>
    <row r="815" spans="1:7">
      <c r="A815" s="216">
        <v>43891</v>
      </c>
      <c r="B815" t="s">
        <v>47</v>
      </c>
      <c r="C815">
        <v>9</v>
      </c>
      <c r="D815" t="s">
        <v>454</v>
      </c>
      <c r="E815" s="217">
        <v>43891</v>
      </c>
      <c r="F815">
        <v>79.97</v>
      </c>
      <c r="G815" s="227" t="s">
        <v>119</v>
      </c>
    </row>
    <row r="816" spans="1:7">
      <c r="A816" s="216">
        <v>43891</v>
      </c>
      <c r="B816" t="s">
        <v>47</v>
      </c>
      <c r="C816">
        <v>9</v>
      </c>
      <c r="D816" t="s">
        <v>454</v>
      </c>
      <c r="E816" s="217">
        <v>43891</v>
      </c>
      <c r="F816">
        <v>99.4</v>
      </c>
      <c r="G816" s="227" t="s">
        <v>88</v>
      </c>
    </row>
    <row r="817" spans="1:7">
      <c r="A817" s="216">
        <v>43891</v>
      </c>
      <c r="B817" t="s">
        <v>47</v>
      </c>
      <c r="C817">
        <v>9</v>
      </c>
      <c r="D817" t="s">
        <v>454</v>
      </c>
      <c r="E817" s="217">
        <v>43891</v>
      </c>
      <c r="F817">
        <v>93.32</v>
      </c>
      <c r="G817" s="227" t="s">
        <v>96</v>
      </c>
    </row>
    <row r="818" spans="1:7">
      <c r="A818" s="216">
        <v>43891</v>
      </c>
      <c r="B818" t="s">
        <v>47</v>
      </c>
      <c r="C818">
        <v>9</v>
      </c>
      <c r="D818" t="s">
        <v>454</v>
      </c>
      <c r="E818" s="217">
        <v>43891</v>
      </c>
      <c r="F818">
        <v>89.91</v>
      </c>
      <c r="G818" s="227" t="s">
        <v>92</v>
      </c>
    </row>
    <row r="819" spans="1:7">
      <c r="A819" s="216">
        <v>43891</v>
      </c>
      <c r="B819" t="s">
        <v>47</v>
      </c>
      <c r="C819">
        <v>9</v>
      </c>
      <c r="D819" t="s">
        <v>454</v>
      </c>
      <c r="E819" s="217">
        <v>43891</v>
      </c>
      <c r="F819">
        <v>98.88</v>
      </c>
      <c r="G819" s="227" t="s">
        <v>110</v>
      </c>
    </row>
    <row r="820" spans="1:7">
      <c r="A820" s="216">
        <v>43891</v>
      </c>
      <c r="B820" t="s">
        <v>47</v>
      </c>
      <c r="C820">
        <v>9</v>
      </c>
      <c r="D820" t="s">
        <v>454</v>
      </c>
      <c r="E820" s="217">
        <v>43891</v>
      </c>
      <c r="F820">
        <v>1086.52</v>
      </c>
      <c r="G820" s="227" t="s">
        <v>434</v>
      </c>
    </row>
    <row r="821" spans="1:7">
      <c r="A821" s="216">
        <v>43891</v>
      </c>
      <c r="B821" t="s">
        <v>47</v>
      </c>
      <c r="C821">
        <v>10</v>
      </c>
      <c r="D821" t="s">
        <v>441</v>
      </c>
      <c r="E821" s="217">
        <v>43891</v>
      </c>
      <c r="F821">
        <v>10786</v>
      </c>
      <c r="G821" s="227" t="s">
        <v>70</v>
      </c>
    </row>
    <row r="822" spans="1:7">
      <c r="A822" s="216">
        <v>43891</v>
      </c>
      <c r="B822" t="s">
        <v>47</v>
      </c>
      <c r="C822">
        <v>10</v>
      </c>
      <c r="D822" t="s">
        <v>441</v>
      </c>
      <c r="E822" s="217">
        <v>43891</v>
      </c>
      <c r="F822">
        <v>10796.63</v>
      </c>
      <c r="G822" s="227" t="s">
        <v>114</v>
      </c>
    </row>
    <row r="823" spans="1:7">
      <c r="A823" s="216">
        <v>43891</v>
      </c>
      <c r="B823" t="s">
        <v>47</v>
      </c>
      <c r="C823">
        <v>10</v>
      </c>
      <c r="D823" t="s">
        <v>441</v>
      </c>
      <c r="E823" s="217">
        <v>43891</v>
      </c>
      <c r="F823">
        <v>10895.48</v>
      </c>
      <c r="G823" s="227" t="s">
        <v>105</v>
      </c>
    </row>
    <row r="824" spans="1:7">
      <c r="A824" s="216">
        <v>43891</v>
      </c>
      <c r="B824" t="s">
        <v>47</v>
      </c>
      <c r="C824">
        <v>10</v>
      </c>
      <c r="D824" t="s">
        <v>441</v>
      </c>
      <c r="E824" s="217">
        <v>43891</v>
      </c>
      <c r="F824">
        <v>10927.84</v>
      </c>
      <c r="G824" s="227" t="s">
        <v>100</v>
      </c>
    </row>
    <row r="825" spans="1:7">
      <c r="A825" s="216">
        <v>43891</v>
      </c>
      <c r="B825" t="s">
        <v>47</v>
      </c>
      <c r="C825">
        <v>10</v>
      </c>
      <c r="D825" t="s">
        <v>441</v>
      </c>
      <c r="E825" s="217">
        <v>43891</v>
      </c>
      <c r="F825">
        <v>11178.15</v>
      </c>
      <c r="G825" s="227" t="s">
        <v>83</v>
      </c>
    </row>
    <row r="826" spans="1:7">
      <c r="A826" s="216">
        <v>43891</v>
      </c>
      <c r="B826" t="s">
        <v>47</v>
      </c>
      <c r="C826">
        <v>10</v>
      </c>
      <c r="D826" t="s">
        <v>441</v>
      </c>
      <c r="E826" s="217">
        <v>43891</v>
      </c>
      <c r="F826">
        <v>11120.78</v>
      </c>
      <c r="G826" s="227" t="s">
        <v>127</v>
      </c>
    </row>
    <row r="827" spans="1:7">
      <c r="A827" s="216">
        <v>43891</v>
      </c>
      <c r="B827" t="s">
        <v>47</v>
      </c>
      <c r="C827">
        <v>10</v>
      </c>
      <c r="D827" t="s">
        <v>441</v>
      </c>
      <c r="E827" s="217">
        <v>43891</v>
      </c>
      <c r="F827">
        <v>10809.15</v>
      </c>
      <c r="G827" s="227" t="s">
        <v>123</v>
      </c>
    </row>
    <row r="828" spans="1:7">
      <c r="A828" s="216">
        <v>43891</v>
      </c>
      <c r="B828" t="s">
        <v>47</v>
      </c>
      <c r="C828">
        <v>10</v>
      </c>
      <c r="D828" t="s">
        <v>441</v>
      </c>
      <c r="E828" s="217">
        <v>43891</v>
      </c>
      <c r="F828">
        <v>12330.29</v>
      </c>
      <c r="G828" s="227" t="s">
        <v>119</v>
      </c>
    </row>
    <row r="829" spans="1:7">
      <c r="A829" s="216">
        <v>43891</v>
      </c>
      <c r="B829" t="s">
        <v>47</v>
      </c>
      <c r="C829">
        <v>10</v>
      </c>
      <c r="D829" t="s">
        <v>441</v>
      </c>
      <c r="E829" s="217">
        <v>43891</v>
      </c>
      <c r="F829">
        <v>11461.23</v>
      </c>
      <c r="G829" s="227" t="s">
        <v>88</v>
      </c>
    </row>
    <row r="830" spans="1:7">
      <c r="A830" s="216">
        <v>43891</v>
      </c>
      <c r="B830" t="s">
        <v>47</v>
      </c>
      <c r="C830">
        <v>10</v>
      </c>
      <c r="D830" t="s">
        <v>441</v>
      </c>
      <c r="E830" s="217">
        <v>43891</v>
      </c>
      <c r="F830">
        <v>11261.74</v>
      </c>
      <c r="G830" s="227" t="s">
        <v>96</v>
      </c>
    </row>
    <row r="831" spans="1:7">
      <c r="A831" s="216">
        <v>43891</v>
      </c>
      <c r="B831" t="s">
        <v>47</v>
      </c>
      <c r="C831">
        <v>10</v>
      </c>
      <c r="D831" t="s">
        <v>441</v>
      </c>
      <c r="E831" s="217">
        <v>43891</v>
      </c>
      <c r="F831">
        <v>11763.98</v>
      </c>
      <c r="G831" s="227" t="s">
        <v>92</v>
      </c>
    </row>
    <row r="832" spans="1:7">
      <c r="A832" s="216">
        <v>43891</v>
      </c>
      <c r="B832" t="s">
        <v>47</v>
      </c>
      <c r="C832">
        <v>10</v>
      </c>
      <c r="D832" t="s">
        <v>441</v>
      </c>
      <c r="E832" s="217">
        <v>43891</v>
      </c>
      <c r="F832">
        <v>10534.89</v>
      </c>
      <c r="G832" s="227" t="s">
        <v>110</v>
      </c>
    </row>
    <row r="833" spans="1:7">
      <c r="A833" s="216">
        <v>43891</v>
      </c>
      <c r="B833" t="s">
        <v>47</v>
      </c>
      <c r="C833">
        <v>10</v>
      </c>
      <c r="D833" t="s">
        <v>441</v>
      </c>
      <c r="E833" s="217">
        <v>43891</v>
      </c>
      <c r="F833">
        <v>133866.16</v>
      </c>
      <c r="G833" s="227" t="s">
        <v>434</v>
      </c>
    </row>
    <row r="834" spans="1:7">
      <c r="A834" s="216">
        <v>43891</v>
      </c>
      <c r="B834" t="s">
        <v>47</v>
      </c>
      <c r="C834">
        <v>11</v>
      </c>
      <c r="D834" t="s">
        <v>447</v>
      </c>
      <c r="E834" s="217">
        <v>43891</v>
      </c>
      <c r="F834">
        <v>0</v>
      </c>
      <c r="G834" s="227" t="s">
        <v>70</v>
      </c>
    </row>
    <row r="835" spans="1:7">
      <c r="A835" s="216">
        <v>43891</v>
      </c>
      <c r="B835" t="s">
        <v>47</v>
      </c>
      <c r="C835">
        <v>11</v>
      </c>
      <c r="D835" t="s">
        <v>447</v>
      </c>
      <c r="E835" s="217">
        <v>43891</v>
      </c>
      <c r="F835">
        <v>0</v>
      </c>
      <c r="G835" s="227" t="s">
        <v>114</v>
      </c>
    </row>
    <row r="836" spans="1:7">
      <c r="A836" s="216">
        <v>43891</v>
      </c>
      <c r="B836" t="s">
        <v>47</v>
      </c>
      <c r="C836">
        <v>11</v>
      </c>
      <c r="D836" t="s">
        <v>447</v>
      </c>
      <c r="E836" s="217">
        <v>43891</v>
      </c>
      <c r="F836">
        <v>0</v>
      </c>
      <c r="G836" s="227" t="s">
        <v>105</v>
      </c>
    </row>
    <row r="837" spans="1:7">
      <c r="A837" s="216">
        <v>43891</v>
      </c>
      <c r="B837" t="s">
        <v>47</v>
      </c>
      <c r="C837">
        <v>11</v>
      </c>
      <c r="D837" t="s">
        <v>447</v>
      </c>
      <c r="E837" s="217">
        <v>43891</v>
      </c>
      <c r="F837">
        <v>0</v>
      </c>
      <c r="G837" s="227" t="s">
        <v>100</v>
      </c>
    </row>
    <row r="838" spans="1:7">
      <c r="A838" s="216">
        <v>43891</v>
      </c>
      <c r="B838" t="s">
        <v>47</v>
      </c>
      <c r="C838">
        <v>11</v>
      </c>
      <c r="D838" t="s">
        <v>447</v>
      </c>
      <c r="E838" s="217">
        <v>43891</v>
      </c>
      <c r="F838">
        <v>0</v>
      </c>
      <c r="G838" s="227" t="s">
        <v>83</v>
      </c>
    </row>
    <row r="839" spans="1:7">
      <c r="A839" s="216">
        <v>43891</v>
      </c>
      <c r="B839" t="s">
        <v>47</v>
      </c>
      <c r="C839">
        <v>11</v>
      </c>
      <c r="D839" t="s">
        <v>447</v>
      </c>
      <c r="E839" s="217">
        <v>43891</v>
      </c>
      <c r="F839">
        <v>0</v>
      </c>
      <c r="G839" s="227" t="s">
        <v>127</v>
      </c>
    </row>
    <row r="840" spans="1:7">
      <c r="A840" s="216">
        <v>43891</v>
      </c>
      <c r="B840" t="s">
        <v>47</v>
      </c>
      <c r="C840">
        <v>11</v>
      </c>
      <c r="D840" t="s">
        <v>447</v>
      </c>
      <c r="E840" s="217">
        <v>43891</v>
      </c>
      <c r="F840">
        <v>0</v>
      </c>
      <c r="G840" s="227" t="s">
        <v>123</v>
      </c>
    </row>
    <row r="841" spans="1:7">
      <c r="A841" s="216">
        <v>43891</v>
      </c>
      <c r="B841" t="s">
        <v>47</v>
      </c>
      <c r="C841">
        <v>11</v>
      </c>
      <c r="D841" t="s">
        <v>447</v>
      </c>
      <c r="E841" s="217">
        <v>43891</v>
      </c>
      <c r="F841">
        <v>0</v>
      </c>
      <c r="G841" s="227" t="s">
        <v>119</v>
      </c>
    </row>
    <row r="842" spans="1:7">
      <c r="A842" s="216">
        <v>43891</v>
      </c>
      <c r="B842" t="s">
        <v>47</v>
      </c>
      <c r="C842">
        <v>11</v>
      </c>
      <c r="D842" t="s">
        <v>447</v>
      </c>
      <c r="E842" s="217">
        <v>43891</v>
      </c>
      <c r="F842">
        <v>0</v>
      </c>
      <c r="G842" s="227" t="s">
        <v>88</v>
      </c>
    </row>
    <row r="843" spans="1:7">
      <c r="A843" s="216">
        <v>43891</v>
      </c>
      <c r="B843" t="s">
        <v>47</v>
      </c>
      <c r="C843">
        <v>11</v>
      </c>
      <c r="D843" t="s">
        <v>447</v>
      </c>
      <c r="E843" s="217">
        <v>43891</v>
      </c>
      <c r="F843">
        <v>0</v>
      </c>
      <c r="G843" s="227" t="s">
        <v>96</v>
      </c>
    </row>
    <row r="844" spans="1:7">
      <c r="A844" s="216">
        <v>43891</v>
      </c>
      <c r="B844" t="s">
        <v>47</v>
      </c>
      <c r="C844">
        <v>11</v>
      </c>
      <c r="D844" t="s">
        <v>447</v>
      </c>
      <c r="E844" s="217">
        <v>43891</v>
      </c>
      <c r="F844">
        <v>0</v>
      </c>
      <c r="G844" s="227" t="s">
        <v>92</v>
      </c>
    </row>
    <row r="845" spans="1:7">
      <c r="A845" s="216">
        <v>43891</v>
      </c>
      <c r="B845" t="s">
        <v>47</v>
      </c>
      <c r="C845">
        <v>11</v>
      </c>
      <c r="D845" t="s">
        <v>447</v>
      </c>
      <c r="E845" s="217">
        <v>43891</v>
      </c>
      <c r="F845">
        <v>0</v>
      </c>
      <c r="G845" s="227" t="s">
        <v>110</v>
      </c>
    </row>
    <row r="846" spans="1:7">
      <c r="A846" s="216">
        <v>43891</v>
      </c>
      <c r="B846" t="s">
        <v>47</v>
      </c>
      <c r="C846">
        <v>11</v>
      </c>
      <c r="D846" t="s">
        <v>447</v>
      </c>
      <c r="E846" s="217">
        <v>43891</v>
      </c>
      <c r="F846">
        <v>0</v>
      </c>
      <c r="G846" s="227" t="s">
        <v>434</v>
      </c>
    </row>
    <row r="847" spans="1:7">
      <c r="A847" s="216">
        <v>43891</v>
      </c>
      <c r="B847" t="s">
        <v>47</v>
      </c>
      <c r="C847">
        <v>12</v>
      </c>
      <c r="D847" t="s">
        <v>437</v>
      </c>
      <c r="E847" s="217">
        <v>43891</v>
      </c>
      <c r="F847">
        <v>1156</v>
      </c>
      <c r="G847" s="227" t="s">
        <v>70</v>
      </c>
    </row>
    <row r="848" spans="1:7">
      <c r="A848" s="216">
        <v>43891</v>
      </c>
      <c r="B848" t="s">
        <v>47</v>
      </c>
      <c r="C848">
        <v>12</v>
      </c>
      <c r="D848" t="s">
        <v>437</v>
      </c>
      <c r="E848" s="217">
        <v>43891</v>
      </c>
      <c r="F848">
        <v>1150.29</v>
      </c>
      <c r="G848" s="227" t="s">
        <v>114</v>
      </c>
    </row>
    <row r="849" spans="1:7">
      <c r="A849" s="216">
        <v>43891</v>
      </c>
      <c r="B849" t="s">
        <v>47</v>
      </c>
      <c r="C849">
        <v>12</v>
      </c>
      <c r="D849" t="s">
        <v>437</v>
      </c>
      <c r="E849" s="217">
        <v>43891</v>
      </c>
      <c r="F849">
        <v>1226.67</v>
      </c>
      <c r="G849" s="227" t="s">
        <v>105</v>
      </c>
    </row>
    <row r="850" spans="1:7">
      <c r="A850" s="216">
        <v>43891</v>
      </c>
      <c r="B850" t="s">
        <v>47</v>
      </c>
      <c r="C850">
        <v>12</v>
      </c>
      <c r="D850" t="s">
        <v>437</v>
      </c>
      <c r="E850" s="217">
        <v>43891</v>
      </c>
      <c r="F850">
        <v>1195.53</v>
      </c>
      <c r="G850" s="227" t="s">
        <v>100</v>
      </c>
    </row>
    <row r="851" spans="1:7">
      <c r="A851" s="216">
        <v>43891</v>
      </c>
      <c r="B851" t="s">
        <v>47</v>
      </c>
      <c r="C851">
        <v>12</v>
      </c>
      <c r="D851" t="s">
        <v>437</v>
      </c>
      <c r="E851" s="217">
        <v>43891</v>
      </c>
      <c r="F851">
        <v>1215.5</v>
      </c>
      <c r="G851" s="227" t="s">
        <v>83</v>
      </c>
    </row>
    <row r="852" spans="1:7">
      <c r="A852" s="216">
        <v>43891</v>
      </c>
      <c r="B852" t="s">
        <v>47</v>
      </c>
      <c r="C852">
        <v>12</v>
      </c>
      <c r="D852" t="s">
        <v>437</v>
      </c>
      <c r="E852" s="217">
        <v>43891</v>
      </c>
      <c r="F852">
        <v>1233.49</v>
      </c>
      <c r="G852" s="227" t="s">
        <v>127</v>
      </c>
    </row>
    <row r="853" spans="1:7">
      <c r="A853" s="216">
        <v>43891</v>
      </c>
      <c r="B853" t="s">
        <v>47</v>
      </c>
      <c r="C853">
        <v>12</v>
      </c>
      <c r="D853" t="s">
        <v>437</v>
      </c>
      <c r="E853" s="217">
        <v>43891</v>
      </c>
      <c r="F853">
        <v>1437.33</v>
      </c>
      <c r="G853" s="227" t="s">
        <v>123</v>
      </c>
    </row>
    <row r="854" spans="1:7">
      <c r="A854" s="216">
        <v>43891</v>
      </c>
      <c r="B854" t="s">
        <v>47</v>
      </c>
      <c r="C854">
        <v>12</v>
      </c>
      <c r="D854" t="s">
        <v>437</v>
      </c>
      <c r="E854" s="217">
        <v>43891</v>
      </c>
      <c r="F854">
        <v>1160.49</v>
      </c>
      <c r="G854" s="227" t="s">
        <v>119</v>
      </c>
    </row>
    <row r="855" spans="1:7">
      <c r="A855" s="216">
        <v>43891</v>
      </c>
      <c r="B855" t="s">
        <v>47</v>
      </c>
      <c r="C855">
        <v>12</v>
      </c>
      <c r="D855" t="s">
        <v>437</v>
      </c>
      <c r="E855" s="217">
        <v>43891</v>
      </c>
      <c r="F855">
        <v>1164.8599999999999</v>
      </c>
      <c r="G855" s="227" t="s">
        <v>88</v>
      </c>
    </row>
    <row r="856" spans="1:7">
      <c r="A856" s="216">
        <v>43891</v>
      </c>
      <c r="B856" t="s">
        <v>47</v>
      </c>
      <c r="C856">
        <v>12</v>
      </c>
      <c r="D856" t="s">
        <v>437</v>
      </c>
      <c r="E856" s="217">
        <v>43891</v>
      </c>
      <c r="F856">
        <v>1228.6400000000001</v>
      </c>
      <c r="G856" s="227" t="s">
        <v>96</v>
      </c>
    </row>
    <row r="857" spans="1:7">
      <c r="A857" s="216">
        <v>43891</v>
      </c>
      <c r="B857" t="s">
        <v>47</v>
      </c>
      <c r="C857">
        <v>12</v>
      </c>
      <c r="D857" t="s">
        <v>437</v>
      </c>
      <c r="E857" s="217">
        <v>43891</v>
      </c>
      <c r="F857">
        <v>1283.31</v>
      </c>
      <c r="G857" s="227" t="s">
        <v>92</v>
      </c>
    </row>
    <row r="858" spans="1:7">
      <c r="A858" s="216">
        <v>43891</v>
      </c>
      <c r="B858" t="s">
        <v>47</v>
      </c>
      <c r="C858">
        <v>12</v>
      </c>
      <c r="D858" t="s">
        <v>437</v>
      </c>
      <c r="E858" s="217">
        <v>43891</v>
      </c>
      <c r="F858">
        <v>1168.25</v>
      </c>
      <c r="G858" s="227" t="s">
        <v>110</v>
      </c>
    </row>
    <row r="859" spans="1:7">
      <c r="A859" s="216">
        <v>43891</v>
      </c>
      <c r="B859" t="s">
        <v>47</v>
      </c>
      <c r="C859">
        <v>12</v>
      </c>
      <c r="D859" t="s">
        <v>437</v>
      </c>
      <c r="E859" s="217">
        <v>43891</v>
      </c>
      <c r="F859">
        <v>14620.36</v>
      </c>
      <c r="G859" s="227" t="s">
        <v>434</v>
      </c>
    </row>
    <row r="860" spans="1:7">
      <c r="A860" s="216">
        <v>43891</v>
      </c>
      <c r="B860" t="s">
        <v>3</v>
      </c>
      <c r="C860">
        <v>4</v>
      </c>
      <c r="D860" t="s">
        <v>442</v>
      </c>
      <c r="E860" s="217">
        <v>43891</v>
      </c>
      <c r="F860">
        <v>92207.638000000006</v>
      </c>
      <c r="G860" s="227" t="s">
        <v>70</v>
      </c>
    </row>
    <row r="861" spans="1:7">
      <c r="A861" s="216">
        <v>43891</v>
      </c>
      <c r="B861" t="s">
        <v>3</v>
      </c>
      <c r="C861">
        <v>4</v>
      </c>
      <c r="D861" t="s">
        <v>442</v>
      </c>
      <c r="E861" s="217">
        <v>43891</v>
      </c>
      <c r="F861">
        <v>92031.142000000007</v>
      </c>
      <c r="G861" s="227" t="s">
        <v>114</v>
      </c>
    </row>
    <row r="862" spans="1:7">
      <c r="A862" s="216">
        <v>43891</v>
      </c>
      <c r="B862" t="s">
        <v>3</v>
      </c>
      <c r="C862">
        <v>4</v>
      </c>
      <c r="D862" t="s">
        <v>442</v>
      </c>
      <c r="E862" s="217">
        <v>43891</v>
      </c>
      <c r="F862">
        <v>94602.399000000005</v>
      </c>
      <c r="G862" s="227" t="s">
        <v>105</v>
      </c>
    </row>
    <row r="863" spans="1:7">
      <c r="A863" s="216">
        <v>43891</v>
      </c>
      <c r="B863" t="s">
        <v>3</v>
      </c>
      <c r="C863">
        <v>4</v>
      </c>
      <c r="D863" t="s">
        <v>442</v>
      </c>
      <c r="E863" s="217">
        <v>43891</v>
      </c>
      <c r="F863">
        <v>92247.258000000002</v>
      </c>
      <c r="G863" s="227" t="s">
        <v>100</v>
      </c>
    </row>
    <row r="864" spans="1:7">
      <c r="A864" s="216">
        <v>43891</v>
      </c>
      <c r="B864" t="s">
        <v>3</v>
      </c>
      <c r="C864">
        <v>4</v>
      </c>
      <c r="D864" t="s">
        <v>442</v>
      </c>
      <c r="E864" s="217">
        <v>43891</v>
      </c>
      <c r="F864">
        <v>94808.403000000006</v>
      </c>
      <c r="G864" s="227" t="s">
        <v>83</v>
      </c>
    </row>
    <row r="865" spans="1:7">
      <c r="A865" s="216">
        <v>43891</v>
      </c>
      <c r="B865" t="s">
        <v>3</v>
      </c>
      <c r="C865">
        <v>4</v>
      </c>
      <c r="D865" t="s">
        <v>442</v>
      </c>
      <c r="E865" s="217">
        <v>43891</v>
      </c>
      <c r="F865">
        <v>92814.263999999996</v>
      </c>
      <c r="G865" s="227" t="s">
        <v>127</v>
      </c>
    </row>
    <row r="866" spans="1:7">
      <c r="A866" s="216">
        <v>43891</v>
      </c>
      <c r="B866" t="s">
        <v>3</v>
      </c>
      <c r="C866">
        <v>4</v>
      </c>
      <c r="D866" t="s">
        <v>442</v>
      </c>
      <c r="E866" s="217">
        <v>43891</v>
      </c>
      <c r="F866">
        <v>97548.347999999998</v>
      </c>
      <c r="G866" s="227" t="s">
        <v>123</v>
      </c>
    </row>
    <row r="867" spans="1:7">
      <c r="A867" s="216">
        <v>43891</v>
      </c>
      <c r="B867" t="s">
        <v>3</v>
      </c>
      <c r="C867">
        <v>4</v>
      </c>
      <c r="D867" t="s">
        <v>442</v>
      </c>
      <c r="E867" s="217">
        <v>43891</v>
      </c>
      <c r="F867">
        <v>98348.722999999998</v>
      </c>
      <c r="G867" s="227" t="s">
        <v>119</v>
      </c>
    </row>
    <row r="868" spans="1:7">
      <c r="A868" s="216">
        <v>43891</v>
      </c>
      <c r="B868" t="s">
        <v>3</v>
      </c>
      <c r="C868">
        <v>4</v>
      </c>
      <c r="D868" t="s">
        <v>442</v>
      </c>
      <c r="E868" s="217">
        <v>43891</v>
      </c>
      <c r="F868">
        <v>96610.054999999993</v>
      </c>
      <c r="G868" s="227" t="s">
        <v>88</v>
      </c>
    </row>
    <row r="869" spans="1:7">
      <c r="A869" s="216">
        <v>43891</v>
      </c>
      <c r="B869" t="s">
        <v>3</v>
      </c>
      <c r="C869">
        <v>4</v>
      </c>
      <c r="D869" t="s">
        <v>442</v>
      </c>
      <c r="E869" s="217">
        <v>43891</v>
      </c>
      <c r="F869">
        <v>96765.464000000007</v>
      </c>
      <c r="G869" s="227" t="s">
        <v>96</v>
      </c>
    </row>
    <row r="870" spans="1:7">
      <c r="A870" s="216">
        <v>43891</v>
      </c>
      <c r="B870" t="s">
        <v>3</v>
      </c>
      <c r="C870">
        <v>4</v>
      </c>
      <c r="D870" t="s">
        <v>442</v>
      </c>
      <c r="E870" s="217">
        <v>43891</v>
      </c>
      <c r="F870">
        <v>99673.877999999997</v>
      </c>
      <c r="G870" s="227" t="s">
        <v>92</v>
      </c>
    </row>
    <row r="871" spans="1:7">
      <c r="A871" s="216">
        <v>43891</v>
      </c>
      <c r="B871" t="s">
        <v>3</v>
      </c>
      <c r="C871">
        <v>4</v>
      </c>
      <c r="D871" t="s">
        <v>442</v>
      </c>
      <c r="E871" s="217">
        <v>43891</v>
      </c>
      <c r="F871">
        <v>134278.13200000001</v>
      </c>
      <c r="G871" s="227" t="s">
        <v>110</v>
      </c>
    </row>
    <row r="872" spans="1:7">
      <c r="A872" s="216">
        <v>43891</v>
      </c>
      <c r="B872" t="s">
        <v>3</v>
      </c>
      <c r="C872">
        <v>4</v>
      </c>
      <c r="D872" t="s">
        <v>442</v>
      </c>
      <c r="E872" s="217">
        <v>43891</v>
      </c>
      <c r="F872">
        <v>1181935.7039999999</v>
      </c>
      <c r="G872" s="227" t="s">
        <v>434</v>
      </c>
    </row>
    <row r="873" spans="1:7">
      <c r="A873" s="216">
        <v>43891</v>
      </c>
      <c r="B873" t="s">
        <v>3</v>
      </c>
      <c r="C873">
        <v>5</v>
      </c>
      <c r="D873" t="s">
        <v>451</v>
      </c>
      <c r="E873" s="217">
        <v>43891</v>
      </c>
      <c r="F873">
        <v>9493.348</v>
      </c>
      <c r="G873" s="227" t="s">
        <v>70</v>
      </c>
    </row>
    <row r="874" spans="1:7">
      <c r="A874" s="216">
        <v>43891</v>
      </c>
      <c r="B874" t="s">
        <v>3</v>
      </c>
      <c r="C874">
        <v>5</v>
      </c>
      <c r="D874" t="s">
        <v>451</v>
      </c>
      <c r="E874" s="217">
        <v>43891</v>
      </c>
      <c r="F874">
        <v>8953.7080000000005</v>
      </c>
      <c r="G874" s="227" t="s">
        <v>114</v>
      </c>
    </row>
    <row r="875" spans="1:7">
      <c r="A875" s="216">
        <v>43891</v>
      </c>
      <c r="B875" t="s">
        <v>3</v>
      </c>
      <c r="C875">
        <v>5</v>
      </c>
      <c r="D875" t="s">
        <v>451</v>
      </c>
      <c r="E875" s="217">
        <v>43891</v>
      </c>
      <c r="F875">
        <v>9193.2340000000004</v>
      </c>
      <c r="G875" s="227" t="s">
        <v>105</v>
      </c>
    </row>
    <row r="876" spans="1:7">
      <c r="A876" s="216">
        <v>43891</v>
      </c>
      <c r="B876" t="s">
        <v>3</v>
      </c>
      <c r="C876">
        <v>5</v>
      </c>
      <c r="D876" t="s">
        <v>451</v>
      </c>
      <c r="E876" s="217">
        <v>43891</v>
      </c>
      <c r="F876">
        <v>9066.0439999999999</v>
      </c>
      <c r="G876" s="227" t="s">
        <v>100</v>
      </c>
    </row>
    <row r="877" spans="1:7">
      <c r="A877" s="216">
        <v>43891</v>
      </c>
      <c r="B877" t="s">
        <v>3</v>
      </c>
      <c r="C877">
        <v>5</v>
      </c>
      <c r="D877" t="s">
        <v>451</v>
      </c>
      <c r="E877" s="217">
        <v>43891</v>
      </c>
      <c r="F877">
        <v>10703.868</v>
      </c>
      <c r="G877" s="227" t="s">
        <v>83</v>
      </c>
    </row>
    <row r="878" spans="1:7">
      <c r="A878" s="216">
        <v>43891</v>
      </c>
      <c r="B878" t="s">
        <v>3</v>
      </c>
      <c r="C878">
        <v>5</v>
      </c>
      <c r="D878" t="s">
        <v>451</v>
      </c>
      <c r="E878" s="217">
        <v>43891</v>
      </c>
      <c r="F878">
        <v>9087.8860000000095</v>
      </c>
      <c r="G878" s="227" t="s">
        <v>127</v>
      </c>
    </row>
    <row r="879" spans="1:7">
      <c r="A879" s="216">
        <v>43891</v>
      </c>
      <c r="B879" t="s">
        <v>3</v>
      </c>
      <c r="C879">
        <v>5</v>
      </c>
      <c r="D879" t="s">
        <v>451</v>
      </c>
      <c r="E879" s="217">
        <v>43891</v>
      </c>
      <c r="F879">
        <v>9668.7359999999899</v>
      </c>
      <c r="G879" s="227" t="s">
        <v>123</v>
      </c>
    </row>
    <row r="880" spans="1:7">
      <c r="A880" s="216">
        <v>43891</v>
      </c>
      <c r="B880" t="s">
        <v>3</v>
      </c>
      <c r="C880">
        <v>5</v>
      </c>
      <c r="D880" t="s">
        <v>451</v>
      </c>
      <c r="E880" s="217">
        <v>43891</v>
      </c>
      <c r="F880">
        <v>11062.136</v>
      </c>
      <c r="G880" s="227" t="s">
        <v>119</v>
      </c>
    </row>
    <row r="881" spans="1:7">
      <c r="A881" s="216">
        <v>43891</v>
      </c>
      <c r="B881" t="s">
        <v>3</v>
      </c>
      <c r="C881">
        <v>5</v>
      </c>
      <c r="D881" t="s">
        <v>451</v>
      </c>
      <c r="E881" s="217">
        <v>43891</v>
      </c>
      <c r="F881">
        <v>9963.7919999999904</v>
      </c>
      <c r="G881" s="227" t="s">
        <v>88</v>
      </c>
    </row>
    <row r="882" spans="1:7">
      <c r="A882" s="216">
        <v>43891</v>
      </c>
      <c r="B882" t="s">
        <v>3</v>
      </c>
      <c r="C882">
        <v>5</v>
      </c>
      <c r="D882" t="s">
        <v>451</v>
      </c>
      <c r="E882" s="217">
        <v>43891</v>
      </c>
      <c r="F882">
        <v>9979.9910000000109</v>
      </c>
      <c r="G882" s="227" t="s">
        <v>96</v>
      </c>
    </row>
    <row r="883" spans="1:7">
      <c r="A883" s="216">
        <v>43891</v>
      </c>
      <c r="B883" t="s">
        <v>3</v>
      </c>
      <c r="C883">
        <v>5</v>
      </c>
      <c r="D883" t="s">
        <v>451</v>
      </c>
      <c r="E883" s="217">
        <v>43891</v>
      </c>
      <c r="F883">
        <v>11236.049000000001</v>
      </c>
      <c r="G883" s="227" t="s">
        <v>92</v>
      </c>
    </row>
    <row r="884" spans="1:7">
      <c r="A884" s="216">
        <v>43891</v>
      </c>
      <c r="B884" t="s">
        <v>3</v>
      </c>
      <c r="C884">
        <v>5</v>
      </c>
      <c r="D884" t="s">
        <v>451</v>
      </c>
      <c r="E884" s="217">
        <v>43891</v>
      </c>
      <c r="F884">
        <v>13648.127</v>
      </c>
      <c r="G884" s="227" t="s">
        <v>110</v>
      </c>
    </row>
    <row r="885" spans="1:7">
      <c r="A885" s="216">
        <v>43891</v>
      </c>
      <c r="B885" t="s">
        <v>3</v>
      </c>
      <c r="C885">
        <v>5</v>
      </c>
      <c r="D885" t="s">
        <v>451</v>
      </c>
      <c r="E885" s="217">
        <v>43891</v>
      </c>
      <c r="F885">
        <v>122056.91899999999</v>
      </c>
      <c r="G885" s="227" t="s">
        <v>434</v>
      </c>
    </row>
    <row r="886" spans="1:7">
      <c r="A886" s="216">
        <v>43891</v>
      </c>
      <c r="B886" t="s">
        <v>3</v>
      </c>
      <c r="C886">
        <v>6</v>
      </c>
      <c r="D886" t="s">
        <v>450</v>
      </c>
      <c r="E886" s="217">
        <v>43891</v>
      </c>
      <c r="F886">
        <v>5787.81</v>
      </c>
      <c r="G886" s="227" t="s">
        <v>70</v>
      </c>
    </row>
    <row r="887" spans="1:7">
      <c r="A887" s="216">
        <v>43891</v>
      </c>
      <c r="B887" t="s">
        <v>3</v>
      </c>
      <c r="C887">
        <v>6</v>
      </c>
      <c r="D887" t="s">
        <v>450</v>
      </c>
      <c r="E887" s="217">
        <v>43891</v>
      </c>
      <c r="F887">
        <v>5838.46</v>
      </c>
      <c r="G887" s="227" t="s">
        <v>114</v>
      </c>
    </row>
    <row r="888" spans="1:7">
      <c r="A888" s="216">
        <v>43891</v>
      </c>
      <c r="B888" t="s">
        <v>3</v>
      </c>
      <c r="C888">
        <v>6</v>
      </c>
      <c r="D888" t="s">
        <v>450</v>
      </c>
      <c r="E888" s="217">
        <v>43891</v>
      </c>
      <c r="F888">
        <v>5784.3670000000002</v>
      </c>
      <c r="G888" s="227" t="s">
        <v>105</v>
      </c>
    </row>
    <row r="889" spans="1:7">
      <c r="A889" s="216">
        <v>43891</v>
      </c>
      <c r="B889" t="s">
        <v>3</v>
      </c>
      <c r="C889">
        <v>6</v>
      </c>
      <c r="D889" t="s">
        <v>450</v>
      </c>
      <c r="E889" s="217">
        <v>43891</v>
      </c>
      <c r="F889">
        <v>6283.2380000000003</v>
      </c>
      <c r="G889" s="227" t="s">
        <v>100</v>
      </c>
    </row>
    <row r="890" spans="1:7">
      <c r="A890" s="216">
        <v>43891</v>
      </c>
      <c r="B890" t="s">
        <v>3</v>
      </c>
      <c r="C890">
        <v>6</v>
      </c>
      <c r="D890" t="s">
        <v>450</v>
      </c>
      <c r="E890" s="217">
        <v>43891</v>
      </c>
      <c r="F890">
        <v>5800.7659999999996</v>
      </c>
      <c r="G890" s="227" t="s">
        <v>83</v>
      </c>
    </row>
    <row r="891" spans="1:7">
      <c r="A891" s="216">
        <v>43891</v>
      </c>
      <c r="B891" t="s">
        <v>3</v>
      </c>
      <c r="C891">
        <v>6</v>
      </c>
      <c r="D891" t="s">
        <v>450</v>
      </c>
      <c r="E891" s="217">
        <v>43891</v>
      </c>
      <c r="F891">
        <v>5933.5410000000002</v>
      </c>
      <c r="G891" s="227" t="s">
        <v>127</v>
      </c>
    </row>
    <row r="892" spans="1:7">
      <c r="A892" s="216">
        <v>43891</v>
      </c>
      <c r="B892" t="s">
        <v>3</v>
      </c>
      <c r="C892">
        <v>6</v>
      </c>
      <c r="D892" t="s">
        <v>450</v>
      </c>
      <c r="E892" s="217">
        <v>43891</v>
      </c>
      <c r="F892">
        <v>6524.47</v>
      </c>
      <c r="G892" s="227" t="s">
        <v>123</v>
      </c>
    </row>
    <row r="893" spans="1:7">
      <c r="A893" s="216">
        <v>43891</v>
      </c>
      <c r="B893" t="s">
        <v>3</v>
      </c>
      <c r="C893">
        <v>6</v>
      </c>
      <c r="D893" t="s">
        <v>450</v>
      </c>
      <c r="E893" s="217">
        <v>43891</v>
      </c>
      <c r="F893">
        <v>5975.9569999999903</v>
      </c>
      <c r="G893" s="227" t="s">
        <v>119</v>
      </c>
    </row>
    <row r="894" spans="1:7">
      <c r="A894" s="216">
        <v>43891</v>
      </c>
      <c r="B894" t="s">
        <v>3</v>
      </c>
      <c r="C894">
        <v>6</v>
      </c>
      <c r="D894" t="s">
        <v>450</v>
      </c>
      <c r="E894" s="217">
        <v>43891</v>
      </c>
      <c r="F894">
        <v>6430.0190000000002</v>
      </c>
      <c r="G894" s="227" t="s">
        <v>88</v>
      </c>
    </row>
    <row r="895" spans="1:7">
      <c r="A895" s="216">
        <v>43891</v>
      </c>
      <c r="B895" t="s">
        <v>3</v>
      </c>
      <c r="C895">
        <v>6</v>
      </c>
      <c r="D895" t="s">
        <v>450</v>
      </c>
      <c r="E895" s="217">
        <v>43891</v>
      </c>
      <c r="F895">
        <v>6154.7640000000001</v>
      </c>
      <c r="G895" s="227" t="s">
        <v>96</v>
      </c>
    </row>
    <row r="896" spans="1:7">
      <c r="A896" s="216">
        <v>43891</v>
      </c>
      <c r="B896" t="s">
        <v>3</v>
      </c>
      <c r="C896">
        <v>6</v>
      </c>
      <c r="D896" t="s">
        <v>450</v>
      </c>
      <c r="E896" s="217">
        <v>43891</v>
      </c>
      <c r="F896">
        <v>5673.3890000000001</v>
      </c>
      <c r="G896" s="227" t="s">
        <v>92</v>
      </c>
    </row>
    <row r="897" spans="1:7">
      <c r="A897" s="216">
        <v>43891</v>
      </c>
      <c r="B897" t="s">
        <v>3</v>
      </c>
      <c r="C897">
        <v>6</v>
      </c>
      <c r="D897" t="s">
        <v>450</v>
      </c>
      <c r="E897" s="217">
        <v>43891</v>
      </c>
      <c r="F897">
        <v>5284.1019999999999</v>
      </c>
      <c r="G897" s="227" t="s">
        <v>110</v>
      </c>
    </row>
    <row r="898" spans="1:7">
      <c r="A898" s="216">
        <v>43891</v>
      </c>
      <c r="B898" t="s">
        <v>3</v>
      </c>
      <c r="C898">
        <v>6</v>
      </c>
      <c r="D898" t="s">
        <v>450</v>
      </c>
      <c r="E898" s="217">
        <v>43891</v>
      </c>
      <c r="F898">
        <v>71470.883000000002</v>
      </c>
      <c r="G898" s="227" t="s">
        <v>434</v>
      </c>
    </row>
    <row r="899" spans="1:7">
      <c r="A899" s="216">
        <v>43891</v>
      </c>
      <c r="B899" t="s">
        <v>3</v>
      </c>
      <c r="C899">
        <v>7</v>
      </c>
      <c r="D899" t="s">
        <v>433</v>
      </c>
      <c r="E899" s="217">
        <v>43891</v>
      </c>
      <c r="F899">
        <v>44989.853000000003</v>
      </c>
      <c r="G899" s="227" t="s">
        <v>70</v>
      </c>
    </row>
    <row r="900" spans="1:7">
      <c r="A900" s="216">
        <v>43891</v>
      </c>
      <c r="B900" t="s">
        <v>3</v>
      </c>
      <c r="C900">
        <v>7</v>
      </c>
      <c r="D900" t="s">
        <v>433</v>
      </c>
      <c r="E900" s="217">
        <v>43891</v>
      </c>
      <c r="F900">
        <v>45145.612999999998</v>
      </c>
      <c r="G900" s="227" t="s">
        <v>114</v>
      </c>
    </row>
    <row r="901" spans="1:7">
      <c r="A901" s="216">
        <v>43891</v>
      </c>
      <c r="B901" t="s">
        <v>3</v>
      </c>
      <c r="C901">
        <v>7</v>
      </c>
      <c r="D901" t="s">
        <v>433</v>
      </c>
      <c r="E901" s="217">
        <v>43891</v>
      </c>
      <c r="F901">
        <v>44904.81</v>
      </c>
      <c r="G901" s="227" t="s">
        <v>105</v>
      </c>
    </row>
    <row r="902" spans="1:7">
      <c r="A902" s="216">
        <v>43891</v>
      </c>
      <c r="B902" t="s">
        <v>3</v>
      </c>
      <c r="C902">
        <v>7</v>
      </c>
      <c r="D902" t="s">
        <v>433</v>
      </c>
      <c r="E902" s="217">
        <v>43891</v>
      </c>
      <c r="F902">
        <v>44255.51</v>
      </c>
      <c r="G902" s="227" t="s">
        <v>100</v>
      </c>
    </row>
    <row r="903" spans="1:7">
      <c r="A903" s="216">
        <v>43891</v>
      </c>
      <c r="B903" t="s">
        <v>3</v>
      </c>
      <c r="C903">
        <v>7</v>
      </c>
      <c r="D903" t="s">
        <v>433</v>
      </c>
      <c r="E903" s="217">
        <v>43891</v>
      </c>
      <c r="F903">
        <v>45213.09</v>
      </c>
      <c r="G903" s="227" t="s">
        <v>83</v>
      </c>
    </row>
    <row r="904" spans="1:7">
      <c r="A904" s="216">
        <v>43891</v>
      </c>
      <c r="B904" t="s">
        <v>3</v>
      </c>
      <c r="C904">
        <v>7</v>
      </c>
      <c r="D904" t="s">
        <v>433</v>
      </c>
      <c r="E904" s="217">
        <v>43891</v>
      </c>
      <c r="F904">
        <v>44015.006999999998</v>
      </c>
      <c r="G904" s="227" t="s">
        <v>127</v>
      </c>
    </row>
    <row r="905" spans="1:7">
      <c r="A905" s="216">
        <v>43891</v>
      </c>
      <c r="B905" t="s">
        <v>3</v>
      </c>
      <c r="C905">
        <v>7</v>
      </c>
      <c r="D905" t="s">
        <v>433</v>
      </c>
      <c r="E905" s="217">
        <v>43891</v>
      </c>
      <c r="F905">
        <v>45849.432999999997</v>
      </c>
      <c r="G905" s="227" t="s">
        <v>123</v>
      </c>
    </row>
    <row r="906" spans="1:7">
      <c r="A906" s="216">
        <v>43891</v>
      </c>
      <c r="B906" t="s">
        <v>3</v>
      </c>
      <c r="C906">
        <v>7</v>
      </c>
      <c r="D906" t="s">
        <v>433</v>
      </c>
      <c r="E906" s="217">
        <v>43891</v>
      </c>
      <c r="F906">
        <v>45156.236999999899</v>
      </c>
      <c r="G906" s="227" t="s">
        <v>119</v>
      </c>
    </row>
    <row r="907" spans="1:7">
      <c r="A907" s="216">
        <v>43891</v>
      </c>
      <c r="B907" t="s">
        <v>3</v>
      </c>
      <c r="C907">
        <v>7</v>
      </c>
      <c r="D907" t="s">
        <v>433</v>
      </c>
      <c r="E907" s="217">
        <v>43891</v>
      </c>
      <c r="F907">
        <v>44729.95</v>
      </c>
      <c r="G907" s="227" t="s">
        <v>88</v>
      </c>
    </row>
    <row r="908" spans="1:7">
      <c r="A908" s="216">
        <v>43891</v>
      </c>
      <c r="B908" t="s">
        <v>3</v>
      </c>
      <c r="C908">
        <v>7</v>
      </c>
      <c r="D908" t="s">
        <v>433</v>
      </c>
      <c r="E908" s="217">
        <v>43891</v>
      </c>
      <c r="F908">
        <v>44977.838000000003</v>
      </c>
      <c r="G908" s="227" t="s">
        <v>96</v>
      </c>
    </row>
    <row r="909" spans="1:7">
      <c r="A909" s="216">
        <v>43891</v>
      </c>
      <c r="B909" t="s">
        <v>3</v>
      </c>
      <c r="C909">
        <v>7</v>
      </c>
      <c r="D909" t="s">
        <v>433</v>
      </c>
      <c r="E909" s="217">
        <v>43891</v>
      </c>
      <c r="F909">
        <v>47527.355000000003</v>
      </c>
      <c r="G909" s="227" t="s">
        <v>92</v>
      </c>
    </row>
    <row r="910" spans="1:7">
      <c r="A910" s="216">
        <v>43891</v>
      </c>
      <c r="B910" t="s">
        <v>3</v>
      </c>
      <c r="C910">
        <v>7</v>
      </c>
      <c r="D910" t="s">
        <v>433</v>
      </c>
      <c r="E910" s="217">
        <v>43891</v>
      </c>
      <c r="F910">
        <v>69730.870999999999</v>
      </c>
      <c r="G910" s="227" t="s">
        <v>110</v>
      </c>
    </row>
    <row r="911" spans="1:7">
      <c r="A911" s="216">
        <v>43891</v>
      </c>
      <c r="B911" t="s">
        <v>3</v>
      </c>
      <c r="C911">
        <v>7</v>
      </c>
      <c r="D911" t="s">
        <v>433</v>
      </c>
      <c r="E911" s="217">
        <v>43891</v>
      </c>
      <c r="F911">
        <v>566495.56700000004</v>
      </c>
      <c r="G911" s="227" t="s">
        <v>434</v>
      </c>
    </row>
    <row r="912" spans="1:7">
      <c r="A912" s="216">
        <v>43891</v>
      </c>
      <c r="B912" t="s">
        <v>3</v>
      </c>
      <c r="C912">
        <v>8</v>
      </c>
      <c r="D912" t="s">
        <v>445</v>
      </c>
      <c r="E912" s="217">
        <v>43891</v>
      </c>
      <c r="F912">
        <v>8539.4549999999999</v>
      </c>
      <c r="G912" s="227" t="s">
        <v>70</v>
      </c>
    </row>
    <row r="913" spans="1:7">
      <c r="A913" s="216">
        <v>43891</v>
      </c>
      <c r="B913" t="s">
        <v>3</v>
      </c>
      <c r="C913">
        <v>8</v>
      </c>
      <c r="D913" t="s">
        <v>445</v>
      </c>
      <c r="E913" s="217">
        <v>43891</v>
      </c>
      <c r="F913">
        <v>8656.0969999999998</v>
      </c>
      <c r="G913" s="227" t="s">
        <v>114</v>
      </c>
    </row>
    <row r="914" spans="1:7">
      <c r="A914" s="216">
        <v>43891</v>
      </c>
      <c r="B914" t="s">
        <v>3</v>
      </c>
      <c r="C914">
        <v>8</v>
      </c>
      <c r="D914" t="s">
        <v>445</v>
      </c>
      <c r="E914" s="217">
        <v>43891</v>
      </c>
      <c r="F914">
        <v>7524.2640000000001</v>
      </c>
      <c r="G914" s="227" t="s">
        <v>105</v>
      </c>
    </row>
    <row r="915" spans="1:7">
      <c r="A915" s="216">
        <v>43891</v>
      </c>
      <c r="B915" t="s">
        <v>3</v>
      </c>
      <c r="C915">
        <v>8</v>
      </c>
      <c r="D915" t="s">
        <v>445</v>
      </c>
      <c r="E915" s="217">
        <v>43891</v>
      </c>
      <c r="F915">
        <v>9021.8459999999995</v>
      </c>
      <c r="G915" s="227" t="s">
        <v>100</v>
      </c>
    </row>
    <row r="916" spans="1:7">
      <c r="A916" s="216">
        <v>43891</v>
      </c>
      <c r="B916" t="s">
        <v>3</v>
      </c>
      <c r="C916">
        <v>8</v>
      </c>
      <c r="D916" t="s">
        <v>445</v>
      </c>
      <c r="E916" s="217">
        <v>43891</v>
      </c>
      <c r="F916">
        <v>8938.1760000000104</v>
      </c>
      <c r="G916" s="227" t="s">
        <v>83</v>
      </c>
    </row>
    <row r="917" spans="1:7">
      <c r="A917" s="216">
        <v>43891</v>
      </c>
      <c r="B917" t="s">
        <v>3</v>
      </c>
      <c r="C917">
        <v>8</v>
      </c>
      <c r="D917" t="s">
        <v>445</v>
      </c>
      <c r="E917" s="217">
        <v>43891</v>
      </c>
      <c r="F917">
        <v>9257.768</v>
      </c>
      <c r="G917" s="227" t="s">
        <v>127</v>
      </c>
    </row>
    <row r="918" spans="1:7">
      <c r="A918" s="216">
        <v>43891</v>
      </c>
      <c r="B918" t="s">
        <v>3</v>
      </c>
      <c r="C918">
        <v>8</v>
      </c>
      <c r="D918" t="s">
        <v>445</v>
      </c>
      <c r="E918" s="217">
        <v>43891</v>
      </c>
      <c r="F918">
        <v>10742.359</v>
      </c>
      <c r="G918" s="227" t="s">
        <v>123</v>
      </c>
    </row>
    <row r="919" spans="1:7">
      <c r="A919" s="216">
        <v>43891</v>
      </c>
      <c r="B919" t="s">
        <v>3</v>
      </c>
      <c r="C919">
        <v>8</v>
      </c>
      <c r="D919" t="s">
        <v>445</v>
      </c>
      <c r="E919" s="217">
        <v>43891</v>
      </c>
      <c r="F919">
        <v>10508.003000000001</v>
      </c>
      <c r="G919" s="227" t="s">
        <v>119</v>
      </c>
    </row>
    <row r="920" spans="1:7">
      <c r="A920" s="216">
        <v>43891</v>
      </c>
      <c r="B920" t="s">
        <v>3</v>
      </c>
      <c r="C920">
        <v>8</v>
      </c>
      <c r="D920" t="s">
        <v>445</v>
      </c>
      <c r="E920" s="217">
        <v>43891</v>
      </c>
      <c r="F920">
        <v>10136.911</v>
      </c>
      <c r="G920" s="227" t="s">
        <v>88</v>
      </c>
    </row>
    <row r="921" spans="1:7">
      <c r="A921" s="216">
        <v>43891</v>
      </c>
      <c r="B921" t="s">
        <v>3</v>
      </c>
      <c r="C921">
        <v>8</v>
      </c>
      <c r="D921" t="s">
        <v>445</v>
      </c>
      <c r="E921" s="217">
        <v>43891</v>
      </c>
      <c r="F921">
        <v>9458.7950000000201</v>
      </c>
      <c r="G921" s="227" t="s">
        <v>96</v>
      </c>
    </row>
    <row r="922" spans="1:7">
      <c r="A922" s="216">
        <v>43891</v>
      </c>
      <c r="B922" t="s">
        <v>3</v>
      </c>
      <c r="C922">
        <v>8</v>
      </c>
      <c r="D922" t="s">
        <v>445</v>
      </c>
      <c r="E922" s="217">
        <v>43891</v>
      </c>
      <c r="F922">
        <v>10466.075000000001</v>
      </c>
      <c r="G922" s="227" t="s">
        <v>92</v>
      </c>
    </row>
    <row r="923" spans="1:7">
      <c r="A923" s="216">
        <v>43891</v>
      </c>
      <c r="B923" t="s">
        <v>3</v>
      </c>
      <c r="C923">
        <v>8</v>
      </c>
      <c r="D923" t="s">
        <v>445</v>
      </c>
      <c r="E923" s="217">
        <v>43891</v>
      </c>
      <c r="F923">
        <v>11150.107</v>
      </c>
      <c r="G923" s="227" t="s">
        <v>110</v>
      </c>
    </row>
    <row r="924" spans="1:7">
      <c r="A924" s="216">
        <v>43891</v>
      </c>
      <c r="B924" t="s">
        <v>3</v>
      </c>
      <c r="C924">
        <v>8</v>
      </c>
      <c r="D924" t="s">
        <v>445</v>
      </c>
      <c r="E924" s="217">
        <v>43891</v>
      </c>
      <c r="F924">
        <v>114399.856</v>
      </c>
      <c r="G924" s="227" t="s">
        <v>434</v>
      </c>
    </row>
    <row r="925" spans="1:7">
      <c r="A925" s="216">
        <v>43891</v>
      </c>
      <c r="B925" t="s">
        <v>3</v>
      </c>
      <c r="C925">
        <v>9</v>
      </c>
      <c r="D925" t="s">
        <v>454</v>
      </c>
      <c r="E925" s="217">
        <v>43891</v>
      </c>
      <c r="F925">
        <v>4948.9279999999999</v>
      </c>
      <c r="G925" s="227" t="s">
        <v>70</v>
      </c>
    </row>
    <row r="926" spans="1:7">
      <c r="A926" s="216">
        <v>43891</v>
      </c>
      <c r="B926" t="s">
        <v>3</v>
      </c>
      <c r="C926">
        <v>9</v>
      </c>
      <c r="D926" t="s">
        <v>454</v>
      </c>
      <c r="E926" s="217">
        <v>43891</v>
      </c>
      <c r="F926">
        <v>5555.1949999999997</v>
      </c>
      <c r="G926" s="227" t="s">
        <v>114</v>
      </c>
    </row>
    <row r="927" spans="1:7">
      <c r="A927" s="216">
        <v>43891</v>
      </c>
      <c r="B927" t="s">
        <v>3</v>
      </c>
      <c r="C927">
        <v>9</v>
      </c>
      <c r="D927" t="s">
        <v>454</v>
      </c>
      <c r="E927" s="217">
        <v>43891</v>
      </c>
      <c r="F927">
        <v>5448.9859999999999</v>
      </c>
      <c r="G927" s="227" t="s">
        <v>105</v>
      </c>
    </row>
    <row r="928" spans="1:7">
      <c r="A928" s="216">
        <v>43891</v>
      </c>
      <c r="B928" t="s">
        <v>3</v>
      </c>
      <c r="C928">
        <v>9</v>
      </c>
      <c r="D928" t="s">
        <v>454</v>
      </c>
      <c r="E928" s="217">
        <v>43891</v>
      </c>
      <c r="F928">
        <v>6107.2879999999996</v>
      </c>
      <c r="G928" s="227" t="s">
        <v>100</v>
      </c>
    </row>
    <row r="929" spans="1:7">
      <c r="A929" s="216">
        <v>43891</v>
      </c>
      <c r="B929" t="s">
        <v>3</v>
      </c>
      <c r="C929">
        <v>9</v>
      </c>
      <c r="D929" t="s">
        <v>454</v>
      </c>
      <c r="E929" s="217">
        <v>43891</v>
      </c>
      <c r="F929">
        <v>5191.741</v>
      </c>
      <c r="G929" s="227" t="s">
        <v>83</v>
      </c>
    </row>
    <row r="930" spans="1:7">
      <c r="A930" s="216">
        <v>43891</v>
      </c>
      <c r="B930" t="s">
        <v>3</v>
      </c>
      <c r="C930">
        <v>9</v>
      </c>
      <c r="D930" t="s">
        <v>454</v>
      </c>
      <c r="E930" s="217">
        <v>43891</v>
      </c>
      <c r="F930">
        <v>5164.3850000000002</v>
      </c>
      <c r="G930" s="227" t="s">
        <v>127</v>
      </c>
    </row>
    <row r="931" spans="1:7">
      <c r="A931" s="216">
        <v>43891</v>
      </c>
      <c r="B931" t="s">
        <v>3</v>
      </c>
      <c r="C931">
        <v>9</v>
      </c>
      <c r="D931" t="s">
        <v>454</v>
      </c>
      <c r="E931" s="217">
        <v>43891</v>
      </c>
      <c r="F931">
        <v>5819.7520000000004</v>
      </c>
      <c r="G931" s="227" t="s">
        <v>123</v>
      </c>
    </row>
    <row r="932" spans="1:7">
      <c r="A932" s="216">
        <v>43891</v>
      </c>
      <c r="B932" t="s">
        <v>3</v>
      </c>
      <c r="C932">
        <v>9</v>
      </c>
      <c r="D932" t="s">
        <v>454</v>
      </c>
      <c r="E932" s="217">
        <v>43891</v>
      </c>
      <c r="F932">
        <v>5815.5349999999999</v>
      </c>
      <c r="G932" s="227" t="s">
        <v>119</v>
      </c>
    </row>
    <row r="933" spans="1:7">
      <c r="A933" s="216">
        <v>43891</v>
      </c>
      <c r="B933" t="s">
        <v>3</v>
      </c>
      <c r="C933">
        <v>9</v>
      </c>
      <c r="D933" t="s">
        <v>454</v>
      </c>
      <c r="E933" s="217">
        <v>43891</v>
      </c>
      <c r="F933">
        <v>5742.7760000000098</v>
      </c>
      <c r="G933" s="227" t="s">
        <v>88</v>
      </c>
    </row>
    <row r="934" spans="1:7">
      <c r="A934" s="216">
        <v>43891</v>
      </c>
      <c r="B934" t="s">
        <v>3</v>
      </c>
      <c r="C934">
        <v>9</v>
      </c>
      <c r="D934" t="s">
        <v>454</v>
      </c>
      <c r="E934" s="217">
        <v>43891</v>
      </c>
      <c r="F934">
        <v>6247.63</v>
      </c>
      <c r="G934" s="227" t="s">
        <v>96</v>
      </c>
    </row>
    <row r="935" spans="1:7">
      <c r="A935" s="216">
        <v>43891</v>
      </c>
      <c r="B935" t="s">
        <v>3</v>
      </c>
      <c r="C935">
        <v>9</v>
      </c>
      <c r="D935" t="s">
        <v>454</v>
      </c>
      <c r="E935" s="217">
        <v>43891</v>
      </c>
      <c r="F935">
        <v>5173.6809999999996</v>
      </c>
      <c r="G935" s="227" t="s">
        <v>92</v>
      </c>
    </row>
    <row r="936" spans="1:7">
      <c r="A936" s="216">
        <v>43891</v>
      </c>
      <c r="B936" t="s">
        <v>3</v>
      </c>
      <c r="C936">
        <v>9</v>
      </c>
      <c r="D936" t="s">
        <v>454</v>
      </c>
      <c r="E936" s="217">
        <v>43891</v>
      </c>
      <c r="F936">
        <v>5274.9180000000097</v>
      </c>
      <c r="G936" s="227" t="s">
        <v>110</v>
      </c>
    </row>
    <row r="937" spans="1:7">
      <c r="A937" s="216">
        <v>43891</v>
      </c>
      <c r="B937" t="s">
        <v>3</v>
      </c>
      <c r="C937">
        <v>9</v>
      </c>
      <c r="D937" t="s">
        <v>454</v>
      </c>
      <c r="E937" s="217">
        <v>43891</v>
      </c>
      <c r="F937">
        <v>66490.815000000002</v>
      </c>
      <c r="G937" s="227" t="s">
        <v>434</v>
      </c>
    </row>
    <row r="938" spans="1:7">
      <c r="A938" s="216">
        <v>43891</v>
      </c>
      <c r="B938" t="s">
        <v>3</v>
      </c>
      <c r="C938">
        <v>10</v>
      </c>
      <c r="D938" t="s">
        <v>441</v>
      </c>
      <c r="E938" s="217">
        <v>43891</v>
      </c>
      <c r="F938">
        <v>11540.196</v>
      </c>
      <c r="G938" s="227" t="s">
        <v>70</v>
      </c>
    </row>
    <row r="939" spans="1:7">
      <c r="A939" s="216">
        <v>43891</v>
      </c>
      <c r="B939" t="s">
        <v>3</v>
      </c>
      <c r="C939">
        <v>10</v>
      </c>
      <c r="D939" t="s">
        <v>441</v>
      </c>
      <c r="E939" s="217">
        <v>43891</v>
      </c>
      <c r="F939">
        <v>12294.772000000001</v>
      </c>
      <c r="G939" s="227" t="s">
        <v>114</v>
      </c>
    </row>
    <row r="940" spans="1:7">
      <c r="A940" s="216">
        <v>43891</v>
      </c>
      <c r="B940" t="s">
        <v>3</v>
      </c>
      <c r="C940">
        <v>10</v>
      </c>
      <c r="D940" t="s">
        <v>441</v>
      </c>
      <c r="E940" s="217">
        <v>43891</v>
      </c>
      <c r="F940">
        <v>12821.405000000001</v>
      </c>
      <c r="G940" s="227" t="s">
        <v>105</v>
      </c>
    </row>
    <row r="941" spans="1:7">
      <c r="A941" s="216">
        <v>43891</v>
      </c>
      <c r="B941" t="s">
        <v>3</v>
      </c>
      <c r="C941">
        <v>10</v>
      </c>
      <c r="D941" t="s">
        <v>441</v>
      </c>
      <c r="E941" s="217">
        <v>43891</v>
      </c>
      <c r="F941">
        <v>12327.870999999999</v>
      </c>
      <c r="G941" s="227" t="s">
        <v>100</v>
      </c>
    </row>
    <row r="942" spans="1:7">
      <c r="A942" s="216">
        <v>43891</v>
      </c>
      <c r="B942" t="s">
        <v>3</v>
      </c>
      <c r="C942">
        <v>10</v>
      </c>
      <c r="D942" t="s">
        <v>441</v>
      </c>
      <c r="E942" s="217">
        <v>43891</v>
      </c>
      <c r="F942">
        <v>12269.906000000001</v>
      </c>
      <c r="G942" s="227" t="s">
        <v>83</v>
      </c>
    </row>
    <row r="943" spans="1:7">
      <c r="A943" s="216">
        <v>43891</v>
      </c>
      <c r="B943" t="s">
        <v>3</v>
      </c>
      <c r="C943">
        <v>10</v>
      </c>
      <c r="D943" t="s">
        <v>441</v>
      </c>
      <c r="E943" s="217">
        <v>43891</v>
      </c>
      <c r="F943">
        <v>12547.178</v>
      </c>
      <c r="G943" s="227" t="s">
        <v>127</v>
      </c>
    </row>
    <row r="944" spans="1:7">
      <c r="A944" s="216">
        <v>43891</v>
      </c>
      <c r="B944" t="s">
        <v>3</v>
      </c>
      <c r="C944">
        <v>10</v>
      </c>
      <c r="D944" t="s">
        <v>441</v>
      </c>
      <c r="E944" s="217">
        <v>43891</v>
      </c>
      <c r="F944">
        <v>12086.808000000001</v>
      </c>
      <c r="G944" s="227" t="s">
        <v>123</v>
      </c>
    </row>
    <row r="945" spans="1:7">
      <c r="A945" s="216">
        <v>43891</v>
      </c>
      <c r="B945" t="s">
        <v>3</v>
      </c>
      <c r="C945">
        <v>10</v>
      </c>
      <c r="D945" t="s">
        <v>441</v>
      </c>
      <c r="E945" s="217">
        <v>43891</v>
      </c>
      <c r="F945">
        <v>13076.618</v>
      </c>
      <c r="G945" s="227" t="s">
        <v>119</v>
      </c>
    </row>
    <row r="946" spans="1:7">
      <c r="A946" s="216">
        <v>43891</v>
      </c>
      <c r="B946" t="s">
        <v>3</v>
      </c>
      <c r="C946">
        <v>10</v>
      </c>
      <c r="D946" t="s">
        <v>441</v>
      </c>
      <c r="E946" s="217">
        <v>43891</v>
      </c>
      <c r="F946">
        <v>12672.291999999999</v>
      </c>
      <c r="G946" s="227" t="s">
        <v>88</v>
      </c>
    </row>
    <row r="947" spans="1:7">
      <c r="A947" s="216">
        <v>43891</v>
      </c>
      <c r="B947" t="s">
        <v>3</v>
      </c>
      <c r="C947">
        <v>10</v>
      </c>
      <c r="D947" t="s">
        <v>441</v>
      </c>
      <c r="E947" s="217">
        <v>43891</v>
      </c>
      <c r="F947">
        <v>12931.26</v>
      </c>
      <c r="G947" s="227" t="s">
        <v>96</v>
      </c>
    </row>
    <row r="948" spans="1:7">
      <c r="A948" s="216">
        <v>43891</v>
      </c>
      <c r="B948" t="s">
        <v>3</v>
      </c>
      <c r="C948">
        <v>10</v>
      </c>
      <c r="D948" t="s">
        <v>441</v>
      </c>
      <c r="E948" s="217">
        <v>43891</v>
      </c>
      <c r="F948">
        <v>12567.204</v>
      </c>
      <c r="G948" s="227" t="s">
        <v>92</v>
      </c>
    </row>
    <row r="949" spans="1:7">
      <c r="A949" s="216">
        <v>43891</v>
      </c>
      <c r="B949" t="s">
        <v>3</v>
      </c>
      <c r="C949">
        <v>10</v>
      </c>
      <c r="D949" t="s">
        <v>441</v>
      </c>
      <c r="E949" s="217">
        <v>43891</v>
      </c>
      <c r="F949">
        <v>10528.486999999999</v>
      </c>
      <c r="G949" s="227" t="s">
        <v>110</v>
      </c>
    </row>
    <row r="950" spans="1:7">
      <c r="A950" s="216">
        <v>43891</v>
      </c>
      <c r="B950" t="s">
        <v>3</v>
      </c>
      <c r="C950">
        <v>10</v>
      </c>
      <c r="D950" t="s">
        <v>441</v>
      </c>
      <c r="E950" s="217">
        <v>43891</v>
      </c>
      <c r="F950">
        <v>147663.997</v>
      </c>
      <c r="G950" s="227" t="s">
        <v>434</v>
      </c>
    </row>
    <row r="951" spans="1:7">
      <c r="A951" s="216">
        <v>43891</v>
      </c>
      <c r="B951" t="s">
        <v>3</v>
      </c>
      <c r="C951">
        <v>11</v>
      </c>
      <c r="D951" t="s">
        <v>447</v>
      </c>
      <c r="E951" s="217">
        <v>43891</v>
      </c>
      <c r="F951">
        <v>0</v>
      </c>
      <c r="G951" s="227" t="s">
        <v>70</v>
      </c>
    </row>
    <row r="952" spans="1:7">
      <c r="A952" s="216">
        <v>43891</v>
      </c>
      <c r="B952" t="s">
        <v>3</v>
      </c>
      <c r="C952">
        <v>11</v>
      </c>
      <c r="D952" t="s">
        <v>447</v>
      </c>
      <c r="E952" s="217">
        <v>43891</v>
      </c>
      <c r="F952">
        <v>0</v>
      </c>
      <c r="G952" s="227" t="s">
        <v>114</v>
      </c>
    </row>
    <row r="953" spans="1:7">
      <c r="A953" s="216">
        <v>43891</v>
      </c>
      <c r="B953" t="s">
        <v>3</v>
      </c>
      <c r="C953">
        <v>11</v>
      </c>
      <c r="D953" t="s">
        <v>447</v>
      </c>
      <c r="E953" s="217">
        <v>43891</v>
      </c>
      <c r="F953">
        <v>0</v>
      </c>
      <c r="G953" s="227" t="s">
        <v>105</v>
      </c>
    </row>
    <row r="954" spans="1:7">
      <c r="A954" s="216">
        <v>43891</v>
      </c>
      <c r="B954" t="s">
        <v>3</v>
      </c>
      <c r="C954">
        <v>11</v>
      </c>
      <c r="D954" t="s">
        <v>447</v>
      </c>
      <c r="E954" s="217">
        <v>43891</v>
      </c>
      <c r="F954">
        <v>0</v>
      </c>
      <c r="G954" s="227" t="s">
        <v>100</v>
      </c>
    </row>
    <row r="955" spans="1:7">
      <c r="A955" s="216">
        <v>43891</v>
      </c>
      <c r="B955" t="s">
        <v>3</v>
      </c>
      <c r="C955">
        <v>11</v>
      </c>
      <c r="D955" t="s">
        <v>447</v>
      </c>
      <c r="E955" s="217">
        <v>43891</v>
      </c>
      <c r="F955">
        <v>0</v>
      </c>
      <c r="G955" s="227" t="s">
        <v>83</v>
      </c>
    </row>
    <row r="956" spans="1:7">
      <c r="A956" s="216">
        <v>43891</v>
      </c>
      <c r="B956" t="s">
        <v>3</v>
      </c>
      <c r="C956">
        <v>11</v>
      </c>
      <c r="D956" t="s">
        <v>447</v>
      </c>
      <c r="E956" s="217">
        <v>43891</v>
      </c>
      <c r="F956">
        <v>0</v>
      </c>
      <c r="G956" s="227" t="s">
        <v>127</v>
      </c>
    </row>
    <row r="957" spans="1:7">
      <c r="A957" s="216">
        <v>43891</v>
      </c>
      <c r="B957" t="s">
        <v>3</v>
      </c>
      <c r="C957">
        <v>11</v>
      </c>
      <c r="D957" t="s">
        <v>447</v>
      </c>
      <c r="E957" s="217">
        <v>43891</v>
      </c>
      <c r="F957">
        <v>0</v>
      </c>
      <c r="G957" s="227" t="s">
        <v>123</v>
      </c>
    </row>
    <row r="958" spans="1:7">
      <c r="A958" s="216">
        <v>43891</v>
      </c>
      <c r="B958" t="s">
        <v>3</v>
      </c>
      <c r="C958">
        <v>11</v>
      </c>
      <c r="D958" t="s">
        <v>447</v>
      </c>
      <c r="E958" s="217">
        <v>43891</v>
      </c>
      <c r="F958">
        <v>0</v>
      </c>
      <c r="G958" s="227" t="s">
        <v>119</v>
      </c>
    </row>
    <row r="959" spans="1:7">
      <c r="A959" s="216">
        <v>43891</v>
      </c>
      <c r="B959" t="s">
        <v>3</v>
      </c>
      <c r="C959">
        <v>11</v>
      </c>
      <c r="D959" t="s">
        <v>447</v>
      </c>
      <c r="E959" s="217">
        <v>43891</v>
      </c>
      <c r="F959">
        <v>0</v>
      </c>
      <c r="G959" s="227" t="s">
        <v>88</v>
      </c>
    </row>
    <row r="960" spans="1:7">
      <c r="A960" s="216">
        <v>43891</v>
      </c>
      <c r="B960" t="s">
        <v>3</v>
      </c>
      <c r="C960">
        <v>11</v>
      </c>
      <c r="D960" t="s">
        <v>447</v>
      </c>
      <c r="E960" s="217">
        <v>43891</v>
      </c>
      <c r="F960">
        <v>0</v>
      </c>
      <c r="G960" s="227" t="s">
        <v>96</v>
      </c>
    </row>
    <row r="961" spans="1:7">
      <c r="A961" s="216">
        <v>43891</v>
      </c>
      <c r="B961" t="s">
        <v>3</v>
      </c>
      <c r="C961">
        <v>11</v>
      </c>
      <c r="D961" t="s">
        <v>447</v>
      </c>
      <c r="E961" s="217">
        <v>43891</v>
      </c>
      <c r="F961">
        <v>0</v>
      </c>
      <c r="G961" s="227" t="s">
        <v>92</v>
      </c>
    </row>
    <row r="962" spans="1:7">
      <c r="A962" s="216">
        <v>43891</v>
      </c>
      <c r="B962" t="s">
        <v>3</v>
      </c>
      <c r="C962">
        <v>11</v>
      </c>
      <c r="D962" t="s">
        <v>447</v>
      </c>
      <c r="E962" s="217">
        <v>43891</v>
      </c>
      <c r="F962">
        <v>0</v>
      </c>
      <c r="G962" s="227" t="s">
        <v>110</v>
      </c>
    </row>
    <row r="963" spans="1:7">
      <c r="A963" s="216">
        <v>43891</v>
      </c>
      <c r="B963" t="s">
        <v>3</v>
      </c>
      <c r="C963">
        <v>11</v>
      </c>
      <c r="D963" t="s">
        <v>447</v>
      </c>
      <c r="E963" s="217">
        <v>43891</v>
      </c>
      <c r="F963">
        <v>0</v>
      </c>
      <c r="G963" s="227" t="s">
        <v>434</v>
      </c>
    </row>
    <row r="964" spans="1:7">
      <c r="A964" s="216">
        <v>43891</v>
      </c>
      <c r="B964" t="s">
        <v>3</v>
      </c>
      <c r="C964">
        <v>12</v>
      </c>
      <c r="D964" t="s">
        <v>437</v>
      </c>
      <c r="E964" s="217">
        <v>43891</v>
      </c>
      <c r="F964">
        <v>4078.9749999999999</v>
      </c>
      <c r="G964" s="227" t="s">
        <v>70</v>
      </c>
    </row>
    <row r="965" spans="1:7">
      <c r="A965" s="216">
        <v>43891</v>
      </c>
      <c r="B965" t="s">
        <v>3</v>
      </c>
      <c r="C965">
        <v>12</v>
      </c>
      <c r="D965" t="s">
        <v>437</v>
      </c>
      <c r="E965" s="217">
        <v>43891</v>
      </c>
      <c r="F965">
        <v>4305.2820000000002</v>
      </c>
      <c r="G965" s="227" t="s">
        <v>114</v>
      </c>
    </row>
    <row r="966" spans="1:7">
      <c r="A966" s="216">
        <v>43891</v>
      </c>
      <c r="B966" t="s">
        <v>3</v>
      </c>
      <c r="C966">
        <v>12</v>
      </c>
      <c r="D966" t="s">
        <v>437</v>
      </c>
      <c r="E966" s="217">
        <v>43891</v>
      </c>
      <c r="F966">
        <v>4102.0069999999996</v>
      </c>
      <c r="G966" s="227" t="s">
        <v>105</v>
      </c>
    </row>
    <row r="967" spans="1:7">
      <c r="A967" s="216">
        <v>43891</v>
      </c>
      <c r="B967" t="s">
        <v>3</v>
      </c>
      <c r="C967">
        <v>12</v>
      </c>
      <c r="D967" t="s">
        <v>437</v>
      </c>
      <c r="E967" s="217">
        <v>43891</v>
      </c>
      <c r="F967">
        <v>4428.3919999999998</v>
      </c>
      <c r="G967" s="227" t="s">
        <v>100</v>
      </c>
    </row>
    <row r="968" spans="1:7">
      <c r="A968" s="216">
        <v>43891</v>
      </c>
      <c r="B968" t="s">
        <v>3</v>
      </c>
      <c r="C968">
        <v>12</v>
      </c>
      <c r="D968" t="s">
        <v>437</v>
      </c>
      <c r="E968" s="217">
        <v>43891</v>
      </c>
      <c r="F968">
        <v>4434.1790000000001</v>
      </c>
      <c r="G968" s="227" t="s">
        <v>83</v>
      </c>
    </row>
    <row r="969" spans="1:7">
      <c r="A969" s="216">
        <v>43891</v>
      </c>
      <c r="B969" t="s">
        <v>3</v>
      </c>
      <c r="C969">
        <v>12</v>
      </c>
      <c r="D969" t="s">
        <v>437</v>
      </c>
      <c r="E969" s="217">
        <v>43891</v>
      </c>
      <c r="F969">
        <v>4396.2</v>
      </c>
      <c r="G969" s="227" t="s">
        <v>127</v>
      </c>
    </row>
    <row r="970" spans="1:7">
      <c r="A970" s="216">
        <v>43891</v>
      </c>
      <c r="B970" t="s">
        <v>3</v>
      </c>
      <c r="C970">
        <v>12</v>
      </c>
      <c r="D970" t="s">
        <v>437</v>
      </c>
      <c r="E970" s="217">
        <v>43891</v>
      </c>
      <c r="F970">
        <v>4499.47</v>
      </c>
      <c r="G970" s="227" t="s">
        <v>123</v>
      </c>
    </row>
    <row r="971" spans="1:7">
      <c r="A971" s="216">
        <v>43891</v>
      </c>
      <c r="B971" t="s">
        <v>3</v>
      </c>
      <c r="C971">
        <v>12</v>
      </c>
      <c r="D971" t="s">
        <v>437</v>
      </c>
      <c r="E971" s="217">
        <v>43891</v>
      </c>
      <c r="F971">
        <v>4503.7070000000003</v>
      </c>
      <c r="G971" s="227" t="s">
        <v>119</v>
      </c>
    </row>
    <row r="972" spans="1:7">
      <c r="A972" s="216">
        <v>43891</v>
      </c>
      <c r="B972" t="s">
        <v>3</v>
      </c>
      <c r="C972">
        <v>12</v>
      </c>
      <c r="D972" t="s">
        <v>437</v>
      </c>
      <c r="E972" s="217">
        <v>43891</v>
      </c>
      <c r="F972">
        <v>5035.3339999999998</v>
      </c>
      <c r="G972" s="227" t="s">
        <v>88</v>
      </c>
    </row>
    <row r="973" spans="1:7">
      <c r="A973" s="216">
        <v>43891</v>
      </c>
      <c r="B973" t="s">
        <v>3</v>
      </c>
      <c r="C973">
        <v>12</v>
      </c>
      <c r="D973" t="s">
        <v>437</v>
      </c>
      <c r="E973" s="217">
        <v>43891</v>
      </c>
      <c r="F973">
        <v>4356.4560000000001</v>
      </c>
      <c r="G973" s="227" t="s">
        <v>96</v>
      </c>
    </row>
    <row r="974" spans="1:7">
      <c r="A974" s="216">
        <v>43891</v>
      </c>
      <c r="B974" t="s">
        <v>3</v>
      </c>
      <c r="C974">
        <v>12</v>
      </c>
      <c r="D974" t="s">
        <v>437</v>
      </c>
      <c r="E974" s="217">
        <v>43891</v>
      </c>
      <c r="F974">
        <v>4336.6750000000002</v>
      </c>
      <c r="G974" s="227" t="s">
        <v>92</v>
      </c>
    </row>
    <row r="975" spans="1:7">
      <c r="A975" s="216">
        <v>43891</v>
      </c>
      <c r="B975" t="s">
        <v>3</v>
      </c>
      <c r="C975">
        <v>12</v>
      </c>
      <c r="D975" t="s">
        <v>437</v>
      </c>
      <c r="E975" s="217">
        <v>43891</v>
      </c>
      <c r="F975">
        <v>4612.2150000000001</v>
      </c>
      <c r="G975" s="227" t="s">
        <v>110</v>
      </c>
    </row>
    <row r="976" spans="1:7">
      <c r="A976" s="216">
        <v>43891</v>
      </c>
      <c r="B976" t="s">
        <v>3</v>
      </c>
      <c r="C976">
        <v>12</v>
      </c>
      <c r="D976" t="s">
        <v>437</v>
      </c>
      <c r="E976" s="217">
        <v>43891</v>
      </c>
      <c r="F976">
        <v>53088.892</v>
      </c>
      <c r="G976" s="227" t="s">
        <v>434</v>
      </c>
    </row>
    <row r="977" spans="1:7">
      <c r="A977" s="216">
        <v>43891</v>
      </c>
      <c r="B977" t="s">
        <v>49</v>
      </c>
      <c r="C977">
        <v>6</v>
      </c>
      <c r="D977" t="s">
        <v>442</v>
      </c>
      <c r="E977" s="217">
        <v>43891</v>
      </c>
      <c r="F977">
        <v>29030.067999999999</v>
      </c>
      <c r="G977" s="227" t="s">
        <v>70</v>
      </c>
    </row>
    <row r="978" spans="1:7">
      <c r="A978" s="216">
        <v>43891</v>
      </c>
      <c r="B978" t="s">
        <v>49</v>
      </c>
      <c r="C978">
        <v>6</v>
      </c>
      <c r="D978" t="s">
        <v>442</v>
      </c>
      <c r="E978" s="217">
        <v>43891</v>
      </c>
      <c r="F978">
        <v>45642.722000000002</v>
      </c>
      <c r="G978" s="227" t="s">
        <v>114</v>
      </c>
    </row>
    <row r="979" spans="1:7">
      <c r="A979" s="216">
        <v>43891</v>
      </c>
      <c r="B979" t="s">
        <v>49</v>
      </c>
      <c r="C979">
        <v>6</v>
      </c>
      <c r="D979" t="s">
        <v>442</v>
      </c>
      <c r="E979" s="217">
        <v>43891</v>
      </c>
      <c r="F979">
        <v>36807.217100000002</v>
      </c>
      <c r="G979" s="227" t="s">
        <v>105</v>
      </c>
    </row>
    <row r="980" spans="1:7">
      <c r="A980" s="216">
        <v>43891</v>
      </c>
      <c r="B980" t="s">
        <v>49</v>
      </c>
      <c r="C980">
        <v>6</v>
      </c>
      <c r="D980" t="s">
        <v>442</v>
      </c>
      <c r="E980" s="217">
        <v>43891</v>
      </c>
      <c r="F980">
        <v>36548</v>
      </c>
      <c r="G980" s="227" t="s">
        <v>100</v>
      </c>
    </row>
    <row r="981" spans="1:7">
      <c r="A981" s="216">
        <v>43891</v>
      </c>
      <c r="B981" t="s">
        <v>49</v>
      </c>
      <c r="C981">
        <v>6</v>
      </c>
      <c r="D981" t="s">
        <v>442</v>
      </c>
      <c r="E981" s="217">
        <v>43891</v>
      </c>
      <c r="F981">
        <v>34169</v>
      </c>
      <c r="G981" s="227" t="s">
        <v>83</v>
      </c>
    </row>
    <row r="982" spans="1:7">
      <c r="A982" s="216">
        <v>43891</v>
      </c>
      <c r="B982" t="s">
        <v>49</v>
      </c>
      <c r="C982">
        <v>6</v>
      </c>
      <c r="D982" t="s">
        <v>442</v>
      </c>
      <c r="E982" s="217">
        <v>43891</v>
      </c>
      <c r="F982">
        <v>35336</v>
      </c>
      <c r="G982" s="227" t="s">
        <v>127</v>
      </c>
    </row>
    <row r="983" spans="1:7">
      <c r="A983" s="216">
        <v>43891</v>
      </c>
      <c r="B983" t="s">
        <v>49</v>
      </c>
      <c r="C983">
        <v>6</v>
      </c>
      <c r="D983" t="s">
        <v>442</v>
      </c>
      <c r="E983" s="217">
        <v>43891</v>
      </c>
      <c r="F983">
        <v>40281</v>
      </c>
      <c r="G983" s="227" t="s">
        <v>123</v>
      </c>
    </row>
    <row r="984" spans="1:7">
      <c r="A984" s="216">
        <v>43891</v>
      </c>
      <c r="B984" t="s">
        <v>49</v>
      </c>
      <c r="C984">
        <v>6</v>
      </c>
      <c r="D984" t="s">
        <v>442</v>
      </c>
      <c r="E984" s="217">
        <v>43891</v>
      </c>
      <c r="F984">
        <v>32797.482000000004</v>
      </c>
      <c r="G984" s="227" t="s">
        <v>119</v>
      </c>
    </row>
    <row r="985" spans="1:7">
      <c r="A985" s="216">
        <v>43891</v>
      </c>
      <c r="B985" t="s">
        <v>49</v>
      </c>
      <c r="C985">
        <v>6</v>
      </c>
      <c r="D985" t="s">
        <v>442</v>
      </c>
      <c r="E985" s="217">
        <v>43891</v>
      </c>
      <c r="F985">
        <v>57833</v>
      </c>
      <c r="G985" s="227" t="s">
        <v>88</v>
      </c>
    </row>
    <row r="986" spans="1:7">
      <c r="A986" s="216">
        <v>43891</v>
      </c>
      <c r="B986" t="s">
        <v>49</v>
      </c>
      <c r="C986">
        <v>6</v>
      </c>
      <c r="D986" t="s">
        <v>442</v>
      </c>
      <c r="E986" s="217">
        <v>43891</v>
      </c>
      <c r="F986">
        <v>39562.120000000003</v>
      </c>
      <c r="G986" s="227" t="s">
        <v>96</v>
      </c>
    </row>
    <row r="987" spans="1:7">
      <c r="A987" s="216">
        <v>43891</v>
      </c>
      <c r="B987" t="s">
        <v>49</v>
      </c>
      <c r="C987">
        <v>6</v>
      </c>
      <c r="D987" t="s">
        <v>442</v>
      </c>
      <c r="E987" s="217">
        <v>43891</v>
      </c>
      <c r="F987">
        <v>37935.434000000001</v>
      </c>
      <c r="G987" s="227" t="s">
        <v>92</v>
      </c>
    </row>
    <row r="988" spans="1:7">
      <c r="A988" s="216">
        <v>43891</v>
      </c>
      <c r="B988" t="s">
        <v>49</v>
      </c>
      <c r="C988">
        <v>6</v>
      </c>
      <c r="D988" t="s">
        <v>442</v>
      </c>
      <c r="E988" s="217">
        <v>43891</v>
      </c>
      <c r="F988">
        <v>93810.334956000006</v>
      </c>
      <c r="G988" s="227" t="s">
        <v>110</v>
      </c>
    </row>
    <row r="989" spans="1:7">
      <c r="A989" s="216">
        <v>43891</v>
      </c>
      <c r="B989" t="s">
        <v>49</v>
      </c>
      <c r="C989">
        <v>6</v>
      </c>
      <c r="D989" t="s">
        <v>442</v>
      </c>
      <c r="E989" s="217">
        <v>43891</v>
      </c>
      <c r="F989">
        <v>519752.37805599999</v>
      </c>
      <c r="G989" s="227" t="s">
        <v>434</v>
      </c>
    </row>
    <row r="990" spans="1:7">
      <c r="A990" s="216">
        <v>43891</v>
      </c>
      <c r="B990" t="s">
        <v>50</v>
      </c>
      <c r="C990">
        <v>6</v>
      </c>
      <c r="D990" t="s">
        <v>442</v>
      </c>
      <c r="E990" s="217">
        <v>43891</v>
      </c>
      <c r="F990">
        <v>16224</v>
      </c>
      <c r="G990" s="227" t="s">
        <v>70</v>
      </c>
    </row>
    <row r="991" spans="1:7">
      <c r="A991" s="216">
        <v>43891</v>
      </c>
      <c r="B991" t="s">
        <v>50</v>
      </c>
      <c r="C991">
        <v>6</v>
      </c>
      <c r="D991" t="s">
        <v>442</v>
      </c>
      <c r="E991" s="217">
        <v>43891</v>
      </c>
      <c r="F991">
        <v>15967</v>
      </c>
      <c r="G991" s="227" t="s">
        <v>114</v>
      </c>
    </row>
    <row r="992" spans="1:7">
      <c r="A992" s="216">
        <v>43891</v>
      </c>
      <c r="B992" t="s">
        <v>50</v>
      </c>
      <c r="C992">
        <v>6</v>
      </c>
      <c r="D992" t="s">
        <v>442</v>
      </c>
      <c r="E992" s="217">
        <v>43891</v>
      </c>
      <c r="F992">
        <v>16058</v>
      </c>
      <c r="G992" s="227" t="s">
        <v>105</v>
      </c>
    </row>
    <row r="993" spans="1:7">
      <c r="A993" s="216">
        <v>43891</v>
      </c>
      <c r="B993" t="s">
        <v>50</v>
      </c>
      <c r="C993">
        <v>6</v>
      </c>
      <c r="D993" t="s">
        <v>442</v>
      </c>
      <c r="E993" s="217">
        <v>43891</v>
      </c>
      <c r="F993">
        <v>17805</v>
      </c>
      <c r="G993" s="227" t="s">
        <v>100</v>
      </c>
    </row>
    <row r="994" spans="1:7">
      <c r="A994" s="216">
        <v>43891</v>
      </c>
      <c r="B994" t="s">
        <v>50</v>
      </c>
      <c r="C994">
        <v>6</v>
      </c>
      <c r="D994" t="s">
        <v>442</v>
      </c>
      <c r="E994" s="217">
        <v>43891</v>
      </c>
      <c r="F994">
        <v>16188</v>
      </c>
      <c r="G994" s="227" t="s">
        <v>83</v>
      </c>
    </row>
    <row r="995" spans="1:7">
      <c r="A995" s="216">
        <v>43891</v>
      </c>
      <c r="B995" t="s">
        <v>50</v>
      </c>
      <c r="C995">
        <v>6</v>
      </c>
      <c r="D995" t="s">
        <v>442</v>
      </c>
      <c r="E995" s="217">
        <v>43891</v>
      </c>
      <c r="F995">
        <v>16510</v>
      </c>
      <c r="G995" s="227" t="s">
        <v>127</v>
      </c>
    </row>
    <row r="996" spans="1:7">
      <c r="A996" s="216">
        <v>43891</v>
      </c>
      <c r="B996" t="s">
        <v>50</v>
      </c>
      <c r="C996">
        <v>6</v>
      </c>
      <c r="D996" t="s">
        <v>442</v>
      </c>
      <c r="E996" s="217">
        <v>43891</v>
      </c>
      <c r="F996">
        <v>16502</v>
      </c>
      <c r="G996" s="227" t="s">
        <v>123</v>
      </c>
    </row>
    <row r="997" spans="1:7">
      <c r="A997" s="216">
        <v>43891</v>
      </c>
      <c r="B997" t="s">
        <v>50</v>
      </c>
      <c r="C997">
        <v>6</v>
      </c>
      <c r="D997" t="s">
        <v>442</v>
      </c>
      <c r="E997" s="217">
        <v>43891</v>
      </c>
      <c r="F997">
        <v>18098</v>
      </c>
      <c r="G997" s="227" t="s">
        <v>119</v>
      </c>
    </row>
    <row r="998" spans="1:7">
      <c r="A998" s="216">
        <v>43891</v>
      </c>
      <c r="B998" t="s">
        <v>50</v>
      </c>
      <c r="C998">
        <v>6</v>
      </c>
      <c r="D998" t="s">
        <v>442</v>
      </c>
      <c r="E998" s="217">
        <v>43891</v>
      </c>
      <c r="F998">
        <v>17440</v>
      </c>
      <c r="G998" s="227" t="s">
        <v>88</v>
      </c>
    </row>
    <row r="999" spans="1:7">
      <c r="A999" s="216">
        <v>43891</v>
      </c>
      <c r="B999" t="s">
        <v>50</v>
      </c>
      <c r="C999">
        <v>6</v>
      </c>
      <c r="D999" t="s">
        <v>442</v>
      </c>
      <c r="E999" s="217">
        <v>43891</v>
      </c>
      <c r="F999">
        <v>16938</v>
      </c>
      <c r="G999" s="227" t="s">
        <v>96</v>
      </c>
    </row>
    <row r="1000" spans="1:7">
      <c r="A1000" s="216">
        <v>43891</v>
      </c>
      <c r="B1000" t="s">
        <v>50</v>
      </c>
      <c r="C1000">
        <v>6</v>
      </c>
      <c r="D1000" t="s">
        <v>442</v>
      </c>
      <c r="E1000" s="217">
        <v>43891</v>
      </c>
      <c r="F1000">
        <v>18258</v>
      </c>
      <c r="G1000" s="227" t="s">
        <v>92</v>
      </c>
    </row>
    <row r="1001" spans="1:7">
      <c r="A1001" s="216">
        <v>43891</v>
      </c>
      <c r="B1001" t="s">
        <v>50</v>
      </c>
      <c r="C1001">
        <v>6</v>
      </c>
      <c r="D1001" t="s">
        <v>442</v>
      </c>
      <c r="E1001" s="217">
        <v>43891</v>
      </c>
      <c r="F1001">
        <v>25307</v>
      </c>
      <c r="G1001" s="227" t="s">
        <v>110</v>
      </c>
    </row>
    <row r="1002" spans="1:7">
      <c r="A1002" s="216">
        <v>43891</v>
      </c>
      <c r="B1002" t="s">
        <v>50</v>
      </c>
      <c r="C1002">
        <v>6</v>
      </c>
      <c r="D1002" t="s">
        <v>442</v>
      </c>
      <c r="E1002" s="217">
        <v>43891</v>
      </c>
      <c r="F1002">
        <v>211295</v>
      </c>
      <c r="G1002" s="227" t="s">
        <v>434</v>
      </c>
    </row>
    <row r="1003" spans="1:7">
      <c r="A1003" s="216">
        <v>43891</v>
      </c>
      <c r="B1003" t="s">
        <v>461</v>
      </c>
      <c r="C1003">
        <v>4</v>
      </c>
      <c r="D1003" t="s">
        <v>442</v>
      </c>
      <c r="E1003" s="217">
        <v>43891</v>
      </c>
      <c r="F1003">
        <v>64999</v>
      </c>
      <c r="G1003" s="227" t="s">
        <v>70</v>
      </c>
    </row>
    <row r="1004" spans="1:7">
      <c r="A1004" s="216">
        <v>43891</v>
      </c>
      <c r="B1004" t="s">
        <v>461</v>
      </c>
      <c r="C1004">
        <v>4</v>
      </c>
      <c r="D1004" t="s">
        <v>442</v>
      </c>
      <c r="E1004" s="217">
        <v>43891</v>
      </c>
      <c r="F1004">
        <v>65075</v>
      </c>
      <c r="G1004" s="227" t="s">
        <v>114</v>
      </c>
    </row>
    <row r="1005" spans="1:7">
      <c r="A1005" s="216">
        <v>43891</v>
      </c>
      <c r="B1005" t="s">
        <v>461</v>
      </c>
      <c r="C1005">
        <v>4</v>
      </c>
      <c r="D1005" t="s">
        <v>442</v>
      </c>
      <c r="E1005" s="217">
        <v>43891</v>
      </c>
      <c r="F1005">
        <v>65030</v>
      </c>
      <c r="G1005" s="227" t="s">
        <v>105</v>
      </c>
    </row>
    <row r="1006" spans="1:7">
      <c r="A1006" s="216">
        <v>43891</v>
      </c>
      <c r="B1006" t="s">
        <v>461</v>
      </c>
      <c r="C1006">
        <v>4</v>
      </c>
      <c r="D1006" t="s">
        <v>442</v>
      </c>
      <c r="E1006" s="217">
        <v>43891</v>
      </c>
      <c r="F1006">
        <v>67696</v>
      </c>
      <c r="G1006" s="227" t="s">
        <v>100</v>
      </c>
    </row>
    <row r="1007" spans="1:7">
      <c r="A1007" s="216">
        <v>43891</v>
      </c>
      <c r="B1007" t="s">
        <v>461</v>
      </c>
      <c r="C1007">
        <v>4</v>
      </c>
      <c r="D1007" t="s">
        <v>442</v>
      </c>
      <c r="E1007" s="217">
        <v>43891</v>
      </c>
      <c r="F1007">
        <v>67768</v>
      </c>
      <c r="G1007" s="227" t="s">
        <v>83</v>
      </c>
    </row>
    <row r="1008" spans="1:7">
      <c r="A1008" s="216">
        <v>43891</v>
      </c>
      <c r="B1008" t="s">
        <v>461</v>
      </c>
      <c r="C1008">
        <v>4</v>
      </c>
      <c r="D1008" t="s">
        <v>442</v>
      </c>
      <c r="E1008" s="217">
        <v>43891</v>
      </c>
      <c r="F1008">
        <v>64481</v>
      </c>
      <c r="G1008" s="227" t="s">
        <v>127</v>
      </c>
    </row>
    <row r="1009" spans="1:7">
      <c r="A1009" s="216">
        <v>43891</v>
      </c>
      <c r="B1009" t="s">
        <v>461</v>
      </c>
      <c r="C1009">
        <v>4</v>
      </c>
      <c r="D1009" t="s">
        <v>442</v>
      </c>
      <c r="E1009" s="217">
        <v>43891</v>
      </c>
      <c r="F1009">
        <v>63416</v>
      </c>
      <c r="G1009" s="227" t="s">
        <v>123</v>
      </c>
    </row>
    <row r="1010" spans="1:7">
      <c r="A1010" s="216">
        <v>43891</v>
      </c>
      <c r="B1010" t="s">
        <v>461</v>
      </c>
      <c r="C1010">
        <v>4</v>
      </c>
      <c r="D1010" t="s">
        <v>442</v>
      </c>
      <c r="E1010" s="217">
        <v>43891</v>
      </c>
      <c r="F1010">
        <v>66987.399999999994</v>
      </c>
      <c r="G1010" s="227" t="s">
        <v>119</v>
      </c>
    </row>
    <row r="1011" spans="1:7">
      <c r="A1011" s="216">
        <v>43891</v>
      </c>
      <c r="B1011" t="s">
        <v>461</v>
      </c>
      <c r="C1011">
        <v>4</v>
      </c>
      <c r="D1011" t="s">
        <v>442</v>
      </c>
      <c r="E1011" s="217">
        <v>43891</v>
      </c>
      <c r="F1011">
        <v>65472</v>
      </c>
      <c r="G1011" s="227" t="s">
        <v>88</v>
      </c>
    </row>
    <row r="1012" spans="1:7">
      <c r="A1012" s="216">
        <v>43891</v>
      </c>
      <c r="B1012" t="s">
        <v>461</v>
      </c>
      <c r="C1012">
        <v>4</v>
      </c>
      <c r="D1012" t="s">
        <v>442</v>
      </c>
      <c r="E1012" s="217">
        <v>43891</v>
      </c>
      <c r="F1012">
        <v>65286</v>
      </c>
      <c r="G1012" s="227" t="s">
        <v>96</v>
      </c>
    </row>
    <row r="1013" spans="1:7">
      <c r="A1013" s="216">
        <v>43891</v>
      </c>
      <c r="B1013" t="s">
        <v>461</v>
      </c>
      <c r="C1013">
        <v>4</v>
      </c>
      <c r="D1013" t="s">
        <v>442</v>
      </c>
      <c r="E1013" s="217">
        <v>43891</v>
      </c>
      <c r="F1013">
        <v>68394</v>
      </c>
      <c r="G1013" s="227" t="s">
        <v>92</v>
      </c>
    </row>
    <row r="1014" spans="1:7">
      <c r="A1014" s="216">
        <v>43891</v>
      </c>
      <c r="B1014" t="s">
        <v>461</v>
      </c>
      <c r="C1014">
        <v>4</v>
      </c>
      <c r="D1014" t="s">
        <v>442</v>
      </c>
      <c r="E1014" s="217">
        <v>43891</v>
      </c>
      <c r="F1014">
        <v>69891</v>
      </c>
      <c r="G1014" s="227" t="s">
        <v>110</v>
      </c>
    </row>
    <row r="1015" spans="1:7">
      <c r="A1015" s="216">
        <v>43891</v>
      </c>
      <c r="B1015" t="s">
        <v>461</v>
      </c>
      <c r="C1015">
        <v>4</v>
      </c>
      <c r="D1015" t="s">
        <v>442</v>
      </c>
      <c r="E1015" s="217">
        <v>43891</v>
      </c>
      <c r="F1015">
        <v>794495.4</v>
      </c>
      <c r="G1015" s="227" t="s">
        <v>434</v>
      </c>
    </row>
    <row r="1016" spans="1:7">
      <c r="A1016" s="216">
        <v>43891</v>
      </c>
      <c r="B1016" t="s">
        <v>461</v>
      </c>
      <c r="C1016">
        <v>5</v>
      </c>
      <c r="D1016" t="s">
        <v>451</v>
      </c>
      <c r="E1016" s="217">
        <v>43891</v>
      </c>
      <c r="F1016">
        <v>0</v>
      </c>
      <c r="G1016" s="227" t="s">
        <v>70</v>
      </c>
    </row>
    <row r="1017" spans="1:7">
      <c r="A1017" s="216">
        <v>43891</v>
      </c>
      <c r="B1017" t="s">
        <v>461</v>
      </c>
      <c r="C1017">
        <v>5</v>
      </c>
      <c r="D1017" t="s">
        <v>451</v>
      </c>
      <c r="E1017" s="217">
        <v>43891</v>
      </c>
      <c r="F1017">
        <v>0</v>
      </c>
      <c r="G1017" s="227" t="s">
        <v>114</v>
      </c>
    </row>
    <row r="1018" spans="1:7">
      <c r="A1018" s="216">
        <v>43891</v>
      </c>
      <c r="B1018" t="s">
        <v>461</v>
      </c>
      <c r="C1018">
        <v>5</v>
      </c>
      <c r="D1018" t="s">
        <v>451</v>
      </c>
      <c r="E1018" s="217">
        <v>43891</v>
      </c>
      <c r="F1018">
        <v>0</v>
      </c>
      <c r="G1018" s="227" t="s">
        <v>105</v>
      </c>
    </row>
    <row r="1019" spans="1:7">
      <c r="A1019" s="216">
        <v>43891</v>
      </c>
      <c r="B1019" t="s">
        <v>461</v>
      </c>
      <c r="C1019">
        <v>5</v>
      </c>
      <c r="D1019" t="s">
        <v>451</v>
      </c>
      <c r="E1019" s="217">
        <v>43891</v>
      </c>
      <c r="F1019">
        <v>0</v>
      </c>
      <c r="G1019" s="227" t="s">
        <v>100</v>
      </c>
    </row>
    <row r="1020" spans="1:7">
      <c r="A1020" s="216">
        <v>43891</v>
      </c>
      <c r="B1020" t="s">
        <v>461</v>
      </c>
      <c r="C1020">
        <v>5</v>
      </c>
      <c r="D1020" t="s">
        <v>451</v>
      </c>
      <c r="E1020" s="217">
        <v>43891</v>
      </c>
      <c r="F1020">
        <v>0</v>
      </c>
      <c r="G1020" s="227" t="s">
        <v>83</v>
      </c>
    </row>
    <row r="1021" spans="1:7">
      <c r="A1021" s="216">
        <v>43891</v>
      </c>
      <c r="B1021" t="s">
        <v>461</v>
      </c>
      <c r="C1021">
        <v>5</v>
      </c>
      <c r="D1021" t="s">
        <v>451</v>
      </c>
      <c r="E1021" s="217">
        <v>43891</v>
      </c>
      <c r="F1021">
        <v>0</v>
      </c>
      <c r="G1021" s="227" t="s">
        <v>127</v>
      </c>
    </row>
    <row r="1022" spans="1:7">
      <c r="A1022" s="216">
        <v>43891</v>
      </c>
      <c r="B1022" t="s">
        <v>461</v>
      </c>
      <c r="C1022">
        <v>5</v>
      </c>
      <c r="D1022" t="s">
        <v>451</v>
      </c>
      <c r="E1022" s="217">
        <v>43891</v>
      </c>
      <c r="F1022">
        <v>0</v>
      </c>
      <c r="G1022" s="227" t="s">
        <v>123</v>
      </c>
    </row>
    <row r="1023" spans="1:7">
      <c r="A1023" s="216">
        <v>43891</v>
      </c>
      <c r="B1023" t="s">
        <v>461</v>
      </c>
      <c r="C1023">
        <v>5</v>
      </c>
      <c r="D1023" t="s">
        <v>451</v>
      </c>
      <c r="E1023" s="217">
        <v>43891</v>
      </c>
      <c r="F1023">
        <v>0</v>
      </c>
      <c r="G1023" s="227" t="s">
        <v>119</v>
      </c>
    </row>
    <row r="1024" spans="1:7">
      <c r="A1024" s="216">
        <v>43891</v>
      </c>
      <c r="B1024" t="s">
        <v>461</v>
      </c>
      <c r="C1024">
        <v>5</v>
      </c>
      <c r="D1024" t="s">
        <v>451</v>
      </c>
      <c r="E1024" s="217">
        <v>43891</v>
      </c>
      <c r="F1024">
        <v>0</v>
      </c>
      <c r="G1024" s="227" t="s">
        <v>88</v>
      </c>
    </row>
    <row r="1025" spans="1:7">
      <c r="A1025" s="216">
        <v>43891</v>
      </c>
      <c r="B1025" t="s">
        <v>461</v>
      </c>
      <c r="C1025">
        <v>5</v>
      </c>
      <c r="D1025" t="s">
        <v>451</v>
      </c>
      <c r="E1025" s="217">
        <v>43891</v>
      </c>
      <c r="F1025">
        <v>0</v>
      </c>
      <c r="G1025" s="227" t="s">
        <v>96</v>
      </c>
    </row>
    <row r="1026" spans="1:7">
      <c r="A1026" s="216">
        <v>43891</v>
      </c>
      <c r="B1026" t="s">
        <v>461</v>
      </c>
      <c r="C1026">
        <v>5</v>
      </c>
      <c r="D1026" t="s">
        <v>451</v>
      </c>
      <c r="E1026" s="217">
        <v>43891</v>
      </c>
      <c r="F1026">
        <v>0</v>
      </c>
      <c r="G1026" s="227" t="s">
        <v>92</v>
      </c>
    </row>
    <row r="1027" spans="1:7">
      <c r="A1027" s="216">
        <v>43891</v>
      </c>
      <c r="B1027" t="s">
        <v>461</v>
      </c>
      <c r="C1027">
        <v>5</v>
      </c>
      <c r="D1027" t="s">
        <v>451</v>
      </c>
      <c r="E1027" s="217">
        <v>43891</v>
      </c>
      <c r="F1027">
        <v>0</v>
      </c>
      <c r="G1027" s="227" t="s">
        <v>110</v>
      </c>
    </row>
    <row r="1028" spans="1:7">
      <c r="A1028" s="216">
        <v>43891</v>
      </c>
      <c r="B1028" t="s">
        <v>461</v>
      </c>
      <c r="C1028">
        <v>5</v>
      </c>
      <c r="D1028" t="s">
        <v>451</v>
      </c>
      <c r="E1028" s="217">
        <v>43891</v>
      </c>
      <c r="F1028">
        <v>0</v>
      </c>
      <c r="G1028" s="227" t="s">
        <v>434</v>
      </c>
    </row>
    <row r="1029" spans="1:7">
      <c r="A1029" s="216">
        <v>43891</v>
      </c>
      <c r="B1029" t="s">
        <v>461</v>
      </c>
      <c r="C1029">
        <v>6</v>
      </c>
      <c r="D1029" t="s">
        <v>450</v>
      </c>
      <c r="E1029" s="217">
        <v>43891</v>
      </c>
      <c r="F1029">
        <v>0</v>
      </c>
      <c r="G1029" s="227" t="s">
        <v>70</v>
      </c>
    </row>
    <row r="1030" spans="1:7">
      <c r="A1030" s="216">
        <v>43891</v>
      </c>
      <c r="B1030" t="s">
        <v>461</v>
      </c>
      <c r="C1030">
        <v>6</v>
      </c>
      <c r="D1030" t="s">
        <v>450</v>
      </c>
      <c r="E1030" s="217">
        <v>43891</v>
      </c>
      <c r="F1030">
        <v>0</v>
      </c>
      <c r="G1030" s="227" t="s">
        <v>114</v>
      </c>
    </row>
    <row r="1031" spans="1:7">
      <c r="A1031" s="216">
        <v>43891</v>
      </c>
      <c r="B1031" t="s">
        <v>461</v>
      </c>
      <c r="C1031">
        <v>6</v>
      </c>
      <c r="D1031" t="s">
        <v>450</v>
      </c>
      <c r="E1031" s="217">
        <v>43891</v>
      </c>
      <c r="F1031">
        <v>0</v>
      </c>
      <c r="G1031" s="227" t="s">
        <v>105</v>
      </c>
    </row>
    <row r="1032" spans="1:7">
      <c r="A1032" s="216">
        <v>43891</v>
      </c>
      <c r="B1032" t="s">
        <v>461</v>
      </c>
      <c r="C1032">
        <v>6</v>
      </c>
      <c r="D1032" t="s">
        <v>450</v>
      </c>
      <c r="E1032" s="217">
        <v>43891</v>
      </c>
      <c r="F1032">
        <v>0</v>
      </c>
      <c r="G1032" s="227" t="s">
        <v>100</v>
      </c>
    </row>
    <row r="1033" spans="1:7">
      <c r="A1033" s="216">
        <v>43891</v>
      </c>
      <c r="B1033" t="s">
        <v>461</v>
      </c>
      <c r="C1033">
        <v>6</v>
      </c>
      <c r="D1033" t="s">
        <v>450</v>
      </c>
      <c r="E1033" s="217">
        <v>43891</v>
      </c>
      <c r="F1033">
        <v>0</v>
      </c>
      <c r="G1033" s="227" t="s">
        <v>83</v>
      </c>
    </row>
    <row r="1034" spans="1:7">
      <c r="A1034" s="216">
        <v>43891</v>
      </c>
      <c r="B1034" t="s">
        <v>461</v>
      </c>
      <c r="C1034">
        <v>6</v>
      </c>
      <c r="D1034" t="s">
        <v>450</v>
      </c>
      <c r="E1034" s="217">
        <v>43891</v>
      </c>
      <c r="F1034">
        <v>0</v>
      </c>
      <c r="G1034" s="227" t="s">
        <v>127</v>
      </c>
    </row>
    <row r="1035" spans="1:7">
      <c r="A1035" s="216">
        <v>43891</v>
      </c>
      <c r="B1035" t="s">
        <v>461</v>
      </c>
      <c r="C1035">
        <v>6</v>
      </c>
      <c r="D1035" t="s">
        <v>450</v>
      </c>
      <c r="E1035" s="217">
        <v>43891</v>
      </c>
      <c r="F1035">
        <v>0</v>
      </c>
      <c r="G1035" s="227" t="s">
        <v>123</v>
      </c>
    </row>
    <row r="1036" spans="1:7">
      <c r="A1036" s="216">
        <v>43891</v>
      </c>
      <c r="B1036" t="s">
        <v>461</v>
      </c>
      <c r="C1036">
        <v>6</v>
      </c>
      <c r="D1036" t="s">
        <v>450</v>
      </c>
      <c r="E1036" s="217">
        <v>43891</v>
      </c>
      <c r="F1036">
        <v>0</v>
      </c>
      <c r="G1036" s="227" t="s">
        <v>119</v>
      </c>
    </row>
    <row r="1037" spans="1:7">
      <c r="A1037" s="216">
        <v>43891</v>
      </c>
      <c r="B1037" t="s">
        <v>461</v>
      </c>
      <c r="C1037">
        <v>6</v>
      </c>
      <c r="D1037" t="s">
        <v>450</v>
      </c>
      <c r="E1037" s="217">
        <v>43891</v>
      </c>
      <c r="F1037">
        <v>0</v>
      </c>
      <c r="G1037" s="227" t="s">
        <v>88</v>
      </c>
    </row>
    <row r="1038" spans="1:7">
      <c r="A1038" s="216">
        <v>43891</v>
      </c>
      <c r="B1038" t="s">
        <v>461</v>
      </c>
      <c r="C1038">
        <v>6</v>
      </c>
      <c r="D1038" t="s">
        <v>450</v>
      </c>
      <c r="E1038" s="217">
        <v>43891</v>
      </c>
      <c r="F1038">
        <v>0</v>
      </c>
      <c r="G1038" s="227" t="s">
        <v>96</v>
      </c>
    </row>
    <row r="1039" spans="1:7">
      <c r="A1039" s="216">
        <v>43891</v>
      </c>
      <c r="B1039" t="s">
        <v>461</v>
      </c>
      <c r="C1039">
        <v>6</v>
      </c>
      <c r="D1039" t="s">
        <v>450</v>
      </c>
      <c r="E1039" s="217">
        <v>43891</v>
      </c>
      <c r="F1039">
        <v>0</v>
      </c>
      <c r="G1039" s="227" t="s">
        <v>92</v>
      </c>
    </row>
    <row r="1040" spans="1:7">
      <c r="A1040" s="216">
        <v>43891</v>
      </c>
      <c r="B1040" t="s">
        <v>461</v>
      </c>
      <c r="C1040">
        <v>6</v>
      </c>
      <c r="D1040" t="s">
        <v>450</v>
      </c>
      <c r="E1040" s="217">
        <v>43891</v>
      </c>
      <c r="F1040">
        <v>0</v>
      </c>
      <c r="G1040" s="227" t="s">
        <v>110</v>
      </c>
    </row>
    <row r="1041" spans="1:7">
      <c r="A1041" s="216">
        <v>43891</v>
      </c>
      <c r="B1041" t="s">
        <v>461</v>
      </c>
      <c r="C1041">
        <v>6</v>
      </c>
      <c r="D1041" t="s">
        <v>450</v>
      </c>
      <c r="E1041" s="217">
        <v>43891</v>
      </c>
      <c r="F1041">
        <v>0</v>
      </c>
      <c r="G1041" s="227" t="s">
        <v>434</v>
      </c>
    </row>
    <row r="1042" spans="1:7">
      <c r="A1042" s="216">
        <v>43891</v>
      </c>
      <c r="B1042" t="s">
        <v>461</v>
      </c>
      <c r="C1042">
        <v>7</v>
      </c>
      <c r="D1042" t="s">
        <v>433</v>
      </c>
      <c r="E1042" s="217">
        <v>43891</v>
      </c>
      <c r="F1042">
        <v>461</v>
      </c>
      <c r="G1042" s="227" t="s">
        <v>70</v>
      </c>
    </row>
    <row r="1043" spans="1:7">
      <c r="A1043" s="216">
        <v>43891</v>
      </c>
      <c r="B1043" t="s">
        <v>461</v>
      </c>
      <c r="C1043">
        <v>7</v>
      </c>
      <c r="D1043" t="s">
        <v>433</v>
      </c>
      <c r="E1043" s="217">
        <v>43891</v>
      </c>
      <c r="F1043">
        <v>415</v>
      </c>
      <c r="G1043" s="227" t="s">
        <v>114</v>
      </c>
    </row>
    <row r="1044" spans="1:7">
      <c r="A1044" s="216">
        <v>43891</v>
      </c>
      <c r="B1044" t="s">
        <v>461</v>
      </c>
      <c r="C1044">
        <v>7</v>
      </c>
      <c r="D1044" t="s">
        <v>433</v>
      </c>
      <c r="E1044" s="217">
        <v>43891</v>
      </c>
      <c r="F1044">
        <v>468.61799999999999</v>
      </c>
      <c r="G1044" s="227" t="s">
        <v>105</v>
      </c>
    </row>
    <row r="1045" spans="1:7">
      <c r="A1045" s="216">
        <v>43891</v>
      </c>
      <c r="B1045" t="s">
        <v>461</v>
      </c>
      <c r="C1045">
        <v>7</v>
      </c>
      <c r="D1045" t="s">
        <v>433</v>
      </c>
      <c r="E1045" s="217">
        <v>43891</v>
      </c>
      <c r="F1045">
        <v>339.31</v>
      </c>
      <c r="G1045" s="227" t="s">
        <v>100</v>
      </c>
    </row>
    <row r="1046" spans="1:7">
      <c r="A1046" s="216">
        <v>43891</v>
      </c>
      <c r="B1046" t="s">
        <v>461</v>
      </c>
      <c r="C1046">
        <v>7</v>
      </c>
      <c r="D1046" t="s">
        <v>433</v>
      </c>
      <c r="E1046" s="217">
        <v>43891</v>
      </c>
      <c r="F1046">
        <v>463.96</v>
      </c>
      <c r="G1046" s="227" t="s">
        <v>83</v>
      </c>
    </row>
    <row r="1047" spans="1:7">
      <c r="A1047" s="216">
        <v>43891</v>
      </c>
      <c r="B1047" t="s">
        <v>461</v>
      </c>
      <c r="C1047">
        <v>7</v>
      </c>
      <c r="D1047" t="s">
        <v>433</v>
      </c>
      <c r="E1047" s="217">
        <v>43891</v>
      </c>
      <c r="F1047">
        <v>444.41500000000002</v>
      </c>
      <c r="G1047" s="227" t="s">
        <v>127</v>
      </c>
    </row>
    <row r="1048" spans="1:7">
      <c r="A1048" s="216">
        <v>43891</v>
      </c>
      <c r="B1048" t="s">
        <v>461</v>
      </c>
      <c r="C1048">
        <v>7</v>
      </c>
      <c r="D1048" t="s">
        <v>433</v>
      </c>
      <c r="E1048" s="217">
        <v>43891</v>
      </c>
      <c r="F1048">
        <v>453.86099999999999</v>
      </c>
      <c r="G1048" s="227" t="s">
        <v>123</v>
      </c>
    </row>
    <row r="1049" spans="1:7">
      <c r="A1049" s="216">
        <v>43891</v>
      </c>
      <c r="B1049" t="s">
        <v>461</v>
      </c>
      <c r="C1049">
        <v>7</v>
      </c>
      <c r="D1049" t="s">
        <v>433</v>
      </c>
      <c r="E1049" s="217">
        <v>43891</v>
      </c>
      <c r="F1049">
        <v>487.86700000000002</v>
      </c>
      <c r="G1049" s="227" t="s">
        <v>119</v>
      </c>
    </row>
    <row r="1050" spans="1:7">
      <c r="A1050" s="216">
        <v>43891</v>
      </c>
      <c r="B1050" t="s">
        <v>461</v>
      </c>
      <c r="C1050">
        <v>7</v>
      </c>
      <c r="D1050" t="s">
        <v>433</v>
      </c>
      <c r="E1050" s="217">
        <v>43891</v>
      </c>
      <c r="F1050">
        <v>476.47</v>
      </c>
      <c r="G1050" s="227" t="s">
        <v>88</v>
      </c>
    </row>
    <row r="1051" spans="1:7">
      <c r="A1051" s="216">
        <v>43891</v>
      </c>
      <c r="B1051" t="s">
        <v>461</v>
      </c>
      <c r="C1051">
        <v>7</v>
      </c>
      <c r="D1051" t="s">
        <v>433</v>
      </c>
      <c r="E1051" s="217">
        <v>43891</v>
      </c>
      <c r="F1051">
        <v>507.67899999999997</v>
      </c>
      <c r="G1051" s="227" t="s">
        <v>96</v>
      </c>
    </row>
    <row r="1052" spans="1:7">
      <c r="A1052" s="216">
        <v>43891</v>
      </c>
      <c r="B1052" t="s">
        <v>461</v>
      </c>
      <c r="C1052">
        <v>7</v>
      </c>
      <c r="D1052" t="s">
        <v>433</v>
      </c>
      <c r="E1052" s="217">
        <v>43891</v>
      </c>
      <c r="F1052">
        <v>426.649</v>
      </c>
      <c r="G1052" s="227" t="s">
        <v>92</v>
      </c>
    </row>
    <row r="1053" spans="1:7">
      <c r="A1053" s="216">
        <v>43891</v>
      </c>
      <c r="B1053" t="s">
        <v>461</v>
      </c>
      <c r="C1053">
        <v>7</v>
      </c>
      <c r="D1053" t="s">
        <v>433</v>
      </c>
      <c r="E1053" s="217">
        <v>43891</v>
      </c>
      <c r="F1053">
        <v>809.15099999999995</v>
      </c>
      <c r="G1053" s="227" t="s">
        <v>110</v>
      </c>
    </row>
    <row r="1054" spans="1:7">
      <c r="A1054" s="216">
        <v>43891</v>
      </c>
      <c r="B1054" t="s">
        <v>461</v>
      </c>
      <c r="C1054">
        <v>7</v>
      </c>
      <c r="D1054" t="s">
        <v>433</v>
      </c>
      <c r="E1054" s="217">
        <v>43891</v>
      </c>
      <c r="F1054">
        <v>5753.98</v>
      </c>
      <c r="G1054" s="227" t="s">
        <v>434</v>
      </c>
    </row>
    <row r="1055" spans="1:7">
      <c r="A1055" s="216">
        <v>43891</v>
      </c>
      <c r="B1055" t="s">
        <v>461</v>
      </c>
      <c r="C1055">
        <v>8</v>
      </c>
      <c r="D1055" t="s">
        <v>445</v>
      </c>
      <c r="E1055" s="217">
        <v>43891</v>
      </c>
      <c r="F1055">
        <v>80</v>
      </c>
      <c r="G1055" s="227" t="s">
        <v>70</v>
      </c>
    </row>
    <row r="1056" spans="1:7">
      <c r="A1056" s="216">
        <v>43891</v>
      </c>
      <c r="B1056" t="s">
        <v>461</v>
      </c>
      <c r="C1056">
        <v>8</v>
      </c>
      <c r="D1056" t="s">
        <v>445</v>
      </c>
      <c r="E1056" s="217">
        <v>43891</v>
      </c>
      <c r="F1056">
        <v>80</v>
      </c>
      <c r="G1056" s="227" t="s">
        <v>114</v>
      </c>
    </row>
    <row r="1057" spans="1:7">
      <c r="A1057" s="216">
        <v>43891</v>
      </c>
      <c r="B1057" t="s">
        <v>461</v>
      </c>
      <c r="C1057">
        <v>8</v>
      </c>
      <c r="D1057" t="s">
        <v>445</v>
      </c>
      <c r="E1057" s="217">
        <v>43891</v>
      </c>
      <c r="F1057">
        <v>80</v>
      </c>
      <c r="G1057" s="227" t="s">
        <v>105</v>
      </c>
    </row>
    <row r="1058" spans="1:7">
      <c r="A1058" s="216">
        <v>43891</v>
      </c>
      <c r="B1058" t="s">
        <v>461</v>
      </c>
      <c r="C1058">
        <v>8</v>
      </c>
      <c r="D1058" t="s">
        <v>445</v>
      </c>
      <c r="E1058" s="217">
        <v>43891</v>
      </c>
      <c r="F1058">
        <v>80</v>
      </c>
      <c r="G1058" s="227" t="s">
        <v>100</v>
      </c>
    </row>
    <row r="1059" spans="1:7">
      <c r="A1059" s="216">
        <v>43891</v>
      </c>
      <c r="B1059" t="s">
        <v>461</v>
      </c>
      <c r="C1059">
        <v>8</v>
      </c>
      <c r="D1059" t="s">
        <v>445</v>
      </c>
      <c r="E1059" s="217">
        <v>43891</v>
      </c>
      <c r="F1059">
        <v>80</v>
      </c>
      <c r="G1059" s="227" t="s">
        <v>83</v>
      </c>
    </row>
    <row r="1060" spans="1:7">
      <c r="A1060" s="216">
        <v>43891</v>
      </c>
      <c r="B1060" t="s">
        <v>461</v>
      </c>
      <c r="C1060">
        <v>8</v>
      </c>
      <c r="D1060" t="s">
        <v>445</v>
      </c>
      <c r="E1060" s="217">
        <v>43891</v>
      </c>
      <c r="F1060">
        <v>81</v>
      </c>
      <c r="G1060" s="227" t="s">
        <v>127</v>
      </c>
    </row>
    <row r="1061" spans="1:7">
      <c r="A1061" s="216">
        <v>43891</v>
      </c>
      <c r="B1061" t="s">
        <v>461</v>
      </c>
      <c r="C1061">
        <v>8</v>
      </c>
      <c r="D1061" t="s">
        <v>445</v>
      </c>
      <c r="E1061" s="217">
        <v>43891</v>
      </c>
      <c r="F1061">
        <v>81</v>
      </c>
      <c r="G1061" s="227" t="s">
        <v>123</v>
      </c>
    </row>
    <row r="1062" spans="1:7">
      <c r="A1062" s="216">
        <v>43891</v>
      </c>
      <c r="B1062" t="s">
        <v>461</v>
      </c>
      <c r="C1062">
        <v>8</v>
      </c>
      <c r="D1062" t="s">
        <v>445</v>
      </c>
      <c r="E1062" s="217">
        <v>43891</v>
      </c>
      <c r="F1062">
        <v>81</v>
      </c>
      <c r="G1062" s="227" t="s">
        <v>119</v>
      </c>
    </row>
    <row r="1063" spans="1:7">
      <c r="A1063" s="216">
        <v>43891</v>
      </c>
      <c r="B1063" t="s">
        <v>461</v>
      </c>
      <c r="C1063">
        <v>8</v>
      </c>
      <c r="D1063" t="s">
        <v>445</v>
      </c>
      <c r="E1063" s="217">
        <v>43891</v>
      </c>
      <c r="F1063">
        <v>80.5</v>
      </c>
      <c r="G1063" s="227" t="s">
        <v>88</v>
      </c>
    </row>
    <row r="1064" spans="1:7">
      <c r="A1064" s="216">
        <v>43891</v>
      </c>
      <c r="B1064" t="s">
        <v>461</v>
      </c>
      <c r="C1064">
        <v>8</v>
      </c>
      <c r="D1064" t="s">
        <v>445</v>
      </c>
      <c r="E1064" s="217">
        <v>43891</v>
      </c>
      <c r="F1064">
        <v>81</v>
      </c>
      <c r="G1064" s="227" t="s">
        <v>96</v>
      </c>
    </row>
    <row r="1065" spans="1:7">
      <c r="A1065" s="216">
        <v>43891</v>
      </c>
      <c r="B1065" t="s">
        <v>461</v>
      </c>
      <c r="C1065">
        <v>8</v>
      </c>
      <c r="D1065" t="s">
        <v>445</v>
      </c>
      <c r="E1065" s="217">
        <v>43891</v>
      </c>
      <c r="F1065">
        <v>81</v>
      </c>
      <c r="G1065" s="227" t="s">
        <v>92</v>
      </c>
    </row>
    <row r="1066" spans="1:7">
      <c r="A1066" s="216">
        <v>43891</v>
      </c>
      <c r="B1066" t="s">
        <v>461</v>
      </c>
      <c r="C1066">
        <v>8</v>
      </c>
      <c r="D1066" t="s">
        <v>445</v>
      </c>
      <c r="E1066" s="217">
        <v>43891</v>
      </c>
      <c r="F1066">
        <v>511.5</v>
      </c>
      <c r="G1066" s="227" t="s">
        <v>110</v>
      </c>
    </row>
    <row r="1067" spans="1:7">
      <c r="A1067" s="216">
        <v>43891</v>
      </c>
      <c r="B1067" t="s">
        <v>461</v>
      </c>
      <c r="C1067">
        <v>8</v>
      </c>
      <c r="D1067" t="s">
        <v>445</v>
      </c>
      <c r="E1067" s="217">
        <v>43891</v>
      </c>
      <c r="F1067">
        <v>1397</v>
      </c>
      <c r="G1067" s="227" t="s">
        <v>434</v>
      </c>
    </row>
    <row r="1068" spans="1:7">
      <c r="A1068" s="216">
        <v>43891</v>
      </c>
      <c r="B1068" t="s">
        <v>461</v>
      </c>
      <c r="C1068">
        <v>9</v>
      </c>
      <c r="D1068" t="s">
        <v>454</v>
      </c>
      <c r="E1068" s="217">
        <v>43891</v>
      </c>
      <c r="F1068">
        <v>0</v>
      </c>
      <c r="G1068" s="227" t="s">
        <v>70</v>
      </c>
    </row>
    <row r="1069" spans="1:7">
      <c r="A1069" s="216">
        <v>43891</v>
      </c>
      <c r="B1069" t="s">
        <v>461</v>
      </c>
      <c r="C1069">
        <v>9</v>
      </c>
      <c r="D1069" t="s">
        <v>454</v>
      </c>
      <c r="E1069" s="217">
        <v>43891</v>
      </c>
      <c r="F1069">
        <v>0</v>
      </c>
      <c r="G1069" s="227" t="s">
        <v>114</v>
      </c>
    </row>
    <row r="1070" spans="1:7">
      <c r="A1070" s="216">
        <v>43891</v>
      </c>
      <c r="B1070" t="s">
        <v>461</v>
      </c>
      <c r="C1070">
        <v>9</v>
      </c>
      <c r="D1070" t="s">
        <v>454</v>
      </c>
      <c r="E1070" s="217">
        <v>43891</v>
      </c>
      <c r="F1070">
        <v>0</v>
      </c>
      <c r="G1070" s="227" t="s">
        <v>105</v>
      </c>
    </row>
    <row r="1071" spans="1:7">
      <c r="A1071" s="216">
        <v>43891</v>
      </c>
      <c r="B1071" t="s">
        <v>461</v>
      </c>
      <c r="C1071">
        <v>9</v>
      </c>
      <c r="D1071" t="s">
        <v>454</v>
      </c>
      <c r="E1071" s="217">
        <v>43891</v>
      </c>
      <c r="F1071">
        <v>0</v>
      </c>
      <c r="G1071" s="227" t="s">
        <v>100</v>
      </c>
    </row>
    <row r="1072" spans="1:7">
      <c r="A1072" s="216">
        <v>43891</v>
      </c>
      <c r="B1072" t="s">
        <v>461</v>
      </c>
      <c r="C1072">
        <v>9</v>
      </c>
      <c r="D1072" t="s">
        <v>454</v>
      </c>
      <c r="E1072" s="217">
        <v>43891</v>
      </c>
      <c r="F1072">
        <v>0</v>
      </c>
      <c r="G1072" s="227" t="s">
        <v>83</v>
      </c>
    </row>
    <row r="1073" spans="1:7">
      <c r="A1073" s="216">
        <v>43891</v>
      </c>
      <c r="B1073" t="s">
        <v>461</v>
      </c>
      <c r="C1073">
        <v>9</v>
      </c>
      <c r="D1073" t="s">
        <v>454</v>
      </c>
      <c r="E1073" s="217">
        <v>43891</v>
      </c>
      <c r="F1073">
        <v>0</v>
      </c>
      <c r="G1073" s="227" t="s">
        <v>127</v>
      </c>
    </row>
    <row r="1074" spans="1:7">
      <c r="A1074" s="216">
        <v>43891</v>
      </c>
      <c r="B1074" t="s">
        <v>461</v>
      </c>
      <c r="C1074">
        <v>9</v>
      </c>
      <c r="D1074" t="s">
        <v>454</v>
      </c>
      <c r="E1074" s="217">
        <v>43891</v>
      </c>
      <c r="F1074">
        <v>0</v>
      </c>
      <c r="G1074" s="227" t="s">
        <v>123</v>
      </c>
    </row>
    <row r="1075" spans="1:7">
      <c r="A1075" s="216">
        <v>43891</v>
      </c>
      <c r="B1075" t="s">
        <v>461</v>
      </c>
      <c r="C1075">
        <v>9</v>
      </c>
      <c r="D1075" t="s">
        <v>454</v>
      </c>
      <c r="E1075" s="217">
        <v>43891</v>
      </c>
      <c r="F1075">
        <v>0</v>
      </c>
      <c r="G1075" s="227" t="s">
        <v>119</v>
      </c>
    </row>
    <row r="1076" spans="1:7">
      <c r="A1076" s="216">
        <v>43891</v>
      </c>
      <c r="B1076" t="s">
        <v>461</v>
      </c>
      <c r="C1076">
        <v>9</v>
      </c>
      <c r="D1076" t="s">
        <v>454</v>
      </c>
      <c r="E1076" s="217">
        <v>43891</v>
      </c>
      <c r="F1076">
        <v>0</v>
      </c>
      <c r="G1076" s="227" t="s">
        <v>88</v>
      </c>
    </row>
    <row r="1077" spans="1:7">
      <c r="A1077" s="216">
        <v>43891</v>
      </c>
      <c r="B1077" t="s">
        <v>461</v>
      </c>
      <c r="C1077">
        <v>9</v>
      </c>
      <c r="D1077" t="s">
        <v>454</v>
      </c>
      <c r="E1077" s="217">
        <v>43891</v>
      </c>
      <c r="F1077">
        <v>0</v>
      </c>
      <c r="G1077" s="227" t="s">
        <v>96</v>
      </c>
    </row>
    <row r="1078" spans="1:7">
      <c r="A1078" s="216">
        <v>43891</v>
      </c>
      <c r="B1078" t="s">
        <v>461</v>
      </c>
      <c r="C1078">
        <v>9</v>
      </c>
      <c r="D1078" t="s">
        <v>454</v>
      </c>
      <c r="E1078" s="217">
        <v>43891</v>
      </c>
      <c r="F1078">
        <v>0</v>
      </c>
      <c r="G1078" s="227" t="s">
        <v>92</v>
      </c>
    </row>
    <row r="1079" spans="1:7">
      <c r="A1079" s="216">
        <v>43891</v>
      </c>
      <c r="B1079" t="s">
        <v>461</v>
      </c>
      <c r="C1079">
        <v>9</v>
      </c>
      <c r="D1079" t="s">
        <v>454</v>
      </c>
      <c r="E1079" s="217">
        <v>43891</v>
      </c>
      <c r="F1079">
        <v>0</v>
      </c>
      <c r="G1079" s="227" t="s">
        <v>110</v>
      </c>
    </row>
    <row r="1080" spans="1:7">
      <c r="A1080" s="216">
        <v>43891</v>
      </c>
      <c r="B1080" t="s">
        <v>461</v>
      </c>
      <c r="C1080">
        <v>9</v>
      </c>
      <c r="D1080" t="s">
        <v>454</v>
      </c>
      <c r="E1080" s="217">
        <v>43891</v>
      </c>
      <c r="F1080">
        <v>0</v>
      </c>
      <c r="G1080" s="227" t="s">
        <v>434</v>
      </c>
    </row>
    <row r="1081" spans="1:7">
      <c r="A1081" s="216">
        <v>43891</v>
      </c>
      <c r="B1081" t="s">
        <v>461</v>
      </c>
      <c r="C1081">
        <v>10</v>
      </c>
      <c r="D1081" t="s">
        <v>441</v>
      </c>
      <c r="E1081" s="217">
        <v>43891</v>
      </c>
      <c r="F1081">
        <v>62253</v>
      </c>
      <c r="G1081" s="227" t="s">
        <v>70</v>
      </c>
    </row>
    <row r="1082" spans="1:7">
      <c r="A1082" s="216">
        <v>43891</v>
      </c>
      <c r="B1082" t="s">
        <v>461</v>
      </c>
      <c r="C1082">
        <v>10</v>
      </c>
      <c r="D1082" t="s">
        <v>441</v>
      </c>
      <c r="E1082" s="217">
        <v>43891</v>
      </c>
      <c r="F1082">
        <v>62375</v>
      </c>
      <c r="G1082" s="227" t="s">
        <v>114</v>
      </c>
    </row>
    <row r="1083" spans="1:7">
      <c r="A1083" s="216">
        <v>43891</v>
      </c>
      <c r="B1083" t="s">
        <v>461</v>
      </c>
      <c r="C1083">
        <v>10</v>
      </c>
      <c r="D1083" t="s">
        <v>441</v>
      </c>
      <c r="E1083" s="217">
        <v>43891</v>
      </c>
      <c r="F1083">
        <v>62276</v>
      </c>
      <c r="G1083" s="227" t="s">
        <v>105</v>
      </c>
    </row>
    <row r="1084" spans="1:7">
      <c r="A1084" s="216">
        <v>43891</v>
      </c>
      <c r="B1084" t="s">
        <v>461</v>
      </c>
      <c r="C1084">
        <v>10</v>
      </c>
      <c r="D1084" t="s">
        <v>441</v>
      </c>
      <c r="E1084" s="217">
        <v>43891</v>
      </c>
      <c r="F1084">
        <v>65072</v>
      </c>
      <c r="G1084" s="227" t="s">
        <v>100</v>
      </c>
    </row>
    <row r="1085" spans="1:7">
      <c r="A1085" s="216">
        <v>43891</v>
      </c>
      <c r="B1085" t="s">
        <v>461</v>
      </c>
      <c r="C1085">
        <v>10</v>
      </c>
      <c r="D1085" t="s">
        <v>441</v>
      </c>
      <c r="E1085" s="217">
        <v>43891</v>
      </c>
      <c r="F1085">
        <v>65019</v>
      </c>
      <c r="G1085" s="227" t="s">
        <v>83</v>
      </c>
    </row>
    <row r="1086" spans="1:7">
      <c r="A1086" s="216">
        <v>43891</v>
      </c>
      <c r="B1086" t="s">
        <v>461</v>
      </c>
      <c r="C1086">
        <v>10</v>
      </c>
      <c r="D1086" t="s">
        <v>441</v>
      </c>
      <c r="E1086" s="217">
        <v>43891</v>
      </c>
      <c r="F1086">
        <v>61751</v>
      </c>
      <c r="G1086" s="227" t="s">
        <v>127</v>
      </c>
    </row>
    <row r="1087" spans="1:7">
      <c r="A1087" s="216">
        <v>43891</v>
      </c>
      <c r="B1087" t="s">
        <v>461</v>
      </c>
      <c r="C1087">
        <v>10</v>
      </c>
      <c r="D1087" t="s">
        <v>441</v>
      </c>
      <c r="E1087" s="217">
        <v>43891</v>
      </c>
      <c r="F1087">
        <v>60676</v>
      </c>
      <c r="G1087" s="227" t="s">
        <v>123</v>
      </c>
    </row>
    <row r="1088" spans="1:7">
      <c r="A1088" s="216">
        <v>43891</v>
      </c>
      <c r="B1088" t="s">
        <v>461</v>
      </c>
      <c r="C1088">
        <v>10</v>
      </c>
      <c r="D1088" t="s">
        <v>441</v>
      </c>
      <c r="E1088" s="217">
        <v>43891</v>
      </c>
      <c r="F1088">
        <v>64214</v>
      </c>
      <c r="G1088" s="227" t="s">
        <v>119</v>
      </c>
    </row>
    <row r="1089" spans="1:7">
      <c r="A1089" s="216">
        <v>43891</v>
      </c>
      <c r="B1089" t="s">
        <v>461</v>
      </c>
      <c r="C1089">
        <v>10</v>
      </c>
      <c r="D1089" t="s">
        <v>441</v>
      </c>
      <c r="E1089" s="217">
        <v>43891</v>
      </c>
      <c r="F1089">
        <v>62710</v>
      </c>
      <c r="G1089" s="227" t="s">
        <v>88</v>
      </c>
    </row>
    <row r="1090" spans="1:7">
      <c r="A1090" s="216">
        <v>43891</v>
      </c>
      <c r="B1090" t="s">
        <v>461</v>
      </c>
      <c r="C1090">
        <v>10</v>
      </c>
      <c r="D1090" t="s">
        <v>441</v>
      </c>
      <c r="E1090" s="217">
        <v>43891</v>
      </c>
      <c r="F1090">
        <v>62493</v>
      </c>
      <c r="G1090" s="227" t="s">
        <v>96</v>
      </c>
    </row>
    <row r="1091" spans="1:7">
      <c r="A1091" s="216">
        <v>43891</v>
      </c>
      <c r="B1091" t="s">
        <v>461</v>
      </c>
      <c r="C1091">
        <v>10</v>
      </c>
      <c r="D1091" t="s">
        <v>441</v>
      </c>
      <c r="E1091" s="217">
        <v>43891</v>
      </c>
      <c r="F1091">
        <v>65682</v>
      </c>
      <c r="G1091" s="227" t="s">
        <v>92</v>
      </c>
    </row>
    <row r="1092" spans="1:7">
      <c r="A1092" s="216">
        <v>43891</v>
      </c>
      <c r="B1092" t="s">
        <v>461</v>
      </c>
      <c r="C1092">
        <v>10</v>
      </c>
      <c r="D1092" t="s">
        <v>441</v>
      </c>
      <c r="E1092" s="217">
        <v>43891</v>
      </c>
      <c r="F1092">
        <v>67589</v>
      </c>
      <c r="G1092" s="227" t="s">
        <v>110</v>
      </c>
    </row>
    <row r="1093" spans="1:7">
      <c r="A1093" s="216">
        <v>43891</v>
      </c>
      <c r="B1093" t="s">
        <v>461</v>
      </c>
      <c r="C1093">
        <v>10</v>
      </c>
      <c r="D1093" t="s">
        <v>441</v>
      </c>
      <c r="E1093" s="217">
        <v>43891</v>
      </c>
      <c r="F1093">
        <v>762110</v>
      </c>
      <c r="G1093" s="227" t="s">
        <v>434</v>
      </c>
    </row>
    <row r="1094" spans="1:7">
      <c r="A1094" s="216">
        <v>43891</v>
      </c>
      <c r="B1094" t="s">
        <v>461</v>
      </c>
      <c r="C1094">
        <v>11</v>
      </c>
      <c r="D1094" t="s">
        <v>447</v>
      </c>
      <c r="E1094" s="217">
        <v>43891</v>
      </c>
      <c r="F1094">
        <v>0</v>
      </c>
      <c r="G1094" s="227" t="s">
        <v>70</v>
      </c>
    </row>
    <row r="1095" spans="1:7">
      <c r="A1095" s="216">
        <v>43891</v>
      </c>
      <c r="B1095" t="s">
        <v>461</v>
      </c>
      <c r="C1095">
        <v>11</v>
      </c>
      <c r="D1095" t="s">
        <v>447</v>
      </c>
      <c r="E1095" s="217">
        <v>43891</v>
      </c>
      <c r="F1095">
        <v>0</v>
      </c>
      <c r="G1095" s="227" t="s">
        <v>114</v>
      </c>
    </row>
    <row r="1096" spans="1:7">
      <c r="A1096" s="216">
        <v>43891</v>
      </c>
      <c r="B1096" t="s">
        <v>461</v>
      </c>
      <c r="C1096">
        <v>11</v>
      </c>
      <c r="D1096" t="s">
        <v>447</v>
      </c>
      <c r="E1096" s="217">
        <v>43891</v>
      </c>
      <c r="F1096">
        <v>0</v>
      </c>
      <c r="G1096" s="227" t="s">
        <v>105</v>
      </c>
    </row>
    <row r="1097" spans="1:7">
      <c r="A1097" s="216">
        <v>43891</v>
      </c>
      <c r="B1097" t="s">
        <v>461</v>
      </c>
      <c r="C1097">
        <v>11</v>
      </c>
      <c r="D1097" t="s">
        <v>447</v>
      </c>
      <c r="E1097" s="217">
        <v>43891</v>
      </c>
      <c r="F1097">
        <v>0</v>
      </c>
      <c r="G1097" s="227" t="s">
        <v>100</v>
      </c>
    </row>
    <row r="1098" spans="1:7">
      <c r="A1098" s="216">
        <v>43891</v>
      </c>
      <c r="B1098" t="s">
        <v>461</v>
      </c>
      <c r="C1098">
        <v>11</v>
      </c>
      <c r="D1098" t="s">
        <v>447</v>
      </c>
      <c r="E1098" s="217">
        <v>43891</v>
      </c>
      <c r="F1098">
        <v>0</v>
      </c>
      <c r="G1098" s="227" t="s">
        <v>83</v>
      </c>
    </row>
    <row r="1099" spans="1:7">
      <c r="A1099" s="216">
        <v>43891</v>
      </c>
      <c r="B1099" t="s">
        <v>461</v>
      </c>
      <c r="C1099">
        <v>11</v>
      </c>
      <c r="D1099" t="s">
        <v>447</v>
      </c>
      <c r="E1099" s="217">
        <v>43891</v>
      </c>
      <c r="F1099">
        <v>0</v>
      </c>
      <c r="G1099" s="227" t="s">
        <v>127</v>
      </c>
    </row>
    <row r="1100" spans="1:7">
      <c r="A1100" s="216">
        <v>43891</v>
      </c>
      <c r="B1100" t="s">
        <v>461</v>
      </c>
      <c r="C1100">
        <v>11</v>
      </c>
      <c r="D1100" t="s">
        <v>447</v>
      </c>
      <c r="E1100" s="217">
        <v>43891</v>
      </c>
      <c r="F1100">
        <v>0</v>
      </c>
      <c r="G1100" s="227" t="s">
        <v>123</v>
      </c>
    </row>
    <row r="1101" spans="1:7">
      <c r="A1101" s="216">
        <v>43891</v>
      </c>
      <c r="B1101" t="s">
        <v>461</v>
      </c>
      <c r="C1101">
        <v>11</v>
      </c>
      <c r="D1101" t="s">
        <v>447</v>
      </c>
      <c r="E1101" s="217">
        <v>43891</v>
      </c>
      <c r="F1101">
        <v>0</v>
      </c>
      <c r="G1101" s="227" t="s">
        <v>119</v>
      </c>
    </row>
    <row r="1102" spans="1:7">
      <c r="A1102" s="216">
        <v>43891</v>
      </c>
      <c r="B1102" t="s">
        <v>461</v>
      </c>
      <c r="C1102">
        <v>11</v>
      </c>
      <c r="D1102" t="s">
        <v>447</v>
      </c>
      <c r="E1102" s="217">
        <v>43891</v>
      </c>
      <c r="F1102">
        <v>0</v>
      </c>
      <c r="G1102" s="227" t="s">
        <v>88</v>
      </c>
    </row>
    <row r="1103" spans="1:7">
      <c r="A1103" s="216">
        <v>43891</v>
      </c>
      <c r="B1103" t="s">
        <v>461</v>
      </c>
      <c r="C1103">
        <v>11</v>
      </c>
      <c r="D1103" t="s">
        <v>447</v>
      </c>
      <c r="E1103" s="217">
        <v>43891</v>
      </c>
      <c r="F1103">
        <v>0</v>
      </c>
      <c r="G1103" s="227" t="s">
        <v>96</v>
      </c>
    </row>
    <row r="1104" spans="1:7">
      <c r="A1104" s="216">
        <v>43891</v>
      </c>
      <c r="B1104" t="s">
        <v>461</v>
      </c>
      <c r="C1104">
        <v>11</v>
      </c>
      <c r="D1104" t="s">
        <v>447</v>
      </c>
      <c r="E1104" s="217">
        <v>43891</v>
      </c>
      <c r="F1104">
        <v>0</v>
      </c>
      <c r="G1104" s="227" t="s">
        <v>92</v>
      </c>
    </row>
    <row r="1105" spans="1:7">
      <c r="A1105" s="216">
        <v>43891</v>
      </c>
      <c r="B1105" t="s">
        <v>461</v>
      </c>
      <c r="C1105">
        <v>11</v>
      </c>
      <c r="D1105" t="s">
        <v>447</v>
      </c>
      <c r="E1105" s="217">
        <v>43891</v>
      </c>
      <c r="F1105">
        <v>0</v>
      </c>
      <c r="G1105" s="227" t="s">
        <v>110</v>
      </c>
    </row>
    <row r="1106" spans="1:7">
      <c r="A1106" s="216">
        <v>43891</v>
      </c>
      <c r="B1106" t="s">
        <v>461</v>
      </c>
      <c r="C1106">
        <v>11</v>
      </c>
      <c r="D1106" t="s">
        <v>447</v>
      </c>
      <c r="E1106" s="217">
        <v>43891</v>
      </c>
      <c r="F1106">
        <v>0</v>
      </c>
      <c r="G1106" s="227" t="s">
        <v>434</v>
      </c>
    </row>
    <row r="1107" spans="1:7">
      <c r="A1107" s="216">
        <v>43891</v>
      </c>
      <c r="B1107" t="s">
        <v>461</v>
      </c>
      <c r="C1107">
        <v>12</v>
      </c>
      <c r="D1107" t="s">
        <v>437</v>
      </c>
      <c r="E1107" s="217">
        <v>43891</v>
      </c>
      <c r="F1107">
        <v>0</v>
      </c>
      <c r="G1107" s="227" t="s">
        <v>70</v>
      </c>
    </row>
    <row r="1108" spans="1:7">
      <c r="A1108" s="216">
        <v>43891</v>
      </c>
      <c r="B1108" t="s">
        <v>461</v>
      </c>
      <c r="C1108">
        <v>12</v>
      </c>
      <c r="D1108" t="s">
        <v>437</v>
      </c>
      <c r="E1108" s="217">
        <v>43891</v>
      </c>
      <c r="F1108">
        <v>0</v>
      </c>
      <c r="G1108" s="227" t="s">
        <v>114</v>
      </c>
    </row>
    <row r="1109" spans="1:7">
      <c r="A1109" s="216">
        <v>43891</v>
      </c>
      <c r="B1109" t="s">
        <v>461</v>
      </c>
      <c r="C1109">
        <v>12</v>
      </c>
      <c r="D1109" t="s">
        <v>437</v>
      </c>
      <c r="E1109" s="217">
        <v>43891</v>
      </c>
      <c r="F1109">
        <v>0</v>
      </c>
      <c r="G1109" s="227" t="s">
        <v>105</v>
      </c>
    </row>
    <row r="1110" spans="1:7">
      <c r="A1110" s="216">
        <v>43891</v>
      </c>
      <c r="B1110" t="s">
        <v>461</v>
      </c>
      <c r="C1110">
        <v>12</v>
      </c>
      <c r="D1110" t="s">
        <v>437</v>
      </c>
      <c r="E1110" s="217">
        <v>43891</v>
      </c>
      <c r="F1110">
        <v>0</v>
      </c>
      <c r="G1110" s="227" t="s">
        <v>100</v>
      </c>
    </row>
    <row r="1111" spans="1:7">
      <c r="A1111" s="216">
        <v>43891</v>
      </c>
      <c r="B1111" t="s">
        <v>461</v>
      </c>
      <c r="C1111">
        <v>12</v>
      </c>
      <c r="D1111" t="s">
        <v>437</v>
      </c>
      <c r="E1111" s="217">
        <v>43891</v>
      </c>
      <c r="F1111">
        <v>0</v>
      </c>
      <c r="G1111" s="227" t="s">
        <v>83</v>
      </c>
    </row>
    <row r="1112" spans="1:7">
      <c r="A1112" s="216">
        <v>43891</v>
      </c>
      <c r="B1112" t="s">
        <v>461</v>
      </c>
      <c r="C1112">
        <v>12</v>
      </c>
      <c r="D1112" t="s">
        <v>437</v>
      </c>
      <c r="E1112" s="217">
        <v>43891</v>
      </c>
      <c r="F1112">
        <v>0</v>
      </c>
      <c r="G1112" s="227" t="s">
        <v>127</v>
      </c>
    </row>
    <row r="1113" spans="1:7">
      <c r="A1113" s="216">
        <v>43891</v>
      </c>
      <c r="B1113" t="s">
        <v>461</v>
      </c>
      <c r="C1113">
        <v>12</v>
      </c>
      <c r="D1113" t="s">
        <v>437</v>
      </c>
      <c r="E1113" s="217">
        <v>43891</v>
      </c>
      <c r="F1113">
        <v>0</v>
      </c>
      <c r="G1113" s="227" t="s">
        <v>123</v>
      </c>
    </row>
    <row r="1114" spans="1:7">
      <c r="A1114" s="216">
        <v>43891</v>
      </c>
      <c r="B1114" t="s">
        <v>461</v>
      </c>
      <c r="C1114">
        <v>12</v>
      </c>
      <c r="D1114" t="s">
        <v>437</v>
      </c>
      <c r="E1114" s="217">
        <v>43891</v>
      </c>
      <c r="F1114">
        <v>0</v>
      </c>
      <c r="G1114" s="227" t="s">
        <v>119</v>
      </c>
    </row>
    <row r="1115" spans="1:7">
      <c r="A1115" s="216">
        <v>43891</v>
      </c>
      <c r="B1115" t="s">
        <v>461</v>
      </c>
      <c r="C1115">
        <v>12</v>
      </c>
      <c r="D1115" t="s">
        <v>437</v>
      </c>
      <c r="E1115" s="217">
        <v>43891</v>
      </c>
      <c r="F1115">
        <v>0</v>
      </c>
      <c r="G1115" s="227" t="s">
        <v>88</v>
      </c>
    </row>
    <row r="1116" spans="1:7">
      <c r="A1116" s="216">
        <v>43891</v>
      </c>
      <c r="B1116" t="s">
        <v>461</v>
      </c>
      <c r="C1116">
        <v>12</v>
      </c>
      <c r="D1116" t="s">
        <v>437</v>
      </c>
      <c r="E1116" s="217">
        <v>43891</v>
      </c>
      <c r="F1116">
        <v>0</v>
      </c>
      <c r="G1116" s="227" t="s">
        <v>96</v>
      </c>
    </row>
    <row r="1117" spans="1:7">
      <c r="A1117" s="216">
        <v>43891</v>
      </c>
      <c r="B1117" t="s">
        <v>461</v>
      </c>
      <c r="C1117">
        <v>12</v>
      </c>
      <c r="D1117" t="s">
        <v>437</v>
      </c>
      <c r="E1117" s="217">
        <v>43891</v>
      </c>
      <c r="F1117">
        <v>0</v>
      </c>
      <c r="G1117" s="227" t="s">
        <v>92</v>
      </c>
    </row>
    <row r="1118" spans="1:7">
      <c r="A1118" s="216">
        <v>43891</v>
      </c>
      <c r="B1118" t="s">
        <v>461</v>
      </c>
      <c r="C1118">
        <v>12</v>
      </c>
      <c r="D1118" t="s">
        <v>437</v>
      </c>
      <c r="E1118" s="217">
        <v>43891</v>
      </c>
      <c r="F1118">
        <v>0</v>
      </c>
      <c r="G1118" s="227" t="s">
        <v>110</v>
      </c>
    </row>
    <row r="1119" spans="1:7">
      <c r="A1119" s="216">
        <v>43891</v>
      </c>
      <c r="B1119" t="s">
        <v>461</v>
      </c>
      <c r="C1119">
        <v>12</v>
      </c>
      <c r="D1119" t="s">
        <v>437</v>
      </c>
      <c r="E1119" s="217">
        <v>43891</v>
      </c>
      <c r="F1119">
        <v>0</v>
      </c>
      <c r="G1119" s="227" t="s">
        <v>434</v>
      </c>
    </row>
    <row r="1120" spans="1:7">
      <c r="A1120" s="216">
        <v>44256</v>
      </c>
      <c r="B1120" t="s">
        <v>42</v>
      </c>
      <c r="C1120">
        <v>7</v>
      </c>
      <c r="D1120" t="s">
        <v>442</v>
      </c>
      <c r="E1120" s="217">
        <v>44256</v>
      </c>
      <c r="F1120">
        <v>114552</v>
      </c>
      <c r="G1120" s="227" t="s">
        <v>79</v>
      </c>
    </row>
    <row r="1121" spans="1:7">
      <c r="A1121" s="216">
        <v>44256</v>
      </c>
      <c r="B1121" t="s">
        <v>42</v>
      </c>
      <c r="C1121">
        <v>7</v>
      </c>
      <c r="D1121" t="s">
        <v>442</v>
      </c>
      <c r="E1121" s="217">
        <v>44256</v>
      </c>
      <c r="F1121">
        <v>115985</v>
      </c>
      <c r="G1121" s="227" t="s">
        <v>115</v>
      </c>
    </row>
    <row r="1122" spans="1:7">
      <c r="A1122" s="216">
        <v>44256</v>
      </c>
      <c r="B1122" t="s">
        <v>42</v>
      </c>
      <c r="C1122">
        <v>7</v>
      </c>
      <c r="D1122" t="s">
        <v>442</v>
      </c>
      <c r="E1122" s="217">
        <v>44256</v>
      </c>
      <c r="F1122">
        <v>123759</v>
      </c>
      <c r="G1122" s="227" t="s">
        <v>106</v>
      </c>
    </row>
    <row r="1123" spans="1:7">
      <c r="A1123" s="216">
        <v>44256</v>
      </c>
      <c r="B1123" t="s">
        <v>42</v>
      </c>
      <c r="C1123">
        <v>7</v>
      </c>
      <c r="D1123" t="s">
        <v>442</v>
      </c>
      <c r="E1123" s="217">
        <v>44256</v>
      </c>
      <c r="F1123">
        <v>109180</v>
      </c>
      <c r="G1123" s="227" t="s">
        <v>101</v>
      </c>
    </row>
    <row r="1124" spans="1:7">
      <c r="A1124" s="216">
        <v>44256</v>
      </c>
      <c r="B1124" t="s">
        <v>42</v>
      </c>
      <c r="C1124">
        <v>7</v>
      </c>
      <c r="D1124" t="s">
        <v>442</v>
      </c>
      <c r="E1124" s="217">
        <v>44256</v>
      </c>
      <c r="F1124">
        <v>118144</v>
      </c>
      <c r="G1124" s="227" t="s">
        <v>84</v>
      </c>
    </row>
    <row r="1125" spans="1:7">
      <c r="A1125" s="216">
        <v>44256</v>
      </c>
      <c r="B1125" t="s">
        <v>42</v>
      </c>
      <c r="C1125">
        <v>7</v>
      </c>
      <c r="D1125" t="s">
        <v>442</v>
      </c>
      <c r="E1125" s="217">
        <v>44256</v>
      </c>
      <c r="F1125">
        <v>131724.70000000001</v>
      </c>
      <c r="G1125" s="227" t="s">
        <v>128</v>
      </c>
    </row>
    <row r="1126" spans="1:7">
      <c r="A1126" s="216">
        <v>44256</v>
      </c>
      <c r="B1126" t="s">
        <v>42</v>
      </c>
      <c r="C1126">
        <v>7</v>
      </c>
      <c r="D1126" t="s">
        <v>442</v>
      </c>
      <c r="E1126" s="217">
        <v>44256</v>
      </c>
      <c r="F1126">
        <v>131588.34</v>
      </c>
      <c r="G1126" s="227" t="s">
        <v>124</v>
      </c>
    </row>
    <row r="1127" spans="1:7">
      <c r="A1127" s="216">
        <v>44256</v>
      </c>
      <c r="B1127" t="s">
        <v>42</v>
      </c>
      <c r="C1127">
        <v>7</v>
      </c>
      <c r="D1127" t="s">
        <v>442</v>
      </c>
      <c r="E1127" s="217">
        <v>44256</v>
      </c>
      <c r="F1127">
        <v>128139</v>
      </c>
      <c r="G1127" s="227" t="s">
        <v>120</v>
      </c>
    </row>
    <row r="1128" spans="1:7">
      <c r="A1128" s="216">
        <v>44256</v>
      </c>
      <c r="B1128" t="s">
        <v>42</v>
      </c>
      <c r="C1128">
        <v>7</v>
      </c>
      <c r="D1128" t="s">
        <v>442</v>
      </c>
      <c r="E1128" s="217">
        <v>44256</v>
      </c>
      <c r="F1128">
        <v>128520.5</v>
      </c>
      <c r="G1128" s="227" t="s">
        <v>89</v>
      </c>
    </row>
    <row r="1129" spans="1:7">
      <c r="A1129" s="216">
        <v>44256</v>
      </c>
      <c r="B1129" t="s">
        <v>42</v>
      </c>
      <c r="C1129">
        <v>7</v>
      </c>
      <c r="D1129" t="s">
        <v>442</v>
      </c>
      <c r="E1129" s="217">
        <v>44256</v>
      </c>
      <c r="F1129">
        <v>199074</v>
      </c>
      <c r="G1129" s="227" t="s">
        <v>97</v>
      </c>
    </row>
    <row r="1130" spans="1:7">
      <c r="A1130" s="216">
        <v>44256</v>
      </c>
      <c r="B1130" t="s">
        <v>42</v>
      </c>
      <c r="C1130">
        <v>7</v>
      </c>
      <c r="D1130" t="s">
        <v>442</v>
      </c>
      <c r="E1130" s="217">
        <v>44256</v>
      </c>
      <c r="F1130">
        <v>131307</v>
      </c>
      <c r="G1130" s="227" t="s">
        <v>93</v>
      </c>
    </row>
    <row r="1131" spans="1:7">
      <c r="A1131" s="216">
        <v>44256</v>
      </c>
      <c r="B1131" t="s">
        <v>42</v>
      </c>
      <c r="C1131">
        <v>7</v>
      </c>
      <c r="D1131" t="s">
        <v>442</v>
      </c>
      <c r="E1131" s="217">
        <v>44256</v>
      </c>
      <c r="F1131">
        <v>216369.4</v>
      </c>
      <c r="G1131" s="227" t="s">
        <v>111</v>
      </c>
    </row>
    <row r="1132" spans="1:7">
      <c r="A1132" s="216">
        <v>44256</v>
      </c>
      <c r="B1132" t="s">
        <v>42</v>
      </c>
      <c r="C1132">
        <v>7</v>
      </c>
      <c r="D1132" t="s">
        <v>442</v>
      </c>
      <c r="E1132" s="217">
        <v>44256</v>
      </c>
      <c r="F1132">
        <v>1648342.94</v>
      </c>
      <c r="G1132" s="227" t="s">
        <v>434</v>
      </c>
    </row>
    <row r="1133" spans="1:7">
      <c r="A1133" s="216">
        <v>44256</v>
      </c>
      <c r="B1133" t="s">
        <v>42</v>
      </c>
      <c r="C1133">
        <v>8</v>
      </c>
      <c r="D1133" t="s">
        <v>451</v>
      </c>
      <c r="E1133" s="217">
        <v>44256</v>
      </c>
      <c r="F1133">
        <v>13874</v>
      </c>
      <c r="G1133" s="227" t="s">
        <v>79</v>
      </c>
    </row>
    <row r="1134" spans="1:7">
      <c r="A1134" s="216">
        <v>44256</v>
      </c>
      <c r="B1134" t="s">
        <v>42</v>
      </c>
      <c r="C1134">
        <v>8</v>
      </c>
      <c r="D1134" t="s">
        <v>451</v>
      </c>
      <c r="E1134" s="217">
        <v>44256</v>
      </c>
      <c r="F1134">
        <v>15116</v>
      </c>
      <c r="G1134" s="227" t="s">
        <v>115</v>
      </c>
    </row>
    <row r="1135" spans="1:7">
      <c r="A1135" s="216">
        <v>44256</v>
      </c>
      <c r="B1135" t="s">
        <v>42</v>
      </c>
      <c r="C1135">
        <v>8</v>
      </c>
      <c r="D1135" t="s">
        <v>451</v>
      </c>
      <c r="E1135" s="217">
        <v>44256</v>
      </c>
      <c r="F1135">
        <v>14092</v>
      </c>
      <c r="G1135" s="227" t="s">
        <v>106</v>
      </c>
    </row>
    <row r="1136" spans="1:7">
      <c r="A1136" s="216">
        <v>44256</v>
      </c>
      <c r="B1136" t="s">
        <v>42</v>
      </c>
      <c r="C1136">
        <v>8</v>
      </c>
      <c r="D1136" t="s">
        <v>451</v>
      </c>
      <c r="E1136" s="217">
        <v>44256</v>
      </c>
      <c r="F1136">
        <v>14727</v>
      </c>
      <c r="G1136" s="227" t="s">
        <v>101</v>
      </c>
    </row>
    <row r="1137" spans="1:7">
      <c r="A1137" s="216">
        <v>44256</v>
      </c>
      <c r="B1137" t="s">
        <v>42</v>
      </c>
      <c r="C1137">
        <v>8</v>
      </c>
      <c r="D1137" t="s">
        <v>451</v>
      </c>
      <c r="E1137" s="217">
        <v>44256</v>
      </c>
      <c r="F1137">
        <v>14474</v>
      </c>
      <c r="G1137" s="227" t="s">
        <v>84</v>
      </c>
    </row>
    <row r="1138" spans="1:7">
      <c r="A1138" s="216">
        <v>44256</v>
      </c>
      <c r="B1138" t="s">
        <v>42</v>
      </c>
      <c r="C1138">
        <v>8</v>
      </c>
      <c r="D1138" t="s">
        <v>451</v>
      </c>
      <c r="E1138" s="217">
        <v>44256</v>
      </c>
      <c r="F1138">
        <v>14608</v>
      </c>
      <c r="G1138" s="227" t="s">
        <v>128</v>
      </c>
    </row>
    <row r="1139" spans="1:7">
      <c r="A1139" s="216">
        <v>44256</v>
      </c>
      <c r="B1139" t="s">
        <v>42</v>
      </c>
      <c r="C1139">
        <v>8</v>
      </c>
      <c r="D1139" t="s">
        <v>451</v>
      </c>
      <c r="E1139" s="217">
        <v>44256</v>
      </c>
      <c r="F1139">
        <v>14139</v>
      </c>
      <c r="G1139" s="227" t="s">
        <v>124</v>
      </c>
    </row>
    <row r="1140" spans="1:7">
      <c r="A1140" s="216">
        <v>44256</v>
      </c>
      <c r="B1140" t="s">
        <v>42</v>
      </c>
      <c r="C1140">
        <v>8</v>
      </c>
      <c r="D1140" t="s">
        <v>451</v>
      </c>
      <c r="E1140" s="217">
        <v>44256</v>
      </c>
      <c r="F1140">
        <v>15049</v>
      </c>
      <c r="G1140" s="227" t="s">
        <v>120</v>
      </c>
    </row>
    <row r="1141" spans="1:7">
      <c r="A1141" s="216">
        <v>44256</v>
      </c>
      <c r="B1141" t="s">
        <v>42</v>
      </c>
      <c r="C1141">
        <v>8</v>
      </c>
      <c r="D1141" t="s">
        <v>451</v>
      </c>
      <c r="E1141" s="217">
        <v>44256</v>
      </c>
      <c r="F1141">
        <v>14538</v>
      </c>
      <c r="G1141" s="227" t="s">
        <v>89</v>
      </c>
    </row>
    <row r="1142" spans="1:7">
      <c r="A1142" s="216">
        <v>44256</v>
      </c>
      <c r="B1142" t="s">
        <v>42</v>
      </c>
      <c r="C1142">
        <v>8</v>
      </c>
      <c r="D1142" t="s">
        <v>451</v>
      </c>
      <c r="E1142" s="217">
        <v>44256</v>
      </c>
      <c r="F1142">
        <v>16025</v>
      </c>
      <c r="G1142" s="227" t="s">
        <v>97</v>
      </c>
    </row>
    <row r="1143" spans="1:7">
      <c r="A1143" s="216">
        <v>44256</v>
      </c>
      <c r="B1143" t="s">
        <v>42</v>
      </c>
      <c r="C1143">
        <v>8</v>
      </c>
      <c r="D1143" t="s">
        <v>451</v>
      </c>
      <c r="E1143" s="217">
        <v>44256</v>
      </c>
      <c r="F1143">
        <v>16032</v>
      </c>
      <c r="G1143" s="227" t="s">
        <v>93</v>
      </c>
    </row>
    <row r="1144" spans="1:7">
      <c r="A1144" s="216">
        <v>44256</v>
      </c>
      <c r="B1144" t="s">
        <v>42</v>
      </c>
      <c r="C1144">
        <v>8</v>
      </c>
      <c r="D1144" t="s">
        <v>451</v>
      </c>
      <c r="E1144" s="217">
        <v>44256</v>
      </c>
      <c r="F1144">
        <v>17530</v>
      </c>
      <c r="G1144" s="227" t="s">
        <v>111</v>
      </c>
    </row>
    <row r="1145" spans="1:7">
      <c r="A1145" s="216">
        <v>44256</v>
      </c>
      <c r="B1145" t="s">
        <v>42</v>
      </c>
      <c r="C1145">
        <v>8</v>
      </c>
      <c r="D1145" t="s">
        <v>451</v>
      </c>
      <c r="E1145" s="217">
        <v>44256</v>
      </c>
      <c r="F1145">
        <v>180204</v>
      </c>
      <c r="G1145" s="227" t="s">
        <v>434</v>
      </c>
    </row>
    <row r="1146" spans="1:7">
      <c r="A1146" s="216">
        <v>44256</v>
      </c>
      <c r="B1146" t="s">
        <v>42</v>
      </c>
      <c r="C1146">
        <v>9</v>
      </c>
      <c r="D1146" t="s">
        <v>450</v>
      </c>
      <c r="E1146" s="217">
        <v>44256</v>
      </c>
      <c r="F1146">
        <v>8518</v>
      </c>
      <c r="G1146" s="227" t="s">
        <v>79</v>
      </c>
    </row>
    <row r="1147" spans="1:7">
      <c r="A1147" s="216">
        <v>44256</v>
      </c>
      <c r="B1147" t="s">
        <v>42</v>
      </c>
      <c r="C1147">
        <v>9</v>
      </c>
      <c r="D1147" t="s">
        <v>450</v>
      </c>
      <c r="E1147" s="217">
        <v>44256</v>
      </c>
      <c r="F1147">
        <v>9690</v>
      </c>
      <c r="G1147" s="227" t="s">
        <v>115</v>
      </c>
    </row>
    <row r="1148" spans="1:7">
      <c r="A1148" s="216">
        <v>44256</v>
      </c>
      <c r="B1148" t="s">
        <v>42</v>
      </c>
      <c r="C1148">
        <v>9</v>
      </c>
      <c r="D1148" t="s">
        <v>450</v>
      </c>
      <c r="E1148" s="217">
        <v>44256</v>
      </c>
      <c r="F1148">
        <v>9123</v>
      </c>
      <c r="G1148" s="227" t="s">
        <v>106</v>
      </c>
    </row>
    <row r="1149" spans="1:7">
      <c r="A1149" s="216">
        <v>44256</v>
      </c>
      <c r="B1149" t="s">
        <v>42</v>
      </c>
      <c r="C1149">
        <v>9</v>
      </c>
      <c r="D1149" t="s">
        <v>450</v>
      </c>
      <c r="E1149" s="217">
        <v>44256</v>
      </c>
      <c r="F1149">
        <v>9092</v>
      </c>
      <c r="G1149" s="227" t="s">
        <v>101</v>
      </c>
    </row>
    <row r="1150" spans="1:7">
      <c r="A1150" s="216">
        <v>44256</v>
      </c>
      <c r="B1150" t="s">
        <v>42</v>
      </c>
      <c r="C1150">
        <v>9</v>
      </c>
      <c r="D1150" t="s">
        <v>450</v>
      </c>
      <c r="E1150" s="217">
        <v>44256</v>
      </c>
      <c r="F1150">
        <v>8784</v>
      </c>
      <c r="G1150" s="227" t="s">
        <v>84</v>
      </c>
    </row>
    <row r="1151" spans="1:7">
      <c r="A1151" s="216">
        <v>44256</v>
      </c>
      <c r="B1151" t="s">
        <v>42</v>
      </c>
      <c r="C1151">
        <v>9</v>
      </c>
      <c r="D1151" t="s">
        <v>450</v>
      </c>
      <c r="E1151" s="217">
        <v>44256</v>
      </c>
      <c r="F1151">
        <v>8805</v>
      </c>
      <c r="G1151" s="227" t="s">
        <v>128</v>
      </c>
    </row>
    <row r="1152" spans="1:7">
      <c r="A1152" s="216">
        <v>44256</v>
      </c>
      <c r="B1152" t="s">
        <v>42</v>
      </c>
      <c r="C1152">
        <v>9</v>
      </c>
      <c r="D1152" t="s">
        <v>450</v>
      </c>
      <c r="E1152" s="217">
        <v>44256</v>
      </c>
      <c r="F1152">
        <v>8779</v>
      </c>
      <c r="G1152" s="227" t="s">
        <v>124</v>
      </c>
    </row>
    <row r="1153" spans="1:7">
      <c r="A1153" s="216">
        <v>44256</v>
      </c>
      <c r="B1153" t="s">
        <v>42</v>
      </c>
      <c r="C1153">
        <v>9</v>
      </c>
      <c r="D1153" t="s">
        <v>450</v>
      </c>
      <c r="E1153" s="217">
        <v>44256</v>
      </c>
      <c r="F1153">
        <v>8659</v>
      </c>
      <c r="G1153" s="227" t="s">
        <v>120</v>
      </c>
    </row>
    <row r="1154" spans="1:7">
      <c r="A1154" s="216">
        <v>44256</v>
      </c>
      <c r="B1154" t="s">
        <v>42</v>
      </c>
      <c r="C1154">
        <v>9</v>
      </c>
      <c r="D1154" t="s">
        <v>450</v>
      </c>
      <c r="E1154" s="217">
        <v>44256</v>
      </c>
      <c r="F1154">
        <v>8695</v>
      </c>
      <c r="G1154" s="227" t="s">
        <v>89</v>
      </c>
    </row>
    <row r="1155" spans="1:7">
      <c r="A1155" s="216">
        <v>44256</v>
      </c>
      <c r="B1155" t="s">
        <v>42</v>
      </c>
      <c r="C1155">
        <v>9</v>
      </c>
      <c r="D1155" t="s">
        <v>450</v>
      </c>
      <c r="E1155" s="217">
        <v>44256</v>
      </c>
      <c r="F1155">
        <v>8780</v>
      </c>
      <c r="G1155" s="227" t="s">
        <v>97</v>
      </c>
    </row>
    <row r="1156" spans="1:7">
      <c r="A1156" s="216">
        <v>44256</v>
      </c>
      <c r="B1156" t="s">
        <v>42</v>
      </c>
      <c r="C1156">
        <v>9</v>
      </c>
      <c r="D1156" t="s">
        <v>450</v>
      </c>
      <c r="E1156" s="217">
        <v>44256</v>
      </c>
      <c r="F1156">
        <v>8736</v>
      </c>
      <c r="G1156" s="227" t="s">
        <v>93</v>
      </c>
    </row>
    <row r="1157" spans="1:7">
      <c r="A1157" s="216">
        <v>44256</v>
      </c>
      <c r="B1157" t="s">
        <v>42</v>
      </c>
      <c r="C1157">
        <v>9</v>
      </c>
      <c r="D1157" t="s">
        <v>450</v>
      </c>
      <c r="E1157" s="217">
        <v>44256</v>
      </c>
      <c r="F1157">
        <v>9191</v>
      </c>
      <c r="G1157" s="227" t="s">
        <v>111</v>
      </c>
    </row>
    <row r="1158" spans="1:7">
      <c r="A1158" s="216">
        <v>44256</v>
      </c>
      <c r="B1158" t="s">
        <v>42</v>
      </c>
      <c r="C1158">
        <v>9</v>
      </c>
      <c r="D1158" t="s">
        <v>450</v>
      </c>
      <c r="E1158" s="217">
        <v>44256</v>
      </c>
      <c r="F1158">
        <v>106852</v>
      </c>
      <c r="G1158" s="227" t="s">
        <v>434</v>
      </c>
    </row>
    <row r="1159" spans="1:7">
      <c r="A1159" s="216">
        <v>44256</v>
      </c>
      <c r="B1159" t="s">
        <v>42</v>
      </c>
      <c r="C1159">
        <v>10</v>
      </c>
      <c r="D1159" t="s">
        <v>433</v>
      </c>
      <c r="E1159" s="217">
        <v>44256</v>
      </c>
      <c r="F1159">
        <v>47675</v>
      </c>
      <c r="G1159" s="227" t="s">
        <v>79</v>
      </c>
    </row>
    <row r="1160" spans="1:7">
      <c r="A1160" s="216">
        <v>44256</v>
      </c>
      <c r="B1160" t="s">
        <v>42</v>
      </c>
      <c r="C1160">
        <v>10</v>
      </c>
      <c r="D1160" t="s">
        <v>433</v>
      </c>
      <c r="E1160" s="217">
        <v>44256</v>
      </c>
      <c r="F1160">
        <v>47572</v>
      </c>
      <c r="G1160" s="227" t="s">
        <v>115</v>
      </c>
    </row>
    <row r="1161" spans="1:7">
      <c r="A1161" s="216">
        <v>44256</v>
      </c>
      <c r="B1161" t="s">
        <v>42</v>
      </c>
      <c r="C1161">
        <v>10</v>
      </c>
      <c r="D1161" t="s">
        <v>433</v>
      </c>
      <c r="E1161" s="217">
        <v>44256</v>
      </c>
      <c r="F1161">
        <v>47847</v>
      </c>
      <c r="G1161" s="227" t="s">
        <v>106</v>
      </c>
    </row>
    <row r="1162" spans="1:7">
      <c r="A1162" s="216">
        <v>44256</v>
      </c>
      <c r="B1162" t="s">
        <v>42</v>
      </c>
      <c r="C1162">
        <v>10</v>
      </c>
      <c r="D1162" t="s">
        <v>433</v>
      </c>
      <c r="E1162" s="217">
        <v>44256</v>
      </c>
      <c r="F1162">
        <v>47383</v>
      </c>
      <c r="G1162" s="227" t="s">
        <v>101</v>
      </c>
    </row>
    <row r="1163" spans="1:7">
      <c r="A1163" s="216">
        <v>44256</v>
      </c>
      <c r="B1163" t="s">
        <v>42</v>
      </c>
      <c r="C1163">
        <v>10</v>
      </c>
      <c r="D1163" t="s">
        <v>433</v>
      </c>
      <c r="E1163" s="217">
        <v>44256</v>
      </c>
      <c r="F1163">
        <v>47621</v>
      </c>
      <c r="G1163" s="227" t="s">
        <v>84</v>
      </c>
    </row>
    <row r="1164" spans="1:7">
      <c r="A1164" s="216">
        <v>44256</v>
      </c>
      <c r="B1164" t="s">
        <v>42</v>
      </c>
      <c r="C1164">
        <v>10</v>
      </c>
      <c r="D1164" t="s">
        <v>433</v>
      </c>
      <c r="E1164" s="217">
        <v>44256</v>
      </c>
      <c r="F1164">
        <v>47167</v>
      </c>
      <c r="G1164" s="227" t="s">
        <v>128</v>
      </c>
    </row>
    <row r="1165" spans="1:7">
      <c r="A1165" s="216">
        <v>44256</v>
      </c>
      <c r="B1165" t="s">
        <v>42</v>
      </c>
      <c r="C1165">
        <v>10</v>
      </c>
      <c r="D1165" t="s">
        <v>433</v>
      </c>
      <c r="E1165" s="217">
        <v>44256</v>
      </c>
      <c r="F1165">
        <v>50435</v>
      </c>
      <c r="G1165" s="227" t="s">
        <v>124</v>
      </c>
    </row>
    <row r="1166" spans="1:7">
      <c r="A1166" s="216">
        <v>44256</v>
      </c>
      <c r="B1166" t="s">
        <v>42</v>
      </c>
      <c r="C1166">
        <v>10</v>
      </c>
      <c r="D1166" t="s">
        <v>433</v>
      </c>
      <c r="E1166" s="217">
        <v>44256</v>
      </c>
      <c r="F1166">
        <v>50345</v>
      </c>
      <c r="G1166" s="227" t="s">
        <v>120</v>
      </c>
    </row>
    <row r="1167" spans="1:7">
      <c r="A1167" s="216">
        <v>44256</v>
      </c>
      <c r="B1167" t="s">
        <v>42</v>
      </c>
      <c r="C1167">
        <v>10</v>
      </c>
      <c r="D1167" t="s">
        <v>433</v>
      </c>
      <c r="E1167" s="217">
        <v>44256</v>
      </c>
      <c r="F1167">
        <v>51630</v>
      </c>
      <c r="G1167" s="227" t="s">
        <v>89</v>
      </c>
    </row>
    <row r="1168" spans="1:7">
      <c r="A1168" s="216">
        <v>44256</v>
      </c>
      <c r="B1168" t="s">
        <v>42</v>
      </c>
      <c r="C1168">
        <v>10</v>
      </c>
      <c r="D1168" t="s">
        <v>433</v>
      </c>
      <c r="E1168" s="217">
        <v>44256</v>
      </c>
      <c r="F1168">
        <v>52947</v>
      </c>
      <c r="G1168" s="227" t="s">
        <v>97</v>
      </c>
    </row>
    <row r="1169" spans="1:7">
      <c r="A1169" s="216">
        <v>44256</v>
      </c>
      <c r="B1169" t="s">
        <v>42</v>
      </c>
      <c r="C1169">
        <v>10</v>
      </c>
      <c r="D1169" t="s">
        <v>433</v>
      </c>
      <c r="E1169" s="217">
        <v>44256</v>
      </c>
      <c r="F1169">
        <v>54684</v>
      </c>
      <c r="G1169" s="227" t="s">
        <v>93</v>
      </c>
    </row>
    <row r="1170" spans="1:7">
      <c r="A1170" s="216">
        <v>44256</v>
      </c>
      <c r="B1170" t="s">
        <v>42</v>
      </c>
      <c r="C1170">
        <v>10</v>
      </c>
      <c r="D1170" t="s">
        <v>433</v>
      </c>
      <c r="E1170" s="217">
        <v>44256</v>
      </c>
      <c r="F1170">
        <v>113372</v>
      </c>
      <c r="G1170" s="227" t="s">
        <v>111</v>
      </c>
    </row>
    <row r="1171" spans="1:7">
      <c r="A1171" s="216">
        <v>44256</v>
      </c>
      <c r="B1171" t="s">
        <v>42</v>
      </c>
      <c r="C1171">
        <v>10</v>
      </c>
      <c r="D1171" t="s">
        <v>433</v>
      </c>
      <c r="E1171" s="217">
        <v>44256</v>
      </c>
      <c r="F1171">
        <v>658678</v>
      </c>
      <c r="G1171" s="227" t="s">
        <v>434</v>
      </c>
    </row>
    <row r="1172" spans="1:7">
      <c r="A1172" s="216">
        <v>44256</v>
      </c>
      <c r="B1172" t="s">
        <v>42</v>
      </c>
      <c r="C1172">
        <v>11</v>
      </c>
      <c r="D1172" t="s">
        <v>445</v>
      </c>
      <c r="E1172" s="217">
        <v>44256</v>
      </c>
      <c r="F1172">
        <v>12014</v>
      </c>
      <c r="G1172" s="227" t="s">
        <v>79</v>
      </c>
    </row>
    <row r="1173" spans="1:7">
      <c r="A1173" s="216">
        <v>44256</v>
      </c>
      <c r="B1173" t="s">
        <v>42</v>
      </c>
      <c r="C1173">
        <v>11</v>
      </c>
      <c r="D1173" t="s">
        <v>445</v>
      </c>
      <c r="E1173" s="217">
        <v>44256</v>
      </c>
      <c r="F1173">
        <v>7350</v>
      </c>
      <c r="G1173" s="227" t="s">
        <v>115</v>
      </c>
    </row>
    <row r="1174" spans="1:7">
      <c r="A1174" s="216">
        <v>44256</v>
      </c>
      <c r="B1174" t="s">
        <v>42</v>
      </c>
      <c r="C1174">
        <v>11</v>
      </c>
      <c r="D1174" t="s">
        <v>445</v>
      </c>
      <c r="E1174" s="217">
        <v>44256</v>
      </c>
      <c r="F1174">
        <v>9926</v>
      </c>
      <c r="G1174" s="227" t="s">
        <v>106</v>
      </c>
    </row>
    <row r="1175" spans="1:7">
      <c r="A1175" s="216">
        <v>44256</v>
      </c>
      <c r="B1175" t="s">
        <v>42</v>
      </c>
      <c r="C1175">
        <v>11</v>
      </c>
      <c r="D1175" t="s">
        <v>445</v>
      </c>
      <c r="E1175" s="217">
        <v>44256</v>
      </c>
      <c r="F1175">
        <v>9139</v>
      </c>
      <c r="G1175" s="227" t="s">
        <v>101</v>
      </c>
    </row>
    <row r="1176" spans="1:7">
      <c r="A1176" s="216">
        <v>44256</v>
      </c>
      <c r="B1176" t="s">
        <v>42</v>
      </c>
      <c r="C1176">
        <v>11</v>
      </c>
      <c r="D1176" t="s">
        <v>445</v>
      </c>
      <c r="E1176" s="217">
        <v>44256</v>
      </c>
      <c r="F1176">
        <v>8829</v>
      </c>
      <c r="G1176" s="227" t="s">
        <v>84</v>
      </c>
    </row>
    <row r="1177" spans="1:7">
      <c r="A1177" s="216">
        <v>44256</v>
      </c>
      <c r="B1177" t="s">
        <v>42</v>
      </c>
      <c r="C1177">
        <v>11</v>
      </c>
      <c r="D1177" t="s">
        <v>445</v>
      </c>
      <c r="E1177" s="217">
        <v>44256</v>
      </c>
      <c r="F1177">
        <v>10547</v>
      </c>
      <c r="G1177" s="227" t="s">
        <v>128</v>
      </c>
    </row>
    <row r="1178" spans="1:7">
      <c r="A1178" s="216">
        <v>44256</v>
      </c>
      <c r="B1178" t="s">
        <v>42</v>
      </c>
      <c r="C1178">
        <v>11</v>
      </c>
      <c r="D1178" t="s">
        <v>445</v>
      </c>
      <c r="E1178" s="217">
        <v>44256</v>
      </c>
      <c r="F1178">
        <v>9427</v>
      </c>
      <c r="G1178" s="227" t="s">
        <v>124</v>
      </c>
    </row>
    <row r="1179" spans="1:7">
      <c r="A1179" s="216">
        <v>44256</v>
      </c>
      <c r="B1179" t="s">
        <v>42</v>
      </c>
      <c r="C1179">
        <v>11</v>
      </c>
      <c r="D1179" t="s">
        <v>445</v>
      </c>
      <c r="E1179" s="217">
        <v>44256</v>
      </c>
      <c r="F1179">
        <v>11179</v>
      </c>
      <c r="G1179" s="227" t="s">
        <v>120</v>
      </c>
    </row>
    <row r="1180" spans="1:7">
      <c r="A1180" s="216">
        <v>44256</v>
      </c>
      <c r="B1180" t="s">
        <v>42</v>
      </c>
      <c r="C1180">
        <v>11</v>
      </c>
      <c r="D1180" t="s">
        <v>445</v>
      </c>
      <c r="E1180" s="217">
        <v>44256</v>
      </c>
      <c r="F1180">
        <v>12201</v>
      </c>
      <c r="G1180" s="227" t="s">
        <v>89</v>
      </c>
    </row>
    <row r="1181" spans="1:7">
      <c r="A1181" s="216">
        <v>44256</v>
      </c>
      <c r="B1181" t="s">
        <v>42</v>
      </c>
      <c r="C1181">
        <v>11</v>
      </c>
      <c r="D1181" t="s">
        <v>445</v>
      </c>
      <c r="E1181" s="217">
        <v>44256</v>
      </c>
      <c r="F1181">
        <v>10071</v>
      </c>
      <c r="G1181" s="227" t="s">
        <v>97</v>
      </c>
    </row>
    <row r="1182" spans="1:7">
      <c r="A1182" s="216">
        <v>44256</v>
      </c>
      <c r="B1182" t="s">
        <v>42</v>
      </c>
      <c r="C1182">
        <v>11</v>
      </c>
      <c r="D1182" t="s">
        <v>445</v>
      </c>
      <c r="E1182" s="217">
        <v>44256</v>
      </c>
      <c r="F1182">
        <v>9811</v>
      </c>
      <c r="G1182" s="227" t="s">
        <v>93</v>
      </c>
    </row>
    <row r="1183" spans="1:7">
      <c r="A1183" s="216">
        <v>44256</v>
      </c>
      <c r="B1183" t="s">
        <v>42</v>
      </c>
      <c r="C1183">
        <v>11</v>
      </c>
      <c r="D1183" t="s">
        <v>445</v>
      </c>
      <c r="E1183" s="217">
        <v>44256</v>
      </c>
      <c r="F1183">
        <v>15476</v>
      </c>
      <c r="G1183" s="227" t="s">
        <v>111</v>
      </c>
    </row>
    <row r="1184" spans="1:7">
      <c r="A1184" s="216">
        <v>44256</v>
      </c>
      <c r="B1184" t="s">
        <v>42</v>
      </c>
      <c r="C1184">
        <v>11</v>
      </c>
      <c r="D1184" t="s">
        <v>445</v>
      </c>
      <c r="E1184" s="217">
        <v>44256</v>
      </c>
      <c r="F1184">
        <v>125970</v>
      </c>
      <c r="G1184" s="227" t="s">
        <v>434</v>
      </c>
    </row>
    <row r="1185" spans="1:7">
      <c r="A1185" s="216">
        <v>44256</v>
      </c>
      <c r="B1185" t="s">
        <v>42</v>
      </c>
      <c r="C1185">
        <v>12</v>
      </c>
      <c r="D1185" t="s">
        <v>454</v>
      </c>
      <c r="E1185" s="217">
        <v>44256</v>
      </c>
      <c r="F1185">
        <v>3666</v>
      </c>
      <c r="G1185" s="227" t="s">
        <v>79</v>
      </c>
    </row>
    <row r="1186" spans="1:7">
      <c r="A1186" s="216">
        <v>44256</v>
      </c>
      <c r="B1186" t="s">
        <v>42</v>
      </c>
      <c r="C1186">
        <v>12</v>
      </c>
      <c r="D1186" t="s">
        <v>454</v>
      </c>
      <c r="E1186" s="217">
        <v>44256</v>
      </c>
      <c r="F1186">
        <v>3893</v>
      </c>
      <c r="G1186" s="227" t="s">
        <v>115</v>
      </c>
    </row>
    <row r="1187" spans="1:7">
      <c r="A1187" s="216">
        <v>44256</v>
      </c>
      <c r="B1187" t="s">
        <v>42</v>
      </c>
      <c r="C1187">
        <v>12</v>
      </c>
      <c r="D1187" t="s">
        <v>454</v>
      </c>
      <c r="E1187" s="217">
        <v>44256</v>
      </c>
      <c r="F1187">
        <v>3285</v>
      </c>
      <c r="G1187" s="227" t="s">
        <v>106</v>
      </c>
    </row>
    <row r="1188" spans="1:7">
      <c r="A1188" s="216">
        <v>44256</v>
      </c>
      <c r="B1188" t="s">
        <v>42</v>
      </c>
      <c r="C1188">
        <v>12</v>
      </c>
      <c r="D1188" t="s">
        <v>454</v>
      </c>
      <c r="E1188" s="217">
        <v>44256</v>
      </c>
      <c r="F1188">
        <v>4045</v>
      </c>
      <c r="G1188" s="227" t="s">
        <v>101</v>
      </c>
    </row>
    <row r="1189" spans="1:7">
      <c r="A1189" s="216">
        <v>44256</v>
      </c>
      <c r="B1189" t="s">
        <v>42</v>
      </c>
      <c r="C1189">
        <v>12</v>
      </c>
      <c r="D1189" t="s">
        <v>454</v>
      </c>
      <c r="E1189" s="217">
        <v>44256</v>
      </c>
      <c r="F1189">
        <v>3764</v>
      </c>
      <c r="G1189" s="227" t="s">
        <v>84</v>
      </c>
    </row>
    <row r="1190" spans="1:7">
      <c r="A1190" s="216">
        <v>44256</v>
      </c>
      <c r="B1190" t="s">
        <v>42</v>
      </c>
      <c r="C1190">
        <v>12</v>
      </c>
      <c r="D1190" t="s">
        <v>454</v>
      </c>
      <c r="E1190" s="217">
        <v>44256</v>
      </c>
      <c r="F1190">
        <v>4357</v>
      </c>
      <c r="G1190" s="227" t="s">
        <v>128</v>
      </c>
    </row>
    <row r="1191" spans="1:7">
      <c r="A1191" s="216">
        <v>44256</v>
      </c>
      <c r="B1191" t="s">
        <v>42</v>
      </c>
      <c r="C1191">
        <v>12</v>
      </c>
      <c r="D1191" t="s">
        <v>454</v>
      </c>
      <c r="E1191" s="217">
        <v>44256</v>
      </c>
      <c r="F1191">
        <v>3522</v>
      </c>
      <c r="G1191" s="227" t="s">
        <v>124</v>
      </c>
    </row>
    <row r="1192" spans="1:7">
      <c r="A1192" s="216">
        <v>44256</v>
      </c>
      <c r="B1192" t="s">
        <v>42</v>
      </c>
      <c r="C1192">
        <v>12</v>
      </c>
      <c r="D1192" t="s">
        <v>454</v>
      </c>
      <c r="E1192" s="217">
        <v>44256</v>
      </c>
      <c r="F1192">
        <v>4148</v>
      </c>
      <c r="G1192" s="227" t="s">
        <v>120</v>
      </c>
    </row>
    <row r="1193" spans="1:7">
      <c r="A1193" s="216">
        <v>44256</v>
      </c>
      <c r="B1193" t="s">
        <v>42</v>
      </c>
      <c r="C1193">
        <v>12</v>
      </c>
      <c r="D1193" t="s">
        <v>454</v>
      </c>
      <c r="E1193" s="217">
        <v>44256</v>
      </c>
      <c r="F1193">
        <v>3835</v>
      </c>
      <c r="G1193" s="227" t="s">
        <v>89</v>
      </c>
    </row>
    <row r="1194" spans="1:7">
      <c r="A1194" s="216">
        <v>44256</v>
      </c>
      <c r="B1194" t="s">
        <v>42</v>
      </c>
      <c r="C1194">
        <v>12</v>
      </c>
      <c r="D1194" t="s">
        <v>454</v>
      </c>
      <c r="E1194" s="217">
        <v>44256</v>
      </c>
      <c r="F1194">
        <v>4007</v>
      </c>
      <c r="G1194" s="227" t="s">
        <v>97</v>
      </c>
    </row>
    <row r="1195" spans="1:7">
      <c r="A1195" s="216">
        <v>44256</v>
      </c>
      <c r="B1195" t="s">
        <v>42</v>
      </c>
      <c r="C1195">
        <v>12</v>
      </c>
      <c r="D1195" t="s">
        <v>454</v>
      </c>
      <c r="E1195" s="217">
        <v>44256</v>
      </c>
      <c r="F1195">
        <v>3805</v>
      </c>
      <c r="G1195" s="227" t="s">
        <v>93</v>
      </c>
    </row>
    <row r="1196" spans="1:7">
      <c r="A1196" s="216">
        <v>44256</v>
      </c>
      <c r="B1196" t="s">
        <v>42</v>
      </c>
      <c r="C1196">
        <v>12</v>
      </c>
      <c r="D1196" t="s">
        <v>454</v>
      </c>
      <c r="E1196" s="217">
        <v>44256</v>
      </c>
      <c r="F1196">
        <v>4460</v>
      </c>
      <c r="G1196" s="227" t="s">
        <v>111</v>
      </c>
    </row>
    <row r="1197" spans="1:7">
      <c r="A1197" s="216">
        <v>44256</v>
      </c>
      <c r="B1197" t="s">
        <v>42</v>
      </c>
      <c r="C1197">
        <v>12</v>
      </c>
      <c r="D1197" t="s">
        <v>454</v>
      </c>
      <c r="E1197" s="217">
        <v>44256</v>
      </c>
      <c r="F1197">
        <v>46787</v>
      </c>
      <c r="G1197" s="227" t="s">
        <v>434</v>
      </c>
    </row>
    <row r="1198" spans="1:7">
      <c r="A1198" s="216">
        <v>44256</v>
      </c>
      <c r="B1198" t="s">
        <v>42</v>
      </c>
      <c r="C1198">
        <v>13</v>
      </c>
      <c r="D1198" t="s">
        <v>441</v>
      </c>
      <c r="E1198" s="217">
        <v>44256</v>
      </c>
      <c r="F1198">
        <v>21535</v>
      </c>
      <c r="G1198" s="227" t="s">
        <v>79</v>
      </c>
    </row>
    <row r="1199" spans="1:7">
      <c r="A1199" s="216">
        <v>44256</v>
      </c>
      <c r="B1199" t="s">
        <v>42</v>
      </c>
      <c r="C1199">
        <v>13</v>
      </c>
      <c r="D1199" t="s">
        <v>441</v>
      </c>
      <c r="E1199" s="217">
        <v>44256</v>
      </c>
      <c r="F1199">
        <v>21308</v>
      </c>
      <c r="G1199" s="227" t="s">
        <v>115</v>
      </c>
    </row>
    <row r="1200" spans="1:7">
      <c r="A1200" s="216">
        <v>44256</v>
      </c>
      <c r="B1200" t="s">
        <v>42</v>
      </c>
      <c r="C1200">
        <v>13</v>
      </c>
      <c r="D1200" t="s">
        <v>441</v>
      </c>
      <c r="E1200" s="217">
        <v>44256</v>
      </c>
      <c r="F1200">
        <v>21415</v>
      </c>
      <c r="G1200" s="227" t="s">
        <v>106</v>
      </c>
    </row>
    <row r="1201" spans="1:7">
      <c r="A1201" s="216">
        <v>44256</v>
      </c>
      <c r="B1201" t="s">
        <v>42</v>
      </c>
      <c r="C1201">
        <v>13</v>
      </c>
      <c r="D1201" t="s">
        <v>441</v>
      </c>
      <c r="E1201" s="217">
        <v>44256</v>
      </c>
      <c r="F1201">
        <v>21139</v>
      </c>
      <c r="G1201" s="227" t="s">
        <v>101</v>
      </c>
    </row>
    <row r="1202" spans="1:7">
      <c r="A1202" s="216">
        <v>44256</v>
      </c>
      <c r="B1202" t="s">
        <v>42</v>
      </c>
      <c r="C1202">
        <v>13</v>
      </c>
      <c r="D1202" t="s">
        <v>441</v>
      </c>
      <c r="E1202" s="217">
        <v>44256</v>
      </c>
      <c r="F1202">
        <v>23263</v>
      </c>
      <c r="G1202" s="227" t="s">
        <v>84</v>
      </c>
    </row>
    <row r="1203" spans="1:7">
      <c r="A1203" s="216">
        <v>44256</v>
      </c>
      <c r="B1203" t="s">
        <v>42</v>
      </c>
      <c r="C1203">
        <v>13</v>
      </c>
      <c r="D1203" t="s">
        <v>441</v>
      </c>
      <c r="E1203" s="217">
        <v>44256</v>
      </c>
      <c r="F1203">
        <v>20586</v>
      </c>
      <c r="G1203" s="227" t="s">
        <v>128</v>
      </c>
    </row>
    <row r="1204" spans="1:7">
      <c r="A1204" s="216">
        <v>44256</v>
      </c>
      <c r="B1204" t="s">
        <v>42</v>
      </c>
      <c r="C1204">
        <v>13</v>
      </c>
      <c r="D1204" t="s">
        <v>441</v>
      </c>
      <c r="E1204" s="217">
        <v>44256</v>
      </c>
      <c r="F1204">
        <v>23921</v>
      </c>
      <c r="G1204" s="227" t="s">
        <v>124</v>
      </c>
    </row>
    <row r="1205" spans="1:7">
      <c r="A1205" s="216">
        <v>44256</v>
      </c>
      <c r="B1205" t="s">
        <v>42</v>
      </c>
      <c r="C1205">
        <v>13</v>
      </c>
      <c r="D1205" t="s">
        <v>441</v>
      </c>
      <c r="E1205" s="217">
        <v>44256</v>
      </c>
      <c r="F1205">
        <v>23426</v>
      </c>
      <c r="G1205" s="227" t="s">
        <v>120</v>
      </c>
    </row>
    <row r="1206" spans="1:7">
      <c r="A1206" s="216">
        <v>44256</v>
      </c>
      <c r="B1206" t="s">
        <v>42</v>
      </c>
      <c r="C1206">
        <v>13</v>
      </c>
      <c r="D1206" t="s">
        <v>441</v>
      </c>
      <c r="E1206" s="217">
        <v>44256</v>
      </c>
      <c r="F1206">
        <v>22248</v>
      </c>
      <c r="G1206" s="227" t="s">
        <v>89</v>
      </c>
    </row>
    <row r="1207" spans="1:7">
      <c r="A1207" s="216">
        <v>44256</v>
      </c>
      <c r="B1207" t="s">
        <v>42</v>
      </c>
      <c r="C1207">
        <v>13</v>
      </c>
      <c r="D1207" t="s">
        <v>441</v>
      </c>
      <c r="E1207" s="217">
        <v>44256</v>
      </c>
      <c r="F1207">
        <v>22492</v>
      </c>
      <c r="G1207" s="227" t="s">
        <v>97</v>
      </c>
    </row>
    <row r="1208" spans="1:7">
      <c r="A1208" s="216">
        <v>44256</v>
      </c>
      <c r="B1208" t="s">
        <v>42</v>
      </c>
      <c r="C1208">
        <v>13</v>
      </c>
      <c r="D1208" t="s">
        <v>441</v>
      </c>
      <c r="E1208" s="217">
        <v>44256</v>
      </c>
      <c r="F1208">
        <v>21411</v>
      </c>
      <c r="G1208" s="227" t="s">
        <v>93</v>
      </c>
    </row>
    <row r="1209" spans="1:7">
      <c r="A1209" s="216">
        <v>44256</v>
      </c>
      <c r="B1209" t="s">
        <v>42</v>
      </c>
      <c r="C1209">
        <v>13</v>
      </c>
      <c r="D1209" t="s">
        <v>441</v>
      </c>
      <c r="E1209" s="217">
        <v>44256</v>
      </c>
      <c r="F1209">
        <v>25299</v>
      </c>
      <c r="G1209" s="227" t="s">
        <v>111</v>
      </c>
    </row>
    <row r="1210" spans="1:7">
      <c r="A1210" s="216">
        <v>44256</v>
      </c>
      <c r="B1210" t="s">
        <v>42</v>
      </c>
      <c r="C1210">
        <v>13</v>
      </c>
      <c r="D1210" t="s">
        <v>441</v>
      </c>
      <c r="E1210" s="217">
        <v>44256</v>
      </c>
      <c r="F1210">
        <v>268043</v>
      </c>
      <c r="G1210" s="227" t="s">
        <v>434</v>
      </c>
    </row>
    <row r="1211" spans="1:7">
      <c r="A1211" s="216">
        <v>44256</v>
      </c>
      <c r="B1211" t="s">
        <v>42</v>
      </c>
      <c r="C1211">
        <v>14</v>
      </c>
      <c r="D1211" t="s">
        <v>447</v>
      </c>
      <c r="E1211" s="217">
        <v>44256</v>
      </c>
      <c r="F1211">
        <v>0</v>
      </c>
      <c r="G1211" s="227" t="s">
        <v>79</v>
      </c>
    </row>
    <row r="1212" spans="1:7">
      <c r="A1212" s="216">
        <v>44256</v>
      </c>
      <c r="B1212" t="s">
        <v>42</v>
      </c>
      <c r="C1212">
        <v>14</v>
      </c>
      <c r="D1212" t="s">
        <v>447</v>
      </c>
      <c r="E1212" s="217">
        <v>44256</v>
      </c>
      <c r="F1212">
        <v>0</v>
      </c>
      <c r="G1212" s="227" t="s">
        <v>115</v>
      </c>
    </row>
    <row r="1213" spans="1:7">
      <c r="A1213" s="216">
        <v>44256</v>
      </c>
      <c r="B1213" t="s">
        <v>42</v>
      </c>
      <c r="C1213">
        <v>14</v>
      </c>
      <c r="D1213" t="s">
        <v>447</v>
      </c>
      <c r="E1213" s="217">
        <v>44256</v>
      </c>
      <c r="F1213">
        <v>0</v>
      </c>
      <c r="G1213" s="227" t="s">
        <v>106</v>
      </c>
    </row>
    <row r="1214" spans="1:7">
      <c r="A1214" s="216">
        <v>44256</v>
      </c>
      <c r="B1214" t="s">
        <v>42</v>
      </c>
      <c r="C1214">
        <v>14</v>
      </c>
      <c r="D1214" t="s">
        <v>447</v>
      </c>
      <c r="E1214" s="217">
        <v>44256</v>
      </c>
      <c r="F1214">
        <v>0</v>
      </c>
      <c r="G1214" s="227" t="s">
        <v>101</v>
      </c>
    </row>
    <row r="1215" spans="1:7">
      <c r="A1215" s="216">
        <v>44256</v>
      </c>
      <c r="B1215" t="s">
        <v>42</v>
      </c>
      <c r="C1215">
        <v>14</v>
      </c>
      <c r="D1215" t="s">
        <v>447</v>
      </c>
      <c r="E1215" s="217">
        <v>44256</v>
      </c>
      <c r="F1215">
        <v>0</v>
      </c>
      <c r="G1215" s="227" t="s">
        <v>84</v>
      </c>
    </row>
    <row r="1216" spans="1:7">
      <c r="A1216" s="216">
        <v>44256</v>
      </c>
      <c r="B1216" t="s">
        <v>42</v>
      </c>
      <c r="C1216">
        <v>14</v>
      </c>
      <c r="D1216" t="s">
        <v>447</v>
      </c>
      <c r="E1216" s="217">
        <v>44256</v>
      </c>
      <c r="F1216">
        <v>0</v>
      </c>
      <c r="G1216" s="227" t="s">
        <v>128</v>
      </c>
    </row>
    <row r="1217" spans="1:7">
      <c r="A1217" s="216">
        <v>44256</v>
      </c>
      <c r="B1217" t="s">
        <v>42</v>
      </c>
      <c r="C1217">
        <v>14</v>
      </c>
      <c r="D1217" t="s">
        <v>447</v>
      </c>
      <c r="E1217" s="217">
        <v>44256</v>
      </c>
      <c r="F1217">
        <v>0</v>
      </c>
      <c r="G1217" s="227" t="s">
        <v>124</v>
      </c>
    </row>
    <row r="1218" spans="1:7">
      <c r="A1218" s="216">
        <v>44256</v>
      </c>
      <c r="B1218" t="s">
        <v>42</v>
      </c>
      <c r="C1218">
        <v>14</v>
      </c>
      <c r="D1218" t="s">
        <v>447</v>
      </c>
      <c r="E1218" s="217">
        <v>44256</v>
      </c>
      <c r="F1218">
        <v>0</v>
      </c>
      <c r="G1218" s="227" t="s">
        <v>120</v>
      </c>
    </row>
    <row r="1219" spans="1:7">
      <c r="A1219" s="216">
        <v>44256</v>
      </c>
      <c r="B1219" t="s">
        <v>42</v>
      </c>
      <c r="C1219">
        <v>14</v>
      </c>
      <c r="D1219" t="s">
        <v>447</v>
      </c>
      <c r="E1219" s="217">
        <v>44256</v>
      </c>
      <c r="F1219">
        <v>0</v>
      </c>
      <c r="G1219" s="227" t="s">
        <v>89</v>
      </c>
    </row>
    <row r="1220" spans="1:7">
      <c r="A1220" s="216">
        <v>44256</v>
      </c>
      <c r="B1220" t="s">
        <v>42</v>
      </c>
      <c r="C1220">
        <v>14</v>
      </c>
      <c r="D1220" t="s">
        <v>447</v>
      </c>
      <c r="E1220" s="217">
        <v>44256</v>
      </c>
      <c r="F1220">
        <v>0</v>
      </c>
      <c r="G1220" s="227" t="s">
        <v>97</v>
      </c>
    </row>
    <row r="1221" spans="1:7">
      <c r="A1221" s="216">
        <v>44256</v>
      </c>
      <c r="B1221" t="s">
        <v>42</v>
      </c>
      <c r="C1221">
        <v>14</v>
      </c>
      <c r="D1221" t="s">
        <v>447</v>
      </c>
      <c r="E1221" s="217">
        <v>44256</v>
      </c>
      <c r="F1221">
        <v>0</v>
      </c>
      <c r="G1221" s="227" t="s">
        <v>93</v>
      </c>
    </row>
    <row r="1222" spans="1:7">
      <c r="A1222" s="216">
        <v>44256</v>
      </c>
      <c r="B1222" t="s">
        <v>42</v>
      </c>
      <c r="C1222">
        <v>14</v>
      </c>
      <c r="D1222" t="s">
        <v>447</v>
      </c>
      <c r="E1222" s="217">
        <v>44256</v>
      </c>
      <c r="F1222">
        <v>0</v>
      </c>
      <c r="G1222" s="227" t="s">
        <v>111</v>
      </c>
    </row>
    <row r="1223" spans="1:7">
      <c r="A1223" s="216">
        <v>44256</v>
      </c>
      <c r="B1223" t="s">
        <v>42</v>
      </c>
      <c r="C1223">
        <v>14</v>
      </c>
      <c r="D1223" t="s">
        <v>447</v>
      </c>
      <c r="E1223" s="217">
        <v>44256</v>
      </c>
      <c r="F1223">
        <v>0</v>
      </c>
      <c r="G1223" s="227" t="s">
        <v>434</v>
      </c>
    </row>
    <row r="1224" spans="1:7">
      <c r="A1224" s="216">
        <v>44256</v>
      </c>
      <c r="B1224" t="s">
        <v>42</v>
      </c>
      <c r="C1224">
        <v>15</v>
      </c>
      <c r="D1224" t="s">
        <v>437</v>
      </c>
      <c r="E1224" s="217">
        <v>44256</v>
      </c>
      <c r="F1224">
        <v>8481</v>
      </c>
      <c r="G1224" s="227" t="s">
        <v>79</v>
      </c>
    </row>
    <row r="1225" spans="1:7">
      <c r="A1225" s="216">
        <v>44256</v>
      </c>
      <c r="B1225" t="s">
        <v>42</v>
      </c>
      <c r="C1225">
        <v>15</v>
      </c>
      <c r="D1225" t="s">
        <v>437</v>
      </c>
      <c r="E1225" s="217">
        <v>44256</v>
      </c>
      <c r="F1225">
        <v>8194</v>
      </c>
      <c r="G1225" s="227" t="s">
        <v>115</v>
      </c>
    </row>
    <row r="1226" spans="1:7">
      <c r="A1226" s="216">
        <v>44256</v>
      </c>
      <c r="B1226" t="s">
        <v>42</v>
      </c>
      <c r="C1226">
        <v>15</v>
      </c>
      <c r="D1226" t="s">
        <v>437</v>
      </c>
      <c r="E1226" s="217">
        <v>44256</v>
      </c>
      <c r="F1226">
        <v>7884</v>
      </c>
      <c r="G1226" s="227" t="s">
        <v>106</v>
      </c>
    </row>
    <row r="1227" spans="1:7">
      <c r="A1227" s="216">
        <v>44256</v>
      </c>
      <c r="B1227" t="s">
        <v>42</v>
      </c>
      <c r="C1227">
        <v>15</v>
      </c>
      <c r="D1227" t="s">
        <v>437</v>
      </c>
      <c r="E1227" s="217">
        <v>44256</v>
      </c>
      <c r="F1227">
        <v>7409</v>
      </c>
      <c r="G1227" s="227" t="s">
        <v>101</v>
      </c>
    </row>
    <row r="1228" spans="1:7">
      <c r="A1228" s="216">
        <v>44256</v>
      </c>
      <c r="B1228" t="s">
        <v>42</v>
      </c>
      <c r="C1228">
        <v>15</v>
      </c>
      <c r="D1228" t="s">
        <v>437</v>
      </c>
      <c r="E1228" s="217">
        <v>44256</v>
      </c>
      <c r="F1228">
        <v>8149</v>
      </c>
      <c r="G1228" s="227" t="s">
        <v>84</v>
      </c>
    </row>
    <row r="1229" spans="1:7">
      <c r="A1229" s="216">
        <v>44256</v>
      </c>
      <c r="B1229" t="s">
        <v>42</v>
      </c>
      <c r="C1229">
        <v>15</v>
      </c>
      <c r="D1229" t="s">
        <v>437</v>
      </c>
      <c r="E1229" s="217">
        <v>44256</v>
      </c>
      <c r="F1229">
        <v>8081</v>
      </c>
      <c r="G1229" s="227" t="s">
        <v>128</v>
      </c>
    </row>
    <row r="1230" spans="1:7">
      <c r="A1230" s="216">
        <v>44256</v>
      </c>
      <c r="B1230" t="s">
        <v>42</v>
      </c>
      <c r="C1230">
        <v>15</v>
      </c>
      <c r="D1230" t="s">
        <v>437</v>
      </c>
      <c r="E1230" s="217">
        <v>44256</v>
      </c>
      <c r="F1230">
        <v>10331</v>
      </c>
      <c r="G1230" s="227" t="s">
        <v>124</v>
      </c>
    </row>
    <row r="1231" spans="1:7">
      <c r="A1231" s="216">
        <v>44256</v>
      </c>
      <c r="B1231" t="s">
        <v>42</v>
      </c>
      <c r="C1231">
        <v>15</v>
      </c>
      <c r="D1231" t="s">
        <v>437</v>
      </c>
      <c r="E1231" s="217">
        <v>44256</v>
      </c>
      <c r="F1231">
        <v>7598</v>
      </c>
      <c r="G1231" s="227" t="s">
        <v>120</v>
      </c>
    </row>
    <row r="1232" spans="1:7">
      <c r="A1232" s="216">
        <v>44256</v>
      </c>
      <c r="B1232" t="s">
        <v>42</v>
      </c>
      <c r="C1232">
        <v>15</v>
      </c>
      <c r="D1232" t="s">
        <v>437</v>
      </c>
      <c r="E1232" s="217">
        <v>44256</v>
      </c>
      <c r="F1232">
        <v>8072</v>
      </c>
      <c r="G1232" s="227" t="s">
        <v>89</v>
      </c>
    </row>
    <row r="1233" spans="1:7">
      <c r="A1233" s="216">
        <v>44256</v>
      </c>
      <c r="B1233" t="s">
        <v>42</v>
      </c>
      <c r="C1233">
        <v>15</v>
      </c>
      <c r="D1233" t="s">
        <v>437</v>
      </c>
      <c r="E1233" s="217">
        <v>44256</v>
      </c>
      <c r="F1233">
        <v>8015</v>
      </c>
      <c r="G1233" s="227" t="s">
        <v>97</v>
      </c>
    </row>
    <row r="1234" spans="1:7">
      <c r="A1234" s="216">
        <v>44256</v>
      </c>
      <c r="B1234" t="s">
        <v>42</v>
      </c>
      <c r="C1234">
        <v>15</v>
      </c>
      <c r="D1234" t="s">
        <v>437</v>
      </c>
      <c r="E1234" s="217">
        <v>44256</v>
      </c>
      <c r="F1234">
        <v>9362</v>
      </c>
      <c r="G1234" s="227" t="s">
        <v>93</v>
      </c>
    </row>
    <row r="1235" spans="1:7">
      <c r="A1235" s="216">
        <v>44256</v>
      </c>
      <c r="B1235" t="s">
        <v>42</v>
      </c>
      <c r="C1235">
        <v>15</v>
      </c>
      <c r="D1235" t="s">
        <v>437</v>
      </c>
      <c r="E1235" s="217">
        <v>44256</v>
      </c>
      <c r="F1235">
        <v>11830</v>
      </c>
      <c r="G1235" s="227" t="s">
        <v>111</v>
      </c>
    </row>
    <row r="1236" spans="1:7">
      <c r="A1236" s="216">
        <v>44256</v>
      </c>
      <c r="B1236" t="s">
        <v>42</v>
      </c>
      <c r="C1236">
        <v>15</v>
      </c>
      <c r="D1236" t="s">
        <v>437</v>
      </c>
      <c r="E1236" s="217">
        <v>44256</v>
      </c>
      <c r="F1236">
        <v>103406</v>
      </c>
      <c r="G1236" s="227" t="s">
        <v>434</v>
      </c>
    </row>
    <row r="1237" spans="1:7">
      <c r="A1237" s="216">
        <v>44256</v>
      </c>
      <c r="B1237" t="s">
        <v>43</v>
      </c>
      <c r="C1237">
        <v>7</v>
      </c>
      <c r="D1237" t="s">
        <v>442</v>
      </c>
      <c r="E1237" s="217">
        <v>44256</v>
      </c>
      <c r="F1237">
        <v>164439</v>
      </c>
      <c r="G1237" s="227" t="s">
        <v>79</v>
      </c>
    </row>
    <row r="1238" spans="1:7">
      <c r="A1238" s="216">
        <v>44256</v>
      </c>
      <c r="B1238" t="s">
        <v>43</v>
      </c>
      <c r="C1238">
        <v>7</v>
      </c>
      <c r="D1238" t="s">
        <v>442</v>
      </c>
      <c r="E1238" s="217">
        <v>44256</v>
      </c>
      <c r="F1238">
        <v>138343</v>
      </c>
      <c r="G1238" s="227" t="s">
        <v>115</v>
      </c>
    </row>
    <row r="1239" spans="1:7">
      <c r="A1239" s="216">
        <v>44256</v>
      </c>
      <c r="B1239" t="s">
        <v>43</v>
      </c>
      <c r="C1239">
        <v>7</v>
      </c>
      <c r="D1239" t="s">
        <v>442</v>
      </c>
      <c r="E1239" s="217">
        <v>44256</v>
      </c>
      <c r="F1239">
        <v>142646</v>
      </c>
      <c r="G1239" s="227" t="s">
        <v>106</v>
      </c>
    </row>
    <row r="1240" spans="1:7">
      <c r="A1240" s="216">
        <v>44256</v>
      </c>
      <c r="B1240" t="s">
        <v>43</v>
      </c>
      <c r="C1240">
        <v>7</v>
      </c>
      <c r="D1240" t="s">
        <v>442</v>
      </c>
      <c r="E1240" s="217">
        <v>44256</v>
      </c>
      <c r="F1240">
        <v>149545</v>
      </c>
      <c r="G1240" s="227" t="s">
        <v>101</v>
      </c>
    </row>
    <row r="1241" spans="1:7">
      <c r="A1241" s="216">
        <v>44256</v>
      </c>
      <c r="B1241" t="s">
        <v>43</v>
      </c>
      <c r="C1241">
        <v>7</v>
      </c>
      <c r="D1241" t="s">
        <v>442</v>
      </c>
      <c r="E1241" s="217">
        <v>44256</v>
      </c>
      <c r="F1241">
        <v>115810</v>
      </c>
      <c r="G1241" s="227" t="s">
        <v>84</v>
      </c>
    </row>
    <row r="1242" spans="1:7">
      <c r="A1242" s="216">
        <v>44256</v>
      </c>
      <c r="B1242" t="s">
        <v>43</v>
      </c>
      <c r="C1242">
        <v>7</v>
      </c>
      <c r="D1242" t="s">
        <v>442</v>
      </c>
      <c r="E1242" s="217">
        <v>44256</v>
      </c>
      <c r="F1242">
        <v>172239</v>
      </c>
      <c r="G1242" s="227" t="s">
        <v>128</v>
      </c>
    </row>
    <row r="1243" spans="1:7">
      <c r="A1243" s="216">
        <v>44256</v>
      </c>
      <c r="B1243" t="s">
        <v>43</v>
      </c>
      <c r="C1243">
        <v>7</v>
      </c>
      <c r="D1243" t="s">
        <v>442</v>
      </c>
      <c r="E1243" s="217">
        <v>44256</v>
      </c>
      <c r="F1243">
        <v>172464</v>
      </c>
      <c r="G1243" s="227" t="s">
        <v>124</v>
      </c>
    </row>
    <row r="1244" spans="1:7">
      <c r="A1244" s="216">
        <v>44256</v>
      </c>
      <c r="B1244" t="s">
        <v>43</v>
      </c>
      <c r="C1244">
        <v>7</v>
      </c>
      <c r="D1244" t="s">
        <v>442</v>
      </c>
      <c r="E1244" s="217">
        <v>44256</v>
      </c>
      <c r="F1244">
        <v>143393</v>
      </c>
      <c r="G1244" s="227" t="s">
        <v>120</v>
      </c>
    </row>
    <row r="1245" spans="1:7">
      <c r="A1245" s="216">
        <v>44256</v>
      </c>
      <c r="B1245" t="s">
        <v>43</v>
      </c>
      <c r="C1245">
        <v>7</v>
      </c>
      <c r="D1245" t="s">
        <v>442</v>
      </c>
      <c r="E1245" s="217">
        <v>44256</v>
      </c>
      <c r="F1245">
        <v>155881</v>
      </c>
      <c r="G1245" s="227" t="s">
        <v>89</v>
      </c>
    </row>
    <row r="1246" spans="1:7">
      <c r="A1246" s="216">
        <v>44256</v>
      </c>
      <c r="B1246" t="s">
        <v>43</v>
      </c>
      <c r="C1246">
        <v>7</v>
      </c>
      <c r="D1246" t="s">
        <v>442</v>
      </c>
      <c r="E1246" s="217">
        <v>44256</v>
      </c>
      <c r="F1246">
        <v>152635</v>
      </c>
      <c r="G1246" s="227" t="s">
        <v>97</v>
      </c>
    </row>
    <row r="1247" spans="1:7">
      <c r="A1247" s="216">
        <v>44256</v>
      </c>
      <c r="B1247" t="s">
        <v>43</v>
      </c>
      <c r="C1247">
        <v>7</v>
      </c>
      <c r="D1247" t="s">
        <v>442</v>
      </c>
      <c r="E1247" s="217">
        <v>44256</v>
      </c>
      <c r="F1247">
        <v>158284</v>
      </c>
      <c r="G1247" s="227" t="s">
        <v>93</v>
      </c>
    </row>
    <row r="1248" spans="1:7">
      <c r="A1248" s="216">
        <v>44256</v>
      </c>
      <c r="B1248" t="s">
        <v>43</v>
      </c>
      <c r="C1248">
        <v>7</v>
      </c>
      <c r="D1248" t="s">
        <v>442</v>
      </c>
      <c r="E1248" s="217">
        <v>44256</v>
      </c>
      <c r="F1248">
        <v>278451</v>
      </c>
      <c r="G1248" s="227" t="s">
        <v>111</v>
      </c>
    </row>
    <row r="1249" spans="1:7">
      <c r="A1249" s="216">
        <v>44256</v>
      </c>
      <c r="B1249" t="s">
        <v>43</v>
      </c>
      <c r="C1249">
        <v>7</v>
      </c>
      <c r="D1249" t="s">
        <v>442</v>
      </c>
      <c r="E1249" s="217">
        <v>44256</v>
      </c>
      <c r="F1249">
        <v>1944130</v>
      </c>
      <c r="G1249" s="227" t="s">
        <v>434</v>
      </c>
    </row>
    <row r="1250" spans="1:7">
      <c r="A1250" s="216">
        <v>44256</v>
      </c>
      <c r="B1250" t="s">
        <v>43</v>
      </c>
      <c r="C1250">
        <v>8</v>
      </c>
      <c r="D1250" t="s">
        <v>451</v>
      </c>
      <c r="E1250" s="217">
        <v>44256</v>
      </c>
      <c r="F1250">
        <v>17237</v>
      </c>
      <c r="G1250" s="227" t="s">
        <v>79</v>
      </c>
    </row>
    <row r="1251" spans="1:7">
      <c r="A1251" s="216">
        <v>44256</v>
      </c>
      <c r="B1251" t="s">
        <v>43</v>
      </c>
      <c r="C1251">
        <v>8</v>
      </c>
      <c r="D1251" t="s">
        <v>451</v>
      </c>
      <c r="E1251" s="217">
        <v>44256</v>
      </c>
      <c r="F1251">
        <v>17621</v>
      </c>
      <c r="G1251" s="227" t="s">
        <v>115</v>
      </c>
    </row>
    <row r="1252" spans="1:7">
      <c r="A1252" s="216">
        <v>44256</v>
      </c>
      <c r="B1252" t="s">
        <v>43</v>
      </c>
      <c r="C1252">
        <v>8</v>
      </c>
      <c r="D1252" t="s">
        <v>451</v>
      </c>
      <c r="E1252" s="217">
        <v>44256</v>
      </c>
      <c r="F1252">
        <v>15892</v>
      </c>
      <c r="G1252" s="227" t="s">
        <v>106</v>
      </c>
    </row>
    <row r="1253" spans="1:7">
      <c r="A1253" s="216">
        <v>44256</v>
      </c>
      <c r="B1253" t="s">
        <v>43</v>
      </c>
      <c r="C1253">
        <v>8</v>
      </c>
      <c r="D1253" t="s">
        <v>451</v>
      </c>
      <c r="E1253" s="217">
        <v>44256</v>
      </c>
      <c r="F1253">
        <v>17474</v>
      </c>
      <c r="G1253" s="227" t="s">
        <v>101</v>
      </c>
    </row>
    <row r="1254" spans="1:7">
      <c r="A1254" s="216">
        <v>44256</v>
      </c>
      <c r="B1254" t="s">
        <v>43</v>
      </c>
      <c r="C1254">
        <v>8</v>
      </c>
      <c r="D1254" t="s">
        <v>451</v>
      </c>
      <c r="E1254" s="217">
        <v>44256</v>
      </c>
      <c r="F1254">
        <v>17177</v>
      </c>
      <c r="G1254" s="227" t="s">
        <v>84</v>
      </c>
    </row>
    <row r="1255" spans="1:7">
      <c r="A1255" s="216">
        <v>44256</v>
      </c>
      <c r="B1255" t="s">
        <v>43</v>
      </c>
      <c r="C1255">
        <v>8</v>
      </c>
      <c r="D1255" t="s">
        <v>451</v>
      </c>
      <c r="E1255" s="217">
        <v>44256</v>
      </c>
      <c r="F1255">
        <v>16646</v>
      </c>
      <c r="G1255" s="227" t="s">
        <v>128</v>
      </c>
    </row>
    <row r="1256" spans="1:7">
      <c r="A1256" s="216">
        <v>44256</v>
      </c>
      <c r="B1256" t="s">
        <v>43</v>
      </c>
      <c r="C1256">
        <v>8</v>
      </c>
      <c r="D1256" t="s">
        <v>451</v>
      </c>
      <c r="E1256" s="217">
        <v>44256</v>
      </c>
      <c r="F1256">
        <v>17172</v>
      </c>
      <c r="G1256" s="227" t="s">
        <v>124</v>
      </c>
    </row>
    <row r="1257" spans="1:7">
      <c r="A1257" s="216">
        <v>44256</v>
      </c>
      <c r="B1257" t="s">
        <v>43</v>
      </c>
      <c r="C1257">
        <v>8</v>
      </c>
      <c r="D1257" t="s">
        <v>451</v>
      </c>
      <c r="E1257" s="217">
        <v>44256</v>
      </c>
      <c r="F1257">
        <v>17893</v>
      </c>
      <c r="G1257" s="227" t="s">
        <v>120</v>
      </c>
    </row>
    <row r="1258" spans="1:7">
      <c r="A1258" s="216">
        <v>44256</v>
      </c>
      <c r="B1258" t="s">
        <v>43</v>
      </c>
      <c r="C1258">
        <v>8</v>
      </c>
      <c r="D1258" t="s">
        <v>451</v>
      </c>
      <c r="E1258" s="217">
        <v>44256</v>
      </c>
      <c r="F1258">
        <v>17882</v>
      </c>
      <c r="G1258" s="227" t="s">
        <v>89</v>
      </c>
    </row>
    <row r="1259" spans="1:7">
      <c r="A1259" s="216">
        <v>44256</v>
      </c>
      <c r="B1259" t="s">
        <v>43</v>
      </c>
      <c r="C1259">
        <v>8</v>
      </c>
      <c r="D1259" t="s">
        <v>451</v>
      </c>
      <c r="E1259" s="217">
        <v>44256</v>
      </c>
      <c r="F1259">
        <v>18717</v>
      </c>
      <c r="G1259" s="227" t="s">
        <v>97</v>
      </c>
    </row>
    <row r="1260" spans="1:7">
      <c r="A1260" s="216">
        <v>44256</v>
      </c>
      <c r="B1260" t="s">
        <v>43</v>
      </c>
      <c r="C1260">
        <v>8</v>
      </c>
      <c r="D1260" t="s">
        <v>451</v>
      </c>
      <c r="E1260" s="217">
        <v>44256</v>
      </c>
      <c r="F1260">
        <v>19735</v>
      </c>
      <c r="G1260" s="227" t="s">
        <v>93</v>
      </c>
    </row>
    <row r="1261" spans="1:7">
      <c r="A1261" s="216">
        <v>44256</v>
      </c>
      <c r="B1261" t="s">
        <v>43</v>
      </c>
      <c r="C1261">
        <v>8</v>
      </c>
      <c r="D1261" t="s">
        <v>451</v>
      </c>
      <c r="E1261" s="217">
        <v>44256</v>
      </c>
      <c r="F1261">
        <v>23404</v>
      </c>
      <c r="G1261" s="227" t="s">
        <v>111</v>
      </c>
    </row>
    <row r="1262" spans="1:7">
      <c r="A1262" s="216">
        <v>44256</v>
      </c>
      <c r="B1262" t="s">
        <v>43</v>
      </c>
      <c r="C1262">
        <v>8</v>
      </c>
      <c r="D1262" t="s">
        <v>451</v>
      </c>
      <c r="E1262" s="217">
        <v>44256</v>
      </c>
      <c r="F1262">
        <v>216850</v>
      </c>
      <c r="G1262" s="227" t="s">
        <v>434</v>
      </c>
    </row>
    <row r="1263" spans="1:7">
      <c r="A1263" s="216">
        <v>44256</v>
      </c>
      <c r="B1263" t="s">
        <v>43</v>
      </c>
      <c r="C1263">
        <v>9</v>
      </c>
      <c r="D1263" t="s">
        <v>450</v>
      </c>
      <c r="E1263" s="217">
        <v>44256</v>
      </c>
      <c r="F1263">
        <v>8924</v>
      </c>
      <c r="G1263" s="227" t="s">
        <v>79</v>
      </c>
    </row>
    <row r="1264" spans="1:7">
      <c r="A1264" s="216">
        <v>44256</v>
      </c>
      <c r="B1264" t="s">
        <v>43</v>
      </c>
      <c r="C1264">
        <v>9</v>
      </c>
      <c r="D1264" t="s">
        <v>450</v>
      </c>
      <c r="E1264" s="217">
        <v>44256</v>
      </c>
      <c r="F1264">
        <v>8566</v>
      </c>
      <c r="G1264" s="227" t="s">
        <v>115</v>
      </c>
    </row>
    <row r="1265" spans="1:7">
      <c r="A1265" s="216">
        <v>44256</v>
      </c>
      <c r="B1265" t="s">
        <v>43</v>
      </c>
      <c r="C1265">
        <v>9</v>
      </c>
      <c r="D1265" t="s">
        <v>450</v>
      </c>
      <c r="E1265" s="217">
        <v>44256</v>
      </c>
      <c r="F1265">
        <v>10494</v>
      </c>
      <c r="G1265" s="227" t="s">
        <v>106</v>
      </c>
    </row>
    <row r="1266" spans="1:7">
      <c r="A1266" s="216">
        <v>44256</v>
      </c>
      <c r="B1266" t="s">
        <v>43</v>
      </c>
      <c r="C1266">
        <v>9</v>
      </c>
      <c r="D1266" t="s">
        <v>450</v>
      </c>
      <c r="E1266" s="217">
        <v>44256</v>
      </c>
      <c r="F1266">
        <v>11035</v>
      </c>
      <c r="G1266" s="227" t="s">
        <v>101</v>
      </c>
    </row>
    <row r="1267" spans="1:7">
      <c r="A1267" s="216">
        <v>44256</v>
      </c>
      <c r="B1267" t="s">
        <v>43</v>
      </c>
      <c r="C1267">
        <v>9</v>
      </c>
      <c r="D1267" t="s">
        <v>450</v>
      </c>
      <c r="E1267" s="217">
        <v>44256</v>
      </c>
      <c r="F1267">
        <v>8729</v>
      </c>
      <c r="G1267" s="227" t="s">
        <v>84</v>
      </c>
    </row>
    <row r="1268" spans="1:7">
      <c r="A1268" s="216">
        <v>44256</v>
      </c>
      <c r="B1268" t="s">
        <v>43</v>
      </c>
      <c r="C1268">
        <v>9</v>
      </c>
      <c r="D1268" t="s">
        <v>450</v>
      </c>
      <c r="E1268" s="217">
        <v>44256</v>
      </c>
      <c r="F1268">
        <v>9040</v>
      </c>
      <c r="G1268" s="227" t="s">
        <v>128</v>
      </c>
    </row>
    <row r="1269" spans="1:7">
      <c r="A1269" s="216">
        <v>44256</v>
      </c>
      <c r="B1269" t="s">
        <v>43</v>
      </c>
      <c r="C1269">
        <v>9</v>
      </c>
      <c r="D1269" t="s">
        <v>450</v>
      </c>
      <c r="E1269" s="217">
        <v>44256</v>
      </c>
      <c r="F1269">
        <v>9355</v>
      </c>
      <c r="G1269" s="227" t="s">
        <v>124</v>
      </c>
    </row>
    <row r="1270" spans="1:7">
      <c r="A1270" s="216">
        <v>44256</v>
      </c>
      <c r="B1270" t="s">
        <v>43</v>
      </c>
      <c r="C1270">
        <v>9</v>
      </c>
      <c r="D1270" t="s">
        <v>450</v>
      </c>
      <c r="E1270" s="217">
        <v>44256</v>
      </c>
      <c r="F1270">
        <v>8711</v>
      </c>
      <c r="G1270" s="227" t="s">
        <v>120</v>
      </c>
    </row>
    <row r="1271" spans="1:7">
      <c r="A1271" s="216">
        <v>44256</v>
      </c>
      <c r="B1271" t="s">
        <v>43</v>
      </c>
      <c r="C1271">
        <v>9</v>
      </c>
      <c r="D1271" t="s">
        <v>450</v>
      </c>
      <c r="E1271" s="217">
        <v>44256</v>
      </c>
      <c r="F1271">
        <v>9842</v>
      </c>
      <c r="G1271" s="227" t="s">
        <v>89</v>
      </c>
    </row>
    <row r="1272" spans="1:7">
      <c r="A1272" s="216">
        <v>44256</v>
      </c>
      <c r="B1272" t="s">
        <v>43</v>
      </c>
      <c r="C1272">
        <v>9</v>
      </c>
      <c r="D1272" t="s">
        <v>450</v>
      </c>
      <c r="E1272" s="217">
        <v>44256</v>
      </c>
      <c r="F1272">
        <v>9491</v>
      </c>
      <c r="G1272" s="227" t="s">
        <v>97</v>
      </c>
    </row>
    <row r="1273" spans="1:7">
      <c r="A1273" s="216">
        <v>44256</v>
      </c>
      <c r="B1273" t="s">
        <v>43</v>
      </c>
      <c r="C1273">
        <v>9</v>
      </c>
      <c r="D1273" t="s">
        <v>450</v>
      </c>
      <c r="E1273" s="217">
        <v>44256</v>
      </c>
      <c r="F1273">
        <v>8973</v>
      </c>
      <c r="G1273" s="227" t="s">
        <v>93</v>
      </c>
    </row>
    <row r="1274" spans="1:7">
      <c r="A1274" s="216">
        <v>44256</v>
      </c>
      <c r="B1274" t="s">
        <v>43</v>
      </c>
      <c r="C1274">
        <v>9</v>
      </c>
      <c r="D1274" t="s">
        <v>450</v>
      </c>
      <c r="E1274" s="217">
        <v>44256</v>
      </c>
      <c r="F1274">
        <v>10853</v>
      </c>
      <c r="G1274" s="227" t="s">
        <v>111</v>
      </c>
    </row>
    <row r="1275" spans="1:7">
      <c r="A1275" s="216">
        <v>44256</v>
      </c>
      <c r="B1275" t="s">
        <v>43</v>
      </c>
      <c r="C1275">
        <v>9</v>
      </c>
      <c r="D1275" t="s">
        <v>450</v>
      </c>
      <c r="E1275" s="217">
        <v>44256</v>
      </c>
      <c r="F1275">
        <v>114013</v>
      </c>
      <c r="G1275" s="227" t="s">
        <v>434</v>
      </c>
    </row>
    <row r="1276" spans="1:7">
      <c r="A1276" s="216">
        <v>44256</v>
      </c>
      <c r="B1276" t="s">
        <v>43</v>
      </c>
      <c r="C1276">
        <v>10</v>
      </c>
      <c r="D1276" t="s">
        <v>433</v>
      </c>
      <c r="E1276" s="217">
        <v>44256</v>
      </c>
      <c r="F1276">
        <v>64970</v>
      </c>
      <c r="G1276" s="227" t="s">
        <v>79</v>
      </c>
    </row>
    <row r="1277" spans="1:7">
      <c r="A1277" s="216">
        <v>44256</v>
      </c>
      <c r="B1277" t="s">
        <v>43</v>
      </c>
      <c r="C1277">
        <v>10</v>
      </c>
      <c r="D1277" t="s">
        <v>433</v>
      </c>
      <c r="E1277" s="217">
        <v>44256</v>
      </c>
      <c r="F1277">
        <v>66116</v>
      </c>
      <c r="G1277" s="227" t="s">
        <v>115</v>
      </c>
    </row>
    <row r="1278" spans="1:7">
      <c r="A1278" s="216">
        <v>44256</v>
      </c>
      <c r="B1278" t="s">
        <v>43</v>
      </c>
      <c r="C1278">
        <v>10</v>
      </c>
      <c r="D1278" t="s">
        <v>433</v>
      </c>
      <c r="E1278" s="217">
        <v>44256</v>
      </c>
      <c r="F1278">
        <v>68155</v>
      </c>
      <c r="G1278" s="227" t="s">
        <v>106</v>
      </c>
    </row>
    <row r="1279" spans="1:7">
      <c r="A1279" s="216">
        <v>44256</v>
      </c>
      <c r="B1279" t="s">
        <v>43</v>
      </c>
      <c r="C1279">
        <v>10</v>
      </c>
      <c r="D1279" t="s">
        <v>433</v>
      </c>
      <c r="E1279" s="217">
        <v>44256</v>
      </c>
      <c r="F1279">
        <v>67297</v>
      </c>
      <c r="G1279" s="227" t="s">
        <v>101</v>
      </c>
    </row>
    <row r="1280" spans="1:7">
      <c r="A1280" s="216">
        <v>44256</v>
      </c>
      <c r="B1280" t="s">
        <v>43</v>
      </c>
      <c r="C1280">
        <v>10</v>
      </c>
      <c r="D1280" t="s">
        <v>433</v>
      </c>
      <c r="E1280" s="217">
        <v>44256</v>
      </c>
      <c r="F1280">
        <v>65990</v>
      </c>
      <c r="G1280" s="227" t="s">
        <v>84</v>
      </c>
    </row>
    <row r="1281" spans="1:7">
      <c r="A1281" s="216">
        <v>44256</v>
      </c>
      <c r="B1281" t="s">
        <v>43</v>
      </c>
      <c r="C1281">
        <v>10</v>
      </c>
      <c r="D1281" t="s">
        <v>433</v>
      </c>
      <c r="E1281" s="217">
        <v>44256</v>
      </c>
      <c r="F1281">
        <v>65584</v>
      </c>
      <c r="G1281" s="227" t="s">
        <v>128</v>
      </c>
    </row>
    <row r="1282" spans="1:7">
      <c r="A1282" s="216">
        <v>44256</v>
      </c>
      <c r="B1282" t="s">
        <v>43</v>
      </c>
      <c r="C1282">
        <v>10</v>
      </c>
      <c r="D1282" t="s">
        <v>433</v>
      </c>
      <c r="E1282" s="217">
        <v>44256</v>
      </c>
      <c r="F1282">
        <v>68063</v>
      </c>
      <c r="G1282" s="227" t="s">
        <v>124</v>
      </c>
    </row>
    <row r="1283" spans="1:7">
      <c r="A1283" s="216">
        <v>44256</v>
      </c>
      <c r="B1283" t="s">
        <v>43</v>
      </c>
      <c r="C1283">
        <v>10</v>
      </c>
      <c r="D1283" t="s">
        <v>433</v>
      </c>
      <c r="E1283" s="217">
        <v>44256</v>
      </c>
      <c r="F1283">
        <v>67254</v>
      </c>
      <c r="G1283" s="227" t="s">
        <v>120</v>
      </c>
    </row>
    <row r="1284" spans="1:7">
      <c r="A1284" s="216">
        <v>44256</v>
      </c>
      <c r="B1284" t="s">
        <v>43</v>
      </c>
      <c r="C1284">
        <v>10</v>
      </c>
      <c r="D1284" t="s">
        <v>433</v>
      </c>
      <c r="E1284" s="217">
        <v>44256</v>
      </c>
      <c r="F1284">
        <v>67482</v>
      </c>
      <c r="G1284" s="227" t="s">
        <v>89</v>
      </c>
    </row>
    <row r="1285" spans="1:7">
      <c r="A1285" s="216">
        <v>44256</v>
      </c>
      <c r="B1285" t="s">
        <v>43</v>
      </c>
      <c r="C1285">
        <v>10</v>
      </c>
      <c r="D1285" t="s">
        <v>433</v>
      </c>
      <c r="E1285" s="217">
        <v>44256</v>
      </c>
      <c r="F1285">
        <v>68814</v>
      </c>
      <c r="G1285" s="227" t="s">
        <v>97</v>
      </c>
    </row>
    <row r="1286" spans="1:7">
      <c r="A1286" s="216">
        <v>44256</v>
      </c>
      <c r="B1286" t="s">
        <v>43</v>
      </c>
      <c r="C1286">
        <v>10</v>
      </c>
      <c r="D1286" t="s">
        <v>433</v>
      </c>
      <c r="E1286" s="217">
        <v>44256</v>
      </c>
      <c r="F1286">
        <v>69601</v>
      </c>
      <c r="G1286" s="227" t="s">
        <v>93</v>
      </c>
    </row>
    <row r="1287" spans="1:7">
      <c r="A1287" s="216">
        <v>44256</v>
      </c>
      <c r="B1287" t="s">
        <v>43</v>
      </c>
      <c r="C1287">
        <v>10</v>
      </c>
      <c r="D1287" t="s">
        <v>433</v>
      </c>
      <c r="E1287" s="217">
        <v>44256</v>
      </c>
      <c r="F1287">
        <v>150495</v>
      </c>
      <c r="G1287" s="227" t="s">
        <v>111</v>
      </c>
    </row>
    <row r="1288" spans="1:7">
      <c r="A1288" s="216">
        <v>44256</v>
      </c>
      <c r="B1288" t="s">
        <v>43</v>
      </c>
      <c r="C1288">
        <v>10</v>
      </c>
      <c r="D1288" t="s">
        <v>433</v>
      </c>
      <c r="E1288" s="217">
        <v>44256</v>
      </c>
      <c r="F1288">
        <v>889821</v>
      </c>
      <c r="G1288" s="227" t="s">
        <v>434</v>
      </c>
    </row>
    <row r="1289" spans="1:7">
      <c r="A1289" s="216">
        <v>44256</v>
      </c>
      <c r="B1289" t="s">
        <v>43</v>
      </c>
      <c r="C1289">
        <v>11</v>
      </c>
      <c r="D1289" t="s">
        <v>445</v>
      </c>
      <c r="E1289" s="217">
        <v>44256</v>
      </c>
      <c r="F1289">
        <v>36725</v>
      </c>
      <c r="G1289" s="227" t="s">
        <v>79</v>
      </c>
    </row>
    <row r="1290" spans="1:7">
      <c r="A1290" s="216">
        <v>44256</v>
      </c>
      <c r="B1290" t="s">
        <v>43</v>
      </c>
      <c r="C1290">
        <v>11</v>
      </c>
      <c r="D1290" t="s">
        <v>445</v>
      </c>
      <c r="E1290" s="217">
        <v>44256</v>
      </c>
      <c r="F1290">
        <v>9551</v>
      </c>
      <c r="G1290" s="227" t="s">
        <v>115</v>
      </c>
    </row>
    <row r="1291" spans="1:7">
      <c r="A1291" s="216">
        <v>44256</v>
      </c>
      <c r="B1291" t="s">
        <v>43</v>
      </c>
      <c r="C1291">
        <v>11</v>
      </c>
      <c r="D1291" t="s">
        <v>445</v>
      </c>
      <c r="E1291" s="217">
        <v>44256</v>
      </c>
      <c r="F1291">
        <v>11764</v>
      </c>
      <c r="G1291" s="227" t="s">
        <v>106</v>
      </c>
    </row>
    <row r="1292" spans="1:7">
      <c r="A1292" s="216">
        <v>44256</v>
      </c>
      <c r="B1292" t="s">
        <v>43</v>
      </c>
      <c r="C1292">
        <v>11</v>
      </c>
      <c r="D1292" t="s">
        <v>445</v>
      </c>
      <c r="E1292" s="217">
        <v>44256</v>
      </c>
      <c r="F1292">
        <v>13936</v>
      </c>
      <c r="G1292" s="227" t="s">
        <v>101</v>
      </c>
    </row>
    <row r="1293" spans="1:7">
      <c r="A1293" s="216">
        <v>44256</v>
      </c>
      <c r="B1293" t="s">
        <v>43</v>
      </c>
      <c r="C1293">
        <v>11</v>
      </c>
      <c r="D1293" t="s">
        <v>445</v>
      </c>
      <c r="E1293" s="217">
        <v>44256</v>
      </c>
      <c r="F1293">
        <v>14172</v>
      </c>
      <c r="G1293" s="227" t="s">
        <v>84</v>
      </c>
    </row>
    <row r="1294" spans="1:7">
      <c r="A1294" s="216">
        <v>44256</v>
      </c>
      <c r="B1294" t="s">
        <v>43</v>
      </c>
      <c r="C1294">
        <v>11</v>
      </c>
      <c r="D1294" t="s">
        <v>445</v>
      </c>
      <c r="E1294" s="217">
        <v>44256</v>
      </c>
      <c r="F1294">
        <v>12961</v>
      </c>
      <c r="G1294" s="227" t="s">
        <v>128</v>
      </c>
    </row>
    <row r="1295" spans="1:7">
      <c r="A1295" s="216">
        <v>44256</v>
      </c>
      <c r="B1295" t="s">
        <v>43</v>
      </c>
      <c r="C1295">
        <v>11</v>
      </c>
      <c r="D1295" t="s">
        <v>445</v>
      </c>
      <c r="E1295" s="217">
        <v>44256</v>
      </c>
      <c r="F1295">
        <v>14976</v>
      </c>
      <c r="G1295" s="227" t="s">
        <v>124</v>
      </c>
    </row>
    <row r="1296" spans="1:7">
      <c r="A1296" s="216">
        <v>44256</v>
      </c>
      <c r="B1296" t="s">
        <v>43</v>
      </c>
      <c r="C1296">
        <v>11</v>
      </c>
      <c r="D1296" t="s">
        <v>445</v>
      </c>
      <c r="E1296" s="217">
        <v>44256</v>
      </c>
      <c r="F1296">
        <v>6135</v>
      </c>
      <c r="G1296" s="227" t="s">
        <v>120</v>
      </c>
    </row>
    <row r="1297" spans="1:7">
      <c r="A1297" s="216">
        <v>44256</v>
      </c>
      <c r="B1297" t="s">
        <v>43</v>
      </c>
      <c r="C1297">
        <v>11</v>
      </c>
      <c r="D1297" t="s">
        <v>445</v>
      </c>
      <c r="E1297" s="217">
        <v>44256</v>
      </c>
      <c r="F1297">
        <v>18643</v>
      </c>
      <c r="G1297" s="227" t="s">
        <v>89</v>
      </c>
    </row>
    <row r="1298" spans="1:7">
      <c r="A1298" s="216">
        <v>44256</v>
      </c>
      <c r="B1298" t="s">
        <v>43</v>
      </c>
      <c r="C1298">
        <v>11</v>
      </c>
      <c r="D1298" t="s">
        <v>445</v>
      </c>
      <c r="E1298" s="217">
        <v>44256</v>
      </c>
      <c r="F1298">
        <v>16165</v>
      </c>
      <c r="G1298" s="227" t="s">
        <v>97</v>
      </c>
    </row>
    <row r="1299" spans="1:7">
      <c r="A1299" s="216">
        <v>44256</v>
      </c>
      <c r="B1299" t="s">
        <v>43</v>
      </c>
      <c r="C1299">
        <v>11</v>
      </c>
      <c r="D1299" t="s">
        <v>445</v>
      </c>
      <c r="E1299" s="217">
        <v>44256</v>
      </c>
      <c r="F1299">
        <v>17641</v>
      </c>
      <c r="G1299" s="227" t="s">
        <v>93</v>
      </c>
    </row>
    <row r="1300" spans="1:7">
      <c r="A1300" s="216">
        <v>44256</v>
      </c>
      <c r="B1300" t="s">
        <v>43</v>
      </c>
      <c r="C1300">
        <v>11</v>
      </c>
      <c r="D1300" t="s">
        <v>445</v>
      </c>
      <c r="E1300" s="217">
        <v>44256</v>
      </c>
      <c r="F1300">
        <v>40567</v>
      </c>
      <c r="G1300" s="227" t="s">
        <v>111</v>
      </c>
    </row>
    <row r="1301" spans="1:7">
      <c r="A1301" s="216">
        <v>44256</v>
      </c>
      <c r="B1301" t="s">
        <v>43</v>
      </c>
      <c r="C1301">
        <v>11</v>
      </c>
      <c r="D1301" t="s">
        <v>445</v>
      </c>
      <c r="E1301" s="217">
        <v>44256</v>
      </c>
      <c r="F1301">
        <v>213236</v>
      </c>
      <c r="G1301" s="227" t="s">
        <v>434</v>
      </c>
    </row>
    <row r="1302" spans="1:7">
      <c r="A1302" s="216">
        <v>44256</v>
      </c>
      <c r="B1302" t="s">
        <v>43</v>
      </c>
      <c r="C1302">
        <v>12</v>
      </c>
      <c r="D1302" t="s">
        <v>454</v>
      </c>
      <c r="E1302" s="217">
        <v>44256</v>
      </c>
      <c r="F1302">
        <v>5375</v>
      </c>
      <c r="G1302" s="227" t="s">
        <v>79</v>
      </c>
    </row>
    <row r="1303" spans="1:7">
      <c r="A1303" s="216">
        <v>44256</v>
      </c>
      <c r="B1303" t="s">
        <v>43</v>
      </c>
      <c r="C1303">
        <v>12</v>
      </c>
      <c r="D1303" t="s">
        <v>454</v>
      </c>
      <c r="E1303" s="217">
        <v>44256</v>
      </c>
      <c r="F1303">
        <v>5016</v>
      </c>
      <c r="G1303" s="227" t="s">
        <v>115</v>
      </c>
    </row>
    <row r="1304" spans="1:7">
      <c r="A1304" s="216">
        <v>44256</v>
      </c>
      <c r="B1304" t="s">
        <v>43</v>
      </c>
      <c r="C1304">
        <v>12</v>
      </c>
      <c r="D1304" t="s">
        <v>454</v>
      </c>
      <c r="E1304" s="217">
        <v>44256</v>
      </c>
      <c r="F1304">
        <v>5523</v>
      </c>
      <c r="G1304" s="227" t="s">
        <v>106</v>
      </c>
    </row>
    <row r="1305" spans="1:7">
      <c r="A1305" s="216">
        <v>44256</v>
      </c>
      <c r="B1305" t="s">
        <v>43</v>
      </c>
      <c r="C1305">
        <v>12</v>
      </c>
      <c r="D1305" t="s">
        <v>454</v>
      </c>
      <c r="E1305" s="217">
        <v>44256</v>
      </c>
      <c r="F1305">
        <v>5843</v>
      </c>
      <c r="G1305" s="227" t="s">
        <v>101</v>
      </c>
    </row>
    <row r="1306" spans="1:7">
      <c r="A1306" s="216">
        <v>44256</v>
      </c>
      <c r="B1306" t="s">
        <v>43</v>
      </c>
      <c r="C1306">
        <v>12</v>
      </c>
      <c r="D1306" t="s">
        <v>454</v>
      </c>
      <c r="E1306" s="217">
        <v>44256</v>
      </c>
      <c r="F1306">
        <v>5400</v>
      </c>
      <c r="G1306" s="227" t="s">
        <v>84</v>
      </c>
    </row>
    <row r="1307" spans="1:7">
      <c r="A1307" s="216">
        <v>44256</v>
      </c>
      <c r="B1307" t="s">
        <v>43</v>
      </c>
      <c r="C1307">
        <v>12</v>
      </c>
      <c r="D1307" t="s">
        <v>454</v>
      </c>
      <c r="E1307" s="217">
        <v>44256</v>
      </c>
      <c r="F1307">
        <v>6208</v>
      </c>
      <c r="G1307" s="227" t="s">
        <v>128</v>
      </c>
    </row>
    <row r="1308" spans="1:7">
      <c r="A1308" s="216">
        <v>44256</v>
      </c>
      <c r="B1308" t="s">
        <v>43</v>
      </c>
      <c r="C1308">
        <v>12</v>
      </c>
      <c r="D1308" t="s">
        <v>454</v>
      </c>
      <c r="E1308" s="217">
        <v>44256</v>
      </c>
      <c r="F1308">
        <v>6326</v>
      </c>
      <c r="G1308" s="227" t="s">
        <v>124</v>
      </c>
    </row>
    <row r="1309" spans="1:7">
      <c r="A1309" s="216">
        <v>44256</v>
      </c>
      <c r="B1309" t="s">
        <v>43</v>
      </c>
      <c r="C1309">
        <v>12</v>
      </c>
      <c r="D1309" t="s">
        <v>454</v>
      </c>
      <c r="E1309" s="217">
        <v>44256</v>
      </c>
      <c r="F1309">
        <v>5968</v>
      </c>
      <c r="G1309" s="227" t="s">
        <v>120</v>
      </c>
    </row>
    <row r="1310" spans="1:7">
      <c r="A1310" s="216">
        <v>44256</v>
      </c>
      <c r="B1310" t="s">
        <v>43</v>
      </c>
      <c r="C1310">
        <v>12</v>
      </c>
      <c r="D1310" t="s">
        <v>454</v>
      </c>
      <c r="E1310" s="217">
        <v>44256</v>
      </c>
      <c r="F1310">
        <v>6595</v>
      </c>
      <c r="G1310" s="227" t="s">
        <v>89</v>
      </c>
    </row>
    <row r="1311" spans="1:7">
      <c r="A1311" s="216">
        <v>44256</v>
      </c>
      <c r="B1311" t="s">
        <v>43</v>
      </c>
      <c r="C1311">
        <v>12</v>
      </c>
      <c r="D1311" t="s">
        <v>454</v>
      </c>
      <c r="E1311" s="217">
        <v>44256</v>
      </c>
      <c r="F1311">
        <v>6308</v>
      </c>
      <c r="G1311" s="227" t="s">
        <v>97</v>
      </c>
    </row>
    <row r="1312" spans="1:7">
      <c r="A1312" s="216">
        <v>44256</v>
      </c>
      <c r="B1312" t="s">
        <v>43</v>
      </c>
      <c r="C1312">
        <v>12</v>
      </c>
      <c r="D1312" t="s">
        <v>454</v>
      </c>
      <c r="E1312" s="217">
        <v>44256</v>
      </c>
      <c r="F1312">
        <v>6604</v>
      </c>
      <c r="G1312" s="227" t="s">
        <v>93</v>
      </c>
    </row>
    <row r="1313" spans="1:7">
      <c r="A1313" s="216">
        <v>44256</v>
      </c>
      <c r="B1313" t="s">
        <v>43</v>
      </c>
      <c r="C1313">
        <v>12</v>
      </c>
      <c r="D1313" t="s">
        <v>454</v>
      </c>
      <c r="E1313" s="217">
        <v>44256</v>
      </c>
      <c r="F1313">
        <v>7562</v>
      </c>
      <c r="G1313" s="227" t="s">
        <v>111</v>
      </c>
    </row>
    <row r="1314" spans="1:7">
      <c r="A1314" s="216">
        <v>44256</v>
      </c>
      <c r="B1314" t="s">
        <v>43</v>
      </c>
      <c r="C1314">
        <v>12</v>
      </c>
      <c r="D1314" t="s">
        <v>454</v>
      </c>
      <c r="E1314" s="217">
        <v>44256</v>
      </c>
      <c r="F1314">
        <v>72728</v>
      </c>
      <c r="G1314" s="227" t="s">
        <v>434</v>
      </c>
    </row>
    <row r="1315" spans="1:7">
      <c r="A1315" s="216">
        <v>44256</v>
      </c>
      <c r="B1315" t="s">
        <v>43</v>
      </c>
      <c r="C1315">
        <v>13</v>
      </c>
      <c r="D1315" t="s">
        <v>441</v>
      </c>
      <c r="E1315" s="217">
        <v>44256</v>
      </c>
      <c r="F1315">
        <v>22655</v>
      </c>
      <c r="G1315" s="227" t="s">
        <v>79</v>
      </c>
    </row>
    <row r="1316" spans="1:7">
      <c r="A1316" s="216">
        <v>44256</v>
      </c>
      <c r="B1316" t="s">
        <v>43</v>
      </c>
      <c r="C1316">
        <v>13</v>
      </c>
      <c r="D1316" t="s">
        <v>441</v>
      </c>
      <c r="E1316" s="217">
        <v>44256</v>
      </c>
      <c r="F1316">
        <v>22661</v>
      </c>
      <c r="G1316" s="227" t="s">
        <v>115</v>
      </c>
    </row>
    <row r="1317" spans="1:7">
      <c r="A1317" s="216">
        <v>44256</v>
      </c>
      <c r="B1317" t="s">
        <v>43</v>
      </c>
      <c r="C1317">
        <v>13</v>
      </c>
      <c r="D1317" t="s">
        <v>441</v>
      </c>
      <c r="E1317" s="217">
        <v>44256</v>
      </c>
      <c r="F1317">
        <v>21609</v>
      </c>
      <c r="G1317" s="227" t="s">
        <v>106</v>
      </c>
    </row>
    <row r="1318" spans="1:7">
      <c r="A1318" s="216">
        <v>44256</v>
      </c>
      <c r="B1318" t="s">
        <v>43</v>
      </c>
      <c r="C1318">
        <v>13</v>
      </c>
      <c r="D1318" t="s">
        <v>441</v>
      </c>
      <c r="E1318" s="217">
        <v>44256</v>
      </c>
      <c r="F1318">
        <v>22338</v>
      </c>
      <c r="G1318" s="227" t="s">
        <v>101</v>
      </c>
    </row>
    <row r="1319" spans="1:7">
      <c r="A1319" s="216">
        <v>44256</v>
      </c>
      <c r="B1319" t="s">
        <v>43</v>
      </c>
      <c r="C1319">
        <v>13</v>
      </c>
      <c r="D1319" t="s">
        <v>441</v>
      </c>
      <c r="E1319" s="217">
        <v>44256</v>
      </c>
      <c r="F1319">
        <v>22046</v>
      </c>
      <c r="G1319" s="227" t="s">
        <v>84</v>
      </c>
    </row>
    <row r="1320" spans="1:7">
      <c r="A1320" s="216">
        <v>44256</v>
      </c>
      <c r="B1320" t="s">
        <v>43</v>
      </c>
      <c r="C1320">
        <v>13</v>
      </c>
      <c r="D1320" t="s">
        <v>441</v>
      </c>
      <c r="E1320" s="217">
        <v>44256</v>
      </c>
      <c r="F1320">
        <v>22458</v>
      </c>
      <c r="G1320" s="227" t="s">
        <v>128</v>
      </c>
    </row>
    <row r="1321" spans="1:7">
      <c r="A1321" s="216">
        <v>44256</v>
      </c>
      <c r="B1321" t="s">
        <v>43</v>
      </c>
      <c r="C1321">
        <v>13</v>
      </c>
      <c r="D1321" t="s">
        <v>441</v>
      </c>
      <c r="E1321" s="217">
        <v>44256</v>
      </c>
      <c r="F1321">
        <v>21858</v>
      </c>
      <c r="G1321" s="227" t="s">
        <v>124</v>
      </c>
    </row>
    <row r="1322" spans="1:7">
      <c r="A1322" s="216">
        <v>44256</v>
      </c>
      <c r="B1322" t="s">
        <v>43</v>
      </c>
      <c r="C1322">
        <v>13</v>
      </c>
      <c r="D1322" t="s">
        <v>441</v>
      </c>
      <c r="E1322" s="217">
        <v>44256</v>
      </c>
      <c r="F1322">
        <v>22917</v>
      </c>
      <c r="G1322" s="227" t="s">
        <v>120</v>
      </c>
    </row>
    <row r="1323" spans="1:7">
      <c r="A1323" s="216">
        <v>44256</v>
      </c>
      <c r="B1323" t="s">
        <v>43</v>
      </c>
      <c r="C1323">
        <v>13</v>
      </c>
      <c r="D1323" t="s">
        <v>441</v>
      </c>
      <c r="E1323" s="217">
        <v>44256</v>
      </c>
      <c r="F1323">
        <v>22270</v>
      </c>
      <c r="G1323" s="227" t="s">
        <v>89</v>
      </c>
    </row>
    <row r="1324" spans="1:7">
      <c r="A1324" s="216">
        <v>44256</v>
      </c>
      <c r="B1324" t="s">
        <v>43</v>
      </c>
      <c r="C1324">
        <v>13</v>
      </c>
      <c r="D1324" t="s">
        <v>441</v>
      </c>
      <c r="E1324" s="217">
        <v>44256</v>
      </c>
      <c r="F1324">
        <v>21595</v>
      </c>
      <c r="G1324" s="227" t="s">
        <v>97</v>
      </c>
    </row>
    <row r="1325" spans="1:7">
      <c r="A1325" s="216">
        <v>44256</v>
      </c>
      <c r="B1325" t="s">
        <v>43</v>
      </c>
      <c r="C1325">
        <v>13</v>
      </c>
      <c r="D1325" t="s">
        <v>441</v>
      </c>
      <c r="E1325" s="217">
        <v>44256</v>
      </c>
      <c r="F1325">
        <v>22095</v>
      </c>
      <c r="G1325" s="227" t="s">
        <v>93</v>
      </c>
    </row>
    <row r="1326" spans="1:7">
      <c r="A1326" s="216">
        <v>44256</v>
      </c>
      <c r="B1326" t="s">
        <v>43</v>
      </c>
      <c r="C1326">
        <v>13</v>
      </c>
      <c r="D1326" t="s">
        <v>441</v>
      </c>
      <c r="E1326" s="217">
        <v>44256</v>
      </c>
      <c r="F1326">
        <v>27600</v>
      </c>
      <c r="G1326" s="227" t="s">
        <v>111</v>
      </c>
    </row>
    <row r="1327" spans="1:7">
      <c r="A1327" s="216">
        <v>44256</v>
      </c>
      <c r="B1327" t="s">
        <v>43</v>
      </c>
      <c r="C1327">
        <v>13</v>
      </c>
      <c r="D1327" t="s">
        <v>441</v>
      </c>
      <c r="E1327" s="217">
        <v>44256</v>
      </c>
      <c r="F1327">
        <v>272102</v>
      </c>
      <c r="G1327" s="227" t="s">
        <v>434</v>
      </c>
    </row>
    <row r="1328" spans="1:7">
      <c r="A1328" s="216">
        <v>44256</v>
      </c>
      <c r="B1328" t="s">
        <v>43</v>
      </c>
      <c r="C1328">
        <v>14</v>
      </c>
      <c r="D1328" t="s">
        <v>447</v>
      </c>
      <c r="E1328" s="217">
        <v>44256</v>
      </c>
      <c r="F1328">
        <v>0</v>
      </c>
      <c r="G1328" s="227" t="s">
        <v>79</v>
      </c>
    </row>
    <row r="1329" spans="1:7">
      <c r="A1329" s="216">
        <v>44256</v>
      </c>
      <c r="B1329" t="s">
        <v>43</v>
      </c>
      <c r="C1329">
        <v>14</v>
      </c>
      <c r="D1329" t="s">
        <v>447</v>
      </c>
      <c r="E1329" s="217">
        <v>44256</v>
      </c>
      <c r="F1329">
        <v>0</v>
      </c>
      <c r="G1329" s="227" t="s">
        <v>115</v>
      </c>
    </row>
    <row r="1330" spans="1:7">
      <c r="A1330" s="216">
        <v>44256</v>
      </c>
      <c r="B1330" t="s">
        <v>43</v>
      </c>
      <c r="C1330">
        <v>14</v>
      </c>
      <c r="D1330" t="s">
        <v>447</v>
      </c>
      <c r="E1330" s="217">
        <v>44256</v>
      </c>
      <c r="F1330">
        <v>0</v>
      </c>
      <c r="G1330" s="227" t="s">
        <v>106</v>
      </c>
    </row>
    <row r="1331" spans="1:7">
      <c r="A1331" s="216">
        <v>44256</v>
      </c>
      <c r="B1331" t="s">
        <v>43</v>
      </c>
      <c r="C1331">
        <v>14</v>
      </c>
      <c r="D1331" t="s">
        <v>447</v>
      </c>
      <c r="E1331" s="217">
        <v>44256</v>
      </c>
      <c r="F1331">
        <v>0</v>
      </c>
      <c r="G1331" s="227" t="s">
        <v>101</v>
      </c>
    </row>
    <row r="1332" spans="1:7">
      <c r="A1332" s="216">
        <v>44256</v>
      </c>
      <c r="B1332" t="s">
        <v>43</v>
      </c>
      <c r="C1332">
        <v>14</v>
      </c>
      <c r="D1332" t="s">
        <v>447</v>
      </c>
      <c r="E1332" s="217">
        <v>44256</v>
      </c>
      <c r="F1332">
        <v>0</v>
      </c>
      <c r="G1332" s="227" t="s">
        <v>84</v>
      </c>
    </row>
    <row r="1333" spans="1:7">
      <c r="A1333" s="216">
        <v>44256</v>
      </c>
      <c r="B1333" t="s">
        <v>43</v>
      </c>
      <c r="C1333">
        <v>14</v>
      </c>
      <c r="D1333" t="s">
        <v>447</v>
      </c>
      <c r="E1333" s="217">
        <v>44256</v>
      </c>
      <c r="F1333">
        <v>0</v>
      </c>
      <c r="G1333" s="227" t="s">
        <v>128</v>
      </c>
    </row>
    <row r="1334" spans="1:7">
      <c r="A1334" s="216">
        <v>44256</v>
      </c>
      <c r="B1334" t="s">
        <v>43</v>
      </c>
      <c r="C1334">
        <v>14</v>
      </c>
      <c r="D1334" t="s">
        <v>447</v>
      </c>
      <c r="E1334" s="217">
        <v>44256</v>
      </c>
      <c r="F1334">
        <v>0</v>
      </c>
      <c r="G1334" s="227" t="s">
        <v>124</v>
      </c>
    </row>
    <row r="1335" spans="1:7">
      <c r="A1335" s="216">
        <v>44256</v>
      </c>
      <c r="B1335" t="s">
        <v>43</v>
      </c>
      <c r="C1335">
        <v>14</v>
      </c>
      <c r="D1335" t="s">
        <v>447</v>
      </c>
      <c r="E1335" s="217">
        <v>44256</v>
      </c>
      <c r="F1335">
        <v>0</v>
      </c>
      <c r="G1335" s="227" t="s">
        <v>120</v>
      </c>
    </row>
    <row r="1336" spans="1:7">
      <c r="A1336" s="216">
        <v>44256</v>
      </c>
      <c r="B1336" t="s">
        <v>43</v>
      </c>
      <c r="C1336">
        <v>14</v>
      </c>
      <c r="D1336" t="s">
        <v>447</v>
      </c>
      <c r="E1336" s="217">
        <v>44256</v>
      </c>
      <c r="F1336">
        <v>0</v>
      </c>
      <c r="G1336" s="227" t="s">
        <v>89</v>
      </c>
    </row>
    <row r="1337" spans="1:7">
      <c r="A1337" s="216">
        <v>44256</v>
      </c>
      <c r="B1337" t="s">
        <v>43</v>
      </c>
      <c r="C1337">
        <v>14</v>
      </c>
      <c r="D1337" t="s">
        <v>447</v>
      </c>
      <c r="E1337" s="217">
        <v>44256</v>
      </c>
      <c r="F1337">
        <v>0</v>
      </c>
      <c r="G1337" s="227" t="s">
        <v>97</v>
      </c>
    </row>
    <row r="1338" spans="1:7">
      <c r="A1338" s="216">
        <v>44256</v>
      </c>
      <c r="B1338" t="s">
        <v>43</v>
      </c>
      <c r="C1338">
        <v>14</v>
      </c>
      <c r="D1338" t="s">
        <v>447</v>
      </c>
      <c r="E1338" s="217">
        <v>44256</v>
      </c>
      <c r="F1338">
        <v>0</v>
      </c>
      <c r="G1338" s="227" t="s">
        <v>93</v>
      </c>
    </row>
    <row r="1339" spans="1:7">
      <c r="A1339" s="216">
        <v>44256</v>
      </c>
      <c r="B1339" t="s">
        <v>43</v>
      </c>
      <c r="C1339">
        <v>14</v>
      </c>
      <c r="D1339" t="s">
        <v>447</v>
      </c>
      <c r="E1339" s="217">
        <v>44256</v>
      </c>
      <c r="F1339">
        <v>0</v>
      </c>
      <c r="G1339" s="227" t="s">
        <v>111</v>
      </c>
    </row>
    <row r="1340" spans="1:7">
      <c r="A1340" s="216">
        <v>44256</v>
      </c>
      <c r="B1340" t="s">
        <v>43</v>
      </c>
      <c r="C1340">
        <v>14</v>
      </c>
      <c r="D1340" t="s">
        <v>447</v>
      </c>
      <c r="E1340" s="217">
        <v>44256</v>
      </c>
      <c r="F1340">
        <v>0</v>
      </c>
      <c r="G1340" s="227" t="s">
        <v>434</v>
      </c>
    </row>
    <row r="1341" spans="1:7">
      <c r="A1341" s="216">
        <v>44256</v>
      </c>
      <c r="B1341" t="s">
        <v>43</v>
      </c>
      <c r="C1341">
        <v>15</v>
      </c>
      <c r="D1341" t="s">
        <v>437</v>
      </c>
      <c r="E1341" s="217">
        <v>44256</v>
      </c>
      <c r="F1341">
        <v>8365</v>
      </c>
      <c r="G1341" s="227" t="s">
        <v>79</v>
      </c>
    </row>
    <row r="1342" spans="1:7">
      <c r="A1342" s="216">
        <v>44256</v>
      </c>
      <c r="B1342" t="s">
        <v>43</v>
      </c>
      <c r="C1342">
        <v>15</v>
      </c>
      <c r="D1342" t="s">
        <v>437</v>
      </c>
      <c r="E1342" s="217">
        <v>44256</v>
      </c>
      <c r="F1342">
        <v>8197</v>
      </c>
      <c r="G1342" s="227" t="s">
        <v>115</v>
      </c>
    </row>
    <row r="1343" spans="1:7">
      <c r="A1343" s="216">
        <v>44256</v>
      </c>
      <c r="B1343" t="s">
        <v>43</v>
      </c>
      <c r="C1343">
        <v>15</v>
      </c>
      <c r="D1343" t="s">
        <v>437</v>
      </c>
      <c r="E1343" s="217">
        <v>44256</v>
      </c>
      <c r="F1343">
        <v>9101</v>
      </c>
      <c r="G1343" s="227" t="s">
        <v>106</v>
      </c>
    </row>
    <row r="1344" spans="1:7">
      <c r="A1344" s="216">
        <v>44256</v>
      </c>
      <c r="B1344" t="s">
        <v>43</v>
      </c>
      <c r="C1344">
        <v>15</v>
      </c>
      <c r="D1344" t="s">
        <v>437</v>
      </c>
      <c r="E1344" s="217">
        <v>44256</v>
      </c>
      <c r="F1344">
        <v>8933</v>
      </c>
      <c r="G1344" s="227" t="s">
        <v>101</v>
      </c>
    </row>
    <row r="1345" spans="1:7">
      <c r="A1345" s="216">
        <v>44256</v>
      </c>
      <c r="B1345" t="s">
        <v>43</v>
      </c>
      <c r="C1345">
        <v>15</v>
      </c>
      <c r="D1345" t="s">
        <v>437</v>
      </c>
      <c r="E1345" s="217">
        <v>44256</v>
      </c>
      <c r="F1345">
        <v>9026</v>
      </c>
      <c r="G1345" s="227" t="s">
        <v>84</v>
      </c>
    </row>
    <row r="1346" spans="1:7">
      <c r="A1346" s="216">
        <v>44256</v>
      </c>
      <c r="B1346" t="s">
        <v>43</v>
      </c>
      <c r="C1346">
        <v>15</v>
      </c>
      <c r="D1346" t="s">
        <v>437</v>
      </c>
      <c r="E1346" s="217">
        <v>44256</v>
      </c>
      <c r="F1346">
        <v>9529</v>
      </c>
      <c r="G1346" s="227" t="s">
        <v>128</v>
      </c>
    </row>
    <row r="1347" spans="1:7">
      <c r="A1347" s="216">
        <v>44256</v>
      </c>
      <c r="B1347" t="s">
        <v>43</v>
      </c>
      <c r="C1347">
        <v>15</v>
      </c>
      <c r="D1347" t="s">
        <v>437</v>
      </c>
      <c r="E1347" s="217">
        <v>44256</v>
      </c>
      <c r="F1347">
        <v>9851</v>
      </c>
      <c r="G1347" s="227" t="s">
        <v>124</v>
      </c>
    </row>
    <row r="1348" spans="1:7">
      <c r="A1348" s="216">
        <v>44256</v>
      </c>
      <c r="B1348" t="s">
        <v>43</v>
      </c>
      <c r="C1348">
        <v>15</v>
      </c>
      <c r="D1348" t="s">
        <v>437</v>
      </c>
      <c r="E1348" s="217">
        <v>44256</v>
      </c>
      <c r="F1348">
        <v>9834</v>
      </c>
      <c r="G1348" s="227" t="s">
        <v>120</v>
      </c>
    </row>
    <row r="1349" spans="1:7">
      <c r="A1349" s="216">
        <v>44256</v>
      </c>
      <c r="B1349" t="s">
        <v>43</v>
      </c>
      <c r="C1349">
        <v>15</v>
      </c>
      <c r="D1349" t="s">
        <v>437</v>
      </c>
      <c r="E1349" s="217">
        <v>44256</v>
      </c>
      <c r="F1349">
        <v>8001</v>
      </c>
      <c r="G1349" s="227" t="s">
        <v>89</v>
      </c>
    </row>
    <row r="1350" spans="1:7">
      <c r="A1350" s="216">
        <v>44256</v>
      </c>
      <c r="B1350" t="s">
        <v>43</v>
      </c>
      <c r="C1350">
        <v>15</v>
      </c>
      <c r="D1350" t="s">
        <v>437</v>
      </c>
      <c r="E1350" s="217">
        <v>44256</v>
      </c>
      <c r="F1350">
        <v>11211</v>
      </c>
      <c r="G1350" s="227" t="s">
        <v>97</v>
      </c>
    </row>
    <row r="1351" spans="1:7">
      <c r="A1351" s="216">
        <v>44256</v>
      </c>
      <c r="B1351" t="s">
        <v>43</v>
      </c>
      <c r="C1351">
        <v>15</v>
      </c>
      <c r="D1351" t="s">
        <v>437</v>
      </c>
      <c r="E1351" s="217">
        <v>44256</v>
      </c>
      <c r="F1351">
        <v>10659</v>
      </c>
      <c r="G1351" s="227" t="s">
        <v>93</v>
      </c>
    </row>
    <row r="1352" spans="1:7">
      <c r="A1352" s="216">
        <v>44256</v>
      </c>
      <c r="B1352" t="s">
        <v>43</v>
      </c>
      <c r="C1352">
        <v>15</v>
      </c>
      <c r="D1352" t="s">
        <v>437</v>
      </c>
      <c r="E1352" s="217">
        <v>44256</v>
      </c>
      <c r="F1352">
        <v>10080</v>
      </c>
      <c r="G1352" s="227" t="s">
        <v>111</v>
      </c>
    </row>
    <row r="1353" spans="1:7">
      <c r="A1353" s="216">
        <v>44256</v>
      </c>
      <c r="B1353" t="s">
        <v>43</v>
      </c>
      <c r="C1353">
        <v>15</v>
      </c>
      <c r="D1353" t="s">
        <v>437</v>
      </c>
      <c r="E1353" s="217">
        <v>44256</v>
      </c>
      <c r="F1353">
        <v>112787</v>
      </c>
      <c r="G1353" s="227" t="s">
        <v>434</v>
      </c>
    </row>
    <row r="1354" spans="1:7">
      <c r="A1354" s="216">
        <v>44256</v>
      </c>
      <c r="B1354" t="s">
        <v>44</v>
      </c>
      <c r="C1354">
        <v>7</v>
      </c>
      <c r="D1354" t="s">
        <v>442</v>
      </c>
      <c r="E1354" s="217">
        <v>44256</v>
      </c>
      <c r="F1354">
        <v>114539</v>
      </c>
      <c r="G1354" s="227" t="s">
        <v>79</v>
      </c>
    </row>
    <row r="1355" spans="1:7">
      <c r="A1355" s="216">
        <v>44256</v>
      </c>
      <c r="B1355" t="s">
        <v>44</v>
      </c>
      <c r="C1355">
        <v>7</v>
      </c>
      <c r="D1355" t="s">
        <v>442</v>
      </c>
      <c r="E1355" s="217">
        <v>44256</v>
      </c>
      <c r="F1355">
        <v>117677</v>
      </c>
      <c r="G1355" s="227" t="s">
        <v>115</v>
      </c>
    </row>
    <row r="1356" spans="1:7">
      <c r="A1356" s="216">
        <v>44256</v>
      </c>
      <c r="B1356" t="s">
        <v>44</v>
      </c>
      <c r="C1356">
        <v>7</v>
      </c>
      <c r="D1356" t="s">
        <v>442</v>
      </c>
      <c r="E1356" s="217">
        <v>44256</v>
      </c>
      <c r="F1356">
        <v>125179</v>
      </c>
      <c r="G1356" s="227" t="s">
        <v>106</v>
      </c>
    </row>
    <row r="1357" spans="1:7">
      <c r="A1357" s="216">
        <v>44256</v>
      </c>
      <c r="B1357" t="s">
        <v>44</v>
      </c>
      <c r="C1357">
        <v>7</v>
      </c>
      <c r="D1357" t="s">
        <v>442</v>
      </c>
      <c r="E1357" s="217">
        <v>44256</v>
      </c>
      <c r="F1357">
        <v>118175</v>
      </c>
      <c r="G1357" s="227" t="s">
        <v>101</v>
      </c>
    </row>
    <row r="1358" spans="1:7">
      <c r="A1358" s="216">
        <v>44256</v>
      </c>
      <c r="B1358" t="s">
        <v>44</v>
      </c>
      <c r="C1358">
        <v>7</v>
      </c>
      <c r="D1358" t="s">
        <v>442</v>
      </c>
      <c r="E1358" s="217">
        <v>44256</v>
      </c>
      <c r="F1358">
        <v>154202</v>
      </c>
      <c r="G1358" s="227" t="s">
        <v>84</v>
      </c>
    </row>
    <row r="1359" spans="1:7">
      <c r="A1359" s="216">
        <v>44256</v>
      </c>
      <c r="B1359" t="s">
        <v>44</v>
      </c>
      <c r="C1359">
        <v>7</v>
      </c>
      <c r="D1359" t="s">
        <v>442</v>
      </c>
      <c r="E1359" s="217">
        <v>44256</v>
      </c>
      <c r="F1359">
        <v>151569</v>
      </c>
      <c r="G1359" s="227" t="s">
        <v>128</v>
      </c>
    </row>
    <row r="1360" spans="1:7">
      <c r="A1360" s="216">
        <v>44256</v>
      </c>
      <c r="B1360" t="s">
        <v>44</v>
      </c>
      <c r="C1360">
        <v>7</v>
      </c>
      <c r="D1360" t="s">
        <v>442</v>
      </c>
      <c r="E1360" s="217">
        <v>44256</v>
      </c>
      <c r="F1360">
        <v>132599</v>
      </c>
      <c r="G1360" s="227" t="s">
        <v>124</v>
      </c>
    </row>
    <row r="1361" spans="1:7">
      <c r="A1361" s="216">
        <v>44256</v>
      </c>
      <c r="B1361" t="s">
        <v>44</v>
      </c>
      <c r="C1361">
        <v>7</v>
      </c>
      <c r="D1361" t="s">
        <v>442</v>
      </c>
      <c r="E1361" s="217">
        <v>44256</v>
      </c>
      <c r="F1361">
        <v>127189</v>
      </c>
      <c r="G1361" s="227" t="s">
        <v>120</v>
      </c>
    </row>
    <row r="1362" spans="1:7">
      <c r="A1362" s="216">
        <v>44256</v>
      </c>
      <c r="B1362" t="s">
        <v>44</v>
      </c>
      <c r="C1362">
        <v>7</v>
      </c>
      <c r="D1362" t="s">
        <v>442</v>
      </c>
      <c r="E1362" s="217">
        <v>44256</v>
      </c>
      <c r="F1362">
        <v>135494</v>
      </c>
      <c r="G1362" s="227" t="s">
        <v>89</v>
      </c>
    </row>
    <row r="1363" spans="1:7">
      <c r="A1363" s="216">
        <v>44256</v>
      </c>
      <c r="B1363" t="s">
        <v>44</v>
      </c>
      <c r="C1363">
        <v>7</v>
      </c>
      <c r="D1363" t="s">
        <v>442</v>
      </c>
      <c r="E1363" s="217">
        <v>44256</v>
      </c>
      <c r="F1363">
        <v>139925</v>
      </c>
      <c r="G1363" s="227" t="s">
        <v>97</v>
      </c>
    </row>
    <row r="1364" spans="1:7">
      <c r="A1364" s="216">
        <v>44256</v>
      </c>
      <c r="B1364" t="s">
        <v>44</v>
      </c>
      <c r="C1364">
        <v>7</v>
      </c>
      <c r="D1364" t="s">
        <v>442</v>
      </c>
      <c r="E1364" s="217">
        <v>44256</v>
      </c>
      <c r="F1364">
        <v>128848</v>
      </c>
      <c r="G1364" s="227" t="s">
        <v>93</v>
      </c>
    </row>
    <row r="1365" spans="1:7">
      <c r="A1365" s="216">
        <v>44256</v>
      </c>
      <c r="B1365" t="s">
        <v>44</v>
      </c>
      <c r="C1365">
        <v>7</v>
      </c>
      <c r="D1365" t="s">
        <v>442</v>
      </c>
      <c r="E1365" s="217">
        <v>44256</v>
      </c>
      <c r="F1365">
        <v>229703</v>
      </c>
      <c r="G1365" s="227" t="s">
        <v>111</v>
      </c>
    </row>
    <row r="1366" spans="1:7">
      <c r="A1366" s="216">
        <v>44256</v>
      </c>
      <c r="B1366" t="s">
        <v>44</v>
      </c>
      <c r="C1366">
        <v>7</v>
      </c>
      <c r="D1366" t="s">
        <v>442</v>
      </c>
      <c r="E1366" s="217">
        <v>44256</v>
      </c>
      <c r="F1366">
        <v>1675099</v>
      </c>
      <c r="G1366" s="227" t="s">
        <v>434</v>
      </c>
    </row>
    <row r="1367" spans="1:7">
      <c r="A1367" s="216">
        <v>44256</v>
      </c>
      <c r="B1367" t="s">
        <v>44</v>
      </c>
      <c r="C1367">
        <v>8</v>
      </c>
      <c r="D1367" t="s">
        <v>451</v>
      </c>
      <c r="E1367" s="217">
        <v>44256</v>
      </c>
      <c r="F1367">
        <v>13623</v>
      </c>
      <c r="G1367" s="227" t="s">
        <v>79</v>
      </c>
    </row>
    <row r="1368" spans="1:7">
      <c r="A1368" s="216">
        <v>44256</v>
      </c>
      <c r="B1368" t="s">
        <v>44</v>
      </c>
      <c r="C1368">
        <v>8</v>
      </c>
      <c r="D1368" t="s">
        <v>451</v>
      </c>
      <c r="E1368" s="217">
        <v>44256</v>
      </c>
      <c r="F1368">
        <v>13214</v>
      </c>
      <c r="G1368" s="227" t="s">
        <v>115</v>
      </c>
    </row>
    <row r="1369" spans="1:7">
      <c r="A1369" s="216">
        <v>44256</v>
      </c>
      <c r="B1369" t="s">
        <v>44</v>
      </c>
      <c r="C1369">
        <v>8</v>
      </c>
      <c r="D1369" t="s">
        <v>451</v>
      </c>
      <c r="E1369" s="217">
        <v>44256</v>
      </c>
      <c r="F1369">
        <v>13154</v>
      </c>
      <c r="G1369" s="227" t="s">
        <v>106</v>
      </c>
    </row>
    <row r="1370" spans="1:7">
      <c r="A1370" s="216">
        <v>44256</v>
      </c>
      <c r="B1370" t="s">
        <v>44</v>
      </c>
      <c r="C1370">
        <v>8</v>
      </c>
      <c r="D1370" t="s">
        <v>451</v>
      </c>
      <c r="E1370" s="217">
        <v>44256</v>
      </c>
      <c r="F1370">
        <v>13636</v>
      </c>
      <c r="G1370" s="227" t="s">
        <v>101</v>
      </c>
    </row>
    <row r="1371" spans="1:7">
      <c r="A1371" s="216">
        <v>44256</v>
      </c>
      <c r="B1371" t="s">
        <v>44</v>
      </c>
      <c r="C1371">
        <v>8</v>
      </c>
      <c r="D1371" t="s">
        <v>451</v>
      </c>
      <c r="E1371" s="217">
        <v>44256</v>
      </c>
      <c r="F1371">
        <v>13313</v>
      </c>
      <c r="G1371" s="227" t="s">
        <v>84</v>
      </c>
    </row>
    <row r="1372" spans="1:7">
      <c r="A1372" s="216">
        <v>44256</v>
      </c>
      <c r="B1372" t="s">
        <v>44</v>
      </c>
      <c r="C1372">
        <v>8</v>
      </c>
      <c r="D1372" t="s">
        <v>451</v>
      </c>
      <c r="E1372" s="217">
        <v>44256</v>
      </c>
      <c r="F1372">
        <v>13642</v>
      </c>
      <c r="G1372" s="227" t="s">
        <v>128</v>
      </c>
    </row>
    <row r="1373" spans="1:7">
      <c r="A1373" s="216">
        <v>44256</v>
      </c>
      <c r="B1373" t="s">
        <v>44</v>
      </c>
      <c r="C1373">
        <v>8</v>
      </c>
      <c r="D1373" t="s">
        <v>451</v>
      </c>
      <c r="E1373" s="217">
        <v>44256</v>
      </c>
      <c r="F1373">
        <v>14021</v>
      </c>
      <c r="G1373" s="227" t="s">
        <v>124</v>
      </c>
    </row>
    <row r="1374" spans="1:7">
      <c r="A1374" s="216">
        <v>44256</v>
      </c>
      <c r="B1374" t="s">
        <v>44</v>
      </c>
      <c r="C1374">
        <v>8</v>
      </c>
      <c r="D1374" t="s">
        <v>451</v>
      </c>
      <c r="E1374" s="217">
        <v>44256</v>
      </c>
      <c r="F1374">
        <v>13682</v>
      </c>
      <c r="G1374" s="227" t="s">
        <v>120</v>
      </c>
    </row>
    <row r="1375" spans="1:7">
      <c r="A1375" s="216">
        <v>44256</v>
      </c>
      <c r="B1375" t="s">
        <v>44</v>
      </c>
      <c r="C1375">
        <v>8</v>
      </c>
      <c r="D1375" t="s">
        <v>451</v>
      </c>
      <c r="E1375" s="217">
        <v>44256</v>
      </c>
      <c r="F1375">
        <v>13249</v>
      </c>
      <c r="G1375" s="227" t="s">
        <v>89</v>
      </c>
    </row>
    <row r="1376" spans="1:7">
      <c r="A1376" s="216">
        <v>44256</v>
      </c>
      <c r="B1376" t="s">
        <v>44</v>
      </c>
      <c r="C1376">
        <v>8</v>
      </c>
      <c r="D1376" t="s">
        <v>451</v>
      </c>
      <c r="E1376" s="217">
        <v>44256</v>
      </c>
      <c r="F1376">
        <v>15606</v>
      </c>
      <c r="G1376" s="227" t="s">
        <v>97</v>
      </c>
    </row>
    <row r="1377" spans="1:7">
      <c r="A1377" s="216">
        <v>44256</v>
      </c>
      <c r="B1377" t="s">
        <v>44</v>
      </c>
      <c r="C1377">
        <v>8</v>
      </c>
      <c r="D1377" t="s">
        <v>451</v>
      </c>
      <c r="E1377" s="217">
        <v>44256</v>
      </c>
      <c r="F1377">
        <v>11941</v>
      </c>
      <c r="G1377" s="227" t="s">
        <v>93</v>
      </c>
    </row>
    <row r="1378" spans="1:7">
      <c r="A1378" s="216">
        <v>44256</v>
      </c>
      <c r="B1378" t="s">
        <v>44</v>
      </c>
      <c r="C1378">
        <v>8</v>
      </c>
      <c r="D1378" t="s">
        <v>451</v>
      </c>
      <c r="E1378" s="217">
        <v>44256</v>
      </c>
      <c r="F1378">
        <v>14100</v>
      </c>
      <c r="G1378" s="227" t="s">
        <v>111</v>
      </c>
    </row>
    <row r="1379" spans="1:7">
      <c r="A1379" s="216">
        <v>44256</v>
      </c>
      <c r="B1379" t="s">
        <v>44</v>
      </c>
      <c r="C1379">
        <v>8</v>
      </c>
      <c r="D1379" t="s">
        <v>451</v>
      </c>
      <c r="E1379" s="217">
        <v>44256</v>
      </c>
      <c r="F1379">
        <v>163181</v>
      </c>
      <c r="G1379" s="227" t="s">
        <v>434</v>
      </c>
    </row>
    <row r="1380" spans="1:7">
      <c r="A1380" s="216">
        <v>44256</v>
      </c>
      <c r="B1380" t="s">
        <v>44</v>
      </c>
      <c r="C1380">
        <v>9</v>
      </c>
      <c r="D1380" t="s">
        <v>450</v>
      </c>
      <c r="E1380" s="217">
        <v>44256</v>
      </c>
      <c r="F1380">
        <v>6287</v>
      </c>
      <c r="G1380" s="227" t="s">
        <v>79</v>
      </c>
    </row>
    <row r="1381" spans="1:7">
      <c r="A1381" s="216">
        <v>44256</v>
      </c>
      <c r="B1381" t="s">
        <v>44</v>
      </c>
      <c r="C1381">
        <v>9</v>
      </c>
      <c r="D1381" t="s">
        <v>450</v>
      </c>
      <c r="E1381" s="217">
        <v>44256</v>
      </c>
      <c r="F1381">
        <v>6715</v>
      </c>
      <c r="G1381" s="227" t="s">
        <v>115</v>
      </c>
    </row>
    <row r="1382" spans="1:7">
      <c r="A1382" s="216">
        <v>44256</v>
      </c>
      <c r="B1382" t="s">
        <v>44</v>
      </c>
      <c r="C1382">
        <v>9</v>
      </c>
      <c r="D1382" t="s">
        <v>450</v>
      </c>
      <c r="E1382" s="217">
        <v>44256</v>
      </c>
      <c r="F1382">
        <v>7264</v>
      </c>
      <c r="G1382" s="227" t="s">
        <v>106</v>
      </c>
    </row>
    <row r="1383" spans="1:7">
      <c r="A1383" s="216">
        <v>44256</v>
      </c>
      <c r="B1383" t="s">
        <v>44</v>
      </c>
      <c r="C1383">
        <v>9</v>
      </c>
      <c r="D1383" t="s">
        <v>450</v>
      </c>
      <c r="E1383" s="217">
        <v>44256</v>
      </c>
      <c r="F1383">
        <v>6433</v>
      </c>
      <c r="G1383" s="227" t="s">
        <v>101</v>
      </c>
    </row>
    <row r="1384" spans="1:7">
      <c r="A1384" s="216">
        <v>44256</v>
      </c>
      <c r="B1384" t="s">
        <v>44</v>
      </c>
      <c r="C1384">
        <v>9</v>
      </c>
      <c r="D1384" t="s">
        <v>450</v>
      </c>
      <c r="E1384" s="217">
        <v>44256</v>
      </c>
      <c r="F1384">
        <v>6865</v>
      </c>
      <c r="G1384" s="227" t="s">
        <v>84</v>
      </c>
    </row>
    <row r="1385" spans="1:7">
      <c r="A1385" s="216">
        <v>44256</v>
      </c>
      <c r="B1385" t="s">
        <v>44</v>
      </c>
      <c r="C1385">
        <v>9</v>
      </c>
      <c r="D1385" t="s">
        <v>450</v>
      </c>
      <c r="E1385" s="217">
        <v>44256</v>
      </c>
      <c r="F1385">
        <v>6382</v>
      </c>
      <c r="G1385" s="227" t="s">
        <v>128</v>
      </c>
    </row>
    <row r="1386" spans="1:7">
      <c r="A1386" s="216">
        <v>44256</v>
      </c>
      <c r="B1386" t="s">
        <v>44</v>
      </c>
      <c r="C1386">
        <v>9</v>
      </c>
      <c r="D1386" t="s">
        <v>450</v>
      </c>
      <c r="E1386" s="217">
        <v>44256</v>
      </c>
      <c r="F1386">
        <v>6971</v>
      </c>
      <c r="G1386" s="227" t="s">
        <v>124</v>
      </c>
    </row>
    <row r="1387" spans="1:7">
      <c r="A1387" s="216">
        <v>44256</v>
      </c>
      <c r="B1387" t="s">
        <v>44</v>
      </c>
      <c r="C1387">
        <v>9</v>
      </c>
      <c r="D1387" t="s">
        <v>450</v>
      </c>
      <c r="E1387" s="217">
        <v>44256</v>
      </c>
      <c r="F1387">
        <v>6471</v>
      </c>
      <c r="G1387" s="227" t="s">
        <v>120</v>
      </c>
    </row>
    <row r="1388" spans="1:7">
      <c r="A1388" s="216">
        <v>44256</v>
      </c>
      <c r="B1388" t="s">
        <v>44</v>
      </c>
      <c r="C1388">
        <v>9</v>
      </c>
      <c r="D1388" t="s">
        <v>450</v>
      </c>
      <c r="E1388" s="217">
        <v>44256</v>
      </c>
      <c r="F1388">
        <v>7180</v>
      </c>
      <c r="G1388" s="227" t="s">
        <v>89</v>
      </c>
    </row>
    <row r="1389" spans="1:7">
      <c r="A1389" s="216">
        <v>44256</v>
      </c>
      <c r="B1389" t="s">
        <v>44</v>
      </c>
      <c r="C1389">
        <v>9</v>
      </c>
      <c r="D1389" t="s">
        <v>450</v>
      </c>
      <c r="E1389" s="217">
        <v>44256</v>
      </c>
      <c r="F1389">
        <v>7001</v>
      </c>
      <c r="G1389" s="227" t="s">
        <v>97</v>
      </c>
    </row>
    <row r="1390" spans="1:7">
      <c r="A1390" s="216">
        <v>44256</v>
      </c>
      <c r="B1390" t="s">
        <v>44</v>
      </c>
      <c r="C1390">
        <v>9</v>
      </c>
      <c r="D1390" t="s">
        <v>450</v>
      </c>
      <c r="E1390" s="217">
        <v>44256</v>
      </c>
      <c r="F1390">
        <v>6169</v>
      </c>
      <c r="G1390" s="227" t="s">
        <v>93</v>
      </c>
    </row>
    <row r="1391" spans="1:7">
      <c r="A1391" s="216">
        <v>44256</v>
      </c>
      <c r="B1391" t="s">
        <v>44</v>
      </c>
      <c r="C1391">
        <v>9</v>
      </c>
      <c r="D1391" t="s">
        <v>450</v>
      </c>
      <c r="E1391" s="217">
        <v>44256</v>
      </c>
      <c r="F1391">
        <v>7301</v>
      </c>
      <c r="G1391" s="227" t="s">
        <v>111</v>
      </c>
    </row>
    <row r="1392" spans="1:7">
      <c r="A1392" s="216">
        <v>44256</v>
      </c>
      <c r="B1392" t="s">
        <v>44</v>
      </c>
      <c r="C1392">
        <v>9</v>
      </c>
      <c r="D1392" t="s">
        <v>450</v>
      </c>
      <c r="E1392" s="217">
        <v>44256</v>
      </c>
      <c r="F1392">
        <v>81039</v>
      </c>
      <c r="G1392" s="227" t="s">
        <v>434</v>
      </c>
    </row>
    <row r="1393" spans="1:7">
      <c r="A1393" s="216">
        <v>44256</v>
      </c>
      <c r="B1393" t="s">
        <v>44</v>
      </c>
      <c r="C1393">
        <v>10</v>
      </c>
      <c r="D1393" t="s">
        <v>433</v>
      </c>
      <c r="E1393" s="217">
        <v>44256</v>
      </c>
      <c r="F1393">
        <v>54468</v>
      </c>
      <c r="G1393" s="227" t="s">
        <v>79</v>
      </c>
    </row>
    <row r="1394" spans="1:7">
      <c r="A1394" s="216">
        <v>44256</v>
      </c>
      <c r="B1394" t="s">
        <v>44</v>
      </c>
      <c r="C1394">
        <v>10</v>
      </c>
      <c r="D1394" t="s">
        <v>433</v>
      </c>
      <c r="E1394" s="217">
        <v>44256</v>
      </c>
      <c r="F1394">
        <v>57428</v>
      </c>
      <c r="G1394" s="227" t="s">
        <v>115</v>
      </c>
    </row>
    <row r="1395" spans="1:7">
      <c r="A1395" s="216">
        <v>44256</v>
      </c>
      <c r="B1395" t="s">
        <v>44</v>
      </c>
      <c r="C1395">
        <v>10</v>
      </c>
      <c r="D1395" t="s">
        <v>433</v>
      </c>
      <c r="E1395" s="217">
        <v>44256</v>
      </c>
      <c r="F1395">
        <v>56741</v>
      </c>
      <c r="G1395" s="227" t="s">
        <v>106</v>
      </c>
    </row>
    <row r="1396" spans="1:7">
      <c r="A1396" s="216">
        <v>44256</v>
      </c>
      <c r="B1396" t="s">
        <v>44</v>
      </c>
      <c r="C1396">
        <v>10</v>
      </c>
      <c r="D1396" t="s">
        <v>433</v>
      </c>
      <c r="E1396" s="217">
        <v>44256</v>
      </c>
      <c r="F1396">
        <v>56234</v>
      </c>
      <c r="G1396" s="227" t="s">
        <v>101</v>
      </c>
    </row>
    <row r="1397" spans="1:7">
      <c r="A1397" s="216">
        <v>44256</v>
      </c>
      <c r="B1397" t="s">
        <v>44</v>
      </c>
      <c r="C1397">
        <v>10</v>
      </c>
      <c r="D1397" t="s">
        <v>433</v>
      </c>
      <c r="E1397" s="217">
        <v>44256</v>
      </c>
      <c r="F1397">
        <v>55431</v>
      </c>
      <c r="G1397" s="227" t="s">
        <v>84</v>
      </c>
    </row>
    <row r="1398" spans="1:7">
      <c r="A1398" s="216">
        <v>44256</v>
      </c>
      <c r="B1398" t="s">
        <v>44</v>
      </c>
      <c r="C1398">
        <v>10</v>
      </c>
      <c r="D1398" t="s">
        <v>433</v>
      </c>
      <c r="E1398" s="217">
        <v>44256</v>
      </c>
      <c r="F1398">
        <v>55177</v>
      </c>
      <c r="G1398" s="227" t="s">
        <v>128</v>
      </c>
    </row>
    <row r="1399" spans="1:7">
      <c r="A1399" s="216">
        <v>44256</v>
      </c>
      <c r="B1399" t="s">
        <v>44</v>
      </c>
      <c r="C1399">
        <v>10</v>
      </c>
      <c r="D1399" t="s">
        <v>433</v>
      </c>
      <c r="E1399" s="217">
        <v>44256</v>
      </c>
      <c r="F1399">
        <v>58708</v>
      </c>
      <c r="G1399" s="227" t="s">
        <v>124</v>
      </c>
    </row>
    <row r="1400" spans="1:7">
      <c r="A1400" s="216">
        <v>44256</v>
      </c>
      <c r="B1400" t="s">
        <v>44</v>
      </c>
      <c r="C1400">
        <v>10</v>
      </c>
      <c r="D1400" t="s">
        <v>433</v>
      </c>
      <c r="E1400" s="217">
        <v>44256</v>
      </c>
      <c r="F1400">
        <v>56643</v>
      </c>
      <c r="G1400" s="227" t="s">
        <v>120</v>
      </c>
    </row>
    <row r="1401" spans="1:7">
      <c r="A1401" s="216">
        <v>44256</v>
      </c>
      <c r="B1401" t="s">
        <v>44</v>
      </c>
      <c r="C1401">
        <v>10</v>
      </c>
      <c r="D1401" t="s">
        <v>433</v>
      </c>
      <c r="E1401" s="217">
        <v>44256</v>
      </c>
      <c r="F1401">
        <v>57989</v>
      </c>
      <c r="G1401" s="227" t="s">
        <v>89</v>
      </c>
    </row>
    <row r="1402" spans="1:7">
      <c r="A1402" s="216">
        <v>44256</v>
      </c>
      <c r="B1402" t="s">
        <v>44</v>
      </c>
      <c r="C1402">
        <v>10</v>
      </c>
      <c r="D1402" t="s">
        <v>433</v>
      </c>
      <c r="E1402" s="217">
        <v>44256</v>
      </c>
      <c r="F1402">
        <v>59573</v>
      </c>
      <c r="G1402" s="227" t="s">
        <v>97</v>
      </c>
    </row>
    <row r="1403" spans="1:7">
      <c r="A1403" s="216">
        <v>44256</v>
      </c>
      <c r="B1403" t="s">
        <v>44</v>
      </c>
      <c r="C1403">
        <v>10</v>
      </c>
      <c r="D1403" t="s">
        <v>433</v>
      </c>
      <c r="E1403" s="217">
        <v>44256</v>
      </c>
      <c r="F1403">
        <v>57848</v>
      </c>
      <c r="G1403" s="227" t="s">
        <v>93</v>
      </c>
    </row>
    <row r="1404" spans="1:7">
      <c r="A1404" s="216">
        <v>44256</v>
      </c>
      <c r="B1404" t="s">
        <v>44</v>
      </c>
      <c r="C1404">
        <v>10</v>
      </c>
      <c r="D1404" t="s">
        <v>433</v>
      </c>
      <c r="E1404" s="217">
        <v>44256</v>
      </c>
      <c r="F1404">
        <v>118235</v>
      </c>
      <c r="G1404" s="227" t="s">
        <v>111</v>
      </c>
    </row>
    <row r="1405" spans="1:7">
      <c r="A1405" s="216">
        <v>44256</v>
      </c>
      <c r="B1405" t="s">
        <v>44</v>
      </c>
      <c r="C1405">
        <v>10</v>
      </c>
      <c r="D1405" t="s">
        <v>433</v>
      </c>
      <c r="E1405" s="217">
        <v>44256</v>
      </c>
      <c r="F1405">
        <v>744475</v>
      </c>
      <c r="G1405" s="227" t="s">
        <v>434</v>
      </c>
    </row>
    <row r="1406" spans="1:7">
      <c r="A1406" s="216">
        <v>44256</v>
      </c>
      <c r="B1406" t="s">
        <v>44</v>
      </c>
      <c r="C1406">
        <v>11</v>
      </c>
      <c r="D1406" t="s">
        <v>445</v>
      </c>
      <c r="E1406" s="217">
        <v>44256</v>
      </c>
      <c r="F1406">
        <v>46536</v>
      </c>
      <c r="G1406" s="227" t="s">
        <v>79</v>
      </c>
    </row>
    <row r="1407" spans="1:7">
      <c r="A1407" s="216">
        <v>44256</v>
      </c>
      <c r="B1407" t="s">
        <v>44</v>
      </c>
      <c r="C1407">
        <v>11</v>
      </c>
      <c r="D1407" t="s">
        <v>445</v>
      </c>
      <c r="E1407" s="217">
        <v>44256</v>
      </c>
      <c r="F1407">
        <v>20940</v>
      </c>
      <c r="G1407" s="227" t="s">
        <v>115</v>
      </c>
    </row>
    <row r="1408" spans="1:7">
      <c r="A1408" s="216">
        <v>44256</v>
      </c>
      <c r="B1408" t="s">
        <v>44</v>
      </c>
      <c r="C1408">
        <v>11</v>
      </c>
      <c r="D1408" t="s">
        <v>445</v>
      </c>
      <c r="E1408" s="217">
        <v>44256</v>
      </c>
      <c r="F1408">
        <v>12221</v>
      </c>
      <c r="G1408" s="227" t="s">
        <v>106</v>
      </c>
    </row>
    <row r="1409" spans="1:7">
      <c r="A1409" s="216">
        <v>44256</v>
      </c>
      <c r="B1409" t="s">
        <v>44</v>
      </c>
      <c r="C1409">
        <v>11</v>
      </c>
      <c r="D1409" t="s">
        <v>445</v>
      </c>
      <c r="E1409" s="217">
        <v>44256</v>
      </c>
      <c r="F1409">
        <v>16176</v>
      </c>
      <c r="G1409" s="227" t="s">
        <v>101</v>
      </c>
    </row>
    <row r="1410" spans="1:7">
      <c r="A1410" s="216">
        <v>44256</v>
      </c>
      <c r="B1410" t="s">
        <v>44</v>
      </c>
      <c r="C1410">
        <v>11</v>
      </c>
      <c r="D1410" t="s">
        <v>445</v>
      </c>
      <c r="E1410" s="217">
        <v>44256</v>
      </c>
      <c r="F1410">
        <v>19591</v>
      </c>
      <c r="G1410" s="227" t="s">
        <v>84</v>
      </c>
    </row>
    <row r="1411" spans="1:7">
      <c r="A1411" s="216">
        <v>44256</v>
      </c>
      <c r="B1411" t="s">
        <v>44</v>
      </c>
      <c r="C1411">
        <v>11</v>
      </c>
      <c r="D1411" t="s">
        <v>445</v>
      </c>
      <c r="E1411" s="217">
        <v>44256</v>
      </c>
      <c r="F1411">
        <v>15587.172</v>
      </c>
      <c r="G1411" s="227" t="s">
        <v>128</v>
      </c>
    </row>
    <row r="1412" spans="1:7">
      <c r="A1412" s="216">
        <v>44256</v>
      </c>
      <c r="B1412" t="s">
        <v>44</v>
      </c>
      <c r="C1412">
        <v>11</v>
      </c>
      <c r="D1412" t="s">
        <v>445</v>
      </c>
      <c r="E1412" s="217">
        <v>44256</v>
      </c>
      <c r="F1412">
        <v>19623</v>
      </c>
      <c r="G1412" s="227" t="s">
        <v>124</v>
      </c>
    </row>
    <row r="1413" spans="1:7">
      <c r="A1413" s="216">
        <v>44256</v>
      </c>
      <c r="B1413" t="s">
        <v>44</v>
      </c>
      <c r="C1413">
        <v>11</v>
      </c>
      <c r="D1413" t="s">
        <v>445</v>
      </c>
      <c r="E1413" s="217">
        <v>44256</v>
      </c>
      <c r="F1413">
        <v>19933</v>
      </c>
      <c r="G1413" s="227" t="s">
        <v>120</v>
      </c>
    </row>
    <row r="1414" spans="1:7">
      <c r="A1414" s="216">
        <v>44256</v>
      </c>
      <c r="B1414" t="s">
        <v>44</v>
      </c>
      <c r="C1414">
        <v>11</v>
      </c>
      <c r="D1414" t="s">
        <v>445</v>
      </c>
      <c r="E1414" s="217">
        <v>44256</v>
      </c>
      <c r="F1414">
        <v>21253</v>
      </c>
      <c r="G1414" s="227" t="s">
        <v>89</v>
      </c>
    </row>
    <row r="1415" spans="1:7">
      <c r="A1415" s="216">
        <v>44256</v>
      </c>
      <c r="B1415" t="s">
        <v>44</v>
      </c>
      <c r="C1415">
        <v>11</v>
      </c>
      <c r="D1415" t="s">
        <v>445</v>
      </c>
      <c r="E1415" s="217">
        <v>44256</v>
      </c>
      <c r="F1415">
        <v>19200</v>
      </c>
      <c r="G1415" s="227" t="s">
        <v>97</v>
      </c>
    </row>
    <row r="1416" spans="1:7">
      <c r="A1416" s="216">
        <v>44256</v>
      </c>
      <c r="B1416" t="s">
        <v>44</v>
      </c>
      <c r="C1416">
        <v>11</v>
      </c>
      <c r="D1416" t="s">
        <v>445</v>
      </c>
      <c r="E1416" s="217">
        <v>44256</v>
      </c>
      <c r="F1416">
        <v>17362</v>
      </c>
      <c r="G1416" s="227" t="s">
        <v>93</v>
      </c>
    </row>
    <row r="1417" spans="1:7">
      <c r="A1417" s="216">
        <v>44256</v>
      </c>
      <c r="B1417" t="s">
        <v>44</v>
      </c>
      <c r="C1417">
        <v>11</v>
      </c>
      <c r="D1417" t="s">
        <v>445</v>
      </c>
      <c r="E1417" s="217">
        <v>44256</v>
      </c>
      <c r="F1417">
        <v>38731</v>
      </c>
      <c r="G1417" s="227" t="s">
        <v>111</v>
      </c>
    </row>
    <row r="1418" spans="1:7">
      <c r="A1418" s="216">
        <v>44256</v>
      </c>
      <c r="B1418" t="s">
        <v>44</v>
      </c>
      <c r="C1418">
        <v>11</v>
      </c>
      <c r="D1418" t="s">
        <v>445</v>
      </c>
      <c r="E1418" s="217">
        <v>44256</v>
      </c>
      <c r="F1418">
        <v>267153.17200000002</v>
      </c>
      <c r="G1418" s="227" t="s">
        <v>434</v>
      </c>
    </row>
    <row r="1419" spans="1:7">
      <c r="A1419" s="216">
        <v>44256</v>
      </c>
      <c r="B1419" t="s">
        <v>44</v>
      </c>
      <c r="C1419">
        <v>12</v>
      </c>
      <c r="D1419" t="s">
        <v>454</v>
      </c>
      <c r="E1419" s="217">
        <v>44256</v>
      </c>
      <c r="F1419">
        <v>6611</v>
      </c>
      <c r="G1419" s="227" t="s">
        <v>79</v>
      </c>
    </row>
    <row r="1420" spans="1:7">
      <c r="A1420" s="216">
        <v>44256</v>
      </c>
      <c r="B1420" t="s">
        <v>44</v>
      </c>
      <c r="C1420">
        <v>12</v>
      </c>
      <c r="D1420" t="s">
        <v>454</v>
      </c>
      <c r="E1420" s="217">
        <v>44256</v>
      </c>
      <c r="F1420">
        <v>6055</v>
      </c>
      <c r="G1420" s="227" t="s">
        <v>115</v>
      </c>
    </row>
    <row r="1421" spans="1:7">
      <c r="A1421" s="216">
        <v>44256</v>
      </c>
      <c r="B1421" t="s">
        <v>44</v>
      </c>
      <c r="C1421">
        <v>12</v>
      </c>
      <c r="D1421" t="s">
        <v>454</v>
      </c>
      <c r="E1421" s="217">
        <v>44256</v>
      </c>
      <c r="F1421">
        <v>6139</v>
      </c>
      <c r="G1421" s="227" t="s">
        <v>106</v>
      </c>
    </row>
    <row r="1422" spans="1:7">
      <c r="A1422" s="216">
        <v>44256</v>
      </c>
      <c r="B1422" t="s">
        <v>44</v>
      </c>
      <c r="C1422">
        <v>12</v>
      </c>
      <c r="D1422" t="s">
        <v>454</v>
      </c>
      <c r="E1422" s="217">
        <v>44256</v>
      </c>
      <c r="F1422">
        <v>7015</v>
      </c>
      <c r="G1422" s="227" t="s">
        <v>101</v>
      </c>
    </row>
    <row r="1423" spans="1:7">
      <c r="A1423" s="216">
        <v>44256</v>
      </c>
      <c r="B1423" t="s">
        <v>44</v>
      </c>
      <c r="C1423">
        <v>12</v>
      </c>
      <c r="D1423" t="s">
        <v>454</v>
      </c>
      <c r="E1423" s="217">
        <v>44256</v>
      </c>
      <c r="F1423">
        <v>8795</v>
      </c>
      <c r="G1423" s="227" t="s">
        <v>84</v>
      </c>
    </row>
    <row r="1424" spans="1:7">
      <c r="A1424" s="216">
        <v>44256</v>
      </c>
      <c r="B1424" t="s">
        <v>44</v>
      </c>
      <c r="C1424">
        <v>12</v>
      </c>
      <c r="D1424" t="s">
        <v>454</v>
      </c>
      <c r="E1424" s="217">
        <v>44256</v>
      </c>
      <c r="F1424">
        <v>7612.8280000000004</v>
      </c>
      <c r="G1424" s="227" t="s">
        <v>128</v>
      </c>
    </row>
    <row r="1425" spans="1:7">
      <c r="A1425" s="216">
        <v>44256</v>
      </c>
      <c r="B1425" t="s">
        <v>44</v>
      </c>
      <c r="C1425">
        <v>12</v>
      </c>
      <c r="D1425" t="s">
        <v>454</v>
      </c>
      <c r="E1425" s="217">
        <v>44256</v>
      </c>
      <c r="F1425">
        <v>7264</v>
      </c>
      <c r="G1425" s="227" t="s">
        <v>124</v>
      </c>
    </row>
    <row r="1426" spans="1:7">
      <c r="A1426" s="216">
        <v>44256</v>
      </c>
      <c r="B1426" t="s">
        <v>44</v>
      </c>
      <c r="C1426">
        <v>12</v>
      </c>
      <c r="D1426" t="s">
        <v>454</v>
      </c>
      <c r="E1426" s="217">
        <v>44256</v>
      </c>
      <c r="F1426">
        <v>7558</v>
      </c>
      <c r="G1426" s="227" t="s">
        <v>120</v>
      </c>
    </row>
    <row r="1427" spans="1:7">
      <c r="A1427" s="216">
        <v>44256</v>
      </c>
      <c r="B1427" t="s">
        <v>44</v>
      </c>
      <c r="C1427">
        <v>12</v>
      </c>
      <c r="D1427" t="s">
        <v>454</v>
      </c>
      <c r="E1427" s="217">
        <v>44256</v>
      </c>
      <c r="F1427">
        <v>7069</v>
      </c>
      <c r="G1427" s="227" t="s">
        <v>89</v>
      </c>
    </row>
    <row r="1428" spans="1:7">
      <c r="A1428" s="216">
        <v>44256</v>
      </c>
      <c r="B1428" t="s">
        <v>44</v>
      </c>
      <c r="C1428">
        <v>12</v>
      </c>
      <c r="D1428" t="s">
        <v>454</v>
      </c>
      <c r="E1428" s="217">
        <v>44256</v>
      </c>
      <c r="F1428">
        <v>11232</v>
      </c>
      <c r="G1428" s="227" t="s">
        <v>97</v>
      </c>
    </row>
    <row r="1429" spans="1:7">
      <c r="A1429" s="216">
        <v>44256</v>
      </c>
      <c r="B1429" t="s">
        <v>44</v>
      </c>
      <c r="C1429">
        <v>12</v>
      </c>
      <c r="D1429" t="s">
        <v>454</v>
      </c>
      <c r="E1429" s="217">
        <v>44256</v>
      </c>
      <c r="F1429">
        <v>8811</v>
      </c>
      <c r="G1429" s="227" t="s">
        <v>93</v>
      </c>
    </row>
    <row r="1430" spans="1:7">
      <c r="A1430" s="216">
        <v>44256</v>
      </c>
      <c r="B1430" t="s">
        <v>44</v>
      </c>
      <c r="C1430">
        <v>12</v>
      </c>
      <c r="D1430" t="s">
        <v>454</v>
      </c>
      <c r="E1430" s="217">
        <v>44256</v>
      </c>
      <c r="F1430">
        <v>10109</v>
      </c>
      <c r="G1430" s="227" t="s">
        <v>111</v>
      </c>
    </row>
    <row r="1431" spans="1:7">
      <c r="A1431" s="216">
        <v>44256</v>
      </c>
      <c r="B1431" t="s">
        <v>44</v>
      </c>
      <c r="C1431">
        <v>12</v>
      </c>
      <c r="D1431" t="s">
        <v>454</v>
      </c>
      <c r="E1431" s="217">
        <v>44256</v>
      </c>
      <c r="F1431">
        <v>94270.827999999994</v>
      </c>
      <c r="G1431" s="227" t="s">
        <v>434</v>
      </c>
    </row>
    <row r="1432" spans="1:7">
      <c r="A1432" s="216">
        <v>44256</v>
      </c>
      <c r="B1432" t="s">
        <v>44</v>
      </c>
      <c r="C1432">
        <v>13</v>
      </c>
      <c r="D1432" t="s">
        <v>441</v>
      </c>
      <c r="E1432" s="217">
        <v>44256</v>
      </c>
      <c r="F1432">
        <v>14392</v>
      </c>
      <c r="G1432" s="227" t="s">
        <v>79</v>
      </c>
    </row>
    <row r="1433" spans="1:7">
      <c r="A1433" s="216">
        <v>44256</v>
      </c>
      <c r="B1433" t="s">
        <v>44</v>
      </c>
      <c r="C1433">
        <v>13</v>
      </c>
      <c r="D1433" t="s">
        <v>441</v>
      </c>
      <c r="E1433" s="217">
        <v>44256</v>
      </c>
      <c r="F1433">
        <v>14506</v>
      </c>
      <c r="G1433" s="227" t="s">
        <v>115</v>
      </c>
    </row>
    <row r="1434" spans="1:7">
      <c r="A1434" s="216">
        <v>44256</v>
      </c>
      <c r="B1434" t="s">
        <v>44</v>
      </c>
      <c r="C1434">
        <v>13</v>
      </c>
      <c r="D1434" t="s">
        <v>441</v>
      </c>
      <c r="E1434" s="217">
        <v>44256</v>
      </c>
      <c r="F1434">
        <v>13926</v>
      </c>
      <c r="G1434" s="227" t="s">
        <v>106</v>
      </c>
    </row>
    <row r="1435" spans="1:7">
      <c r="A1435" s="216">
        <v>44256</v>
      </c>
      <c r="B1435" t="s">
        <v>44</v>
      </c>
      <c r="C1435">
        <v>13</v>
      </c>
      <c r="D1435" t="s">
        <v>441</v>
      </c>
      <c r="E1435" s="217">
        <v>44256</v>
      </c>
      <c r="F1435">
        <v>14728</v>
      </c>
      <c r="G1435" s="227" t="s">
        <v>101</v>
      </c>
    </row>
    <row r="1436" spans="1:7">
      <c r="A1436" s="216">
        <v>44256</v>
      </c>
      <c r="B1436" t="s">
        <v>44</v>
      </c>
      <c r="C1436">
        <v>13</v>
      </c>
      <c r="D1436" t="s">
        <v>441</v>
      </c>
      <c r="E1436" s="217">
        <v>44256</v>
      </c>
      <c r="F1436">
        <v>14311</v>
      </c>
      <c r="G1436" s="227" t="s">
        <v>84</v>
      </c>
    </row>
    <row r="1437" spans="1:7">
      <c r="A1437" s="216">
        <v>44256</v>
      </c>
      <c r="B1437" t="s">
        <v>44</v>
      </c>
      <c r="C1437">
        <v>13</v>
      </c>
      <c r="D1437" t="s">
        <v>441</v>
      </c>
      <c r="E1437" s="217">
        <v>44256</v>
      </c>
      <c r="F1437">
        <v>15743</v>
      </c>
      <c r="G1437" s="227" t="s">
        <v>128</v>
      </c>
    </row>
    <row r="1438" spans="1:7">
      <c r="A1438" s="216">
        <v>44256</v>
      </c>
      <c r="B1438" t="s">
        <v>44</v>
      </c>
      <c r="C1438">
        <v>13</v>
      </c>
      <c r="D1438" t="s">
        <v>441</v>
      </c>
      <c r="E1438" s="217">
        <v>44256</v>
      </c>
      <c r="F1438">
        <v>14617</v>
      </c>
      <c r="G1438" s="227" t="s">
        <v>124</v>
      </c>
    </row>
    <row r="1439" spans="1:7">
      <c r="A1439" s="216">
        <v>44256</v>
      </c>
      <c r="B1439" t="s">
        <v>44</v>
      </c>
      <c r="C1439">
        <v>13</v>
      </c>
      <c r="D1439" t="s">
        <v>441</v>
      </c>
      <c r="E1439" s="217">
        <v>44256</v>
      </c>
      <c r="F1439">
        <v>14602</v>
      </c>
      <c r="G1439" s="227" t="s">
        <v>120</v>
      </c>
    </row>
    <row r="1440" spans="1:7">
      <c r="A1440" s="216">
        <v>44256</v>
      </c>
      <c r="B1440" t="s">
        <v>44</v>
      </c>
      <c r="C1440">
        <v>13</v>
      </c>
      <c r="D1440" t="s">
        <v>441</v>
      </c>
      <c r="E1440" s="217">
        <v>44256</v>
      </c>
      <c r="F1440">
        <v>15312</v>
      </c>
      <c r="G1440" s="227" t="s">
        <v>89</v>
      </c>
    </row>
    <row r="1441" spans="1:7">
      <c r="A1441" s="216">
        <v>44256</v>
      </c>
      <c r="B1441" t="s">
        <v>44</v>
      </c>
      <c r="C1441">
        <v>13</v>
      </c>
      <c r="D1441" t="s">
        <v>441</v>
      </c>
      <c r="E1441" s="217">
        <v>44256</v>
      </c>
      <c r="F1441">
        <v>14701</v>
      </c>
      <c r="G1441" s="227" t="s">
        <v>97</v>
      </c>
    </row>
    <row r="1442" spans="1:7">
      <c r="A1442" s="216">
        <v>44256</v>
      </c>
      <c r="B1442" t="s">
        <v>44</v>
      </c>
      <c r="C1442">
        <v>13</v>
      </c>
      <c r="D1442" t="s">
        <v>441</v>
      </c>
      <c r="E1442" s="217">
        <v>44256</v>
      </c>
      <c r="F1442">
        <v>13977</v>
      </c>
      <c r="G1442" s="227" t="s">
        <v>93</v>
      </c>
    </row>
    <row r="1443" spans="1:7">
      <c r="A1443" s="216">
        <v>44256</v>
      </c>
      <c r="B1443" t="s">
        <v>44</v>
      </c>
      <c r="C1443">
        <v>13</v>
      </c>
      <c r="D1443" t="s">
        <v>441</v>
      </c>
      <c r="E1443" s="217">
        <v>44256</v>
      </c>
      <c r="F1443">
        <v>17816</v>
      </c>
      <c r="G1443" s="227" t="s">
        <v>111</v>
      </c>
    </row>
    <row r="1444" spans="1:7">
      <c r="A1444" s="216">
        <v>44256</v>
      </c>
      <c r="B1444" t="s">
        <v>44</v>
      </c>
      <c r="C1444">
        <v>13</v>
      </c>
      <c r="D1444" t="s">
        <v>441</v>
      </c>
      <c r="E1444" s="217">
        <v>44256</v>
      </c>
      <c r="F1444">
        <v>178631</v>
      </c>
      <c r="G1444" s="227" t="s">
        <v>434</v>
      </c>
    </row>
    <row r="1445" spans="1:7">
      <c r="A1445" s="216">
        <v>44256</v>
      </c>
      <c r="B1445" t="s">
        <v>44</v>
      </c>
      <c r="C1445">
        <v>14</v>
      </c>
      <c r="D1445" t="s">
        <v>447</v>
      </c>
      <c r="E1445" s="217">
        <v>44256</v>
      </c>
      <c r="F1445">
        <v>870</v>
      </c>
      <c r="G1445" s="227" t="s">
        <v>79</v>
      </c>
    </row>
    <row r="1446" spans="1:7">
      <c r="A1446" s="216">
        <v>44256</v>
      </c>
      <c r="B1446" t="s">
        <v>44</v>
      </c>
      <c r="C1446">
        <v>14</v>
      </c>
      <c r="D1446" t="s">
        <v>447</v>
      </c>
      <c r="E1446" s="217">
        <v>44256</v>
      </c>
      <c r="F1446">
        <v>975</v>
      </c>
      <c r="G1446" s="227" t="s">
        <v>115</v>
      </c>
    </row>
    <row r="1447" spans="1:7">
      <c r="A1447" s="216">
        <v>44256</v>
      </c>
      <c r="B1447" t="s">
        <v>44</v>
      </c>
      <c r="C1447">
        <v>14</v>
      </c>
      <c r="D1447" t="s">
        <v>447</v>
      </c>
      <c r="E1447" s="217">
        <v>44256</v>
      </c>
      <c r="F1447">
        <v>914</v>
      </c>
      <c r="G1447" s="227" t="s">
        <v>106</v>
      </c>
    </row>
    <row r="1448" spans="1:7">
      <c r="A1448" s="216">
        <v>44256</v>
      </c>
      <c r="B1448" t="s">
        <v>44</v>
      </c>
      <c r="C1448">
        <v>14</v>
      </c>
      <c r="D1448" t="s">
        <v>447</v>
      </c>
      <c r="E1448" s="217">
        <v>44256</v>
      </c>
      <c r="F1448">
        <v>900</v>
      </c>
      <c r="G1448" s="227" t="s">
        <v>101</v>
      </c>
    </row>
    <row r="1449" spans="1:7">
      <c r="A1449" s="216">
        <v>44256</v>
      </c>
      <c r="B1449" t="s">
        <v>44</v>
      </c>
      <c r="C1449">
        <v>14</v>
      </c>
      <c r="D1449" t="s">
        <v>447</v>
      </c>
      <c r="E1449" s="217">
        <v>44256</v>
      </c>
      <c r="F1449">
        <v>901</v>
      </c>
      <c r="G1449" s="227" t="s">
        <v>84</v>
      </c>
    </row>
    <row r="1450" spans="1:7">
      <c r="A1450" s="216">
        <v>44256</v>
      </c>
      <c r="B1450" t="s">
        <v>44</v>
      </c>
      <c r="C1450">
        <v>14</v>
      </c>
      <c r="D1450" t="s">
        <v>447</v>
      </c>
      <c r="E1450" s="217">
        <v>44256</v>
      </c>
      <c r="F1450">
        <v>864</v>
      </c>
      <c r="G1450" s="227" t="s">
        <v>128</v>
      </c>
    </row>
    <row r="1451" spans="1:7">
      <c r="A1451" s="216">
        <v>44256</v>
      </c>
      <c r="B1451" t="s">
        <v>44</v>
      </c>
      <c r="C1451">
        <v>14</v>
      </c>
      <c r="D1451" t="s">
        <v>447</v>
      </c>
      <c r="E1451" s="217">
        <v>44256</v>
      </c>
      <c r="F1451">
        <v>884</v>
      </c>
      <c r="G1451" s="227" t="s">
        <v>124</v>
      </c>
    </row>
    <row r="1452" spans="1:7">
      <c r="A1452" s="216">
        <v>44256</v>
      </c>
      <c r="B1452" t="s">
        <v>44</v>
      </c>
      <c r="C1452">
        <v>14</v>
      </c>
      <c r="D1452" t="s">
        <v>447</v>
      </c>
      <c r="E1452" s="217">
        <v>44256</v>
      </c>
      <c r="F1452">
        <v>931</v>
      </c>
      <c r="G1452" s="227" t="s">
        <v>120</v>
      </c>
    </row>
    <row r="1453" spans="1:7">
      <c r="A1453" s="216">
        <v>44256</v>
      </c>
      <c r="B1453" t="s">
        <v>44</v>
      </c>
      <c r="C1453">
        <v>14</v>
      </c>
      <c r="D1453" t="s">
        <v>447</v>
      </c>
      <c r="E1453" s="217">
        <v>44256</v>
      </c>
      <c r="F1453">
        <v>923</v>
      </c>
      <c r="G1453" s="227" t="s">
        <v>89</v>
      </c>
    </row>
    <row r="1454" spans="1:7">
      <c r="A1454" s="216">
        <v>44256</v>
      </c>
      <c r="B1454" t="s">
        <v>44</v>
      </c>
      <c r="C1454">
        <v>14</v>
      </c>
      <c r="D1454" t="s">
        <v>447</v>
      </c>
      <c r="E1454" s="217">
        <v>44256</v>
      </c>
      <c r="F1454">
        <v>932</v>
      </c>
      <c r="G1454" s="227" t="s">
        <v>97</v>
      </c>
    </row>
    <row r="1455" spans="1:7">
      <c r="A1455" s="216">
        <v>44256</v>
      </c>
      <c r="B1455" t="s">
        <v>44</v>
      </c>
      <c r="C1455">
        <v>14</v>
      </c>
      <c r="D1455" t="s">
        <v>447</v>
      </c>
      <c r="E1455" s="217">
        <v>44256</v>
      </c>
      <c r="F1455">
        <v>956</v>
      </c>
      <c r="G1455" s="227" t="s">
        <v>93</v>
      </c>
    </row>
    <row r="1456" spans="1:7">
      <c r="A1456" s="216">
        <v>44256</v>
      </c>
      <c r="B1456" t="s">
        <v>44</v>
      </c>
      <c r="C1456">
        <v>14</v>
      </c>
      <c r="D1456" t="s">
        <v>447</v>
      </c>
      <c r="E1456" s="217">
        <v>44256</v>
      </c>
      <c r="F1456">
        <v>859</v>
      </c>
      <c r="G1456" s="227" t="s">
        <v>111</v>
      </c>
    </row>
    <row r="1457" spans="1:7">
      <c r="A1457" s="216">
        <v>44256</v>
      </c>
      <c r="B1457" t="s">
        <v>44</v>
      </c>
      <c r="C1457">
        <v>14</v>
      </c>
      <c r="D1457" t="s">
        <v>447</v>
      </c>
      <c r="E1457" s="217">
        <v>44256</v>
      </c>
      <c r="F1457">
        <v>10909</v>
      </c>
      <c r="G1457" s="227" t="s">
        <v>434</v>
      </c>
    </row>
    <row r="1458" spans="1:7">
      <c r="A1458" s="216">
        <v>44256</v>
      </c>
      <c r="B1458" t="s">
        <v>44</v>
      </c>
      <c r="C1458">
        <v>15</v>
      </c>
      <c r="D1458" t="s">
        <v>437</v>
      </c>
      <c r="E1458" s="217">
        <v>44256</v>
      </c>
      <c r="F1458">
        <v>5775</v>
      </c>
      <c r="G1458" s="227" t="s">
        <v>79</v>
      </c>
    </row>
    <row r="1459" spans="1:7">
      <c r="A1459" s="216">
        <v>44256</v>
      </c>
      <c r="B1459" t="s">
        <v>44</v>
      </c>
      <c r="C1459">
        <v>15</v>
      </c>
      <c r="D1459" t="s">
        <v>437</v>
      </c>
      <c r="E1459" s="217">
        <v>44256</v>
      </c>
      <c r="F1459">
        <v>6028</v>
      </c>
      <c r="G1459" s="227" t="s">
        <v>115</v>
      </c>
    </row>
    <row r="1460" spans="1:7">
      <c r="A1460" s="216">
        <v>44256</v>
      </c>
      <c r="B1460" t="s">
        <v>44</v>
      </c>
      <c r="C1460">
        <v>15</v>
      </c>
      <c r="D1460" t="s">
        <v>437</v>
      </c>
      <c r="E1460" s="217">
        <v>44256</v>
      </c>
      <c r="F1460">
        <v>5933</v>
      </c>
      <c r="G1460" s="227" t="s">
        <v>106</v>
      </c>
    </row>
    <row r="1461" spans="1:7">
      <c r="A1461" s="216">
        <v>44256</v>
      </c>
      <c r="B1461" t="s">
        <v>44</v>
      </c>
      <c r="C1461">
        <v>15</v>
      </c>
      <c r="D1461" t="s">
        <v>437</v>
      </c>
      <c r="E1461" s="217">
        <v>44256</v>
      </c>
      <c r="F1461">
        <v>5922</v>
      </c>
      <c r="G1461" s="227" t="s">
        <v>101</v>
      </c>
    </row>
    <row r="1462" spans="1:7">
      <c r="A1462" s="216">
        <v>44256</v>
      </c>
      <c r="B1462" t="s">
        <v>44</v>
      </c>
      <c r="C1462">
        <v>15</v>
      </c>
      <c r="D1462" t="s">
        <v>437</v>
      </c>
      <c r="E1462" s="217">
        <v>44256</v>
      </c>
      <c r="F1462">
        <v>5844</v>
      </c>
      <c r="G1462" s="227" t="s">
        <v>84</v>
      </c>
    </row>
    <row r="1463" spans="1:7">
      <c r="A1463" s="216">
        <v>44256</v>
      </c>
      <c r="B1463" t="s">
        <v>44</v>
      </c>
      <c r="C1463">
        <v>15</v>
      </c>
      <c r="D1463" t="s">
        <v>437</v>
      </c>
      <c r="E1463" s="217">
        <v>44256</v>
      </c>
      <c r="F1463">
        <v>4682</v>
      </c>
      <c r="G1463" s="227" t="s">
        <v>128</v>
      </c>
    </row>
    <row r="1464" spans="1:7">
      <c r="A1464" s="216">
        <v>44256</v>
      </c>
      <c r="B1464" t="s">
        <v>44</v>
      </c>
      <c r="C1464">
        <v>15</v>
      </c>
      <c r="D1464" t="s">
        <v>437</v>
      </c>
      <c r="E1464" s="217">
        <v>44256</v>
      </c>
      <c r="F1464">
        <v>6302</v>
      </c>
      <c r="G1464" s="227" t="s">
        <v>124</v>
      </c>
    </row>
    <row r="1465" spans="1:7">
      <c r="A1465" s="216">
        <v>44256</v>
      </c>
      <c r="B1465" t="s">
        <v>44</v>
      </c>
      <c r="C1465">
        <v>15</v>
      </c>
      <c r="D1465" t="s">
        <v>437</v>
      </c>
      <c r="E1465" s="217">
        <v>44256</v>
      </c>
      <c r="F1465">
        <v>5782</v>
      </c>
      <c r="G1465" s="227" t="s">
        <v>120</v>
      </c>
    </row>
    <row r="1466" spans="1:7">
      <c r="A1466" s="216">
        <v>44256</v>
      </c>
      <c r="B1466" t="s">
        <v>44</v>
      </c>
      <c r="C1466">
        <v>15</v>
      </c>
      <c r="D1466" t="s">
        <v>437</v>
      </c>
      <c r="E1466" s="217">
        <v>44256</v>
      </c>
      <c r="F1466">
        <v>6521</v>
      </c>
      <c r="G1466" s="227" t="s">
        <v>89</v>
      </c>
    </row>
    <row r="1467" spans="1:7">
      <c r="A1467" s="216">
        <v>44256</v>
      </c>
      <c r="B1467" t="s">
        <v>44</v>
      </c>
      <c r="C1467">
        <v>15</v>
      </c>
      <c r="D1467" t="s">
        <v>437</v>
      </c>
      <c r="E1467" s="217">
        <v>44256</v>
      </c>
      <c r="F1467">
        <v>7043</v>
      </c>
      <c r="G1467" s="227" t="s">
        <v>97</v>
      </c>
    </row>
    <row r="1468" spans="1:7">
      <c r="A1468" s="216">
        <v>44256</v>
      </c>
      <c r="B1468" t="s">
        <v>44</v>
      </c>
      <c r="C1468">
        <v>15</v>
      </c>
      <c r="D1468" t="s">
        <v>437</v>
      </c>
      <c r="E1468" s="217">
        <v>44256</v>
      </c>
      <c r="F1468">
        <v>5747</v>
      </c>
      <c r="G1468" s="227" t="s">
        <v>93</v>
      </c>
    </row>
    <row r="1469" spans="1:7">
      <c r="A1469" s="216">
        <v>44256</v>
      </c>
      <c r="B1469" t="s">
        <v>44</v>
      </c>
      <c r="C1469">
        <v>15</v>
      </c>
      <c r="D1469" t="s">
        <v>437</v>
      </c>
      <c r="E1469" s="217">
        <v>44256</v>
      </c>
      <c r="F1469">
        <v>7495</v>
      </c>
      <c r="G1469" s="227" t="s">
        <v>111</v>
      </c>
    </row>
    <row r="1470" spans="1:7">
      <c r="A1470" s="216">
        <v>44256</v>
      </c>
      <c r="B1470" t="s">
        <v>44</v>
      </c>
      <c r="C1470">
        <v>15</v>
      </c>
      <c r="D1470" t="s">
        <v>437</v>
      </c>
      <c r="E1470" s="217">
        <v>44256</v>
      </c>
      <c r="F1470">
        <v>73074</v>
      </c>
      <c r="G1470" s="227" t="s">
        <v>434</v>
      </c>
    </row>
    <row r="1471" spans="1:7">
      <c r="A1471" s="216">
        <v>44256</v>
      </c>
      <c r="B1471" t="s">
        <v>45</v>
      </c>
      <c r="C1471">
        <v>7</v>
      </c>
      <c r="D1471" t="s">
        <v>442</v>
      </c>
      <c r="E1471" s="217">
        <v>44256</v>
      </c>
      <c r="F1471">
        <v>96201</v>
      </c>
      <c r="G1471" s="227" t="s">
        <v>79</v>
      </c>
    </row>
    <row r="1472" spans="1:7">
      <c r="A1472" s="216">
        <v>44256</v>
      </c>
      <c r="B1472" t="s">
        <v>45</v>
      </c>
      <c r="C1472">
        <v>7</v>
      </c>
      <c r="D1472" t="s">
        <v>442</v>
      </c>
      <c r="E1472" s="217">
        <v>44256</v>
      </c>
      <c r="F1472">
        <v>128263</v>
      </c>
      <c r="G1472" s="227" t="s">
        <v>115</v>
      </c>
    </row>
    <row r="1473" spans="1:7">
      <c r="A1473" s="216">
        <v>44256</v>
      </c>
      <c r="B1473" t="s">
        <v>45</v>
      </c>
      <c r="C1473">
        <v>7</v>
      </c>
      <c r="D1473" t="s">
        <v>442</v>
      </c>
      <c r="E1473" s="217">
        <v>44256</v>
      </c>
      <c r="F1473">
        <v>90028.010079411702</v>
      </c>
      <c r="G1473" s="227" t="s">
        <v>106</v>
      </c>
    </row>
    <row r="1474" spans="1:7">
      <c r="A1474" s="216">
        <v>44256</v>
      </c>
      <c r="B1474" t="s">
        <v>45</v>
      </c>
      <c r="C1474">
        <v>7</v>
      </c>
      <c r="D1474" t="s">
        <v>442</v>
      </c>
      <c r="E1474" s="217">
        <v>44256</v>
      </c>
      <c r="F1474">
        <v>96766.883920588196</v>
      </c>
      <c r="G1474" s="227" t="s">
        <v>101</v>
      </c>
    </row>
    <row r="1475" spans="1:7">
      <c r="A1475" s="216">
        <v>44256</v>
      </c>
      <c r="B1475" t="s">
        <v>45</v>
      </c>
      <c r="C1475">
        <v>7</v>
      </c>
      <c r="D1475" t="s">
        <v>442</v>
      </c>
      <c r="E1475" s="217">
        <v>44256</v>
      </c>
      <c r="F1475">
        <v>97268.106</v>
      </c>
      <c r="G1475" s="227" t="s">
        <v>84</v>
      </c>
    </row>
    <row r="1476" spans="1:7">
      <c r="A1476" s="216">
        <v>44256</v>
      </c>
      <c r="B1476" t="s">
        <v>45</v>
      </c>
      <c r="C1476">
        <v>7</v>
      </c>
      <c r="D1476" t="s">
        <v>442</v>
      </c>
      <c r="E1476" s="217">
        <v>44256</v>
      </c>
      <c r="F1476">
        <v>126188</v>
      </c>
      <c r="G1476" s="227" t="s">
        <v>128</v>
      </c>
    </row>
    <row r="1477" spans="1:7">
      <c r="A1477" s="216">
        <v>44256</v>
      </c>
      <c r="B1477" t="s">
        <v>45</v>
      </c>
      <c r="C1477">
        <v>7</v>
      </c>
      <c r="D1477" t="s">
        <v>442</v>
      </c>
      <c r="E1477" s="217">
        <v>44256</v>
      </c>
      <c r="F1477">
        <v>108978</v>
      </c>
      <c r="G1477" s="227" t="s">
        <v>124</v>
      </c>
    </row>
    <row r="1478" spans="1:7">
      <c r="A1478" s="216">
        <v>44256</v>
      </c>
      <c r="B1478" t="s">
        <v>45</v>
      </c>
      <c r="C1478">
        <v>7</v>
      </c>
      <c r="D1478" t="s">
        <v>442</v>
      </c>
      <c r="E1478" s="217">
        <v>44256</v>
      </c>
      <c r="F1478">
        <v>105943</v>
      </c>
      <c r="G1478" s="227" t="s">
        <v>120</v>
      </c>
    </row>
    <row r="1479" spans="1:7">
      <c r="A1479" s="216">
        <v>44256</v>
      </c>
      <c r="B1479" t="s">
        <v>45</v>
      </c>
      <c r="C1479">
        <v>7</v>
      </c>
      <c r="D1479" t="s">
        <v>442</v>
      </c>
      <c r="E1479" s="217">
        <v>44256</v>
      </c>
      <c r="F1479">
        <v>101012.29313999999</v>
      </c>
      <c r="G1479" s="227" t="s">
        <v>89</v>
      </c>
    </row>
    <row r="1480" spans="1:7">
      <c r="A1480" s="216">
        <v>44256</v>
      </c>
      <c r="B1480" t="s">
        <v>45</v>
      </c>
      <c r="C1480">
        <v>7</v>
      </c>
      <c r="D1480" t="s">
        <v>442</v>
      </c>
      <c r="E1480" s="217">
        <v>44256</v>
      </c>
      <c r="F1480">
        <v>105493.66494</v>
      </c>
      <c r="G1480" s="227" t="s">
        <v>97</v>
      </c>
    </row>
    <row r="1481" spans="1:7">
      <c r="A1481" s="216">
        <v>44256</v>
      </c>
      <c r="B1481" t="s">
        <v>45</v>
      </c>
      <c r="C1481">
        <v>7</v>
      </c>
      <c r="D1481" t="s">
        <v>442</v>
      </c>
      <c r="E1481" s="217">
        <v>44256</v>
      </c>
      <c r="F1481">
        <v>105845</v>
      </c>
      <c r="G1481" s="227" t="s">
        <v>93</v>
      </c>
    </row>
    <row r="1482" spans="1:7">
      <c r="A1482" s="216">
        <v>44256</v>
      </c>
      <c r="B1482" t="s">
        <v>45</v>
      </c>
      <c r="C1482">
        <v>7</v>
      </c>
      <c r="D1482" t="s">
        <v>442</v>
      </c>
      <c r="E1482" s="217">
        <v>44256</v>
      </c>
      <c r="F1482">
        <v>202727.04191999999</v>
      </c>
      <c r="G1482" s="227" t="s">
        <v>111</v>
      </c>
    </row>
    <row r="1483" spans="1:7">
      <c r="A1483" s="216">
        <v>44256</v>
      </c>
      <c r="B1483" t="s">
        <v>45</v>
      </c>
      <c r="C1483">
        <v>7</v>
      </c>
      <c r="D1483" t="s">
        <v>442</v>
      </c>
      <c r="E1483" s="217">
        <v>44256</v>
      </c>
      <c r="F1483">
        <v>1364714</v>
      </c>
      <c r="G1483" s="227" t="s">
        <v>434</v>
      </c>
    </row>
    <row r="1484" spans="1:7">
      <c r="A1484" s="216">
        <v>44256</v>
      </c>
      <c r="B1484" t="s">
        <v>45</v>
      </c>
      <c r="C1484">
        <v>8</v>
      </c>
      <c r="D1484" t="s">
        <v>451</v>
      </c>
      <c r="E1484" s="217">
        <v>44256</v>
      </c>
      <c r="F1484">
        <v>11562</v>
      </c>
      <c r="G1484" s="227" t="s">
        <v>79</v>
      </c>
    </row>
    <row r="1485" spans="1:7">
      <c r="A1485" s="216">
        <v>44256</v>
      </c>
      <c r="B1485" t="s">
        <v>45</v>
      </c>
      <c r="C1485">
        <v>8</v>
      </c>
      <c r="D1485" t="s">
        <v>451</v>
      </c>
      <c r="E1485" s="217">
        <v>44256</v>
      </c>
      <c r="F1485">
        <v>11751</v>
      </c>
      <c r="G1485" s="227" t="s">
        <v>115</v>
      </c>
    </row>
    <row r="1486" spans="1:7">
      <c r="A1486" s="216">
        <v>44256</v>
      </c>
      <c r="B1486" t="s">
        <v>45</v>
      </c>
      <c r="C1486">
        <v>8</v>
      </c>
      <c r="D1486" t="s">
        <v>451</v>
      </c>
      <c r="E1486" s="217">
        <v>44256</v>
      </c>
      <c r="F1486">
        <v>11781.013080000001</v>
      </c>
      <c r="G1486" s="227" t="s">
        <v>106</v>
      </c>
    </row>
    <row r="1487" spans="1:7">
      <c r="A1487" s="216">
        <v>44256</v>
      </c>
      <c r="B1487" t="s">
        <v>45</v>
      </c>
      <c r="C1487">
        <v>8</v>
      </c>
      <c r="D1487" t="s">
        <v>451</v>
      </c>
      <c r="E1487" s="217">
        <v>44256</v>
      </c>
      <c r="F1487">
        <v>12457.986919999999</v>
      </c>
      <c r="G1487" s="227" t="s">
        <v>101</v>
      </c>
    </row>
    <row r="1488" spans="1:7">
      <c r="A1488" s="216">
        <v>44256</v>
      </c>
      <c r="B1488" t="s">
        <v>45</v>
      </c>
      <c r="C1488">
        <v>8</v>
      </c>
      <c r="D1488" t="s">
        <v>451</v>
      </c>
      <c r="E1488" s="217">
        <v>44256</v>
      </c>
      <c r="F1488">
        <v>11180</v>
      </c>
      <c r="G1488" s="227" t="s">
        <v>84</v>
      </c>
    </row>
    <row r="1489" spans="1:7">
      <c r="A1489" s="216">
        <v>44256</v>
      </c>
      <c r="B1489" t="s">
        <v>45</v>
      </c>
      <c r="C1489">
        <v>8</v>
      </c>
      <c r="D1489" t="s">
        <v>451</v>
      </c>
      <c r="E1489" s="217">
        <v>44256</v>
      </c>
      <c r="F1489">
        <v>12291</v>
      </c>
      <c r="G1489" s="227" t="s">
        <v>128</v>
      </c>
    </row>
    <row r="1490" spans="1:7">
      <c r="A1490" s="216">
        <v>44256</v>
      </c>
      <c r="B1490" t="s">
        <v>45</v>
      </c>
      <c r="C1490">
        <v>8</v>
      </c>
      <c r="D1490" t="s">
        <v>451</v>
      </c>
      <c r="E1490" s="217">
        <v>44256</v>
      </c>
      <c r="F1490">
        <v>12475</v>
      </c>
      <c r="G1490" s="227" t="s">
        <v>124</v>
      </c>
    </row>
    <row r="1491" spans="1:7">
      <c r="A1491" s="216">
        <v>44256</v>
      </c>
      <c r="B1491" t="s">
        <v>45</v>
      </c>
      <c r="C1491">
        <v>8</v>
      </c>
      <c r="D1491" t="s">
        <v>451</v>
      </c>
      <c r="E1491" s="217">
        <v>44256</v>
      </c>
      <c r="F1491">
        <v>12833</v>
      </c>
      <c r="G1491" s="227" t="s">
        <v>120</v>
      </c>
    </row>
    <row r="1492" spans="1:7">
      <c r="A1492" s="216">
        <v>44256</v>
      </c>
      <c r="B1492" t="s">
        <v>45</v>
      </c>
      <c r="C1492">
        <v>8</v>
      </c>
      <c r="D1492" t="s">
        <v>451</v>
      </c>
      <c r="E1492" s="217">
        <v>44256</v>
      </c>
      <c r="F1492">
        <v>12338.4897599998</v>
      </c>
      <c r="G1492" s="227" t="s">
        <v>89</v>
      </c>
    </row>
    <row r="1493" spans="1:7">
      <c r="A1493" s="216">
        <v>44256</v>
      </c>
      <c r="B1493" t="s">
        <v>45</v>
      </c>
      <c r="C1493">
        <v>8</v>
      </c>
      <c r="D1493" t="s">
        <v>451</v>
      </c>
      <c r="E1493" s="217">
        <v>44256</v>
      </c>
      <c r="F1493">
        <v>12051.85468</v>
      </c>
      <c r="G1493" s="227" t="s">
        <v>97</v>
      </c>
    </row>
    <row r="1494" spans="1:7">
      <c r="A1494" s="216">
        <v>44256</v>
      </c>
      <c r="B1494" t="s">
        <v>45</v>
      </c>
      <c r="C1494">
        <v>8</v>
      </c>
      <c r="D1494" t="s">
        <v>451</v>
      </c>
      <c r="E1494" s="217">
        <v>44256</v>
      </c>
      <c r="F1494">
        <v>12476</v>
      </c>
      <c r="G1494" s="227" t="s">
        <v>93</v>
      </c>
    </row>
    <row r="1495" spans="1:7">
      <c r="A1495" s="216">
        <v>44256</v>
      </c>
      <c r="B1495" t="s">
        <v>45</v>
      </c>
      <c r="C1495">
        <v>8</v>
      </c>
      <c r="D1495" t="s">
        <v>451</v>
      </c>
      <c r="E1495" s="217">
        <v>44256</v>
      </c>
      <c r="F1495">
        <v>16282.655560000199</v>
      </c>
      <c r="G1495" s="227" t="s">
        <v>111</v>
      </c>
    </row>
    <row r="1496" spans="1:7">
      <c r="A1496" s="216">
        <v>44256</v>
      </c>
      <c r="B1496" t="s">
        <v>45</v>
      </c>
      <c r="C1496">
        <v>8</v>
      </c>
      <c r="D1496" t="s">
        <v>451</v>
      </c>
      <c r="E1496" s="217">
        <v>44256</v>
      </c>
      <c r="F1496">
        <v>149480</v>
      </c>
      <c r="G1496" s="227" t="s">
        <v>434</v>
      </c>
    </row>
    <row r="1497" spans="1:7">
      <c r="A1497" s="216">
        <v>44256</v>
      </c>
      <c r="B1497" t="s">
        <v>45</v>
      </c>
      <c r="C1497">
        <v>9</v>
      </c>
      <c r="D1497" t="s">
        <v>450</v>
      </c>
      <c r="E1497" s="217">
        <v>44256</v>
      </c>
      <c r="F1497">
        <v>7299</v>
      </c>
      <c r="G1497" s="227" t="s">
        <v>79</v>
      </c>
    </row>
    <row r="1498" spans="1:7">
      <c r="A1498" s="216">
        <v>44256</v>
      </c>
      <c r="B1498" t="s">
        <v>45</v>
      </c>
      <c r="C1498">
        <v>9</v>
      </c>
      <c r="D1498" t="s">
        <v>450</v>
      </c>
      <c r="E1498" s="217">
        <v>44256</v>
      </c>
      <c r="F1498">
        <v>7600</v>
      </c>
      <c r="G1498" s="227" t="s">
        <v>115</v>
      </c>
    </row>
    <row r="1499" spans="1:7">
      <c r="A1499" s="216">
        <v>44256</v>
      </c>
      <c r="B1499" t="s">
        <v>45</v>
      </c>
      <c r="C1499">
        <v>9</v>
      </c>
      <c r="D1499" t="s">
        <v>450</v>
      </c>
      <c r="E1499" s="217">
        <v>44256</v>
      </c>
      <c r="F1499">
        <v>8417.2114399999991</v>
      </c>
      <c r="G1499" s="227" t="s">
        <v>106</v>
      </c>
    </row>
    <row r="1500" spans="1:7">
      <c r="A1500" s="216">
        <v>44256</v>
      </c>
      <c r="B1500" t="s">
        <v>45</v>
      </c>
      <c r="C1500">
        <v>9</v>
      </c>
      <c r="D1500" t="s">
        <v>450</v>
      </c>
      <c r="E1500" s="217">
        <v>44256</v>
      </c>
      <c r="F1500">
        <v>8584.7885600000009</v>
      </c>
      <c r="G1500" s="227" t="s">
        <v>101</v>
      </c>
    </row>
    <row r="1501" spans="1:7">
      <c r="A1501" s="216">
        <v>44256</v>
      </c>
      <c r="B1501" t="s">
        <v>45</v>
      </c>
      <c r="C1501">
        <v>9</v>
      </c>
      <c r="D1501" t="s">
        <v>450</v>
      </c>
      <c r="E1501" s="217">
        <v>44256</v>
      </c>
      <c r="F1501">
        <v>7034</v>
      </c>
      <c r="G1501" s="227" t="s">
        <v>84</v>
      </c>
    </row>
    <row r="1502" spans="1:7">
      <c r="A1502" s="216">
        <v>44256</v>
      </c>
      <c r="B1502" t="s">
        <v>45</v>
      </c>
      <c r="C1502">
        <v>9</v>
      </c>
      <c r="D1502" t="s">
        <v>450</v>
      </c>
      <c r="E1502" s="217">
        <v>44256</v>
      </c>
      <c r="F1502">
        <v>7861</v>
      </c>
      <c r="G1502" s="227" t="s">
        <v>128</v>
      </c>
    </row>
    <row r="1503" spans="1:7">
      <c r="A1503" s="216">
        <v>44256</v>
      </c>
      <c r="B1503" t="s">
        <v>45</v>
      </c>
      <c r="C1503">
        <v>9</v>
      </c>
      <c r="D1503" t="s">
        <v>450</v>
      </c>
      <c r="E1503" s="217">
        <v>44256</v>
      </c>
      <c r="F1503">
        <v>6836</v>
      </c>
      <c r="G1503" s="227" t="s">
        <v>124</v>
      </c>
    </row>
    <row r="1504" spans="1:7">
      <c r="A1504" s="216">
        <v>44256</v>
      </c>
      <c r="B1504" t="s">
        <v>45</v>
      </c>
      <c r="C1504">
        <v>9</v>
      </c>
      <c r="D1504" t="s">
        <v>450</v>
      </c>
      <c r="E1504" s="217">
        <v>44256</v>
      </c>
      <c r="F1504">
        <v>7971</v>
      </c>
      <c r="G1504" s="227" t="s">
        <v>120</v>
      </c>
    </row>
    <row r="1505" spans="1:7">
      <c r="A1505" s="216">
        <v>44256</v>
      </c>
      <c r="B1505" t="s">
        <v>45</v>
      </c>
      <c r="C1505">
        <v>9</v>
      </c>
      <c r="D1505" t="s">
        <v>450</v>
      </c>
      <c r="E1505" s="217">
        <v>44256</v>
      </c>
      <c r="F1505">
        <v>8130.10051999998</v>
      </c>
      <c r="G1505" s="227" t="s">
        <v>89</v>
      </c>
    </row>
    <row r="1506" spans="1:7">
      <c r="A1506" s="216">
        <v>44256</v>
      </c>
      <c r="B1506" t="s">
        <v>45</v>
      </c>
      <c r="C1506">
        <v>9</v>
      </c>
      <c r="D1506" t="s">
        <v>450</v>
      </c>
      <c r="E1506" s="217">
        <v>44256</v>
      </c>
      <c r="F1506">
        <v>6447.2242399999996</v>
      </c>
      <c r="G1506" s="227" t="s">
        <v>97</v>
      </c>
    </row>
    <row r="1507" spans="1:7">
      <c r="A1507" s="216">
        <v>44256</v>
      </c>
      <c r="B1507" t="s">
        <v>45</v>
      </c>
      <c r="C1507">
        <v>9</v>
      </c>
      <c r="D1507" t="s">
        <v>450</v>
      </c>
      <c r="E1507" s="217">
        <v>44256</v>
      </c>
      <c r="F1507">
        <v>6429</v>
      </c>
      <c r="G1507" s="227" t="s">
        <v>93</v>
      </c>
    </row>
    <row r="1508" spans="1:7">
      <c r="A1508" s="216">
        <v>44256</v>
      </c>
      <c r="B1508" t="s">
        <v>45</v>
      </c>
      <c r="C1508">
        <v>9</v>
      </c>
      <c r="D1508" t="s">
        <v>450</v>
      </c>
      <c r="E1508" s="217">
        <v>44256</v>
      </c>
      <c r="F1508">
        <v>8002.6752400000096</v>
      </c>
      <c r="G1508" s="227" t="s">
        <v>111</v>
      </c>
    </row>
    <row r="1509" spans="1:7">
      <c r="A1509" s="216">
        <v>44256</v>
      </c>
      <c r="B1509" t="s">
        <v>45</v>
      </c>
      <c r="C1509">
        <v>9</v>
      </c>
      <c r="D1509" t="s">
        <v>450</v>
      </c>
      <c r="E1509" s="217">
        <v>44256</v>
      </c>
      <c r="F1509">
        <v>90612</v>
      </c>
      <c r="G1509" s="227" t="s">
        <v>434</v>
      </c>
    </row>
    <row r="1510" spans="1:7">
      <c r="A1510" s="216">
        <v>44256</v>
      </c>
      <c r="B1510" t="s">
        <v>45</v>
      </c>
      <c r="C1510">
        <v>10</v>
      </c>
      <c r="D1510" t="s">
        <v>433</v>
      </c>
      <c r="E1510" s="217">
        <v>44256</v>
      </c>
      <c r="F1510">
        <v>45605</v>
      </c>
      <c r="G1510" s="227" t="s">
        <v>79</v>
      </c>
    </row>
    <row r="1511" spans="1:7">
      <c r="A1511" s="216">
        <v>44256</v>
      </c>
      <c r="B1511" t="s">
        <v>45</v>
      </c>
      <c r="C1511">
        <v>10</v>
      </c>
      <c r="D1511" t="s">
        <v>433</v>
      </c>
      <c r="E1511" s="217">
        <v>44256</v>
      </c>
      <c r="F1511">
        <v>45773</v>
      </c>
      <c r="G1511" s="227" t="s">
        <v>115</v>
      </c>
    </row>
    <row r="1512" spans="1:7">
      <c r="A1512" s="216">
        <v>44256</v>
      </c>
      <c r="B1512" t="s">
        <v>45</v>
      </c>
      <c r="C1512">
        <v>10</v>
      </c>
      <c r="D1512" t="s">
        <v>433</v>
      </c>
      <c r="E1512" s="217">
        <v>44256</v>
      </c>
      <c r="F1512">
        <v>45214.977500000001</v>
      </c>
      <c r="G1512" s="227" t="s">
        <v>106</v>
      </c>
    </row>
    <row r="1513" spans="1:7">
      <c r="A1513" s="216">
        <v>44256</v>
      </c>
      <c r="B1513" t="s">
        <v>45</v>
      </c>
      <c r="C1513">
        <v>10</v>
      </c>
      <c r="D1513" t="s">
        <v>433</v>
      </c>
      <c r="E1513" s="217">
        <v>44256</v>
      </c>
      <c r="F1513">
        <v>45419.022499999999</v>
      </c>
      <c r="G1513" s="227" t="s">
        <v>101</v>
      </c>
    </row>
    <row r="1514" spans="1:7">
      <c r="A1514" s="216">
        <v>44256</v>
      </c>
      <c r="B1514" t="s">
        <v>45</v>
      </c>
      <c r="C1514">
        <v>10</v>
      </c>
      <c r="D1514" t="s">
        <v>433</v>
      </c>
      <c r="E1514" s="217">
        <v>44256</v>
      </c>
      <c r="F1514">
        <v>44551</v>
      </c>
      <c r="G1514" s="227" t="s">
        <v>84</v>
      </c>
    </row>
    <row r="1515" spans="1:7">
      <c r="A1515" s="216">
        <v>44256</v>
      </c>
      <c r="B1515" t="s">
        <v>45</v>
      </c>
      <c r="C1515">
        <v>10</v>
      </c>
      <c r="D1515" t="s">
        <v>433</v>
      </c>
      <c r="E1515" s="217">
        <v>44256</v>
      </c>
      <c r="F1515">
        <v>44950</v>
      </c>
      <c r="G1515" s="227" t="s">
        <v>128</v>
      </c>
    </row>
    <row r="1516" spans="1:7">
      <c r="A1516" s="216">
        <v>44256</v>
      </c>
      <c r="B1516" t="s">
        <v>45</v>
      </c>
      <c r="C1516">
        <v>10</v>
      </c>
      <c r="D1516" t="s">
        <v>433</v>
      </c>
      <c r="E1516" s="217">
        <v>44256</v>
      </c>
      <c r="F1516">
        <v>47252</v>
      </c>
      <c r="G1516" s="227" t="s">
        <v>124</v>
      </c>
    </row>
    <row r="1517" spans="1:7">
      <c r="A1517" s="216">
        <v>44256</v>
      </c>
      <c r="B1517" t="s">
        <v>45</v>
      </c>
      <c r="C1517">
        <v>10</v>
      </c>
      <c r="D1517" t="s">
        <v>433</v>
      </c>
      <c r="E1517" s="217">
        <v>44256</v>
      </c>
      <c r="F1517">
        <v>47547</v>
      </c>
      <c r="G1517" s="227" t="s">
        <v>120</v>
      </c>
    </row>
    <row r="1518" spans="1:7">
      <c r="A1518" s="216">
        <v>44256</v>
      </c>
      <c r="B1518" t="s">
        <v>45</v>
      </c>
      <c r="C1518">
        <v>10</v>
      </c>
      <c r="D1518" t="s">
        <v>433</v>
      </c>
      <c r="E1518" s="217">
        <v>44256</v>
      </c>
      <c r="F1518">
        <v>46076.791119998903</v>
      </c>
      <c r="G1518" s="227" t="s">
        <v>89</v>
      </c>
    </row>
    <row r="1519" spans="1:7">
      <c r="A1519" s="216">
        <v>44256</v>
      </c>
      <c r="B1519" t="s">
        <v>45</v>
      </c>
      <c r="C1519">
        <v>10</v>
      </c>
      <c r="D1519" t="s">
        <v>433</v>
      </c>
      <c r="E1519" s="217">
        <v>44256</v>
      </c>
      <c r="F1519">
        <v>48474.337029999901</v>
      </c>
      <c r="G1519" s="227" t="s">
        <v>97</v>
      </c>
    </row>
    <row r="1520" spans="1:7">
      <c r="A1520" s="216">
        <v>44256</v>
      </c>
      <c r="B1520" t="s">
        <v>45</v>
      </c>
      <c r="C1520">
        <v>10</v>
      </c>
      <c r="D1520" t="s">
        <v>433</v>
      </c>
      <c r="E1520" s="217">
        <v>44256</v>
      </c>
      <c r="F1520">
        <v>46720</v>
      </c>
      <c r="G1520" s="227" t="s">
        <v>93</v>
      </c>
    </row>
    <row r="1521" spans="1:7">
      <c r="A1521" s="216">
        <v>44256</v>
      </c>
      <c r="B1521" t="s">
        <v>45</v>
      </c>
      <c r="C1521">
        <v>10</v>
      </c>
      <c r="D1521" t="s">
        <v>433</v>
      </c>
      <c r="E1521" s="217">
        <v>44256</v>
      </c>
      <c r="F1521">
        <v>101506.871850001</v>
      </c>
      <c r="G1521" s="227" t="s">
        <v>111</v>
      </c>
    </row>
    <row r="1522" spans="1:7">
      <c r="A1522" s="216">
        <v>44256</v>
      </c>
      <c r="B1522" t="s">
        <v>45</v>
      </c>
      <c r="C1522">
        <v>10</v>
      </c>
      <c r="D1522" t="s">
        <v>433</v>
      </c>
      <c r="E1522" s="217">
        <v>44256</v>
      </c>
      <c r="F1522">
        <v>609090</v>
      </c>
      <c r="G1522" s="227" t="s">
        <v>434</v>
      </c>
    </row>
    <row r="1523" spans="1:7">
      <c r="A1523" s="216">
        <v>44256</v>
      </c>
      <c r="B1523" t="s">
        <v>45</v>
      </c>
      <c r="C1523">
        <v>11</v>
      </c>
      <c r="D1523" t="s">
        <v>445</v>
      </c>
      <c r="E1523" s="217">
        <v>44256</v>
      </c>
      <c r="F1523">
        <v>10591</v>
      </c>
      <c r="G1523" s="227" t="s">
        <v>79</v>
      </c>
    </row>
    <row r="1524" spans="1:7">
      <c r="A1524" s="216">
        <v>44256</v>
      </c>
      <c r="B1524" t="s">
        <v>45</v>
      </c>
      <c r="C1524">
        <v>11</v>
      </c>
      <c r="D1524" t="s">
        <v>445</v>
      </c>
      <c r="E1524" s="217">
        <v>44256</v>
      </c>
      <c r="F1524">
        <v>8300</v>
      </c>
      <c r="G1524" s="227" t="s">
        <v>115</v>
      </c>
    </row>
    <row r="1525" spans="1:7">
      <c r="A1525" s="216">
        <v>44256</v>
      </c>
      <c r="B1525" t="s">
        <v>45</v>
      </c>
      <c r="C1525">
        <v>11</v>
      </c>
      <c r="D1525" t="s">
        <v>445</v>
      </c>
      <c r="E1525" s="217">
        <v>44256</v>
      </c>
      <c r="F1525">
        <v>8507.3465699999997</v>
      </c>
      <c r="G1525" s="227" t="s">
        <v>106</v>
      </c>
    </row>
    <row r="1526" spans="1:7">
      <c r="A1526" s="216">
        <v>44256</v>
      </c>
      <c r="B1526" t="s">
        <v>45</v>
      </c>
      <c r="C1526">
        <v>11</v>
      </c>
      <c r="D1526" t="s">
        <v>445</v>
      </c>
      <c r="E1526" s="217">
        <v>44256</v>
      </c>
      <c r="F1526">
        <v>8090.6534300000003</v>
      </c>
      <c r="G1526" s="227" t="s">
        <v>101</v>
      </c>
    </row>
    <row r="1527" spans="1:7">
      <c r="A1527" s="216">
        <v>44256</v>
      </c>
      <c r="B1527" t="s">
        <v>45</v>
      </c>
      <c r="C1527">
        <v>11</v>
      </c>
      <c r="D1527" t="s">
        <v>445</v>
      </c>
      <c r="E1527" s="217">
        <v>44256</v>
      </c>
      <c r="F1527">
        <v>8981</v>
      </c>
      <c r="G1527" s="227" t="s">
        <v>84</v>
      </c>
    </row>
    <row r="1528" spans="1:7">
      <c r="A1528" s="216">
        <v>44256</v>
      </c>
      <c r="B1528" t="s">
        <v>45</v>
      </c>
      <c r="C1528">
        <v>11</v>
      </c>
      <c r="D1528" t="s">
        <v>445</v>
      </c>
      <c r="E1528" s="217">
        <v>44256</v>
      </c>
      <c r="F1528">
        <v>5725</v>
      </c>
      <c r="G1528" s="227" t="s">
        <v>128</v>
      </c>
    </row>
    <row r="1529" spans="1:7">
      <c r="A1529" s="216">
        <v>44256</v>
      </c>
      <c r="B1529" t="s">
        <v>45</v>
      </c>
      <c r="C1529">
        <v>11</v>
      </c>
      <c r="D1529" t="s">
        <v>445</v>
      </c>
      <c r="E1529" s="217">
        <v>44256</v>
      </c>
      <c r="F1529">
        <v>12682</v>
      </c>
      <c r="G1529" s="227" t="s">
        <v>124</v>
      </c>
    </row>
    <row r="1530" spans="1:7">
      <c r="A1530" s="216">
        <v>44256</v>
      </c>
      <c r="B1530" t="s">
        <v>45</v>
      </c>
      <c r="C1530">
        <v>11</v>
      </c>
      <c r="D1530" t="s">
        <v>445</v>
      </c>
      <c r="E1530" s="217">
        <v>44256</v>
      </c>
      <c r="F1530">
        <v>6222</v>
      </c>
      <c r="G1530" s="227" t="s">
        <v>120</v>
      </c>
    </row>
    <row r="1531" spans="1:7">
      <c r="A1531" s="216">
        <v>44256</v>
      </c>
      <c r="B1531" t="s">
        <v>45</v>
      </c>
      <c r="C1531">
        <v>11</v>
      </c>
      <c r="D1531" t="s">
        <v>445</v>
      </c>
      <c r="E1531" s="217">
        <v>44256</v>
      </c>
      <c r="F1531">
        <v>8941.3389300016006</v>
      </c>
      <c r="G1531" s="227" t="s">
        <v>89</v>
      </c>
    </row>
    <row r="1532" spans="1:7">
      <c r="A1532" s="216">
        <v>44256</v>
      </c>
      <c r="B1532" t="s">
        <v>45</v>
      </c>
      <c r="C1532">
        <v>11</v>
      </c>
      <c r="D1532" t="s">
        <v>445</v>
      </c>
      <c r="E1532" s="217">
        <v>44256</v>
      </c>
      <c r="F1532">
        <v>11159.582270000001</v>
      </c>
      <c r="G1532" s="227" t="s">
        <v>97</v>
      </c>
    </row>
    <row r="1533" spans="1:7">
      <c r="A1533" s="216">
        <v>44256</v>
      </c>
      <c r="B1533" t="s">
        <v>45</v>
      </c>
      <c r="C1533">
        <v>11</v>
      </c>
      <c r="D1533" t="s">
        <v>445</v>
      </c>
      <c r="E1533" s="217">
        <v>44256</v>
      </c>
      <c r="F1533">
        <v>10000</v>
      </c>
      <c r="G1533" s="227" t="s">
        <v>93</v>
      </c>
    </row>
    <row r="1534" spans="1:7">
      <c r="A1534" s="216">
        <v>44256</v>
      </c>
      <c r="B1534" t="s">
        <v>45</v>
      </c>
      <c r="C1534">
        <v>11</v>
      </c>
      <c r="D1534" t="s">
        <v>445</v>
      </c>
      <c r="E1534" s="217">
        <v>44256</v>
      </c>
      <c r="F1534">
        <v>26720.078799998399</v>
      </c>
      <c r="G1534" s="227" t="s">
        <v>111</v>
      </c>
    </row>
    <row r="1535" spans="1:7">
      <c r="A1535" s="216">
        <v>44256</v>
      </c>
      <c r="B1535" t="s">
        <v>45</v>
      </c>
      <c r="C1535">
        <v>11</v>
      </c>
      <c r="D1535" t="s">
        <v>445</v>
      </c>
      <c r="E1535" s="217">
        <v>44256</v>
      </c>
      <c r="F1535">
        <v>125920</v>
      </c>
      <c r="G1535" s="227" t="s">
        <v>434</v>
      </c>
    </row>
    <row r="1536" spans="1:7">
      <c r="A1536" s="216">
        <v>44256</v>
      </c>
      <c r="B1536" t="s">
        <v>45</v>
      </c>
      <c r="C1536">
        <v>12</v>
      </c>
      <c r="D1536" t="s">
        <v>454</v>
      </c>
      <c r="E1536" s="217">
        <v>44256</v>
      </c>
      <c r="F1536">
        <v>2317</v>
      </c>
      <c r="G1536" s="227" t="s">
        <v>79</v>
      </c>
    </row>
    <row r="1537" spans="1:7">
      <c r="A1537" s="216">
        <v>44256</v>
      </c>
      <c r="B1537" t="s">
        <v>45</v>
      </c>
      <c r="C1537">
        <v>12</v>
      </c>
      <c r="D1537" t="s">
        <v>454</v>
      </c>
      <c r="E1537" s="217">
        <v>44256</v>
      </c>
      <c r="F1537">
        <v>1581</v>
      </c>
      <c r="G1537" s="227" t="s">
        <v>115</v>
      </c>
    </row>
    <row r="1538" spans="1:7">
      <c r="A1538" s="216">
        <v>44256</v>
      </c>
      <c r="B1538" t="s">
        <v>45</v>
      </c>
      <c r="C1538">
        <v>12</v>
      </c>
      <c r="D1538" t="s">
        <v>454</v>
      </c>
      <c r="E1538" s="217">
        <v>44256</v>
      </c>
      <c r="F1538">
        <v>2607.8865300000002</v>
      </c>
      <c r="G1538" s="227" t="s">
        <v>106</v>
      </c>
    </row>
    <row r="1539" spans="1:7">
      <c r="A1539" s="216">
        <v>44256</v>
      </c>
      <c r="B1539" t="s">
        <v>45</v>
      </c>
      <c r="C1539">
        <v>12</v>
      </c>
      <c r="D1539" t="s">
        <v>454</v>
      </c>
      <c r="E1539" s="217">
        <v>44256</v>
      </c>
      <c r="F1539">
        <v>2589.1134699999998</v>
      </c>
      <c r="G1539" s="227" t="s">
        <v>101</v>
      </c>
    </row>
    <row r="1540" spans="1:7">
      <c r="A1540" s="216">
        <v>44256</v>
      </c>
      <c r="B1540" t="s">
        <v>45</v>
      </c>
      <c r="C1540">
        <v>12</v>
      </c>
      <c r="D1540" t="s">
        <v>454</v>
      </c>
      <c r="E1540" s="217">
        <v>44256</v>
      </c>
      <c r="F1540">
        <v>2694</v>
      </c>
      <c r="G1540" s="227" t="s">
        <v>84</v>
      </c>
    </row>
    <row r="1541" spans="1:7">
      <c r="A1541" s="216">
        <v>44256</v>
      </c>
      <c r="B1541" t="s">
        <v>45</v>
      </c>
      <c r="C1541">
        <v>12</v>
      </c>
      <c r="D1541" t="s">
        <v>454</v>
      </c>
      <c r="E1541" s="217">
        <v>44256</v>
      </c>
      <c r="F1541">
        <v>2987</v>
      </c>
      <c r="G1541" s="227" t="s">
        <v>128</v>
      </c>
    </row>
    <row r="1542" spans="1:7">
      <c r="A1542" s="216">
        <v>44256</v>
      </c>
      <c r="B1542" t="s">
        <v>45</v>
      </c>
      <c r="C1542">
        <v>12</v>
      </c>
      <c r="D1542" t="s">
        <v>454</v>
      </c>
      <c r="E1542" s="217">
        <v>44256</v>
      </c>
      <c r="F1542">
        <v>3160</v>
      </c>
      <c r="G1542" s="227" t="s">
        <v>124</v>
      </c>
    </row>
    <row r="1543" spans="1:7">
      <c r="A1543" s="216">
        <v>44256</v>
      </c>
      <c r="B1543" t="s">
        <v>45</v>
      </c>
      <c r="C1543">
        <v>12</v>
      </c>
      <c r="D1543" t="s">
        <v>454</v>
      </c>
      <c r="E1543" s="217">
        <v>44256</v>
      </c>
      <c r="F1543">
        <v>3221</v>
      </c>
      <c r="G1543" s="227" t="s">
        <v>120</v>
      </c>
    </row>
    <row r="1544" spans="1:7">
      <c r="A1544" s="216">
        <v>44256</v>
      </c>
      <c r="B1544" t="s">
        <v>45</v>
      </c>
      <c r="C1544">
        <v>12</v>
      </c>
      <c r="D1544" t="s">
        <v>454</v>
      </c>
      <c r="E1544" s="217">
        <v>44256</v>
      </c>
      <c r="F1544">
        <v>3171.4568900000199</v>
      </c>
      <c r="G1544" s="227" t="s">
        <v>89</v>
      </c>
    </row>
    <row r="1545" spans="1:7">
      <c r="A1545" s="216">
        <v>44256</v>
      </c>
      <c r="B1545" t="s">
        <v>45</v>
      </c>
      <c r="C1545">
        <v>12</v>
      </c>
      <c r="D1545" t="s">
        <v>454</v>
      </c>
      <c r="E1545" s="217">
        <v>44256</v>
      </c>
      <c r="F1545">
        <v>2831.2586500000002</v>
      </c>
      <c r="G1545" s="227" t="s">
        <v>97</v>
      </c>
    </row>
    <row r="1546" spans="1:7">
      <c r="A1546" s="216">
        <v>44256</v>
      </c>
      <c r="B1546" t="s">
        <v>45</v>
      </c>
      <c r="C1546">
        <v>12</v>
      </c>
      <c r="D1546" t="s">
        <v>454</v>
      </c>
      <c r="E1546" s="217">
        <v>44256</v>
      </c>
      <c r="F1546">
        <v>2491</v>
      </c>
      <c r="G1546" s="227" t="s">
        <v>93</v>
      </c>
    </row>
    <row r="1547" spans="1:7">
      <c r="A1547" s="216">
        <v>44256</v>
      </c>
      <c r="B1547" t="s">
        <v>45</v>
      </c>
      <c r="C1547">
        <v>12</v>
      </c>
      <c r="D1547" t="s">
        <v>454</v>
      </c>
      <c r="E1547" s="217">
        <v>44256</v>
      </c>
      <c r="F1547">
        <v>2714.2844599999798</v>
      </c>
      <c r="G1547" s="227" t="s">
        <v>111</v>
      </c>
    </row>
    <row r="1548" spans="1:7">
      <c r="A1548" s="216">
        <v>44256</v>
      </c>
      <c r="B1548" t="s">
        <v>45</v>
      </c>
      <c r="C1548">
        <v>12</v>
      </c>
      <c r="D1548" t="s">
        <v>454</v>
      </c>
      <c r="E1548" s="217">
        <v>44256</v>
      </c>
      <c r="F1548">
        <v>32365</v>
      </c>
      <c r="G1548" s="227" t="s">
        <v>434</v>
      </c>
    </row>
    <row r="1549" spans="1:7">
      <c r="A1549" s="216">
        <v>44256</v>
      </c>
      <c r="B1549" t="s">
        <v>45</v>
      </c>
      <c r="C1549">
        <v>13</v>
      </c>
      <c r="D1549" t="s">
        <v>441</v>
      </c>
      <c r="E1549" s="217">
        <v>44256</v>
      </c>
      <c r="F1549">
        <v>17947</v>
      </c>
      <c r="G1549" s="227" t="s">
        <v>79</v>
      </c>
    </row>
    <row r="1550" spans="1:7">
      <c r="A1550" s="216">
        <v>44256</v>
      </c>
      <c r="B1550" t="s">
        <v>45</v>
      </c>
      <c r="C1550">
        <v>13</v>
      </c>
      <c r="D1550" t="s">
        <v>441</v>
      </c>
      <c r="E1550" s="217">
        <v>44256</v>
      </c>
      <c r="F1550">
        <v>51780</v>
      </c>
      <c r="G1550" s="227" t="s">
        <v>115</v>
      </c>
    </row>
    <row r="1551" spans="1:7">
      <c r="A1551" s="216">
        <v>44256</v>
      </c>
      <c r="B1551" t="s">
        <v>45</v>
      </c>
      <c r="C1551">
        <v>13</v>
      </c>
      <c r="D1551" t="s">
        <v>441</v>
      </c>
      <c r="E1551" s="217">
        <v>44256</v>
      </c>
      <c r="F1551">
        <v>-495</v>
      </c>
      <c r="G1551" s="227" t="s">
        <v>106</v>
      </c>
    </row>
    <row r="1552" spans="1:7">
      <c r="A1552" s="216">
        <v>44256</v>
      </c>
      <c r="B1552" t="s">
        <v>45</v>
      </c>
      <c r="C1552">
        <v>13</v>
      </c>
      <c r="D1552" t="s">
        <v>441</v>
      </c>
      <c r="E1552" s="217">
        <v>44256</v>
      </c>
      <c r="F1552">
        <v>19009</v>
      </c>
      <c r="G1552" s="227" t="s">
        <v>101</v>
      </c>
    </row>
    <row r="1553" spans="1:7">
      <c r="A1553" s="216">
        <v>44256</v>
      </c>
      <c r="B1553" t="s">
        <v>45</v>
      </c>
      <c r="C1553">
        <v>13</v>
      </c>
      <c r="D1553" t="s">
        <v>441</v>
      </c>
      <c r="E1553" s="217">
        <v>44256</v>
      </c>
      <c r="F1553">
        <v>18134</v>
      </c>
      <c r="G1553" s="227" t="s">
        <v>84</v>
      </c>
    </row>
    <row r="1554" spans="1:7">
      <c r="A1554" s="216">
        <v>44256</v>
      </c>
      <c r="B1554" t="s">
        <v>45</v>
      </c>
      <c r="C1554">
        <v>13</v>
      </c>
      <c r="D1554" t="s">
        <v>441</v>
      </c>
      <c r="E1554" s="217">
        <v>44256</v>
      </c>
      <c r="F1554">
        <v>27159</v>
      </c>
      <c r="G1554" s="227" t="s">
        <v>128</v>
      </c>
    </row>
    <row r="1555" spans="1:7">
      <c r="A1555" s="216">
        <v>44256</v>
      </c>
      <c r="B1555" t="s">
        <v>45</v>
      </c>
      <c r="C1555">
        <v>13</v>
      </c>
      <c r="D1555" t="s">
        <v>441</v>
      </c>
      <c r="E1555" s="217">
        <v>44256</v>
      </c>
      <c r="F1555">
        <v>19169</v>
      </c>
      <c r="G1555" s="227" t="s">
        <v>124</v>
      </c>
    </row>
    <row r="1556" spans="1:7">
      <c r="A1556" s="216">
        <v>44256</v>
      </c>
      <c r="B1556" t="s">
        <v>45</v>
      </c>
      <c r="C1556">
        <v>13</v>
      </c>
      <c r="D1556" t="s">
        <v>441</v>
      </c>
      <c r="E1556" s="217">
        <v>44256</v>
      </c>
      <c r="F1556">
        <v>19557</v>
      </c>
      <c r="G1556" s="227" t="s">
        <v>120</v>
      </c>
    </row>
    <row r="1557" spans="1:7">
      <c r="A1557" s="216">
        <v>44256</v>
      </c>
      <c r="B1557" t="s">
        <v>45</v>
      </c>
      <c r="C1557">
        <v>13</v>
      </c>
      <c r="D1557" t="s">
        <v>441</v>
      </c>
      <c r="E1557" s="217">
        <v>44256</v>
      </c>
      <c r="F1557">
        <v>18149.439439999998</v>
      </c>
      <c r="G1557" s="227" t="s">
        <v>89</v>
      </c>
    </row>
    <row r="1558" spans="1:7">
      <c r="A1558" s="216">
        <v>44256</v>
      </c>
      <c r="B1558" t="s">
        <v>45</v>
      </c>
      <c r="C1558">
        <v>13</v>
      </c>
      <c r="D1558" t="s">
        <v>441</v>
      </c>
      <c r="E1558" s="217">
        <v>44256</v>
      </c>
      <c r="F1558">
        <v>18957.059280000001</v>
      </c>
      <c r="G1558" s="227" t="s">
        <v>97</v>
      </c>
    </row>
    <row r="1559" spans="1:7">
      <c r="A1559" s="216">
        <v>44256</v>
      </c>
      <c r="B1559" t="s">
        <v>45</v>
      </c>
      <c r="C1559">
        <v>13</v>
      </c>
      <c r="D1559" t="s">
        <v>441</v>
      </c>
      <c r="E1559" s="217">
        <v>44256</v>
      </c>
      <c r="F1559">
        <v>20699</v>
      </c>
      <c r="G1559" s="227" t="s">
        <v>93</v>
      </c>
    </row>
    <row r="1560" spans="1:7">
      <c r="A1560" s="216">
        <v>44256</v>
      </c>
      <c r="B1560" t="s">
        <v>45</v>
      </c>
      <c r="C1560">
        <v>13</v>
      </c>
      <c r="D1560" t="s">
        <v>441</v>
      </c>
      <c r="E1560" s="217">
        <v>44256</v>
      </c>
      <c r="F1560">
        <v>23873.501280000099</v>
      </c>
      <c r="G1560" s="227" t="s">
        <v>111</v>
      </c>
    </row>
    <row r="1561" spans="1:7">
      <c r="A1561" s="216">
        <v>44256</v>
      </c>
      <c r="B1561" t="s">
        <v>45</v>
      </c>
      <c r="C1561">
        <v>13</v>
      </c>
      <c r="D1561" t="s">
        <v>441</v>
      </c>
      <c r="E1561" s="217">
        <v>44256</v>
      </c>
      <c r="F1561">
        <v>253939</v>
      </c>
      <c r="G1561" s="227" t="s">
        <v>434</v>
      </c>
    </row>
    <row r="1562" spans="1:7">
      <c r="A1562" s="216">
        <v>44256</v>
      </c>
      <c r="B1562" t="s">
        <v>45</v>
      </c>
      <c r="C1562">
        <v>14</v>
      </c>
      <c r="D1562" t="s">
        <v>447</v>
      </c>
      <c r="E1562" s="217">
        <v>44256</v>
      </c>
      <c r="F1562">
        <v>80</v>
      </c>
      <c r="G1562" s="227" t="s">
        <v>79</v>
      </c>
    </row>
    <row r="1563" spans="1:7">
      <c r="A1563" s="216">
        <v>44256</v>
      </c>
      <c r="B1563" t="s">
        <v>45</v>
      </c>
      <c r="C1563">
        <v>14</v>
      </c>
      <c r="D1563" t="s">
        <v>447</v>
      </c>
      <c r="E1563" s="217">
        <v>44256</v>
      </c>
      <c r="F1563">
        <v>17</v>
      </c>
      <c r="G1563" s="227" t="s">
        <v>115</v>
      </c>
    </row>
    <row r="1564" spans="1:7">
      <c r="A1564" s="216">
        <v>44256</v>
      </c>
      <c r="B1564" t="s">
        <v>45</v>
      </c>
      <c r="C1564">
        <v>14</v>
      </c>
      <c r="D1564" t="s">
        <v>447</v>
      </c>
      <c r="E1564" s="217">
        <v>44256</v>
      </c>
      <c r="F1564">
        <v>-58</v>
      </c>
      <c r="G1564" s="227" t="s">
        <v>106</v>
      </c>
    </row>
    <row r="1565" spans="1:7">
      <c r="A1565" s="216">
        <v>44256</v>
      </c>
      <c r="B1565" t="s">
        <v>45</v>
      </c>
      <c r="C1565">
        <v>14</v>
      </c>
      <c r="D1565" t="s">
        <v>447</v>
      </c>
      <c r="E1565" s="217">
        <v>44256</v>
      </c>
      <c r="F1565">
        <v>13</v>
      </c>
      <c r="G1565" s="227" t="s">
        <v>101</v>
      </c>
    </row>
    <row r="1566" spans="1:7">
      <c r="A1566" s="216">
        <v>44256</v>
      </c>
      <c r="B1566" t="s">
        <v>45</v>
      </c>
      <c r="C1566">
        <v>14</v>
      </c>
      <c r="D1566" t="s">
        <v>447</v>
      </c>
      <c r="E1566" s="217">
        <v>44256</v>
      </c>
      <c r="F1566">
        <v>13</v>
      </c>
      <c r="G1566" s="227" t="s">
        <v>84</v>
      </c>
    </row>
    <row r="1567" spans="1:7">
      <c r="A1567" s="216">
        <v>44256</v>
      </c>
      <c r="B1567" t="s">
        <v>45</v>
      </c>
      <c r="C1567">
        <v>14</v>
      </c>
      <c r="D1567" t="s">
        <v>447</v>
      </c>
      <c r="E1567" s="217">
        <v>44256</v>
      </c>
      <c r="F1567">
        <v>13</v>
      </c>
      <c r="G1567" s="227" t="s">
        <v>128</v>
      </c>
    </row>
    <row r="1568" spans="1:7">
      <c r="A1568" s="216">
        <v>44256</v>
      </c>
      <c r="B1568" t="s">
        <v>45</v>
      </c>
      <c r="C1568">
        <v>14</v>
      </c>
      <c r="D1568" t="s">
        <v>447</v>
      </c>
      <c r="E1568" s="217">
        <v>44256</v>
      </c>
      <c r="F1568">
        <v>13</v>
      </c>
      <c r="G1568" s="227" t="s">
        <v>124</v>
      </c>
    </row>
    <row r="1569" spans="1:7">
      <c r="A1569" s="216">
        <v>44256</v>
      </c>
      <c r="B1569" t="s">
        <v>45</v>
      </c>
      <c r="C1569">
        <v>14</v>
      </c>
      <c r="D1569" t="s">
        <v>447</v>
      </c>
      <c r="E1569" s="217">
        <v>44256</v>
      </c>
      <c r="F1569">
        <v>4</v>
      </c>
      <c r="G1569" s="227" t="s">
        <v>120</v>
      </c>
    </row>
    <row r="1570" spans="1:7">
      <c r="A1570" s="216">
        <v>44256</v>
      </c>
      <c r="B1570" t="s">
        <v>45</v>
      </c>
      <c r="C1570">
        <v>14</v>
      </c>
      <c r="D1570" t="s">
        <v>447</v>
      </c>
      <c r="E1570" s="217">
        <v>44256</v>
      </c>
      <c r="F1570">
        <v>12.8848</v>
      </c>
      <c r="G1570" s="227" t="s">
        <v>89</v>
      </c>
    </row>
    <row r="1571" spans="1:7">
      <c r="A1571" s="216">
        <v>44256</v>
      </c>
      <c r="B1571" t="s">
        <v>45</v>
      </c>
      <c r="C1571">
        <v>14</v>
      </c>
      <c r="D1571" t="s">
        <v>447</v>
      </c>
      <c r="E1571" s="217">
        <v>44256</v>
      </c>
      <c r="F1571">
        <v>12.95759</v>
      </c>
      <c r="G1571" s="227" t="s">
        <v>97</v>
      </c>
    </row>
    <row r="1572" spans="1:7">
      <c r="A1572" s="216">
        <v>44256</v>
      </c>
      <c r="B1572" t="s">
        <v>45</v>
      </c>
      <c r="C1572">
        <v>14</v>
      </c>
      <c r="D1572" t="s">
        <v>447</v>
      </c>
      <c r="E1572" s="217">
        <v>44256</v>
      </c>
      <c r="F1572">
        <v>13</v>
      </c>
      <c r="G1572" s="227" t="s">
        <v>93</v>
      </c>
    </row>
    <row r="1573" spans="1:7">
      <c r="A1573" s="216">
        <v>44256</v>
      </c>
      <c r="B1573" t="s">
        <v>45</v>
      </c>
      <c r="C1573">
        <v>14</v>
      </c>
      <c r="D1573" t="s">
        <v>447</v>
      </c>
      <c r="E1573" s="217">
        <v>44256</v>
      </c>
      <c r="F1573">
        <v>13.15761</v>
      </c>
      <c r="G1573" s="227" t="s">
        <v>111</v>
      </c>
    </row>
    <row r="1574" spans="1:7">
      <c r="A1574" s="216">
        <v>44256</v>
      </c>
      <c r="B1574" t="s">
        <v>45</v>
      </c>
      <c r="C1574">
        <v>14</v>
      </c>
      <c r="D1574" t="s">
        <v>447</v>
      </c>
      <c r="E1574" s="217">
        <v>44256</v>
      </c>
      <c r="F1574">
        <v>147</v>
      </c>
      <c r="G1574" s="227" t="s">
        <v>434</v>
      </c>
    </row>
    <row r="1575" spans="1:7">
      <c r="A1575" s="216">
        <v>44256</v>
      </c>
      <c r="B1575" t="s">
        <v>45</v>
      </c>
      <c r="C1575">
        <v>15</v>
      </c>
      <c r="D1575" t="s">
        <v>437</v>
      </c>
      <c r="E1575" s="217">
        <v>44256</v>
      </c>
      <c r="F1575">
        <v>4555</v>
      </c>
      <c r="G1575" s="227" t="s">
        <v>79</v>
      </c>
    </row>
    <row r="1576" spans="1:7">
      <c r="A1576" s="216">
        <v>44256</v>
      </c>
      <c r="B1576" t="s">
        <v>45</v>
      </c>
      <c r="C1576">
        <v>15</v>
      </c>
      <c r="D1576" t="s">
        <v>437</v>
      </c>
      <c r="E1576" s="217">
        <v>44256</v>
      </c>
      <c r="F1576">
        <v>4679</v>
      </c>
      <c r="G1576" s="227" t="s">
        <v>115</v>
      </c>
    </row>
    <row r="1577" spans="1:7">
      <c r="A1577" s="216">
        <v>44256</v>
      </c>
      <c r="B1577" t="s">
        <v>45</v>
      </c>
      <c r="C1577">
        <v>15</v>
      </c>
      <c r="D1577" t="s">
        <v>437</v>
      </c>
      <c r="E1577" s="217">
        <v>44256</v>
      </c>
      <c r="F1577">
        <v>4508.8827799999999</v>
      </c>
      <c r="G1577" s="227" t="s">
        <v>106</v>
      </c>
    </row>
    <row r="1578" spans="1:7">
      <c r="A1578" s="216">
        <v>44256</v>
      </c>
      <c r="B1578" t="s">
        <v>45</v>
      </c>
      <c r="C1578">
        <v>15</v>
      </c>
      <c r="D1578" t="s">
        <v>437</v>
      </c>
      <c r="E1578" s="217">
        <v>44256</v>
      </c>
      <c r="F1578">
        <v>3209.1172200000001</v>
      </c>
      <c r="G1578" s="227" t="s">
        <v>101</v>
      </c>
    </row>
    <row r="1579" spans="1:7">
      <c r="A1579" s="216">
        <v>44256</v>
      </c>
      <c r="B1579" t="s">
        <v>45</v>
      </c>
      <c r="C1579">
        <v>15</v>
      </c>
      <c r="D1579" t="s">
        <v>437</v>
      </c>
      <c r="E1579" s="217">
        <v>44256</v>
      </c>
      <c r="F1579">
        <v>4911</v>
      </c>
      <c r="G1579" s="227" t="s">
        <v>84</v>
      </c>
    </row>
    <row r="1580" spans="1:7">
      <c r="A1580" s="216">
        <v>44256</v>
      </c>
      <c r="B1580" t="s">
        <v>45</v>
      </c>
      <c r="C1580">
        <v>15</v>
      </c>
      <c r="D1580" t="s">
        <v>437</v>
      </c>
      <c r="E1580" s="217">
        <v>44256</v>
      </c>
      <c r="F1580">
        <v>8788</v>
      </c>
      <c r="G1580" s="227" t="s">
        <v>128</v>
      </c>
    </row>
    <row r="1581" spans="1:7">
      <c r="A1581" s="216">
        <v>44256</v>
      </c>
      <c r="B1581" t="s">
        <v>45</v>
      </c>
      <c r="C1581">
        <v>15</v>
      </c>
      <c r="D1581" t="s">
        <v>437</v>
      </c>
      <c r="E1581" s="217">
        <v>44256</v>
      </c>
      <c r="F1581">
        <v>4001</v>
      </c>
      <c r="G1581" s="227" t="s">
        <v>124</v>
      </c>
    </row>
    <row r="1582" spans="1:7">
      <c r="A1582" s="216">
        <v>44256</v>
      </c>
      <c r="B1582" t="s">
        <v>45</v>
      </c>
      <c r="C1582">
        <v>15</v>
      </c>
      <c r="D1582" t="s">
        <v>437</v>
      </c>
      <c r="E1582" s="217">
        <v>44256</v>
      </c>
      <c r="F1582">
        <v>4048</v>
      </c>
      <c r="G1582" s="227" t="s">
        <v>120</v>
      </c>
    </row>
    <row r="1583" spans="1:7">
      <c r="A1583" s="216">
        <v>44256</v>
      </c>
      <c r="B1583" t="s">
        <v>45</v>
      </c>
      <c r="C1583">
        <v>15</v>
      </c>
      <c r="D1583" t="s">
        <v>437</v>
      </c>
      <c r="E1583" s="217">
        <v>44256</v>
      </c>
      <c r="F1583">
        <v>4449.3487699999896</v>
      </c>
      <c r="G1583" s="227" t="s">
        <v>89</v>
      </c>
    </row>
    <row r="1584" spans="1:7">
      <c r="A1584" s="216">
        <v>44256</v>
      </c>
      <c r="B1584" t="s">
        <v>45</v>
      </c>
      <c r="C1584">
        <v>15</v>
      </c>
      <c r="D1584" t="s">
        <v>437</v>
      </c>
      <c r="E1584" s="217">
        <v>44256</v>
      </c>
      <c r="F1584">
        <v>3220.8063499999998</v>
      </c>
      <c r="G1584" s="227" t="s">
        <v>97</v>
      </c>
    </row>
    <row r="1585" spans="1:7">
      <c r="A1585" s="216">
        <v>44256</v>
      </c>
      <c r="B1585" t="s">
        <v>45</v>
      </c>
      <c r="C1585">
        <v>15</v>
      </c>
      <c r="D1585" t="s">
        <v>437</v>
      </c>
      <c r="E1585" s="217">
        <v>44256</v>
      </c>
      <c r="F1585">
        <v>4325</v>
      </c>
      <c r="G1585" s="227" t="s">
        <v>93</v>
      </c>
    </row>
    <row r="1586" spans="1:7">
      <c r="A1586" s="216">
        <v>44256</v>
      </c>
      <c r="B1586" t="s">
        <v>45</v>
      </c>
      <c r="C1586">
        <v>15</v>
      </c>
      <c r="D1586" t="s">
        <v>437</v>
      </c>
      <c r="E1586" s="217">
        <v>44256</v>
      </c>
      <c r="F1586">
        <v>209.84488000001099</v>
      </c>
      <c r="G1586" s="227" t="s">
        <v>111</v>
      </c>
    </row>
    <row r="1587" spans="1:7">
      <c r="A1587" s="216">
        <v>44256</v>
      </c>
      <c r="B1587" t="s">
        <v>45</v>
      </c>
      <c r="C1587">
        <v>15</v>
      </c>
      <c r="D1587" t="s">
        <v>437</v>
      </c>
      <c r="E1587" s="217">
        <v>44256</v>
      </c>
      <c r="F1587">
        <v>50905</v>
      </c>
      <c r="G1587" s="227" t="s">
        <v>434</v>
      </c>
    </row>
    <row r="1588" spans="1:7">
      <c r="A1588" s="216">
        <v>44256</v>
      </c>
      <c r="B1588" t="s">
        <v>46</v>
      </c>
      <c r="C1588">
        <v>7</v>
      </c>
      <c r="D1588" t="s">
        <v>442</v>
      </c>
      <c r="E1588" s="217">
        <v>44256</v>
      </c>
      <c r="F1588">
        <v>74981</v>
      </c>
      <c r="G1588" s="227" t="s">
        <v>79</v>
      </c>
    </row>
    <row r="1589" spans="1:7">
      <c r="A1589" s="216">
        <v>44256</v>
      </c>
      <c r="B1589" t="s">
        <v>46</v>
      </c>
      <c r="C1589">
        <v>7</v>
      </c>
      <c r="D1589" t="s">
        <v>442</v>
      </c>
      <c r="E1589" s="217">
        <v>44256</v>
      </c>
      <c r="F1589">
        <v>74234</v>
      </c>
      <c r="G1589" s="227" t="s">
        <v>115</v>
      </c>
    </row>
    <row r="1590" spans="1:7">
      <c r="A1590" s="216">
        <v>44256</v>
      </c>
      <c r="B1590" t="s">
        <v>46</v>
      </c>
      <c r="C1590">
        <v>7</v>
      </c>
      <c r="D1590" t="s">
        <v>442</v>
      </c>
      <c r="E1590" s="217">
        <v>44256</v>
      </c>
      <c r="F1590">
        <v>80394</v>
      </c>
      <c r="G1590" s="227" t="s">
        <v>106</v>
      </c>
    </row>
    <row r="1591" spans="1:7">
      <c r="A1591" s="216">
        <v>44256</v>
      </c>
      <c r="B1591" t="s">
        <v>46</v>
      </c>
      <c r="C1591">
        <v>7</v>
      </c>
      <c r="D1591" t="s">
        <v>442</v>
      </c>
      <c r="E1591" s="217">
        <v>44256</v>
      </c>
      <c r="F1591">
        <v>80641</v>
      </c>
      <c r="G1591" s="227" t="s">
        <v>101</v>
      </c>
    </row>
    <row r="1592" spans="1:7">
      <c r="A1592" s="216">
        <v>44256</v>
      </c>
      <c r="B1592" t="s">
        <v>46</v>
      </c>
      <c r="C1592">
        <v>7</v>
      </c>
      <c r="D1592" t="s">
        <v>442</v>
      </c>
      <c r="E1592" s="217">
        <v>44256</v>
      </c>
      <c r="F1592">
        <v>82141</v>
      </c>
      <c r="G1592" s="227" t="s">
        <v>84</v>
      </c>
    </row>
    <row r="1593" spans="1:7">
      <c r="A1593" s="216">
        <v>44256</v>
      </c>
      <c r="B1593" t="s">
        <v>46</v>
      </c>
      <c r="C1593">
        <v>7</v>
      </c>
      <c r="D1593" t="s">
        <v>442</v>
      </c>
      <c r="E1593" s="217">
        <v>44256</v>
      </c>
      <c r="F1593">
        <v>101856</v>
      </c>
      <c r="G1593" s="227" t="s">
        <v>128</v>
      </c>
    </row>
    <row r="1594" spans="1:7">
      <c r="A1594" s="216">
        <v>44256</v>
      </c>
      <c r="B1594" t="s">
        <v>46</v>
      </c>
      <c r="C1594">
        <v>7</v>
      </c>
      <c r="D1594" t="s">
        <v>442</v>
      </c>
      <c r="E1594" s="217">
        <v>44256</v>
      </c>
      <c r="F1594">
        <v>91283</v>
      </c>
      <c r="G1594" s="227" t="s">
        <v>124</v>
      </c>
    </row>
    <row r="1595" spans="1:7">
      <c r="A1595" s="216">
        <v>44256</v>
      </c>
      <c r="B1595" t="s">
        <v>46</v>
      </c>
      <c r="C1595">
        <v>7</v>
      </c>
      <c r="D1595" t="s">
        <v>442</v>
      </c>
      <c r="E1595" s="217">
        <v>44256</v>
      </c>
      <c r="F1595">
        <v>84586</v>
      </c>
      <c r="G1595" s="227" t="s">
        <v>120</v>
      </c>
    </row>
    <row r="1596" spans="1:7">
      <c r="A1596" s="216">
        <v>44256</v>
      </c>
      <c r="B1596" t="s">
        <v>46</v>
      </c>
      <c r="C1596">
        <v>7</v>
      </c>
      <c r="D1596" t="s">
        <v>442</v>
      </c>
      <c r="E1596" s="217">
        <v>44256</v>
      </c>
      <c r="F1596">
        <v>88708</v>
      </c>
      <c r="G1596" s="227" t="s">
        <v>89</v>
      </c>
    </row>
    <row r="1597" spans="1:7">
      <c r="A1597" s="216">
        <v>44256</v>
      </c>
      <c r="B1597" t="s">
        <v>46</v>
      </c>
      <c r="C1597">
        <v>7</v>
      </c>
      <c r="D1597" t="s">
        <v>442</v>
      </c>
      <c r="E1597" s="217">
        <v>44256</v>
      </c>
      <c r="F1597">
        <v>92163</v>
      </c>
      <c r="G1597" s="227" t="s">
        <v>97</v>
      </c>
    </row>
    <row r="1598" spans="1:7">
      <c r="A1598" s="216">
        <v>44256</v>
      </c>
      <c r="B1598" t="s">
        <v>46</v>
      </c>
      <c r="C1598">
        <v>7</v>
      </c>
      <c r="D1598" t="s">
        <v>442</v>
      </c>
      <c r="E1598" s="217">
        <v>44256</v>
      </c>
      <c r="F1598">
        <v>89517</v>
      </c>
      <c r="G1598" s="227" t="s">
        <v>93</v>
      </c>
    </row>
    <row r="1599" spans="1:7">
      <c r="A1599" s="216">
        <v>44256</v>
      </c>
      <c r="B1599" t="s">
        <v>46</v>
      </c>
      <c r="C1599">
        <v>7</v>
      </c>
      <c r="D1599" t="s">
        <v>442</v>
      </c>
      <c r="E1599" s="217">
        <v>44256</v>
      </c>
      <c r="F1599">
        <v>150664</v>
      </c>
      <c r="G1599" s="227" t="s">
        <v>111</v>
      </c>
    </row>
    <row r="1600" spans="1:7">
      <c r="A1600" s="216">
        <v>44256</v>
      </c>
      <c r="B1600" t="s">
        <v>46</v>
      </c>
      <c r="C1600">
        <v>7</v>
      </c>
      <c r="D1600" t="s">
        <v>442</v>
      </c>
      <c r="E1600" s="217">
        <v>44256</v>
      </c>
      <c r="F1600">
        <v>1091168</v>
      </c>
      <c r="G1600" s="227" t="s">
        <v>434</v>
      </c>
    </row>
    <row r="1601" spans="1:7">
      <c r="A1601" s="216">
        <v>44256</v>
      </c>
      <c r="B1601" t="s">
        <v>46</v>
      </c>
      <c r="C1601">
        <v>8</v>
      </c>
      <c r="D1601" t="s">
        <v>451</v>
      </c>
      <c r="E1601" s="217">
        <v>44256</v>
      </c>
      <c r="F1601">
        <v>10051</v>
      </c>
      <c r="G1601" s="227" t="s">
        <v>79</v>
      </c>
    </row>
    <row r="1602" spans="1:7">
      <c r="A1602" s="216">
        <v>44256</v>
      </c>
      <c r="B1602" t="s">
        <v>46</v>
      </c>
      <c r="C1602">
        <v>8</v>
      </c>
      <c r="D1602" t="s">
        <v>451</v>
      </c>
      <c r="E1602" s="217">
        <v>44256</v>
      </c>
      <c r="F1602">
        <v>9679</v>
      </c>
      <c r="G1602" s="227" t="s">
        <v>115</v>
      </c>
    </row>
    <row r="1603" spans="1:7">
      <c r="A1603" s="216">
        <v>44256</v>
      </c>
      <c r="B1603" t="s">
        <v>46</v>
      </c>
      <c r="C1603">
        <v>8</v>
      </c>
      <c r="D1603" t="s">
        <v>451</v>
      </c>
      <c r="E1603" s="217">
        <v>44256</v>
      </c>
      <c r="F1603">
        <v>10102</v>
      </c>
      <c r="G1603" s="227" t="s">
        <v>106</v>
      </c>
    </row>
    <row r="1604" spans="1:7">
      <c r="A1604" s="216">
        <v>44256</v>
      </c>
      <c r="B1604" t="s">
        <v>46</v>
      </c>
      <c r="C1604">
        <v>8</v>
      </c>
      <c r="D1604" t="s">
        <v>451</v>
      </c>
      <c r="E1604" s="217">
        <v>44256</v>
      </c>
      <c r="F1604">
        <v>10268</v>
      </c>
      <c r="G1604" s="227" t="s">
        <v>101</v>
      </c>
    </row>
    <row r="1605" spans="1:7">
      <c r="A1605" s="216">
        <v>44256</v>
      </c>
      <c r="B1605" t="s">
        <v>46</v>
      </c>
      <c r="C1605">
        <v>8</v>
      </c>
      <c r="D1605" t="s">
        <v>451</v>
      </c>
      <c r="E1605" s="217">
        <v>44256</v>
      </c>
      <c r="F1605">
        <v>9908</v>
      </c>
      <c r="G1605" s="227" t="s">
        <v>84</v>
      </c>
    </row>
    <row r="1606" spans="1:7">
      <c r="A1606" s="216">
        <v>44256</v>
      </c>
      <c r="B1606" t="s">
        <v>46</v>
      </c>
      <c r="C1606">
        <v>8</v>
      </c>
      <c r="D1606" t="s">
        <v>451</v>
      </c>
      <c r="E1606" s="217">
        <v>44256</v>
      </c>
      <c r="F1606">
        <v>9606</v>
      </c>
      <c r="G1606" s="227" t="s">
        <v>128</v>
      </c>
    </row>
    <row r="1607" spans="1:7">
      <c r="A1607" s="216">
        <v>44256</v>
      </c>
      <c r="B1607" t="s">
        <v>46</v>
      </c>
      <c r="C1607">
        <v>8</v>
      </c>
      <c r="D1607" t="s">
        <v>451</v>
      </c>
      <c r="E1607" s="217">
        <v>44256</v>
      </c>
      <c r="F1607">
        <v>9585</v>
      </c>
      <c r="G1607" s="227" t="s">
        <v>124</v>
      </c>
    </row>
    <row r="1608" spans="1:7">
      <c r="A1608" s="216">
        <v>44256</v>
      </c>
      <c r="B1608" t="s">
        <v>46</v>
      </c>
      <c r="C1608">
        <v>8</v>
      </c>
      <c r="D1608" t="s">
        <v>451</v>
      </c>
      <c r="E1608" s="217">
        <v>44256</v>
      </c>
      <c r="F1608">
        <v>10148</v>
      </c>
      <c r="G1608" s="227" t="s">
        <v>120</v>
      </c>
    </row>
    <row r="1609" spans="1:7">
      <c r="A1609" s="216">
        <v>44256</v>
      </c>
      <c r="B1609" t="s">
        <v>46</v>
      </c>
      <c r="C1609">
        <v>8</v>
      </c>
      <c r="D1609" t="s">
        <v>451</v>
      </c>
      <c r="E1609" s="217">
        <v>44256</v>
      </c>
      <c r="F1609">
        <v>9878</v>
      </c>
      <c r="G1609" s="227" t="s">
        <v>89</v>
      </c>
    </row>
    <row r="1610" spans="1:7">
      <c r="A1610" s="216">
        <v>44256</v>
      </c>
      <c r="B1610" t="s">
        <v>46</v>
      </c>
      <c r="C1610">
        <v>8</v>
      </c>
      <c r="D1610" t="s">
        <v>451</v>
      </c>
      <c r="E1610" s="217">
        <v>44256</v>
      </c>
      <c r="F1610">
        <v>10822</v>
      </c>
      <c r="G1610" s="227" t="s">
        <v>97</v>
      </c>
    </row>
    <row r="1611" spans="1:7">
      <c r="A1611" s="216">
        <v>44256</v>
      </c>
      <c r="B1611" t="s">
        <v>46</v>
      </c>
      <c r="C1611">
        <v>8</v>
      </c>
      <c r="D1611" t="s">
        <v>451</v>
      </c>
      <c r="E1611" s="217">
        <v>44256</v>
      </c>
      <c r="F1611">
        <v>11774</v>
      </c>
      <c r="G1611" s="227" t="s">
        <v>93</v>
      </c>
    </row>
    <row r="1612" spans="1:7">
      <c r="A1612" s="216">
        <v>44256</v>
      </c>
      <c r="B1612" t="s">
        <v>46</v>
      </c>
      <c r="C1612">
        <v>8</v>
      </c>
      <c r="D1612" t="s">
        <v>451</v>
      </c>
      <c r="E1612" s="217">
        <v>44256</v>
      </c>
      <c r="F1612">
        <v>12222</v>
      </c>
      <c r="G1612" s="227" t="s">
        <v>111</v>
      </c>
    </row>
    <row r="1613" spans="1:7">
      <c r="A1613" s="216">
        <v>44256</v>
      </c>
      <c r="B1613" t="s">
        <v>46</v>
      </c>
      <c r="C1613">
        <v>8</v>
      </c>
      <c r="D1613" t="s">
        <v>451</v>
      </c>
      <c r="E1613" s="217">
        <v>44256</v>
      </c>
      <c r="F1613">
        <v>124043</v>
      </c>
      <c r="G1613" s="227" t="s">
        <v>434</v>
      </c>
    </row>
    <row r="1614" spans="1:7">
      <c r="A1614" s="216">
        <v>44256</v>
      </c>
      <c r="B1614" t="s">
        <v>46</v>
      </c>
      <c r="C1614">
        <v>9</v>
      </c>
      <c r="D1614" t="s">
        <v>450</v>
      </c>
      <c r="E1614" s="217">
        <v>44256</v>
      </c>
      <c r="F1614">
        <v>6368</v>
      </c>
      <c r="G1614" s="227" t="s">
        <v>79</v>
      </c>
    </row>
    <row r="1615" spans="1:7">
      <c r="A1615" s="216">
        <v>44256</v>
      </c>
      <c r="B1615" t="s">
        <v>46</v>
      </c>
      <c r="C1615">
        <v>9</v>
      </c>
      <c r="D1615" t="s">
        <v>450</v>
      </c>
      <c r="E1615" s="217">
        <v>44256</v>
      </c>
      <c r="F1615">
        <v>6418</v>
      </c>
      <c r="G1615" s="227" t="s">
        <v>115</v>
      </c>
    </row>
    <row r="1616" spans="1:7">
      <c r="A1616" s="216">
        <v>44256</v>
      </c>
      <c r="B1616" t="s">
        <v>46</v>
      </c>
      <c r="C1616">
        <v>9</v>
      </c>
      <c r="D1616" t="s">
        <v>450</v>
      </c>
      <c r="E1616" s="217">
        <v>44256</v>
      </c>
      <c r="F1616">
        <v>6668</v>
      </c>
      <c r="G1616" s="227" t="s">
        <v>106</v>
      </c>
    </row>
    <row r="1617" spans="1:7">
      <c r="A1617" s="216">
        <v>44256</v>
      </c>
      <c r="B1617" t="s">
        <v>46</v>
      </c>
      <c r="C1617">
        <v>9</v>
      </c>
      <c r="D1617" t="s">
        <v>450</v>
      </c>
      <c r="E1617" s="217">
        <v>44256</v>
      </c>
      <c r="F1617">
        <v>6535</v>
      </c>
      <c r="G1617" s="227" t="s">
        <v>101</v>
      </c>
    </row>
    <row r="1618" spans="1:7">
      <c r="A1618" s="216">
        <v>44256</v>
      </c>
      <c r="B1618" t="s">
        <v>46</v>
      </c>
      <c r="C1618">
        <v>9</v>
      </c>
      <c r="D1618" t="s">
        <v>450</v>
      </c>
      <c r="E1618" s="217">
        <v>44256</v>
      </c>
      <c r="F1618">
        <v>5917</v>
      </c>
      <c r="G1618" s="227" t="s">
        <v>84</v>
      </c>
    </row>
    <row r="1619" spans="1:7">
      <c r="A1619" s="216">
        <v>44256</v>
      </c>
      <c r="B1619" t="s">
        <v>46</v>
      </c>
      <c r="C1619">
        <v>9</v>
      </c>
      <c r="D1619" t="s">
        <v>450</v>
      </c>
      <c r="E1619" s="217">
        <v>44256</v>
      </c>
      <c r="F1619">
        <v>6585</v>
      </c>
      <c r="G1619" s="227" t="s">
        <v>128</v>
      </c>
    </row>
    <row r="1620" spans="1:7">
      <c r="A1620" s="216">
        <v>44256</v>
      </c>
      <c r="B1620" t="s">
        <v>46</v>
      </c>
      <c r="C1620">
        <v>9</v>
      </c>
      <c r="D1620" t="s">
        <v>450</v>
      </c>
      <c r="E1620" s="217">
        <v>44256</v>
      </c>
      <c r="F1620">
        <v>6992</v>
      </c>
      <c r="G1620" s="227" t="s">
        <v>124</v>
      </c>
    </row>
    <row r="1621" spans="1:7">
      <c r="A1621" s="216">
        <v>44256</v>
      </c>
      <c r="B1621" t="s">
        <v>46</v>
      </c>
      <c r="C1621">
        <v>9</v>
      </c>
      <c r="D1621" t="s">
        <v>450</v>
      </c>
      <c r="E1621" s="217">
        <v>44256</v>
      </c>
      <c r="F1621">
        <v>6423</v>
      </c>
      <c r="G1621" s="227" t="s">
        <v>120</v>
      </c>
    </row>
    <row r="1622" spans="1:7">
      <c r="A1622" s="216">
        <v>44256</v>
      </c>
      <c r="B1622" t="s">
        <v>46</v>
      </c>
      <c r="C1622">
        <v>9</v>
      </c>
      <c r="D1622" t="s">
        <v>450</v>
      </c>
      <c r="E1622" s="217">
        <v>44256</v>
      </c>
      <c r="F1622">
        <v>7176</v>
      </c>
      <c r="G1622" s="227" t="s">
        <v>89</v>
      </c>
    </row>
    <row r="1623" spans="1:7">
      <c r="A1623" s="216">
        <v>44256</v>
      </c>
      <c r="B1623" t="s">
        <v>46</v>
      </c>
      <c r="C1623">
        <v>9</v>
      </c>
      <c r="D1623" t="s">
        <v>450</v>
      </c>
      <c r="E1623" s="217">
        <v>44256</v>
      </c>
      <c r="F1623">
        <v>6574</v>
      </c>
      <c r="G1623" s="227" t="s">
        <v>97</v>
      </c>
    </row>
    <row r="1624" spans="1:7">
      <c r="A1624" s="216">
        <v>44256</v>
      </c>
      <c r="B1624" t="s">
        <v>46</v>
      </c>
      <c r="C1624">
        <v>9</v>
      </c>
      <c r="D1624" t="s">
        <v>450</v>
      </c>
      <c r="E1624" s="217">
        <v>44256</v>
      </c>
      <c r="F1624">
        <v>6048</v>
      </c>
      <c r="G1624" s="227" t="s">
        <v>93</v>
      </c>
    </row>
    <row r="1625" spans="1:7">
      <c r="A1625" s="216">
        <v>44256</v>
      </c>
      <c r="B1625" t="s">
        <v>46</v>
      </c>
      <c r="C1625">
        <v>9</v>
      </c>
      <c r="D1625" t="s">
        <v>450</v>
      </c>
      <c r="E1625" s="217">
        <v>44256</v>
      </c>
      <c r="F1625">
        <v>8945</v>
      </c>
      <c r="G1625" s="227" t="s">
        <v>111</v>
      </c>
    </row>
    <row r="1626" spans="1:7">
      <c r="A1626" s="216">
        <v>44256</v>
      </c>
      <c r="B1626" t="s">
        <v>46</v>
      </c>
      <c r="C1626">
        <v>9</v>
      </c>
      <c r="D1626" t="s">
        <v>450</v>
      </c>
      <c r="E1626" s="217">
        <v>44256</v>
      </c>
      <c r="F1626">
        <v>80649</v>
      </c>
      <c r="G1626" s="227" t="s">
        <v>434</v>
      </c>
    </row>
    <row r="1627" spans="1:7">
      <c r="A1627" s="216">
        <v>44256</v>
      </c>
      <c r="B1627" t="s">
        <v>46</v>
      </c>
      <c r="C1627">
        <v>10</v>
      </c>
      <c r="D1627" t="s">
        <v>433</v>
      </c>
      <c r="E1627" s="217">
        <v>44256</v>
      </c>
      <c r="F1627">
        <v>36319</v>
      </c>
      <c r="G1627" s="227" t="s">
        <v>79</v>
      </c>
    </row>
    <row r="1628" spans="1:7">
      <c r="A1628" s="216">
        <v>44256</v>
      </c>
      <c r="B1628" t="s">
        <v>46</v>
      </c>
      <c r="C1628">
        <v>10</v>
      </c>
      <c r="D1628" t="s">
        <v>433</v>
      </c>
      <c r="E1628" s="217">
        <v>44256</v>
      </c>
      <c r="F1628">
        <v>38066</v>
      </c>
      <c r="G1628" s="227" t="s">
        <v>115</v>
      </c>
    </row>
    <row r="1629" spans="1:7">
      <c r="A1629" s="216">
        <v>44256</v>
      </c>
      <c r="B1629" t="s">
        <v>46</v>
      </c>
      <c r="C1629">
        <v>10</v>
      </c>
      <c r="D1629" t="s">
        <v>433</v>
      </c>
      <c r="E1629" s="217">
        <v>44256</v>
      </c>
      <c r="F1629">
        <v>37790</v>
      </c>
      <c r="G1629" s="227" t="s">
        <v>106</v>
      </c>
    </row>
    <row r="1630" spans="1:7">
      <c r="A1630" s="216">
        <v>44256</v>
      </c>
      <c r="B1630" t="s">
        <v>46</v>
      </c>
      <c r="C1630">
        <v>10</v>
      </c>
      <c r="D1630" t="s">
        <v>433</v>
      </c>
      <c r="E1630" s="217">
        <v>44256</v>
      </c>
      <c r="F1630">
        <v>36664</v>
      </c>
      <c r="G1630" s="227" t="s">
        <v>101</v>
      </c>
    </row>
    <row r="1631" spans="1:7">
      <c r="A1631" s="216">
        <v>44256</v>
      </c>
      <c r="B1631" t="s">
        <v>46</v>
      </c>
      <c r="C1631">
        <v>10</v>
      </c>
      <c r="D1631" t="s">
        <v>433</v>
      </c>
      <c r="E1631" s="217">
        <v>44256</v>
      </c>
      <c r="F1631">
        <v>37343</v>
      </c>
      <c r="G1631" s="227" t="s">
        <v>84</v>
      </c>
    </row>
    <row r="1632" spans="1:7">
      <c r="A1632" s="216">
        <v>44256</v>
      </c>
      <c r="B1632" t="s">
        <v>46</v>
      </c>
      <c r="C1632">
        <v>10</v>
      </c>
      <c r="D1632" t="s">
        <v>433</v>
      </c>
      <c r="E1632" s="217">
        <v>44256</v>
      </c>
      <c r="F1632">
        <v>36446</v>
      </c>
      <c r="G1632" s="227" t="s">
        <v>128</v>
      </c>
    </row>
    <row r="1633" spans="1:7">
      <c r="A1633" s="216">
        <v>44256</v>
      </c>
      <c r="B1633" t="s">
        <v>46</v>
      </c>
      <c r="C1633">
        <v>10</v>
      </c>
      <c r="D1633" t="s">
        <v>433</v>
      </c>
      <c r="E1633" s="217">
        <v>44256</v>
      </c>
      <c r="F1633">
        <v>39264</v>
      </c>
      <c r="G1633" s="227" t="s">
        <v>124</v>
      </c>
    </row>
    <row r="1634" spans="1:7">
      <c r="A1634" s="216">
        <v>44256</v>
      </c>
      <c r="B1634" t="s">
        <v>46</v>
      </c>
      <c r="C1634">
        <v>10</v>
      </c>
      <c r="D1634" t="s">
        <v>433</v>
      </c>
      <c r="E1634" s="217">
        <v>44256</v>
      </c>
      <c r="F1634">
        <v>38451</v>
      </c>
      <c r="G1634" s="227" t="s">
        <v>120</v>
      </c>
    </row>
    <row r="1635" spans="1:7">
      <c r="A1635" s="216">
        <v>44256</v>
      </c>
      <c r="B1635" t="s">
        <v>46</v>
      </c>
      <c r="C1635">
        <v>10</v>
      </c>
      <c r="D1635" t="s">
        <v>433</v>
      </c>
      <c r="E1635" s="217">
        <v>44256</v>
      </c>
      <c r="F1635">
        <v>38158</v>
      </c>
      <c r="G1635" s="227" t="s">
        <v>89</v>
      </c>
    </row>
    <row r="1636" spans="1:7">
      <c r="A1636" s="216">
        <v>44256</v>
      </c>
      <c r="B1636" t="s">
        <v>46</v>
      </c>
      <c r="C1636">
        <v>10</v>
      </c>
      <c r="D1636" t="s">
        <v>433</v>
      </c>
      <c r="E1636" s="217">
        <v>44256</v>
      </c>
      <c r="F1636">
        <v>39298</v>
      </c>
      <c r="G1636" s="227" t="s">
        <v>97</v>
      </c>
    </row>
    <row r="1637" spans="1:7">
      <c r="A1637" s="216">
        <v>44256</v>
      </c>
      <c r="B1637" t="s">
        <v>46</v>
      </c>
      <c r="C1637">
        <v>10</v>
      </c>
      <c r="D1637" t="s">
        <v>433</v>
      </c>
      <c r="E1637" s="217">
        <v>44256</v>
      </c>
      <c r="F1637">
        <v>39524</v>
      </c>
      <c r="G1637" s="227" t="s">
        <v>93</v>
      </c>
    </row>
    <row r="1638" spans="1:7">
      <c r="A1638" s="216">
        <v>44256</v>
      </c>
      <c r="B1638" t="s">
        <v>46</v>
      </c>
      <c r="C1638">
        <v>10</v>
      </c>
      <c r="D1638" t="s">
        <v>433</v>
      </c>
      <c r="E1638" s="217">
        <v>44256</v>
      </c>
      <c r="F1638">
        <v>85151</v>
      </c>
      <c r="G1638" s="227" t="s">
        <v>111</v>
      </c>
    </row>
    <row r="1639" spans="1:7">
      <c r="A1639" s="216">
        <v>44256</v>
      </c>
      <c r="B1639" t="s">
        <v>46</v>
      </c>
      <c r="C1639">
        <v>10</v>
      </c>
      <c r="D1639" t="s">
        <v>433</v>
      </c>
      <c r="E1639" s="217">
        <v>44256</v>
      </c>
      <c r="F1639">
        <v>502474</v>
      </c>
      <c r="G1639" s="227" t="s">
        <v>434</v>
      </c>
    </row>
    <row r="1640" spans="1:7">
      <c r="A1640" s="216">
        <v>44256</v>
      </c>
      <c r="B1640" t="s">
        <v>46</v>
      </c>
      <c r="C1640">
        <v>11</v>
      </c>
      <c r="D1640" t="s">
        <v>445</v>
      </c>
      <c r="E1640" s="217">
        <v>44256</v>
      </c>
      <c r="F1640">
        <v>6400</v>
      </c>
      <c r="G1640" s="227" t="s">
        <v>79</v>
      </c>
    </row>
    <row r="1641" spans="1:7">
      <c r="A1641" s="216">
        <v>44256</v>
      </c>
      <c r="B1641" t="s">
        <v>46</v>
      </c>
      <c r="C1641">
        <v>11</v>
      </c>
      <c r="D1641" t="s">
        <v>445</v>
      </c>
      <c r="E1641" s="217">
        <v>44256</v>
      </c>
      <c r="F1641">
        <v>6445</v>
      </c>
      <c r="G1641" s="227" t="s">
        <v>115</v>
      </c>
    </row>
    <row r="1642" spans="1:7">
      <c r="A1642" s="216">
        <v>44256</v>
      </c>
      <c r="B1642" t="s">
        <v>46</v>
      </c>
      <c r="C1642">
        <v>11</v>
      </c>
      <c r="D1642" t="s">
        <v>445</v>
      </c>
      <c r="E1642" s="217">
        <v>44256</v>
      </c>
      <c r="F1642">
        <v>9645</v>
      </c>
      <c r="G1642" s="227" t="s">
        <v>106</v>
      </c>
    </row>
    <row r="1643" spans="1:7">
      <c r="A1643" s="216">
        <v>44256</v>
      </c>
      <c r="B1643" t="s">
        <v>46</v>
      </c>
      <c r="C1643">
        <v>11</v>
      </c>
      <c r="D1643" t="s">
        <v>445</v>
      </c>
      <c r="E1643" s="217">
        <v>44256</v>
      </c>
      <c r="F1643">
        <v>6994</v>
      </c>
      <c r="G1643" s="227" t="s">
        <v>101</v>
      </c>
    </row>
    <row r="1644" spans="1:7">
      <c r="A1644" s="216">
        <v>44256</v>
      </c>
      <c r="B1644" t="s">
        <v>46</v>
      </c>
      <c r="C1644">
        <v>11</v>
      </c>
      <c r="D1644" t="s">
        <v>445</v>
      </c>
      <c r="E1644" s="217">
        <v>44256</v>
      </c>
      <c r="F1644">
        <v>9824</v>
      </c>
      <c r="G1644" s="227" t="s">
        <v>84</v>
      </c>
    </row>
    <row r="1645" spans="1:7">
      <c r="A1645" s="216">
        <v>44256</v>
      </c>
      <c r="B1645" t="s">
        <v>46</v>
      </c>
      <c r="C1645">
        <v>11</v>
      </c>
      <c r="D1645" t="s">
        <v>445</v>
      </c>
      <c r="E1645" s="217">
        <v>44256</v>
      </c>
      <c r="F1645">
        <v>7540</v>
      </c>
      <c r="G1645" s="227" t="s">
        <v>128</v>
      </c>
    </row>
    <row r="1646" spans="1:7">
      <c r="A1646" s="216">
        <v>44256</v>
      </c>
      <c r="B1646" t="s">
        <v>46</v>
      </c>
      <c r="C1646">
        <v>11</v>
      </c>
      <c r="D1646" t="s">
        <v>445</v>
      </c>
      <c r="E1646" s="217">
        <v>44256</v>
      </c>
      <c r="F1646">
        <v>8840</v>
      </c>
      <c r="G1646" s="227" t="s">
        <v>124</v>
      </c>
    </row>
    <row r="1647" spans="1:7">
      <c r="A1647" s="216">
        <v>44256</v>
      </c>
      <c r="B1647" t="s">
        <v>46</v>
      </c>
      <c r="C1647">
        <v>11</v>
      </c>
      <c r="D1647" t="s">
        <v>445</v>
      </c>
      <c r="E1647" s="217">
        <v>44256</v>
      </c>
      <c r="F1647">
        <v>8820.5</v>
      </c>
      <c r="G1647" s="227" t="s">
        <v>120</v>
      </c>
    </row>
    <row r="1648" spans="1:7">
      <c r="A1648" s="216">
        <v>44256</v>
      </c>
      <c r="B1648" t="s">
        <v>46</v>
      </c>
      <c r="C1648">
        <v>11</v>
      </c>
      <c r="D1648" t="s">
        <v>445</v>
      </c>
      <c r="E1648" s="217">
        <v>44256</v>
      </c>
      <c r="F1648">
        <v>11702</v>
      </c>
      <c r="G1648" s="227" t="s">
        <v>89</v>
      </c>
    </row>
    <row r="1649" spans="1:7">
      <c r="A1649" s="216">
        <v>44256</v>
      </c>
      <c r="B1649" t="s">
        <v>46</v>
      </c>
      <c r="C1649">
        <v>11</v>
      </c>
      <c r="D1649" t="s">
        <v>445</v>
      </c>
      <c r="E1649" s="217">
        <v>44256</v>
      </c>
      <c r="F1649">
        <v>12931</v>
      </c>
      <c r="G1649" s="227" t="s">
        <v>97</v>
      </c>
    </row>
    <row r="1650" spans="1:7">
      <c r="A1650" s="216">
        <v>44256</v>
      </c>
      <c r="B1650" t="s">
        <v>46</v>
      </c>
      <c r="C1650">
        <v>11</v>
      </c>
      <c r="D1650" t="s">
        <v>445</v>
      </c>
      <c r="E1650" s="217">
        <v>44256</v>
      </c>
      <c r="F1650">
        <v>11042</v>
      </c>
      <c r="G1650" s="227" t="s">
        <v>93</v>
      </c>
    </row>
    <row r="1651" spans="1:7">
      <c r="A1651" s="216">
        <v>44256</v>
      </c>
      <c r="B1651" t="s">
        <v>46</v>
      </c>
      <c r="C1651">
        <v>11</v>
      </c>
      <c r="D1651" t="s">
        <v>445</v>
      </c>
      <c r="E1651" s="217">
        <v>44256</v>
      </c>
      <c r="F1651">
        <v>23460</v>
      </c>
      <c r="G1651" s="227" t="s">
        <v>111</v>
      </c>
    </row>
    <row r="1652" spans="1:7">
      <c r="A1652" s="216">
        <v>44256</v>
      </c>
      <c r="B1652" t="s">
        <v>46</v>
      </c>
      <c r="C1652">
        <v>11</v>
      </c>
      <c r="D1652" t="s">
        <v>445</v>
      </c>
      <c r="E1652" s="217">
        <v>44256</v>
      </c>
      <c r="F1652">
        <v>123643.5</v>
      </c>
      <c r="G1652" s="227" t="s">
        <v>434</v>
      </c>
    </row>
    <row r="1653" spans="1:7">
      <c r="A1653" s="216">
        <v>44256</v>
      </c>
      <c r="B1653" t="s">
        <v>46</v>
      </c>
      <c r="C1653">
        <v>12</v>
      </c>
      <c r="D1653" t="s">
        <v>454</v>
      </c>
      <c r="E1653" s="217">
        <v>44256</v>
      </c>
      <c r="F1653">
        <v>3199</v>
      </c>
      <c r="G1653" s="227" t="s">
        <v>79</v>
      </c>
    </row>
    <row r="1654" spans="1:7">
      <c r="A1654" s="216">
        <v>44256</v>
      </c>
      <c r="B1654" t="s">
        <v>46</v>
      </c>
      <c r="C1654">
        <v>12</v>
      </c>
      <c r="D1654" t="s">
        <v>454</v>
      </c>
      <c r="E1654" s="217">
        <v>44256</v>
      </c>
      <c r="F1654">
        <v>2883</v>
      </c>
      <c r="G1654" s="227" t="s">
        <v>115</v>
      </c>
    </row>
    <row r="1655" spans="1:7">
      <c r="A1655" s="216">
        <v>44256</v>
      </c>
      <c r="B1655" t="s">
        <v>46</v>
      </c>
      <c r="C1655">
        <v>12</v>
      </c>
      <c r="D1655" t="s">
        <v>454</v>
      </c>
      <c r="E1655" s="217">
        <v>44256</v>
      </c>
      <c r="F1655">
        <v>3387</v>
      </c>
      <c r="G1655" s="227" t="s">
        <v>106</v>
      </c>
    </row>
    <row r="1656" spans="1:7">
      <c r="A1656" s="216">
        <v>44256</v>
      </c>
      <c r="B1656" t="s">
        <v>46</v>
      </c>
      <c r="C1656">
        <v>12</v>
      </c>
      <c r="D1656" t="s">
        <v>454</v>
      </c>
      <c r="E1656" s="217">
        <v>44256</v>
      </c>
      <c r="F1656">
        <v>3803</v>
      </c>
      <c r="G1656" s="227" t="s">
        <v>101</v>
      </c>
    </row>
    <row r="1657" spans="1:7">
      <c r="A1657" s="216">
        <v>44256</v>
      </c>
      <c r="B1657" t="s">
        <v>46</v>
      </c>
      <c r="C1657">
        <v>12</v>
      </c>
      <c r="D1657" t="s">
        <v>454</v>
      </c>
      <c r="E1657" s="217">
        <v>44256</v>
      </c>
      <c r="F1657">
        <v>3312</v>
      </c>
      <c r="G1657" s="227" t="s">
        <v>84</v>
      </c>
    </row>
    <row r="1658" spans="1:7">
      <c r="A1658" s="216">
        <v>44256</v>
      </c>
      <c r="B1658" t="s">
        <v>46</v>
      </c>
      <c r="C1658">
        <v>12</v>
      </c>
      <c r="D1658" t="s">
        <v>454</v>
      </c>
      <c r="E1658" s="217">
        <v>44256</v>
      </c>
      <c r="F1658">
        <v>3853</v>
      </c>
      <c r="G1658" s="227" t="s">
        <v>128</v>
      </c>
    </row>
    <row r="1659" spans="1:7">
      <c r="A1659" s="216">
        <v>44256</v>
      </c>
      <c r="B1659" t="s">
        <v>46</v>
      </c>
      <c r="C1659">
        <v>12</v>
      </c>
      <c r="D1659" t="s">
        <v>454</v>
      </c>
      <c r="E1659" s="217">
        <v>44256</v>
      </c>
      <c r="F1659">
        <v>3665</v>
      </c>
      <c r="G1659" s="227" t="s">
        <v>124</v>
      </c>
    </row>
    <row r="1660" spans="1:7">
      <c r="A1660" s="216">
        <v>44256</v>
      </c>
      <c r="B1660" t="s">
        <v>46</v>
      </c>
      <c r="C1660">
        <v>12</v>
      </c>
      <c r="D1660" t="s">
        <v>454</v>
      </c>
      <c r="E1660" s="217">
        <v>44256</v>
      </c>
      <c r="F1660">
        <v>3911</v>
      </c>
      <c r="G1660" s="227" t="s">
        <v>120</v>
      </c>
    </row>
    <row r="1661" spans="1:7">
      <c r="A1661" s="216">
        <v>44256</v>
      </c>
      <c r="B1661" t="s">
        <v>46</v>
      </c>
      <c r="C1661">
        <v>12</v>
      </c>
      <c r="D1661" t="s">
        <v>454</v>
      </c>
      <c r="E1661" s="217">
        <v>44256</v>
      </c>
      <c r="F1661">
        <v>3831</v>
      </c>
      <c r="G1661" s="227" t="s">
        <v>89</v>
      </c>
    </row>
    <row r="1662" spans="1:7">
      <c r="A1662" s="216">
        <v>44256</v>
      </c>
      <c r="B1662" t="s">
        <v>46</v>
      </c>
      <c r="C1662">
        <v>12</v>
      </c>
      <c r="D1662" t="s">
        <v>454</v>
      </c>
      <c r="E1662" s="217">
        <v>44256</v>
      </c>
      <c r="F1662">
        <v>3904</v>
      </c>
      <c r="G1662" s="227" t="s">
        <v>97</v>
      </c>
    </row>
    <row r="1663" spans="1:7">
      <c r="A1663" s="216">
        <v>44256</v>
      </c>
      <c r="B1663" t="s">
        <v>46</v>
      </c>
      <c r="C1663">
        <v>12</v>
      </c>
      <c r="D1663" t="s">
        <v>454</v>
      </c>
      <c r="E1663" s="217">
        <v>44256</v>
      </c>
      <c r="F1663">
        <v>3463</v>
      </c>
      <c r="G1663" s="227" t="s">
        <v>93</v>
      </c>
    </row>
    <row r="1664" spans="1:7">
      <c r="A1664" s="216">
        <v>44256</v>
      </c>
      <c r="B1664" t="s">
        <v>46</v>
      </c>
      <c r="C1664">
        <v>12</v>
      </c>
      <c r="D1664" t="s">
        <v>454</v>
      </c>
      <c r="E1664" s="217">
        <v>44256</v>
      </c>
      <c r="F1664">
        <v>3935</v>
      </c>
      <c r="G1664" s="227" t="s">
        <v>111</v>
      </c>
    </row>
    <row r="1665" spans="1:7">
      <c r="A1665" s="216">
        <v>44256</v>
      </c>
      <c r="B1665" t="s">
        <v>46</v>
      </c>
      <c r="C1665">
        <v>12</v>
      </c>
      <c r="D1665" t="s">
        <v>454</v>
      </c>
      <c r="E1665" s="217">
        <v>44256</v>
      </c>
      <c r="F1665">
        <v>43146</v>
      </c>
      <c r="G1665" s="227" t="s">
        <v>434</v>
      </c>
    </row>
    <row r="1666" spans="1:7">
      <c r="A1666" s="216">
        <v>44256</v>
      </c>
      <c r="B1666" t="s">
        <v>46</v>
      </c>
      <c r="C1666">
        <v>13</v>
      </c>
      <c r="D1666" t="s">
        <v>441</v>
      </c>
      <c r="E1666" s="217">
        <v>44256</v>
      </c>
      <c r="F1666">
        <v>12433</v>
      </c>
      <c r="G1666" s="227" t="s">
        <v>79</v>
      </c>
    </row>
    <row r="1667" spans="1:7">
      <c r="A1667" s="216">
        <v>44256</v>
      </c>
      <c r="B1667" t="s">
        <v>46</v>
      </c>
      <c r="C1667">
        <v>13</v>
      </c>
      <c r="D1667" t="s">
        <v>441</v>
      </c>
      <c r="E1667" s="217">
        <v>44256</v>
      </c>
      <c r="F1667">
        <v>12867</v>
      </c>
      <c r="G1667" s="227" t="s">
        <v>115</v>
      </c>
    </row>
    <row r="1668" spans="1:7">
      <c r="A1668" s="216">
        <v>44256</v>
      </c>
      <c r="B1668" t="s">
        <v>46</v>
      </c>
      <c r="C1668">
        <v>13</v>
      </c>
      <c r="D1668" t="s">
        <v>441</v>
      </c>
      <c r="E1668" s="217">
        <v>44256</v>
      </c>
      <c r="F1668">
        <v>12329</v>
      </c>
      <c r="G1668" s="227" t="s">
        <v>106</v>
      </c>
    </row>
    <row r="1669" spans="1:7">
      <c r="A1669" s="216">
        <v>44256</v>
      </c>
      <c r="B1669" t="s">
        <v>46</v>
      </c>
      <c r="C1669">
        <v>13</v>
      </c>
      <c r="D1669" t="s">
        <v>441</v>
      </c>
      <c r="E1669" s="217">
        <v>44256</v>
      </c>
      <c r="F1669">
        <v>12995</v>
      </c>
      <c r="G1669" s="227" t="s">
        <v>101</v>
      </c>
    </row>
    <row r="1670" spans="1:7">
      <c r="A1670" s="216">
        <v>44256</v>
      </c>
      <c r="B1670" t="s">
        <v>46</v>
      </c>
      <c r="C1670">
        <v>13</v>
      </c>
      <c r="D1670" t="s">
        <v>441</v>
      </c>
      <c r="E1670" s="217">
        <v>44256</v>
      </c>
      <c r="F1670">
        <v>12788</v>
      </c>
      <c r="G1670" s="227" t="s">
        <v>84</v>
      </c>
    </row>
    <row r="1671" spans="1:7">
      <c r="A1671" s="216">
        <v>44256</v>
      </c>
      <c r="B1671" t="s">
        <v>46</v>
      </c>
      <c r="C1671">
        <v>13</v>
      </c>
      <c r="D1671" t="s">
        <v>441</v>
      </c>
      <c r="E1671" s="217">
        <v>44256</v>
      </c>
      <c r="F1671">
        <v>12575</v>
      </c>
      <c r="G1671" s="227" t="s">
        <v>128</v>
      </c>
    </row>
    <row r="1672" spans="1:7">
      <c r="A1672" s="216">
        <v>44256</v>
      </c>
      <c r="B1672" t="s">
        <v>46</v>
      </c>
      <c r="C1672">
        <v>13</v>
      </c>
      <c r="D1672" t="s">
        <v>441</v>
      </c>
      <c r="E1672" s="217">
        <v>44256</v>
      </c>
      <c r="F1672">
        <v>14952</v>
      </c>
      <c r="G1672" s="227" t="s">
        <v>124</v>
      </c>
    </row>
    <row r="1673" spans="1:7">
      <c r="A1673" s="216">
        <v>44256</v>
      </c>
      <c r="B1673" t="s">
        <v>46</v>
      </c>
      <c r="C1673">
        <v>13</v>
      </c>
      <c r="D1673" t="s">
        <v>441</v>
      </c>
      <c r="E1673" s="217">
        <v>44256</v>
      </c>
      <c r="F1673">
        <v>12705</v>
      </c>
      <c r="G1673" s="227" t="s">
        <v>120</v>
      </c>
    </row>
    <row r="1674" spans="1:7">
      <c r="A1674" s="216">
        <v>44256</v>
      </c>
      <c r="B1674" t="s">
        <v>46</v>
      </c>
      <c r="C1674">
        <v>13</v>
      </c>
      <c r="D1674" t="s">
        <v>441</v>
      </c>
      <c r="E1674" s="217">
        <v>44256</v>
      </c>
      <c r="F1674">
        <v>13546</v>
      </c>
      <c r="G1674" s="227" t="s">
        <v>89</v>
      </c>
    </row>
    <row r="1675" spans="1:7">
      <c r="A1675" s="216">
        <v>44256</v>
      </c>
      <c r="B1675" t="s">
        <v>46</v>
      </c>
      <c r="C1675">
        <v>13</v>
      </c>
      <c r="D1675" t="s">
        <v>441</v>
      </c>
      <c r="E1675" s="217">
        <v>44256</v>
      </c>
      <c r="F1675">
        <v>14064</v>
      </c>
      <c r="G1675" s="227" t="s">
        <v>97</v>
      </c>
    </row>
    <row r="1676" spans="1:7">
      <c r="A1676" s="216">
        <v>44256</v>
      </c>
      <c r="B1676" t="s">
        <v>46</v>
      </c>
      <c r="C1676">
        <v>13</v>
      </c>
      <c r="D1676" t="s">
        <v>441</v>
      </c>
      <c r="E1676" s="217">
        <v>44256</v>
      </c>
      <c r="F1676">
        <v>13099</v>
      </c>
      <c r="G1676" s="227" t="s">
        <v>93</v>
      </c>
    </row>
    <row r="1677" spans="1:7">
      <c r="A1677" s="216">
        <v>44256</v>
      </c>
      <c r="B1677" t="s">
        <v>46</v>
      </c>
      <c r="C1677">
        <v>13</v>
      </c>
      <c r="D1677" t="s">
        <v>441</v>
      </c>
      <c r="E1677" s="217">
        <v>44256</v>
      </c>
      <c r="F1677">
        <v>13024</v>
      </c>
      <c r="G1677" s="227" t="s">
        <v>111</v>
      </c>
    </row>
    <row r="1678" spans="1:7">
      <c r="A1678" s="216">
        <v>44256</v>
      </c>
      <c r="B1678" t="s">
        <v>46</v>
      </c>
      <c r="C1678">
        <v>13</v>
      </c>
      <c r="D1678" t="s">
        <v>441</v>
      </c>
      <c r="E1678" s="217">
        <v>44256</v>
      </c>
      <c r="F1678">
        <v>157377</v>
      </c>
      <c r="G1678" s="227" t="s">
        <v>434</v>
      </c>
    </row>
    <row r="1679" spans="1:7">
      <c r="A1679" s="216">
        <v>44256</v>
      </c>
      <c r="B1679" t="s">
        <v>46</v>
      </c>
      <c r="C1679">
        <v>14</v>
      </c>
      <c r="D1679" t="s">
        <v>447</v>
      </c>
      <c r="E1679" s="217">
        <v>44256</v>
      </c>
      <c r="F1679">
        <v>8</v>
      </c>
      <c r="G1679" s="227" t="s">
        <v>79</v>
      </c>
    </row>
    <row r="1680" spans="1:7">
      <c r="A1680" s="216">
        <v>44256</v>
      </c>
      <c r="B1680" t="s">
        <v>46</v>
      </c>
      <c r="C1680">
        <v>14</v>
      </c>
      <c r="D1680" t="s">
        <v>447</v>
      </c>
      <c r="E1680" s="217">
        <v>44256</v>
      </c>
      <c r="F1680">
        <v>8</v>
      </c>
      <c r="G1680" s="227" t="s">
        <v>115</v>
      </c>
    </row>
    <row r="1681" spans="1:7">
      <c r="A1681" s="216">
        <v>44256</v>
      </c>
      <c r="B1681" t="s">
        <v>46</v>
      </c>
      <c r="C1681">
        <v>14</v>
      </c>
      <c r="D1681" t="s">
        <v>447</v>
      </c>
      <c r="E1681" s="217">
        <v>44256</v>
      </c>
      <c r="F1681">
        <v>8</v>
      </c>
      <c r="G1681" s="227" t="s">
        <v>106</v>
      </c>
    </row>
    <row r="1682" spans="1:7">
      <c r="A1682" s="216">
        <v>44256</v>
      </c>
      <c r="B1682" t="s">
        <v>46</v>
      </c>
      <c r="C1682">
        <v>14</v>
      </c>
      <c r="D1682" t="s">
        <v>447</v>
      </c>
      <c r="E1682" s="217">
        <v>44256</v>
      </c>
      <c r="F1682">
        <v>8</v>
      </c>
      <c r="G1682" s="227" t="s">
        <v>101</v>
      </c>
    </row>
    <row r="1683" spans="1:7">
      <c r="A1683" s="216">
        <v>44256</v>
      </c>
      <c r="B1683" t="s">
        <v>46</v>
      </c>
      <c r="C1683">
        <v>14</v>
      </c>
      <c r="D1683" t="s">
        <v>447</v>
      </c>
      <c r="E1683" s="217">
        <v>44256</v>
      </c>
      <c r="F1683">
        <v>8</v>
      </c>
      <c r="G1683" s="227" t="s">
        <v>84</v>
      </c>
    </row>
    <row r="1684" spans="1:7">
      <c r="A1684" s="216">
        <v>44256</v>
      </c>
      <c r="B1684" t="s">
        <v>46</v>
      </c>
      <c r="C1684">
        <v>14</v>
      </c>
      <c r="D1684" t="s">
        <v>447</v>
      </c>
      <c r="E1684" s="217">
        <v>44256</v>
      </c>
      <c r="F1684">
        <v>1</v>
      </c>
      <c r="G1684" s="227" t="s">
        <v>128</v>
      </c>
    </row>
    <row r="1685" spans="1:7">
      <c r="A1685" s="216">
        <v>44256</v>
      </c>
      <c r="B1685" t="s">
        <v>46</v>
      </c>
      <c r="C1685">
        <v>14</v>
      </c>
      <c r="D1685" t="s">
        <v>447</v>
      </c>
      <c r="E1685" s="217">
        <v>44256</v>
      </c>
      <c r="F1685">
        <v>8</v>
      </c>
      <c r="G1685" s="227" t="s">
        <v>124</v>
      </c>
    </row>
    <row r="1686" spans="1:7">
      <c r="A1686" s="216">
        <v>44256</v>
      </c>
      <c r="B1686" t="s">
        <v>46</v>
      </c>
      <c r="C1686">
        <v>14</v>
      </c>
      <c r="D1686" t="s">
        <v>447</v>
      </c>
      <c r="E1686" s="217">
        <v>44256</v>
      </c>
      <c r="F1686">
        <v>6.8333333333333304</v>
      </c>
      <c r="G1686" s="227" t="s">
        <v>120</v>
      </c>
    </row>
    <row r="1687" spans="1:7">
      <c r="A1687" s="216">
        <v>44256</v>
      </c>
      <c r="B1687" t="s">
        <v>46</v>
      </c>
      <c r="C1687">
        <v>14</v>
      </c>
      <c r="D1687" t="s">
        <v>447</v>
      </c>
      <c r="E1687" s="217">
        <v>44256</v>
      </c>
      <c r="F1687">
        <v>8</v>
      </c>
      <c r="G1687" s="227" t="s">
        <v>89</v>
      </c>
    </row>
    <row r="1688" spans="1:7">
      <c r="A1688" s="216">
        <v>44256</v>
      </c>
      <c r="B1688" t="s">
        <v>46</v>
      </c>
      <c r="C1688">
        <v>14</v>
      </c>
      <c r="D1688" t="s">
        <v>447</v>
      </c>
      <c r="E1688" s="217">
        <v>44256</v>
      </c>
      <c r="F1688">
        <v>0</v>
      </c>
      <c r="G1688" s="227" t="s">
        <v>97</v>
      </c>
    </row>
    <row r="1689" spans="1:7">
      <c r="A1689" s="216">
        <v>44256</v>
      </c>
      <c r="B1689" t="s">
        <v>46</v>
      </c>
      <c r="C1689">
        <v>14</v>
      </c>
      <c r="D1689" t="s">
        <v>447</v>
      </c>
      <c r="E1689" s="217">
        <v>44256</v>
      </c>
      <c r="F1689">
        <v>0</v>
      </c>
      <c r="G1689" s="227" t="s">
        <v>93</v>
      </c>
    </row>
    <row r="1690" spans="1:7">
      <c r="A1690" s="216">
        <v>44256</v>
      </c>
      <c r="B1690" t="s">
        <v>46</v>
      </c>
      <c r="C1690">
        <v>14</v>
      </c>
      <c r="D1690" t="s">
        <v>447</v>
      </c>
      <c r="E1690" s="217">
        <v>44256</v>
      </c>
      <c r="F1690">
        <v>0</v>
      </c>
      <c r="G1690" s="227" t="s">
        <v>111</v>
      </c>
    </row>
    <row r="1691" spans="1:7">
      <c r="A1691" s="216">
        <v>44256</v>
      </c>
      <c r="B1691" t="s">
        <v>46</v>
      </c>
      <c r="C1691">
        <v>14</v>
      </c>
      <c r="D1691" t="s">
        <v>447</v>
      </c>
      <c r="E1691" s="217">
        <v>44256</v>
      </c>
      <c r="F1691">
        <v>63.8333333333333</v>
      </c>
      <c r="G1691" s="227" t="s">
        <v>434</v>
      </c>
    </row>
    <row r="1692" spans="1:7">
      <c r="A1692" s="216">
        <v>44256</v>
      </c>
      <c r="B1692" t="s">
        <v>46</v>
      </c>
      <c r="C1692">
        <v>15</v>
      </c>
      <c r="D1692" t="s">
        <v>437</v>
      </c>
      <c r="E1692" s="217">
        <v>44256</v>
      </c>
      <c r="F1692">
        <v>4729</v>
      </c>
      <c r="G1692" s="227" t="s">
        <v>79</v>
      </c>
    </row>
    <row r="1693" spans="1:7">
      <c r="A1693" s="216">
        <v>44256</v>
      </c>
      <c r="B1693" t="s">
        <v>46</v>
      </c>
      <c r="C1693">
        <v>15</v>
      </c>
      <c r="D1693" t="s">
        <v>437</v>
      </c>
      <c r="E1693" s="217">
        <v>44256</v>
      </c>
      <c r="F1693">
        <v>4432</v>
      </c>
      <c r="G1693" s="227" t="s">
        <v>115</v>
      </c>
    </row>
    <row r="1694" spans="1:7">
      <c r="A1694" s="216">
        <v>44256</v>
      </c>
      <c r="B1694" t="s">
        <v>46</v>
      </c>
      <c r="C1694">
        <v>15</v>
      </c>
      <c r="D1694" t="s">
        <v>437</v>
      </c>
      <c r="E1694" s="217">
        <v>44256</v>
      </c>
      <c r="F1694">
        <v>4255</v>
      </c>
      <c r="G1694" s="227" t="s">
        <v>106</v>
      </c>
    </row>
    <row r="1695" spans="1:7">
      <c r="A1695" s="216">
        <v>44256</v>
      </c>
      <c r="B1695" t="s">
        <v>46</v>
      </c>
      <c r="C1695">
        <v>15</v>
      </c>
      <c r="D1695" t="s">
        <v>437</v>
      </c>
      <c r="E1695" s="217">
        <v>44256</v>
      </c>
      <c r="F1695">
        <v>4330</v>
      </c>
      <c r="G1695" s="227" t="s">
        <v>101</v>
      </c>
    </row>
    <row r="1696" spans="1:7">
      <c r="A1696" s="216">
        <v>44256</v>
      </c>
      <c r="B1696" t="s">
        <v>46</v>
      </c>
      <c r="C1696">
        <v>15</v>
      </c>
      <c r="D1696" t="s">
        <v>437</v>
      </c>
      <c r="E1696" s="217">
        <v>44256</v>
      </c>
      <c r="F1696">
        <v>4120</v>
      </c>
      <c r="G1696" s="227" t="s">
        <v>84</v>
      </c>
    </row>
    <row r="1697" spans="1:7">
      <c r="A1697" s="216">
        <v>44256</v>
      </c>
      <c r="B1697" t="s">
        <v>46</v>
      </c>
      <c r="C1697">
        <v>15</v>
      </c>
      <c r="D1697" t="s">
        <v>437</v>
      </c>
      <c r="E1697" s="217">
        <v>44256</v>
      </c>
      <c r="F1697">
        <v>4110</v>
      </c>
      <c r="G1697" s="227" t="s">
        <v>128</v>
      </c>
    </row>
    <row r="1698" spans="1:7">
      <c r="A1698" s="216">
        <v>44256</v>
      </c>
      <c r="B1698" t="s">
        <v>46</v>
      </c>
      <c r="C1698">
        <v>15</v>
      </c>
      <c r="D1698" t="s">
        <v>437</v>
      </c>
      <c r="E1698" s="217">
        <v>44256</v>
      </c>
      <c r="F1698">
        <v>6377</v>
      </c>
      <c r="G1698" s="227" t="s">
        <v>124</v>
      </c>
    </row>
    <row r="1699" spans="1:7">
      <c r="A1699" s="216">
        <v>44256</v>
      </c>
      <c r="B1699" t="s">
        <v>46</v>
      </c>
      <c r="C1699">
        <v>15</v>
      </c>
      <c r="D1699" t="s">
        <v>437</v>
      </c>
      <c r="E1699" s="217">
        <v>44256</v>
      </c>
      <c r="F1699">
        <v>4173</v>
      </c>
      <c r="G1699" s="227" t="s">
        <v>120</v>
      </c>
    </row>
    <row r="1700" spans="1:7">
      <c r="A1700" s="216">
        <v>44256</v>
      </c>
      <c r="B1700" t="s">
        <v>46</v>
      </c>
      <c r="C1700">
        <v>15</v>
      </c>
      <c r="D1700" t="s">
        <v>437</v>
      </c>
      <c r="E1700" s="217">
        <v>44256</v>
      </c>
      <c r="F1700">
        <v>4498</v>
      </c>
      <c r="G1700" s="227" t="s">
        <v>89</v>
      </c>
    </row>
    <row r="1701" spans="1:7">
      <c r="A1701" s="216">
        <v>44256</v>
      </c>
      <c r="B1701" t="s">
        <v>46</v>
      </c>
      <c r="C1701">
        <v>15</v>
      </c>
      <c r="D1701" t="s">
        <v>437</v>
      </c>
      <c r="E1701" s="217">
        <v>44256</v>
      </c>
      <c r="F1701">
        <v>4378</v>
      </c>
      <c r="G1701" s="227" t="s">
        <v>97</v>
      </c>
    </row>
    <row r="1702" spans="1:7">
      <c r="A1702" s="216">
        <v>44256</v>
      </c>
      <c r="B1702" t="s">
        <v>46</v>
      </c>
      <c r="C1702">
        <v>15</v>
      </c>
      <c r="D1702" t="s">
        <v>437</v>
      </c>
      <c r="E1702" s="217">
        <v>44256</v>
      </c>
      <c r="F1702">
        <v>4470</v>
      </c>
      <c r="G1702" s="227" t="s">
        <v>93</v>
      </c>
    </row>
    <row r="1703" spans="1:7">
      <c r="A1703" s="216">
        <v>44256</v>
      </c>
      <c r="B1703" t="s">
        <v>46</v>
      </c>
      <c r="C1703">
        <v>15</v>
      </c>
      <c r="D1703" t="s">
        <v>437</v>
      </c>
      <c r="E1703" s="217">
        <v>44256</v>
      </c>
      <c r="F1703">
        <v>4255</v>
      </c>
      <c r="G1703" s="227" t="s">
        <v>111</v>
      </c>
    </row>
    <row r="1704" spans="1:7">
      <c r="A1704" s="216">
        <v>44256</v>
      </c>
      <c r="B1704" t="s">
        <v>46</v>
      </c>
      <c r="C1704">
        <v>15</v>
      </c>
      <c r="D1704" t="s">
        <v>437</v>
      </c>
      <c r="E1704" s="217">
        <v>44256</v>
      </c>
      <c r="F1704">
        <v>54127</v>
      </c>
      <c r="G1704" s="227" t="s">
        <v>434</v>
      </c>
    </row>
    <row r="1705" spans="1:7">
      <c r="A1705" s="216">
        <v>44256</v>
      </c>
      <c r="B1705" t="s">
        <v>51</v>
      </c>
      <c r="C1705">
        <v>7</v>
      </c>
      <c r="D1705" t="s">
        <v>442</v>
      </c>
      <c r="E1705" s="217">
        <v>44256</v>
      </c>
      <c r="F1705">
        <v>17692</v>
      </c>
      <c r="G1705" s="227" t="s">
        <v>79</v>
      </c>
    </row>
    <row r="1706" spans="1:7">
      <c r="A1706" s="216">
        <v>44256</v>
      </c>
      <c r="B1706" t="s">
        <v>51</v>
      </c>
      <c r="C1706">
        <v>7</v>
      </c>
      <c r="D1706" t="s">
        <v>442</v>
      </c>
      <c r="E1706" s="217">
        <v>44256</v>
      </c>
      <c r="F1706">
        <v>18508</v>
      </c>
      <c r="G1706" s="227" t="s">
        <v>115</v>
      </c>
    </row>
    <row r="1707" spans="1:7">
      <c r="A1707" s="216">
        <v>44256</v>
      </c>
      <c r="B1707" t="s">
        <v>51</v>
      </c>
      <c r="C1707">
        <v>7</v>
      </c>
      <c r="D1707" t="s">
        <v>442</v>
      </c>
      <c r="E1707" s="217">
        <v>44256</v>
      </c>
      <c r="F1707">
        <v>18638</v>
      </c>
      <c r="G1707" s="227" t="s">
        <v>106</v>
      </c>
    </row>
    <row r="1708" spans="1:7">
      <c r="A1708" s="216">
        <v>44256</v>
      </c>
      <c r="B1708" t="s">
        <v>51</v>
      </c>
      <c r="C1708">
        <v>7</v>
      </c>
      <c r="D1708" t="s">
        <v>442</v>
      </c>
      <c r="E1708" s="217">
        <v>44256</v>
      </c>
      <c r="F1708">
        <v>15418</v>
      </c>
      <c r="G1708" s="227" t="s">
        <v>101</v>
      </c>
    </row>
    <row r="1709" spans="1:7">
      <c r="A1709" s="216">
        <v>44256</v>
      </c>
      <c r="B1709" t="s">
        <v>51</v>
      </c>
      <c r="C1709">
        <v>7</v>
      </c>
      <c r="D1709" t="s">
        <v>442</v>
      </c>
      <c r="E1709" s="217">
        <v>44256</v>
      </c>
      <c r="F1709">
        <v>18839</v>
      </c>
      <c r="G1709" s="227" t="s">
        <v>84</v>
      </c>
    </row>
    <row r="1710" spans="1:7">
      <c r="A1710" s="216">
        <v>44256</v>
      </c>
      <c r="B1710" t="s">
        <v>51</v>
      </c>
      <c r="C1710">
        <v>7</v>
      </c>
      <c r="D1710" t="s">
        <v>442</v>
      </c>
      <c r="E1710" s="217">
        <v>44256</v>
      </c>
      <c r="F1710">
        <v>20509</v>
      </c>
      <c r="G1710" s="227" t="s">
        <v>128</v>
      </c>
    </row>
    <row r="1711" spans="1:7">
      <c r="A1711" s="216">
        <v>44256</v>
      </c>
      <c r="B1711" t="s">
        <v>51</v>
      </c>
      <c r="C1711">
        <v>7</v>
      </c>
      <c r="D1711" t="s">
        <v>442</v>
      </c>
      <c r="E1711" s="217">
        <v>44256</v>
      </c>
      <c r="F1711">
        <v>19451</v>
      </c>
      <c r="G1711" s="227" t="s">
        <v>124</v>
      </c>
    </row>
    <row r="1712" spans="1:7">
      <c r="A1712" s="216">
        <v>44256</v>
      </c>
      <c r="B1712" t="s">
        <v>51</v>
      </c>
      <c r="C1712">
        <v>7</v>
      </c>
      <c r="D1712" t="s">
        <v>442</v>
      </c>
      <c r="E1712" s="217">
        <v>44256</v>
      </c>
      <c r="F1712">
        <v>20539</v>
      </c>
      <c r="G1712" s="227" t="s">
        <v>120</v>
      </c>
    </row>
    <row r="1713" spans="1:7">
      <c r="A1713" s="216">
        <v>44256</v>
      </c>
      <c r="B1713" t="s">
        <v>51</v>
      </c>
      <c r="C1713">
        <v>7</v>
      </c>
      <c r="D1713" t="s">
        <v>442</v>
      </c>
      <c r="E1713" s="217">
        <v>44256</v>
      </c>
      <c r="F1713">
        <v>21268</v>
      </c>
      <c r="G1713" s="227" t="s">
        <v>89</v>
      </c>
    </row>
    <row r="1714" spans="1:7">
      <c r="A1714" s="216">
        <v>44256</v>
      </c>
      <c r="B1714" t="s">
        <v>51</v>
      </c>
      <c r="C1714">
        <v>7</v>
      </c>
      <c r="D1714" t="s">
        <v>442</v>
      </c>
      <c r="E1714" s="217">
        <v>44256</v>
      </c>
      <c r="F1714">
        <v>21727</v>
      </c>
      <c r="G1714" s="227" t="s">
        <v>97</v>
      </c>
    </row>
    <row r="1715" spans="1:7">
      <c r="A1715" s="216">
        <v>44256</v>
      </c>
      <c r="B1715" t="s">
        <v>51</v>
      </c>
      <c r="C1715">
        <v>7</v>
      </c>
      <c r="D1715" t="s">
        <v>442</v>
      </c>
      <c r="E1715" s="217">
        <v>44256</v>
      </c>
      <c r="F1715">
        <v>20679</v>
      </c>
      <c r="G1715" s="227" t="s">
        <v>93</v>
      </c>
    </row>
    <row r="1716" spans="1:7">
      <c r="A1716" s="216">
        <v>44256</v>
      </c>
      <c r="B1716" t="s">
        <v>51</v>
      </c>
      <c r="C1716">
        <v>7</v>
      </c>
      <c r="D1716" t="s">
        <v>442</v>
      </c>
      <c r="E1716" s="217">
        <v>44256</v>
      </c>
      <c r="F1716">
        <v>22083</v>
      </c>
      <c r="G1716" s="227" t="s">
        <v>111</v>
      </c>
    </row>
    <row r="1717" spans="1:7">
      <c r="A1717" s="216">
        <v>44256</v>
      </c>
      <c r="B1717" t="s">
        <v>51</v>
      </c>
      <c r="C1717">
        <v>7</v>
      </c>
      <c r="D1717" t="s">
        <v>442</v>
      </c>
      <c r="E1717" s="217">
        <v>44256</v>
      </c>
      <c r="F1717">
        <v>235351</v>
      </c>
      <c r="G1717" s="227" t="s">
        <v>434</v>
      </c>
    </row>
    <row r="1718" spans="1:7">
      <c r="A1718" s="216">
        <v>44256</v>
      </c>
      <c r="B1718" t="s">
        <v>51</v>
      </c>
      <c r="C1718">
        <v>8</v>
      </c>
      <c r="D1718" t="s">
        <v>451</v>
      </c>
      <c r="E1718" s="217">
        <v>44256</v>
      </c>
      <c r="F1718">
        <v>0</v>
      </c>
      <c r="G1718" s="227" t="s">
        <v>79</v>
      </c>
    </row>
    <row r="1719" spans="1:7">
      <c r="A1719" s="216">
        <v>44256</v>
      </c>
      <c r="B1719" t="s">
        <v>51</v>
      </c>
      <c r="C1719">
        <v>8</v>
      </c>
      <c r="D1719" t="s">
        <v>451</v>
      </c>
      <c r="E1719" s="217">
        <v>44256</v>
      </c>
      <c r="F1719">
        <v>0</v>
      </c>
      <c r="G1719" s="227" t="s">
        <v>115</v>
      </c>
    </row>
    <row r="1720" spans="1:7">
      <c r="A1720" s="216">
        <v>44256</v>
      </c>
      <c r="B1720" t="s">
        <v>51</v>
      </c>
      <c r="C1720">
        <v>8</v>
      </c>
      <c r="D1720" t="s">
        <v>451</v>
      </c>
      <c r="E1720" s="217">
        <v>44256</v>
      </c>
      <c r="F1720">
        <v>0</v>
      </c>
      <c r="G1720" s="227" t="s">
        <v>106</v>
      </c>
    </row>
    <row r="1721" spans="1:7">
      <c r="A1721" s="216">
        <v>44256</v>
      </c>
      <c r="B1721" t="s">
        <v>51</v>
      </c>
      <c r="C1721">
        <v>8</v>
      </c>
      <c r="D1721" t="s">
        <v>451</v>
      </c>
      <c r="E1721" s="217">
        <v>44256</v>
      </c>
      <c r="F1721">
        <v>0</v>
      </c>
      <c r="G1721" s="227" t="s">
        <v>101</v>
      </c>
    </row>
    <row r="1722" spans="1:7">
      <c r="A1722" s="216">
        <v>44256</v>
      </c>
      <c r="B1722" t="s">
        <v>51</v>
      </c>
      <c r="C1722">
        <v>8</v>
      </c>
      <c r="D1722" t="s">
        <v>451</v>
      </c>
      <c r="E1722" s="217">
        <v>44256</v>
      </c>
      <c r="F1722">
        <v>0</v>
      </c>
      <c r="G1722" s="227" t="s">
        <v>84</v>
      </c>
    </row>
    <row r="1723" spans="1:7">
      <c r="A1723" s="216">
        <v>44256</v>
      </c>
      <c r="B1723" t="s">
        <v>51</v>
      </c>
      <c r="C1723">
        <v>8</v>
      </c>
      <c r="D1723" t="s">
        <v>451</v>
      </c>
      <c r="E1723" s="217">
        <v>44256</v>
      </c>
      <c r="F1723">
        <v>0</v>
      </c>
      <c r="G1723" s="227" t="s">
        <v>128</v>
      </c>
    </row>
    <row r="1724" spans="1:7">
      <c r="A1724" s="216">
        <v>44256</v>
      </c>
      <c r="B1724" t="s">
        <v>51</v>
      </c>
      <c r="C1724">
        <v>8</v>
      </c>
      <c r="D1724" t="s">
        <v>451</v>
      </c>
      <c r="E1724" s="217">
        <v>44256</v>
      </c>
      <c r="F1724">
        <v>0</v>
      </c>
      <c r="G1724" s="227" t="s">
        <v>124</v>
      </c>
    </row>
    <row r="1725" spans="1:7">
      <c r="A1725" s="216">
        <v>44256</v>
      </c>
      <c r="B1725" t="s">
        <v>51</v>
      </c>
      <c r="C1725">
        <v>8</v>
      </c>
      <c r="D1725" t="s">
        <v>451</v>
      </c>
      <c r="E1725" s="217">
        <v>44256</v>
      </c>
      <c r="F1725">
        <v>0</v>
      </c>
      <c r="G1725" s="227" t="s">
        <v>120</v>
      </c>
    </row>
    <row r="1726" spans="1:7">
      <c r="A1726" s="216">
        <v>44256</v>
      </c>
      <c r="B1726" t="s">
        <v>51</v>
      </c>
      <c r="C1726">
        <v>8</v>
      </c>
      <c r="D1726" t="s">
        <v>451</v>
      </c>
      <c r="E1726" s="217">
        <v>44256</v>
      </c>
      <c r="F1726">
        <v>0</v>
      </c>
      <c r="G1726" s="227" t="s">
        <v>89</v>
      </c>
    </row>
    <row r="1727" spans="1:7">
      <c r="A1727" s="216">
        <v>44256</v>
      </c>
      <c r="B1727" t="s">
        <v>51</v>
      </c>
      <c r="C1727">
        <v>8</v>
      </c>
      <c r="D1727" t="s">
        <v>451</v>
      </c>
      <c r="E1727" s="217">
        <v>44256</v>
      </c>
      <c r="F1727">
        <v>0</v>
      </c>
      <c r="G1727" s="227" t="s">
        <v>97</v>
      </c>
    </row>
    <row r="1728" spans="1:7">
      <c r="A1728" s="216">
        <v>44256</v>
      </c>
      <c r="B1728" t="s">
        <v>51</v>
      </c>
      <c r="C1728">
        <v>8</v>
      </c>
      <c r="D1728" t="s">
        <v>451</v>
      </c>
      <c r="E1728" s="217">
        <v>44256</v>
      </c>
      <c r="F1728">
        <v>0</v>
      </c>
      <c r="G1728" s="227" t="s">
        <v>93</v>
      </c>
    </row>
    <row r="1729" spans="1:7">
      <c r="A1729" s="216">
        <v>44256</v>
      </c>
      <c r="B1729" t="s">
        <v>51</v>
      </c>
      <c r="C1729">
        <v>8</v>
      </c>
      <c r="D1729" t="s">
        <v>451</v>
      </c>
      <c r="E1729" s="217">
        <v>44256</v>
      </c>
      <c r="F1729">
        <v>0</v>
      </c>
      <c r="G1729" s="227" t="s">
        <v>111</v>
      </c>
    </row>
    <row r="1730" spans="1:7">
      <c r="A1730" s="216">
        <v>44256</v>
      </c>
      <c r="B1730" t="s">
        <v>51</v>
      </c>
      <c r="C1730">
        <v>8</v>
      </c>
      <c r="D1730" t="s">
        <v>451</v>
      </c>
      <c r="E1730" s="217">
        <v>44256</v>
      </c>
      <c r="F1730">
        <v>0</v>
      </c>
      <c r="G1730" s="227" t="s">
        <v>434</v>
      </c>
    </row>
    <row r="1731" spans="1:7">
      <c r="A1731" s="216">
        <v>44256</v>
      </c>
      <c r="B1731" t="s">
        <v>51</v>
      </c>
      <c r="C1731">
        <v>9</v>
      </c>
      <c r="D1731" t="s">
        <v>450</v>
      </c>
      <c r="E1731" s="217">
        <v>44256</v>
      </c>
      <c r="F1731">
        <v>0</v>
      </c>
      <c r="G1731" s="227" t="s">
        <v>79</v>
      </c>
    </row>
    <row r="1732" spans="1:7">
      <c r="A1732" s="216">
        <v>44256</v>
      </c>
      <c r="B1732" t="s">
        <v>51</v>
      </c>
      <c r="C1732">
        <v>9</v>
      </c>
      <c r="D1732" t="s">
        <v>450</v>
      </c>
      <c r="E1732" s="217">
        <v>44256</v>
      </c>
      <c r="F1732">
        <v>0</v>
      </c>
      <c r="G1732" s="227" t="s">
        <v>115</v>
      </c>
    </row>
    <row r="1733" spans="1:7">
      <c r="A1733" s="216">
        <v>44256</v>
      </c>
      <c r="B1733" t="s">
        <v>51</v>
      </c>
      <c r="C1733">
        <v>9</v>
      </c>
      <c r="D1733" t="s">
        <v>450</v>
      </c>
      <c r="E1733" s="217">
        <v>44256</v>
      </c>
      <c r="F1733">
        <v>0</v>
      </c>
      <c r="G1733" s="227" t="s">
        <v>106</v>
      </c>
    </row>
    <row r="1734" spans="1:7">
      <c r="A1734" s="216">
        <v>44256</v>
      </c>
      <c r="B1734" t="s">
        <v>51</v>
      </c>
      <c r="C1734">
        <v>9</v>
      </c>
      <c r="D1734" t="s">
        <v>450</v>
      </c>
      <c r="E1734" s="217">
        <v>44256</v>
      </c>
      <c r="F1734">
        <v>0</v>
      </c>
      <c r="G1734" s="227" t="s">
        <v>101</v>
      </c>
    </row>
    <row r="1735" spans="1:7">
      <c r="A1735" s="216">
        <v>44256</v>
      </c>
      <c r="B1735" t="s">
        <v>51</v>
      </c>
      <c r="C1735">
        <v>9</v>
      </c>
      <c r="D1735" t="s">
        <v>450</v>
      </c>
      <c r="E1735" s="217">
        <v>44256</v>
      </c>
      <c r="F1735">
        <v>0</v>
      </c>
      <c r="G1735" s="227" t="s">
        <v>84</v>
      </c>
    </row>
    <row r="1736" spans="1:7">
      <c r="A1736" s="216">
        <v>44256</v>
      </c>
      <c r="B1736" t="s">
        <v>51</v>
      </c>
      <c r="C1736">
        <v>9</v>
      </c>
      <c r="D1736" t="s">
        <v>450</v>
      </c>
      <c r="E1736" s="217">
        <v>44256</v>
      </c>
      <c r="F1736">
        <v>0</v>
      </c>
      <c r="G1736" s="227" t="s">
        <v>128</v>
      </c>
    </row>
    <row r="1737" spans="1:7">
      <c r="A1737" s="216">
        <v>44256</v>
      </c>
      <c r="B1737" t="s">
        <v>51</v>
      </c>
      <c r="C1737">
        <v>9</v>
      </c>
      <c r="D1737" t="s">
        <v>450</v>
      </c>
      <c r="E1737" s="217">
        <v>44256</v>
      </c>
      <c r="F1737">
        <v>0</v>
      </c>
      <c r="G1737" s="227" t="s">
        <v>124</v>
      </c>
    </row>
    <row r="1738" spans="1:7">
      <c r="A1738" s="216">
        <v>44256</v>
      </c>
      <c r="B1738" t="s">
        <v>51</v>
      </c>
      <c r="C1738">
        <v>9</v>
      </c>
      <c r="D1738" t="s">
        <v>450</v>
      </c>
      <c r="E1738" s="217">
        <v>44256</v>
      </c>
      <c r="F1738">
        <v>0</v>
      </c>
      <c r="G1738" s="227" t="s">
        <v>120</v>
      </c>
    </row>
    <row r="1739" spans="1:7">
      <c r="A1739" s="216">
        <v>44256</v>
      </c>
      <c r="B1739" t="s">
        <v>51</v>
      </c>
      <c r="C1739">
        <v>9</v>
      </c>
      <c r="D1739" t="s">
        <v>450</v>
      </c>
      <c r="E1739" s="217">
        <v>44256</v>
      </c>
      <c r="F1739">
        <v>0</v>
      </c>
      <c r="G1739" s="227" t="s">
        <v>89</v>
      </c>
    </row>
    <row r="1740" spans="1:7">
      <c r="A1740" s="216">
        <v>44256</v>
      </c>
      <c r="B1740" t="s">
        <v>51</v>
      </c>
      <c r="C1740">
        <v>9</v>
      </c>
      <c r="D1740" t="s">
        <v>450</v>
      </c>
      <c r="E1740" s="217">
        <v>44256</v>
      </c>
      <c r="F1740">
        <v>0</v>
      </c>
      <c r="G1740" s="227" t="s">
        <v>97</v>
      </c>
    </row>
    <row r="1741" spans="1:7">
      <c r="A1741" s="216">
        <v>44256</v>
      </c>
      <c r="B1741" t="s">
        <v>51</v>
      </c>
      <c r="C1741">
        <v>9</v>
      </c>
      <c r="D1741" t="s">
        <v>450</v>
      </c>
      <c r="E1741" s="217">
        <v>44256</v>
      </c>
      <c r="F1741">
        <v>0</v>
      </c>
      <c r="G1741" s="227" t="s">
        <v>93</v>
      </c>
    </row>
    <row r="1742" spans="1:7">
      <c r="A1742" s="216">
        <v>44256</v>
      </c>
      <c r="B1742" t="s">
        <v>51</v>
      </c>
      <c r="C1742">
        <v>9</v>
      </c>
      <c r="D1742" t="s">
        <v>450</v>
      </c>
      <c r="E1742" s="217">
        <v>44256</v>
      </c>
      <c r="F1742">
        <v>0</v>
      </c>
      <c r="G1742" s="227" t="s">
        <v>111</v>
      </c>
    </row>
    <row r="1743" spans="1:7">
      <c r="A1743" s="216">
        <v>44256</v>
      </c>
      <c r="B1743" t="s">
        <v>51</v>
      </c>
      <c r="C1743">
        <v>9</v>
      </c>
      <c r="D1743" t="s">
        <v>450</v>
      </c>
      <c r="E1743" s="217">
        <v>44256</v>
      </c>
      <c r="F1743">
        <v>0</v>
      </c>
      <c r="G1743" s="227" t="s">
        <v>434</v>
      </c>
    </row>
    <row r="1744" spans="1:7">
      <c r="A1744" s="216">
        <v>44256</v>
      </c>
      <c r="B1744" t="s">
        <v>51</v>
      </c>
      <c r="C1744">
        <v>10</v>
      </c>
      <c r="D1744" t="s">
        <v>433</v>
      </c>
      <c r="E1744" s="217">
        <v>44256</v>
      </c>
      <c r="F1744">
        <v>1268</v>
      </c>
      <c r="G1744" s="227" t="s">
        <v>79</v>
      </c>
    </row>
    <row r="1745" spans="1:7">
      <c r="A1745" s="216">
        <v>44256</v>
      </c>
      <c r="B1745" t="s">
        <v>51</v>
      </c>
      <c r="C1745">
        <v>10</v>
      </c>
      <c r="D1745" t="s">
        <v>433</v>
      </c>
      <c r="E1745" s="217">
        <v>44256</v>
      </c>
      <c r="F1745">
        <v>1260</v>
      </c>
      <c r="G1745" s="227" t="s">
        <v>115</v>
      </c>
    </row>
    <row r="1746" spans="1:7">
      <c r="A1746" s="216">
        <v>44256</v>
      </c>
      <c r="B1746" t="s">
        <v>51</v>
      </c>
      <c r="C1746">
        <v>10</v>
      </c>
      <c r="D1746" t="s">
        <v>433</v>
      </c>
      <c r="E1746" s="217">
        <v>44256</v>
      </c>
      <c r="F1746">
        <v>1267</v>
      </c>
      <c r="G1746" s="227" t="s">
        <v>106</v>
      </c>
    </row>
    <row r="1747" spans="1:7">
      <c r="A1747" s="216">
        <v>44256</v>
      </c>
      <c r="B1747" t="s">
        <v>51</v>
      </c>
      <c r="C1747">
        <v>10</v>
      </c>
      <c r="D1747" t="s">
        <v>433</v>
      </c>
      <c r="E1747" s="217">
        <v>44256</v>
      </c>
      <c r="F1747">
        <v>1265</v>
      </c>
      <c r="G1747" s="227" t="s">
        <v>101</v>
      </c>
    </row>
    <row r="1748" spans="1:7">
      <c r="A1748" s="216">
        <v>44256</v>
      </c>
      <c r="B1748" t="s">
        <v>51</v>
      </c>
      <c r="C1748">
        <v>10</v>
      </c>
      <c r="D1748" t="s">
        <v>433</v>
      </c>
      <c r="E1748" s="217">
        <v>44256</v>
      </c>
      <c r="F1748">
        <v>1278</v>
      </c>
      <c r="G1748" s="227" t="s">
        <v>84</v>
      </c>
    </row>
    <row r="1749" spans="1:7">
      <c r="A1749" s="216">
        <v>44256</v>
      </c>
      <c r="B1749" t="s">
        <v>51</v>
      </c>
      <c r="C1749">
        <v>10</v>
      </c>
      <c r="D1749" t="s">
        <v>433</v>
      </c>
      <c r="E1749" s="217">
        <v>44256</v>
      </c>
      <c r="F1749">
        <v>1276</v>
      </c>
      <c r="G1749" s="227" t="s">
        <v>128</v>
      </c>
    </row>
    <row r="1750" spans="1:7">
      <c r="A1750" s="216">
        <v>44256</v>
      </c>
      <c r="B1750" t="s">
        <v>51</v>
      </c>
      <c r="C1750">
        <v>10</v>
      </c>
      <c r="D1750" t="s">
        <v>433</v>
      </c>
      <c r="E1750" s="217">
        <v>44256</v>
      </c>
      <c r="F1750">
        <v>1351</v>
      </c>
      <c r="G1750" s="227" t="s">
        <v>124</v>
      </c>
    </row>
    <row r="1751" spans="1:7">
      <c r="A1751" s="216">
        <v>44256</v>
      </c>
      <c r="B1751" t="s">
        <v>51</v>
      </c>
      <c r="C1751">
        <v>10</v>
      </c>
      <c r="D1751" t="s">
        <v>433</v>
      </c>
      <c r="E1751" s="217">
        <v>44256</v>
      </c>
      <c r="F1751">
        <v>1342</v>
      </c>
      <c r="G1751" s="227" t="s">
        <v>120</v>
      </c>
    </row>
    <row r="1752" spans="1:7">
      <c r="A1752" s="216">
        <v>44256</v>
      </c>
      <c r="B1752" t="s">
        <v>51</v>
      </c>
      <c r="C1752">
        <v>10</v>
      </c>
      <c r="D1752" t="s">
        <v>433</v>
      </c>
      <c r="E1752" s="217">
        <v>44256</v>
      </c>
      <c r="F1752">
        <v>1397</v>
      </c>
      <c r="G1752" s="227" t="s">
        <v>89</v>
      </c>
    </row>
    <row r="1753" spans="1:7">
      <c r="A1753" s="216">
        <v>44256</v>
      </c>
      <c r="B1753" t="s">
        <v>51</v>
      </c>
      <c r="C1753">
        <v>10</v>
      </c>
      <c r="D1753" t="s">
        <v>433</v>
      </c>
      <c r="E1753" s="217">
        <v>44256</v>
      </c>
      <c r="F1753">
        <v>1503</v>
      </c>
      <c r="G1753" s="227" t="s">
        <v>97</v>
      </c>
    </row>
    <row r="1754" spans="1:7">
      <c r="A1754" s="216">
        <v>44256</v>
      </c>
      <c r="B1754" t="s">
        <v>51</v>
      </c>
      <c r="C1754">
        <v>10</v>
      </c>
      <c r="D1754" t="s">
        <v>433</v>
      </c>
      <c r="E1754" s="217">
        <v>44256</v>
      </c>
      <c r="F1754">
        <v>1462</v>
      </c>
      <c r="G1754" s="227" t="s">
        <v>93</v>
      </c>
    </row>
    <row r="1755" spans="1:7">
      <c r="A1755" s="216">
        <v>44256</v>
      </c>
      <c r="B1755" t="s">
        <v>51</v>
      </c>
      <c r="C1755">
        <v>10</v>
      </c>
      <c r="D1755" t="s">
        <v>433</v>
      </c>
      <c r="E1755" s="217">
        <v>44256</v>
      </c>
      <c r="F1755">
        <v>2411</v>
      </c>
      <c r="G1755" s="227" t="s">
        <v>111</v>
      </c>
    </row>
    <row r="1756" spans="1:7">
      <c r="A1756" s="216">
        <v>44256</v>
      </c>
      <c r="B1756" t="s">
        <v>51</v>
      </c>
      <c r="C1756">
        <v>10</v>
      </c>
      <c r="D1756" t="s">
        <v>433</v>
      </c>
      <c r="E1756" s="217">
        <v>44256</v>
      </c>
      <c r="F1756">
        <v>17080</v>
      </c>
      <c r="G1756" s="227" t="s">
        <v>434</v>
      </c>
    </row>
    <row r="1757" spans="1:7">
      <c r="A1757" s="216">
        <v>44256</v>
      </c>
      <c r="B1757" t="s">
        <v>51</v>
      </c>
      <c r="C1757">
        <v>11</v>
      </c>
      <c r="D1757" t="s">
        <v>445</v>
      </c>
      <c r="E1757" s="217">
        <v>44256</v>
      </c>
      <c r="F1757">
        <v>1149</v>
      </c>
      <c r="G1757" s="227" t="s">
        <v>79</v>
      </c>
    </row>
    <row r="1758" spans="1:7">
      <c r="A1758" s="216">
        <v>44256</v>
      </c>
      <c r="B1758" t="s">
        <v>51</v>
      </c>
      <c r="C1758">
        <v>11</v>
      </c>
      <c r="D1758" t="s">
        <v>445</v>
      </c>
      <c r="E1758" s="217">
        <v>44256</v>
      </c>
      <c r="F1758">
        <v>1121</v>
      </c>
      <c r="G1758" s="227" t="s">
        <v>115</v>
      </c>
    </row>
    <row r="1759" spans="1:7">
      <c r="A1759" s="216">
        <v>44256</v>
      </c>
      <c r="B1759" t="s">
        <v>51</v>
      </c>
      <c r="C1759">
        <v>11</v>
      </c>
      <c r="D1759" t="s">
        <v>445</v>
      </c>
      <c r="E1759" s="217">
        <v>44256</v>
      </c>
      <c r="F1759">
        <v>1189</v>
      </c>
      <c r="G1759" s="227" t="s">
        <v>106</v>
      </c>
    </row>
    <row r="1760" spans="1:7">
      <c r="A1760" s="216">
        <v>44256</v>
      </c>
      <c r="B1760" t="s">
        <v>51</v>
      </c>
      <c r="C1760">
        <v>11</v>
      </c>
      <c r="D1760" t="s">
        <v>445</v>
      </c>
      <c r="E1760" s="217">
        <v>44256</v>
      </c>
      <c r="F1760">
        <v>-226</v>
      </c>
      <c r="G1760" s="227" t="s">
        <v>101</v>
      </c>
    </row>
    <row r="1761" spans="1:7">
      <c r="A1761" s="216">
        <v>44256</v>
      </c>
      <c r="B1761" t="s">
        <v>51</v>
      </c>
      <c r="C1761">
        <v>11</v>
      </c>
      <c r="D1761" t="s">
        <v>445</v>
      </c>
      <c r="E1761" s="217">
        <v>44256</v>
      </c>
      <c r="F1761">
        <v>703</v>
      </c>
      <c r="G1761" s="227" t="s">
        <v>84</v>
      </c>
    </row>
    <row r="1762" spans="1:7">
      <c r="A1762" s="216">
        <v>44256</v>
      </c>
      <c r="B1762" t="s">
        <v>51</v>
      </c>
      <c r="C1762">
        <v>11</v>
      </c>
      <c r="D1762" t="s">
        <v>445</v>
      </c>
      <c r="E1762" s="217">
        <v>44256</v>
      </c>
      <c r="F1762">
        <v>1197</v>
      </c>
      <c r="G1762" s="227" t="s">
        <v>128</v>
      </c>
    </row>
    <row r="1763" spans="1:7">
      <c r="A1763" s="216">
        <v>44256</v>
      </c>
      <c r="B1763" t="s">
        <v>51</v>
      </c>
      <c r="C1763">
        <v>11</v>
      </c>
      <c r="D1763" t="s">
        <v>445</v>
      </c>
      <c r="E1763" s="217">
        <v>44256</v>
      </c>
      <c r="F1763">
        <v>1058</v>
      </c>
      <c r="G1763" s="227" t="s">
        <v>124</v>
      </c>
    </row>
    <row r="1764" spans="1:7">
      <c r="A1764" s="216">
        <v>44256</v>
      </c>
      <c r="B1764" t="s">
        <v>51</v>
      </c>
      <c r="C1764">
        <v>11</v>
      </c>
      <c r="D1764" t="s">
        <v>445</v>
      </c>
      <c r="E1764" s="217">
        <v>44256</v>
      </c>
      <c r="F1764">
        <v>1065</v>
      </c>
      <c r="G1764" s="227" t="s">
        <v>120</v>
      </c>
    </row>
    <row r="1765" spans="1:7">
      <c r="A1765" s="216">
        <v>44256</v>
      </c>
      <c r="B1765" t="s">
        <v>51</v>
      </c>
      <c r="C1765">
        <v>11</v>
      </c>
      <c r="D1765" t="s">
        <v>445</v>
      </c>
      <c r="E1765" s="217">
        <v>44256</v>
      </c>
      <c r="F1765">
        <v>1428</v>
      </c>
      <c r="G1765" s="227" t="s">
        <v>89</v>
      </c>
    </row>
    <row r="1766" spans="1:7">
      <c r="A1766" s="216">
        <v>44256</v>
      </c>
      <c r="B1766" t="s">
        <v>51</v>
      </c>
      <c r="C1766">
        <v>11</v>
      </c>
      <c r="D1766" t="s">
        <v>445</v>
      </c>
      <c r="E1766" s="217">
        <v>44256</v>
      </c>
      <c r="F1766">
        <v>1516</v>
      </c>
      <c r="G1766" s="227" t="s">
        <v>97</v>
      </c>
    </row>
    <row r="1767" spans="1:7">
      <c r="A1767" s="216">
        <v>44256</v>
      </c>
      <c r="B1767" t="s">
        <v>51</v>
      </c>
      <c r="C1767">
        <v>11</v>
      </c>
      <c r="D1767" t="s">
        <v>445</v>
      </c>
      <c r="E1767" s="217">
        <v>44256</v>
      </c>
      <c r="F1767">
        <v>1156</v>
      </c>
      <c r="G1767" s="227" t="s">
        <v>93</v>
      </c>
    </row>
    <row r="1768" spans="1:7">
      <c r="A1768" s="216">
        <v>44256</v>
      </c>
      <c r="B1768" t="s">
        <v>51</v>
      </c>
      <c r="C1768">
        <v>11</v>
      </c>
      <c r="D1768" t="s">
        <v>445</v>
      </c>
      <c r="E1768" s="217">
        <v>44256</v>
      </c>
      <c r="F1768">
        <v>1677</v>
      </c>
      <c r="G1768" s="227" t="s">
        <v>111</v>
      </c>
    </row>
    <row r="1769" spans="1:7">
      <c r="A1769" s="216">
        <v>44256</v>
      </c>
      <c r="B1769" t="s">
        <v>51</v>
      </c>
      <c r="C1769">
        <v>11</v>
      </c>
      <c r="D1769" t="s">
        <v>445</v>
      </c>
      <c r="E1769" s="217">
        <v>44256</v>
      </c>
      <c r="F1769">
        <v>13033</v>
      </c>
      <c r="G1769" s="227" t="s">
        <v>434</v>
      </c>
    </row>
    <row r="1770" spans="1:7">
      <c r="A1770" s="216">
        <v>44256</v>
      </c>
      <c r="B1770" t="s">
        <v>51</v>
      </c>
      <c r="C1770">
        <v>12</v>
      </c>
      <c r="D1770" t="s">
        <v>454</v>
      </c>
      <c r="E1770" s="217">
        <v>44256</v>
      </c>
      <c r="F1770">
        <v>0</v>
      </c>
      <c r="G1770" s="227" t="s">
        <v>79</v>
      </c>
    </row>
    <row r="1771" spans="1:7">
      <c r="A1771" s="216">
        <v>44256</v>
      </c>
      <c r="B1771" t="s">
        <v>51</v>
      </c>
      <c r="C1771">
        <v>12</v>
      </c>
      <c r="D1771" t="s">
        <v>454</v>
      </c>
      <c r="E1771" s="217">
        <v>44256</v>
      </c>
      <c r="F1771">
        <v>0</v>
      </c>
      <c r="G1771" s="227" t="s">
        <v>115</v>
      </c>
    </row>
    <row r="1772" spans="1:7">
      <c r="A1772" s="216">
        <v>44256</v>
      </c>
      <c r="B1772" t="s">
        <v>51</v>
      </c>
      <c r="C1772">
        <v>12</v>
      </c>
      <c r="D1772" t="s">
        <v>454</v>
      </c>
      <c r="E1772" s="217">
        <v>44256</v>
      </c>
      <c r="F1772">
        <v>0</v>
      </c>
      <c r="G1772" s="227" t="s">
        <v>106</v>
      </c>
    </row>
    <row r="1773" spans="1:7">
      <c r="A1773" s="216">
        <v>44256</v>
      </c>
      <c r="B1773" t="s">
        <v>51</v>
      </c>
      <c r="C1773">
        <v>12</v>
      </c>
      <c r="D1773" t="s">
        <v>454</v>
      </c>
      <c r="E1773" s="217">
        <v>44256</v>
      </c>
      <c r="F1773">
        <v>0</v>
      </c>
      <c r="G1773" s="227" t="s">
        <v>101</v>
      </c>
    </row>
    <row r="1774" spans="1:7">
      <c r="A1774" s="216">
        <v>44256</v>
      </c>
      <c r="B1774" t="s">
        <v>51</v>
      </c>
      <c r="C1774">
        <v>12</v>
      </c>
      <c r="D1774" t="s">
        <v>454</v>
      </c>
      <c r="E1774" s="217">
        <v>44256</v>
      </c>
      <c r="F1774">
        <v>0</v>
      </c>
      <c r="G1774" s="227" t="s">
        <v>84</v>
      </c>
    </row>
    <row r="1775" spans="1:7">
      <c r="A1775" s="216">
        <v>44256</v>
      </c>
      <c r="B1775" t="s">
        <v>51</v>
      </c>
      <c r="C1775">
        <v>12</v>
      </c>
      <c r="D1775" t="s">
        <v>454</v>
      </c>
      <c r="E1775" s="217">
        <v>44256</v>
      </c>
      <c r="F1775">
        <v>0</v>
      </c>
      <c r="G1775" s="227" t="s">
        <v>128</v>
      </c>
    </row>
    <row r="1776" spans="1:7">
      <c r="A1776" s="216">
        <v>44256</v>
      </c>
      <c r="B1776" t="s">
        <v>51</v>
      </c>
      <c r="C1776">
        <v>12</v>
      </c>
      <c r="D1776" t="s">
        <v>454</v>
      </c>
      <c r="E1776" s="217">
        <v>44256</v>
      </c>
      <c r="F1776">
        <v>0</v>
      </c>
      <c r="G1776" s="227" t="s">
        <v>124</v>
      </c>
    </row>
    <row r="1777" spans="1:7">
      <c r="A1777" s="216">
        <v>44256</v>
      </c>
      <c r="B1777" t="s">
        <v>51</v>
      </c>
      <c r="C1777">
        <v>12</v>
      </c>
      <c r="D1777" t="s">
        <v>454</v>
      </c>
      <c r="E1777" s="217">
        <v>44256</v>
      </c>
      <c r="F1777">
        <v>0</v>
      </c>
      <c r="G1777" s="227" t="s">
        <v>120</v>
      </c>
    </row>
    <row r="1778" spans="1:7">
      <c r="A1778" s="216">
        <v>44256</v>
      </c>
      <c r="B1778" t="s">
        <v>51</v>
      </c>
      <c r="C1778">
        <v>12</v>
      </c>
      <c r="D1778" t="s">
        <v>454</v>
      </c>
      <c r="E1778" s="217">
        <v>44256</v>
      </c>
      <c r="F1778">
        <v>0</v>
      </c>
      <c r="G1778" s="227" t="s">
        <v>89</v>
      </c>
    </row>
    <row r="1779" spans="1:7">
      <c r="A1779" s="216">
        <v>44256</v>
      </c>
      <c r="B1779" t="s">
        <v>51</v>
      </c>
      <c r="C1779">
        <v>12</v>
      </c>
      <c r="D1779" t="s">
        <v>454</v>
      </c>
      <c r="E1779" s="217">
        <v>44256</v>
      </c>
      <c r="F1779">
        <v>0</v>
      </c>
      <c r="G1779" s="227" t="s">
        <v>97</v>
      </c>
    </row>
    <row r="1780" spans="1:7">
      <c r="A1780" s="216">
        <v>44256</v>
      </c>
      <c r="B1780" t="s">
        <v>51</v>
      </c>
      <c r="C1780">
        <v>12</v>
      </c>
      <c r="D1780" t="s">
        <v>454</v>
      </c>
      <c r="E1780" s="217">
        <v>44256</v>
      </c>
      <c r="F1780">
        <v>0</v>
      </c>
      <c r="G1780" s="227" t="s">
        <v>93</v>
      </c>
    </row>
    <row r="1781" spans="1:7">
      <c r="A1781" s="216">
        <v>44256</v>
      </c>
      <c r="B1781" t="s">
        <v>51</v>
      </c>
      <c r="C1781">
        <v>12</v>
      </c>
      <c r="D1781" t="s">
        <v>454</v>
      </c>
      <c r="E1781" s="217">
        <v>44256</v>
      </c>
      <c r="F1781">
        <v>0</v>
      </c>
      <c r="G1781" s="227" t="s">
        <v>111</v>
      </c>
    </row>
    <row r="1782" spans="1:7">
      <c r="A1782" s="216">
        <v>44256</v>
      </c>
      <c r="B1782" t="s">
        <v>51</v>
      </c>
      <c r="C1782">
        <v>12</v>
      </c>
      <c r="D1782" t="s">
        <v>454</v>
      </c>
      <c r="E1782" s="217">
        <v>44256</v>
      </c>
      <c r="F1782">
        <v>0</v>
      </c>
      <c r="G1782" s="227" t="s">
        <v>434</v>
      </c>
    </row>
    <row r="1783" spans="1:7">
      <c r="A1783" s="216">
        <v>44256</v>
      </c>
      <c r="B1783" t="s">
        <v>51</v>
      </c>
      <c r="C1783">
        <v>13</v>
      </c>
      <c r="D1783" t="s">
        <v>441</v>
      </c>
      <c r="E1783" s="217">
        <v>44256</v>
      </c>
      <c r="F1783">
        <v>0</v>
      </c>
      <c r="G1783" s="227" t="s">
        <v>79</v>
      </c>
    </row>
    <row r="1784" spans="1:7">
      <c r="A1784" s="216">
        <v>44256</v>
      </c>
      <c r="B1784" t="s">
        <v>51</v>
      </c>
      <c r="C1784">
        <v>13</v>
      </c>
      <c r="D1784" t="s">
        <v>441</v>
      </c>
      <c r="E1784" s="217">
        <v>44256</v>
      </c>
      <c r="F1784">
        <v>0</v>
      </c>
      <c r="G1784" s="227" t="s">
        <v>115</v>
      </c>
    </row>
    <row r="1785" spans="1:7">
      <c r="A1785" s="216">
        <v>44256</v>
      </c>
      <c r="B1785" t="s">
        <v>51</v>
      </c>
      <c r="C1785">
        <v>13</v>
      </c>
      <c r="D1785" t="s">
        <v>441</v>
      </c>
      <c r="E1785" s="217">
        <v>44256</v>
      </c>
      <c r="F1785">
        <v>0</v>
      </c>
      <c r="G1785" s="227" t="s">
        <v>106</v>
      </c>
    </row>
    <row r="1786" spans="1:7">
      <c r="A1786" s="216">
        <v>44256</v>
      </c>
      <c r="B1786" t="s">
        <v>51</v>
      </c>
      <c r="C1786">
        <v>13</v>
      </c>
      <c r="D1786" t="s">
        <v>441</v>
      </c>
      <c r="E1786" s="217">
        <v>44256</v>
      </c>
      <c r="F1786">
        <v>0</v>
      </c>
      <c r="G1786" s="227" t="s">
        <v>101</v>
      </c>
    </row>
    <row r="1787" spans="1:7">
      <c r="A1787" s="216">
        <v>44256</v>
      </c>
      <c r="B1787" t="s">
        <v>51</v>
      </c>
      <c r="C1787">
        <v>13</v>
      </c>
      <c r="D1787" t="s">
        <v>441</v>
      </c>
      <c r="E1787" s="217">
        <v>44256</v>
      </c>
      <c r="F1787">
        <v>0</v>
      </c>
      <c r="G1787" s="227" t="s">
        <v>84</v>
      </c>
    </row>
    <row r="1788" spans="1:7">
      <c r="A1788" s="216">
        <v>44256</v>
      </c>
      <c r="B1788" t="s">
        <v>51</v>
      </c>
      <c r="C1788">
        <v>13</v>
      </c>
      <c r="D1788" t="s">
        <v>441</v>
      </c>
      <c r="E1788" s="217">
        <v>44256</v>
      </c>
      <c r="F1788">
        <v>0</v>
      </c>
      <c r="G1788" s="227" t="s">
        <v>128</v>
      </c>
    </row>
    <row r="1789" spans="1:7">
      <c r="A1789" s="216">
        <v>44256</v>
      </c>
      <c r="B1789" t="s">
        <v>51</v>
      </c>
      <c r="C1789">
        <v>13</v>
      </c>
      <c r="D1789" t="s">
        <v>441</v>
      </c>
      <c r="E1789" s="217">
        <v>44256</v>
      </c>
      <c r="F1789">
        <v>0</v>
      </c>
      <c r="G1789" s="227" t="s">
        <v>124</v>
      </c>
    </row>
    <row r="1790" spans="1:7">
      <c r="A1790" s="216">
        <v>44256</v>
      </c>
      <c r="B1790" t="s">
        <v>51</v>
      </c>
      <c r="C1790">
        <v>13</v>
      </c>
      <c r="D1790" t="s">
        <v>441</v>
      </c>
      <c r="E1790" s="217">
        <v>44256</v>
      </c>
      <c r="F1790">
        <v>0</v>
      </c>
      <c r="G1790" s="227" t="s">
        <v>120</v>
      </c>
    </row>
    <row r="1791" spans="1:7">
      <c r="A1791" s="216">
        <v>44256</v>
      </c>
      <c r="B1791" t="s">
        <v>51</v>
      </c>
      <c r="C1791">
        <v>13</v>
      </c>
      <c r="D1791" t="s">
        <v>441</v>
      </c>
      <c r="E1791" s="217">
        <v>44256</v>
      </c>
      <c r="F1791">
        <v>0</v>
      </c>
      <c r="G1791" s="227" t="s">
        <v>89</v>
      </c>
    </row>
    <row r="1792" spans="1:7">
      <c r="A1792" s="216">
        <v>44256</v>
      </c>
      <c r="B1792" t="s">
        <v>51</v>
      </c>
      <c r="C1792">
        <v>13</v>
      </c>
      <c r="D1792" t="s">
        <v>441</v>
      </c>
      <c r="E1792" s="217">
        <v>44256</v>
      </c>
      <c r="F1792">
        <v>0</v>
      </c>
      <c r="G1792" s="227" t="s">
        <v>97</v>
      </c>
    </row>
    <row r="1793" spans="1:7">
      <c r="A1793" s="216">
        <v>44256</v>
      </c>
      <c r="B1793" t="s">
        <v>51</v>
      </c>
      <c r="C1793">
        <v>13</v>
      </c>
      <c r="D1793" t="s">
        <v>441</v>
      </c>
      <c r="E1793" s="217">
        <v>44256</v>
      </c>
      <c r="F1793">
        <v>0</v>
      </c>
      <c r="G1793" s="227" t="s">
        <v>93</v>
      </c>
    </row>
    <row r="1794" spans="1:7">
      <c r="A1794" s="216">
        <v>44256</v>
      </c>
      <c r="B1794" t="s">
        <v>51</v>
      </c>
      <c r="C1794">
        <v>13</v>
      </c>
      <c r="D1794" t="s">
        <v>441</v>
      </c>
      <c r="E1794" s="217">
        <v>44256</v>
      </c>
      <c r="F1794">
        <v>0</v>
      </c>
      <c r="G1794" s="227" t="s">
        <v>111</v>
      </c>
    </row>
    <row r="1795" spans="1:7">
      <c r="A1795" s="216">
        <v>44256</v>
      </c>
      <c r="B1795" t="s">
        <v>51</v>
      </c>
      <c r="C1795">
        <v>13</v>
      </c>
      <c r="D1795" t="s">
        <v>441</v>
      </c>
      <c r="E1795" s="217">
        <v>44256</v>
      </c>
      <c r="F1795">
        <v>0</v>
      </c>
      <c r="G1795" s="227" t="s">
        <v>434</v>
      </c>
    </row>
    <row r="1796" spans="1:7">
      <c r="A1796" s="216">
        <v>44256</v>
      </c>
      <c r="B1796" t="s">
        <v>51</v>
      </c>
      <c r="C1796">
        <v>14</v>
      </c>
      <c r="D1796" t="s">
        <v>447</v>
      </c>
      <c r="E1796" s="217">
        <v>44256</v>
      </c>
      <c r="F1796">
        <v>0</v>
      </c>
      <c r="G1796" s="227" t="s">
        <v>79</v>
      </c>
    </row>
    <row r="1797" spans="1:7">
      <c r="A1797" s="216">
        <v>44256</v>
      </c>
      <c r="B1797" t="s">
        <v>51</v>
      </c>
      <c r="C1797">
        <v>14</v>
      </c>
      <c r="D1797" t="s">
        <v>447</v>
      </c>
      <c r="E1797" s="217">
        <v>44256</v>
      </c>
      <c r="F1797">
        <v>0</v>
      </c>
      <c r="G1797" s="227" t="s">
        <v>115</v>
      </c>
    </row>
    <row r="1798" spans="1:7">
      <c r="A1798" s="216">
        <v>44256</v>
      </c>
      <c r="B1798" t="s">
        <v>51</v>
      </c>
      <c r="C1798">
        <v>14</v>
      </c>
      <c r="D1798" t="s">
        <v>447</v>
      </c>
      <c r="E1798" s="217">
        <v>44256</v>
      </c>
      <c r="F1798">
        <v>0</v>
      </c>
      <c r="G1798" s="227" t="s">
        <v>106</v>
      </c>
    </row>
    <row r="1799" spans="1:7">
      <c r="A1799" s="216">
        <v>44256</v>
      </c>
      <c r="B1799" t="s">
        <v>51</v>
      </c>
      <c r="C1799">
        <v>14</v>
      </c>
      <c r="D1799" t="s">
        <v>447</v>
      </c>
      <c r="E1799" s="217">
        <v>44256</v>
      </c>
      <c r="F1799">
        <v>0</v>
      </c>
      <c r="G1799" s="227" t="s">
        <v>101</v>
      </c>
    </row>
    <row r="1800" spans="1:7">
      <c r="A1800" s="216">
        <v>44256</v>
      </c>
      <c r="B1800" t="s">
        <v>51</v>
      </c>
      <c r="C1800">
        <v>14</v>
      </c>
      <c r="D1800" t="s">
        <v>447</v>
      </c>
      <c r="E1800" s="217">
        <v>44256</v>
      </c>
      <c r="F1800">
        <v>0</v>
      </c>
      <c r="G1800" s="227" t="s">
        <v>84</v>
      </c>
    </row>
    <row r="1801" spans="1:7">
      <c r="A1801" s="216">
        <v>44256</v>
      </c>
      <c r="B1801" t="s">
        <v>51</v>
      </c>
      <c r="C1801">
        <v>14</v>
      </c>
      <c r="D1801" t="s">
        <v>447</v>
      </c>
      <c r="E1801" s="217">
        <v>44256</v>
      </c>
      <c r="F1801">
        <v>0</v>
      </c>
      <c r="G1801" s="227" t="s">
        <v>128</v>
      </c>
    </row>
    <row r="1802" spans="1:7">
      <c r="A1802" s="216">
        <v>44256</v>
      </c>
      <c r="B1802" t="s">
        <v>51</v>
      </c>
      <c r="C1802">
        <v>14</v>
      </c>
      <c r="D1802" t="s">
        <v>447</v>
      </c>
      <c r="E1802" s="217">
        <v>44256</v>
      </c>
      <c r="F1802">
        <v>0</v>
      </c>
      <c r="G1802" s="227" t="s">
        <v>124</v>
      </c>
    </row>
    <row r="1803" spans="1:7">
      <c r="A1803" s="216">
        <v>44256</v>
      </c>
      <c r="B1803" t="s">
        <v>51</v>
      </c>
      <c r="C1803">
        <v>14</v>
      </c>
      <c r="D1803" t="s">
        <v>447</v>
      </c>
      <c r="E1803" s="217">
        <v>44256</v>
      </c>
      <c r="F1803">
        <v>0</v>
      </c>
      <c r="G1803" s="227" t="s">
        <v>120</v>
      </c>
    </row>
    <row r="1804" spans="1:7">
      <c r="A1804" s="216">
        <v>44256</v>
      </c>
      <c r="B1804" t="s">
        <v>51</v>
      </c>
      <c r="C1804">
        <v>14</v>
      </c>
      <c r="D1804" t="s">
        <v>447</v>
      </c>
      <c r="E1804" s="217">
        <v>44256</v>
      </c>
      <c r="F1804">
        <v>0</v>
      </c>
      <c r="G1804" s="227" t="s">
        <v>89</v>
      </c>
    </row>
    <row r="1805" spans="1:7">
      <c r="A1805" s="216">
        <v>44256</v>
      </c>
      <c r="B1805" t="s">
        <v>51</v>
      </c>
      <c r="C1805">
        <v>14</v>
      </c>
      <c r="D1805" t="s">
        <v>447</v>
      </c>
      <c r="E1805" s="217">
        <v>44256</v>
      </c>
      <c r="F1805">
        <v>0</v>
      </c>
      <c r="G1805" s="227" t="s">
        <v>97</v>
      </c>
    </row>
    <row r="1806" spans="1:7">
      <c r="A1806" s="216">
        <v>44256</v>
      </c>
      <c r="B1806" t="s">
        <v>51</v>
      </c>
      <c r="C1806">
        <v>14</v>
      </c>
      <c r="D1806" t="s">
        <v>447</v>
      </c>
      <c r="E1806" s="217">
        <v>44256</v>
      </c>
      <c r="F1806">
        <v>0</v>
      </c>
      <c r="G1806" s="227" t="s">
        <v>93</v>
      </c>
    </row>
    <row r="1807" spans="1:7">
      <c r="A1807" s="216">
        <v>44256</v>
      </c>
      <c r="B1807" t="s">
        <v>51</v>
      </c>
      <c r="C1807">
        <v>14</v>
      </c>
      <c r="D1807" t="s">
        <v>447</v>
      </c>
      <c r="E1807" s="217">
        <v>44256</v>
      </c>
      <c r="F1807">
        <v>0</v>
      </c>
      <c r="G1807" s="227" t="s">
        <v>111</v>
      </c>
    </row>
    <row r="1808" spans="1:7">
      <c r="A1808" s="216">
        <v>44256</v>
      </c>
      <c r="B1808" t="s">
        <v>51</v>
      </c>
      <c r="C1808">
        <v>14</v>
      </c>
      <c r="D1808" t="s">
        <v>447</v>
      </c>
      <c r="E1808" s="217">
        <v>44256</v>
      </c>
      <c r="F1808">
        <v>0</v>
      </c>
      <c r="G1808" s="227" t="s">
        <v>434</v>
      </c>
    </row>
    <row r="1809" spans="1:7">
      <c r="A1809" s="216">
        <v>44256</v>
      </c>
      <c r="B1809" t="s">
        <v>51</v>
      </c>
      <c r="C1809">
        <v>15</v>
      </c>
      <c r="D1809" t="s">
        <v>437</v>
      </c>
      <c r="E1809" s="217">
        <v>44256</v>
      </c>
      <c r="F1809">
        <v>0</v>
      </c>
      <c r="G1809" s="227" t="s">
        <v>79</v>
      </c>
    </row>
    <row r="1810" spans="1:7">
      <c r="A1810" s="216">
        <v>44256</v>
      </c>
      <c r="B1810" t="s">
        <v>51</v>
      </c>
      <c r="C1810">
        <v>15</v>
      </c>
      <c r="D1810" t="s">
        <v>437</v>
      </c>
      <c r="E1810" s="217">
        <v>44256</v>
      </c>
      <c r="F1810">
        <v>0</v>
      </c>
      <c r="G1810" s="227" t="s">
        <v>115</v>
      </c>
    </row>
    <row r="1811" spans="1:7">
      <c r="A1811" s="216">
        <v>44256</v>
      </c>
      <c r="B1811" t="s">
        <v>51</v>
      </c>
      <c r="C1811">
        <v>15</v>
      </c>
      <c r="D1811" t="s">
        <v>437</v>
      </c>
      <c r="E1811" s="217">
        <v>44256</v>
      </c>
      <c r="F1811">
        <v>0</v>
      </c>
      <c r="G1811" s="227" t="s">
        <v>106</v>
      </c>
    </row>
    <row r="1812" spans="1:7">
      <c r="A1812" s="216">
        <v>44256</v>
      </c>
      <c r="B1812" t="s">
        <v>51</v>
      </c>
      <c r="C1812">
        <v>15</v>
      </c>
      <c r="D1812" t="s">
        <v>437</v>
      </c>
      <c r="E1812" s="217">
        <v>44256</v>
      </c>
      <c r="F1812">
        <v>0</v>
      </c>
      <c r="G1812" s="227" t="s">
        <v>101</v>
      </c>
    </row>
    <row r="1813" spans="1:7">
      <c r="A1813" s="216">
        <v>44256</v>
      </c>
      <c r="B1813" t="s">
        <v>51</v>
      </c>
      <c r="C1813">
        <v>15</v>
      </c>
      <c r="D1813" t="s">
        <v>437</v>
      </c>
      <c r="E1813" s="217">
        <v>44256</v>
      </c>
      <c r="F1813">
        <v>0</v>
      </c>
      <c r="G1813" s="227" t="s">
        <v>84</v>
      </c>
    </row>
    <row r="1814" spans="1:7">
      <c r="A1814" s="216">
        <v>44256</v>
      </c>
      <c r="B1814" t="s">
        <v>51</v>
      </c>
      <c r="C1814">
        <v>15</v>
      </c>
      <c r="D1814" t="s">
        <v>437</v>
      </c>
      <c r="E1814" s="217">
        <v>44256</v>
      </c>
      <c r="F1814">
        <v>0</v>
      </c>
      <c r="G1814" s="227" t="s">
        <v>128</v>
      </c>
    </row>
    <row r="1815" spans="1:7">
      <c r="A1815" s="216">
        <v>44256</v>
      </c>
      <c r="B1815" t="s">
        <v>51</v>
      </c>
      <c r="C1815">
        <v>15</v>
      </c>
      <c r="D1815" t="s">
        <v>437</v>
      </c>
      <c r="E1815" s="217">
        <v>44256</v>
      </c>
      <c r="F1815">
        <v>0</v>
      </c>
      <c r="G1815" s="227" t="s">
        <v>124</v>
      </c>
    </row>
    <row r="1816" spans="1:7">
      <c r="A1816" s="216">
        <v>44256</v>
      </c>
      <c r="B1816" t="s">
        <v>51</v>
      </c>
      <c r="C1816">
        <v>15</v>
      </c>
      <c r="D1816" t="s">
        <v>437</v>
      </c>
      <c r="E1816" s="217">
        <v>44256</v>
      </c>
      <c r="F1816">
        <v>0</v>
      </c>
      <c r="G1816" s="227" t="s">
        <v>120</v>
      </c>
    </row>
    <row r="1817" spans="1:7">
      <c r="A1817" s="216">
        <v>44256</v>
      </c>
      <c r="B1817" t="s">
        <v>51</v>
      </c>
      <c r="C1817">
        <v>15</v>
      </c>
      <c r="D1817" t="s">
        <v>437</v>
      </c>
      <c r="E1817" s="217">
        <v>44256</v>
      </c>
      <c r="F1817">
        <v>0</v>
      </c>
      <c r="G1817" s="227" t="s">
        <v>89</v>
      </c>
    </row>
    <row r="1818" spans="1:7">
      <c r="A1818" s="216">
        <v>44256</v>
      </c>
      <c r="B1818" t="s">
        <v>51</v>
      </c>
      <c r="C1818">
        <v>15</v>
      </c>
      <c r="D1818" t="s">
        <v>437</v>
      </c>
      <c r="E1818" s="217">
        <v>44256</v>
      </c>
      <c r="F1818">
        <v>0</v>
      </c>
      <c r="G1818" s="227" t="s">
        <v>97</v>
      </c>
    </row>
    <row r="1819" spans="1:7">
      <c r="A1819" s="216">
        <v>44256</v>
      </c>
      <c r="B1819" t="s">
        <v>51</v>
      </c>
      <c r="C1819">
        <v>15</v>
      </c>
      <c r="D1819" t="s">
        <v>437</v>
      </c>
      <c r="E1819" s="217">
        <v>44256</v>
      </c>
      <c r="F1819">
        <v>0</v>
      </c>
      <c r="G1819" s="227" t="s">
        <v>93</v>
      </c>
    </row>
    <row r="1820" spans="1:7">
      <c r="A1820" s="216">
        <v>44256</v>
      </c>
      <c r="B1820" t="s">
        <v>51</v>
      </c>
      <c r="C1820">
        <v>15</v>
      </c>
      <c r="D1820" t="s">
        <v>437</v>
      </c>
      <c r="E1820" s="217">
        <v>44256</v>
      </c>
      <c r="F1820">
        <v>0</v>
      </c>
      <c r="G1820" s="227" t="s">
        <v>111</v>
      </c>
    </row>
    <row r="1821" spans="1:7">
      <c r="A1821" s="216">
        <v>44256</v>
      </c>
      <c r="B1821" t="s">
        <v>51</v>
      </c>
      <c r="C1821">
        <v>15</v>
      </c>
      <c r="D1821" t="s">
        <v>437</v>
      </c>
      <c r="E1821" s="217">
        <v>44256</v>
      </c>
      <c r="F1821">
        <v>0</v>
      </c>
      <c r="G1821" s="227" t="s">
        <v>434</v>
      </c>
    </row>
    <row r="1822" spans="1:7">
      <c r="A1822" s="216">
        <v>44256</v>
      </c>
      <c r="B1822" t="s">
        <v>1168</v>
      </c>
      <c r="C1822">
        <v>7</v>
      </c>
      <c r="D1822" t="s">
        <v>442</v>
      </c>
      <c r="E1822" s="217">
        <v>44256</v>
      </c>
      <c r="F1822">
        <v>8321</v>
      </c>
      <c r="G1822" s="227" t="s">
        <v>79</v>
      </c>
    </row>
    <row r="1823" spans="1:7">
      <c r="A1823" s="216">
        <v>44256</v>
      </c>
      <c r="B1823" t="s">
        <v>1168</v>
      </c>
      <c r="C1823">
        <v>7</v>
      </c>
      <c r="D1823" t="s">
        <v>442</v>
      </c>
      <c r="E1823" s="217">
        <v>44256</v>
      </c>
      <c r="F1823">
        <v>6933</v>
      </c>
      <c r="G1823" s="227" t="s">
        <v>115</v>
      </c>
    </row>
    <row r="1824" spans="1:7">
      <c r="A1824" s="216">
        <v>44256</v>
      </c>
      <c r="B1824" t="s">
        <v>1168</v>
      </c>
      <c r="C1824">
        <v>7</v>
      </c>
      <c r="D1824" t="s">
        <v>442</v>
      </c>
      <c r="E1824" s="217">
        <v>44256</v>
      </c>
      <c r="F1824">
        <v>7115</v>
      </c>
      <c r="G1824" s="227" t="s">
        <v>106</v>
      </c>
    </row>
    <row r="1825" spans="1:7">
      <c r="A1825" s="216">
        <v>44256</v>
      </c>
      <c r="B1825" t="s">
        <v>1168</v>
      </c>
      <c r="C1825">
        <v>7</v>
      </c>
      <c r="D1825" t="s">
        <v>442</v>
      </c>
      <c r="E1825" s="217">
        <v>44256</v>
      </c>
      <c r="F1825">
        <v>7078</v>
      </c>
      <c r="G1825" s="227" t="s">
        <v>101</v>
      </c>
    </row>
    <row r="1826" spans="1:7">
      <c r="A1826" s="216">
        <v>44256</v>
      </c>
      <c r="B1826" t="s">
        <v>1168</v>
      </c>
      <c r="C1826">
        <v>7</v>
      </c>
      <c r="D1826" t="s">
        <v>442</v>
      </c>
      <c r="E1826" s="217">
        <v>44256</v>
      </c>
      <c r="F1826">
        <v>7257</v>
      </c>
      <c r="G1826" s="227" t="s">
        <v>84</v>
      </c>
    </row>
    <row r="1827" spans="1:7">
      <c r="A1827" s="216">
        <v>44256</v>
      </c>
      <c r="B1827" t="s">
        <v>1168</v>
      </c>
      <c r="C1827">
        <v>7</v>
      </c>
      <c r="D1827" t="s">
        <v>442</v>
      </c>
      <c r="E1827" s="217">
        <v>44256</v>
      </c>
      <c r="F1827">
        <v>9309</v>
      </c>
      <c r="G1827" s="227" t="s">
        <v>128</v>
      </c>
    </row>
    <row r="1828" spans="1:7">
      <c r="A1828" s="216">
        <v>44256</v>
      </c>
      <c r="B1828" t="s">
        <v>1168</v>
      </c>
      <c r="C1828">
        <v>7</v>
      </c>
      <c r="D1828" t="s">
        <v>442</v>
      </c>
      <c r="E1828" s="217">
        <v>44256</v>
      </c>
      <c r="F1828">
        <v>8048</v>
      </c>
      <c r="G1828" s="227" t="s">
        <v>124</v>
      </c>
    </row>
    <row r="1829" spans="1:7">
      <c r="A1829" s="216">
        <v>44256</v>
      </c>
      <c r="B1829" t="s">
        <v>1168</v>
      </c>
      <c r="C1829">
        <v>7</v>
      </c>
      <c r="D1829" t="s">
        <v>442</v>
      </c>
      <c r="E1829" s="217">
        <v>44256</v>
      </c>
      <c r="F1829">
        <v>7617</v>
      </c>
      <c r="G1829" s="227" t="s">
        <v>120</v>
      </c>
    </row>
    <row r="1830" spans="1:7">
      <c r="A1830" s="216">
        <v>44256</v>
      </c>
      <c r="B1830" t="s">
        <v>1168</v>
      </c>
      <c r="C1830">
        <v>7</v>
      </c>
      <c r="D1830" t="s">
        <v>442</v>
      </c>
      <c r="E1830" s="217">
        <v>44256</v>
      </c>
      <c r="F1830">
        <v>7519</v>
      </c>
      <c r="G1830" s="227" t="s">
        <v>89</v>
      </c>
    </row>
    <row r="1831" spans="1:7">
      <c r="A1831" s="216">
        <v>44256</v>
      </c>
      <c r="B1831" t="s">
        <v>1168</v>
      </c>
      <c r="C1831">
        <v>7</v>
      </c>
      <c r="D1831" t="s">
        <v>442</v>
      </c>
      <c r="E1831" s="217">
        <v>44256</v>
      </c>
      <c r="F1831">
        <v>7632</v>
      </c>
      <c r="G1831" s="227" t="s">
        <v>97</v>
      </c>
    </row>
    <row r="1832" spans="1:7">
      <c r="A1832" s="216">
        <v>44256</v>
      </c>
      <c r="B1832" t="s">
        <v>1168</v>
      </c>
      <c r="C1832">
        <v>7</v>
      </c>
      <c r="D1832" t="s">
        <v>442</v>
      </c>
      <c r="E1832" s="217">
        <v>44256</v>
      </c>
      <c r="F1832">
        <v>7852</v>
      </c>
      <c r="G1832" s="227" t="s">
        <v>93</v>
      </c>
    </row>
    <row r="1833" spans="1:7">
      <c r="A1833" s="216">
        <v>44256</v>
      </c>
      <c r="B1833" t="s">
        <v>1168</v>
      </c>
      <c r="C1833">
        <v>7</v>
      </c>
      <c r="D1833" t="s">
        <v>442</v>
      </c>
      <c r="E1833" s="217">
        <v>44256</v>
      </c>
      <c r="F1833">
        <v>18940</v>
      </c>
      <c r="G1833" s="227" t="s">
        <v>111</v>
      </c>
    </row>
    <row r="1834" spans="1:7">
      <c r="A1834" s="216">
        <v>44256</v>
      </c>
      <c r="B1834" t="s">
        <v>1168</v>
      </c>
      <c r="C1834">
        <v>7</v>
      </c>
      <c r="D1834" t="s">
        <v>442</v>
      </c>
      <c r="E1834" s="217">
        <v>44256</v>
      </c>
      <c r="F1834">
        <v>103621</v>
      </c>
      <c r="G1834" s="227" t="s">
        <v>434</v>
      </c>
    </row>
    <row r="1835" spans="1:7">
      <c r="A1835" s="216">
        <v>44256</v>
      </c>
      <c r="B1835" t="s">
        <v>1168</v>
      </c>
      <c r="C1835">
        <v>8</v>
      </c>
      <c r="D1835" t="s">
        <v>451</v>
      </c>
      <c r="E1835" s="217">
        <v>44256</v>
      </c>
      <c r="F1835">
        <v>0</v>
      </c>
      <c r="G1835" s="227" t="s">
        <v>79</v>
      </c>
    </row>
    <row r="1836" spans="1:7">
      <c r="A1836" s="216">
        <v>44256</v>
      </c>
      <c r="B1836" t="s">
        <v>1168</v>
      </c>
      <c r="C1836">
        <v>8</v>
      </c>
      <c r="D1836" t="s">
        <v>451</v>
      </c>
      <c r="E1836" s="217">
        <v>44256</v>
      </c>
      <c r="F1836">
        <v>0</v>
      </c>
      <c r="G1836" s="227" t="s">
        <v>115</v>
      </c>
    </row>
    <row r="1837" spans="1:7">
      <c r="A1837" s="216">
        <v>44256</v>
      </c>
      <c r="B1837" t="s">
        <v>1168</v>
      </c>
      <c r="C1837">
        <v>8</v>
      </c>
      <c r="D1837" t="s">
        <v>451</v>
      </c>
      <c r="E1837" s="217">
        <v>44256</v>
      </c>
      <c r="F1837">
        <v>0</v>
      </c>
      <c r="G1837" s="227" t="s">
        <v>106</v>
      </c>
    </row>
    <row r="1838" spans="1:7">
      <c r="A1838" s="216">
        <v>44256</v>
      </c>
      <c r="B1838" t="s">
        <v>1168</v>
      </c>
      <c r="C1838">
        <v>8</v>
      </c>
      <c r="D1838" t="s">
        <v>451</v>
      </c>
      <c r="E1838" s="217">
        <v>44256</v>
      </c>
      <c r="F1838">
        <v>0</v>
      </c>
      <c r="G1838" s="227" t="s">
        <v>101</v>
      </c>
    </row>
    <row r="1839" spans="1:7">
      <c r="A1839" s="216">
        <v>44256</v>
      </c>
      <c r="B1839" t="s">
        <v>1168</v>
      </c>
      <c r="C1839">
        <v>8</v>
      </c>
      <c r="D1839" t="s">
        <v>451</v>
      </c>
      <c r="E1839" s="217">
        <v>44256</v>
      </c>
      <c r="F1839">
        <v>0</v>
      </c>
      <c r="G1839" s="227" t="s">
        <v>84</v>
      </c>
    </row>
    <row r="1840" spans="1:7">
      <c r="A1840" s="216">
        <v>44256</v>
      </c>
      <c r="B1840" t="s">
        <v>1168</v>
      </c>
      <c r="C1840">
        <v>8</v>
      </c>
      <c r="D1840" t="s">
        <v>451</v>
      </c>
      <c r="E1840" s="217">
        <v>44256</v>
      </c>
      <c r="F1840">
        <v>0</v>
      </c>
      <c r="G1840" s="227" t="s">
        <v>128</v>
      </c>
    </row>
    <row r="1841" spans="1:7">
      <c r="A1841" s="216">
        <v>44256</v>
      </c>
      <c r="B1841" t="s">
        <v>1168</v>
      </c>
      <c r="C1841">
        <v>8</v>
      </c>
      <c r="D1841" t="s">
        <v>451</v>
      </c>
      <c r="E1841" s="217">
        <v>44256</v>
      </c>
      <c r="F1841">
        <v>0</v>
      </c>
      <c r="G1841" s="227" t="s">
        <v>124</v>
      </c>
    </row>
    <row r="1842" spans="1:7">
      <c r="A1842" s="216">
        <v>44256</v>
      </c>
      <c r="B1842" t="s">
        <v>1168</v>
      </c>
      <c r="C1842">
        <v>8</v>
      </c>
      <c r="D1842" t="s">
        <v>451</v>
      </c>
      <c r="E1842" s="217">
        <v>44256</v>
      </c>
      <c r="F1842">
        <v>0</v>
      </c>
      <c r="G1842" s="227" t="s">
        <v>120</v>
      </c>
    </row>
    <row r="1843" spans="1:7">
      <c r="A1843" s="216">
        <v>44256</v>
      </c>
      <c r="B1843" t="s">
        <v>1168</v>
      </c>
      <c r="C1843">
        <v>8</v>
      </c>
      <c r="D1843" t="s">
        <v>451</v>
      </c>
      <c r="E1843" s="217">
        <v>44256</v>
      </c>
      <c r="F1843">
        <v>0</v>
      </c>
      <c r="G1843" s="227" t="s">
        <v>89</v>
      </c>
    </row>
    <row r="1844" spans="1:7">
      <c r="A1844" s="216">
        <v>44256</v>
      </c>
      <c r="B1844" t="s">
        <v>1168</v>
      </c>
      <c r="C1844">
        <v>8</v>
      </c>
      <c r="D1844" t="s">
        <v>451</v>
      </c>
      <c r="E1844" s="217">
        <v>44256</v>
      </c>
      <c r="F1844">
        <v>0</v>
      </c>
      <c r="G1844" s="227" t="s">
        <v>97</v>
      </c>
    </row>
    <row r="1845" spans="1:7">
      <c r="A1845" s="216">
        <v>44256</v>
      </c>
      <c r="B1845" t="s">
        <v>1168</v>
      </c>
      <c r="C1845">
        <v>8</v>
      </c>
      <c r="D1845" t="s">
        <v>451</v>
      </c>
      <c r="E1845" s="217">
        <v>44256</v>
      </c>
      <c r="F1845">
        <v>0</v>
      </c>
      <c r="G1845" s="227" t="s">
        <v>93</v>
      </c>
    </row>
    <row r="1846" spans="1:7">
      <c r="A1846" s="216">
        <v>44256</v>
      </c>
      <c r="B1846" t="s">
        <v>1168</v>
      </c>
      <c r="C1846">
        <v>8</v>
      </c>
      <c r="D1846" t="s">
        <v>451</v>
      </c>
      <c r="E1846" s="217">
        <v>44256</v>
      </c>
      <c r="F1846">
        <v>0</v>
      </c>
      <c r="G1846" s="227" t="s">
        <v>111</v>
      </c>
    </row>
    <row r="1847" spans="1:7">
      <c r="A1847" s="216">
        <v>44256</v>
      </c>
      <c r="B1847" t="s">
        <v>1168</v>
      </c>
      <c r="C1847">
        <v>8</v>
      </c>
      <c r="D1847" t="s">
        <v>451</v>
      </c>
      <c r="E1847" s="217">
        <v>44256</v>
      </c>
      <c r="F1847">
        <v>0</v>
      </c>
      <c r="G1847" s="227" t="s">
        <v>434</v>
      </c>
    </row>
    <row r="1848" spans="1:7">
      <c r="A1848" s="216">
        <v>44256</v>
      </c>
      <c r="B1848" t="s">
        <v>1168</v>
      </c>
      <c r="C1848">
        <v>9</v>
      </c>
      <c r="D1848" t="s">
        <v>450</v>
      </c>
      <c r="E1848" s="217">
        <v>44256</v>
      </c>
      <c r="F1848">
        <v>0</v>
      </c>
      <c r="G1848" s="227" t="s">
        <v>79</v>
      </c>
    </row>
    <row r="1849" spans="1:7">
      <c r="A1849" s="216">
        <v>44256</v>
      </c>
      <c r="B1849" t="s">
        <v>1168</v>
      </c>
      <c r="C1849">
        <v>9</v>
      </c>
      <c r="D1849" t="s">
        <v>450</v>
      </c>
      <c r="E1849" s="217">
        <v>44256</v>
      </c>
      <c r="F1849">
        <v>0</v>
      </c>
      <c r="G1849" s="227" t="s">
        <v>115</v>
      </c>
    </row>
    <row r="1850" spans="1:7">
      <c r="A1850" s="216">
        <v>44256</v>
      </c>
      <c r="B1850" t="s">
        <v>1168</v>
      </c>
      <c r="C1850">
        <v>9</v>
      </c>
      <c r="D1850" t="s">
        <v>450</v>
      </c>
      <c r="E1850" s="217">
        <v>44256</v>
      </c>
      <c r="F1850">
        <v>0</v>
      </c>
      <c r="G1850" s="227" t="s">
        <v>106</v>
      </c>
    </row>
    <row r="1851" spans="1:7">
      <c r="A1851" s="216">
        <v>44256</v>
      </c>
      <c r="B1851" t="s">
        <v>1168</v>
      </c>
      <c r="C1851">
        <v>9</v>
      </c>
      <c r="D1851" t="s">
        <v>450</v>
      </c>
      <c r="E1851" s="217">
        <v>44256</v>
      </c>
      <c r="F1851">
        <v>0</v>
      </c>
      <c r="G1851" s="227" t="s">
        <v>101</v>
      </c>
    </row>
    <row r="1852" spans="1:7">
      <c r="A1852" s="216">
        <v>44256</v>
      </c>
      <c r="B1852" t="s">
        <v>1168</v>
      </c>
      <c r="C1852">
        <v>9</v>
      </c>
      <c r="D1852" t="s">
        <v>450</v>
      </c>
      <c r="E1852" s="217">
        <v>44256</v>
      </c>
      <c r="F1852">
        <v>0</v>
      </c>
      <c r="G1852" s="227" t="s">
        <v>84</v>
      </c>
    </row>
    <row r="1853" spans="1:7">
      <c r="A1853" s="216">
        <v>44256</v>
      </c>
      <c r="B1853" t="s">
        <v>1168</v>
      </c>
      <c r="C1853">
        <v>9</v>
      </c>
      <c r="D1853" t="s">
        <v>450</v>
      </c>
      <c r="E1853" s="217">
        <v>44256</v>
      </c>
      <c r="F1853">
        <v>0</v>
      </c>
      <c r="G1853" s="227" t="s">
        <v>128</v>
      </c>
    </row>
    <row r="1854" spans="1:7">
      <c r="A1854" s="216">
        <v>44256</v>
      </c>
      <c r="B1854" t="s">
        <v>1168</v>
      </c>
      <c r="C1854">
        <v>9</v>
      </c>
      <c r="D1854" t="s">
        <v>450</v>
      </c>
      <c r="E1854" s="217">
        <v>44256</v>
      </c>
      <c r="F1854">
        <v>0</v>
      </c>
      <c r="G1854" s="227" t="s">
        <v>124</v>
      </c>
    </row>
    <row r="1855" spans="1:7">
      <c r="A1855" s="216">
        <v>44256</v>
      </c>
      <c r="B1855" t="s">
        <v>1168</v>
      </c>
      <c r="C1855">
        <v>9</v>
      </c>
      <c r="D1855" t="s">
        <v>450</v>
      </c>
      <c r="E1855" s="217">
        <v>44256</v>
      </c>
      <c r="F1855">
        <v>0</v>
      </c>
      <c r="G1855" s="227" t="s">
        <v>120</v>
      </c>
    </row>
    <row r="1856" spans="1:7">
      <c r="A1856" s="216">
        <v>44256</v>
      </c>
      <c r="B1856" t="s">
        <v>1168</v>
      </c>
      <c r="C1856">
        <v>9</v>
      </c>
      <c r="D1856" t="s">
        <v>450</v>
      </c>
      <c r="E1856" s="217">
        <v>44256</v>
      </c>
      <c r="F1856">
        <v>0</v>
      </c>
      <c r="G1856" s="227" t="s">
        <v>89</v>
      </c>
    </row>
    <row r="1857" spans="1:7">
      <c r="A1857" s="216">
        <v>44256</v>
      </c>
      <c r="B1857" t="s">
        <v>1168</v>
      </c>
      <c r="C1857">
        <v>9</v>
      </c>
      <c r="D1857" t="s">
        <v>450</v>
      </c>
      <c r="E1857" s="217">
        <v>44256</v>
      </c>
      <c r="F1857">
        <v>0</v>
      </c>
      <c r="G1857" s="227" t="s">
        <v>97</v>
      </c>
    </row>
    <row r="1858" spans="1:7">
      <c r="A1858" s="216">
        <v>44256</v>
      </c>
      <c r="B1858" t="s">
        <v>1168</v>
      </c>
      <c r="C1858">
        <v>9</v>
      </c>
      <c r="D1858" t="s">
        <v>450</v>
      </c>
      <c r="E1858" s="217">
        <v>44256</v>
      </c>
      <c r="F1858">
        <v>0</v>
      </c>
      <c r="G1858" s="227" t="s">
        <v>93</v>
      </c>
    </row>
    <row r="1859" spans="1:7">
      <c r="A1859" s="216">
        <v>44256</v>
      </c>
      <c r="B1859" t="s">
        <v>1168</v>
      </c>
      <c r="C1859">
        <v>9</v>
      </c>
      <c r="D1859" t="s">
        <v>450</v>
      </c>
      <c r="E1859" s="217">
        <v>44256</v>
      </c>
      <c r="F1859">
        <v>0</v>
      </c>
      <c r="G1859" s="227" t="s">
        <v>111</v>
      </c>
    </row>
    <row r="1860" spans="1:7">
      <c r="A1860" s="216">
        <v>44256</v>
      </c>
      <c r="B1860" t="s">
        <v>1168</v>
      </c>
      <c r="C1860">
        <v>9</v>
      </c>
      <c r="D1860" t="s">
        <v>450</v>
      </c>
      <c r="E1860" s="217">
        <v>44256</v>
      </c>
      <c r="F1860">
        <v>0</v>
      </c>
      <c r="G1860" s="227" t="s">
        <v>434</v>
      </c>
    </row>
    <row r="1861" spans="1:7">
      <c r="A1861" s="216">
        <v>44256</v>
      </c>
      <c r="B1861" t="s">
        <v>1168</v>
      </c>
      <c r="C1861">
        <v>10</v>
      </c>
      <c r="D1861" t="s">
        <v>433</v>
      </c>
      <c r="E1861" s="217">
        <v>44256</v>
      </c>
      <c r="F1861">
        <v>2829</v>
      </c>
      <c r="G1861" s="227" t="s">
        <v>79</v>
      </c>
    </row>
    <row r="1862" spans="1:7">
      <c r="A1862" s="216">
        <v>44256</v>
      </c>
      <c r="B1862" t="s">
        <v>1168</v>
      </c>
      <c r="C1862">
        <v>10</v>
      </c>
      <c r="D1862" t="s">
        <v>433</v>
      </c>
      <c r="E1862" s="217">
        <v>44256</v>
      </c>
      <c r="F1862">
        <v>2843</v>
      </c>
      <c r="G1862" s="227" t="s">
        <v>115</v>
      </c>
    </row>
    <row r="1863" spans="1:7">
      <c r="A1863" s="216">
        <v>44256</v>
      </c>
      <c r="B1863" t="s">
        <v>1168</v>
      </c>
      <c r="C1863">
        <v>10</v>
      </c>
      <c r="D1863" t="s">
        <v>433</v>
      </c>
      <c r="E1863" s="217">
        <v>44256</v>
      </c>
      <c r="F1863">
        <v>2826</v>
      </c>
      <c r="G1863" s="227" t="s">
        <v>106</v>
      </c>
    </row>
    <row r="1864" spans="1:7">
      <c r="A1864" s="216">
        <v>44256</v>
      </c>
      <c r="B1864" t="s">
        <v>1168</v>
      </c>
      <c r="C1864">
        <v>10</v>
      </c>
      <c r="D1864" t="s">
        <v>433</v>
      </c>
      <c r="E1864" s="217">
        <v>44256</v>
      </c>
      <c r="F1864">
        <v>2907</v>
      </c>
      <c r="G1864" s="227" t="s">
        <v>101</v>
      </c>
    </row>
    <row r="1865" spans="1:7">
      <c r="A1865" s="216">
        <v>44256</v>
      </c>
      <c r="B1865" t="s">
        <v>1168</v>
      </c>
      <c r="C1865">
        <v>10</v>
      </c>
      <c r="D1865" t="s">
        <v>433</v>
      </c>
      <c r="E1865" s="217">
        <v>44256</v>
      </c>
      <c r="F1865">
        <v>2883</v>
      </c>
      <c r="G1865" s="227" t="s">
        <v>84</v>
      </c>
    </row>
    <row r="1866" spans="1:7">
      <c r="A1866" s="216">
        <v>44256</v>
      </c>
      <c r="B1866" t="s">
        <v>1168</v>
      </c>
      <c r="C1866">
        <v>10</v>
      </c>
      <c r="D1866" t="s">
        <v>433</v>
      </c>
      <c r="E1866" s="217">
        <v>44256</v>
      </c>
      <c r="F1866">
        <v>2859</v>
      </c>
      <c r="G1866" s="227" t="s">
        <v>128</v>
      </c>
    </row>
    <row r="1867" spans="1:7">
      <c r="A1867" s="216">
        <v>44256</v>
      </c>
      <c r="B1867" t="s">
        <v>1168</v>
      </c>
      <c r="C1867">
        <v>10</v>
      </c>
      <c r="D1867" t="s">
        <v>433</v>
      </c>
      <c r="E1867" s="217">
        <v>44256</v>
      </c>
      <c r="F1867">
        <v>2850</v>
      </c>
      <c r="G1867" s="227" t="s">
        <v>124</v>
      </c>
    </row>
    <row r="1868" spans="1:7">
      <c r="A1868" s="216">
        <v>44256</v>
      </c>
      <c r="B1868" t="s">
        <v>1168</v>
      </c>
      <c r="C1868">
        <v>10</v>
      </c>
      <c r="D1868" t="s">
        <v>433</v>
      </c>
      <c r="E1868" s="217">
        <v>44256</v>
      </c>
      <c r="F1868">
        <v>2858</v>
      </c>
      <c r="G1868" s="227" t="s">
        <v>120</v>
      </c>
    </row>
    <row r="1869" spans="1:7">
      <c r="A1869" s="216">
        <v>44256</v>
      </c>
      <c r="B1869" t="s">
        <v>1168</v>
      </c>
      <c r="C1869">
        <v>10</v>
      </c>
      <c r="D1869" t="s">
        <v>433</v>
      </c>
      <c r="E1869" s="217">
        <v>44256</v>
      </c>
      <c r="F1869">
        <v>2932</v>
      </c>
      <c r="G1869" s="227" t="s">
        <v>89</v>
      </c>
    </row>
    <row r="1870" spans="1:7">
      <c r="A1870" s="216">
        <v>44256</v>
      </c>
      <c r="B1870" t="s">
        <v>1168</v>
      </c>
      <c r="C1870">
        <v>10</v>
      </c>
      <c r="D1870" t="s">
        <v>433</v>
      </c>
      <c r="E1870" s="217">
        <v>44256</v>
      </c>
      <c r="F1870">
        <v>2954</v>
      </c>
      <c r="G1870" s="227" t="s">
        <v>97</v>
      </c>
    </row>
    <row r="1871" spans="1:7">
      <c r="A1871" s="216">
        <v>44256</v>
      </c>
      <c r="B1871" t="s">
        <v>1168</v>
      </c>
      <c r="C1871">
        <v>10</v>
      </c>
      <c r="D1871" t="s">
        <v>433</v>
      </c>
      <c r="E1871" s="217">
        <v>44256</v>
      </c>
      <c r="F1871">
        <v>3007</v>
      </c>
      <c r="G1871" s="227" t="s">
        <v>93</v>
      </c>
    </row>
    <row r="1872" spans="1:7">
      <c r="A1872" s="216">
        <v>44256</v>
      </c>
      <c r="B1872" t="s">
        <v>1168</v>
      </c>
      <c r="C1872">
        <v>10</v>
      </c>
      <c r="D1872" t="s">
        <v>433</v>
      </c>
      <c r="E1872" s="217">
        <v>44256</v>
      </c>
      <c r="F1872">
        <v>4257</v>
      </c>
      <c r="G1872" s="227" t="s">
        <v>111</v>
      </c>
    </row>
    <row r="1873" spans="1:7">
      <c r="A1873" s="216">
        <v>44256</v>
      </c>
      <c r="B1873" t="s">
        <v>1168</v>
      </c>
      <c r="C1873">
        <v>10</v>
      </c>
      <c r="D1873" t="s">
        <v>433</v>
      </c>
      <c r="E1873" s="217">
        <v>44256</v>
      </c>
      <c r="F1873">
        <v>36005</v>
      </c>
      <c r="G1873" s="227" t="s">
        <v>434</v>
      </c>
    </row>
    <row r="1874" spans="1:7">
      <c r="A1874" s="216">
        <v>44256</v>
      </c>
      <c r="B1874" t="s">
        <v>1168</v>
      </c>
      <c r="C1874">
        <v>11</v>
      </c>
      <c r="D1874" t="s">
        <v>445</v>
      </c>
      <c r="E1874" s="217">
        <v>44256</v>
      </c>
      <c r="F1874">
        <v>4587</v>
      </c>
      <c r="G1874" s="227" t="s">
        <v>79</v>
      </c>
    </row>
    <row r="1875" spans="1:7">
      <c r="A1875" s="216">
        <v>44256</v>
      </c>
      <c r="B1875" t="s">
        <v>1168</v>
      </c>
      <c r="C1875">
        <v>11</v>
      </c>
      <c r="D1875" t="s">
        <v>445</v>
      </c>
      <c r="E1875" s="217">
        <v>44256</v>
      </c>
      <c r="F1875">
        <v>3204</v>
      </c>
      <c r="G1875" s="227" t="s">
        <v>115</v>
      </c>
    </row>
    <row r="1876" spans="1:7">
      <c r="A1876" s="216">
        <v>44256</v>
      </c>
      <c r="B1876" t="s">
        <v>1168</v>
      </c>
      <c r="C1876">
        <v>11</v>
      </c>
      <c r="D1876" t="s">
        <v>445</v>
      </c>
      <c r="E1876" s="217">
        <v>44256</v>
      </c>
      <c r="F1876">
        <v>3412</v>
      </c>
      <c r="G1876" s="227" t="s">
        <v>106</v>
      </c>
    </row>
    <row r="1877" spans="1:7">
      <c r="A1877" s="216">
        <v>44256</v>
      </c>
      <c r="B1877" t="s">
        <v>1168</v>
      </c>
      <c r="C1877">
        <v>11</v>
      </c>
      <c r="D1877" t="s">
        <v>445</v>
      </c>
      <c r="E1877" s="217">
        <v>44256</v>
      </c>
      <c r="F1877">
        <v>3306</v>
      </c>
      <c r="G1877" s="227" t="s">
        <v>101</v>
      </c>
    </row>
    <row r="1878" spans="1:7">
      <c r="A1878" s="216">
        <v>44256</v>
      </c>
      <c r="B1878" t="s">
        <v>1168</v>
      </c>
      <c r="C1878">
        <v>11</v>
      </c>
      <c r="D1878" t="s">
        <v>445</v>
      </c>
      <c r="E1878" s="217">
        <v>44256</v>
      </c>
      <c r="F1878">
        <v>3579</v>
      </c>
      <c r="G1878" s="227" t="s">
        <v>84</v>
      </c>
    </row>
    <row r="1879" spans="1:7">
      <c r="A1879" s="216">
        <v>44256</v>
      </c>
      <c r="B1879" t="s">
        <v>1168</v>
      </c>
      <c r="C1879">
        <v>11</v>
      </c>
      <c r="D1879" t="s">
        <v>445</v>
      </c>
      <c r="E1879" s="217">
        <v>44256</v>
      </c>
      <c r="F1879">
        <v>5806</v>
      </c>
      <c r="G1879" s="227" t="s">
        <v>128</v>
      </c>
    </row>
    <row r="1880" spans="1:7">
      <c r="A1880" s="216">
        <v>44256</v>
      </c>
      <c r="B1880" t="s">
        <v>1168</v>
      </c>
      <c r="C1880">
        <v>11</v>
      </c>
      <c r="D1880" t="s">
        <v>445</v>
      </c>
      <c r="E1880" s="217">
        <v>44256</v>
      </c>
      <c r="F1880">
        <v>4427</v>
      </c>
      <c r="G1880" s="227" t="s">
        <v>124</v>
      </c>
    </row>
    <row r="1881" spans="1:7">
      <c r="A1881" s="216">
        <v>44256</v>
      </c>
      <c r="B1881" t="s">
        <v>1168</v>
      </c>
      <c r="C1881">
        <v>11</v>
      </c>
      <c r="D1881" t="s">
        <v>445</v>
      </c>
      <c r="E1881" s="217">
        <v>44256</v>
      </c>
      <c r="F1881">
        <v>4027</v>
      </c>
      <c r="G1881" s="227" t="s">
        <v>120</v>
      </c>
    </row>
    <row r="1882" spans="1:7">
      <c r="A1882" s="216">
        <v>44256</v>
      </c>
      <c r="B1882" t="s">
        <v>1168</v>
      </c>
      <c r="C1882">
        <v>11</v>
      </c>
      <c r="D1882" t="s">
        <v>445</v>
      </c>
      <c r="E1882" s="217">
        <v>44256</v>
      </c>
      <c r="F1882">
        <v>3769</v>
      </c>
      <c r="G1882" s="227" t="s">
        <v>89</v>
      </c>
    </row>
    <row r="1883" spans="1:7">
      <c r="A1883" s="216">
        <v>44256</v>
      </c>
      <c r="B1883" t="s">
        <v>1168</v>
      </c>
      <c r="C1883">
        <v>11</v>
      </c>
      <c r="D1883" t="s">
        <v>445</v>
      </c>
      <c r="E1883" s="217">
        <v>44256</v>
      </c>
      <c r="F1883">
        <v>3951</v>
      </c>
      <c r="G1883" s="227" t="s">
        <v>97</v>
      </c>
    </row>
    <row r="1884" spans="1:7">
      <c r="A1884" s="216">
        <v>44256</v>
      </c>
      <c r="B1884" t="s">
        <v>1168</v>
      </c>
      <c r="C1884">
        <v>11</v>
      </c>
      <c r="D1884" t="s">
        <v>445</v>
      </c>
      <c r="E1884" s="217">
        <v>44256</v>
      </c>
      <c r="F1884">
        <v>3901</v>
      </c>
      <c r="G1884" s="227" t="s">
        <v>93</v>
      </c>
    </row>
    <row r="1885" spans="1:7">
      <c r="A1885" s="216">
        <v>44256</v>
      </c>
      <c r="B1885" t="s">
        <v>1168</v>
      </c>
      <c r="C1885">
        <v>11</v>
      </c>
      <c r="D1885" t="s">
        <v>445</v>
      </c>
      <c r="E1885" s="217">
        <v>44256</v>
      </c>
      <c r="F1885">
        <v>14281</v>
      </c>
      <c r="G1885" s="227" t="s">
        <v>111</v>
      </c>
    </row>
    <row r="1886" spans="1:7">
      <c r="A1886" s="216">
        <v>44256</v>
      </c>
      <c r="B1886" t="s">
        <v>1168</v>
      </c>
      <c r="C1886">
        <v>11</v>
      </c>
      <c r="D1886" t="s">
        <v>445</v>
      </c>
      <c r="E1886" s="217">
        <v>44256</v>
      </c>
      <c r="F1886">
        <v>58250</v>
      </c>
      <c r="G1886" s="227" t="s">
        <v>434</v>
      </c>
    </row>
    <row r="1887" spans="1:7">
      <c r="A1887" s="216">
        <v>44256</v>
      </c>
      <c r="B1887" t="s">
        <v>1168</v>
      </c>
      <c r="C1887">
        <v>12</v>
      </c>
      <c r="D1887" t="s">
        <v>454</v>
      </c>
      <c r="E1887" s="217">
        <v>44256</v>
      </c>
      <c r="F1887">
        <v>0</v>
      </c>
      <c r="G1887" s="227" t="s">
        <v>79</v>
      </c>
    </row>
    <row r="1888" spans="1:7">
      <c r="A1888" s="216">
        <v>44256</v>
      </c>
      <c r="B1888" t="s">
        <v>1168</v>
      </c>
      <c r="C1888">
        <v>12</v>
      </c>
      <c r="D1888" t="s">
        <v>454</v>
      </c>
      <c r="E1888" s="217">
        <v>44256</v>
      </c>
      <c r="F1888">
        <v>0</v>
      </c>
      <c r="G1888" s="227" t="s">
        <v>115</v>
      </c>
    </row>
    <row r="1889" spans="1:7">
      <c r="A1889" s="216">
        <v>44256</v>
      </c>
      <c r="B1889" t="s">
        <v>1168</v>
      </c>
      <c r="C1889">
        <v>12</v>
      </c>
      <c r="D1889" t="s">
        <v>454</v>
      </c>
      <c r="E1889" s="217">
        <v>44256</v>
      </c>
      <c r="F1889">
        <v>0</v>
      </c>
      <c r="G1889" s="227" t="s">
        <v>106</v>
      </c>
    </row>
    <row r="1890" spans="1:7">
      <c r="A1890" s="216">
        <v>44256</v>
      </c>
      <c r="B1890" t="s">
        <v>1168</v>
      </c>
      <c r="C1890">
        <v>12</v>
      </c>
      <c r="D1890" t="s">
        <v>454</v>
      </c>
      <c r="E1890" s="217">
        <v>44256</v>
      </c>
      <c r="F1890">
        <v>0</v>
      </c>
      <c r="G1890" s="227" t="s">
        <v>101</v>
      </c>
    </row>
    <row r="1891" spans="1:7">
      <c r="A1891" s="216">
        <v>44256</v>
      </c>
      <c r="B1891" t="s">
        <v>1168</v>
      </c>
      <c r="C1891">
        <v>12</v>
      </c>
      <c r="D1891" t="s">
        <v>454</v>
      </c>
      <c r="E1891" s="217">
        <v>44256</v>
      </c>
      <c r="F1891">
        <v>0</v>
      </c>
      <c r="G1891" s="227" t="s">
        <v>84</v>
      </c>
    </row>
    <row r="1892" spans="1:7">
      <c r="A1892" s="216">
        <v>44256</v>
      </c>
      <c r="B1892" t="s">
        <v>1168</v>
      </c>
      <c r="C1892">
        <v>12</v>
      </c>
      <c r="D1892" t="s">
        <v>454</v>
      </c>
      <c r="E1892" s="217">
        <v>44256</v>
      </c>
      <c r="F1892">
        <v>0</v>
      </c>
      <c r="G1892" s="227" t="s">
        <v>128</v>
      </c>
    </row>
    <row r="1893" spans="1:7">
      <c r="A1893" s="216">
        <v>44256</v>
      </c>
      <c r="B1893" t="s">
        <v>1168</v>
      </c>
      <c r="C1893">
        <v>12</v>
      </c>
      <c r="D1893" t="s">
        <v>454</v>
      </c>
      <c r="E1893" s="217">
        <v>44256</v>
      </c>
      <c r="F1893">
        <v>0</v>
      </c>
      <c r="G1893" s="227" t="s">
        <v>124</v>
      </c>
    </row>
    <row r="1894" spans="1:7">
      <c r="A1894" s="216">
        <v>44256</v>
      </c>
      <c r="B1894" t="s">
        <v>1168</v>
      </c>
      <c r="C1894">
        <v>12</v>
      </c>
      <c r="D1894" t="s">
        <v>454</v>
      </c>
      <c r="E1894" s="217">
        <v>44256</v>
      </c>
      <c r="F1894">
        <v>0</v>
      </c>
      <c r="G1894" s="227" t="s">
        <v>120</v>
      </c>
    </row>
    <row r="1895" spans="1:7">
      <c r="A1895" s="216">
        <v>44256</v>
      </c>
      <c r="B1895" t="s">
        <v>1168</v>
      </c>
      <c r="C1895">
        <v>12</v>
      </c>
      <c r="D1895" t="s">
        <v>454</v>
      </c>
      <c r="E1895" s="217">
        <v>44256</v>
      </c>
      <c r="F1895">
        <v>0</v>
      </c>
      <c r="G1895" s="227" t="s">
        <v>89</v>
      </c>
    </row>
    <row r="1896" spans="1:7">
      <c r="A1896" s="216">
        <v>44256</v>
      </c>
      <c r="B1896" t="s">
        <v>1168</v>
      </c>
      <c r="C1896">
        <v>12</v>
      </c>
      <c r="D1896" t="s">
        <v>454</v>
      </c>
      <c r="E1896" s="217">
        <v>44256</v>
      </c>
      <c r="F1896">
        <v>0</v>
      </c>
      <c r="G1896" s="227" t="s">
        <v>97</v>
      </c>
    </row>
    <row r="1897" spans="1:7">
      <c r="A1897" s="216">
        <v>44256</v>
      </c>
      <c r="B1897" t="s">
        <v>1168</v>
      </c>
      <c r="C1897">
        <v>12</v>
      </c>
      <c r="D1897" t="s">
        <v>454</v>
      </c>
      <c r="E1897" s="217">
        <v>44256</v>
      </c>
      <c r="F1897">
        <v>0</v>
      </c>
      <c r="G1897" s="227" t="s">
        <v>93</v>
      </c>
    </row>
    <row r="1898" spans="1:7">
      <c r="A1898" s="216">
        <v>44256</v>
      </c>
      <c r="B1898" t="s">
        <v>1168</v>
      </c>
      <c r="C1898">
        <v>12</v>
      </c>
      <c r="D1898" t="s">
        <v>454</v>
      </c>
      <c r="E1898" s="217">
        <v>44256</v>
      </c>
      <c r="F1898">
        <v>0</v>
      </c>
      <c r="G1898" s="227" t="s">
        <v>111</v>
      </c>
    </row>
    <row r="1899" spans="1:7">
      <c r="A1899" s="216">
        <v>44256</v>
      </c>
      <c r="B1899" t="s">
        <v>1168</v>
      </c>
      <c r="C1899">
        <v>12</v>
      </c>
      <c r="D1899" t="s">
        <v>454</v>
      </c>
      <c r="E1899" s="217">
        <v>44256</v>
      </c>
      <c r="F1899">
        <v>0</v>
      </c>
      <c r="G1899" s="227" t="s">
        <v>434</v>
      </c>
    </row>
    <row r="1900" spans="1:7">
      <c r="A1900" s="216">
        <v>44256</v>
      </c>
      <c r="B1900" t="s">
        <v>1168</v>
      </c>
      <c r="C1900">
        <v>13</v>
      </c>
      <c r="D1900" t="s">
        <v>441</v>
      </c>
      <c r="E1900" s="217">
        <v>44256</v>
      </c>
      <c r="F1900">
        <v>0</v>
      </c>
      <c r="G1900" s="227" t="s">
        <v>79</v>
      </c>
    </row>
    <row r="1901" spans="1:7">
      <c r="A1901" s="216">
        <v>44256</v>
      </c>
      <c r="B1901" t="s">
        <v>1168</v>
      </c>
      <c r="C1901">
        <v>13</v>
      </c>
      <c r="D1901" t="s">
        <v>441</v>
      </c>
      <c r="E1901" s="217">
        <v>44256</v>
      </c>
      <c r="F1901">
        <v>0</v>
      </c>
      <c r="G1901" s="227" t="s">
        <v>115</v>
      </c>
    </row>
    <row r="1902" spans="1:7">
      <c r="A1902" s="216">
        <v>44256</v>
      </c>
      <c r="B1902" t="s">
        <v>1168</v>
      </c>
      <c r="C1902">
        <v>13</v>
      </c>
      <c r="D1902" t="s">
        <v>441</v>
      </c>
      <c r="E1902" s="217">
        <v>44256</v>
      </c>
      <c r="F1902">
        <v>0</v>
      </c>
      <c r="G1902" s="227" t="s">
        <v>106</v>
      </c>
    </row>
    <row r="1903" spans="1:7">
      <c r="A1903" s="216">
        <v>44256</v>
      </c>
      <c r="B1903" t="s">
        <v>1168</v>
      </c>
      <c r="C1903">
        <v>13</v>
      </c>
      <c r="D1903" t="s">
        <v>441</v>
      </c>
      <c r="E1903" s="217">
        <v>44256</v>
      </c>
      <c r="F1903">
        <v>0</v>
      </c>
      <c r="G1903" s="227" t="s">
        <v>101</v>
      </c>
    </row>
    <row r="1904" spans="1:7">
      <c r="A1904" s="216">
        <v>44256</v>
      </c>
      <c r="B1904" t="s">
        <v>1168</v>
      </c>
      <c r="C1904">
        <v>13</v>
      </c>
      <c r="D1904" t="s">
        <v>441</v>
      </c>
      <c r="E1904" s="217">
        <v>44256</v>
      </c>
      <c r="F1904">
        <v>0</v>
      </c>
      <c r="G1904" s="227" t="s">
        <v>84</v>
      </c>
    </row>
    <row r="1905" spans="1:7">
      <c r="A1905" s="216">
        <v>44256</v>
      </c>
      <c r="B1905" t="s">
        <v>1168</v>
      </c>
      <c r="C1905">
        <v>13</v>
      </c>
      <c r="D1905" t="s">
        <v>441</v>
      </c>
      <c r="E1905" s="217">
        <v>44256</v>
      </c>
      <c r="F1905">
        <v>0</v>
      </c>
      <c r="G1905" s="227" t="s">
        <v>128</v>
      </c>
    </row>
    <row r="1906" spans="1:7">
      <c r="A1906" s="216">
        <v>44256</v>
      </c>
      <c r="B1906" t="s">
        <v>1168</v>
      </c>
      <c r="C1906">
        <v>13</v>
      </c>
      <c r="D1906" t="s">
        <v>441</v>
      </c>
      <c r="E1906" s="217">
        <v>44256</v>
      </c>
      <c r="F1906">
        <v>0</v>
      </c>
      <c r="G1906" s="227" t="s">
        <v>124</v>
      </c>
    </row>
    <row r="1907" spans="1:7">
      <c r="A1907" s="216">
        <v>44256</v>
      </c>
      <c r="B1907" t="s">
        <v>1168</v>
      </c>
      <c r="C1907">
        <v>13</v>
      </c>
      <c r="D1907" t="s">
        <v>441</v>
      </c>
      <c r="E1907" s="217">
        <v>44256</v>
      </c>
      <c r="F1907">
        <v>0</v>
      </c>
      <c r="G1907" s="227" t="s">
        <v>120</v>
      </c>
    </row>
    <row r="1908" spans="1:7">
      <c r="A1908" s="216">
        <v>44256</v>
      </c>
      <c r="B1908" t="s">
        <v>1168</v>
      </c>
      <c r="C1908">
        <v>13</v>
      </c>
      <c r="D1908" t="s">
        <v>441</v>
      </c>
      <c r="E1908" s="217">
        <v>44256</v>
      </c>
      <c r="F1908">
        <v>0</v>
      </c>
      <c r="G1908" s="227" t="s">
        <v>89</v>
      </c>
    </row>
    <row r="1909" spans="1:7">
      <c r="A1909" s="216">
        <v>44256</v>
      </c>
      <c r="B1909" t="s">
        <v>1168</v>
      </c>
      <c r="C1909">
        <v>13</v>
      </c>
      <c r="D1909" t="s">
        <v>441</v>
      </c>
      <c r="E1909" s="217">
        <v>44256</v>
      </c>
      <c r="F1909">
        <v>0</v>
      </c>
      <c r="G1909" s="227" t="s">
        <v>97</v>
      </c>
    </row>
    <row r="1910" spans="1:7">
      <c r="A1910" s="216">
        <v>44256</v>
      </c>
      <c r="B1910" t="s">
        <v>1168</v>
      </c>
      <c r="C1910">
        <v>13</v>
      </c>
      <c r="D1910" t="s">
        <v>441</v>
      </c>
      <c r="E1910" s="217">
        <v>44256</v>
      </c>
      <c r="F1910">
        <v>0</v>
      </c>
      <c r="G1910" s="227" t="s">
        <v>93</v>
      </c>
    </row>
    <row r="1911" spans="1:7">
      <c r="A1911" s="216">
        <v>44256</v>
      </c>
      <c r="B1911" t="s">
        <v>1168</v>
      </c>
      <c r="C1911">
        <v>13</v>
      </c>
      <c r="D1911" t="s">
        <v>441</v>
      </c>
      <c r="E1911" s="217">
        <v>44256</v>
      </c>
      <c r="F1911">
        <v>0</v>
      </c>
      <c r="G1911" s="227" t="s">
        <v>111</v>
      </c>
    </row>
    <row r="1912" spans="1:7">
      <c r="A1912" s="216">
        <v>44256</v>
      </c>
      <c r="B1912" t="s">
        <v>1168</v>
      </c>
      <c r="C1912">
        <v>13</v>
      </c>
      <c r="D1912" t="s">
        <v>441</v>
      </c>
      <c r="E1912" s="217">
        <v>44256</v>
      </c>
      <c r="F1912">
        <v>0</v>
      </c>
      <c r="G1912" s="227" t="s">
        <v>434</v>
      </c>
    </row>
    <row r="1913" spans="1:7">
      <c r="A1913" s="216">
        <v>44256</v>
      </c>
      <c r="B1913" t="s">
        <v>1168</v>
      </c>
      <c r="C1913">
        <v>14</v>
      </c>
      <c r="D1913" t="s">
        <v>447</v>
      </c>
      <c r="E1913" s="217">
        <v>44256</v>
      </c>
      <c r="F1913">
        <v>68</v>
      </c>
      <c r="G1913" s="227" t="s">
        <v>79</v>
      </c>
    </row>
    <row r="1914" spans="1:7">
      <c r="A1914" s="216">
        <v>44256</v>
      </c>
      <c r="B1914" t="s">
        <v>1168</v>
      </c>
      <c r="C1914">
        <v>14</v>
      </c>
      <c r="D1914" t="s">
        <v>447</v>
      </c>
      <c r="E1914" s="217">
        <v>44256</v>
      </c>
      <c r="F1914">
        <v>68</v>
      </c>
      <c r="G1914" s="227" t="s">
        <v>115</v>
      </c>
    </row>
    <row r="1915" spans="1:7">
      <c r="A1915" s="216">
        <v>44256</v>
      </c>
      <c r="B1915" t="s">
        <v>1168</v>
      </c>
      <c r="C1915">
        <v>14</v>
      </c>
      <c r="D1915" t="s">
        <v>447</v>
      </c>
      <c r="E1915" s="217">
        <v>44256</v>
      </c>
      <c r="F1915">
        <v>70</v>
      </c>
      <c r="G1915" s="227" t="s">
        <v>106</v>
      </c>
    </row>
    <row r="1916" spans="1:7">
      <c r="A1916" s="216">
        <v>44256</v>
      </c>
      <c r="B1916" t="s">
        <v>1168</v>
      </c>
      <c r="C1916">
        <v>14</v>
      </c>
      <c r="D1916" t="s">
        <v>447</v>
      </c>
      <c r="E1916" s="217">
        <v>44256</v>
      </c>
      <c r="F1916">
        <v>70</v>
      </c>
      <c r="G1916" s="227" t="s">
        <v>101</v>
      </c>
    </row>
    <row r="1917" spans="1:7">
      <c r="A1917" s="216">
        <v>44256</v>
      </c>
      <c r="B1917" t="s">
        <v>1168</v>
      </c>
      <c r="C1917">
        <v>14</v>
      </c>
      <c r="D1917" t="s">
        <v>447</v>
      </c>
      <c r="E1917" s="217">
        <v>44256</v>
      </c>
      <c r="F1917">
        <v>70</v>
      </c>
      <c r="G1917" s="227" t="s">
        <v>84</v>
      </c>
    </row>
    <row r="1918" spans="1:7">
      <c r="A1918" s="216">
        <v>44256</v>
      </c>
      <c r="B1918" t="s">
        <v>1168</v>
      </c>
      <c r="C1918">
        <v>14</v>
      </c>
      <c r="D1918" t="s">
        <v>447</v>
      </c>
      <c r="E1918" s="217">
        <v>44256</v>
      </c>
      <c r="F1918">
        <v>75</v>
      </c>
      <c r="G1918" s="227" t="s">
        <v>128</v>
      </c>
    </row>
    <row r="1919" spans="1:7">
      <c r="A1919" s="216">
        <v>44256</v>
      </c>
      <c r="B1919" t="s">
        <v>1168</v>
      </c>
      <c r="C1919">
        <v>14</v>
      </c>
      <c r="D1919" t="s">
        <v>447</v>
      </c>
      <c r="E1919" s="217">
        <v>44256</v>
      </c>
      <c r="F1919">
        <v>70</v>
      </c>
      <c r="G1919" s="227" t="s">
        <v>124</v>
      </c>
    </row>
    <row r="1920" spans="1:7">
      <c r="A1920" s="216">
        <v>44256</v>
      </c>
      <c r="B1920" t="s">
        <v>1168</v>
      </c>
      <c r="C1920">
        <v>14</v>
      </c>
      <c r="D1920" t="s">
        <v>447</v>
      </c>
      <c r="E1920" s="217">
        <v>44256</v>
      </c>
      <c r="F1920">
        <v>70</v>
      </c>
      <c r="G1920" s="227" t="s">
        <v>120</v>
      </c>
    </row>
    <row r="1921" spans="1:7">
      <c r="A1921" s="216">
        <v>44256</v>
      </c>
      <c r="B1921" t="s">
        <v>1168</v>
      </c>
      <c r="C1921">
        <v>14</v>
      </c>
      <c r="D1921" t="s">
        <v>447</v>
      </c>
      <c r="E1921" s="217">
        <v>44256</v>
      </c>
      <c r="F1921">
        <v>70</v>
      </c>
      <c r="G1921" s="227" t="s">
        <v>89</v>
      </c>
    </row>
    <row r="1922" spans="1:7">
      <c r="A1922" s="216">
        <v>44256</v>
      </c>
      <c r="B1922" t="s">
        <v>1168</v>
      </c>
      <c r="C1922">
        <v>14</v>
      </c>
      <c r="D1922" t="s">
        <v>447</v>
      </c>
      <c r="E1922" s="217">
        <v>44256</v>
      </c>
      <c r="F1922">
        <v>70</v>
      </c>
      <c r="G1922" s="227" t="s">
        <v>97</v>
      </c>
    </row>
    <row r="1923" spans="1:7">
      <c r="A1923" s="216">
        <v>44256</v>
      </c>
      <c r="B1923" t="s">
        <v>1168</v>
      </c>
      <c r="C1923">
        <v>14</v>
      </c>
      <c r="D1923" t="s">
        <v>447</v>
      </c>
      <c r="E1923" s="217">
        <v>44256</v>
      </c>
      <c r="F1923">
        <v>71</v>
      </c>
      <c r="G1923" s="227" t="s">
        <v>93</v>
      </c>
    </row>
    <row r="1924" spans="1:7">
      <c r="A1924" s="216">
        <v>44256</v>
      </c>
      <c r="B1924" t="s">
        <v>1168</v>
      </c>
      <c r="C1924">
        <v>14</v>
      </c>
      <c r="D1924" t="s">
        <v>447</v>
      </c>
      <c r="E1924" s="217">
        <v>44256</v>
      </c>
      <c r="F1924">
        <v>71</v>
      </c>
      <c r="G1924" s="227" t="s">
        <v>111</v>
      </c>
    </row>
    <row r="1925" spans="1:7">
      <c r="A1925" s="216">
        <v>44256</v>
      </c>
      <c r="B1925" t="s">
        <v>1168</v>
      </c>
      <c r="C1925">
        <v>14</v>
      </c>
      <c r="D1925" t="s">
        <v>447</v>
      </c>
      <c r="E1925" s="217">
        <v>44256</v>
      </c>
      <c r="F1925">
        <v>843</v>
      </c>
      <c r="G1925" s="227" t="s">
        <v>434</v>
      </c>
    </row>
    <row r="1926" spans="1:7">
      <c r="A1926" s="216">
        <v>44256</v>
      </c>
      <c r="B1926" t="s">
        <v>1168</v>
      </c>
      <c r="C1926">
        <v>15</v>
      </c>
      <c r="D1926" t="s">
        <v>437</v>
      </c>
      <c r="E1926" s="217">
        <v>44256</v>
      </c>
      <c r="F1926">
        <v>0</v>
      </c>
      <c r="G1926" s="227" t="s">
        <v>79</v>
      </c>
    </row>
    <row r="1927" spans="1:7">
      <c r="A1927" s="216">
        <v>44256</v>
      </c>
      <c r="B1927" t="s">
        <v>1168</v>
      </c>
      <c r="C1927">
        <v>15</v>
      </c>
      <c r="D1927" t="s">
        <v>437</v>
      </c>
      <c r="E1927" s="217">
        <v>44256</v>
      </c>
      <c r="F1927">
        <v>0</v>
      </c>
      <c r="G1927" s="227" t="s">
        <v>115</v>
      </c>
    </row>
    <row r="1928" spans="1:7">
      <c r="A1928" s="216">
        <v>44256</v>
      </c>
      <c r="B1928" t="s">
        <v>1168</v>
      </c>
      <c r="C1928">
        <v>15</v>
      </c>
      <c r="D1928" t="s">
        <v>437</v>
      </c>
      <c r="E1928" s="217">
        <v>44256</v>
      </c>
      <c r="F1928">
        <v>0</v>
      </c>
      <c r="G1928" s="227" t="s">
        <v>106</v>
      </c>
    </row>
    <row r="1929" spans="1:7">
      <c r="A1929" s="216">
        <v>44256</v>
      </c>
      <c r="B1929" t="s">
        <v>1168</v>
      </c>
      <c r="C1929">
        <v>15</v>
      </c>
      <c r="D1929" t="s">
        <v>437</v>
      </c>
      <c r="E1929" s="217">
        <v>44256</v>
      </c>
      <c r="F1929">
        <v>0</v>
      </c>
      <c r="G1929" s="227" t="s">
        <v>101</v>
      </c>
    </row>
    <row r="1930" spans="1:7">
      <c r="A1930" s="216">
        <v>44256</v>
      </c>
      <c r="B1930" t="s">
        <v>1168</v>
      </c>
      <c r="C1930">
        <v>15</v>
      </c>
      <c r="D1930" t="s">
        <v>437</v>
      </c>
      <c r="E1930" s="217">
        <v>44256</v>
      </c>
      <c r="F1930">
        <v>0</v>
      </c>
      <c r="G1930" s="227" t="s">
        <v>84</v>
      </c>
    </row>
    <row r="1931" spans="1:7">
      <c r="A1931" s="216">
        <v>44256</v>
      </c>
      <c r="B1931" t="s">
        <v>1168</v>
      </c>
      <c r="C1931">
        <v>15</v>
      </c>
      <c r="D1931" t="s">
        <v>437</v>
      </c>
      <c r="E1931" s="217">
        <v>44256</v>
      </c>
      <c r="F1931">
        <v>0</v>
      </c>
      <c r="G1931" s="227" t="s">
        <v>128</v>
      </c>
    </row>
    <row r="1932" spans="1:7">
      <c r="A1932" s="216">
        <v>44256</v>
      </c>
      <c r="B1932" t="s">
        <v>1168</v>
      </c>
      <c r="C1932">
        <v>15</v>
      </c>
      <c r="D1932" t="s">
        <v>437</v>
      </c>
      <c r="E1932" s="217">
        <v>44256</v>
      </c>
      <c r="F1932">
        <v>0</v>
      </c>
      <c r="G1932" s="227" t="s">
        <v>124</v>
      </c>
    </row>
    <row r="1933" spans="1:7">
      <c r="A1933" s="216">
        <v>44256</v>
      </c>
      <c r="B1933" t="s">
        <v>1168</v>
      </c>
      <c r="C1933">
        <v>15</v>
      </c>
      <c r="D1933" t="s">
        <v>437</v>
      </c>
      <c r="E1933" s="217">
        <v>44256</v>
      </c>
      <c r="F1933">
        <v>0</v>
      </c>
      <c r="G1933" s="227" t="s">
        <v>120</v>
      </c>
    </row>
    <row r="1934" spans="1:7">
      <c r="A1934" s="216">
        <v>44256</v>
      </c>
      <c r="B1934" t="s">
        <v>1168</v>
      </c>
      <c r="C1934">
        <v>15</v>
      </c>
      <c r="D1934" t="s">
        <v>437</v>
      </c>
      <c r="E1934" s="217">
        <v>44256</v>
      </c>
      <c r="F1934">
        <v>0</v>
      </c>
      <c r="G1934" s="227" t="s">
        <v>89</v>
      </c>
    </row>
    <row r="1935" spans="1:7">
      <c r="A1935" s="216">
        <v>44256</v>
      </c>
      <c r="B1935" t="s">
        <v>1168</v>
      </c>
      <c r="C1935">
        <v>15</v>
      </c>
      <c r="D1935" t="s">
        <v>437</v>
      </c>
      <c r="E1935" s="217">
        <v>44256</v>
      </c>
      <c r="F1935">
        <v>0</v>
      </c>
      <c r="G1935" s="227" t="s">
        <v>97</v>
      </c>
    </row>
    <row r="1936" spans="1:7">
      <c r="A1936" s="216">
        <v>44256</v>
      </c>
      <c r="B1936" t="s">
        <v>1168</v>
      </c>
      <c r="C1936">
        <v>15</v>
      </c>
      <c r="D1936" t="s">
        <v>437</v>
      </c>
      <c r="E1936" s="217">
        <v>44256</v>
      </c>
      <c r="F1936">
        <v>0</v>
      </c>
      <c r="G1936" s="227" t="s">
        <v>93</v>
      </c>
    </row>
    <row r="1937" spans="1:7">
      <c r="A1937" s="216">
        <v>44256</v>
      </c>
      <c r="B1937" t="s">
        <v>1168</v>
      </c>
      <c r="C1937">
        <v>15</v>
      </c>
      <c r="D1937" t="s">
        <v>437</v>
      </c>
      <c r="E1937" s="217">
        <v>44256</v>
      </c>
      <c r="F1937">
        <v>0</v>
      </c>
      <c r="G1937" s="227" t="s">
        <v>111</v>
      </c>
    </row>
    <row r="1938" spans="1:7">
      <c r="A1938" s="216">
        <v>44256</v>
      </c>
      <c r="B1938" t="s">
        <v>1168</v>
      </c>
      <c r="C1938">
        <v>15</v>
      </c>
      <c r="D1938" t="s">
        <v>437</v>
      </c>
      <c r="E1938" s="217">
        <v>44256</v>
      </c>
      <c r="F1938">
        <v>0</v>
      </c>
      <c r="G1938" s="227" t="s">
        <v>434</v>
      </c>
    </row>
    <row r="1939" spans="1:7">
      <c r="A1939" s="216">
        <v>44256</v>
      </c>
      <c r="B1939" t="s">
        <v>53</v>
      </c>
      <c r="C1939">
        <v>7</v>
      </c>
      <c r="D1939" t="s">
        <v>442</v>
      </c>
      <c r="E1939" s="217">
        <v>44256</v>
      </c>
      <c r="F1939">
        <v>30617</v>
      </c>
      <c r="G1939" s="227" t="s">
        <v>79</v>
      </c>
    </row>
    <row r="1940" spans="1:7">
      <c r="A1940" s="216">
        <v>44256</v>
      </c>
      <c r="B1940" t="s">
        <v>53</v>
      </c>
      <c r="C1940">
        <v>7</v>
      </c>
      <c r="D1940" t="s">
        <v>442</v>
      </c>
      <c r="E1940" s="217">
        <v>44256</v>
      </c>
      <c r="F1940">
        <v>78256</v>
      </c>
      <c r="G1940" s="227" t="s">
        <v>115</v>
      </c>
    </row>
    <row r="1941" spans="1:7">
      <c r="A1941" s="216">
        <v>44256</v>
      </c>
      <c r="B1941" t="s">
        <v>53</v>
      </c>
      <c r="C1941">
        <v>7</v>
      </c>
      <c r="D1941" t="s">
        <v>442</v>
      </c>
      <c r="E1941" s="217">
        <v>44256</v>
      </c>
      <c r="F1941">
        <v>74454</v>
      </c>
      <c r="G1941" s="227" t="s">
        <v>106</v>
      </c>
    </row>
    <row r="1942" spans="1:7">
      <c r="A1942" s="216">
        <v>44256</v>
      </c>
      <c r="B1942" t="s">
        <v>53</v>
      </c>
      <c r="C1942">
        <v>7</v>
      </c>
      <c r="D1942" t="s">
        <v>442</v>
      </c>
      <c r="E1942" s="217">
        <v>44256</v>
      </c>
      <c r="F1942">
        <v>42798</v>
      </c>
      <c r="G1942" s="227" t="s">
        <v>101</v>
      </c>
    </row>
    <row r="1943" spans="1:7">
      <c r="A1943" s="216">
        <v>44256</v>
      </c>
      <c r="B1943" t="s">
        <v>53</v>
      </c>
      <c r="C1943">
        <v>7</v>
      </c>
      <c r="D1943" t="s">
        <v>442</v>
      </c>
      <c r="E1943" s="217">
        <v>44256</v>
      </c>
      <c r="F1943">
        <v>40026.438000000002</v>
      </c>
      <c r="G1943" s="227" t="s">
        <v>84</v>
      </c>
    </row>
    <row r="1944" spans="1:7">
      <c r="A1944" s="216">
        <v>44256</v>
      </c>
      <c r="B1944" t="s">
        <v>53</v>
      </c>
      <c r="C1944">
        <v>7</v>
      </c>
      <c r="D1944" t="s">
        <v>442</v>
      </c>
      <c r="E1944" s="217">
        <v>44256</v>
      </c>
      <c r="F1944">
        <v>60276</v>
      </c>
      <c r="G1944" s="227" t="s">
        <v>128</v>
      </c>
    </row>
    <row r="1945" spans="1:7">
      <c r="A1945" s="216">
        <v>44256</v>
      </c>
      <c r="B1945" t="s">
        <v>53</v>
      </c>
      <c r="C1945">
        <v>7</v>
      </c>
      <c r="D1945" t="s">
        <v>442</v>
      </c>
      <c r="E1945" s="217">
        <v>44256</v>
      </c>
      <c r="F1945">
        <v>43665.347000000002</v>
      </c>
      <c r="G1945" s="227" t="s">
        <v>124</v>
      </c>
    </row>
    <row r="1946" spans="1:7">
      <c r="A1946" s="216">
        <v>44256</v>
      </c>
      <c r="B1946" t="s">
        <v>53</v>
      </c>
      <c r="C1946">
        <v>7</v>
      </c>
      <c r="D1946" t="s">
        <v>442</v>
      </c>
      <c r="E1946" s="217">
        <v>44256</v>
      </c>
      <c r="F1946">
        <v>43935.576390000002</v>
      </c>
      <c r="G1946" s="227" t="s">
        <v>120</v>
      </c>
    </row>
    <row r="1947" spans="1:7">
      <c r="A1947" s="216">
        <v>44256</v>
      </c>
      <c r="B1947" t="s">
        <v>53</v>
      </c>
      <c r="C1947">
        <v>7</v>
      </c>
      <c r="D1947" t="s">
        <v>442</v>
      </c>
      <c r="E1947" s="217">
        <v>44256</v>
      </c>
      <c r="F1947">
        <v>52609.434000000001</v>
      </c>
      <c r="G1947" s="227" t="s">
        <v>89</v>
      </c>
    </row>
    <row r="1948" spans="1:7">
      <c r="A1948" s="216">
        <v>44256</v>
      </c>
      <c r="B1948" t="s">
        <v>53</v>
      </c>
      <c r="C1948">
        <v>7</v>
      </c>
      <c r="D1948" t="s">
        <v>442</v>
      </c>
      <c r="E1948" s="217">
        <v>44256</v>
      </c>
      <c r="F1948">
        <v>40976</v>
      </c>
      <c r="G1948" s="227" t="s">
        <v>97</v>
      </c>
    </row>
    <row r="1949" spans="1:7">
      <c r="A1949" s="216">
        <v>44256</v>
      </c>
      <c r="B1949" t="s">
        <v>53</v>
      </c>
      <c r="C1949">
        <v>7</v>
      </c>
      <c r="D1949" t="s">
        <v>442</v>
      </c>
      <c r="E1949" s="217">
        <v>44256</v>
      </c>
      <c r="F1949">
        <v>35402</v>
      </c>
      <c r="G1949" s="227" t="s">
        <v>93</v>
      </c>
    </row>
    <row r="1950" spans="1:7">
      <c r="A1950" s="216">
        <v>44256</v>
      </c>
      <c r="B1950" t="s">
        <v>53</v>
      </c>
      <c r="C1950">
        <v>7</v>
      </c>
      <c r="D1950" t="s">
        <v>442</v>
      </c>
      <c r="E1950" s="217">
        <v>44256</v>
      </c>
      <c r="F1950">
        <v>50105</v>
      </c>
      <c r="G1950" s="227" t="s">
        <v>111</v>
      </c>
    </row>
    <row r="1951" spans="1:7">
      <c r="A1951" s="216">
        <v>44256</v>
      </c>
      <c r="B1951" t="s">
        <v>53</v>
      </c>
      <c r="C1951">
        <v>7</v>
      </c>
      <c r="D1951" t="s">
        <v>442</v>
      </c>
      <c r="E1951" s="217">
        <v>44256</v>
      </c>
      <c r="F1951">
        <v>593120.79538999998</v>
      </c>
      <c r="G1951" s="227" t="s">
        <v>434</v>
      </c>
    </row>
    <row r="1952" spans="1:7">
      <c r="A1952" s="216">
        <v>44256</v>
      </c>
      <c r="B1952" t="s">
        <v>53</v>
      </c>
      <c r="C1952">
        <v>8</v>
      </c>
      <c r="D1952" t="s">
        <v>451</v>
      </c>
      <c r="E1952" s="217">
        <v>44256</v>
      </c>
      <c r="F1952">
        <v>0</v>
      </c>
      <c r="G1952" s="227" t="s">
        <v>79</v>
      </c>
    </row>
    <row r="1953" spans="1:7">
      <c r="A1953" s="216">
        <v>44256</v>
      </c>
      <c r="B1953" t="s">
        <v>53</v>
      </c>
      <c r="C1953">
        <v>8</v>
      </c>
      <c r="D1953" t="s">
        <v>451</v>
      </c>
      <c r="E1953" s="217">
        <v>44256</v>
      </c>
      <c r="F1953">
        <v>0</v>
      </c>
      <c r="G1953" s="227" t="s">
        <v>115</v>
      </c>
    </row>
    <row r="1954" spans="1:7">
      <c r="A1954" s="216">
        <v>44256</v>
      </c>
      <c r="B1954" t="s">
        <v>53</v>
      </c>
      <c r="C1954">
        <v>8</v>
      </c>
      <c r="D1954" t="s">
        <v>451</v>
      </c>
      <c r="E1954" s="217">
        <v>44256</v>
      </c>
      <c r="F1954">
        <v>0</v>
      </c>
      <c r="G1954" s="227" t="s">
        <v>106</v>
      </c>
    </row>
    <row r="1955" spans="1:7">
      <c r="A1955" s="216">
        <v>44256</v>
      </c>
      <c r="B1955" t="s">
        <v>53</v>
      </c>
      <c r="C1955">
        <v>8</v>
      </c>
      <c r="D1955" t="s">
        <v>451</v>
      </c>
      <c r="E1955" s="217">
        <v>44256</v>
      </c>
      <c r="F1955">
        <v>0</v>
      </c>
      <c r="G1955" s="227" t="s">
        <v>101</v>
      </c>
    </row>
    <row r="1956" spans="1:7">
      <c r="A1956" s="216">
        <v>44256</v>
      </c>
      <c r="B1956" t="s">
        <v>53</v>
      </c>
      <c r="C1956">
        <v>8</v>
      </c>
      <c r="D1956" t="s">
        <v>451</v>
      </c>
      <c r="E1956" s="217">
        <v>44256</v>
      </c>
      <c r="F1956">
        <v>0</v>
      </c>
      <c r="G1956" s="227" t="s">
        <v>84</v>
      </c>
    </row>
    <row r="1957" spans="1:7">
      <c r="A1957" s="216">
        <v>44256</v>
      </c>
      <c r="B1957" t="s">
        <v>53</v>
      </c>
      <c r="C1957">
        <v>8</v>
      </c>
      <c r="D1957" t="s">
        <v>451</v>
      </c>
      <c r="E1957" s="217">
        <v>44256</v>
      </c>
      <c r="F1957">
        <v>0</v>
      </c>
      <c r="G1957" s="227" t="s">
        <v>128</v>
      </c>
    </row>
    <row r="1958" spans="1:7">
      <c r="A1958" s="216">
        <v>44256</v>
      </c>
      <c r="B1958" t="s">
        <v>53</v>
      </c>
      <c r="C1958">
        <v>8</v>
      </c>
      <c r="D1958" t="s">
        <v>451</v>
      </c>
      <c r="E1958" s="217">
        <v>44256</v>
      </c>
      <c r="F1958">
        <v>0</v>
      </c>
      <c r="G1958" s="227" t="s">
        <v>124</v>
      </c>
    </row>
    <row r="1959" spans="1:7">
      <c r="A1959" s="216">
        <v>44256</v>
      </c>
      <c r="B1959" t="s">
        <v>53</v>
      </c>
      <c r="C1959">
        <v>8</v>
      </c>
      <c r="D1959" t="s">
        <v>451</v>
      </c>
      <c r="E1959" s="217">
        <v>44256</v>
      </c>
      <c r="F1959">
        <v>0</v>
      </c>
      <c r="G1959" s="227" t="s">
        <v>120</v>
      </c>
    </row>
    <row r="1960" spans="1:7">
      <c r="A1960" s="216">
        <v>44256</v>
      </c>
      <c r="B1960" t="s">
        <v>53</v>
      </c>
      <c r="C1960">
        <v>8</v>
      </c>
      <c r="D1960" t="s">
        <v>451</v>
      </c>
      <c r="E1960" s="217">
        <v>44256</v>
      </c>
      <c r="F1960">
        <v>0</v>
      </c>
      <c r="G1960" s="227" t="s">
        <v>89</v>
      </c>
    </row>
    <row r="1961" spans="1:7">
      <c r="A1961" s="216">
        <v>44256</v>
      </c>
      <c r="B1961" t="s">
        <v>53</v>
      </c>
      <c r="C1961">
        <v>8</v>
      </c>
      <c r="D1961" t="s">
        <v>451</v>
      </c>
      <c r="E1961" s="217">
        <v>44256</v>
      </c>
      <c r="F1961">
        <v>0</v>
      </c>
      <c r="G1961" s="227" t="s">
        <v>97</v>
      </c>
    </row>
    <row r="1962" spans="1:7">
      <c r="A1962" s="216">
        <v>44256</v>
      </c>
      <c r="B1962" t="s">
        <v>53</v>
      </c>
      <c r="C1962">
        <v>8</v>
      </c>
      <c r="D1962" t="s">
        <v>451</v>
      </c>
      <c r="E1962" s="217">
        <v>44256</v>
      </c>
      <c r="F1962">
        <v>0</v>
      </c>
      <c r="G1962" s="227" t="s">
        <v>93</v>
      </c>
    </row>
    <row r="1963" spans="1:7">
      <c r="A1963" s="216">
        <v>44256</v>
      </c>
      <c r="B1963" t="s">
        <v>53</v>
      </c>
      <c r="C1963">
        <v>8</v>
      </c>
      <c r="D1963" t="s">
        <v>451</v>
      </c>
      <c r="E1963" s="217">
        <v>44256</v>
      </c>
      <c r="F1963">
        <v>0</v>
      </c>
      <c r="G1963" s="227" t="s">
        <v>111</v>
      </c>
    </row>
    <row r="1964" spans="1:7">
      <c r="A1964" s="216">
        <v>44256</v>
      </c>
      <c r="B1964" t="s">
        <v>53</v>
      </c>
      <c r="C1964">
        <v>8</v>
      </c>
      <c r="D1964" t="s">
        <v>451</v>
      </c>
      <c r="E1964" s="217">
        <v>44256</v>
      </c>
      <c r="F1964">
        <v>0</v>
      </c>
      <c r="G1964" s="227" t="s">
        <v>434</v>
      </c>
    </row>
    <row r="1965" spans="1:7">
      <c r="A1965" s="216">
        <v>44256</v>
      </c>
      <c r="B1965" t="s">
        <v>53</v>
      </c>
      <c r="C1965">
        <v>9</v>
      </c>
      <c r="D1965" t="s">
        <v>450</v>
      </c>
      <c r="E1965" s="217">
        <v>44256</v>
      </c>
      <c r="F1965">
        <v>0</v>
      </c>
      <c r="G1965" s="227" t="s">
        <v>79</v>
      </c>
    </row>
    <row r="1966" spans="1:7">
      <c r="A1966" s="216">
        <v>44256</v>
      </c>
      <c r="B1966" t="s">
        <v>53</v>
      </c>
      <c r="C1966">
        <v>9</v>
      </c>
      <c r="D1966" t="s">
        <v>450</v>
      </c>
      <c r="E1966" s="217">
        <v>44256</v>
      </c>
      <c r="F1966">
        <v>0</v>
      </c>
      <c r="G1966" s="227" t="s">
        <v>115</v>
      </c>
    </row>
    <row r="1967" spans="1:7">
      <c r="A1967" s="216">
        <v>44256</v>
      </c>
      <c r="B1967" t="s">
        <v>53</v>
      </c>
      <c r="C1967">
        <v>9</v>
      </c>
      <c r="D1967" t="s">
        <v>450</v>
      </c>
      <c r="E1967" s="217">
        <v>44256</v>
      </c>
      <c r="F1967">
        <v>0</v>
      </c>
      <c r="G1967" s="227" t="s">
        <v>106</v>
      </c>
    </row>
    <row r="1968" spans="1:7">
      <c r="A1968" s="216">
        <v>44256</v>
      </c>
      <c r="B1968" t="s">
        <v>53</v>
      </c>
      <c r="C1968">
        <v>9</v>
      </c>
      <c r="D1968" t="s">
        <v>450</v>
      </c>
      <c r="E1968" s="217">
        <v>44256</v>
      </c>
      <c r="F1968">
        <v>0</v>
      </c>
      <c r="G1968" s="227" t="s">
        <v>101</v>
      </c>
    </row>
    <row r="1969" spans="1:7">
      <c r="A1969" s="216">
        <v>44256</v>
      </c>
      <c r="B1969" t="s">
        <v>53</v>
      </c>
      <c r="C1969">
        <v>9</v>
      </c>
      <c r="D1969" t="s">
        <v>450</v>
      </c>
      <c r="E1969" s="217">
        <v>44256</v>
      </c>
      <c r="F1969">
        <v>0</v>
      </c>
      <c r="G1969" s="227" t="s">
        <v>84</v>
      </c>
    </row>
    <row r="1970" spans="1:7">
      <c r="A1970" s="216">
        <v>44256</v>
      </c>
      <c r="B1970" t="s">
        <v>53</v>
      </c>
      <c r="C1970">
        <v>9</v>
      </c>
      <c r="D1970" t="s">
        <v>450</v>
      </c>
      <c r="E1970" s="217">
        <v>44256</v>
      </c>
      <c r="F1970">
        <v>0</v>
      </c>
      <c r="G1970" s="227" t="s">
        <v>128</v>
      </c>
    </row>
    <row r="1971" spans="1:7">
      <c r="A1971" s="216">
        <v>44256</v>
      </c>
      <c r="B1971" t="s">
        <v>53</v>
      </c>
      <c r="C1971">
        <v>9</v>
      </c>
      <c r="D1971" t="s">
        <v>450</v>
      </c>
      <c r="E1971" s="217">
        <v>44256</v>
      </c>
      <c r="F1971">
        <v>0</v>
      </c>
      <c r="G1971" s="227" t="s">
        <v>124</v>
      </c>
    </row>
    <row r="1972" spans="1:7">
      <c r="A1972" s="216">
        <v>44256</v>
      </c>
      <c r="B1972" t="s">
        <v>53</v>
      </c>
      <c r="C1972">
        <v>9</v>
      </c>
      <c r="D1972" t="s">
        <v>450</v>
      </c>
      <c r="E1972" s="217">
        <v>44256</v>
      </c>
      <c r="F1972">
        <v>0</v>
      </c>
      <c r="G1972" s="227" t="s">
        <v>120</v>
      </c>
    </row>
    <row r="1973" spans="1:7">
      <c r="A1973" s="216">
        <v>44256</v>
      </c>
      <c r="B1973" t="s">
        <v>53</v>
      </c>
      <c r="C1973">
        <v>9</v>
      </c>
      <c r="D1973" t="s">
        <v>450</v>
      </c>
      <c r="E1973" s="217">
        <v>44256</v>
      </c>
      <c r="F1973">
        <v>0</v>
      </c>
      <c r="G1973" s="227" t="s">
        <v>89</v>
      </c>
    </row>
    <row r="1974" spans="1:7">
      <c r="A1974" s="216">
        <v>44256</v>
      </c>
      <c r="B1974" t="s">
        <v>53</v>
      </c>
      <c r="C1974">
        <v>9</v>
      </c>
      <c r="D1974" t="s">
        <v>450</v>
      </c>
      <c r="E1974" s="217">
        <v>44256</v>
      </c>
      <c r="F1974">
        <v>0</v>
      </c>
      <c r="G1974" s="227" t="s">
        <v>97</v>
      </c>
    </row>
    <row r="1975" spans="1:7">
      <c r="A1975" s="216">
        <v>44256</v>
      </c>
      <c r="B1975" t="s">
        <v>53</v>
      </c>
      <c r="C1975">
        <v>9</v>
      </c>
      <c r="D1975" t="s">
        <v>450</v>
      </c>
      <c r="E1975" s="217">
        <v>44256</v>
      </c>
      <c r="F1975">
        <v>0</v>
      </c>
      <c r="G1975" s="227" t="s">
        <v>93</v>
      </c>
    </row>
    <row r="1976" spans="1:7">
      <c r="A1976" s="216">
        <v>44256</v>
      </c>
      <c r="B1976" t="s">
        <v>53</v>
      </c>
      <c r="C1976">
        <v>9</v>
      </c>
      <c r="D1976" t="s">
        <v>450</v>
      </c>
      <c r="E1976" s="217">
        <v>44256</v>
      </c>
      <c r="F1976">
        <v>0</v>
      </c>
      <c r="G1976" s="227" t="s">
        <v>111</v>
      </c>
    </row>
    <row r="1977" spans="1:7">
      <c r="A1977" s="216">
        <v>44256</v>
      </c>
      <c r="B1977" t="s">
        <v>53</v>
      </c>
      <c r="C1977">
        <v>9</v>
      </c>
      <c r="D1977" t="s">
        <v>450</v>
      </c>
      <c r="E1977" s="217">
        <v>44256</v>
      </c>
      <c r="F1977">
        <v>0</v>
      </c>
      <c r="G1977" s="227" t="s">
        <v>434</v>
      </c>
    </row>
    <row r="1978" spans="1:7">
      <c r="A1978" s="216">
        <v>44256</v>
      </c>
      <c r="B1978" t="s">
        <v>53</v>
      </c>
      <c r="C1978">
        <v>10</v>
      </c>
      <c r="D1978" t="s">
        <v>433</v>
      </c>
      <c r="E1978" s="217">
        <v>44256</v>
      </c>
      <c r="F1978">
        <v>7850</v>
      </c>
      <c r="G1978" s="227" t="s">
        <v>79</v>
      </c>
    </row>
    <row r="1979" spans="1:7">
      <c r="A1979" s="216">
        <v>44256</v>
      </c>
      <c r="B1979" t="s">
        <v>53</v>
      </c>
      <c r="C1979">
        <v>10</v>
      </c>
      <c r="D1979" t="s">
        <v>433</v>
      </c>
      <c r="E1979" s="217">
        <v>44256</v>
      </c>
      <c r="F1979">
        <v>7772</v>
      </c>
      <c r="G1979" s="227" t="s">
        <v>115</v>
      </c>
    </row>
    <row r="1980" spans="1:7">
      <c r="A1980" s="216">
        <v>44256</v>
      </c>
      <c r="B1980" t="s">
        <v>53</v>
      </c>
      <c r="C1980">
        <v>10</v>
      </c>
      <c r="D1980" t="s">
        <v>433</v>
      </c>
      <c r="E1980" s="217">
        <v>44256</v>
      </c>
      <c r="F1980">
        <v>8124</v>
      </c>
      <c r="G1980" s="227" t="s">
        <v>106</v>
      </c>
    </row>
    <row r="1981" spans="1:7">
      <c r="A1981" s="216">
        <v>44256</v>
      </c>
      <c r="B1981" t="s">
        <v>53</v>
      </c>
      <c r="C1981">
        <v>10</v>
      </c>
      <c r="D1981" t="s">
        <v>433</v>
      </c>
      <c r="E1981" s="217">
        <v>44256</v>
      </c>
      <c r="F1981">
        <v>7994</v>
      </c>
      <c r="G1981" s="227" t="s">
        <v>101</v>
      </c>
    </row>
    <row r="1982" spans="1:7">
      <c r="A1982" s="216">
        <v>44256</v>
      </c>
      <c r="B1982" t="s">
        <v>53</v>
      </c>
      <c r="C1982">
        <v>10</v>
      </c>
      <c r="D1982" t="s">
        <v>433</v>
      </c>
      <c r="E1982" s="217">
        <v>44256</v>
      </c>
      <c r="F1982">
        <v>9574</v>
      </c>
      <c r="G1982" s="227" t="s">
        <v>84</v>
      </c>
    </row>
    <row r="1983" spans="1:7">
      <c r="A1983" s="216">
        <v>44256</v>
      </c>
      <c r="B1983" t="s">
        <v>53</v>
      </c>
      <c r="C1983">
        <v>10</v>
      </c>
      <c r="D1983" t="s">
        <v>433</v>
      </c>
      <c r="E1983" s="217">
        <v>44256</v>
      </c>
      <c r="F1983">
        <v>10786</v>
      </c>
      <c r="G1983" s="227" t="s">
        <v>128</v>
      </c>
    </row>
    <row r="1984" spans="1:7">
      <c r="A1984" s="216">
        <v>44256</v>
      </c>
      <c r="B1984" t="s">
        <v>53</v>
      </c>
      <c r="C1984">
        <v>10</v>
      </c>
      <c r="D1984" t="s">
        <v>433</v>
      </c>
      <c r="E1984" s="217">
        <v>44256</v>
      </c>
      <c r="F1984">
        <v>11577</v>
      </c>
      <c r="G1984" s="227" t="s">
        <v>124</v>
      </c>
    </row>
    <row r="1985" spans="1:7">
      <c r="A1985" s="216">
        <v>44256</v>
      </c>
      <c r="B1985" t="s">
        <v>53</v>
      </c>
      <c r="C1985">
        <v>10</v>
      </c>
      <c r="D1985" t="s">
        <v>433</v>
      </c>
      <c r="E1985" s="217">
        <v>44256</v>
      </c>
      <c r="F1985">
        <v>11321</v>
      </c>
      <c r="G1985" s="227" t="s">
        <v>120</v>
      </c>
    </row>
    <row r="1986" spans="1:7">
      <c r="A1986" s="216">
        <v>44256</v>
      </c>
      <c r="B1986" t="s">
        <v>53</v>
      </c>
      <c r="C1986">
        <v>10</v>
      </c>
      <c r="D1986" t="s">
        <v>433</v>
      </c>
      <c r="E1986" s="217">
        <v>44256</v>
      </c>
      <c r="F1986">
        <v>11512</v>
      </c>
      <c r="G1986" s="227" t="s">
        <v>89</v>
      </c>
    </row>
    <row r="1987" spans="1:7">
      <c r="A1987" s="216">
        <v>44256</v>
      </c>
      <c r="B1987" t="s">
        <v>53</v>
      </c>
      <c r="C1987">
        <v>10</v>
      </c>
      <c r="D1987" t="s">
        <v>433</v>
      </c>
      <c r="E1987" s="217">
        <v>44256</v>
      </c>
      <c r="F1987">
        <v>12392</v>
      </c>
      <c r="G1987" s="227" t="s">
        <v>97</v>
      </c>
    </row>
    <row r="1988" spans="1:7">
      <c r="A1988" s="216">
        <v>44256</v>
      </c>
      <c r="B1988" t="s">
        <v>53</v>
      </c>
      <c r="C1988">
        <v>10</v>
      </c>
      <c r="D1988" t="s">
        <v>433</v>
      </c>
      <c r="E1988" s="217">
        <v>44256</v>
      </c>
      <c r="F1988">
        <v>13053</v>
      </c>
      <c r="G1988" s="227" t="s">
        <v>93</v>
      </c>
    </row>
    <row r="1989" spans="1:7">
      <c r="A1989" s="216">
        <v>44256</v>
      </c>
      <c r="B1989" t="s">
        <v>53</v>
      </c>
      <c r="C1989">
        <v>10</v>
      </c>
      <c r="D1989" t="s">
        <v>433</v>
      </c>
      <c r="E1989" s="217">
        <v>44256</v>
      </c>
      <c r="F1989">
        <v>22881</v>
      </c>
      <c r="G1989" s="227" t="s">
        <v>111</v>
      </c>
    </row>
    <row r="1990" spans="1:7">
      <c r="A1990" s="216">
        <v>44256</v>
      </c>
      <c r="B1990" t="s">
        <v>53</v>
      </c>
      <c r="C1990">
        <v>10</v>
      </c>
      <c r="D1990" t="s">
        <v>433</v>
      </c>
      <c r="E1990" s="217">
        <v>44256</v>
      </c>
      <c r="F1990">
        <v>134836</v>
      </c>
      <c r="G1990" s="227" t="s">
        <v>434</v>
      </c>
    </row>
    <row r="1991" spans="1:7">
      <c r="A1991" s="216">
        <v>44256</v>
      </c>
      <c r="B1991" t="s">
        <v>53</v>
      </c>
      <c r="C1991">
        <v>11</v>
      </c>
      <c r="D1991" t="s">
        <v>445</v>
      </c>
      <c r="E1991" s="217">
        <v>44256</v>
      </c>
      <c r="F1991">
        <v>18943</v>
      </c>
      <c r="G1991" s="227" t="s">
        <v>79</v>
      </c>
    </row>
    <row r="1992" spans="1:7">
      <c r="A1992" s="216">
        <v>44256</v>
      </c>
      <c r="B1992" t="s">
        <v>53</v>
      </c>
      <c r="C1992">
        <v>11</v>
      </c>
      <c r="D1992" t="s">
        <v>445</v>
      </c>
      <c r="E1992" s="217">
        <v>44256</v>
      </c>
      <c r="F1992">
        <v>64123.6</v>
      </c>
      <c r="G1992" s="227" t="s">
        <v>115</v>
      </c>
    </row>
    <row r="1993" spans="1:7">
      <c r="A1993" s="216">
        <v>44256</v>
      </c>
      <c r="B1993" t="s">
        <v>53</v>
      </c>
      <c r="C1993">
        <v>11</v>
      </c>
      <c r="D1993" t="s">
        <v>445</v>
      </c>
      <c r="E1993" s="217">
        <v>44256</v>
      </c>
      <c r="F1993">
        <v>55764.6</v>
      </c>
      <c r="G1993" s="227" t="s">
        <v>106</v>
      </c>
    </row>
    <row r="1994" spans="1:7">
      <c r="A1994" s="216">
        <v>44256</v>
      </c>
      <c r="B1994" t="s">
        <v>53</v>
      </c>
      <c r="C1994">
        <v>11</v>
      </c>
      <c r="D1994" t="s">
        <v>445</v>
      </c>
      <c r="E1994" s="217">
        <v>44256</v>
      </c>
      <c r="F1994">
        <v>20033</v>
      </c>
      <c r="G1994" s="227" t="s">
        <v>101</v>
      </c>
    </row>
    <row r="1995" spans="1:7">
      <c r="A1995" s="216">
        <v>44256</v>
      </c>
      <c r="B1995" t="s">
        <v>53</v>
      </c>
      <c r="C1995">
        <v>11</v>
      </c>
      <c r="D1995" t="s">
        <v>445</v>
      </c>
      <c r="E1995" s="217">
        <v>44256</v>
      </c>
      <c r="F1995">
        <v>25481</v>
      </c>
      <c r="G1995" s="227" t="s">
        <v>84</v>
      </c>
    </row>
    <row r="1996" spans="1:7">
      <c r="A1996" s="216">
        <v>44256</v>
      </c>
      <c r="B1996" t="s">
        <v>53</v>
      </c>
      <c r="C1996">
        <v>11</v>
      </c>
      <c r="D1996" t="s">
        <v>445</v>
      </c>
      <c r="E1996" s="217">
        <v>44256</v>
      </c>
      <c r="F1996">
        <v>39530</v>
      </c>
      <c r="G1996" s="227" t="s">
        <v>128</v>
      </c>
    </row>
    <row r="1997" spans="1:7">
      <c r="A1997" s="216">
        <v>44256</v>
      </c>
      <c r="B1997" t="s">
        <v>53</v>
      </c>
      <c r="C1997">
        <v>11</v>
      </c>
      <c r="D1997" t="s">
        <v>445</v>
      </c>
      <c r="E1997" s="217">
        <v>44256</v>
      </c>
      <c r="F1997">
        <v>23955.4</v>
      </c>
      <c r="G1997" s="227" t="s">
        <v>124</v>
      </c>
    </row>
    <row r="1998" spans="1:7">
      <c r="A1998" s="216">
        <v>44256</v>
      </c>
      <c r="B1998" t="s">
        <v>53</v>
      </c>
      <c r="C1998">
        <v>11</v>
      </c>
      <c r="D1998" t="s">
        <v>445</v>
      </c>
      <c r="E1998" s="217">
        <v>44256</v>
      </c>
      <c r="F1998">
        <v>26144</v>
      </c>
      <c r="G1998" s="227" t="s">
        <v>120</v>
      </c>
    </row>
    <row r="1999" spans="1:7">
      <c r="A1999" s="216">
        <v>44256</v>
      </c>
      <c r="B1999" t="s">
        <v>53</v>
      </c>
      <c r="C1999">
        <v>11</v>
      </c>
      <c r="D1999" t="s">
        <v>445</v>
      </c>
      <c r="E1999" s="217">
        <v>44256</v>
      </c>
      <c r="F1999">
        <v>22845</v>
      </c>
      <c r="G1999" s="227" t="s">
        <v>89</v>
      </c>
    </row>
    <row r="2000" spans="1:7">
      <c r="A2000" s="216">
        <v>44256</v>
      </c>
      <c r="B2000" t="s">
        <v>53</v>
      </c>
      <c r="C2000">
        <v>11</v>
      </c>
      <c r="D2000" t="s">
        <v>445</v>
      </c>
      <c r="E2000" s="217">
        <v>44256</v>
      </c>
      <c r="F2000">
        <v>24072</v>
      </c>
      <c r="G2000" s="227" t="s">
        <v>97</v>
      </c>
    </row>
    <row r="2001" spans="1:7">
      <c r="A2001" s="216">
        <v>44256</v>
      </c>
      <c r="B2001" t="s">
        <v>53</v>
      </c>
      <c r="C2001">
        <v>11</v>
      </c>
      <c r="D2001" t="s">
        <v>445</v>
      </c>
      <c r="E2001" s="217">
        <v>44256</v>
      </c>
      <c r="F2001">
        <v>16594</v>
      </c>
      <c r="G2001" s="227" t="s">
        <v>93</v>
      </c>
    </row>
    <row r="2002" spans="1:7">
      <c r="A2002" s="216">
        <v>44256</v>
      </c>
      <c r="B2002" t="s">
        <v>53</v>
      </c>
      <c r="C2002">
        <v>11</v>
      </c>
      <c r="D2002" t="s">
        <v>445</v>
      </c>
      <c r="E2002" s="217">
        <v>44256</v>
      </c>
      <c r="F2002">
        <v>-11454</v>
      </c>
      <c r="G2002" s="227" t="s">
        <v>111</v>
      </c>
    </row>
    <row r="2003" spans="1:7">
      <c r="A2003" s="216">
        <v>44256</v>
      </c>
      <c r="B2003" t="s">
        <v>53</v>
      </c>
      <c r="C2003">
        <v>11</v>
      </c>
      <c r="D2003" t="s">
        <v>445</v>
      </c>
      <c r="E2003" s="217">
        <v>44256</v>
      </c>
      <c r="F2003">
        <v>326031.59999999998</v>
      </c>
      <c r="G2003" s="227" t="s">
        <v>434</v>
      </c>
    </row>
    <row r="2004" spans="1:7">
      <c r="A2004" s="216">
        <v>44256</v>
      </c>
      <c r="B2004" t="s">
        <v>53</v>
      </c>
      <c r="C2004">
        <v>12</v>
      </c>
      <c r="D2004" t="s">
        <v>454</v>
      </c>
      <c r="E2004" s="217">
        <v>44256</v>
      </c>
      <c r="F2004">
        <v>0</v>
      </c>
      <c r="G2004" s="227" t="s">
        <v>79</v>
      </c>
    </row>
    <row r="2005" spans="1:7">
      <c r="A2005" s="216">
        <v>44256</v>
      </c>
      <c r="B2005" t="s">
        <v>53</v>
      </c>
      <c r="C2005">
        <v>12</v>
      </c>
      <c r="D2005" t="s">
        <v>454</v>
      </c>
      <c r="E2005" s="217">
        <v>44256</v>
      </c>
      <c r="F2005">
        <v>0</v>
      </c>
      <c r="G2005" s="227" t="s">
        <v>115</v>
      </c>
    </row>
    <row r="2006" spans="1:7">
      <c r="A2006" s="216">
        <v>44256</v>
      </c>
      <c r="B2006" t="s">
        <v>53</v>
      </c>
      <c r="C2006">
        <v>12</v>
      </c>
      <c r="D2006" t="s">
        <v>454</v>
      </c>
      <c r="E2006" s="217">
        <v>44256</v>
      </c>
      <c r="F2006">
        <v>0</v>
      </c>
      <c r="G2006" s="227" t="s">
        <v>106</v>
      </c>
    </row>
    <row r="2007" spans="1:7">
      <c r="A2007" s="216">
        <v>44256</v>
      </c>
      <c r="B2007" t="s">
        <v>53</v>
      </c>
      <c r="C2007">
        <v>12</v>
      </c>
      <c r="D2007" t="s">
        <v>454</v>
      </c>
      <c r="E2007" s="217">
        <v>44256</v>
      </c>
      <c r="F2007">
        <v>0</v>
      </c>
      <c r="G2007" s="227" t="s">
        <v>101</v>
      </c>
    </row>
    <row r="2008" spans="1:7">
      <c r="A2008" s="216">
        <v>44256</v>
      </c>
      <c r="B2008" t="s">
        <v>53</v>
      </c>
      <c r="C2008">
        <v>12</v>
      </c>
      <c r="D2008" t="s">
        <v>454</v>
      </c>
      <c r="E2008" s="217">
        <v>44256</v>
      </c>
      <c r="F2008">
        <v>0</v>
      </c>
      <c r="G2008" s="227" t="s">
        <v>84</v>
      </c>
    </row>
    <row r="2009" spans="1:7">
      <c r="A2009" s="216">
        <v>44256</v>
      </c>
      <c r="B2009" t="s">
        <v>53</v>
      </c>
      <c r="C2009">
        <v>12</v>
      </c>
      <c r="D2009" t="s">
        <v>454</v>
      </c>
      <c r="E2009" s="217">
        <v>44256</v>
      </c>
      <c r="F2009">
        <v>0</v>
      </c>
      <c r="G2009" s="227" t="s">
        <v>128</v>
      </c>
    </row>
    <row r="2010" spans="1:7">
      <c r="A2010" s="216">
        <v>44256</v>
      </c>
      <c r="B2010" t="s">
        <v>53</v>
      </c>
      <c r="C2010">
        <v>12</v>
      </c>
      <c r="D2010" t="s">
        <v>454</v>
      </c>
      <c r="E2010" s="217">
        <v>44256</v>
      </c>
      <c r="F2010">
        <v>0</v>
      </c>
      <c r="G2010" s="227" t="s">
        <v>124</v>
      </c>
    </row>
    <row r="2011" spans="1:7">
      <c r="A2011" s="216">
        <v>44256</v>
      </c>
      <c r="B2011" t="s">
        <v>53</v>
      </c>
      <c r="C2011">
        <v>12</v>
      </c>
      <c r="D2011" t="s">
        <v>454</v>
      </c>
      <c r="E2011" s="217">
        <v>44256</v>
      </c>
      <c r="F2011">
        <v>0</v>
      </c>
      <c r="G2011" s="227" t="s">
        <v>120</v>
      </c>
    </row>
    <row r="2012" spans="1:7">
      <c r="A2012" s="216">
        <v>44256</v>
      </c>
      <c r="B2012" t="s">
        <v>53</v>
      </c>
      <c r="C2012">
        <v>12</v>
      </c>
      <c r="D2012" t="s">
        <v>454</v>
      </c>
      <c r="E2012" s="217">
        <v>44256</v>
      </c>
      <c r="F2012">
        <v>0</v>
      </c>
      <c r="G2012" s="227" t="s">
        <v>89</v>
      </c>
    </row>
    <row r="2013" spans="1:7">
      <c r="A2013" s="216">
        <v>44256</v>
      </c>
      <c r="B2013" t="s">
        <v>53</v>
      </c>
      <c r="C2013">
        <v>12</v>
      </c>
      <c r="D2013" t="s">
        <v>454</v>
      </c>
      <c r="E2013" s="217">
        <v>44256</v>
      </c>
      <c r="F2013">
        <v>0</v>
      </c>
      <c r="G2013" s="227" t="s">
        <v>97</v>
      </c>
    </row>
    <row r="2014" spans="1:7">
      <c r="A2014" s="216">
        <v>44256</v>
      </c>
      <c r="B2014" t="s">
        <v>53</v>
      </c>
      <c r="C2014">
        <v>12</v>
      </c>
      <c r="D2014" t="s">
        <v>454</v>
      </c>
      <c r="E2014" s="217">
        <v>44256</v>
      </c>
      <c r="F2014">
        <v>0</v>
      </c>
      <c r="G2014" s="227" t="s">
        <v>93</v>
      </c>
    </row>
    <row r="2015" spans="1:7">
      <c r="A2015" s="216">
        <v>44256</v>
      </c>
      <c r="B2015" t="s">
        <v>53</v>
      </c>
      <c r="C2015">
        <v>12</v>
      </c>
      <c r="D2015" t="s">
        <v>454</v>
      </c>
      <c r="E2015" s="217">
        <v>44256</v>
      </c>
      <c r="F2015">
        <v>0</v>
      </c>
      <c r="G2015" s="227" t="s">
        <v>111</v>
      </c>
    </row>
    <row r="2016" spans="1:7">
      <c r="A2016" s="216">
        <v>44256</v>
      </c>
      <c r="B2016" t="s">
        <v>53</v>
      </c>
      <c r="C2016">
        <v>12</v>
      </c>
      <c r="D2016" t="s">
        <v>454</v>
      </c>
      <c r="E2016" s="217">
        <v>44256</v>
      </c>
      <c r="F2016">
        <v>0</v>
      </c>
      <c r="G2016" s="227" t="s">
        <v>434</v>
      </c>
    </row>
    <row r="2017" spans="1:7">
      <c r="A2017" s="216">
        <v>44256</v>
      </c>
      <c r="B2017" t="s">
        <v>53</v>
      </c>
      <c r="C2017">
        <v>13</v>
      </c>
      <c r="D2017" t="s">
        <v>441</v>
      </c>
      <c r="E2017" s="217">
        <v>44256</v>
      </c>
      <c r="F2017">
        <v>0</v>
      </c>
      <c r="G2017" s="227" t="s">
        <v>79</v>
      </c>
    </row>
    <row r="2018" spans="1:7">
      <c r="A2018" s="216">
        <v>44256</v>
      </c>
      <c r="B2018" t="s">
        <v>53</v>
      </c>
      <c r="C2018">
        <v>13</v>
      </c>
      <c r="D2018" t="s">
        <v>441</v>
      </c>
      <c r="E2018" s="217">
        <v>44256</v>
      </c>
      <c r="F2018">
        <v>0</v>
      </c>
      <c r="G2018" s="227" t="s">
        <v>115</v>
      </c>
    </row>
    <row r="2019" spans="1:7">
      <c r="A2019" s="216">
        <v>44256</v>
      </c>
      <c r="B2019" t="s">
        <v>53</v>
      </c>
      <c r="C2019">
        <v>13</v>
      </c>
      <c r="D2019" t="s">
        <v>441</v>
      </c>
      <c r="E2019" s="217">
        <v>44256</v>
      </c>
      <c r="F2019">
        <v>0</v>
      </c>
      <c r="G2019" s="227" t="s">
        <v>106</v>
      </c>
    </row>
    <row r="2020" spans="1:7">
      <c r="A2020" s="216">
        <v>44256</v>
      </c>
      <c r="B2020" t="s">
        <v>53</v>
      </c>
      <c r="C2020">
        <v>13</v>
      </c>
      <c r="D2020" t="s">
        <v>441</v>
      </c>
      <c r="E2020" s="217">
        <v>44256</v>
      </c>
      <c r="F2020">
        <v>0</v>
      </c>
      <c r="G2020" s="227" t="s">
        <v>101</v>
      </c>
    </row>
    <row r="2021" spans="1:7">
      <c r="A2021" s="216">
        <v>44256</v>
      </c>
      <c r="B2021" t="s">
        <v>53</v>
      </c>
      <c r="C2021">
        <v>13</v>
      </c>
      <c r="D2021" t="s">
        <v>441</v>
      </c>
      <c r="E2021" s="217">
        <v>44256</v>
      </c>
      <c r="F2021">
        <v>0</v>
      </c>
      <c r="G2021" s="227" t="s">
        <v>84</v>
      </c>
    </row>
    <row r="2022" spans="1:7">
      <c r="A2022" s="216">
        <v>44256</v>
      </c>
      <c r="B2022" t="s">
        <v>53</v>
      </c>
      <c r="C2022">
        <v>13</v>
      </c>
      <c r="D2022" t="s">
        <v>441</v>
      </c>
      <c r="E2022" s="217">
        <v>44256</v>
      </c>
      <c r="F2022">
        <v>0</v>
      </c>
      <c r="G2022" s="227" t="s">
        <v>128</v>
      </c>
    </row>
    <row r="2023" spans="1:7">
      <c r="A2023" s="216">
        <v>44256</v>
      </c>
      <c r="B2023" t="s">
        <v>53</v>
      </c>
      <c r="C2023">
        <v>13</v>
      </c>
      <c r="D2023" t="s">
        <v>441</v>
      </c>
      <c r="E2023" s="217">
        <v>44256</v>
      </c>
      <c r="F2023">
        <v>0</v>
      </c>
      <c r="G2023" s="227" t="s">
        <v>124</v>
      </c>
    </row>
    <row r="2024" spans="1:7">
      <c r="A2024" s="216">
        <v>44256</v>
      </c>
      <c r="B2024" t="s">
        <v>53</v>
      </c>
      <c r="C2024">
        <v>13</v>
      </c>
      <c r="D2024" t="s">
        <v>441</v>
      </c>
      <c r="E2024" s="217">
        <v>44256</v>
      </c>
      <c r="F2024">
        <v>0</v>
      </c>
      <c r="G2024" s="227" t="s">
        <v>120</v>
      </c>
    </row>
    <row r="2025" spans="1:7">
      <c r="A2025" s="216">
        <v>44256</v>
      </c>
      <c r="B2025" t="s">
        <v>53</v>
      </c>
      <c r="C2025">
        <v>13</v>
      </c>
      <c r="D2025" t="s">
        <v>441</v>
      </c>
      <c r="E2025" s="217">
        <v>44256</v>
      </c>
      <c r="F2025">
        <v>0</v>
      </c>
      <c r="G2025" s="227" t="s">
        <v>89</v>
      </c>
    </row>
    <row r="2026" spans="1:7">
      <c r="A2026" s="216">
        <v>44256</v>
      </c>
      <c r="B2026" t="s">
        <v>53</v>
      </c>
      <c r="C2026">
        <v>13</v>
      </c>
      <c r="D2026" t="s">
        <v>441</v>
      </c>
      <c r="E2026" s="217">
        <v>44256</v>
      </c>
      <c r="F2026">
        <v>0</v>
      </c>
      <c r="G2026" s="227" t="s">
        <v>97</v>
      </c>
    </row>
    <row r="2027" spans="1:7">
      <c r="A2027" s="216">
        <v>44256</v>
      </c>
      <c r="B2027" t="s">
        <v>53</v>
      </c>
      <c r="C2027">
        <v>13</v>
      </c>
      <c r="D2027" t="s">
        <v>441</v>
      </c>
      <c r="E2027" s="217">
        <v>44256</v>
      </c>
      <c r="F2027">
        <v>0</v>
      </c>
      <c r="G2027" s="227" t="s">
        <v>93</v>
      </c>
    </row>
    <row r="2028" spans="1:7">
      <c r="A2028" s="216">
        <v>44256</v>
      </c>
      <c r="B2028" t="s">
        <v>53</v>
      </c>
      <c r="C2028">
        <v>13</v>
      </c>
      <c r="D2028" t="s">
        <v>441</v>
      </c>
      <c r="E2028" s="217">
        <v>44256</v>
      </c>
      <c r="F2028">
        <v>0</v>
      </c>
      <c r="G2028" s="227" t="s">
        <v>111</v>
      </c>
    </row>
    <row r="2029" spans="1:7">
      <c r="A2029" s="216">
        <v>44256</v>
      </c>
      <c r="B2029" t="s">
        <v>53</v>
      </c>
      <c r="C2029">
        <v>13</v>
      </c>
      <c r="D2029" t="s">
        <v>441</v>
      </c>
      <c r="E2029" s="217">
        <v>44256</v>
      </c>
      <c r="F2029">
        <v>0</v>
      </c>
      <c r="G2029" s="227" t="s">
        <v>434</v>
      </c>
    </row>
    <row r="2030" spans="1:7">
      <c r="A2030" s="216">
        <v>44256</v>
      </c>
      <c r="B2030" t="s">
        <v>53</v>
      </c>
      <c r="C2030">
        <v>14</v>
      </c>
      <c r="D2030" t="s">
        <v>447</v>
      </c>
      <c r="E2030" s="217">
        <v>44256</v>
      </c>
      <c r="F2030">
        <v>0</v>
      </c>
      <c r="G2030" s="227" t="s">
        <v>79</v>
      </c>
    </row>
    <row r="2031" spans="1:7">
      <c r="A2031" s="216">
        <v>44256</v>
      </c>
      <c r="B2031" t="s">
        <v>53</v>
      </c>
      <c r="C2031">
        <v>14</v>
      </c>
      <c r="D2031" t="s">
        <v>447</v>
      </c>
      <c r="E2031" s="217">
        <v>44256</v>
      </c>
      <c r="F2031">
        <v>0</v>
      </c>
      <c r="G2031" s="227" t="s">
        <v>115</v>
      </c>
    </row>
    <row r="2032" spans="1:7">
      <c r="A2032" s="216">
        <v>44256</v>
      </c>
      <c r="B2032" t="s">
        <v>53</v>
      </c>
      <c r="C2032">
        <v>14</v>
      </c>
      <c r="D2032" t="s">
        <v>447</v>
      </c>
      <c r="E2032" s="217">
        <v>44256</v>
      </c>
      <c r="F2032">
        <v>0</v>
      </c>
      <c r="G2032" s="227" t="s">
        <v>106</v>
      </c>
    </row>
    <row r="2033" spans="1:7">
      <c r="A2033" s="216">
        <v>44256</v>
      </c>
      <c r="B2033" t="s">
        <v>53</v>
      </c>
      <c r="C2033">
        <v>14</v>
      </c>
      <c r="D2033" t="s">
        <v>447</v>
      </c>
      <c r="E2033" s="217">
        <v>44256</v>
      </c>
      <c r="F2033">
        <v>0</v>
      </c>
      <c r="G2033" s="227" t="s">
        <v>101</v>
      </c>
    </row>
    <row r="2034" spans="1:7">
      <c r="A2034" s="216">
        <v>44256</v>
      </c>
      <c r="B2034" t="s">
        <v>53</v>
      </c>
      <c r="C2034">
        <v>14</v>
      </c>
      <c r="D2034" t="s">
        <v>447</v>
      </c>
      <c r="E2034" s="217">
        <v>44256</v>
      </c>
      <c r="F2034">
        <v>0</v>
      </c>
      <c r="G2034" s="227" t="s">
        <v>84</v>
      </c>
    </row>
    <row r="2035" spans="1:7">
      <c r="A2035" s="216">
        <v>44256</v>
      </c>
      <c r="B2035" t="s">
        <v>53</v>
      </c>
      <c r="C2035">
        <v>14</v>
      </c>
      <c r="D2035" t="s">
        <v>447</v>
      </c>
      <c r="E2035" s="217">
        <v>44256</v>
      </c>
      <c r="F2035">
        <v>0</v>
      </c>
      <c r="G2035" s="227" t="s">
        <v>128</v>
      </c>
    </row>
    <row r="2036" spans="1:7">
      <c r="A2036" s="216">
        <v>44256</v>
      </c>
      <c r="B2036" t="s">
        <v>53</v>
      </c>
      <c r="C2036">
        <v>14</v>
      </c>
      <c r="D2036" t="s">
        <v>447</v>
      </c>
      <c r="E2036" s="217">
        <v>44256</v>
      </c>
      <c r="F2036">
        <v>0</v>
      </c>
      <c r="G2036" s="227" t="s">
        <v>124</v>
      </c>
    </row>
    <row r="2037" spans="1:7">
      <c r="A2037" s="216">
        <v>44256</v>
      </c>
      <c r="B2037" t="s">
        <v>53</v>
      </c>
      <c r="C2037">
        <v>14</v>
      </c>
      <c r="D2037" t="s">
        <v>447</v>
      </c>
      <c r="E2037" s="217">
        <v>44256</v>
      </c>
      <c r="F2037">
        <v>0</v>
      </c>
      <c r="G2037" s="227" t="s">
        <v>120</v>
      </c>
    </row>
    <row r="2038" spans="1:7">
      <c r="A2038" s="216">
        <v>44256</v>
      </c>
      <c r="B2038" t="s">
        <v>53</v>
      </c>
      <c r="C2038">
        <v>14</v>
      </c>
      <c r="D2038" t="s">
        <v>447</v>
      </c>
      <c r="E2038" s="217">
        <v>44256</v>
      </c>
      <c r="F2038">
        <v>0</v>
      </c>
      <c r="G2038" s="227" t="s">
        <v>89</v>
      </c>
    </row>
    <row r="2039" spans="1:7">
      <c r="A2039" s="216">
        <v>44256</v>
      </c>
      <c r="B2039" t="s">
        <v>53</v>
      </c>
      <c r="C2039">
        <v>14</v>
      </c>
      <c r="D2039" t="s">
        <v>447</v>
      </c>
      <c r="E2039" s="217">
        <v>44256</v>
      </c>
      <c r="F2039">
        <v>0</v>
      </c>
      <c r="G2039" s="227" t="s">
        <v>97</v>
      </c>
    </row>
    <row r="2040" spans="1:7">
      <c r="A2040" s="216">
        <v>44256</v>
      </c>
      <c r="B2040" t="s">
        <v>53</v>
      </c>
      <c r="C2040">
        <v>14</v>
      </c>
      <c r="D2040" t="s">
        <v>447</v>
      </c>
      <c r="E2040" s="217">
        <v>44256</v>
      </c>
      <c r="F2040">
        <v>0</v>
      </c>
      <c r="G2040" s="227" t="s">
        <v>93</v>
      </c>
    </row>
    <row r="2041" spans="1:7">
      <c r="A2041" s="216">
        <v>44256</v>
      </c>
      <c r="B2041" t="s">
        <v>53</v>
      </c>
      <c r="C2041">
        <v>14</v>
      </c>
      <c r="D2041" t="s">
        <v>447</v>
      </c>
      <c r="E2041" s="217">
        <v>44256</v>
      </c>
      <c r="F2041">
        <v>0</v>
      </c>
      <c r="G2041" s="227" t="s">
        <v>111</v>
      </c>
    </row>
    <row r="2042" spans="1:7">
      <c r="A2042" s="216">
        <v>44256</v>
      </c>
      <c r="B2042" t="s">
        <v>53</v>
      </c>
      <c r="C2042">
        <v>14</v>
      </c>
      <c r="D2042" t="s">
        <v>447</v>
      </c>
      <c r="E2042" s="217">
        <v>44256</v>
      </c>
      <c r="F2042">
        <v>0</v>
      </c>
      <c r="G2042" s="227" t="s">
        <v>434</v>
      </c>
    </row>
    <row r="2043" spans="1:7">
      <c r="A2043" s="216">
        <v>44256</v>
      </c>
      <c r="B2043" t="s">
        <v>53</v>
      </c>
      <c r="C2043">
        <v>15</v>
      </c>
      <c r="D2043" t="s">
        <v>437</v>
      </c>
      <c r="E2043" s="217">
        <v>44256</v>
      </c>
      <c r="F2043">
        <v>0</v>
      </c>
      <c r="G2043" s="227" t="s">
        <v>79</v>
      </c>
    </row>
    <row r="2044" spans="1:7">
      <c r="A2044" s="216">
        <v>44256</v>
      </c>
      <c r="B2044" t="s">
        <v>53</v>
      </c>
      <c r="C2044">
        <v>15</v>
      </c>
      <c r="D2044" t="s">
        <v>437</v>
      </c>
      <c r="E2044" s="217">
        <v>44256</v>
      </c>
      <c r="F2044">
        <v>0</v>
      </c>
      <c r="G2044" s="227" t="s">
        <v>115</v>
      </c>
    </row>
    <row r="2045" spans="1:7">
      <c r="A2045" s="216">
        <v>44256</v>
      </c>
      <c r="B2045" t="s">
        <v>53</v>
      </c>
      <c r="C2045">
        <v>15</v>
      </c>
      <c r="D2045" t="s">
        <v>437</v>
      </c>
      <c r="E2045" s="217">
        <v>44256</v>
      </c>
      <c r="F2045">
        <v>0</v>
      </c>
      <c r="G2045" s="227" t="s">
        <v>106</v>
      </c>
    </row>
    <row r="2046" spans="1:7">
      <c r="A2046" s="216">
        <v>44256</v>
      </c>
      <c r="B2046" t="s">
        <v>53</v>
      </c>
      <c r="C2046">
        <v>15</v>
      </c>
      <c r="D2046" t="s">
        <v>437</v>
      </c>
      <c r="E2046" s="217">
        <v>44256</v>
      </c>
      <c r="F2046">
        <v>0</v>
      </c>
      <c r="G2046" s="227" t="s">
        <v>101</v>
      </c>
    </row>
    <row r="2047" spans="1:7">
      <c r="A2047" s="216">
        <v>44256</v>
      </c>
      <c r="B2047" t="s">
        <v>53</v>
      </c>
      <c r="C2047">
        <v>15</v>
      </c>
      <c r="D2047" t="s">
        <v>437</v>
      </c>
      <c r="E2047" s="217">
        <v>44256</v>
      </c>
      <c r="F2047">
        <v>0</v>
      </c>
      <c r="G2047" s="227" t="s">
        <v>84</v>
      </c>
    </row>
    <row r="2048" spans="1:7">
      <c r="A2048" s="216">
        <v>44256</v>
      </c>
      <c r="B2048" t="s">
        <v>53</v>
      </c>
      <c r="C2048">
        <v>15</v>
      </c>
      <c r="D2048" t="s">
        <v>437</v>
      </c>
      <c r="E2048" s="217">
        <v>44256</v>
      </c>
      <c r="F2048">
        <v>0</v>
      </c>
      <c r="G2048" s="227" t="s">
        <v>128</v>
      </c>
    </row>
    <row r="2049" spans="1:7">
      <c r="A2049" s="216">
        <v>44256</v>
      </c>
      <c r="B2049" t="s">
        <v>53</v>
      </c>
      <c r="C2049">
        <v>15</v>
      </c>
      <c r="D2049" t="s">
        <v>437</v>
      </c>
      <c r="E2049" s="217">
        <v>44256</v>
      </c>
      <c r="F2049">
        <v>0</v>
      </c>
      <c r="G2049" s="227" t="s">
        <v>124</v>
      </c>
    </row>
    <row r="2050" spans="1:7">
      <c r="A2050" s="216">
        <v>44256</v>
      </c>
      <c r="B2050" t="s">
        <v>53</v>
      </c>
      <c r="C2050">
        <v>15</v>
      </c>
      <c r="D2050" t="s">
        <v>437</v>
      </c>
      <c r="E2050" s="217">
        <v>44256</v>
      </c>
      <c r="F2050">
        <v>0</v>
      </c>
      <c r="G2050" s="227" t="s">
        <v>120</v>
      </c>
    </row>
    <row r="2051" spans="1:7">
      <c r="A2051" s="216">
        <v>44256</v>
      </c>
      <c r="B2051" t="s">
        <v>53</v>
      </c>
      <c r="C2051">
        <v>15</v>
      </c>
      <c r="D2051" t="s">
        <v>437</v>
      </c>
      <c r="E2051" s="217">
        <v>44256</v>
      </c>
      <c r="F2051">
        <v>0</v>
      </c>
      <c r="G2051" s="227" t="s">
        <v>89</v>
      </c>
    </row>
    <row r="2052" spans="1:7">
      <c r="A2052" s="216">
        <v>44256</v>
      </c>
      <c r="B2052" t="s">
        <v>53</v>
      </c>
      <c r="C2052">
        <v>15</v>
      </c>
      <c r="D2052" t="s">
        <v>437</v>
      </c>
      <c r="E2052" s="217">
        <v>44256</v>
      </c>
      <c r="F2052">
        <v>0</v>
      </c>
      <c r="G2052" s="227" t="s">
        <v>97</v>
      </c>
    </row>
    <row r="2053" spans="1:7">
      <c r="A2053" s="216">
        <v>44256</v>
      </c>
      <c r="B2053" t="s">
        <v>53</v>
      </c>
      <c r="C2053">
        <v>15</v>
      </c>
      <c r="D2053" t="s">
        <v>437</v>
      </c>
      <c r="E2053" s="217">
        <v>44256</v>
      </c>
      <c r="F2053">
        <v>0</v>
      </c>
      <c r="G2053" s="227" t="s">
        <v>93</v>
      </c>
    </row>
    <row r="2054" spans="1:7">
      <c r="A2054" s="216">
        <v>44256</v>
      </c>
      <c r="B2054" t="s">
        <v>53</v>
      </c>
      <c r="C2054">
        <v>15</v>
      </c>
      <c r="D2054" t="s">
        <v>437</v>
      </c>
      <c r="E2054" s="217">
        <v>44256</v>
      </c>
      <c r="F2054">
        <v>0</v>
      </c>
      <c r="G2054" s="227" t="s">
        <v>111</v>
      </c>
    </row>
    <row r="2055" spans="1:7">
      <c r="A2055" s="216">
        <v>44256</v>
      </c>
      <c r="B2055" t="s">
        <v>53</v>
      </c>
      <c r="C2055">
        <v>15</v>
      </c>
      <c r="D2055" t="s">
        <v>437</v>
      </c>
      <c r="E2055" s="217">
        <v>44256</v>
      </c>
      <c r="F2055">
        <v>0</v>
      </c>
      <c r="G2055" s="227" t="s">
        <v>434</v>
      </c>
    </row>
    <row r="2056" spans="1:7">
      <c r="A2056" s="216">
        <v>44256</v>
      </c>
      <c r="B2056" t="s">
        <v>48</v>
      </c>
      <c r="C2056">
        <v>7</v>
      </c>
      <c r="D2056" t="s">
        <v>442</v>
      </c>
      <c r="E2056" s="217">
        <v>44256</v>
      </c>
      <c r="F2056">
        <v>14055</v>
      </c>
      <c r="G2056" s="227" t="s">
        <v>79</v>
      </c>
    </row>
    <row r="2057" spans="1:7">
      <c r="A2057" s="216">
        <v>44256</v>
      </c>
      <c r="B2057" t="s">
        <v>48</v>
      </c>
      <c r="C2057">
        <v>7</v>
      </c>
      <c r="D2057" t="s">
        <v>442</v>
      </c>
      <c r="E2057" s="217">
        <v>44256</v>
      </c>
      <c r="F2057">
        <v>12909</v>
      </c>
      <c r="G2057" s="227" t="s">
        <v>115</v>
      </c>
    </row>
    <row r="2058" spans="1:7">
      <c r="A2058" s="216">
        <v>44256</v>
      </c>
      <c r="B2058" t="s">
        <v>48</v>
      </c>
      <c r="C2058">
        <v>7</v>
      </c>
      <c r="D2058" t="s">
        <v>442</v>
      </c>
      <c r="E2058" s="217">
        <v>44256</v>
      </c>
      <c r="F2058">
        <v>15247</v>
      </c>
      <c r="G2058" s="227" t="s">
        <v>106</v>
      </c>
    </row>
    <row r="2059" spans="1:7">
      <c r="A2059" s="216">
        <v>44256</v>
      </c>
      <c r="B2059" t="s">
        <v>48</v>
      </c>
      <c r="C2059">
        <v>7</v>
      </c>
      <c r="D2059" t="s">
        <v>442</v>
      </c>
      <c r="E2059" s="217">
        <v>44256</v>
      </c>
      <c r="F2059">
        <v>15723</v>
      </c>
      <c r="G2059" s="227" t="s">
        <v>101</v>
      </c>
    </row>
    <row r="2060" spans="1:7">
      <c r="A2060" s="216">
        <v>44256</v>
      </c>
      <c r="B2060" t="s">
        <v>48</v>
      </c>
      <c r="C2060">
        <v>7</v>
      </c>
      <c r="D2060" t="s">
        <v>442</v>
      </c>
      <c r="E2060" s="217">
        <v>44256</v>
      </c>
      <c r="F2060">
        <v>15314</v>
      </c>
      <c r="G2060" s="227" t="s">
        <v>84</v>
      </c>
    </row>
    <row r="2061" spans="1:7">
      <c r="A2061" s="216">
        <v>44256</v>
      </c>
      <c r="B2061" t="s">
        <v>48</v>
      </c>
      <c r="C2061">
        <v>7</v>
      </c>
      <c r="D2061" t="s">
        <v>442</v>
      </c>
      <c r="E2061" s="217">
        <v>44256</v>
      </c>
      <c r="F2061">
        <v>14812</v>
      </c>
      <c r="G2061" s="227" t="s">
        <v>128</v>
      </c>
    </row>
    <row r="2062" spans="1:7">
      <c r="A2062" s="216">
        <v>44256</v>
      </c>
      <c r="B2062" t="s">
        <v>48</v>
      </c>
      <c r="C2062">
        <v>7</v>
      </c>
      <c r="D2062" t="s">
        <v>442</v>
      </c>
      <c r="E2062" s="217">
        <v>44256</v>
      </c>
      <c r="F2062">
        <v>17263</v>
      </c>
      <c r="G2062" s="227" t="s">
        <v>124</v>
      </c>
    </row>
    <row r="2063" spans="1:7">
      <c r="A2063" s="216">
        <v>44256</v>
      </c>
      <c r="B2063" t="s">
        <v>48</v>
      </c>
      <c r="C2063">
        <v>7</v>
      </c>
      <c r="D2063" t="s">
        <v>442</v>
      </c>
      <c r="E2063" s="217">
        <v>44256</v>
      </c>
      <c r="F2063">
        <v>19244</v>
      </c>
      <c r="G2063" s="227" t="s">
        <v>120</v>
      </c>
    </row>
    <row r="2064" spans="1:7">
      <c r="A2064" s="216">
        <v>44256</v>
      </c>
      <c r="B2064" t="s">
        <v>48</v>
      </c>
      <c r="C2064">
        <v>7</v>
      </c>
      <c r="D2064" t="s">
        <v>442</v>
      </c>
      <c r="E2064" s="217">
        <v>44256</v>
      </c>
      <c r="F2064">
        <v>19303</v>
      </c>
      <c r="G2064" s="227" t="s">
        <v>89</v>
      </c>
    </row>
    <row r="2065" spans="1:7">
      <c r="A2065" s="216">
        <v>44256</v>
      </c>
      <c r="B2065" t="s">
        <v>48</v>
      </c>
      <c r="C2065">
        <v>7</v>
      </c>
      <c r="D2065" t="s">
        <v>442</v>
      </c>
      <c r="E2065" s="217">
        <v>44256</v>
      </c>
      <c r="F2065">
        <v>19916</v>
      </c>
      <c r="G2065" s="227" t="s">
        <v>97</v>
      </c>
    </row>
    <row r="2066" spans="1:7">
      <c r="A2066" s="216">
        <v>44256</v>
      </c>
      <c r="B2066" t="s">
        <v>48</v>
      </c>
      <c r="C2066">
        <v>7</v>
      </c>
      <c r="D2066" t="s">
        <v>442</v>
      </c>
      <c r="E2066" s="217">
        <v>44256</v>
      </c>
      <c r="F2066">
        <v>19825</v>
      </c>
      <c r="G2066" s="227" t="s">
        <v>93</v>
      </c>
    </row>
    <row r="2067" spans="1:7">
      <c r="A2067" s="216">
        <v>44256</v>
      </c>
      <c r="B2067" t="s">
        <v>48</v>
      </c>
      <c r="C2067">
        <v>7</v>
      </c>
      <c r="D2067" t="s">
        <v>442</v>
      </c>
      <c r="E2067" s="217">
        <v>44256</v>
      </c>
      <c r="F2067">
        <v>33047</v>
      </c>
      <c r="G2067" s="227" t="s">
        <v>111</v>
      </c>
    </row>
    <row r="2068" spans="1:7">
      <c r="A2068" s="216">
        <v>44256</v>
      </c>
      <c r="B2068" t="s">
        <v>48</v>
      </c>
      <c r="C2068">
        <v>7</v>
      </c>
      <c r="D2068" t="s">
        <v>442</v>
      </c>
      <c r="E2068" s="217">
        <v>44256</v>
      </c>
      <c r="F2068">
        <v>216658</v>
      </c>
      <c r="G2068" s="227" t="s">
        <v>434</v>
      </c>
    </row>
    <row r="2069" spans="1:7">
      <c r="A2069" s="216">
        <v>44256</v>
      </c>
      <c r="B2069" t="s">
        <v>48</v>
      </c>
      <c r="C2069">
        <v>9</v>
      </c>
      <c r="D2069" t="s">
        <v>450</v>
      </c>
      <c r="E2069" s="217">
        <v>44256</v>
      </c>
      <c r="F2069">
        <v>0</v>
      </c>
      <c r="G2069" s="227" t="s">
        <v>79</v>
      </c>
    </row>
    <row r="2070" spans="1:7">
      <c r="A2070" s="216">
        <v>44256</v>
      </c>
      <c r="B2070" t="s">
        <v>48</v>
      </c>
      <c r="C2070">
        <v>9</v>
      </c>
      <c r="D2070" t="s">
        <v>450</v>
      </c>
      <c r="E2070" s="217">
        <v>44256</v>
      </c>
      <c r="F2070">
        <v>0</v>
      </c>
      <c r="G2070" s="227" t="s">
        <v>115</v>
      </c>
    </row>
    <row r="2071" spans="1:7">
      <c r="A2071" s="216">
        <v>44256</v>
      </c>
      <c r="B2071" t="s">
        <v>48</v>
      </c>
      <c r="C2071">
        <v>9</v>
      </c>
      <c r="D2071" t="s">
        <v>450</v>
      </c>
      <c r="E2071" s="217">
        <v>44256</v>
      </c>
      <c r="F2071">
        <v>0</v>
      </c>
      <c r="G2071" s="227" t="s">
        <v>106</v>
      </c>
    </row>
    <row r="2072" spans="1:7">
      <c r="A2072" s="216">
        <v>44256</v>
      </c>
      <c r="B2072" t="s">
        <v>48</v>
      </c>
      <c r="C2072">
        <v>9</v>
      </c>
      <c r="D2072" t="s">
        <v>450</v>
      </c>
      <c r="E2072" s="217">
        <v>44256</v>
      </c>
      <c r="F2072">
        <v>0</v>
      </c>
      <c r="G2072" s="227" t="s">
        <v>101</v>
      </c>
    </row>
    <row r="2073" spans="1:7">
      <c r="A2073" s="216">
        <v>44256</v>
      </c>
      <c r="B2073" t="s">
        <v>48</v>
      </c>
      <c r="C2073">
        <v>9</v>
      </c>
      <c r="D2073" t="s">
        <v>450</v>
      </c>
      <c r="E2073" s="217">
        <v>44256</v>
      </c>
      <c r="F2073">
        <v>0</v>
      </c>
      <c r="G2073" s="227" t="s">
        <v>84</v>
      </c>
    </row>
    <row r="2074" spans="1:7">
      <c r="A2074" s="216">
        <v>44256</v>
      </c>
      <c r="B2074" t="s">
        <v>48</v>
      </c>
      <c r="C2074">
        <v>9</v>
      </c>
      <c r="D2074" t="s">
        <v>450</v>
      </c>
      <c r="E2074" s="217">
        <v>44256</v>
      </c>
      <c r="F2074">
        <v>0</v>
      </c>
      <c r="G2074" s="227" t="s">
        <v>128</v>
      </c>
    </row>
    <row r="2075" spans="1:7">
      <c r="A2075" s="216">
        <v>44256</v>
      </c>
      <c r="B2075" t="s">
        <v>48</v>
      </c>
      <c r="C2075">
        <v>9</v>
      </c>
      <c r="D2075" t="s">
        <v>450</v>
      </c>
      <c r="E2075" s="217">
        <v>44256</v>
      </c>
      <c r="F2075">
        <v>0</v>
      </c>
      <c r="G2075" s="227" t="s">
        <v>124</v>
      </c>
    </row>
    <row r="2076" spans="1:7">
      <c r="A2076" s="216">
        <v>44256</v>
      </c>
      <c r="B2076" t="s">
        <v>48</v>
      </c>
      <c r="C2076">
        <v>9</v>
      </c>
      <c r="D2076" t="s">
        <v>450</v>
      </c>
      <c r="E2076" s="217">
        <v>44256</v>
      </c>
      <c r="F2076">
        <v>0</v>
      </c>
      <c r="G2076" s="227" t="s">
        <v>120</v>
      </c>
    </row>
    <row r="2077" spans="1:7">
      <c r="A2077" s="216">
        <v>44256</v>
      </c>
      <c r="B2077" t="s">
        <v>48</v>
      </c>
      <c r="C2077">
        <v>9</v>
      </c>
      <c r="D2077" t="s">
        <v>450</v>
      </c>
      <c r="E2077" s="217">
        <v>44256</v>
      </c>
      <c r="F2077">
        <v>0</v>
      </c>
      <c r="G2077" s="227" t="s">
        <v>89</v>
      </c>
    </row>
    <row r="2078" spans="1:7">
      <c r="A2078" s="216">
        <v>44256</v>
      </c>
      <c r="B2078" t="s">
        <v>48</v>
      </c>
      <c r="C2078">
        <v>9</v>
      </c>
      <c r="D2078" t="s">
        <v>450</v>
      </c>
      <c r="E2078" s="217">
        <v>44256</v>
      </c>
      <c r="F2078">
        <v>0</v>
      </c>
      <c r="G2078" s="227" t="s">
        <v>97</v>
      </c>
    </row>
    <row r="2079" spans="1:7">
      <c r="A2079" s="216">
        <v>44256</v>
      </c>
      <c r="B2079" t="s">
        <v>48</v>
      </c>
      <c r="C2079">
        <v>9</v>
      </c>
      <c r="D2079" t="s">
        <v>450</v>
      </c>
      <c r="E2079" s="217">
        <v>44256</v>
      </c>
      <c r="F2079">
        <v>0</v>
      </c>
      <c r="G2079" s="227" t="s">
        <v>93</v>
      </c>
    </row>
    <row r="2080" spans="1:7">
      <c r="A2080" s="216">
        <v>44256</v>
      </c>
      <c r="B2080" t="s">
        <v>48</v>
      </c>
      <c r="C2080">
        <v>9</v>
      </c>
      <c r="D2080" t="s">
        <v>450</v>
      </c>
      <c r="E2080" s="217">
        <v>44256</v>
      </c>
      <c r="F2080">
        <v>0</v>
      </c>
      <c r="G2080" s="227" t="s">
        <v>111</v>
      </c>
    </row>
    <row r="2081" spans="1:7">
      <c r="A2081" s="216">
        <v>44256</v>
      </c>
      <c r="B2081" t="s">
        <v>48</v>
      </c>
      <c r="C2081">
        <v>9</v>
      </c>
      <c r="D2081" t="s">
        <v>450</v>
      </c>
      <c r="E2081" s="217">
        <v>44256</v>
      </c>
      <c r="F2081">
        <v>0</v>
      </c>
      <c r="G2081" s="227" t="s">
        <v>434</v>
      </c>
    </row>
    <row r="2082" spans="1:7">
      <c r="A2082" s="216">
        <v>44256</v>
      </c>
      <c r="B2082" t="s">
        <v>48</v>
      </c>
      <c r="C2082">
        <v>10</v>
      </c>
      <c r="D2082" t="s">
        <v>433</v>
      </c>
      <c r="E2082" s="217">
        <v>44256</v>
      </c>
      <c r="F2082">
        <v>8168</v>
      </c>
      <c r="G2082" s="227" t="s">
        <v>79</v>
      </c>
    </row>
    <row r="2083" spans="1:7">
      <c r="A2083" s="216">
        <v>44256</v>
      </c>
      <c r="B2083" t="s">
        <v>48</v>
      </c>
      <c r="C2083">
        <v>10</v>
      </c>
      <c r="D2083" t="s">
        <v>433</v>
      </c>
      <c r="E2083" s="217">
        <v>44256</v>
      </c>
      <c r="F2083">
        <v>8484</v>
      </c>
      <c r="G2083" s="227" t="s">
        <v>115</v>
      </c>
    </row>
    <row r="2084" spans="1:7">
      <c r="A2084" s="216">
        <v>44256</v>
      </c>
      <c r="B2084" t="s">
        <v>48</v>
      </c>
      <c r="C2084">
        <v>10</v>
      </c>
      <c r="D2084" t="s">
        <v>433</v>
      </c>
      <c r="E2084" s="217">
        <v>44256</v>
      </c>
      <c r="F2084">
        <v>8606</v>
      </c>
      <c r="G2084" s="227" t="s">
        <v>106</v>
      </c>
    </row>
    <row r="2085" spans="1:7">
      <c r="A2085" s="216">
        <v>44256</v>
      </c>
      <c r="B2085" t="s">
        <v>48</v>
      </c>
      <c r="C2085">
        <v>10</v>
      </c>
      <c r="D2085" t="s">
        <v>433</v>
      </c>
      <c r="E2085" s="217">
        <v>44256</v>
      </c>
      <c r="F2085">
        <v>8438</v>
      </c>
      <c r="G2085" s="227" t="s">
        <v>101</v>
      </c>
    </row>
    <row r="2086" spans="1:7">
      <c r="A2086" s="216">
        <v>44256</v>
      </c>
      <c r="B2086" t="s">
        <v>48</v>
      </c>
      <c r="C2086">
        <v>10</v>
      </c>
      <c r="D2086" t="s">
        <v>433</v>
      </c>
      <c r="E2086" s="217">
        <v>44256</v>
      </c>
      <c r="F2086">
        <v>8264</v>
      </c>
      <c r="G2086" s="227" t="s">
        <v>84</v>
      </c>
    </row>
    <row r="2087" spans="1:7">
      <c r="A2087" s="216">
        <v>44256</v>
      </c>
      <c r="B2087" t="s">
        <v>48</v>
      </c>
      <c r="C2087">
        <v>10</v>
      </c>
      <c r="D2087" t="s">
        <v>433</v>
      </c>
      <c r="E2087" s="217">
        <v>44256</v>
      </c>
      <c r="F2087">
        <v>8533</v>
      </c>
      <c r="G2087" s="227" t="s">
        <v>128</v>
      </c>
    </row>
    <row r="2088" spans="1:7">
      <c r="A2088" s="216">
        <v>44256</v>
      </c>
      <c r="B2088" t="s">
        <v>48</v>
      </c>
      <c r="C2088">
        <v>10</v>
      </c>
      <c r="D2088" t="s">
        <v>433</v>
      </c>
      <c r="E2088" s="217">
        <v>44256</v>
      </c>
      <c r="F2088">
        <v>8700</v>
      </c>
      <c r="G2088" s="227" t="s">
        <v>124</v>
      </c>
    </row>
    <row r="2089" spans="1:7">
      <c r="A2089" s="216">
        <v>44256</v>
      </c>
      <c r="B2089" t="s">
        <v>48</v>
      </c>
      <c r="C2089">
        <v>10</v>
      </c>
      <c r="D2089" t="s">
        <v>433</v>
      </c>
      <c r="E2089" s="217">
        <v>44256</v>
      </c>
      <c r="F2089">
        <v>8904</v>
      </c>
      <c r="G2089" s="227" t="s">
        <v>120</v>
      </c>
    </row>
    <row r="2090" spans="1:7">
      <c r="A2090" s="216">
        <v>44256</v>
      </c>
      <c r="B2090" t="s">
        <v>48</v>
      </c>
      <c r="C2090">
        <v>10</v>
      </c>
      <c r="D2090" t="s">
        <v>433</v>
      </c>
      <c r="E2090" s="217">
        <v>44256</v>
      </c>
      <c r="F2090">
        <v>8706</v>
      </c>
      <c r="G2090" s="227" t="s">
        <v>89</v>
      </c>
    </row>
    <row r="2091" spans="1:7">
      <c r="A2091" s="216">
        <v>44256</v>
      </c>
      <c r="B2091" t="s">
        <v>48</v>
      </c>
      <c r="C2091">
        <v>10</v>
      </c>
      <c r="D2091" t="s">
        <v>433</v>
      </c>
      <c r="E2091" s="217">
        <v>44256</v>
      </c>
      <c r="F2091">
        <v>9214</v>
      </c>
      <c r="G2091" s="227" t="s">
        <v>97</v>
      </c>
    </row>
    <row r="2092" spans="1:7">
      <c r="A2092" s="216">
        <v>44256</v>
      </c>
      <c r="B2092" t="s">
        <v>48</v>
      </c>
      <c r="C2092">
        <v>10</v>
      </c>
      <c r="D2092" t="s">
        <v>433</v>
      </c>
      <c r="E2092" s="217">
        <v>44256</v>
      </c>
      <c r="F2092">
        <v>9309</v>
      </c>
      <c r="G2092" s="227" t="s">
        <v>93</v>
      </c>
    </row>
    <row r="2093" spans="1:7">
      <c r="A2093" s="216">
        <v>44256</v>
      </c>
      <c r="B2093" t="s">
        <v>48</v>
      </c>
      <c r="C2093">
        <v>10</v>
      </c>
      <c r="D2093" t="s">
        <v>433</v>
      </c>
      <c r="E2093" s="217">
        <v>44256</v>
      </c>
      <c r="F2093">
        <v>15503</v>
      </c>
      <c r="G2093" s="227" t="s">
        <v>111</v>
      </c>
    </row>
    <row r="2094" spans="1:7">
      <c r="A2094" s="216">
        <v>44256</v>
      </c>
      <c r="B2094" t="s">
        <v>48</v>
      </c>
      <c r="C2094">
        <v>10</v>
      </c>
      <c r="D2094" t="s">
        <v>433</v>
      </c>
      <c r="E2094" s="217">
        <v>44256</v>
      </c>
      <c r="F2094">
        <v>110829</v>
      </c>
      <c r="G2094" s="227" t="s">
        <v>434</v>
      </c>
    </row>
    <row r="2095" spans="1:7">
      <c r="A2095" s="216">
        <v>44256</v>
      </c>
      <c r="B2095" t="s">
        <v>48</v>
      </c>
      <c r="C2095">
        <v>11</v>
      </c>
      <c r="D2095" t="s">
        <v>445</v>
      </c>
      <c r="E2095" s="217">
        <v>44256</v>
      </c>
      <c r="F2095">
        <v>5563.0793333333304</v>
      </c>
      <c r="G2095" s="227" t="s">
        <v>79</v>
      </c>
    </row>
    <row r="2096" spans="1:7">
      <c r="A2096" s="216">
        <v>44256</v>
      </c>
      <c r="B2096" t="s">
        <v>48</v>
      </c>
      <c r="C2096">
        <v>11</v>
      </c>
      <c r="D2096" t="s">
        <v>445</v>
      </c>
      <c r="E2096" s="217">
        <v>44256</v>
      </c>
      <c r="F2096">
        <v>4167</v>
      </c>
      <c r="G2096" s="227" t="s">
        <v>115</v>
      </c>
    </row>
    <row r="2097" spans="1:7">
      <c r="A2097" s="216">
        <v>44256</v>
      </c>
      <c r="B2097" t="s">
        <v>48</v>
      </c>
      <c r="C2097">
        <v>11</v>
      </c>
      <c r="D2097" t="s">
        <v>445</v>
      </c>
      <c r="E2097" s="217">
        <v>44256</v>
      </c>
      <c r="F2097">
        <v>6356</v>
      </c>
      <c r="G2097" s="227" t="s">
        <v>106</v>
      </c>
    </row>
    <row r="2098" spans="1:7">
      <c r="A2098" s="216">
        <v>44256</v>
      </c>
      <c r="B2098" t="s">
        <v>48</v>
      </c>
      <c r="C2098">
        <v>11</v>
      </c>
      <c r="D2098" t="s">
        <v>445</v>
      </c>
      <c r="E2098" s="217">
        <v>44256</v>
      </c>
      <c r="F2098">
        <v>6997</v>
      </c>
      <c r="G2098" s="227" t="s">
        <v>101</v>
      </c>
    </row>
    <row r="2099" spans="1:7">
      <c r="A2099" s="216">
        <v>44256</v>
      </c>
      <c r="B2099" t="s">
        <v>48</v>
      </c>
      <c r="C2099">
        <v>11</v>
      </c>
      <c r="D2099" t="s">
        <v>445</v>
      </c>
      <c r="E2099" s="217">
        <v>44256</v>
      </c>
      <c r="F2099">
        <v>6766</v>
      </c>
      <c r="G2099" s="227" t="s">
        <v>84</v>
      </c>
    </row>
    <row r="2100" spans="1:7">
      <c r="A2100" s="216">
        <v>44256</v>
      </c>
      <c r="B2100" t="s">
        <v>48</v>
      </c>
      <c r="C2100">
        <v>11</v>
      </c>
      <c r="D2100" t="s">
        <v>445</v>
      </c>
      <c r="E2100" s="217">
        <v>44256</v>
      </c>
      <c r="F2100">
        <v>6205</v>
      </c>
      <c r="G2100" s="227" t="s">
        <v>128</v>
      </c>
    </row>
    <row r="2101" spans="1:7">
      <c r="A2101" s="216">
        <v>44256</v>
      </c>
      <c r="B2101" t="s">
        <v>48</v>
      </c>
      <c r="C2101">
        <v>11</v>
      </c>
      <c r="D2101" t="s">
        <v>445</v>
      </c>
      <c r="E2101" s="217">
        <v>44256</v>
      </c>
      <c r="F2101">
        <v>8307.1</v>
      </c>
      <c r="G2101" s="227" t="s">
        <v>124</v>
      </c>
    </row>
    <row r="2102" spans="1:7">
      <c r="A2102" s="216">
        <v>44256</v>
      </c>
      <c r="B2102" t="s">
        <v>48</v>
      </c>
      <c r="C2102">
        <v>11</v>
      </c>
      <c r="D2102" t="s">
        <v>445</v>
      </c>
      <c r="E2102" s="217">
        <v>44256</v>
      </c>
      <c r="F2102">
        <v>10091.9</v>
      </c>
      <c r="G2102" s="227" t="s">
        <v>120</v>
      </c>
    </row>
    <row r="2103" spans="1:7">
      <c r="A2103" s="216">
        <v>44256</v>
      </c>
      <c r="B2103" t="s">
        <v>48</v>
      </c>
      <c r="C2103">
        <v>11</v>
      </c>
      <c r="D2103" t="s">
        <v>445</v>
      </c>
      <c r="E2103" s="217">
        <v>44256</v>
      </c>
      <c r="F2103">
        <v>10326.5</v>
      </c>
      <c r="G2103" s="227" t="s">
        <v>89</v>
      </c>
    </row>
    <row r="2104" spans="1:7">
      <c r="A2104" s="216">
        <v>44256</v>
      </c>
      <c r="B2104" t="s">
        <v>48</v>
      </c>
      <c r="C2104">
        <v>11</v>
      </c>
      <c r="D2104" t="s">
        <v>445</v>
      </c>
      <c r="E2104" s="217">
        <v>44256</v>
      </c>
      <c r="F2104">
        <v>10440.700000000001</v>
      </c>
      <c r="G2104" s="227" t="s">
        <v>97</v>
      </c>
    </row>
    <row r="2105" spans="1:7">
      <c r="A2105" s="216">
        <v>44256</v>
      </c>
      <c r="B2105" t="s">
        <v>48</v>
      </c>
      <c r="C2105">
        <v>11</v>
      </c>
      <c r="D2105" t="s">
        <v>445</v>
      </c>
      <c r="E2105" s="217">
        <v>44256</v>
      </c>
      <c r="F2105">
        <v>10278.299999999999</v>
      </c>
      <c r="G2105" s="227" t="s">
        <v>93</v>
      </c>
    </row>
    <row r="2106" spans="1:7">
      <c r="A2106" s="216">
        <v>44256</v>
      </c>
      <c r="B2106" t="s">
        <v>48</v>
      </c>
      <c r="C2106">
        <v>11</v>
      </c>
      <c r="D2106" t="s">
        <v>445</v>
      </c>
      <c r="E2106" s="217">
        <v>44256</v>
      </c>
      <c r="F2106">
        <v>17285.5</v>
      </c>
      <c r="G2106" s="227" t="s">
        <v>111</v>
      </c>
    </row>
    <row r="2107" spans="1:7">
      <c r="A2107" s="216">
        <v>44256</v>
      </c>
      <c r="B2107" t="s">
        <v>48</v>
      </c>
      <c r="C2107">
        <v>11</v>
      </c>
      <c r="D2107" t="s">
        <v>445</v>
      </c>
      <c r="E2107" s="217">
        <v>44256</v>
      </c>
      <c r="F2107">
        <v>102784.07933333299</v>
      </c>
      <c r="G2107" s="227" t="s">
        <v>434</v>
      </c>
    </row>
    <row r="2108" spans="1:7">
      <c r="A2108" s="216">
        <v>44256</v>
      </c>
      <c r="B2108" t="s">
        <v>48</v>
      </c>
      <c r="C2108">
        <v>8</v>
      </c>
      <c r="D2108" t="s">
        <v>451</v>
      </c>
      <c r="E2108" s="217">
        <v>44256</v>
      </c>
      <c r="F2108">
        <v>0</v>
      </c>
      <c r="G2108" s="227" t="s">
        <v>79</v>
      </c>
    </row>
    <row r="2109" spans="1:7">
      <c r="A2109" s="216">
        <v>44256</v>
      </c>
      <c r="B2109" t="s">
        <v>48</v>
      </c>
      <c r="C2109">
        <v>8</v>
      </c>
      <c r="D2109" t="s">
        <v>451</v>
      </c>
      <c r="E2109" s="217">
        <v>44256</v>
      </c>
      <c r="F2109">
        <v>0</v>
      </c>
      <c r="G2109" s="227" t="s">
        <v>115</v>
      </c>
    </row>
    <row r="2110" spans="1:7">
      <c r="A2110" s="216">
        <v>44256</v>
      </c>
      <c r="B2110" t="s">
        <v>48</v>
      </c>
      <c r="C2110">
        <v>8</v>
      </c>
      <c r="D2110" t="s">
        <v>451</v>
      </c>
      <c r="E2110" s="217">
        <v>44256</v>
      </c>
      <c r="F2110">
        <v>0</v>
      </c>
      <c r="G2110" s="227" t="s">
        <v>106</v>
      </c>
    </row>
    <row r="2111" spans="1:7">
      <c r="A2111" s="216">
        <v>44256</v>
      </c>
      <c r="B2111" t="s">
        <v>48</v>
      </c>
      <c r="C2111">
        <v>8</v>
      </c>
      <c r="D2111" t="s">
        <v>451</v>
      </c>
      <c r="E2111" s="217">
        <v>44256</v>
      </c>
      <c r="F2111">
        <v>0</v>
      </c>
      <c r="G2111" s="227" t="s">
        <v>101</v>
      </c>
    </row>
    <row r="2112" spans="1:7">
      <c r="A2112" s="216">
        <v>44256</v>
      </c>
      <c r="B2112" t="s">
        <v>48</v>
      </c>
      <c r="C2112">
        <v>8</v>
      </c>
      <c r="D2112" t="s">
        <v>451</v>
      </c>
      <c r="E2112" s="217">
        <v>44256</v>
      </c>
      <c r="F2112">
        <v>0</v>
      </c>
      <c r="G2112" s="227" t="s">
        <v>84</v>
      </c>
    </row>
    <row r="2113" spans="1:7">
      <c r="A2113" s="216">
        <v>44256</v>
      </c>
      <c r="B2113" t="s">
        <v>48</v>
      </c>
      <c r="C2113">
        <v>8</v>
      </c>
      <c r="D2113" t="s">
        <v>451</v>
      </c>
      <c r="E2113" s="217">
        <v>44256</v>
      </c>
      <c r="F2113">
        <v>0</v>
      </c>
      <c r="G2113" s="227" t="s">
        <v>128</v>
      </c>
    </row>
    <row r="2114" spans="1:7">
      <c r="A2114" s="216">
        <v>44256</v>
      </c>
      <c r="B2114" t="s">
        <v>48</v>
      </c>
      <c r="C2114">
        <v>8</v>
      </c>
      <c r="D2114" t="s">
        <v>451</v>
      </c>
      <c r="E2114" s="217">
        <v>44256</v>
      </c>
      <c r="F2114">
        <v>0</v>
      </c>
      <c r="G2114" s="227" t="s">
        <v>124</v>
      </c>
    </row>
    <row r="2115" spans="1:7">
      <c r="A2115" s="216">
        <v>44256</v>
      </c>
      <c r="B2115" t="s">
        <v>48</v>
      </c>
      <c r="C2115">
        <v>8</v>
      </c>
      <c r="D2115" t="s">
        <v>451</v>
      </c>
      <c r="E2115" s="217">
        <v>44256</v>
      </c>
      <c r="F2115">
        <v>0</v>
      </c>
      <c r="G2115" s="227" t="s">
        <v>120</v>
      </c>
    </row>
    <row r="2116" spans="1:7">
      <c r="A2116" s="216">
        <v>44256</v>
      </c>
      <c r="B2116" t="s">
        <v>48</v>
      </c>
      <c r="C2116">
        <v>8</v>
      </c>
      <c r="D2116" t="s">
        <v>451</v>
      </c>
      <c r="E2116" s="217">
        <v>44256</v>
      </c>
      <c r="F2116">
        <v>0</v>
      </c>
      <c r="G2116" s="227" t="s">
        <v>89</v>
      </c>
    </row>
    <row r="2117" spans="1:7">
      <c r="A2117" s="216">
        <v>44256</v>
      </c>
      <c r="B2117" t="s">
        <v>48</v>
      </c>
      <c r="C2117">
        <v>8</v>
      </c>
      <c r="D2117" t="s">
        <v>451</v>
      </c>
      <c r="E2117" s="217">
        <v>44256</v>
      </c>
      <c r="F2117">
        <v>0</v>
      </c>
      <c r="G2117" s="227" t="s">
        <v>97</v>
      </c>
    </row>
    <row r="2118" spans="1:7">
      <c r="A2118" s="216">
        <v>44256</v>
      </c>
      <c r="B2118" t="s">
        <v>48</v>
      </c>
      <c r="C2118">
        <v>8</v>
      </c>
      <c r="D2118" t="s">
        <v>451</v>
      </c>
      <c r="E2118" s="217">
        <v>44256</v>
      </c>
      <c r="F2118">
        <v>0</v>
      </c>
      <c r="G2118" s="227" t="s">
        <v>93</v>
      </c>
    </row>
    <row r="2119" spans="1:7">
      <c r="A2119" s="216">
        <v>44256</v>
      </c>
      <c r="B2119" t="s">
        <v>48</v>
      </c>
      <c r="C2119">
        <v>8</v>
      </c>
      <c r="D2119" t="s">
        <v>451</v>
      </c>
      <c r="E2119" s="217">
        <v>44256</v>
      </c>
      <c r="F2119">
        <v>0</v>
      </c>
      <c r="G2119" s="227" t="s">
        <v>111</v>
      </c>
    </row>
    <row r="2120" spans="1:7">
      <c r="A2120" s="216">
        <v>44256</v>
      </c>
      <c r="B2120" t="s">
        <v>48</v>
      </c>
      <c r="C2120">
        <v>8</v>
      </c>
      <c r="D2120" t="s">
        <v>451</v>
      </c>
      <c r="E2120" s="217">
        <v>44256</v>
      </c>
      <c r="F2120">
        <v>0</v>
      </c>
      <c r="G2120" s="227" t="s">
        <v>434</v>
      </c>
    </row>
    <row r="2121" spans="1:7">
      <c r="A2121" s="216">
        <v>44256</v>
      </c>
      <c r="B2121" t="s">
        <v>48</v>
      </c>
      <c r="C2121">
        <v>12</v>
      </c>
      <c r="D2121" t="s">
        <v>454</v>
      </c>
      <c r="E2121" s="217">
        <v>44256</v>
      </c>
      <c r="F2121">
        <v>0</v>
      </c>
      <c r="G2121" s="227" t="s">
        <v>79</v>
      </c>
    </row>
    <row r="2122" spans="1:7">
      <c r="A2122" s="216">
        <v>44256</v>
      </c>
      <c r="B2122" t="s">
        <v>48</v>
      </c>
      <c r="C2122">
        <v>12</v>
      </c>
      <c r="D2122" t="s">
        <v>454</v>
      </c>
      <c r="E2122" s="217">
        <v>44256</v>
      </c>
      <c r="F2122">
        <v>0</v>
      </c>
      <c r="G2122" s="227" t="s">
        <v>115</v>
      </c>
    </row>
    <row r="2123" spans="1:7">
      <c r="A2123" s="216">
        <v>44256</v>
      </c>
      <c r="B2123" t="s">
        <v>48</v>
      </c>
      <c r="C2123">
        <v>12</v>
      </c>
      <c r="D2123" t="s">
        <v>454</v>
      </c>
      <c r="E2123" s="217">
        <v>44256</v>
      </c>
      <c r="F2123">
        <v>0</v>
      </c>
      <c r="G2123" s="227" t="s">
        <v>106</v>
      </c>
    </row>
    <row r="2124" spans="1:7">
      <c r="A2124" s="216">
        <v>44256</v>
      </c>
      <c r="B2124" t="s">
        <v>48</v>
      </c>
      <c r="C2124">
        <v>12</v>
      </c>
      <c r="D2124" t="s">
        <v>454</v>
      </c>
      <c r="E2124" s="217">
        <v>44256</v>
      </c>
      <c r="F2124">
        <v>0</v>
      </c>
      <c r="G2124" s="227" t="s">
        <v>101</v>
      </c>
    </row>
    <row r="2125" spans="1:7">
      <c r="A2125" s="216">
        <v>44256</v>
      </c>
      <c r="B2125" t="s">
        <v>48</v>
      </c>
      <c r="C2125">
        <v>12</v>
      </c>
      <c r="D2125" t="s">
        <v>454</v>
      </c>
      <c r="E2125" s="217">
        <v>44256</v>
      </c>
      <c r="F2125">
        <v>0</v>
      </c>
      <c r="G2125" s="227" t="s">
        <v>84</v>
      </c>
    </row>
    <row r="2126" spans="1:7">
      <c r="A2126" s="216">
        <v>44256</v>
      </c>
      <c r="B2126" t="s">
        <v>48</v>
      </c>
      <c r="C2126">
        <v>12</v>
      </c>
      <c r="D2126" t="s">
        <v>454</v>
      </c>
      <c r="E2126" s="217">
        <v>44256</v>
      </c>
      <c r="F2126">
        <v>0</v>
      </c>
      <c r="G2126" s="227" t="s">
        <v>128</v>
      </c>
    </row>
    <row r="2127" spans="1:7">
      <c r="A2127" s="216">
        <v>44256</v>
      </c>
      <c r="B2127" t="s">
        <v>48</v>
      </c>
      <c r="C2127">
        <v>12</v>
      </c>
      <c r="D2127" t="s">
        <v>454</v>
      </c>
      <c r="E2127" s="217">
        <v>44256</v>
      </c>
      <c r="F2127">
        <v>0</v>
      </c>
      <c r="G2127" s="227" t="s">
        <v>124</v>
      </c>
    </row>
    <row r="2128" spans="1:7">
      <c r="A2128" s="216">
        <v>44256</v>
      </c>
      <c r="B2128" t="s">
        <v>48</v>
      </c>
      <c r="C2128">
        <v>12</v>
      </c>
      <c r="D2128" t="s">
        <v>454</v>
      </c>
      <c r="E2128" s="217">
        <v>44256</v>
      </c>
      <c r="F2128">
        <v>0</v>
      </c>
      <c r="G2128" s="227" t="s">
        <v>120</v>
      </c>
    </row>
    <row r="2129" spans="1:7">
      <c r="A2129" s="216">
        <v>44256</v>
      </c>
      <c r="B2129" t="s">
        <v>48</v>
      </c>
      <c r="C2129">
        <v>12</v>
      </c>
      <c r="D2129" t="s">
        <v>454</v>
      </c>
      <c r="E2129" s="217">
        <v>44256</v>
      </c>
      <c r="F2129">
        <v>0</v>
      </c>
      <c r="G2129" s="227" t="s">
        <v>89</v>
      </c>
    </row>
    <row r="2130" spans="1:7">
      <c r="A2130" s="216">
        <v>44256</v>
      </c>
      <c r="B2130" t="s">
        <v>48</v>
      </c>
      <c r="C2130">
        <v>12</v>
      </c>
      <c r="D2130" t="s">
        <v>454</v>
      </c>
      <c r="E2130" s="217">
        <v>44256</v>
      </c>
      <c r="F2130">
        <v>0</v>
      </c>
      <c r="G2130" s="227" t="s">
        <v>97</v>
      </c>
    </row>
    <row r="2131" spans="1:7">
      <c r="A2131" s="216">
        <v>44256</v>
      </c>
      <c r="B2131" t="s">
        <v>48</v>
      </c>
      <c r="C2131">
        <v>12</v>
      </c>
      <c r="D2131" t="s">
        <v>454</v>
      </c>
      <c r="E2131" s="217">
        <v>44256</v>
      </c>
      <c r="F2131">
        <v>0</v>
      </c>
      <c r="G2131" s="227" t="s">
        <v>93</v>
      </c>
    </row>
    <row r="2132" spans="1:7">
      <c r="A2132" s="216">
        <v>44256</v>
      </c>
      <c r="B2132" t="s">
        <v>48</v>
      </c>
      <c r="C2132">
        <v>12</v>
      </c>
      <c r="D2132" t="s">
        <v>454</v>
      </c>
      <c r="E2132" s="217">
        <v>44256</v>
      </c>
      <c r="F2132">
        <v>0</v>
      </c>
      <c r="G2132" s="227" t="s">
        <v>111</v>
      </c>
    </row>
    <row r="2133" spans="1:7">
      <c r="A2133" s="216">
        <v>44256</v>
      </c>
      <c r="B2133" t="s">
        <v>48</v>
      </c>
      <c r="C2133">
        <v>12</v>
      </c>
      <c r="D2133" t="s">
        <v>454</v>
      </c>
      <c r="E2133" s="217">
        <v>44256</v>
      </c>
      <c r="F2133">
        <v>0</v>
      </c>
      <c r="G2133" s="227" t="s">
        <v>434</v>
      </c>
    </row>
    <row r="2134" spans="1:7">
      <c r="A2134" s="216">
        <v>44256</v>
      </c>
      <c r="B2134" t="s">
        <v>48</v>
      </c>
      <c r="C2134">
        <v>13</v>
      </c>
      <c r="D2134" t="s">
        <v>441</v>
      </c>
      <c r="E2134" s="217">
        <v>44256</v>
      </c>
      <c r="F2134">
        <v>0</v>
      </c>
      <c r="G2134" s="227" t="s">
        <v>79</v>
      </c>
    </row>
    <row r="2135" spans="1:7">
      <c r="A2135" s="216">
        <v>44256</v>
      </c>
      <c r="B2135" t="s">
        <v>48</v>
      </c>
      <c r="C2135">
        <v>13</v>
      </c>
      <c r="D2135" t="s">
        <v>441</v>
      </c>
      <c r="E2135" s="217">
        <v>44256</v>
      </c>
      <c r="F2135">
        <v>0</v>
      </c>
      <c r="G2135" s="227" t="s">
        <v>115</v>
      </c>
    </row>
    <row r="2136" spans="1:7">
      <c r="A2136" s="216">
        <v>44256</v>
      </c>
      <c r="B2136" t="s">
        <v>48</v>
      </c>
      <c r="C2136">
        <v>13</v>
      </c>
      <c r="D2136" t="s">
        <v>441</v>
      </c>
      <c r="E2136" s="217">
        <v>44256</v>
      </c>
      <c r="F2136">
        <v>0</v>
      </c>
      <c r="G2136" s="227" t="s">
        <v>106</v>
      </c>
    </row>
    <row r="2137" spans="1:7">
      <c r="A2137" s="216">
        <v>44256</v>
      </c>
      <c r="B2137" t="s">
        <v>48</v>
      </c>
      <c r="C2137">
        <v>13</v>
      </c>
      <c r="D2137" t="s">
        <v>441</v>
      </c>
      <c r="E2137" s="217">
        <v>44256</v>
      </c>
      <c r="F2137">
        <v>0</v>
      </c>
      <c r="G2137" s="227" t="s">
        <v>101</v>
      </c>
    </row>
    <row r="2138" spans="1:7">
      <c r="A2138" s="216">
        <v>44256</v>
      </c>
      <c r="B2138" t="s">
        <v>48</v>
      </c>
      <c r="C2138">
        <v>13</v>
      </c>
      <c r="D2138" t="s">
        <v>441</v>
      </c>
      <c r="E2138" s="217">
        <v>44256</v>
      </c>
      <c r="F2138">
        <v>0</v>
      </c>
      <c r="G2138" s="227" t="s">
        <v>84</v>
      </c>
    </row>
    <row r="2139" spans="1:7">
      <c r="A2139" s="216">
        <v>44256</v>
      </c>
      <c r="B2139" t="s">
        <v>48</v>
      </c>
      <c r="C2139">
        <v>13</v>
      </c>
      <c r="D2139" t="s">
        <v>441</v>
      </c>
      <c r="E2139" s="217">
        <v>44256</v>
      </c>
      <c r="F2139">
        <v>0</v>
      </c>
      <c r="G2139" s="227" t="s">
        <v>128</v>
      </c>
    </row>
    <row r="2140" spans="1:7">
      <c r="A2140" s="216">
        <v>44256</v>
      </c>
      <c r="B2140" t="s">
        <v>48</v>
      </c>
      <c r="C2140">
        <v>13</v>
      </c>
      <c r="D2140" t="s">
        <v>441</v>
      </c>
      <c r="E2140" s="217">
        <v>44256</v>
      </c>
      <c r="F2140">
        <v>0</v>
      </c>
      <c r="G2140" s="227" t="s">
        <v>124</v>
      </c>
    </row>
    <row r="2141" spans="1:7">
      <c r="A2141" s="216">
        <v>44256</v>
      </c>
      <c r="B2141" t="s">
        <v>48</v>
      </c>
      <c r="C2141">
        <v>13</v>
      </c>
      <c r="D2141" t="s">
        <v>441</v>
      </c>
      <c r="E2141" s="217">
        <v>44256</v>
      </c>
      <c r="F2141">
        <v>0</v>
      </c>
      <c r="G2141" s="227" t="s">
        <v>120</v>
      </c>
    </row>
    <row r="2142" spans="1:7">
      <c r="A2142" s="216">
        <v>44256</v>
      </c>
      <c r="B2142" t="s">
        <v>48</v>
      </c>
      <c r="C2142">
        <v>13</v>
      </c>
      <c r="D2142" t="s">
        <v>441</v>
      </c>
      <c r="E2142" s="217">
        <v>44256</v>
      </c>
      <c r="F2142">
        <v>0</v>
      </c>
      <c r="G2142" s="227" t="s">
        <v>89</v>
      </c>
    </row>
    <row r="2143" spans="1:7">
      <c r="A2143" s="216">
        <v>44256</v>
      </c>
      <c r="B2143" t="s">
        <v>48</v>
      </c>
      <c r="C2143">
        <v>13</v>
      </c>
      <c r="D2143" t="s">
        <v>441</v>
      </c>
      <c r="E2143" s="217">
        <v>44256</v>
      </c>
      <c r="F2143">
        <v>0</v>
      </c>
      <c r="G2143" s="227" t="s">
        <v>97</v>
      </c>
    </row>
    <row r="2144" spans="1:7">
      <c r="A2144" s="216">
        <v>44256</v>
      </c>
      <c r="B2144" t="s">
        <v>48</v>
      </c>
      <c r="C2144">
        <v>13</v>
      </c>
      <c r="D2144" t="s">
        <v>441</v>
      </c>
      <c r="E2144" s="217">
        <v>44256</v>
      </c>
      <c r="F2144">
        <v>0</v>
      </c>
      <c r="G2144" s="227" t="s">
        <v>93</v>
      </c>
    </row>
    <row r="2145" spans="1:7">
      <c r="A2145" s="216">
        <v>44256</v>
      </c>
      <c r="B2145" t="s">
        <v>48</v>
      </c>
      <c r="C2145">
        <v>13</v>
      </c>
      <c r="D2145" t="s">
        <v>441</v>
      </c>
      <c r="E2145" s="217">
        <v>44256</v>
      </c>
      <c r="F2145">
        <v>0</v>
      </c>
      <c r="G2145" s="227" t="s">
        <v>111</v>
      </c>
    </row>
    <row r="2146" spans="1:7">
      <c r="A2146" s="216">
        <v>44256</v>
      </c>
      <c r="B2146" t="s">
        <v>48</v>
      </c>
      <c r="C2146">
        <v>13</v>
      </c>
      <c r="D2146" t="s">
        <v>441</v>
      </c>
      <c r="E2146" s="217">
        <v>44256</v>
      </c>
      <c r="F2146">
        <v>0</v>
      </c>
      <c r="G2146" s="227" t="s">
        <v>434</v>
      </c>
    </row>
    <row r="2147" spans="1:7">
      <c r="A2147" s="216">
        <v>44256</v>
      </c>
      <c r="B2147" t="s">
        <v>48</v>
      </c>
      <c r="C2147">
        <v>14</v>
      </c>
      <c r="D2147" t="s">
        <v>447</v>
      </c>
      <c r="E2147" s="217">
        <v>44256</v>
      </c>
      <c r="F2147">
        <v>0</v>
      </c>
      <c r="G2147" s="227" t="s">
        <v>79</v>
      </c>
    </row>
    <row r="2148" spans="1:7">
      <c r="A2148" s="216">
        <v>44256</v>
      </c>
      <c r="B2148" t="s">
        <v>48</v>
      </c>
      <c r="C2148">
        <v>14</v>
      </c>
      <c r="D2148" t="s">
        <v>447</v>
      </c>
      <c r="E2148" s="217">
        <v>44256</v>
      </c>
      <c r="F2148">
        <v>0</v>
      </c>
      <c r="G2148" s="227" t="s">
        <v>115</v>
      </c>
    </row>
    <row r="2149" spans="1:7">
      <c r="A2149" s="216">
        <v>44256</v>
      </c>
      <c r="B2149" t="s">
        <v>48</v>
      </c>
      <c r="C2149">
        <v>14</v>
      </c>
      <c r="D2149" t="s">
        <v>447</v>
      </c>
      <c r="E2149" s="217">
        <v>44256</v>
      </c>
      <c r="F2149">
        <v>0</v>
      </c>
      <c r="G2149" s="227" t="s">
        <v>106</v>
      </c>
    </row>
    <row r="2150" spans="1:7">
      <c r="A2150" s="216">
        <v>44256</v>
      </c>
      <c r="B2150" t="s">
        <v>48</v>
      </c>
      <c r="C2150">
        <v>14</v>
      </c>
      <c r="D2150" t="s">
        <v>447</v>
      </c>
      <c r="E2150" s="217">
        <v>44256</v>
      </c>
      <c r="F2150">
        <v>0</v>
      </c>
      <c r="G2150" s="227" t="s">
        <v>101</v>
      </c>
    </row>
    <row r="2151" spans="1:7">
      <c r="A2151" s="216">
        <v>44256</v>
      </c>
      <c r="B2151" t="s">
        <v>48</v>
      </c>
      <c r="C2151">
        <v>14</v>
      </c>
      <c r="D2151" t="s">
        <v>447</v>
      </c>
      <c r="E2151" s="217">
        <v>44256</v>
      </c>
      <c r="F2151">
        <v>0</v>
      </c>
      <c r="G2151" s="227" t="s">
        <v>84</v>
      </c>
    </row>
    <row r="2152" spans="1:7">
      <c r="A2152" s="216">
        <v>44256</v>
      </c>
      <c r="B2152" t="s">
        <v>48</v>
      </c>
      <c r="C2152">
        <v>14</v>
      </c>
      <c r="D2152" t="s">
        <v>447</v>
      </c>
      <c r="E2152" s="217">
        <v>44256</v>
      </c>
      <c r="F2152">
        <v>0</v>
      </c>
      <c r="G2152" s="227" t="s">
        <v>128</v>
      </c>
    </row>
    <row r="2153" spans="1:7">
      <c r="A2153" s="216">
        <v>44256</v>
      </c>
      <c r="B2153" t="s">
        <v>48</v>
      </c>
      <c r="C2153">
        <v>14</v>
      </c>
      <c r="D2153" t="s">
        <v>447</v>
      </c>
      <c r="E2153" s="217">
        <v>44256</v>
      </c>
      <c r="F2153">
        <v>0</v>
      </c>
      <c r="G2153" s="227" t="s">
        <v>124</v>
      </c>
    </row>
    <row r="2154" spans="1:7">
      <c r="A2154" s="216">
        <v>44256</v>
      </c>
      <c r="B2154" t="s">
        <v>48</v>
      </c>
      <c r="C2154">
        <v>14</v>
      </c>
      <c r="D2154" t="s">
        <v>447</v>
      </c>
      <c r="E2154" s="217">
        <v>44256</v>
      </c>
      <c r="F2154">
        <v>0</v>
      </c>
      <c r="G2154" s="227" t="s">
        <v>120</v>
      </c>
    </row>
    <row r="2155" spans="1:7">
      <c r="A2155" s="216">
        <v>44256</v>
      </c>
      <c r="B2155" t="s">
        <v>48</v>
      </c>
      <c r="C2155">
        <v>14</v>
      </c>
      <c r="D2155" t="s">
        <v>447</v>
      </c>
      <c r="E2155" s="217">
        <v>44256</v>
      </c>
      <c r="F2155">
        <v>0</v>
      </c>
      <c r="G2155" s="227" t="s">
        <v>89</v>
      </c>
    </row>
    <row r="2156" spans="1:7">
      <c r="A2156" s="216">
        <v>44256</v>
      </c>
      <c r="B2156" t="s">
        <v>48</v>
      </c>
      <c r="C2156">
        <v>14</v>
      </c>
      <c r="D2156" t="s">
        <v>447</v>
      </c>
      <c r="E2156" s="217">
        <v>44256</v>
      </c>
      <c r="F2156">
        <v>0</v>
      </c>
      <c r="G2156" s="227" t="s">
        <v>97</v>
      </c>
    </row>
    <row r="2157" spans="1:7">
      <c r="A2157" s="216">
        <v>44256</v>
      </c>
      <c r="B2157" t="s">
        <v>48</v>
      </c>
      <c r="C2157">
        <v>14</v>
      </c>
      <c r="D2157" t="s">
        <v>447</v>
      </c>
      <c r="E2157" s="217">
        <v>44256</v>
      </c>
      <c r="F2157">
        <v>0</v>
      </c>
      <c r="G2157" s="227" t="s">
        <v>93</v>
      </c>
    </row>
    <row r="2158" spans="1:7">
      <c r="A2158" s="216">
        <v>44256</v>
      </c>
      <c r="B2158" t="s">
        <v>48</v>
      </c>
      <c r="C2158">
        <v>14</v>
      </c>
      <c r="D2158" t="s">
        <v>447</v>
      </c>
      <c r="E2158" s="217">
        <v>44256</v>
      </c>
      <c r="F2158">
        <v>0</v>
      </c>
      <c r="G2158" s="227" t="s">
        <v>111</v>
      </c>
    </row>
    <row r="2159" spans="1:7">
      <c r="A2159" s="216">
        <v>44256</v>
      </c>
      <c r="B2159" t="s">
        <v>48</v>
      </c>
      <c r="C2159">
        <v>14</v>
      </c>
      <c r="D2159" t="s">
        <v>447</v>
      </c>
      <c r="E2159" s="217">
        <v>44256</v>
      </c>
      <c r="F2159">
        <v>0</v>
      </c>
      <c r="G2159" s="227" t="s">
        <v>434</v>
      </c>
    </row>
    <row r="2160" spans="1:7">
      <c r="A2160" s="216">
        <v>44256</v>
      </c>
      <c r="B2160" t="s">
        <v>48</v>
      </c>
      <c r="C2160">
        <v>15</v>
      </c>
      <c r="D2160" t="s">
        <v>437</v>
      </c>
      <c r="E2160" s="217">
        <v>44256</v>
      </c>
      <c r="F2160">
        <v>0</v>
      </c>
      <c r="G2160" s="227" t="s">
        <v>79</v>
      </c>
    </row>
    <row r="2161" spans="1:7">
      <c r="A2161" s="216">
        <v>44256</v>
      </c>
      <c r="B2161" t="s">
        <v>48</v>
      </c>
      <c r="C2161">
        <v>15</v>
      </c>
      <c r="D2161" t="s">
        <v>437</v>
      </c>
      <c r="E2161" s="217">
        <v>44256</v>
      </c>
      <c r="F2161">
        <v>0</v>
      </c>
      <c r="G2161" s="227" t="s">
        <v>115</v>
      </c>
    </row>
    <row r="2162" spans="1:7">
      <c r="A2162" s="216">
        <v>44256</v>
      </c>
      <c r="B2162" t="s">
        <v>48</v>
      </c>
      <c r="C2162">
        <v>15</v>
      </c>
      <c r="D2162" t="s">
        <v>437</v>
      </c>
      <c r="E2162" s="217">
        <v>44256</v>
      </c>
      <c r="F2162">
        <v>0</v>
      </c>
      <c r="G2162" s="227" t="s">
        <v>106</v>
      </c>
    </row>
    <row r="2163" spans="1:7">
      <c r="A2163" s="216">
        <v>44256</v>
      </c>
      <c r="B2163" t="s">
        <v>48</v>
      </c>
      <c r="C2163">
        <v>15</v>
      </c>
      <c r="D2163" t="s">
        <v>437</v>
      </c>
      <c r="E2163" s="217">
        <v>44256</v>
      </c>
      <c r="F2163">
        <v>0</v>
      </c>
      <c r="G2163" s="227" t="s">
        <v>101</v>
      </c>
    </row>
    <row r="2164" spans="1:7">
      <c r="A2164" s="216">
        <v>44256</v>
      </c>
      <c r="B2164" t="s">
        <v>48</v>
      </c>
      <c r="C2164">
        <v>15</v>
      </c>
      <c r="D2164" t="s">
        <v>437</v>
      </c>
      <c r="E2164" s="217">
        <v>44256</v>
      </c>
      <c r="F2164">
        <v>0</v>
      </c>
      <c r="G2164" s="227" t="s">
        <v>84</v>
      </c>
    </row>
    <row r="2165" spans="1:7">
      <c r="A2165" s="216">
        <v>44256</v>
      </c>
      <c r="B2165" t="s">
        <v>48</v>
      </c>
      <c r="C2165">
        <v>15</v>
      </c>
      <c r="D2165" t="s">
        <v>437</v>
      </c>
      <c r="E2165" s="217">
        <v>44256</v>
      </c>
      <c r="F2165">
        <v>0</v>
      </c>
      <c r="G2165" s="227" t="s">
        <v>128</v>
      </c>
    </row>
    <row r="2166" spans="1:7">
      <c r="A2166" s="216">
        <v>44256</v>
      </c>
      <c r="B2166" t="s">
        <v>48</v>
      </c>
      <c r="C2166">
        <v>15</v>
      </c>
      <c r="D2166" t="s">
        <v>437</v>
      </c>
      <c r="E2166" s="217">
        <v>44256</v>
      </c>
      <c r="F2166">
        <v>0</v>
      </c>
      <c r="G2166" s="227" t="s">
        <v>124</v>
      </c>
    </row>
    <row r="2167" spans="1:7">
      <c r="A2167" s="216">
        <v>44256</v>
      </c>
      <c r="B2167" t="s">
        <v>48</v>
      </c>
      <c r="C2167">
        <v>15</v>
      </c>
      <c r="D2167" t="s">
        <v>437</v>
      </c>
      <c r="E2167" s="217">
        <v>44256</v>
      </c>
      <c r="F2167">
        <v>0</v>
      </c>
      <c r="G2167" s="227" t="s">
        <v>120</v>
      </c>
    </row>
    <row r="2168" spans="1:7">
      <c r="A2168" s="216">
        <v>44256</v>
      </c>
      <c r="B2168" t="s">
        <v>48</v>
      </c>
      <c r="C2168">
        <v>15</v>
      </c>
      <c r="D2168" t="s">
        <v>437</v>
      </c>
      <c r="E2168" s="217">
        <v>44256</v>
      </c>
      <c r="F2168">
        <v>0</v>
      </c>
      <c r="G2168" s="227" t="s">
        <v>89</v>
      </c>
    </row>
    <row r="2169" spans="1:7">
      <c r="A2169" s="216">
        <v>44256</v>
      </c>
      <c r="B2169" t="s">
        <v>48</v>
      </c>
      <c r="C2169">
        <v>15</v>
      </c>
      <c r="D2169" t="s">
        <v>437</v>
      </c>
      <c r="E2169" s="217">
        <v>44256</v>
      </c>
      <c r="F2169">
        <v>0</v>
      </c>
      <c r="G2169" s="227" t="s">
        <v>97</v>
      </c>
    </row>
    <row r="2170" spans="1:7">
      <c r="A2170" s="216">
        <v>44256</v>
      </c>
      <c r="B2170" t="s">
        <v>48</v>
      </c>
      <c r="C2170">
        <v>15</v>
      </c>
      <c r="D2170" t="s">
        <v>437</v>
      </c>
      <c r="E2170" s="217">
        <v>44256</v>
      </c>
      <c r="F2170">
        <v>0</v>
      </c>
      <c r="G2170" s="227" t="s">
        <v>93</v>
      </c>
    </row>
    <row r="2171" spans="1:7">
      <c r="A2171" s="216">
        <v>44256</v>
      </c>
      <c r="B2171" t="s">
        <v>48</v>
      </c>
      <c r="C2171">
        <v>15</v>
      </c>
      <c r="D2171" t="s">
        <v>437</v>
      </c>
      <c r="E2171" s="217">
        <v>44256</v>
      </c>
      <c r="F2171">
        <v>0</v>
      </c>
      <c r="G2171" s="227" t="s">
        <v>111</v>
      </c>
    </row>
    <row r="2172" spans="1:7">
      <c r="A2172" s="216">
        <v>44256</v>
      </c>
      <c r="B2172" t="s">
        <v>48</v>
      </c>
      <c r="C2172">
        <v>15</v>
      </c>
      <c r="D2172" t="s">
        <v>437</v>
      </c>
      <c r="E2172" s="217">
        <v>44256</v>
      </c>
      <c r="F2172">
        <v>0</v>
      </c>
      <c r="G2172" s="227" t="s">
        <v>434</v>
      </c>
    </row>
    <row r="2173" spans="1:7">
      <c r="A2173" s="216">
        <v>44256</v>
      </c>
      <c r="B2173" t="s">
        <v>47</v>
      </c>
      <c r="C2173">
        <v>7</v>
      </c>
      <c r="D2173" t="s">
        <v>442</v>
      </c>
      <c r="E2173" s="217">
        <v>44256</v>
      </c>
      <c r="F2173">
        <v>28196.43</v>
      </c>
      <c r="G2173" s="227" t="s">
        <v>79</v>
      </c>
    </row>
    <row r="2174" spans="1:7">
      <c r="A2174" s="216">
        <v>44256</v>
      </c>
      <c r="B2174" t="s">
        <v>47</v>
      </c>
      <c r="C2174">
        <v>7</v>
      </c>
      <c r="D2174" t="s">
        <v>442</v>
      </c>
      <c r="E2174" s="217">
        <v>44256</v>
      </c>
      <c r="F2174">
        <v>28751.75</v>
      </c>
      <c r="G2174" s="227" t="s">
        <v>115</v>
      </c>
    </row>
    <row r="2175" spans="1:7">
      <c r="A2175" s="216">
        <v>44256</v>
      </c>
      <c r="B2175" t="s">
        <v>47</v>
      </c>
      <c r="C2175">
        <v>7</v>
      </c>
      <c r="D2175" t="s">
        <v>442</v>
      </c>
      <c r="E2175" s="217">
        <v>44256</v>
      </c>
      <c r="F2175">
        <v>28801.68</v>
      </c>
      <c r="G2175" s="227" t="s">
        <v>106</v>
      </c>
    </row>
    <row r="2176" spans="1:7">
      <c r="A2176" s="216">
        <v>44256</v>
      </c>
      <c r="B2176" t="s">
        <v>47</v>
      </c>
      <c r="C2176">
        <v>7</v>
      </c>
      <c r="D2176" t="s">
        <v>442</v>
      </c>
      <c r="E2176" s="217">
        <v>44256</v>
      </c>
      <c r="F2176">
        <v>28761.93</v>
      </c>
      <c r="G2176" s="227" t="s">
        <v>101</v>
      </c>
    </row>
    <row r="2177" spans="1:7">
      <c r="A2177" s="216">
        <v>44256</v>
      </c>
      <c r="B2177" t="s">
        <v>47</v>
      </c>
      <c r="C2177">
        <v>7</v>
      </c>
      <c r="D2177" t="s">
        <v>442</v>
      </c>
      <c r="E2177" s="217">
        <v>44256</v>
      </c>
      <c r="F2177">
        <v>29582.59</v>
      </c>
      <c r="G2177" s="227" t="s">
        <v>84</v>
      </c>
    </row>
    <row r="2178" spans="1:7">
      <c r="A2178" s="216">
        <v>44256</v>
      </c>
      <c r="B2178" t="s">
        <v>47</v>
      </c>
      <c r="C2178">
        <v>7</v>
      </c>
      <c r="D2178" t="s">
        <v>442</v>
      </c>
      <c r="E2178" s="217">
        <v>44256</v>
      </c>
      <c r="F2178">
        <v>28671.5</v>
      </c>
      <c r="G2178" s="227" t="s">
        <v>128</v>
      </c>
    </row>
    <row r="2179" spans="1:7">
      <c r="A2179" s="216">
        <v>44256</v>
      </c>
      <c r="B2179" t="s">
        <v>47</v>
      </c>
      <c r="C2179">
        <v>7</v>
      </c>
      <c r="D2179" t="s">
        <v>442</v>
      </c>
      <c r="E2179" s="217">
        <v>44256</v>
      </c>
      <c r="F2179">
        <v>28736.22</v>
      </c>
      <c r="G2179" s="227" t="s">
        <v>124</v>
      </c>
    </row>
    <row r="2180" spans="1:7">
      <c r="A2180" s="216">
        <v>44256</v>
      </c>
      <c r="B2180" t="s">
        <v>47</v>
      </c>
      <c r="C2180">
        <v>7</v>
      </c>
      <c r="D2180" t="s">
        <v>442</v>
      </c>
      <c r="E2180" s="217">
        <v>44256</v>
      </c>
      <c r="F2180">
        <v>29049.119999999999</v>
      </c>
      <c r="G2180" s="227" t="s">
        <v>120</v>
      </c>
    </row>
    <row r="2181" spans="1:7">
      <c r="A2181" s="216">
        <v>44256</v>
      </c>
      <c r="B2181" t="s">
        <v>47</v>
      </c>
      <c r="C2181">
        <v>7</v>
      </c>
      <c r="D2181" t="s">
        <v>442</v>
      </c>
      <c r="E2181" s="217">
        <v>44256</v>
      </c>
      <c r="F2181">
        <v>29820.33</v>
      </c>
      <c r="G2181" s="227" t="s">
        <v>89</v>
      </c>
    </row>
    <row r="2182" spans="1:7">
      <c r="A2182" s="216">
        <v>44256</v>
      </c>
      <c r="B2182" t="s">
        <v>47</v>
      </c>
      <c r="C2182">
        <v>7</v>
      </c>
      <c r="D2182" t="s">
        <v>442</v>
      </c>
      <c r="E2182" s="217">
        <v>44256</v>
      </c>
      <c r="F2182">
        <v>29666.84</v>
      </c>
      <c r="G2182" s="227" t="s">
        <v>97</v>
      </c>
    </row>
    <row r="2183" spans="1:7">
      <c r="A2183" s="216">
        <v>44256</v>
      </c>
      <c r="B2183" t="s">
        <v>47</v>
      </c>
      <c r="C2183">
        <v>7</v>
      </c>
      <c r="D2183" t="s">
        <v>442</v>
      </c>
      <c r="E2183" s="217">
        <v>44256</v>
      </c>
      <c r="F2183">
        <v>30001.86</v>
      </c>
      <c r="G2183" s="227" t="s">
        <v>93</v>
      </c>
    </row>
    <row r="2184" spans="1:7">
      <c r="A2184" s="216">
        <v>44256</v>
      </c>
      <c r="B2184" t="s">
        <v>47</v>
      </c>
      <c r="C2184">
        <v>7</v>
      </c>
      <c r="D2184" t="s">
        <v>442</v>
      </c>
      <c r="E2184" s="217">
        <v>44256</v>
      </c>
      <c r="F2184">
        <v>43665.366000000002</v>
      </c>
      <c r="G2184" s="227" t="s">
        <v>111</v>
      </c>
    </row>
    <row r="2185" spans="1:7">
      <c r="A2185" s="216">
        <v>44256</v>
      </c>
      <c r="B2185" t="s">
        <v>47</v>
      </c>
      <c r="C2185">
        <v>7</v>
      </c>
      <c r="D2185" t="s">
        <v>442</v>
      </c>
      <c r="E2185" s="217">
        <v>44256</v>
      </c>
      <c r="F2185">
        <v>363705.61599999998</v>
      </c>
      <c r="G2185" s="227" t="s">
        <v>434</v>
      </c>
    </row>
    <row r="2186" spans="1:7">
      <c r="A2186" s="216">
        <v>44256</v>
      </c>
      <c r="B2186" t="s">
        <v>47</v>
      </c>
      <c r="C2186">
        <v>8</v>
      </c>
      <c r="D2186" t="s">
        <v>451</v>
      </c>
      <c r="E2186" s="217">
        <v>44256</v>
      </c>
      <c r="F2186">
        <v>3265.84</v>
      </c>
      <c r="G2186" s="227" t="s">
        <v>79</v>
      </c>
    </row>
    <row r="2187" spans="1:7">
      <c r="A2187" s="216">
        <v>44256</v>
      </c>
      <c r="B2187" t="s">
        <v>47</v>
      </c>
      <c r="C2187">
        <v>8</v>
      </c>
      <c r="D2187" t="s">
        <v>451</v>
      </c>
      <c r="E2187" s="217">
        <v>44256</v>
      </c>
      <c r="F2187">
        <v>3269.27</v>
      </c>
      <c r="G2187" s="227" t="s">
        <v>115</v>
      </c>
    </row>
    <row r="2188" spans="1:7">
      <c r="A2188" s="216">
        <v>44256</v>
      </c>
      <c r="B2188" t="s">
        <v>47</v>
      </c>
      <c r="C2188">
        <v>8</v>
      </c>
      <c r="D2188" t="s">
        <v>451</v>
      </c>
      <c r="E2188" s="217">
        <v>44256</v>
      </c>
      <c r="F2188">
        <v>3405.82</v>
      </c>
      <c r="G2188" s="227" t="s">
        <v>106</v>
      </c>
    </row>
    <row r="2189" spans="1:7">
      <c r="A2189" s="216">
        <v>44256</v>
      </c>
      <c r="B2189" t="s">
        <v>47</v>
      </c>
      <c r="C2189">
        <v>8</v>
      </c>
      <c r="D2189" t="s">
        <v>451</v>
      </c>
      <c r="E2189" s="217">
        <v>44256</v>
      </c>
      <c r="F2189">
        <v>3202.21</v>
      </c>
      <c r="G2189" s="227" t="s">
        <v>101</v>
      </c>
    </row>
    <row r="2190" spans="1:7">
      <c r="A2190" s="216">
        <v>44256</v>
      </c>
      <c r="B2190" t="s">
        <v>47</v>
      </c>
      <c r="C2190">
        <v>8</v>
      </c>
      <c r="D2190" t="s">
        <v>451</v>
      </c>
      <c r="E2190" s="217">
        <v>44256</v>
      </c>
      <c r="F2190">
        <v>3279.1</v>
      </c>
      <c r="G2190" s="227" t="s">
        <v>84</v>
      </c>
    </row>
    <row r="2191" spans="1:7">
      <c r="A2191" s="216">
        <v>44256</v>
      </c>
      <c r="B2191" t="s">
        <v>47</v>
      </c>
      <c r="C2191">
        <v>8</v>
      </c>
      <c r="D2191" t="s">
        <v>451</v>
      </c>
      <c r="E2191" s="217">
        <v>44256</v>
      </c>
      <c r="F2191">
        <v>3017.89</v>
      </c>
      <c r="G2191" s="227" t="s">
        <v>128</v>
      </c>
    </row>
    <row r="2192" spans="1:7">
      <c r="A2192" s="216">
        <v>44256</v>
      </c>
      <c r="B2192" t="s">
        <v>47</v>
      </c>
      <c r="C2192">
        <v>8</v>
      </c>
      <c r="D2192" t="s">
        <v>451</v>
      </c>
      <c r="E2192" s="217">
        <v>44256</v>
      </c>
      <c r="F2192">
        <v>3050</v>
      </c>
      <c r="G2192" s="227" t="s">
        <v>124</v>
      </c>
    </row>
    <row r="2193" spans="1:7">
      <c r="A2193" s="216">
        <v>44256</v>
      </c>
      <c r="B2193" t="s">
        <v>47</v>
      </c>
      <c r="C2193">
        <v>8</v>
      </c>
      <c r="D2193" t="s">
        <v>451</v>
      </c>
      <c r="E2193" s="217">
        <v>44256</v>
      </c>
      <c r="F2193">
        <v>3195.89</v>
      </c>
      <c r="G2193" s="227" t="s">
        <v>120</v>
      </c>
    </row>
    <row r="2194" spans="1:7">
      <c r="A2194" s="216">
        <v>44256</v>
      </c>
      <c r="B2194" t="s">
        <v>47</v>
      </c>
      <c r="C2194">
        <v>8</v>
      </c>
      <c r="D2194" t="s">
        <v>451</v>
      </c>
      <c r="E2194" s="217">
        <v>44256</v>
      </c>
      <c r="F2194">
        <v>3329.51</v>
      </c>
      <c r="G2194" s="227" t="s">
        <v>89</v>
      </c>
    </row>
    <row r="2195" spans="1:7">
      <c r="A2195" s="216">
        <v>44256</v>
      </c>
      <c r="B2195" t="s">
        <v>47</v>
      </c>
      <c r="C2195">
        <v>8</v>
      </c>
      <c r="D2195" t="s">
        <v>451</v>
      </c>
      <c r="E2195" s="217">
        <v>44256</v>
      </c>
      <c r="F2195">
        <v>3279.35</v>
      </c>
      <c r="G2195" s="227" t="s">
        <v>97</v>
      </c>
    </row>
    <row r="2196" spans="1:7">
      <c r="A2196" s="216">
        <v>44256</v>
      </c>
      <c r="B2196" t="s">
        <v>47</v>
      </c>
      <c r="C2196">
        <v>8</v>
      </c>
      <c r="D2196" t="s">
        <v>451</v>
      </c>
      <c r="E2196" s="217">
        <v>44256</v>
      </c>
      <c r="F2196">
        <v>3037.14</v>
      </c>
      <c r="G2196" s="227" t="s">
        <v>93</v>
      </c>
    </row>
    <row r="2197" spans="1:7">
      <c r="A2197" s="216">
        <v>44256</v>
      </c>
      <c r="B2197" t="s">
        <v>47</v>
      </c>
      <c r="C2197">
        <v>8</v>
      </c>
      <c r="D2197" t="s">
        <v>451</v>
      </c>
      <c r="E2197" s="217">
        <v>44256</v>
      </c>
      <c r="F2197">
        <v>5512.33</v>
      </c>
      <c r="G2197" s="227" t="s">
        <v>111</v>
      </c>
    </row>
    <row r="2198" spans="1:7">
      <c r="A2198" s="216">
        <v>44256</v>
      </c>
      <c r="B2198" t="s">
        <v>47</v>
      </c>
      <c r="C2198">
        <v>8</v>
      </c>
      <c r="D2198" t="s">
        <v>451</v>
      </c>
      <c r="E2198" s="217">
        <v>44256</v>
      </c>
      <c r="F2198">
        <v>40844.35</v>
      </c>
      <c r="G2198" s="227" t="s">
        <v>434</v>
      </c>
    </row>
    <row r="2199" spans="1:7">
      <c r="A2199" s="216">
        <v>44256</v>
      </c>
      <c r="B2199" t="s">
        <v>47</v>
      </c>
      <c r="C2199">
        <v>9</v>
      </c>
      <c r="D2199" t="s">
        <v>450</v>
      </c>
      <c r="E2199" s="217">
        <v>44256</v>
      </c>
      <c r="F2199">
        <v>2432.59</v>
      </c>
      <c r="G2199" s="227" t="s">
        <v>79</v>
      </c>
    </row>
    <row r="2200" spans="1:7">
      <c r="A2200" s="216">
        <v>44256</v>
      </c>
      <c r="B2200" t="s">
        <v>47</v>
      </c>
      <c r="C2200">
        <v>9</v>
      </c>
      <c r="D2200" t="s">
        <v>450</v>
      </c>
      <c r="E2200" s="217">
        <v>44256</v>
      </c>
      <c r="F2200">
        <v>2477.69</v>
      </c>
      <c r="G2200" s="227" t="s">
        <v>115</v>
      </c>
    </row>
    <row r="2201" spans="1:7">
      <c r="A2201" s="216">
        <v>44256</v>
      </c>
      <c r="B2201" t="s">
        <v>47</v>
      </c>
      <c r="C2201">
        <v>9</v>
      </c>
      <c r="D2201" t="s">
        <v>450</v>
      </c>
      <c r="E2201" s="217">
        <v>44256</v>
      </c>
      <c r="F2201">
        <v>2701.13</v>
      </c>
      <c r="G2201" s="227" t="s">
        <v>106</v>
      </c>
    </row>
    <row r="2202" spans="1:7">
      <c r="A2202" s="216">
        <v>44256</v>
      </c>
      <c r="B2202" t="s">
        <v>47</v>
      </c>
      <c r="C2202">
        <v>9</v>
      </c>
      <c r="D2202" t="s">
        <v>450</v>
      </c>
      <c r="E2202" s="217">
        <v>44256</v>
      </c>
      <c r="F2202">
        <v>2507.38</v>
      </c>
      <c r="G2202" s="227" t="s">
        <v>101</v>
      </c>
    </row>
    <row r="2203" spans="1:7">
      <c r="A2203" s="216">
        <v>44256</v>
      </c>
      <c r="B2203" t="s">
        <v>47</v>
      </c>
      <c r="C2203">
        <v>9</v>
      </c>
      <c r="D2203" t="s">
        <v>450</v>
      </c>
      <c r="E2203" s="217">
        <v>44256</v>
      </c>
      <c r="F2203">
        <v>2773.66</v>
      </c>
      <c r="G2203" s="227" t="s">
        <v>84</v>
      </c>
    </row>
    <row r="2204" spans="1:7">
      <c r="A2204" s="216">
        <v>44256</v>
      </c>
      <c r="B2204" t="s">
        <v>47</v>
      </c>
      <c r="C2204">
        <v>9</v>
      </c>
      <c r="D2204" t="s">
        <v>450</v>
      </c>
      <c r="E2204" s="217">
        <v>44256</v>
      </c>
      <c r="F2204">
        <v>2607.46</v>
      </c>
      <c r="G2204" s="227" t="s">
        <v>128</v>
      </c>
    </row>
    <row r="2205" spans="1:7">
      <c r="A2205" s="216">
        <v>44256</v>
      </c>
      <c r="B2205" t="s">
        <v>47</v>
      </c>
      <c r="C2205">
        <v>9</v>
      </c>
      <c r="D2205" t="s">
        <v>450</v>
      </c>
      <c r="E2205" s="217">
        <v>44256</v>
      </c>
      <c r="F2205">
        <v>2589.23</v>
      </c>
      <c r="G2205" s="227" t="s">
        <v>124</v>
      </c>
    </row>
    <row r="2206" spans="1:7">
      <c r="A2206" s="216">
        <v>44256</v>
      </c>
      <c r="B2206" t="s">
        <v>47</v>
      </c>
      <c r="C2206">
        <v>9</v>
      </c>
      <c r="D2206" t="s">
        <v>450</v>
      </c>
      <c r="E2206" s="217">
        <v>44256</v>
      </c>
      <c r="F2206">
        <v>2549.4699999999998</v>
      </c>
      <c r="G2206" s="227" t="s">
        <v>120</v>
      </c>
    </row>
    <row r="2207" spans="1:7">
      <c r="A2207" s="216">
        <v>44256</v>
      </c>
      <c r="B2207" t="s">
        <v>47</v>
      </c>
      <c r="C2207">
        <v>9</v>
      </c>
      <c r="D2207" t="s">
        <v>450</v>
      </c>
      <c r="E2207" s="217">
        <v>44256</v>
      </c>
      <c r="F2207">
        <v>2572.4499999999998</v>
      </c>
      <c r="G2207" s="227" t="s">
        <v>89</v>
      </c>
    </row>
    <row r="2208" spans="1:7">
      <c r="A2208" s="216">
        <v>44256</v>
      </c>
      <c r="B2208" t="s">
        <v>47</v>
      </c>
      <c r="C2208">
        <v>9</v>
      </c>
      <c r="D2208" t="s">
        <v>450</v>
      </c>
      <c r="E2208" s="217">
        <v>44256</v>
      </c>
      <c r="F2208">
        <v>3114.88</v>
      </c>
      <c r="G2208" s="227" t="s">
        <v>97</v>
      </c>
    </row>
    <row r="2209" spans="1:7">
      <c r="A2209" s="216">
        <v>44256</v>
      </c>
      <c r="B2209" t="s">
        <v>47</v>
      </c>
      <c r="C2209">
        <v>9</v>
      </c>
      <c r="D2209" t="s">
        <v>450</v>
      </c>
      <c r="E2209" s="217">
        <v>44256</v>
      </c>
      <c r="F2209">
        <v>2632.82</v>
      </c>
      <c r="G2209" s="227" t="s">
        <v>93</v>
      </c>
    </row>
    <row r="2210" spans="1:7">
      <c r="A2210" s="216">
        <v>44256</v>
      </c>
      <c r="B2210" t="s">
        <v>47</v>
      </c>
      <c r="C2210">
        <v>9</v>
      </c>
      <c r="D2210" t="s">
        <v>450</v>
      </c>
      <c r="E2210" s="217">
        <v>44256</v>
      </c>
      <c r="F2210">
        <v>2875.31</v>
      </c>
      <c r="G2210" s="227" t="s">
        <v>111</v>
      </c>
    </row>
    <row r="2211" spans="1:7">
      <c r="A2211" s="216">
        <v>44256</v>
      </c>
      <c r="B2211" t="s">
        <v>47</v>
      </c>
      <c r="C2211">
        <v>9</v>
      </c>
      <c r="D2211" t="s">
        <v>450</v>
      </c>
      <c r="E2211" s="217">
        <v>44256</v>
      </c>
      <c r="F2211">
        <v>31834.07</v>
      </c>
      <c r="G2211" s="227" t="s">
        <v>434</v>
      </c>
    </row>
    <row r="2212" spans="1:7">
      <c r="A2212" s="216">
        <v>44256</v>
      </c>
      <c r="B2212" t="s">
        <v>47</v>
      </c>
      <c r="C2212">
        <v>10</v>
      </c>
      <c r="D2212" t="s">
        <v>433</v>
      </c>
      <c r="E2212" s="217">
        <v>44256</v>
      </c>
      <c r="F2212">
        <v>6464.91</v>
      </c>
      <c r="G2212" s="227" t="s">
        <v>79</v>
      </c>
    </row>
    <row r="2213" spans="1:7">
      <c r="A2213" s="216">
        <v>44256</v>
      </c>
      <c r="B2213" t="s">
        <v>47</v>
      </c>
      <c r="C2213">
        <v>10</v>
      </c>
      <c r="D2213" t="s">
        <v>433</v>
      </c>
      <c r="E2213" s="217">
        <v>44256</v>
      </c>
      <c r="F2213">
        <v>6378.06</v>
      </c>
      <c r="G2213" s="227" t="s">
        <v>115</v>
      </c>
    </row>
    <row r="2214" spans="1:7">
      <c r="A2214" s="216">
        <v>44256</v>
      </c>
      <c r="B2214" t="s">
        <v>47</v>
      </c>
      <c r="C2214">
        <v>10</v>
      </c>
      <c r="D2214" t="s">
        <v>433</v>
      </c>
      <c r="E2214" s="217">
        <v>44256</v>
      </c>
      <c r="F2214">
        <v>6494.03</v>
      </c>
      <c r="G2214" s="227" t="s">
        <v>106</v>
      </c>
    </row>
    <row r="2215" spans="1:7">
      <c r="A2215" s="216">
        <v>44256</v>
      </c>
      <c r="B2215" t="s">
        <v>47</v>
      </c>
      <c r="C2215">
        <v>10</v>
      </c>
      <c r="D2215" t="s">
        <v>433</v>
      </c>
      <c r="E2215" s="217">
        <v>44256</v>
      </c>
      <c r="F2215">
        <v>6575.83</v>
      </c>
      <c r="G2215" s="227" t="s">
        <v>101</v>
      </c>
    </row>
    <row r="2216" spans="1:7">
      <c r="A2216" s="216">
        <v>44256</v>
      </c>
      <c r="B2216" t="s">
        <v>47</v>
      </c>
      <c r="C2216">
        <v>10</v>
      </c>
      <c r="D2216" t="s">
        <v>433</v>
      </c>
      <c r="E2216" s="217">
        <v>44256</v>
      </c>
      <c r="F2216">
        <v>6961.05</v>
      </c>
      <c r="G2216" s="227" t="s">
        <v>84</v>
      </c>
    </row>
    <row r="2217" spans="1:7">
      <c r="A2217" s="216">
        <v>44256</v>
      </c>
      <c r="B2217" t="s">
        <v>47</v>
      </c>
      <c r="C2217">
        <v>10</v>
      </c>
      <c r="D2217" t="s">
        <v>433</v>
      </c>
      <c r="E2217" s="217">
        <v>44256</v>
      </c>
      <c r="F2217">
        <v>6620.4</v>
      </c>
      <c r="G2217" s="227" t="s">
        <v>128</v>
      </c>
    </row>
    <row r="2218" spans="1:7">
      <c r="A2218" s="216">
        <v>44256</v>
      </c>
      <c r="B2218" t="s">
        <v>47</v>
      </c>
      <c r="C2218">
        <v>10</v>
      </c>
      <c r="D2218" t="s">
        <v>433</v>
      </c>
      <c r="E2218" s="217">
        <v>44256</v>
      </c>
      <c r="F2218">
        <v>6746.74</v>
      </c>
      <c r="G2218" s="227" t="s">
        <v>124</v>
      </c>
    </row>
    <row r="2219" spans="1:7">
      <c r="A2219" s="216">
        <v>44256</v>
      </c>
      <c r="B2219" t="s">
        <v>47</v>
      </c>
      <c r="C2219">
        <v>10</v>
      </c>
      <c r="D2219" t="s">
        <v>433</v>
      </c>
      <c r="E2219" s="217">
        <v>44256</v>
      </c>
      <c r="F2219">
        <v>6863.69</v>
      </c>
      <c r="G2219" s="227" t="s">
        <v>120</v>
      </c>
    </row>
    <row r="2220" spans="1:7">
      <c r="A2220" s="216">
        <v>44256</v>
      </c>
      <c r="B2220" t="s">
        <v>47</v>
      </c>
      <c r="C2220">
        <v>10</v>
      </c>
      <c r="D2220" t="s">
        <v>433</v>
      </c>
      <c r="E2220" s="217">
        <v>44256</v>
      </c>
      <c r="F2220">
        <v>6737.15</v>
      </c>
      <c r="G2220" s="227" t="s">
        <v>89</v>
      </c>
    </row>
    <row r="2221" spans="1:7">
      <c r="A2221" s="216">
        <v>44256</v>
      </c>
      <c r="B2221" t="s">
        <v>47</v>
      </c>
      <c r="C2221">
        <v>10</v>
      </c>
      <c r="D2221" t="s">
        <v>433</v>
      </c>
      <c r="E2221" s="217">
        <v>44256</v>
      </c>
      <c r="F2221">
        <v>6717.32</v>
      </c>
      <c r="G2221" s="227" t="s">
        <v>97</v>
      </c>
    </row>
    <row r="2222" spans="1:7">
      <c r="A2222" s="216">
        <v>44256</v>
      </c>
      <c r="B2222" t="s">
        <v>47</v>
      </c>
      <c r="C2222">
        <v>10</v>
      </c>
      <c r="D2222" t="s">
        <v>433</v>
      </c>
      <c r="E2222" s="217">
        <v>44256</v>
      </c>
      <c r="F2222">
        <v>6895.84</v>
      </c>
      <c r="G2222" s="227" t="s">
        <v>93</v>
      </c>
    </row>
    <row r="2223" spans="1:7">
      <c r="A2223" s="216">
        <v>44256</v>
      </c>
      <c r="B2223" t="s">
        <v>47</v>
      </c>
      <c r="C2223">
        <v>10</v>
      </c>
      <c r="D2223" t="s">
        <v>433</v>
      </c>
      <c r="E2223" s="217">
        <v>44256</v>
      </c>
      <c r="F2223">
        <v>16152.47</v>
      </c>
      <c r="G2223" s="227" t="s">
        <v>111</v>
      </c>
    </row>
    <row r="2224" spans="1:7">
      <c r="A2224" s="216">
        <v>44256</v>
      </c>
      <c r="B2224" t="s">
        <v>47</v>
      </c>
      <c r="C2224">
        <v>10</v>
      </c>
      <c r="D2224" t="s">
        <v>433</v>
      </c>
      <c r="E2224" s="217">
        <v>44256</v>
      </c>
      <c r="F2224">
        <v>89607.49</v>
      </c>
      <c r="G2224" s="227" t="s">
        <v>434</v>
      </c>
    </row>
    <row r="2225" spans="1:7">
      <c r="A2225" s="216">
        <v>44256</v>
      </c>
      <c r="B2225" t="s">
        <v>47</v>
      </c>
      <c r="C2225">
        <v>11</v>
      </c>
      <c r="D2225" t="s">
        <v>445</v>
      </c>
      <c r="E2225" s="217">
        <v>44256</v>
      </c>
      <c r="F2225">
        <v>1589.73</v>
      </c>
      <c r="G2225" s="227" t="s">
        <v>79</v>
      </c>
    </row>
    <row r="2226" spans="1:7">
      <c r="A2226" s="216">
        <v>44256</v>
      </c>
      <c r="B2226" t="s">
        <v>47</v>
      </c>
      <c r="C2226">
        <v>11</v>
      </c>
      <c r="D2226" t="s">
        <v>445</v>
      </c>
      <c r="E2226" s="217">
        <v>44256</v>
      </c>
      <c r="F2226">
        <v>2146.8000000000002</v>
      </c>
      <c r="G2226" s="227" t="s">
        <v>115</v>
      </c>
    </row>
    <row r="2227" spans="1:7">
      <c r="A2227" s="216">
        <v>44256</v>
      </c>
      <c r="B2227" t="s">
        <v>47</v>
      </c>
      <c r="C2227">
        <v>11</v>
      </c>
      <c r="D2227" t="s">
        <v>445</v>
      </c>
      <c r="E2227" s="217">
        <v>44256</v>
      </c>
      <c r="F2227">
        <v>1581.52</v>
      </c>
      <c r="G2227" s="227" t="s">
        <v>106</v>
      </c>
    </row>
    <row r="2228" spans="1:7">
      <c r="A2228" s="216">
        <v>44256</v>
      </c>
      <c r="B2228" t="s">
        <v>47</v>
      </c>
      <c r="C2228">
        <v>11</v>
      </c>
      <c r="D2228" t="s">
        <v>445</v>
      </c>
      <c r="E2228" s="217">
        <v>44256</v>
      </c>
      <c r="F2228">
        <v>2002.78</v>
      </c>
      <c r="G2228" s="227" t="s">
        <v>101</v>
      </c>
    </row>
    <row r="2229" spans="1:7">
      <c r="A2229" s="216">
        <v>44256</v>
      </c>
      <c r="B2229" t="s">
        <v>47</v>
      </c>
      <c r="C2229">
        <v>11</v>
      </c>
      <c r="D2229" t="s">
        <v>445</v>
      </c>
      <c r="E2229" s="217">
        <v>44256</v>
      </c>
      <c r="F2229">
        <v>1704.96</v>
      </c>
      <c r="G2229" s="227" t="s">
        <v>84</v>
      </c>
    </row>
    <row r="2230" spans="1:7">
      <c r="A2230" s="216">
        <v>44256</v>
      </c>
      <c r="B2230" t="s">
        <v>47</v>
      </c>
      <c r="C2230">
        <v>11</v>
      </c>
      <c r="D2230" t="s">
        <v>445</v>
      </c>
      <c r="E2230" s="217">
        <v>44256</v>
      </c>
      <c r="F2230">
        <v>1884.34</v>
      </c>
      <c r="G2230" s="227" t="s">
        <v>128</v>
      </c>
    </row>
    <row r="2231" spans="1:7">
      <c r="A2231" s="216">
        <v>44256</v>
      </c>
      <c r="B2231" t="s">
        <v>47</v>
      </c>
      <c r="C2231">
        <v>11</v>
      </c>
      <c r="D2231" t="s">
        <v>445</v>
      </c>
      <c r="E2231" s="217">
        <v>44256</v>
      </c>
      <c r="F2231">
        <v>1975.78</v>
      </c>
      <c r="G2231" s="227" t="s">
        <v>124</v>
      </c>
    </row>
    <row r="2232" spans="1:7">
      <c r="A2232" s="216">
        <v>44256</v>
      </c>
      <c r="B2232" t="s">
        <v>47</v>
      </c>
      <c r="C2232">
        <v>11</v>
      </c>
      <c r="D2232" t="s">
        <v>445</v>
      </c>
      <c r="E2232" s="217">
        <v>44256</v>
      </c>
      <c r="F2232">
        <v>1250.72</v>
      </c>
      <c r="G2232" s="227" t="s">
        <v>120</v>
      </c>
    </row>
    <row r="2233" spans="1:7">
      <c r="A2233" s="216">
        <v>44256</v>
      </c>
      <c r="B2233" t="s">
        <v>47</v>
      </c>
      <c r="C2233">
        <v>11</v>
      </c>
      <c r="D2233" t="s">
        <v>445</v>
      </c>
      <c r="E2233" s="217">
        <v>44256</v>
      </c>
      <c r="F2233">
        <v>1987.01</v>
      </c>
      <c r="G2233" s="227" t="s">
        <v>89</v>
      </c>
    </row>
    <row r="2234" spans="1:7">
      <c r="A2234" s="216">
        <v>44256</v>
      </c>
      <c r="B2234" t="s">
        <v>47</v>
      </c>
      <c r="C2234">
        <v>11</v>
      </c>
      <c r="D2234" t="s">
        <v>445</v>
      </c>
      <c r="E2234" s="217">
        <v>44256</v>
      </c>
      <c r="F2234">
        <v>1614.15</v>
      </c>
      <c r="G2234" s="227" t="s">
        <v>97</v>
      </c>
    </row>
    <row r="2235" spans="1:7">
      <c r="A2235" s="216">
        <v>44256</v>
      </c>
      <c r="B2235" t="s">
        <v>47</v>
      </c>
      <c r="C2235">
        <v>11</v>
      </c>
      <c r="D2235" t="s">
        <v>445</v>
      </c>
      <c r="E2235" s="217">
        <v>44256</v>
      </c>
      <c r="F2235">
        <v>2863.05</v>
      </c>
      <c r="G2235" s="227" t="s">
        <v>93</v>
      </c>
    </row>
    <row r="2236" spans="1:7">
      <c r="A2236" s="216">
        <v>44256</v>
      </c>
      <c r="B2236" t="s">
        <v>47</v>
      </c>
      <c r="C2236">
        <v>11</v>
      </c>
      <c r="D2236" t="s">
        <v>445</v>
      </c>
      <c r="E2236" s="217">
        <v>44256</v>
      </c>
      <c r="F2236">
        <v>2351.636</v>
      </c>
      <c r="G2236" s="227" t="s">
        <v>111</v>
      </c>
    </row>
    <row r="2237" spans="1:7">
      <c r="A2237" s="216">
        <v>44256</v>
      </c>
      <c r="B2237" t="s">
        <v>47</v>
      </c>
      <c r="C2237">
        <v>11</v>
      </c>
      <c r="D2237" t="s">
        <v>445</v>
      </c>
      <c r="E2237" s="217">
        <v>44256</v>
      </c>
      <c r="F2237">
        <v>22952.475999999999</v>
      </c>
      <c r="G2237" s="227" t="s">
        <v>434</v>
      </c>
    </row>
    <row r="2238" spans="1:7">
      <c r="A2238" s="216">
        <v>44256</v>
      </c>
      <c r="B2238" t="s">
        <v>47</v>
      </c>
      <c r="C2238">
        <v>12</v>
      </c>
      <c r="D2238" t="s">
        <v>454</v>
      </c>
      <c r="E2238" s="217">
        <v>44256</v>
      </c>
      <c r="F2238">
        <v>83.77</v>
      </c>
      <c r="G2238" s="227" t="s">
        <v>79</v>
      </c>
    </row>
    <row r="2239" spans="1:7">
      <c r="A2239" s="216">
        <v>44256</v>
      </c>
      <c r="B2239" t="s">
        <v>47</v>
      </c>
      <c r="C2239">
        <v>12</v>
      </c>
      <c r="D2239" t="s">
        <v>454</v>
      </c>
      <c r="E2239" s="217">
        <v>44256</v>
      </c>
      <c r="F2239">
        <v>56.64</v>
      </c>
      <c r="G2239" s="227" t="s">
        <v>115</v>
      </c>
    </row>
    <row r="2240" spans="1:7">
      <c r="A2240" s="216">
        <v>44256</v>
      </c>
      <c r="B2240" t="s">
        <v>47</v>
      </c>
      <c r="C2240">
        <v>12</v>
      </c>
      <c r="D2240" t="s">
        <v>454</v>
      </c>
      <c r="E2240" s="217">
        <v>44256</v>
      </c>
      <c r="F2240">
        <v>98.19</v>
      </c>
      <c r="G2240" s="227" t="s">
        <v>106</v>
      </c>
    </row>
    <row r="2241" spans="1:7">
      <c r="A2241" s="216">
        <v>44256</v>
      </c>
      <c r="B2241" t="s">
        <v>47</v>
      </c>
      <c r="C2241">
        <v>12</v>
      </c>
      <c r="D2241" t="s">
        <v>454</v>
      </c>
      <c r="E2241" s="217">
        <v>44256</v>
      </c>
      <c r="F2241">
        <v>76.900000000000006</v>
      </c>
      <c r="G2241" s="227" t="s">
        <v>101</v>
      </c>
    </row>
    <row r="2242" spans="1:7">
      <c r="A2242" s="216">
        <v>44256</v>
      </c>
      <c r="B2242" t="s">
        <v>47</v>
      </c>
      <c r="C2242">
        <v>12</v>
      </c>
      <c r="D2242" t="s">
        <v>454</v>
      </c>
      <c r="E2242" s="217">
        <v>44256</v>
      </c>
      <c r="F2242">
        <v>81.36</v>
      </c>
      <c r="G2242" s="227" t="s">
        <v>84</v>
      </c>
    </row>
    <row r="2243" spans="1:7">
      <c r="A2243" s="216">
        <v>44256</v>
      </c>
      <c r="B2243" t="s">
        <v>47</v>
      </c>
      <c r="C2243">
        <v>12</v>
      </c>
      <c r="D2243" t="s">
        <v>454</v>
      </c>
      <c r="E2243" s="217">
        <v>44256</v>
      </c>
      <c r="F2243">
        <v>160.44999999999999</v>
      </c>
      <c r="G2243" s="227" t="s">
        <v>128</v>
      </c>
    </row>
    <row r="2244" spans="1:7">
      <c r="A2244" s="216">
        <v>44256</v>
      </c>
      <c r="B2244" t="s">
        <v>47</v>
      </c>
      <c r="C2244">
        <v>12</v>
      </c>
      <c r="D2244" t="s">
        <v>454</v>
      </c>
      <c r="E2244" s="217">
        <v>44256</v>
      </c>
      <c r="F2244">
        <v>68.78</v>
      </c>
      <c r="G2244" s="227" t="s">
        <v>124</v>
      </c>
    </row>
    <row r="2245" spans="1:7">
      <c r="A2245" s="216">
        <v>44256</v>
      </c>
      <c r="B2245" t="s">
        <v>47</v>
      </c>
      <c r="C2245">
        <v>12</v>
      </c>
      <c r="D2245" t="s">
        <v>454</v>
      </c>
      <c r="E2245" s="217">
        <v>44256</v>
      </c>
      <c r="F2245">
        <v>116.5</v>
      </c>
      <c r="G2245" s="227" t="s">
        <v>120</v>
      </c>
    </row>
    <row r="2246" spans="1:7">
      <c r="A2246" s="216">
        <v>44256</v>
      </c>
      <c r="B2246" t="s">
        <v>47</v>
      </c>
      <c r="C2246">
        <v>12</v>
      </c>
      <c r="D2246" t="s">
        <v>454</v>
      </c>
      <c r="E2246" s="217">
        <v>44256</v>
      </c>
      <c r="F2246">
        <v>99.29</v>
      </c>
      <c r="G2246" s="227" t="s">
        <v>89</v>
      </c>
    </row>
    <row r="2247" spans="1:7">
      <c r="A2247" s="216">
        <v>44256</v>
      </c>
      <c r="B2247" t="s">
        <v>47</v>
      </c>
      <c r="C2247">
        <v>12</v>
      </c>
      <c r="D2247" t="s">
        <v>454</v>
      </c>
      <c r="E2247" s="217">
        <v>44256</v>
      </c>
      <c r="F2247">
        <v>91.31</v>
      </c>
      <c r="G2247" s="227" t="s">
        <v>97</v>
      </c>
    </row>
    <row r="2248" spans="1:7">
      <c r="A2248" s="216">
        <v>44256</v>
      </c>
      <c r="B2248" t="s">
        <v>47</v>
      </c>
      <c r="C2248">
        <v>12</v>
      </c>
      <c r="D2248" t="s">
        <v>454</v>
      </c>
      <c r="E2248" s="217">
        <v>44256</v>
      </c>
      <c r="F2248">
        <v>103.59</v>
      </c>
      <c r="G2248" s="227" t="s">
        <v>93</v>
      </c>
    </row>
    <row r="2249" spans="1:7">
      <c r="A2249" s="216">
        <v>44256</v>
      </c>
      <c r="B2249" t="s">
        <v>47</v>
      </c>
      <c r="C2249">
        <v>12</v>
      </c>
      <c r="D2249" t="s">
        <v>454</v>
      </c>
      <c r="E2249" s="217">
        <v>44256</v>
      </c>
      <c r="F2249">
        <v>116.19</v>
      </c>
      <c r="G2249" s="227" t="s">
        <v>111</v>
      </c>
    </row>
    <row r="2250" spans="1:7">
      <c r="A2250" s="216">
        <v>44256</v>
      </c>
      <c r="B2250" t="s">
        <v>47</v>
      </c>
      <c r="C2250">
        <v>12</v>
      </c>
      <c r="D2250" t="s">
        <v>454</v>
      </c>
      <c r="E2250" s="217">
        <v>44256</v>
      </c>
      <c r="F2250">
        <v>1152.97</v>
      </c>
      <c r="G2250" s="227" t="s">
        <v>434</v>
      </c>
    </row>
    <row r="2251" spans="1:7">
      <c r="A2251" s="216">
        <v>44256</v>
      </c>
      <c r="B2251" t="s">
        <v>47</v>
      </c>
      <c r="C2251">
        <v>13</v>
      </c>
      <c r="D2251" t="s">
        <v>441</v>
      </c>
      <c r="E2251" s="217">
        <v>44256</v>
      </c>
      <c r="F2251">
        <v>11760.17</v>
      </c>
      <c r="G2251" s="227" t="s">
        <v>79</v>
      </c>
    </row>
    <row r="2252" spans="1:7">
      <c r="A2252" s="216">
        <v>44256</v>
      </c>
      <c r="B2252" t="s">
        <v>47</v>
      </c>
      <c r="C2252">
        <v>13</v>
      </c>
      <c r="D2252" t="s">
        <v>441</v>
      </c>
      <c r="E2252" s="217">
        <v>44256</v>
      </c>
      <c r="F2252">
        <v>11788.13</v>
      </c>
      <c r="G2252" s="227" t="s">
        <v>115</v>
      </c>
    </row>
    <row r="2253" spans="1:7">
      <c r="A2253" s="216">
        <v>44256</v>
      </c>
      <c r="B2253" t="s">
        <v>47</v>
      </c>
      <c r="C2253">
        <v>13</v>
      </c>
      <c r="D2253" t="s">
        <v>441</v>
      </c>
      <c r="E2253" s="217">
        <v>44256</v>
      </c>
      <c r="F2253">
        <v>11689.78</v>
      </c>
      <c r="G2253" s="227" t="s">
        <v>106</v>
      </c>
    </row>
    <row r="2254" spans="1:7">
      <c r="A2254" s="216">
        <v>44256</v>
      </c>
      <c r="B2254" t="s">
        <v>47</v>
      </c>
      <c r="C2254">
        <v>13</v>
      </c>
      <c r="D2254" t="s">
        <v>441</v>
      </c>
      <c r="E2254" s="217">
        <v>44256</v>
      </c>
      <c r="F2254">
        <v>11764.09</v>
      </c>
      <c r="G2254" s="227" t="s">
        <v>101</v>
      </c>
    </row>
    <row r="2255" spans="1:7">
      <c r="A2255" s="216">
        <v>44256</v>
      </c>
      <c r="B2255" t="s">
        <v>47</v>
      </c>
      <c r="C2255">
        <v>13</v>
      </c>
      <c r="D2255" t="s">
        <v>441</v>
      </c>
      <c r="E2255" s="217">
        <v>44256</v>
      </c>
      <c r="F2255">
        <v>11937.97</v>
      </c>
      <c r="G2255" s="227" t="s">
        <v>84</v>
      </c>
    </row>
    <row r="2256" spans="1:7">
      <c r="A2256" s="216">
        <v>44256</v>
      </c>
      <c r="B2256" t="s">
        <v>47</v>
      </c>
      <c r="C2256">
        <v>13</v>
      </c>
      <c r="D2256" t="s">
        <v>441</v>
      </c>
      <c r="E2256" s="217">
        <v>44256</v>
      </c>
      <c r="F2256">
        <v>11825.89</v>
      </c>
      <c r="G2256" s="227" t="s">
        <v>128</v>
      </c>
    </row>
    <row r="2257" spans="1:7">
      <c r="A2257" s="216">
        <v>44256</v>
      </c>
      <c r="B2257" t="s">
        <v>47</v>
      </c>
      <c r="C2257">
        <v>13</v>
      </c>
      <c r="D2257" t="s">
        <v>441</v>
      </c>
      <c r="E2257" s="217">
        <v>44256</v>
      </c>
      <c r="F2257">
        <v>11406.27</v>
      </c>
      <c r="G2257" s="227" t="s">
        <v>124</v>
      </c>
    </row>
    <row r="2258" spans="1:7">
      <c r="A2258" s="216">
        <v>44256</v>
      </c>
      <c r="B2258" t="s">
        <v>47</v>
      </c>
      <c r="C2258">
        <v>13</v>
      </c>
      <c r="D2258" t="s">
        <v>441</v>
      </c>
      <c r="E2258" s="217">
        <v>44256</v>
      </c>
      <c r="F2258">
        <v>11971.42</v>
      </c>
      <c r="G2258" s="227" t="s">
        <v>120</v>
      </c>
    </row>
    <row r="2259" spans="1:7">
      <c r="A2259" s="216">
        <v>44256</v>
      </c>
      <c r="B2259" t="s">
        <v>47</v>
      </c>
      <c r="C2259">
        <v>13</v>
      </c>
      <c r="D2259" t="s">
        <v>441</v>
      </c>
      <c r="E2259" s="217">
        <v>44256</v>
      </c>
      <c r="F2259">
        <v>11767.97</v>
      </c>
      <c r="G2259" s="227" t="s">
        <v>89</v>
      </c>
    </row>
    <row r="2260" spans="1:7">
      <c r="A2260" s="216">
        <v>44256</v>
      </c>
      <c r="B2260" t="s">
        <v>47</v>
      </c>
      <c r="C2260">
        <v>13</v>
      </c>
      <c r="D2260" t="s">
        <v>441</v>
      </c>
      <c r="E2260" s="217">
        <v>44256</v>
      </c>
      <c r="F2260">
        <v>11767.96</v>
      </c>
      <c r="G2260" s="227" t="s">
        <v>97</v>
      </c>
    </row>
    <row r="2261" spans="1:7">
      <c r="A2261" s="216">
        <v>44256</v>
      </c>
      <c r="B2261" t="s">
        <v>47</v>
      </c>
      <c r="C2261">
        <v>13</v>
      </c>
      <c r="D2261" t="s">
        <v>441</v>
      </c>
      <c r="E2261" s="217">
        <v>44256</v>
      </c>
      <c r="F2261">
        <v>11231.92</v>
      </c>
      <c r="G2261" s="227" t="s">
        <v>93</v>
      </c>
    </row>
    <row r="2262" spans="1:7">
      <c r="A2262" s="216">
        <v>44256</v>
      </c>
      <c r="B2262" t="s">
        <v>47</v>
      </c>
      <c r="C2262">
        <v>13</v>
      </c>
      <c r="D2262" t="s">
        <v>441</v>
      </c>
      <c r="E2262" s="217">
        <v>44256</v>
      </c>
      <c r="F2262">
        <v>12395.46</v>
      </c>
      <c r="G2262" s="227" t="s">
        <v>111</v>
      </c>
    </row>
    <row r="2263" spans="1:7">
      <c r="A2263" s="216">
        <v>44256</v>
      </c>
      <c r="B2263" t="s">
        <v>47</v>
      </c>
      <c r="C2263">
        <v>13</v>
      </c>
      <c r="D2263" t="s">
        <v>441</v>
      </c>
      <c r="E2263" s="217">
        <v>44256</v>
      </c>
      <c r="F2263">
        <v>141307.03</v>
      </c>
      <c r="G2263" s="227" t="s">
        <v>434</v>
      </c>
    </row>
    <row r="2264" spans="1:7">
      <c r="A2264" s="216">
        <v>44256</v>
      </c>
      <c r="B2264" t="s">
        <v>47</v>
      </c>
      <c r="C2264">
        <v>14</v>
      </c>
      <c r="D2264" t="s">
        <v>447</v>
      </c>
      <c r="E2264" s="217">
        <v>44256</v>
      </c>
      <c r="F2264">
        <v>0</v>
      </c>
      <c r="G2264" s="227" t="s">
        <v>79</v>
      </c>
    </row>
    <row r="2265" spans="1:7">
      <c r="A2265" s="216">
        <v>44256</v>
      </c>
      <c r="B2265" t="s">
        <v>47</v>
      </c>
      <c r="C2265">
        <v>14</v>
      </c>
      <c r="D2265" t="s">
        <v>447</v>
      </c>
      <c r="E2265" s="217">
        <v>44256</v>
      </c>
      <c r="F2265">
        <v>0</v>
      </c>
      <c r="G2265" s="227" t="s">
        <v>115</v>
      </c>
    </row>
    <row r="2266" spans="1:7">
      <c r="A2266" s="216">
        <v>44256</v>
      </c>
      <c r="B2266" t="s">
        <v>47</v>
      </c>
      <c r="C2266">
        <v>14</v>
      </c>
      <c r="D2266" t="s">
        <v>447</v>
      </c>
      <c r="E2266" s="217">
        <v>44256</v>
      </c>
      <c r="F2266">
        <v>0</v>
      </c>
      <c r="G2266" s="227" t="s">
        <v>106</v>
      </c>
    </row>
    <row r="2267" spans="1:7">
      <c r="A2267" s="216">
        <v>44256</v>
      </c>
      <c r="B2267" t="s">
        <v>47</v>
      </c>
      <c r="C2267">
        <v>14</v>
      </c>
      <c r="D2267" t="s">
        <v>447</v>
      </c>
      <c r="E2267" s="217">
        <v>44256</v>
      </c>
      <c r="F2267">
        <v>0</v>
      </c>
      <c r="G2267" s="227" t="s">
        <v>101</v>
      </c>
    </row>
    <row r="2268" spans="1:7">
      <c r="A2268" s="216">
        <v>44256</v>
      </c>
      <c r="B2268" t="s">
        <v>47</v>
      </c>
      <c r="C2268">
        <v>14</v>
      </c>
      <c r="D2268" t="s">
        <v>447</v>
      </c>
      <c r="E2268" s="217">
        <v>44256</v>
      </c>
      <c r="F2268">
        <v>0</v>
      </c>
      <c r="G2268" s="227" t="s">
        <v>84</v>
      </c>
    </row>
    <row r="2269" spans="1:7">
      <c r="A2269" s="216">
        <v>44256</v>
      </c>
      <c r="B2269" t="s">
        <v>47</v>
      </c>
      <c r="C2269">
        <v>14</v>
      </c>
      <c r="D2269" t="s">
        <v>447</v>
      </c>
      <c r="E2269" s="217">
        <v>44256</v>
      </c>
      <c r="F2269">
        <v>0</v>
      </c>
      <c r="G2269" s="227" t="s">
        <v>128</v>
      </c>
    </row>
    <row r="2270" spans="1:7">
      <c r="A2270" s="216">
        <v>44256</v>
      </c>
      <c r="B2270" t="s">
        <v>47</v>
      </c>
      <c r="C2270">
        <v>14</v>
      </c>
      <c r="D2270" t="s">
        <v>447</v>
      </c>
      <c r="E2270" s="217">
        <v>44256</v>
      </c>
      <c r="F2270">
        <v>0</v>
      </c>
      <c r="G2270" s="227" t="s">
        <v>124</v>
      </c>
    </row>
    <row r="2271" spans="1:7">
      <c r="A2271" s="216">
        <v>44256</v>
      </c>
      <c r="B2271" t="s">
        <v>47</v>
      </c>
      <c r="C2271">
        <v>14</v>
      </c>
      <c r="D2271" t="s">
        <v>447</v>
      </c>
      <c r="E2271" s="217">
        <v>44256</v>
      </c>
      <c r="F2271">
        <v>0</v>
      </c>
      <c r="G2271" s="227" t="s">
        <v>120</v>
      </c>
    </row>
    <row r="2272" spans="1:7">
      <c r="A2272" s="216">
        <v>44256</v>
      </c>
      <c r="B2272" t="s">
        <v>47</v>
      </c>
      <c r="C2272">
        <v>14</v>
      </c>
      <c r="D2272" t="s">
        <v>447</v>
      </c>
      <c r="E2272" s="217">
        <v>44256</v>
      </c>
      <c r="F2272">
        <v>0</v>
      </c>
      <c r="G2272" s="227" t="s">
        <v>89</v>
      </c>
    </row>
    <row r="2273" spans="1:7">
      <c r="A2273" s="216">
        <v>44256</v>
      </c>
      <c r="B2273" t="s">
        <v>47</v>
      </c>
      <c r="C2273">
        <v>14</v>
      </c>
      <c r="D2273" t="s">
        <v>447</v>
      </c>
      <c r="E2273" s="217">
        <v>44256</v>
      </c>
      <c r="F2273">
        <v>0</v>
      </c>
      <c r="G2273" s="227" t="s">
        <v>97</v>
      </c>
    </row>
    <row r="2274" spans="1:7">
      <c r="A2274" s="216">
        <v>44256</v>
      </c>
      <c r="B2274" t="s">
        <v>47</v>
      </c>
      <c r="C2274">
        <v>14</v>
      </c>
      <c r="D2274" t="s">
        <v>447</v>
      </c>
      <c r="E2274" s="217">
        <v>44256</v>
      </c>
      <c r="F2274">
        <v>0</v>
      </c>
      <c r="G2274" s="227" t="s">
        <v>93</v>
      </c>
    </row>
    <row r="2275" spans="1:7">
      <c r="A2275" s="216">
        <v>44256</v>
      </c>
      <c r="B2275" t="s">
        <v>47</v>
      </c>
      <c r="C2275">
        <v>14</v>
      </c>
      <c r="D2275" t="s">
        <v>447</v>
      </c>
      <c r="E2275" s="217">
        <v>44256</v>
      </c>
      <c r="F2275">
        <v>0</v>
      </c>
      <c r="G2275" s="227" t="s">
        <v>111</v>
      </c>
    </row>
    <row r="2276" spans="1:7">
      <c r="A2276" s="216">
        <v>44256</v>
      </c>
      <c r="B2276" t="s">
        <v>47</v>
      </c>
      <c r="C2276">
        <v>14</v>
      </c>
      <c r="D2276" t="s">
        <v>447</v>
      </c>
      <c r="E2276" s="217">
        <v>44256</v>
      </c>
      <c r="F2276">
        <v>0</v>
      </c>
      <c r="G2276" s="227" t="s">
        <v>434</v>
      </c>
    </row>
    <row r="2277" spans="1:7">
      <c r="A2277" s="216">
        <v>44256</v>
      </c>
      <c r="B2277" t="s">
        <v>47</v>
      </c>
      <c r="C2277">
        <v>15</v>
      </c>
      <c r="D2277" t="s">
        <v>437</v>
      </c>
      <c r="E2277" s="217">
        <v>44256</v>
      </c>
      <c r="F2277">
        <v>1257.23</v>
      </c>
      <c r="G2277" s="227" t="s">
        <v>79</v>
      </c>
    </row>
    <row r="2278" spans="1:7">
      <c r="A2278" s="216">
        <v>44256</v>
      </c>
      <c r="B2278" t="s">
        <v>47</v>
      </c>
      <c r="C2278">
        <v>15</v>
      </c>
      <c r="D2278" t="s">
        <v>437</v>
      </c>
      <c r="E2278" s="217">
        <v>44256</v>
      </c>
      <c r="F2278">
        <v>1224.22</v>
      </c>
      <c r="G2278" s="227" t="s">
        <v>115</v>
      </c>
    </row>
    <row r="2279" spans="1:7">
      <c r="A2279" s="216">
        <v>44256</v>
      </c>
      <c r="B2279" t="s">
        <v>47</v>
      </c>
      <c r="C2279">
        <v>15</v>
      </c>
      <c r="D2279" t="s">
        <v>437</v>
      </c>
      <c r="E2279" s="217">
        <v>44256</v>
      </c>
      <c r="F2279">
        <v>1258.6099999999999</v>
      </c>
      <c r="G2279" s="227" t="s">
        <v>106</v>
      </c>
    </row>
    <row r="2280" spans="1:7">
      <c r="A2280" s="216">
        <v>44256</v>
      </c>
      <c r="B2280" t="s">
        <v>47</v>
      </c>
      <c r="C2280">
        <v>15</v>
      </c>
      <c r="D2280" t="s">
        <v>437</v>
      </c>
      <c r="E2280" s="217">
        <v>44256</v>
      </c>
      <c r="F2280">
        <v>1326.2</v>
      </c>
      <c r="G2280" s="227" t="s">
        <v>101</v>
      </c>
    </row>
    <row r="2281" spans="1:7">
      <c r="A2281" s="216">
        <v>44256</v>
      </c>
      <c r="B2281" t="s">
        <v>47</v>
      </c>
      <c r="C2281">
        <v>15</v>
      </c>
      <c r="D2281" t="s">
        <v>437</v>
      </c>
      <c r="E2281" s="217">
        <v>44256</v>
      </c>
      <c r="F2281">
        <v>1181.9000000000001</v>
      </c>
      <c r="G2281" s="227" t="s">
        <v>84</v>
      </c>
    </row>
    <row r="2282" spans="1:7">
      <c r="A2282" s="216">
        <v>44256</v>
      </c>
      <c r="B2282" t="s">
        <v>47</v>
      </c>
      <c r="C2282">
        <v>15</v>
      </c>
      <c r="D2282" t="s">
        <v>437</v>
      </c>
      <c r="E2282" s="217">
        <v>44256</v>
      </c>
      <c r="F2282">
        <v>1381.91</v>
      </c>
      <c r="G2282" s="227" t="s">
        <v>128</v>
      </c>
    </row>
    <row r="2283" spans="1:7">
      <c r="A2283" s="216">
        <v>44256</v>
      </c>
      <c r="B2283" t="s">
        <v>47</v>
      </c>
      <c r="C2283">
        <v>15</v>
      </c>
      <c r="D2283" t="s">
        <v>437</v>
      </c>
      <c r="E2283" s="217">
        <v>44256</v>
      </c>
      <c r="F2283">
        <v>1318.47</v>
      </c>
      <c r="G2283" s="227" t="s">
        <v>124</v>
      </c>
    </row>
    <row r="2284" spans="1:7">
      <c r="A2284" s="216">
        <v>44256</v>
      </c>
      <c r="B2284" t="s">
        <v>47</v>
      </c>
      <c r="C2284">
        <v>15</v>
      </c>
      <c r="D2284" t="s">
        <v>437</v>
      </c>
      <c r="E2284" s="217">
        <v>44256</v>
      </c>
      <c r="F2284">
        <v>1295.73</v>
      </c>
      <c r="G2284" s="227" t="s">
        <v>120</v>
      </c>
    </row>
    <row r="2285" spans="1:7">
      <c r="A2285" s="216">
        <v>44256</v>
      </c>
      <c r="B2285" t="s">
        <v>47</v>
      </c>
      <c r="C2285">
        <v>15</v>
      </c>
      <c r="D2285" t="s">
        <v>437</v>
      </c>
      <c r="E2285" s="217">
        <v>44256</v>
      </c>
      <c r="F2285">
        <v>1350.32</v>
      </c>
      <c r="G2285" s="227" t="s">
        <v>89</v>
      </c>
    </row>
    <row r="2286" spans="1:7">
      <c r="A2286" s="216">
        <v>44256</v>
      </c>
      <c r="B2286" t="s">
        <v>47</v>
      </c>
      <c r="C2286">
        <v>15</v>
      </c>
      <c r="D2286" t="s">
        <v>437</v>
      </c>
      <c r="E2286" s="217">
        <v>44256</v>
      </c>
      <c r="F2286">
        <v>1309.68</v>
      </c>
      <c r="G2286" s="227" t="s">
        <v>97</v>
      </c>
    </row>
    <row r="2287" spans="1:7">
      <c r="A2287" s="216">
        <v>44256</v>
      </c>
      <c r="B2287" t="s">
        <v>47</v>
      </c>
      <c r="C2287">
        <v>15</v>
      </c>
      <c r="D2287" t="s">
        <v>437</v>
      </c>
      <c r="E2287" s="217">
        <v>44256</v>
      </c>
      <c r="F2287">
        <v>1364.53</v>
      </c>
      <c r="G2287" s="227" t="s">
        <v>93</v>
      </c>
    </row>
    <row r="2288" spans="1:7">
      <c r="A2288" s="216">
        <v>44256</v>
      </c>
      <c r="B2288" t="s">
        <v>47</v>
      </c>
      <c r="C2288">
        <v>15</v>
      </c>
      <c r="D2288" t="s">
        <v>437</v>
      </c>
      <c r="E2288" s="217">
        <v>44256</v>
      </c>
      <c r="F2288">
        <v>1808.77</v>
      </c>
      <c r="G2288" s="227" t="s">
        <v>111</v>
      </c>
    </row>
    <row r="2289" spans="1:7">
      <c r="A2289" s="216">
        <v>44256</v>
      </c>
      <c r="B2289" t="s">
        <v>47</v>
      </c>
      <c r="C2289">
        <v>15</v>
      </c>
      <c r="D2289" t="s">
        <v>437</v>
      </c>
      <c r="E2289" s="217">
        <v>44256</v>
      </c>
      <c r="F2289">
        <v>16077.57</v>
      </c>
      <c r="G2289" s="227" t="s">
        <v>434</v>
      </c>
    </row>
    <row r="2290" spans="1:7">
      <c r="A2290" s="216">
        <v>44256</v>
      </c>
      <c r="B2290" t="s">
        <v>3</v>
      </c>
      <c r="C2290">
        <v>7</v>
      </c>
      <c r="D2290" t="s">
        <v>442</v>
      </c>
      <c r="E2290" s="217">
        <v>44256</v>
      </c>
      <c r="F2290">
        <v>90389.698000000004</v>
      </c>
      <c r="G2290" s="227" t="s">
        <v>79</v>
      </c>
    </row>
    <row r="2291" spans="1:7">
      <c r="A2291" s="216">
        <v>44256</v>
      </c>
      <c r="B2291" t="s">
        <v>3</v>
      </c>
      <c r="C2291">
        <v>7</v>
      </c>
      <c r="D2291" t="s">
        <v>442</v>
      </c>
      <c r="E2291" s="217">
        <v>44256</v>
      </c>
      <c r="F2291">
        <v>92347.379000000001</v>
      </c>
      <c r="G2291" s="227" t="s">
        <v>115</v>
      </c>
    </row>
    <row r="2292" spans="1:7">
      <c r="A2292" s="216">
        <v>44256</v>
      </c>
      <c r="B2292" t="s">
        <v>3</v>
      </c>
      <c r="C2292">
        <v>7</v>
      </c>
      <c r="D2292" t="s">
        <v>442</v>
      </c>
      <c r="E2292" s="217">
        <v>44256</v>
      </c>
      <c r="F2292">
        <v>120485.352</v>
      </c>
      <c r="G2292" s="227" t="s">
        <v>106</v>
      </c>
    </row>
    <row r="2293" spans="1:7">
      <c r="A2293" s="216">
        <v>44256</v>
      </c>
      <c r="B2293" t="s">
        <v>3</v>
      </c>
      <c r="C2293">
        <v>7</v>
      </c>
      <c r="D2293" t="s">
        <v>442</v>
      </c>
      <c r="E2293" s="217">
        <v>44256</v>
      </c>
      <c r="F2293">
        <v>102965.75999999999</v>
      </c>
      <c r="G2293" s="227" t="s">
        <v>101</v>
      </c>
    </row>
    <row r="2294" spans="1:7">
      <c r="A2294" s="216">
        <v>44256</v>
      </c>
      <c r="B2294" t="s">
        <v>3</v>
      </c>
      <c r="C2294">
        <v>7</v>
      </c>
      <c r="D2294" t="s">
        <v>442</v>
      </c>
      <c r="E2294" s="217">
        <v>44256</v>
      </c>
      <c r="F2294">
        <v>94428.752999999997</v>
      </c>
      <c r="G2294" s="227" t="s">
        <v>84</v>
      </c>
    </row>
    <row r="2295" spans="1:7">
      <c r="A2295" s="216">
        <v>44256</v>
      </c>
      <c r="B2295" t="s">
        <v>3</v>
      </c>
      <c r="C2295">
        <v>7</v>
      </c>
      <c r="D2295" t="s">
        <v>442</v>
      </c>
      <c r="E2295" s="217">
        <v>44256</v>
      </c>
      <c r="F2295">
        <v>119456.416</v>
      </c>
      <c r="G2295" s="227" t="s">
        <v>128</v>
      </c>
    </row>
    <row r="2296" spans="1:7">
      <c r="A2296" s="216">
        <v>44256</v>
      </c>
      <c r="B2296" t="s">
        <v>3</v>
      </c>
      <c r="C2296">
        <v>7</v>
      </c>
      <c r="D2296" t="s">
        <v>442</v>
      </c>
      <c r="E2296" s="217">
        <v>44256</v>
      </c>
      <c r="F2296">
        <v>104981.7</v>
      </c>
      <c r="G2296" s="227" t="s">
        <v>124</v>
      </c>
    </row>
    <row r="2297" spans="1:7">
      <c r="A2297" s="216">
        <v>44256</v>
      </c>
      <c r="B2297" t="s">
        <v>3</v>
      </c>
      <c r="C2297">
        <v>7</v>
      </c>
      <c r="D2297" t="s">
        <v>442</v>
      </c>
      <c r="E2297" s="217">
        <v>44256</v>
      </c>
      <c r="F2297">
        <v>101744.864</v>
      </c>
      <c r="G2297" s="227" t="s">
        <v>120</v>
      </c>
    </row>
    <row r="2298" spans="1:7">
      <c r="A2298" s="216">
        <v>44256</v>
      </c>
      <c r="B2298" t="s">
        <v>3</v>
      </c>
      <c r="C2298">
        <v>7</v>
      </c>
      <c r="D2298" t="s">
        <v>442</v>
      </c>
      <c r="E2298" s="217">
        <v>44256</v>
      </c>
      <c r="F2298">
        <v>103501</v>
      </c>
      <c r="G2298" s="227" t="s">
        <v>89</v>
      </c>
    </row>
    <row r="2299" spans="1:7">
      <c r="A2299" s="216">
        <v>44256</v>
      </c>
      <c r="B2299" t="s">
        <v>3</v>
      </c>
      <c r="C2299">
        <v>7</v>
      </c>
      <c r="D2299" t="s">
        <v>442</v>
      </c>
      <c r="E2299" s="217">
        <v>44256</v>
      </c>
      <c r="F2299">
        <v>104685.30899999999</v>
      </c>
      <c r="G2299" s="227" t="s">
        <v>97</v>
      </c>
    </row>
    <row r="2300" spans="1:7">
      <c r="A2300" s="216">
        <v>44256</v>
      </c>
      <c r="B2300" t="s">
        <v>3</v>
      </c>
      <c r="C2300">
        <v>7</v>
      </c>
      <c r="D2300" t="s">
        <v>442</v>
      </c>
      <c r="E2300" s="217">
        <v>44256</v>
      </c>
      <c r="F2300">
        <v>113500.53200000001</v>
      </c>
      <c r="G2300" s="227" t="s">
        <v>93</v>
      </c>
    </row>
    <row r="2301" spans="1:7">
      <c r="A2301" s="216">
        <v>44256</v>
      </c>
      <c r="B2301" t="s">
        <v>3</v>
      </c>
      <c r="C2301">
        <v>7</v>
      </c>
      <c r="D2301" t="s">
        <v>442</v>
      </c>
      <c r="E2301" s="217">
        <v>44256</v>
      </c>
      <c r="F2301">
        <v>193390.86300000001</v>
      </c>
      <c r="G2301" s="227" t="s">
        <v>111</v>
      </c>
    </row>
    <row r="2302" spans="1:7">
      <c r="A2302" s="216">
        <v>44256</v>
      </c>
      <c r="B2302" t="s">
        <v>3</v>
      </c>
      <c r="C2302">
        <v>7</v>
      </c>
      <c r="D2302" t="s">
        <v>442</v>
      </c>
      <c r="E2302" s="217">
        <v>44256</v>
      </c>
      <c r="F2302">
        <v>1341877.6259999999</v>
      </c>
      <c r="G2302" s="227" t="s">
        <v>434</v>
      </c>
    </row>
    <row r="2303" spans="1:7">
      <c r="A2303" s="216">
        <v>44256</v>
      </c>
      <c r="B2303" t="s">
        <v>3</v>
      </c>
      <c r="C2303">
        <v>8</v>
      </c>
      <c r="D2303" t="s">
        <v>451</v>
      </c>
      <c r="E2303" s="217">
        <v>44256</v>
      </c>
      <c r="F2303">
        <v>9903.3580000000002</v>
      </c>
      <c r="G2303" s="227" t="s">
        <v>79</v>
      </c>
    </row>
    <row r="2304" spans="1:7">
      <c r="A2304" s="216">
        <v>44256</v>
      </c>
      <c r="B2304" t="s">
        <v>3</v>
      </c>
      <c r="C2304">
        <v>8</v>
      </c>
      <c r="D2304" t="s">
        <v>451</v>
      </c>
      <c r="E2304" s="217">
        <v>44256</v>
      </c>
      <c r="F2304">
        <v>9612.4339999999993</v>
      </c>
      <c r="G2304" s="227" t="s">
        <v>115</v>
      </c>
    </row>
    <row r="2305" spans="1:7">
      <c r="A2305" s="216">
        <v>44256</v>
      </c>
      <c r="B2305" t="s">
        <v>3</v>
      </c>
      <c r="C2305">
        <v>8</v>
      </c>
      <c r="D2305" t="s">
        <v>451</v>
      </c>
      <c r="E2305" s="217">
        <v>44256</v>
      </c>
      <c r="F2305">
        <v>9738.0259999999998</v>
      </c>
      <c r="G2305" s="227" t="s">
        <v>106</v>
      </c>
    </row>
    <row r="2306" spans="1:7">
      <c r="A2306" s="216">
        <v>44256</v>
      </c>
      <c r="B2306" t="s">
        <v>3</v>
      </c>
      <c r="C2306">
        <v>8</v>
      </c>
      <c r="D2306" t="s">
        <v>451</v>
      </c>
      <c r="E2306" s="217">
        <v>44256</v>
      </c>
      <c r="F2306">
        <v>10108.386</v>
      </c>
      <c r="G2306" s="227" t="s">
        <v>101</v>
      </c>
    </row>
    <row r="2307" spans="1:7">
      <c r="A2307" s="216">
        <v>44256</v>
      </c>
      <c r="B2307" t="s">
        <v>3</v>
      </c>
      <c r="C2307">
        <v>8</v>
      </c>
      <c r="D2307" t="s">
        <v>451</v>
      </c>
      <c r="E2307" s="217">
        <v>44256</v>
      </c>
      <c r="F2307">
        <v>9700.7939999999999</v>
      </c>
      <c r="G2307" s="227" t="s">
        <v>84</v>
      </c>
    </row>
    <row r="2308" spans="1:7">
      <c r="A2308" s="216">
        <v>44256</v>
      </c>
      <c r="B2308" t="s">
        <v>3</v>
      </c>
      <c r="C2308">
        <v>8</v>
      </c>
      <c r="D2308" t="s">
        <v>451</v>
      </c>
      <c r="E2308" s="217">
        <v>44256</v>
      </c>
      <c r="F2308">
        <v>10021.843999999999</v>
      </c>
      <c r="G2308" s="227" t="s">
        <v>128</v>
      </c>
    </row>
    <row r="2309" spans="1:7">
      <c r="A2309" s="216">
        <v>44256</v>
      </c>
      <c r="B2309" t="s">
        <v>3</v>
      </c>
      <c r="C2309">
        <v>8</v>
      </c>
      <c r="D2309" t="s">
        <v>451</v>
      </c>
      <c r="E2309" s="217">
        <v>44256</v>
      </c>
      <c r="F2309">
        <v>10161.062</v>
      </c>
      <c r="G2309" s="227" t="s">
        <v>124</v>
      </c>
    </row>
    <row r="2310" spans="1:7">
      <c r="A2310" s="216">
        <v>44256</v>
      </c>
      <c r="B2310" t="s">
        <v>3</v>
      </c>
      <c r="C2310">
        <v>8</v>
      </c>
      <c r="D2310" t="s">
        <v>451</v>
      </c>
      <c r="E2310" s="217">
        <v>44256</v>
      </c>
      <c r="F2310">
        <v>9493.4770000000008</v>
      </c>
      <c r="G2310" s="227" t="s">
        <v>120</v>
      </c>
    </row>
    <row r="2311" spans="1:7">
      <c r="A2311" s="216">
        <v>44256</v>
      </c>
      <c r="B2311" t="s">
        <v>3</v>
      </c>
      <c r="C2311">
        <v>8</v>
      </c>
      <c r="D2311" t="s">
        <v>451</v>
      </c>
      <c r="E2311" s="217">
        <v>44256</v>
      </c>
      <c r="F2311">
        <v>9896.2579999999998</v>
      </c>
      <c r="G2311" s="227" t="s">
        <v>89</v>
      </c>
    </row>
    <row r="2312" spans="1:7">
      <c r="A2312" s="216">
        <v>44256</v>
      </c>
      <c r="B2312" t="s">
        <v>3</v>
      </c>
      <c r="C2312">
        <v>8</v>
      </c>
      <c r="D2312" t="s">
        <v>451</v>
      </c>
      <c r="E2312" s="217">
        <v>44256</v>
      </c>
      <c r="F2312">
        <v>9074.4080000000104</v>
      </c>
      <c r="G2312" s="227" t="s">
        <v>97</v>
      </c>
    </row>
    <row r="2313" spans="1:7">
      <c r="A2313" s="216">
        <v>44256</v>
      </c>
      <c r="B2313" t="s">
        <v>3</v>
      </c>
      <c r="C2313">
        <v>8</v>
      </c>
      <c r="D2313" t="s">
        <v>451</v>
      </c>
      <c r="E2313" s="217">
        <v>44256</v>
      </c>
      <c r="F2313">
        <v>10429.717000000001</v>
      </c>
      <c r="G2313" s="227" t="s">
        <v>93</v>
      </c>
    </row>
    <row r="2314" spans="1:7">
      <c r="A2314" s="216">
        <v>44256</v>
      </c>
      <c r="B2314" t="s">
        <v>3</v>
      </c>
      <c r="C2314">
        <v>8</v>
      </c>
      <c r="D2314" t="s">
        <v>451</v>
      </c>
      <c r="E2314" s="217">
        <v>44256</v>
      </c>
      <c r="F2314">
        <v>7713.1390000000101</v>
      </c>
      <c r="G2314" s="227" t="s">
        <v>111</v>
      </c>
    </row>
    <row r="2315" spans="1:7">
      <c r="A2315" s="216">
        <v>44256</v>
      </c>
      <c r="B2315" t="s">
        <v>3</v>
      </c>
      <c r="C2315">
        <v>8</v>
      </c>
      <c r="D2315" t="s">
        <v>451</v>
      </c>
      <c r="E2315" s="217">
        <v>44256</v>
      </c>
      <c r="F2315">
        <v>115852.90300000001</v>
      </c>
      <c r="G2315" s="227" t="s">
        <v>434</v>
      </c>
    </row>
    <row r="2316" spans="1:7">
      <c r="A2316" s="216">
        <v>44256</v>
      </c>
      <c r="B2316" t="s">
        <v>3</v>
      </c>
      <c r="C2316">
        <v>9</v>
      </c>
      <c r="D2316" t="s">
        <v>450</v>
      </c>
      <c r="E2316" s="217">
        <v>44256</v>
      </c>
      <c r="F2316">
        <v>6230.1989999999996</v>
      </c>
      <c r="G2316" s="227" t="s">
        <v>79</v>
      </c>
    </row>
    <row r="2317" spans="1:7">
      <c r="A2317" s="216">
        <v>44256</v>
      </c>
      <c r="B2317" t="s">
        <v>3</v>
      </c>
      <c r="C2317">
        <v>9</v>
      </c>
      <c r="D2317" t="s">
        <v>450</v>
      </c>
      <c r="E2317" s="217">
        <v>44256</v>
      </c>
      <c r="F2317">
        <v>6147.2439999999997</v>
      </c>
      <c r="G2317" s="227" t="s">
        <v>115</v>
      </c>
    </row>
    <row r="2318" spans="1:7">
      <c r="A2318" s="216">
        <v>44256</v>
      </c>
      <c r="B2318" t="s">
        <v>3</v>
      </c>
      <c r="C2318">
        <v>9</v>
      </c>
      <c r="D2318" t="s">
        <v>450</v>
      </c>
      <c r="E2318" s="217">
        <v>44256</v>
      </c>
      <c r="F2318">
        <v>6983.723</v>
      </c>
      <c r="G2318" s="227" t="s">
        <v>106</v>
      </c>
    </row>
    <row r="2319" spans="1:7">
      <c r="A2319" s="216">
        <v>44256</v>
      </c>
      <c r="B2319" t="s">
        <v>3</v>
      </c>
      <c r="C2319">
        <v>9</v>
      </c>
      <c r="D2319" t="s">
        <v>450</v>
      </c>
      <c r="E2319" s="217">
        <v>44256</v>
      </c>
      <c r="F2319">
        <v>6349.8639999999996</v>
      </c>
      <c r="G2319" s="227" t="s">
        <v>101</v>
      </c>
    </row>
    <row r="2320" spans="1:7">
      <c r="A2320" s="216">
        <v>44256</v>
      </c>
      <c r="B2320" t="s">
        <v>3</v>
      </c>
      <c r="C2320">
        <v>9</v>
      </c>
      <c r="D2320" t="s">
        <v>450</v>
      </c>
      <c r="E2320" s="217">
        <v>44256</v>
      </c>
      <c r="F2320">
        <v>6738.1880000000001</v>
      </c>
      <c r="G2320" s="227" t="s">
        <v>84</v>
      </c>
    </row>
    <row r="2321" spans="1:7">
      <c r="A2321" s="216">
        <v>44256</v>
      </c>
      <c r="B2321" t="s">
        <v>3</v>
      </c>
      <c r="C2321">
        <v>9</v>
      </c>
      <c r="D2321" t="s">
        <v>450</v>
      </c>
      <c r="E2321" s="217">
        <v>44256</v>
      </c>
      <c r="F2321">
        <v>6332.24</v>
      </c>
      <c r="G2321" s="227" t="s">
        <v>128</v>
      </c>
    </row>
    <row r="2322" spans="1:7">
      <c r="A2322" s="216">
        <v>44256</v>
      </c>
      <c r="B2322" t="s">
        <v>3</v>
      </c>
      <c r="C2322">
        <v>9</v>
      </c>
      <c r="D2322" t="s">
        <v>450</v>
      </c>
      <c r="E2322" s="217">
        <v>44256</v>
      </c>
      <c r="F2322">
        <v>5946.3040000000001</v>
      </c>
      <c r="G2322" s="227" t="s">
        <v>124</v>
      </c>
    </row>
    <row r="2323" spans="1:7">
      <c r="A2323" s="216">
        <v>44256</v>
      </c>
      <c r="B2323" t="s">
        <v>3</v>
      </c>
      <c r="C2323">
        <v>9</v>
      </c>
      <c r="D2323" t="s">
        <v>450</v>
      </c>
      <c r="E2323" s="217">
        <v>44256</v>
      </c>
      <c r="F2323">
        <v>6343.5659999999998</v>
      </c>
      <c r="G2323" s="227" t="s">
        <v>120</v>
      </c>
    </row>
    <row r="2324" spans="1:7">
      <c r="A2324" s="216">
        <v>44256</v>
      </c>
      <c r="B2324" t="s">
        <v>3</v>
      </c>
      <c r="C2324">
        <v>9</v>
      </c>
      <c r="D2324" t="s">
        <v>450</v>
      </c>
      <c r="E2324" s="217">
        <v>44256</v>
      </c>
      <c r="F2324">
        <v>6664.6139999999996</v>
      </c>
      <c r="G2324" s="227" t="s">
        <v>89</v>
      </c>
    </row>
    <row r="2325" spans="1:7">
      <c r="A2325" s="216">
        <v>44256</v>
      </c>
      <c r="B2325" t="s">
        <v>3</v>
      </c>
      <c r="C2325">
        <v>9</v>
      </c>
      <c r="D2325" t="s">
        <v>450</v>
      </c>
      <c r="E2325" s="217">
        <v>44256</v>
      </c>
      <c r="F2325">
        <v>7058.3710000000001</v>
      </c>
      <c r="G2325" s="227" t="s">
        <v>97</v>
      </c>
    </row>
    <row r="2326" spans="1:7">
      <c r="A2326" s="216">
        <v>44256</v>
      </c>
      <c r="B2326" t="s">
        <v>3</v>
      </c>
      <c r="C2326">
        <v>9</v>
      </c>
      <c r="D2326" t="s">
        <v>450</v>
      </c>
      <c r="E2326" s="217">
        <v>44256</v>
      </c>
      <c r="F2326">
        <v>6162.4750000000004</v>
      </c>
      <c r="G2326" s="227" t="s">
        <v>93</v>
      </c>
    </row>
    <row r="2327" spans="1:7">
      <c r="A2327" s="216">
        <v>44256</v>
      </c>
      <c r="B2327" t="s">
        <v>3</v>
      </c>
      <c r="C2327">
        <v>9</v>
      </c>
      <c r="D2327" t="s">
        <v>450</v>
      </c>
      <c r="E2327" s="217">
        <v>44256</v>
      </c>
      <c r="F2327">
        <v>7608.2029999999904</v>
      </c>
      <c r="G2327" s="227" t="s">
        <v>111</v>
      </c>
    </row>
    <row r="2328" spans="1:7">
      <c r="A2328" s="216">
        <v>44256</v>
      </c>
      <c r="B2328" t="s">
        <v>3</v>
      </c>
      <c r="C2328">
        <v>9</v>
      </c>
      <c r="D2328" t="s">
        <v>450</v>
      </c>
      <c r="E2328" s="217">
        <v>44256</v>
      </c>
      <c r="F2328">
        <v>78564.990999999995</v>
      </c>
      <c r="G2328" s="227" t="s">
        <v>434</v>
      </c>
    </row>
    <row r="2329" spans="1:7">
      <c r="A2329" s="216">
        <v>44256</v>
      </c>
      <c r="B2329" t="s">
        <v>3</v>
      </c>
      <c r="C2329">
        <v>10</v>
      </c>
      <c r="D2329" t="s">
        <v>433</v>
      </c>
      <c r="E2329" s="217">
        <v>44256</v>
      </c>
      <c r="F2329">
        <v>45794.502</v>
      </c>
      <c r="G2329" s="227" t="s">
        <v>79</v>
      </c>
    </row>
    <row r="2330" spans="1:7">
      <c r="A2330" s="216">
        <v>44256</v>
      </c>
      <c r="B2330" t="s">
        <v>3</v>
      </c>
      <c r="C2330">
        <v>10</v>
      </c>
      <c r="D2330" t="s">
        <v>433</v>
      </c>
      <c r="E2330" s="217">
        <v>44256</v>
      </c>
      <c r="F2330">
        <v>48892.273000000001</v>
      </c>
      <c r="G2330" s="227" t="s">
        <v>115</v>
      </c>
    </row>
    <row r="2331" spans="1:7">
      <c r="A2331" s="216">
        <v>44256</v>
      </c>
      <c r="B2331" t="s">
        <v>3</v>
      </c>
      <c r="C2331">
        <v>10</v>
      </c>
      <c r="D2331" t="s">
        <v>433</v>
      </c>
      <c r="E2331" s="217">
        <v>44256</v>
      </c>
      <c r="F2331">
        <v>48286.326000000001</v>
      </c>
      <c r="G2331" s="227" t="s">
        <v>106</v>
      </c>
    </row>
    <row r="2332" spans="1:7">
      <c r="A2332" s="216">
        <v>44256</v>
      </c>
      <c r="B2332" t="s">
        <v>3</v>
      </c>
      <c r="C2332">
        <v>10</v>
      </c>
      <c r="D2332" t="s">
        <v>433</v>
      </c>
      <c r="E2332" s="217">
        <v>44256</v>
      </c>
      <c r="F2332">
        <v>47391.203999999998</v>
      </c>
      <c r="G2332" s="227" t="s">
        <v>101</v>
      </c>
    </row>
    <row r="2333" spans="1:7">
      <c r="A2333" s="216">
        <v>44256</v>
      </c>
      <c r="B2333" t="s">
        <v>3</v>
      </c>
      <c r="C2333">
        <v>10</v>
      </c>
      <c r="D2333" t="s">
        <v>433</v>
      </c>
      <c r="E2333" s="217">
        <v>44256</v>
      </c>
      <c r="F2333">
        <v>48099.415999999997</v>
      </c>
      <c r="G2333" s="227" t="s">
        <v>84</v>
      </c>
    </row>
    <row r="2334" spans="1:7">
      <c r="A2334" s="216">
        <v>44256</v>
      </c>
      <c r="B2334" t="s">
        <v>3</v>
      </c>
      <c r="C2334">
        <v>10</v>
      </c>
      <c r="D2334" t="s">
        <v>433</v>
      </c>
      <c r="E2334" s="217">
        <v>44256</v>
      </c>
      <c r="F2334">
        <v>47453.936000000002</v>
      </c>
      <c r="G2334" s="227" t="s">
        <v>128</v>
      </c>
    </row>
    <row r="2335" spans="1:7">
      <c r="A2335" s="216">
        <v>44256</v>
      </c>
      <c r="B2335" t="s">
        <v>3</v>
      </c>
      <c r="C2335">
        <v>10</v>
      </c>
      <c r="D2335" t="s">
        <v>433</v>
      </c>
      <c r="E2335" s="217">
        <v>44256</v>
      </c>
      <c r="F2335">
        <v>51615.071000000004</v>
      </c>
      <c r="G2335" s="227" t="s">
        <v>124</v>
      </c>
    </row>
    <row r="2336" spans="1:7">
      <c r="A2336" s="216">
        <v>44256</v>
      </c>
      <c r="B2336" t="s">
        <v>3</v>
      </c>
      <c r="C2336">
        <v>10</v>
      </c>
      <c r="D2336" t="s">
        <v>433</v>
      </c>
      <c r="E2336" s="217">
        <v>44256</v>
      </c>
      <c r="F2336">
        <v>48462.625</v>
      </c>
      <c r="G2336" s="227" t="s">
        <v>120</v>
      </c>
    </row>
    <row r="2337" spans="1:7">
      <c r="A2337" s="216">
        <v>44256</v>
      </c>
      <c r="B2337" t="s">
        <v>3</v>
      </c>
      <c r="C2337">
        <v>10</v>
      </c>
      <c r="D2337" t="s">
        <v>433</v>
      </c>
      <c r="E2337" s="217">
        <v>44256</v>
      </c>
      <c r="F2337">
        <v>49294.923999999999</v>
      </c>
      <c r="G2337" s="227" t="s">
        <v>89</v>
      </c>
    </row>
    <row r="2338" spans="1:7">
      <c r="A2338" s="216">
        <v>44256</v>
      </c>
      <c r="B2338" t="s">
        <v>3</v>
      </c>
      <c r="C2338">
        <v>10</v>
      </c>
      <c r="D2338" t="s">
        <v>433</v>
      </c>
      <c r="E2338" s="217">
        <v>44256</v>
      </c>
      <c r="F2338">
        <v>51509.915999999997</v>
      </c>
      <c r="G2338" s="227" t="s">
        <v>97</v>
      </c>
    </row>
    <row r="2339" spans="1:7">
      <c r="A2339" s="216">
        <v>44256</v>
      </c>
      <c r="B2339" t="s">
        <v>3</v>
      </c>
      <c r="C2339">
        <v>10</v>
      </c>
      <c r="D2339" t="s">
        <v>433</v>
      </c>
      <c r="E2339" s="217">
        <v>44256</v>
      </c>
      <c r="F2339">
        <v>50741.074000000001</v>
      </c>
      <c r="G2339" s="227" t="s">
        <v>93</v>
      </c>
    </row>
    <row r="2340" spans="1:7">
      <c r="A2340" s="216">
        <v>44256</v>
      </c>
      <c r="B2340" t="s">
        <v>3</v>
      </c>
      <c r="C2340">
        <v>10</v>
      </c>
      <c r="D2340" t="s">
        <v>433</v>
      </c>
      <c r="E2340" s="217">
        <v>44256</v>
      </c>
      <c r="F2340">
        <v>110729.932</v>
      </c>
      <c r="G2340" s="227" t="s">
        <v>111</v>
      </c>
    </row>
    <row r="2341" spans="1:7">
      <c r="A2341" s="216">
        <v>44256</v>
      </c>
      <c r="B2341" t="s">
        <v>3</v>
      </c>
      <c r="C2341">
        <v>10</v>
      </c>
      <c r="D2341" t="s">
        <v>433</v>
      </c>
      <c r="E2341" s="217">
        <v>44256</v>
      </c>
      <c r="F2341">
        <v>648271.19900000002</v>
      </c>
      <c r="G2341" s="227" t="s">
        <v>434</v>
      </c>
    </row>
    <row r="2342" spans="1:7">
      <c r="A2342" s="216">
        <v>44256</v>
      </c>
      <c r="B2342" t="s">
        <v>3</v>
      </c>
      <c r="C2342">
        <v>11</v>
      </c>
      <c r="D2342" t="s">
        <v>445</v>
      </c>
      <c r="E2342" s="217">
        <v>44256</v>
      </c>
      <c r="F2342">
        <v>9272.0249999999996</v>
      </c>
      <c r="G2342" s="227" t="s">
        <v>79</v>
      </c>
    </row>
    <row r="2343" spans="1:7">
      <c r="A2343" s="216">
        <v>44256</v>
      </c>
      <c r="B2343" t="s">
        <v>3</v>
      </c>
      <c r="C2343">
        <v>11</v>
      </c>
      <c r="D2343" t="s">
        <v>445</v>
      </c>
      <c r="E2343" s="217">
        <v>44256</v>
      </c>
      <c r="F2343">
        <v>13603.628000000001</v>
      </c>
      <c r="G2343" s="227" t="s">
        <v>115</v>
      </c>
    </row>
    <row r="2344" spans="1:7">
      <c r="A2344" s="216">
        <v>44256</v>
      </c>
      <c r="B2344" t="s">
        <v>3</v>
      </c>
      <c r="C2344">
        <v>11</v>
      </c>
      <c r="D2344" t="s">
        <v>445</v>
      </c>
      <c r="E2344" s="217">
        <v>44256</v>
      </c>
      <c r="F2344">
        <v>29775.412</v>
      </c>
      <c r="G2344" s="227" t="s">
        <v>106</v>
      </c>
    </row>
    <row r="2345" spans="1:7">
      <c r="A2345" s="216">
        <v>44256</v>
      </c>
      <c r="B2345" t="s">
        <v>3</v>
      </c>
      <c r="C2345">
        <v>11</v>
      </c>
      <c r="D2345" t="s">
        <v>445</v>
      </c>
      <c r="E2345" s="217">
        <v>44256</v>
      </c>
      <c r="F2345">
        <v>-9289.6229999999996</v>
      </c>
      <c r="G2345" s="227" t="s">
        <v>101</v>
      </c>
    </row>
    <row r="2346" spans="1:7">
      <c r="A2346" s="216">
        <v>44256</v>
      </c>
      <c r="B2346" t="s">
        <v>3</v>
      </c>
      <c r="C2346">
        <v>11</v>
      </c>
      <c r="D2346" t="s">
        <v>445</v>
      </c>
      <c r="E2346" s="217">
        <v>44256</v>
      </c>
      <c r="F2346">
        <v>9675.6260000000002</v>
      </c>
      <c r="G2346" s="227" t="s">
        <v>84</v>
      </c>
    </row>
    <row r="2347" spans="1:7">
      <c r="A2347" s="216">
        <v>44256</v>
      </c>
      <c r="B2347" t="s">
        <v>3</v>
      </c>
      <c r="C2347">
        <v>11</v>
      </c>
      <c r="D2347" t="s">
        <v>445</v>
      </c>
      <c r="E2347" s="217">
        <v>44256</v>
      </c>
      <c r="F2347">
        <v>10043.677</v>
      </c>
      <c r="G2347" s="227" t="s">
        <v>128</v>
      </c>
    </row>
    <row r="2348" spans="1:7">
      <c r="A2348" s="216">
        <v>44256</v>
      </c>
      <c r="B2348" t="s">
        <v>3</v>
      </c>
      <c r="C2348">
        <v>11</v>
      </c>
      <c r="D2348" t="s">
        <v>445</v>
      </c>
      <c r="E2348" s="217">
        <v>44256</v>
      </c>
      <c r="F2348">
        <v>10657.379000000001</v>
      </c>
      <c r="G2348" s="227" t="s">
        <v>124</v>
      </c>
    </row>
    <row r="2349" spans="1:7">
      <c r="A2349" s="216">
        <v>44256</v>
      </c>
      <c r="B2349" t="s">
        <v>3</v>
      </c>
      <c r="C2349">
        <v>11</v>
      </c>
      <c r="D2349" t="s">
        <v>445</v>
      </c>
      <c r="E2349" s="217">
        <v>44256</v>
      </c>
      <c r="F2349">
        <v>11254.642</v>
      </c>
      <c r="G2349" s="227" t="s">
        <v>120</v>
      </c>
    </row>
    <row r="2350" spans="1:7">
      <c r="A2350" s="216">
        <v>44256</v>
      </c>
      <c r="B2350" t="s">
        <v>3</v>
      </c>
      <c r="C2350">
        <v>11</v>
      </c>
      <c r="D2350" t="s">
        <v>445</v>
      </c>
      <c r="E2350" s="217">
        <v>44256</v>
      </c>
      <c r="F2350">
        <v>11328.553</v>
      </c>
      <c r="G2350" s="227" t="s">
        <v>89</v>
      </c>
    </row>
    <row r="2351" spans="1:7">
      <c r="A2351" s="216">
        <v>44256</v>
      </c>
      <c r="B2351" t="s">
        <v>3</v>
      </c>
      <c r="C2351">
        <v>11</v>
      </c>
      <c r="D2351" t="s">
        <v>445</v>
      </c>
      <c r="E2351" s="217">
        <v>44256</v>
      </c>
      <c r="F2351">
        <v>10732.597</v>
      </c>
      <c r="G2351" s="227" t="s">
        <v>97</v>
      </c>
    </row>
    <row r="2352" spans="1:7">
      <c r="A2352" s="216">
        <v>44256</v>
      </c>
      <c r="B2352" t="s">
        <v>3</v>
      </c>
      <c r="C2352">
        <v>11</v>
      </c>
      <c r="D2352" t="s">
        <v>445</v>
      </c>
      <c r="E2352" s="217">
        <v>44256</v>
      </c>
      <c r="F2352">
        <v>11377.268</v>
      </c>
      <c r="G2352" s="227" t="s">
        <v>93</v>
      </c>
    </row>
    <row r="2353" spans="1:7">
      <c r="A2353" s="216">
        <v>44256</v>
      </c>
      <c r="B2353" t="s">
        <v>3</v>
      </c>
      <c r="C2353">
        <v>11</v>
      </c>
      <c r="D2353" t="s">
        <v>445</v>
      </c>
      <c r="E2353" s="217">
        <v>44256</v>
      </c>
      <c r="F2353">
        <v>22712</v>
      </c>
      <c r="G2353" s="227" t="s">
        <v>111</v>
      </c>
    </row>
    <row r="2354" spans="1:7">
      <c r="A2354" s="216">
        <v>44256</v>
      </c>
      <c r="B2354" t="s">
        <v>3</v>
      </c>
      <c r="C2354">
        <v>11</v>
      </c>
      <c r="D2354" t="s">
        <v>445</v>
      </c>
      <c r="E2354" s="217">
        <v>44256</v>
      </c>
      <c r="F2354">
        <v>141143.18400000001</v>
      </c>
      <c r="G2354" s="227" t="s">
        <v>434</v>
      </c>
    </row>
    <row r="2355" spans="1:7">
      <c r="A2355" s="216">
        <v>44256</v>
      </c>
      <c r="B2355" t="s">
        <v>3</v>
      </c>
      <c r="C2355">
        <v>12</v>
      </c>
      <c r="D2355" t="s">
        <v>454</v>
      </c>
      <c r="E2355" s="217">
        <v>44256</v>
      </c>
      <c r="F2355">
        <v>4835.2089999999998</v>
      </c>
      <c r="G2355" s="227" t="s">
        <v>79</v>
      </c>
    </row>
    <row r="2356" spans="1:7">
      <c r="A2356" s="216">
        <v>44256</v>
      </c>
      <c r="B2356" t="s">
        <v>3</v>
      </c>
      <c r="C2356">
        <v>12</v>
      </c>
      <c r="D2356" t="s">
        <v>454</v>
      </c>
      <c r="E2356" s="217">
        <v>44256</v>
      </c>
      <c r="F2356">
        <v>4334.0829999999996</v>
      </c>
      <c r="G2356" s="227" t="s">
        <v>115</v>
      </c>
    </row>
    <row r="2357" spans="1:7">
      <c r="A2357" s="216">
        <v>44256</v>
      </c>
      <c r="B2357" t="s">
        <v>3</v>
      </c>
      <c r="C2357">
        <v>12</v>
      </c>
      <c r="D2357" t="s">
        <v>454</v>
      </c>
      <c r="E2357" s="217">
        <v>44256</v>
      </c>
      <c r="F2357">
        <v>5706.8980000000001</v>
      </c>
      <c r="G2357" s="227" t="s">
        <v>106</v>
      </c>
    </row>
    <row r="2358" spans="1:7">
      <c r="A2358" s="216">
        <v>44256</v>
      </c>
      <c r="B2358" t="s">
        <v>3</v>
      </c>
      <c r="C2358">
        <v>12</v>
      </c>
      <c r="D2358" t="s">
        <v>454</v>
      </c>
      <c r="E2358" s="217">
        <v>44256</v>
      </c>
      <c r="F2358">
        <v>5631.2730000000001</v>
      </c>
      <c r="G2358" s="227" t="s">
        <v>101</v>
      </c>
    </row>
    <row r="2359" spans="1:7">
      <c r="A2359" s="216">
        <v>44256</v>
      </c>
      <c r="B2359" t="s">
        <v>3</v>
      </c>
      <c r="C2359">
        <v>12</v>
      </c>
      <c r="D2359" t="s">
        <v>454</v>
      </c>
      <c r="E2359" s="217">
        <v>44256</v>
      </c>
      <c r="F2359">
        <v>4950.4350000000004</v>
      </c>
      <c r="G2359" s="227" t="s">
        <v>84</v>
      </c>
    </row>
    <row r="2360" spans="1:7">
      <c r="A2360" s="216">
        <v>44256</v>
      </c>
      <c r="B2360" t="s">
        <v>3</v>
      </c>
      <c r="C2360">
        <v>12</v>
      </c>
      <c r="D2360" t="s">
        <v>454</v>
      </c>
      <c r="E2360" s="217">
        <v>44256</v>
      </c>
      <c r="F2360">
        <v>5989.3050000000003</v>
      </c>
      <c r="G2360" s="227" t="s">
        <v>128</v>
      </c>
    </row>
    <row r="2361" spans="1:7">
      <c r="A2361" s="216">
        <v>44256</v>
      </c>
      <c r="B2361" t="s">
        <v>3</v>
      </c>
      <c r="C2361">
        <v>12</v>
      </c>
      <c r="D2361" t="s">
        <v>454</v>
      </c>
      <c r="E2361" s="217">
        <v>44256</v>
      </c>
      <c r="F2361">
        <v>5627.3379999999997</v>
      </c>
      <c r="G2361" s="227" t="s">
        <v>124</v>
      </c>
    </row>
    <row r="2362" spans="1:7">
      <c r="A2362" s="216">
        <v>44256</v>
      </c>
      <c r="B2362" t="s">
        <v>3</v>
      </c>
      <c r="C2362">
        <v>12</v>
      </c>
      <c r="D2362" t="s">
        <v>454</v>
      </c>
      <c r="E2362" s="217">
        <v>44256</v>
      </c>
      <c r="F2362">
        <v>5479.4290000000001</v>
      </c>
      <c r="G2362" s="227" t="s">
        <v>120</v>
      </c>
    </row>
    <row r="2363" spans="1:7">
      <c r="A2363" s="216">
        <v>44256</v>
      </c>
      <c r="B2363" t="s">
        <v>3</v>
      </c>
      <c r="C2363">
        <v>12</v>
      </c>
      <c r="D2363" t="s">
        <v>454</v>
      </c>
      <c r="E2363" s="217">
        <v>44256</v>
      </c>
      <c r="F2363">
        <v>5706.6710000000003</v>
      </c>
      <c r="G2363" s="227" t="s">
        <v>89</v>
      </c>
    </row>
    <row r="2364" spans="1:7">
      <c r="A2364" s="216">
        <v>44256</v>
      </c>
      <c r="B2364" t="s">
        <v>3</v>
      </c>
      <c r="C2364">
        <v>12</v>
      </c>
      <c r="D2364" t="s">
        <v>454</v>
      </c>
      <c r="E2364" s="217">
        <v>44256</v>
      </c>
      <c r="F2364">
        <v>4991.9129999999896</v>
      </c>
      <c r="G2364" s="227" t="s">
        <v>97</v>
      </c>
    </row>
    <row r="2365" spans="1:7">
      <c r="A2365" s="216">
        <v>44256</v>
      </c>
      <c r="B2365" t="s">
        <v>3</v>
      </c>
      <c r="C2365">
        <v>12</v>
      </c>
      <c r="D2365" t="s">
        <v>454</v>
      </c>
      <c r="E2365" s="217">
        <v>44256</v>
      </c>
      <c r="F2365">
        <v>4843.4949999999999</v>
      </c>
      <c r="G2365" s="227" t="s">
        <v>93</v>
      </c>
    </row>
    <row r="2366" spans="1:7">
      <c r="A2366" s="216">
        <v>44256</v>
      </c>
      <c r="B2366" t="s">
        <v>3</v>
      </c>
      <c r="C2366">
        <v>12</v>
      </c>
      <c r="D2366" t="s">
        <v>454</v>
      </c>
      <c r="E2366" s="217">
        <v>44256</v>
      </c>
      <c r="F2366">
        <v>8617.4269999999997</v>
      </c>
      <c r="G2366" s="227" t="s">
        <v>111</v>
      </c>
    </row>
    <row r="2367" spans="1:7">
      <c r="A2367" s="216">
        <v>44256</v>
      </c>
      <c r="B2367" t="s">
        <v>3</v>
      </c>
      <c r="C2367">
        <v>12</v>
      </c>
      <c r="D2367" t="s">
        <v>454</v>
      </c>
      <c r="E2367" s="217">
        <v>44256</v>
      </c>
      <c r="F2367">
        <v>66713.475999999995</v>
      </c>
      <c r="G2367" s="227" t="s">
        <v>434</v>
      </c>
    </row>
    <row r="2368" spans="1:7">
      <c r="A2368" s="216">
        <v>44256</v>
      </c>
      <c r="B2368" t="s">
        <v>3</v>
      </c>
      <c r="C2368">
        <v>13</v>
      </c>
      <c r="D2368" t="s">
        <v>441</v>
      </c>
      <c r="E2368" s="217">
        <v>44256</v>
      </c>
      <c r="F2368">
        <v>12740.108</v>
      </c>
      <c r="G2368" s="227" t="s">
        <v>79</v>
      </c>
    </row>
    <row r="2369" spans="1:7">
      <c r="A2369" s="216">
        <v>44256</v>
      </c>
      <c r="B2369" t="s">
        <v>3</v>
      </c>
      <c r="C2369">
        <v>13</v>
      </c>
      <c r="D2369" t="s">
        <v>441</v>
      </c>
      <c r="E2369" s="217">
        <v>44256</v>
      </c>
      <c r="F2369">
        <v>12797.007</v>
      </c>
      <c r="G2369" s="227" t="s">
        <v>115</v>
      </c>
    </row>
    <row r="2370" spans="1:7">
      <c r="A2370" s="216">
        <v>44256</v>
      </c>
      <c r="B2370" t="s">
        <v>3</v>
      </c>
      <c r="C2370">
        <v>13</v>
      </c>
      <c r="D2370" t="s">
        <v>441</v>
      </c>
      <c r="E2370" s="217">
        <v>44256</v>
      </c>
      <c r="F2370">
        <v>12720.504999999999</v>
      </c>
      <c r="G2370" s="227" t="s">
        <v>106</v>
      </c>
    </row>
    <row r="2371" spans="1:7">
      <c r="A2371" s="216">
        <v>44256</v>
      </c>
      <c r="B2371" t="s">
        <v>3</v>
      </c>
      <c r="C2371">
        <v>13</v>
      </c>
      <c r="D2371" t="s">
        <v>441</v>
      </c>
      <c r="E2371" s="217">
        <v>44256</v>
      </c>
      <c r="F2371">
        <v>13644.786</v>
      </c>
      <c r="G2371" s="227" t="s">
        <v>101</v>
      </c>
    </row>
    <row r="2372" spans="1:7">
      <c r="A2372" s="216">
        <v>44256</v>
      </c>
      <c r="B2372" t="s">
        <v>3</v>
      </c>
      <c r="C2372">
        <v>13</v>
      </c>
      <c r="D2372" t="s">
        <v>441</v>
      </c>
      <c r="E2372" s="217">
        <v>44256</v>
      </c>
      <c r="F2372">
        <v>12986.66</v>
      </c>
      <c r="G2372" s="227" t="s">
        <v>84</v>
      </c>
    </row>
    <row r="2373" spans="1:7">
      <c r="A2373" s="216">
        <v>44256</v>
      </c>
      <c r="B2373" t="s">
        <v>3</v>
      </c>
      <c r="C2373">
        <v>13</v>
      </c>
      <c r="D2373" t="s">
        <v>441</v>
      </c>
      <c r="E2373" s="217">
        <v>44256</v>
      </c>
      <c r="F2373">
        <v>14380.927</v>
      </c>
      <c r="G2373" s="227" t="s">
        <v>128</v>
      </c>
    </row>
    <row r="2374" spans="1:7">
      <c r="A2374" s="216">
        <v>44256</v>
      </c>
      <c r="B2374" t="s">
        <v>3</v>
      </c>
      <c r="C2374">
        <v>13</v>
      </c>
      <c r="D2374" t="s">
        <v>441</v>
      </c>
      <c r="E2374" s="217">
        <v>44256</v>
      </c>
      <c r="F2374">
        <v>13213.2</v>
      </c>
      <c r="G2374" s="227" t="s">
        <v>124</v>
      </c>
    </row>
    <row r="2375" spans="1:7">
      <c r="A2375" s="216">
        <v>44256</v>
      </c>
      <c r="B2375" t="s">
        <v>3</v>
      </c>
      <c r="C2375">
        <v>13</v>
      </c>
      <c r="D2375" t="s">
        <v>441</v>
      </c>
      <c r="E2375" s="217">
        <v>44256</v>
      </c>
      <c r="F2375">
        <v>13737.339</v>
      </c>
      <c r="G2375" s="227" t="s">
        <v>120</v>
      </c>
    </row>
    <row r="2376" spans="1:7">
      <c r="A2376" s="216">
        <v>44256</v>
      </c>
      <c r="B2376" t="s">
        <v>3</v>
      </c>
      <c r="C2376">
        <v>13</v>
      </c>
      <c r="D2376" t="s">
        <v>441</v>
      </c>
      <c r="E2376" s="217">
        <v>44256</v>
      </c>
      <c r="F2376">
        <v>13472.965</v>
      </c>
      <c r="G2376" s="227" t="s">
        <v>89</v>
      </c>
    </row>
    <row r="2377" spans="1:7">
      <c r="A2377" s="216">
        <v>44256</v>
      </c>
      <c r="B2377" t="s">
        <v>3</v>
      </c>
      <c r="C2377">
        <v>13</v>
      </c>
      <c r="D2377" t="s">
        <v>441</v>
      </c>
      <c r="E2377" s="217">
        <v>44256</v>
      </c>
      <c r="F2377">
        <v>13340.739</v>
      </c>
      <c r="G2377" s="227" t="s">
        <v>97</v>
      </c>
    </row>
    <row r="2378" spans="1:7">
      <c r="A2378" s="216">
        <v>44256</v>
      </c>
      <c r="B2378" t="s">
        <v>3</v>
      </c>
      <c r="C2378">
        <v>13</v>
      </c>
      <c r="D2378" t="s">
        <v>441</v>
      </c>
      <c r="E2378" s="217">
        <v>44256</v>
      </c>
      <c r="F2378">
        <v>11764.43</v>
      </c>
      <c r="G2378" s="227" t="s">
        <v>93</v>
      </c>
    </row>
    <row r="2379" spans="1:7">
      <c r="A2379" s="216">
        <v>44256</v>
      </c>
      <c r="B2379" t="s">
        <v>3</v>
      </c>
      <c r="C2379">
        <v>13</v>
      </c>
      <c r="D2379" t="s">
        <v>441</v>
      </c>
      <c r="E2379" s="217">
        <v>44256</v>
      </c>
      <c r="F2379">
        <v>13971.883</v>
      </c>
      <c r="G2379" s="227" t="s">
        <v>111</v>
      </c>
    </row>
    <row r="2380" spans="1:7">
      <c r="A2380" s="216">
        <v>44256</v>
      </c>
      <c r="B2380" t="s">
        <v>3</v>
      </c>
      <c r="C2380">
        <v>13</v>
      </c>
      <c r="D2380" t="s">
        <v>441</v>
      </c>
      <c r="E2380" s="217">
        <v>44256</v>
      </c>
      <c r="F2380">
        <v>158770.549</v>
      </c>
      <c r="G2380" s="227" t="s">
        <v>434</v>
      </c>
    </row>
    <row r="2381" spans="1:7">
      <c r="A2381" s="216">
        <v>44256</v>
      </c>
      <c r="B2381" t="s">
        <v>3</v>
      </c>
      <c r="C2381">
        <v>14</v>
      </c>
      <c r="D2381" t="s">
        <v>447</v>
      </c>
      <c r="E2381" s="217">
        <v>44256</v>
      </c>
      <c r="F2381">
        <v>0</v>
      </c>
      <c r="G2381" s="227" t="s">
        <v>79</v>
      </c>
    </row>
    <row r="2382" spans="1:7">
      <c r="A2382" s="216">
        <v>44256</v>
      </c>
      <c r="B2382" t="s">
        <v>3</v>
      </c>
      <c r="C2382">
        <v>14</v>
      </c>
      <c r="D2382" t="s">
        <v>447</v>
      </c>
      <c r="E2382" s="217">
        <v>44256</v>
      </c>
      <c r="F2382">
        <v>0</v>
      </c>
      <c r="G2382" s="227" t="s">
        <v>115</v>
      </c>
    </row>
    <row r="2383" spans="1:7">
      <c r="A2383" s="216">
        <v>44256</v>
      </c>
      <c r="B2383" t="s">
        <v>3</v>
      </c>
      <c r="C2383">
        <v>14</v>
      </c>
      <c r="D2383" t="s">
        <v>447</v>
      </c>
      <c r="E2383" s="217">
        <v>44256</v>
      </c>
      <c r="F2383">
        <v>0</v>
      </c>
      <c r="G2383" s="227" t="s">
        <v>106</v>
      </c>
    </row>
    <row r="2384" spans="1:7">
      <c r="A2384" s="216">
        <v>44256</v>
      </c>
      <c r="B2384" t="s">
        <v>3</v>
      </c>
      <c r="C2384">
        <v>14</v>
      </c>
      <c r="D2384" t="s">
        <v>447</v>
      </c>
      <c r="E2384" s="217">
        <v>44256</v>
      </c>
      <c r="F2384">
        <v>0</v>
      </c>
      <c r="G2384" s="227" t="s">
        <v>101</v>
      </c>
    </row>
    <row r="2385" spans="1:7">
      <c r="A2385" s="216">
        <v>44256</v>
      </c>
      <c r="B2385" t="s">
        <v>3</v>
      </c>
      <c r="C2385">
        <v>14</v>
      </c>
      <c r="D2385" t="s">
        <v>447</v>
      </c>
      <c r="E2385" s="217">
        <v>44256</v>
      </c>
      <c r="F2385">
        <v>0</v>
      </c>
      <c r="G2385" s="227" t="s">
        <v>84</v>
      </c>
    </row>
    <row r="2386" spans="1:7">
      <c r="A2386" s="216">
        <v>44256</v>
      </c>
      <c r="B2386" t="s">
        <v>3</v>
      </c>
      <c r="C2386">
        <v>14</v>
      </c>
      <c r="D2386" t="s">
        <v>447</v>
      </c>
      <c r="E2386" s="217">
        <v>44256</v>
      </c>
      <c r="F2386">
        <v>0</v>
      </c>
      <c r="G2386" s="227" t="s">
        <v>128</v>
      </c>
    </row>
    <row r="2387" spans="1:7">
      <c r="A2387" s="216">
        <v>44256</v>
      </c>
      <c r="B2387" t="s">
        <v>3</v>
      </c>
      <c r="C2387">
        <v>14</v>
      </c>
      <c r="D2387" t="s">
        <v>447</v>
      </c>
      <c r="E2387" s="217">
        <v>44256</v>
      </c>
      <c r="F2387">
        <v>0</v>
      </c>
      <c r="G2387" s="227" t="s">
        <v>124</v>
      </c>
    </row>
    <row r="2388" spans="1:7">
      <c r="A2388" s="216">
        <v>44256</v>
      </c>
      <c r="B2388" t="s">
        <v>3</v>
      </c>
      <c r="C2388">
        <v>14</v>
      </c>
      <c r="D2388" t="s">
        <v>447</v>
      </c>
      <c r="E2388" s="217">
        <v>44256</v>
      </c>
      <c r="F2388">
        <v>0</v>
      </c>
      <c r="G2388" s="227" t="s">
        <v>120</v>
      </c>
    </row>
    <row r="2389" spans="1:7">
      <c r="A2389" s="216">
        <v>44256</v>
      </c>
      <c r="B2389" t="s">
        <v>3</v>
      </c>
      <c r="C2389">
        <v>14</v>
      </c>
      <c r="D2389" t="s">
        <v>447</v>
      </c>
      <c r="E2389" s="217">
        <v>44256</v>
      </c>
      <c r="F2389">
        <v>0</v>
      </c>
      <c r="G2389" s="227" t="s">
        <v>89</v>
      </c>
    </row>
    <row r="2390" spans="1:7">
      <c r="A2390" s="216">
        <v>44256</v>
      </c>
      <c r="B2390" t="s">
        <v>3</v>
      </c>
      <c r="C2390">
        <v>14</v>
      </c>
      <c r="D2390" t="s">
        <v>447</v>
      </c>
      <c r="E2390" s="217">
        <v>44256</v>
      </c>
      <c r="F2390">
        <v>0</v>
      </c>
      <c r="G2390" s="227" t="s">
        <v>97</v>
      </c>
    </row>
    <row r="2391" spans="1:7">
      <c r="A2391" s="216">
        <v>44256</v>
      </c>
      <c r="B2391" t="s">
        <v>3</v>
      </c>
      <c r="C2391">
        <v>14</v>
      </c>
      <c r="D2391" t="s">
        <v>447</v>
      </c>
      <c r="E2391" s="217">
        <v>44256</v>
      </c>
      <c r="F2391">
        <v>0</v>
      </c>
      <c r="G2391" s="227" t="s">
        <v>93</v>
      </c>
    </row>
    <row r="2392" spans="1:7">
      <c r="A2392" s="216">
        <v>44256</v>
      </c>
      <c r="B2392" t="s">
        <v>3</v>
      </c>
      <c r="C2392">
        <v>14</v>
      </c>
      <c r="D2392" t="s">
        <v>447</v>
      </c>
      <c r="E2392" s="217">
        <v>44256</v>
      </c>
      <c r="F2392">
        <v>0</v>
      </c>
      <c r="G2392" s="227" t="s">
        <v>111</v>
      </c>
    </row>
    <row r="2393" spans="1:7">
      <c r="A2393" s="216">
        <v>44256</v>
      </c>
      <c r="B2393" t="s">
        <v>3</v>
      </c>
      <c r="C2393">
        <v>14</v>
      </c>
      <c r="D2393" t="s">
        <v>447</v>
      </c>
      <c r="E2393" s="217">
        <v>44256</v>
      </c>
      <c r="F2393">
        <v>0</v>
      </c>
      <c r="G2393" s="227" t="s">
        <v>434</v>
      </c>
    </row>
    <row r="2394" spans="1:7">
      <c r="A2394" s="216">
        <v>44256</v>
      </c>
      <c r="B2394" t="s">
        <v>3</v>
      </c>
      <c r="C2394">
        <v>15</v>
      </c>
      <c r="D2394" t="s">
        <v>437</v>
      </c>
      <c r="E2394" s="217">
        <v>44256</v>
      </c>
      <c r="F2394">
        <v>4601.5680000000002</v>
      </c>
      <c r="G2394" s="227" t="s">
        <v>79</v>
      </c>
    </row>
    <row r="2395" spans="1:7">
      <c r="A2395" s="216">
        <v>44256</v>
      </c>
      <c r="B2395" t="s">
        <v>3</v>
      </c>
      <c r="C2395">
        <v>15</v>
      </c>
      <c r="D2395" t="s">
        <v>437</v>
      </c>
      <c r="E2395" s="217">
        <v>44256</v>
      </c>
      <c r="F2395">
        <v>4717.3220000000001</v>
      </c>
      <c r="G2395" s="227" t="s">
        <v>115</v>
      </c>
    </row>
    <row r="2396" spans="1:7">
      <c r="A2396" s="216">
        <v>44256</v>
      </c>
      <c r="B2396" t="s">
        <v>3</v>
      </c>
      <c r="C2396">
        <v>15</v>
      </c>
      <c r="D2396" t="s">
        <v>437</v>
      </c>
      <c r="E2396" s="217">
        <v>44256</v>
      </c>
      <c r="F2396">
        <v>4538.2079999999996</v>
      </c>
      <c r="G2396" s="227" t="s">
        <v>106</v>
      </c>
    </row>
    <row r="2397" spans="1:7">
      <c r="A2397" s="216">
        <v>44256</v>
      </c>
      <c r="B2397" t="s">
        <v>3</v>
      </c>
      <c r="C2397">
        <v>15</v>
      </c>
      <c r="D2397" t="s">
        <v>437</v>
      </c>
      <c r="E2397" s="217">
        <v>44256</v>
      </c>
      <c r="F2397">
        <v>4969.2169999999996</v>
      </c>
      <c r="G2397" s="227" t="s">
        <v>101</v>
      </c>
    </row>
    <row r="2398" spans="1:7">
      <c r="A2398" s="216">
        <v>44256</v>
      </c>
      <c r="B2398" t="s">
        <v>3</v>
      </c>
      <c r="C2398">
        <v>15</v>
      </c>
      <c r="D2398" t="s">
        <v>437</v>
      </c>
      <c r="E2398" s="217">
        <v>44256</v>
      </c>
      <c r="F2398">
        <v>4900.1210000000001</v>
      </c>
      <c r="G2398" s="227" t="s">
        <v>84</v>
      </c>
    </row>
    <row r="2399" spans="1:7">
      <c r="A2399" s="216">
        <v>44256</v>
      </c>
      <c r="B2399" t="s">
        <v>3</v>
      </c>
      <c r="C2399">
        <v>15</v>
      </c>
      <c r="D2399" t="s">
        <v>437</v>
      </c>
      <c r="E2399" s="217">
        <v>44256</v>
      </c>
      <c r="F2399">
        <v>5834.0990000000002</v>
      </c>
      <c r="G2399" s="227" t="s">
        <v>128</v>
      </c>
    </row>
    <row r="2400" spans="1:7">
      <c r="A2400" s="216">
        <v>44256</v>
      </c>
      <c r="B2400" t="s">
        <v>3</v>
      </c>
      <c r="C2400">
        <v>15</v>
      </c>
      <c r="D2400" t="s">
        <v>437</v>
      </c>
      <c r="E2400" s="217">
        <v>44256</v>
      </c>
      <c r="F2400">
        <v>5560.1629999999996</v>
      </c>
      <c r="G2400" s="227" t="s">
        <v>124</v>
      </c>
    </row>
    <row r="2401" spans="1:7">
      <c r="A2401" s="216">
        <v>44256</v>
      </c>
      <c r="B2401" t="s">
        <v>3</v>
      </c>
      <c r="C2401">
        <v>15</v>
      </c>
      <c r="D2401" t="s">
        <v>437</v>
      </c>
      <c r="E2401" s="217">
        <v>44256</v>
      </c>
      <c r="F2401">
        <v>5121.3779999999997</v>
      </c>
      <c r="G2401" s="227" t="s">
        <v>120</v>
      </c>
    </row>
    <row r="2402" spans="1:7">
      <c r="A2402" s="216">
        <v>44256</v>
      </c>
      <c r="B2402" t="s">
        <v>3</v>
      </c>
      <c r="C2402">
        <v>15</v>
      </c>
      <c r="D2402" t="s">
        <v>437</v>
      </c>
      <c r="E2402" s="217">
        <v>44256</v>
      </c>
      <c r="F2402">
        <v>5292.8379999999997</v>
      </c>
      <c r="G2402" s="227" t="s">
        <v>89</v>
      </c>
    </row>
    <row r="2403" spans="1:7">
      <c r="A2403" s="216">
        <v>44256</v>
      </c>
      <c r="B2403" t="s">
        <v>3</v>
      </c>
      <c r="C2403">
        <v>15</v>
      </c>
      <c r="D2403" t="s">
        <v>437</v>
      </c>
      <c r="E2403" s="217">
        <v>44256</v>
      </c>
      <c r="F2403">
        <v>5751.5209999999997</v>
      </c>
      <c r="G2403" s="227" t="s">
        <v>97</v>
      </c>
    </row>
    <row r="2404" spans="1:7">
      <c r="A2404" s="216">
        <v>44256</v>
      </c>
      <c r="B2404" t="s">
        <v>3</v>
      </c>
      <c r="C2404">
        <v>15</v>
      </c>
      <c r="D2404" t="s">
        <v>437</v>
      </c>
      <c r="E2404" s="217">
        <v>44256</v>
      </c>
      <c r="F2404">
        <v>5199.3460000000096</v>
      </c>
      <c r="G2404" s="227" t="s">
        <v>93</v>
      </c>
    </row>
    <row r="2405" spans="1:7">
      <c r="A2405" s="216">
        <v>44256</v>
      </c>
      <c r="B2405" t="s">
        <v>3</v>
      </c>
      <c r="C2405">
        <v>15</v>
      </c>
      <c r="D2405" t="s">
        <v>437</v>
      </c>
      <c r="E2405" s="217">
        <v>44256</v>
      </c>
      <c r="F2405">
        <v>7384.3050000000003</v>
      </c>
      <c r="G2405" s="227" t="s">
        <v>111</v>
      </c>
    </row>
    <row r="2406" spans="1:7">
      <c r="A2406" s="216">
        <v>44256</v>
      </c>
      <c r="B2406" t="s">
        <v>3</v>
      </c>
      <c r="C2406">
        <v>15</v>
      </c>
      <c r="D2406" t="s">
        <v>437</v>
      </c>
      <c r="E2406" s="217">
        <v>44256</v>
      </c>
      <c r="F2406">
        <v>63870.086000000003</v>
      </c>
      <c r="G2406" s="227" t="s">
        <v>434</v>
      </c>
    </row>
    <row r="2407" spans="1:7">
      <c r="A2407" s="216">
        <v>44256</v>
      </c>
      <c r="B2407" t="s">
        <v>49</v>
      </c>
      <c r="C2407">
        <v>7</v>
      </c>
      <c r="D2407" t="s">
        <v>442</v>
      </c>
      <c r="E2407" s="217">
        <v>44256</v>
      </c>
      <c r="F2407">
        <v>10361.721</v>
      </c>
      <c r="G2407" s="227" t="s">
        <v>79</v>
      </c>
    </row>
    <row r="2408" spans="1:7">
      <c r="A2408" s="216">
        <v>44256</v>
      </c>
      <c r="B2408" t="s">
        <v>49</v>
      </c>
      <c r="C2408">
        <v>7</v>
      </c>
      <c r="D2408" t="s">
        <v>442</v>
      </c>
      <c r="E2408" s="217">
        <v>44256</v>
      </c>
      <c r="F2408">
        <v>13537</v>
      </c>
      <c r="G2408" s="227" t="s">
        <v>115</v>
      </c>
    </row>
    <row r="2409" spans="1:7">
      <c r="A2409" s="216">
        <v>44256</v>
      </c>
      <c r="B2409" t="s">
        <v>49</v>
      </c>
      <c r="C2409">
        <v>7</v>
      </c>
      <c r="D2409" t="s">
        <v>442</v>
      </c>
      <c r="E2409" s="217">
        <v>44256</v>
      </c>
      <c r="F2409">
        <v>12455.279</v>
      </c>
      <c r="G2409" s="227" t="s">
        <v>106</v>
      </c>
    </row>
    <row r="2410" spans="1:7">
      <c r="A2410" s="216">
        <v>44256</v>
      </c>
      <c r="B2410" t="s">
        <v>49</v>
      </c>
      <c r="C2410">
        <v>7</v>
      </c>
      <c r="D2410" t="s">
        <v>442</v>
      </c>
      <c r="E2410" s="217">
        <v>44256</v>
      </c>
      <c r="F2410">
        <v>11906</v>
      </c>
      <c r="G2410" s="227" t="s">
        <v>101</v>
      </c>
    </row>
    <row r="2411" spans="1:7">
      <c r="A2411" s="216">
        <v>44256</v>
      </c>
      <c r="B2411" t="s">
        <v>49</v>
      </c>
      <c r="C2411">
        <v>7</v>
      </c>
      <c r="D2411" t="s">
        <v>442</v>
      </c>
      <c r="E2411" s="217">
        <v>44256</v>
      </c>
      <c r="F2411">
        <v>11567.01742</v>
      </c>
      <c r="G2411" s="227" t="s">
        <v>84</v>
      </c>
    </row>
    <row r="2412" spans="1:7">
      <c r="A2412" s="216">
        <v>44256</v>
      </c>
      <c r="B2412" t="s">
        <v>49</v>
      </c>
      <c r="C2412">
        <v>7</v>
      </c>
      <c r="D2412" t="s">
        <v>442</v>
      </c>
      <c r="E2412" s="217">
        <v>44256</v>
      </c>
      <c r="F2412">
        <v>14334.742840000001</v>
      </c>
      <c r="G2412" s="227" t="s">
        <v>128</v>
      </c>
    </row>
    <row r="2413" spans="1:7">
      <c r="A2413" s="216">
        <v>44256</v>
      </c>
      <c r="B2413" t="s">
        <v>49</v>
      </c>
      <c r="C2413">
        <v>7</v>
      </c>
      <c r="D2413" t="s">
        <v>442</v>
      </c>
      <c r="E2413" s="217">
        <v>44256</v>
      </c>
      <c r="F2413">
        <v>12617.884840000001</v>
      </c>
      <c r="G2413" s="227" t="s">
        <v>124</v>
      </c>
    </row>
    <row r="2414" spans="1:7">
      <c r="A2414" s="216">
        <v>44256</v>
      </c>
      <c r="B2414" t="s">
        <v>49</v>
      </c>
      <c r="C2414">
        <v>7</v>
      </c>
      <c r="D2414" t="s">
        <v>442</v>
      </c>
      <c r="E2414" s="217">
        <v>44256</v>
      </c>
      <c r="F2414">
        <v>12432.69593</v>
      </c>
      <c r="G2414" s="227" t="s">
        <v>120</v>
      </c>
    </row>
    <row r="2415" spans="1:7">
      <c r="A2415" s="216">
        <v>44256</v>
      </c>
      <c r="B2415" t="s">
        <v>49</v>
      </c>
      <c r="C2415">
        <v>7</v>
      </c>
      <c r="D2415" t="s">
        <v>442</v>
      </c>
      <c r="E2415" s="217">
        <v>44256</v>
      </c>
      <c r="F2415">
        <v>14105.27259</v>
      </c>
      <c r="G2415" s="227" t="s">
        <v>89</v>
      </c>
    </row>
    <row r="2416" spans="1:7">
      <c r="A2416" s="216">
        <v>44256</v>
      </c>
      <c r="B2416" t="s">
        <v>49</v>
      </c>
      <c r="C2416">
        <v>7</v>
      </c>
      <c r="D2416" t="s">
        <v>442</v>
      </c>
      <c r="E2416" s="217">
        <v>44256</v>
      </c>
      <c r="F2416">
        <v>14066.079589999999</v>
      </c>
      <c r="G2416" s="227" t="s">
        <v>97</v>
      </c>
    </row>
    <row r="2417" spans="1:7">
      <c r="A2417" s="216">
        <v>44256</v>
      </c>
      <c r="B2417" t="s">
        <v>49</v>
      </c>
      <c r="C2417">
        <v>7</v>
      </c>
      <c r="D2417" t="s">
        <v>442</v>
      </c>
      <c r="E2417" s="217">
        <v>44256</v>
      </c>
      <c r="F2417">
        <v>8427.4275899999993</v>
      </c>
      <c r="G2417" s="227" t="s">
        <v>93</v>
      </c>
    </row>
    <row r="2418" spans="1:7">
      <c r="A2418" s="216">
        <v>44256</v>
      </c>
      <c r="B2418" t="s">
        <v>49</v>
      </c>
      <c r="C2418">
        <v>7</v>
      </c>
      <c r="D2418" t="s">
        <v>442</v>
      </c>
      <c r="E2418" s="217">
        <v>44256</v>
      </c>
      <c r="F2418">
        <v>16675.827600000001</v>
      </c>
      <c r="G2418" s="227" t="s">
        <v>111</v>
      </c>
    </row>
    <row r="2419" spans="1:7">
      <c r="A2419" s="216">
        <v>44256</v>
      </c>
      <c r="B2419" t="s">
        <v>49</v>
      </c>
      <c r="C2419">
        <v>7</v>
      </c>
      <c r="D2419" t="s">
        <v>442</v>
      </c>
      <c r="E2419" s="217">
        <v>44256</v>
      </c>
      <c r="F2419">
        <v>152486.94839999999</v>
      </c>
      <c r="G2419" s="227" t="s">
        <v>434</v>
      </c>
    </row>
    <row r="2420" spans="1:7">
      <c r="A2420" s="216">
        <v>44256</v>
      </c>
      <c r="B2420" t="s">
        <v>49</v>
      </c>
      <c r="C2420">
        <v>8</v>
      </c>
      <c r="D2420" t="s">
        <v>451</v>
      </c>
      <c r="E2420" s="217">
        <v>44256</v>
      </c>
      <c r="F2420">
        <v>0</v>
      </c>
      <c r="G2420" s="227" t="s">
        <v>79</v>
      </c>
    </row>
    <row r="2421" spans="1:7">
      <c r="A2421" s="216">
        <v>44256</v>
      </c>
      <c r="B2421" t="s">
        <v>49</v>
      </c>
      <c r="C2421">
        <v>8</v>
      </c>
      <c r="D2421" t="s">
        <v>451</v>
      </c>
      <c r="E2421" s="217">
        <v>44256</v>
      </c>
      <c r="F2421">
        <v>0</v>
      </c>
      <c r="G2421" s="227" t="s">
        <v>115</v>
      </c>
    </row>
    <row r="2422" spans="1:7">
      <c r="A2422" s="216">
        <v>44256</v>
      </c>
      <c r="B2422" t="s">
        <v>49</v>
      </c>
      <c r="C2422">
        <v>8</v>
      </c>
      <c r="D2422" t="s">
        <v>451</v>
      </c>
      <c r="E2422" s="217">
        <v>44256</v>
      </c>
      <c r="F2422">
        <v>0</v>
      </c>
      <c r="G2422" s="227" t="s">
        <v>106</v>
      </c>
    </row>
    <row r="2423" spans="1:7">
      <c r="A2423" s="216">
        <v>44256</v>
      </c>
      <c r="B2423" t="s">
        <v>49</v>
      </c>
      <c r="C2423">
        <v>8</v>
      </c>
      <c r="D2423" t="s">
        <v>451</v>
      </c>
      <c r="E2423" s="217">
        <v>44256</v>
      </c>
      <c r="F2423">
        <v>0</v>
      </c>
      <c r="G2423" s="227" t="s">
        <v>101</v>
      </c>
    </row>
    <row r="2424" spans="1:7">
      <c r="A2424" s="216">
        <v>44256</v>
      </c>
      <c r="B2424" t="s">
        <v>49</v>
      </c>
      <c r="C2424">
        <v>8</v>
      </c>
      <c r="D2424" t="s">
        <v>451</v>
      </c>
      <c r="E2424" s="217">
        <v>44256</v>
      </c>
      <c r="F2424">
        <v>0</v>
      </c>
      <c r="G2424" s="227" t="s">
        <v>84</v>
      </c>
    </row>
    <row r="2425" spans="1:7">
      <c r="A2425" s="216">
        <v>44256</v>
      </c>
      <c r="B2425" t="s">
        <v>49</v>
      </c>
      <c r="C2425">
        <v>8</v>
      </c>
      <c r="D2425" t="s">
        <v>451</v>
      </c>
      <c r="E2425" s="217">
        <v>44256</v>
      </c>
      <c r="F2425">
        <v>0</v>
      </c>
      <c r="G2425" s="227" t="s">
        <v>128</v>
      </c>
    </row>
    <row r="2426" spans="1:7">
      <c r="A2426" s="216">
        <v>44256</v>
      </c>
      <c r="B2426" t="s">
        <v>49</v>
      </c>
      <c r="C2426">
        <v>8</v>
      </c>
      <c r="D2426" t="s">
        <v>451</v>
      </c>
      <c r="E2426" s="217">
        <v>44256</v>
      </c>
      <c r="F2426">
        <v>0</v>
      </c>
      <c r="G2426" s="227" t="s">
        <v>124</v>
      </c>
    </row>
    <row r="2427" spans="1:7">
      <c r="A2427" s="216">
        <v>44256</v>
      </c>
      <c r="B2427" t="s">
        <v>49</v>
      </c>
      <c r="C2427">
        <v>8</v>
      </c>
      <c r="D2427" t="s">
        <v>451</v>
      </c>
      <c r="E2427" s="217">
        <v>44256</v>
      </c>
      <c r="F2427">
        <v>0</v>
      </c>
      <c r="G2427" s="227" t="s">
        <v>120</v>
      </c>
    </row>
    <row r="2428" spans="1:7">
      <c r="A2428" s="216">
        <v>44256</v>
      </c>
      <c r="B2428" t="s">
        <v>49</v>
      </c>
      <c r="C2428">
        <v>8</v>
      </c>
      <c r="D2428" t="s">
        <v>451</v>
      </c>
      <c r="E2428" s="217">
        <v>44256</v>
      </c>
      <c r="F2428">
        <v>0</v>
      </c>
      <c r="G2428" s="227" t="s">
        <v>89</v>
      </c>
    </row>
    <row r="2429" spans="1:7">
      <c r="A2429" s="216">
        <v>44256</v>
      </c>
      <c r="B2429" t="s">
        <v>49</v>
      </c>
      <c r="C2429">
        <v>8</v>
      </c>
      <c r="D2429" t="s">
        <v>451</v>
      </c>
      <c r="E2429" s="217">
        <v>44256</v>
      </c>
      <c r="F2429">
        <v>0</v>
      </c>
      <c r="G2429" s="227" t="s">
        <v>97</v>
      </c>
    </row>
    <row r="2430" spans="1:7">
      <c r="A2430" s="216">
        <v>44256</v>
      </c>
      <c r="B2430" t="s">
        <v>49</v>
      </c>
      <c r="C2430">
        <v>8</v>
      </c>
      <c r="D2430" t="s">
        <v>451</v>
      </c>
      <c r="E2430" s="217">
        <v>44256</v>
      </c>
      <c r="F2430">
        <v>0</v>
      </c>
      <c r="G2430" s="227" t="s">
        <v>93</v>
      </c>
    </row>
    <row r="2431" spans="1:7">
      <c r="A2431" s="216">
        <v>44256</v>
      </c>
      <c r="B2431" t="s">
        <v>49</v>
      </c>
      <c r="C2431">
        <v>8</v>
      </c>
      <c r="D2431" t="s">
        <v>451</v>
      </c>
      <c r="E2431" s="217">
        <v>44256</v>
      </c>
      <c r="F2431">
        <v>0</v>
      </c>
      <c r="G2431" s="227" t="s">
        <v>111</v>
      </c>
    </row>
    <row r="2432" spans="1:7">
      <c r="A2432" s="216">
        <v>44256</v>
      </c>
      <c r="B2432" t="s">
        <v>49</v>
      </c>
      <c r="C2432">
        <v>8</v>
      </c>
      <c r="D2432" t="s">
        <v>451</v>
      </c>
      <c r="E2432" s="217">
        <v>44256</v>
      </c>
      <c r="F2432">
        <v>0</v>
      </c>
      <c r="G2432" s="227" t="s">
        <v>434</v>
      </c>
    </row>
    <row r="2433" spans="1:7">
      <c r="A2433" s="216">
        <v>44256</v>
      </c>
      <c r="B2433" t="s">
        <v>49</v>
      </c>
      <c r="C2433">
        <v>9</v>
      </c>
      <c r="D2433" t="s">
        <v>450</v>
      </c>
      <c r="E2433" s="217">
        <v>44256</v>
      </c>
      <c r="F2433">
        <v>0</v>
      </c>
      <c r="G2433" s="227" t="s">
        <v>79</v>
      </c>
    </row>
    <row r="2434" spans="1:7">
      <c r="A2434" s="216">
        <v>44256</v>
      </c>
      <c r="B2434" t="s">
        <v>49</v>
      </c>
      <c r="C2434">
        <v>9</v>
      </c>
      <c r="D2434" t="s">
        <v>450</v>
      </c>
      <c r="E2434" s="217">
        <v>44256</v>
      </c>
      <c r="F2434">
        <v>0</v>
      </c>
      <c r="G2434" s="227" t="s">
        <v>115</v>
      </c>
    </row>
    <row r="2435" spans="1:7">
      <c r="A2435" s="216">
        <v>44256</v>
      </c>
      <c r="B2435" t="s">
        <v>49</v>
      </c>
      <c r="C2435">
        <v>9</v>
      </c>
      <c r="D2435" t="s">
        <v>450</v>
      </c>
      <c r="E2435" s="217">
        <v>44256</v>
      </c>
      <c r="F2435">
        <v>0</v>
      </c>
      <c r="G2435" s="227" t="s">
        <v>106</v>
      </c>
    </row>
    <row r="2436" spans="1:7">
      <c r="A2436" s="216">
        <v>44256</v>
      </c>
      <c r="B2436" t="s">
        <v>49</v>
      </c>
      <c r="C2436">
        <v>9</v>
      </c>
      <c r="D2436" t="s">
        <v>450</v>
      </c>
      <c r="E2436" s="217">
        <v>44256</v>
      </c>
      <c r="F2436">
        <v>0</v>
      </c>
      <c r="G2436" s="227" t="s">
        <v>101</v>
      </c>
    </row>
    <row r="2437" spans="1:7">
      <c r="A2437" s="216">
        <v>44256</v>
      </c>
      <c r="B2437" t="s">
        <v>49</v>
      </c>
      <c r="C2437">
        <v>9</v>
      </c>
      <c r="D2437" t="s">
        <v>450</v>
      </c>
      <c r="E2437" s="217">
        <v>44256</v>
      </c>
      <c r="F2437">
        <v>0</v>
      </c>
      <c r="G2437" s="227" t="s">
        <v>84</v>
      </c>
    </row>
    <row r="2438" spans="1:7">
      <c r="A2438" s="216">
        <v>44256</v>
      </c>
      <c r="B2438" t="s">
        <v>49</v>
      </c>
      <c r="C2438">
        <v>9</v>
      </c>
      <c r="D2438" t="s">
        <v>450</v>
      </c>
      <c r="E2438" s="217">
        <v>44256</v>
      </c>
      <c r="F2438">
        <v>0</v>
      </c>
      <c r="G2438" s="227" t="s">
        <v>128</v>
      </c>
    </row>
    <row r="2439" spans="1:7">
      <c r="A2439" s="216">
        <v>44256</v>
      </c>
      <c r="B2439" t="s">
        <v>49</v>
      </c>
      <c r="C2439">
        <v>9</v>
      </c>
      <c r="D2439" t="s">
        <v>450</v>
      </c>
      <c r="E2439" s="217">
        <v>44256</v>
      </c>
      <c r="F2439">
        <v>0</v>
      </c>
      <c r="G2439" s="227" t="s">
        <v>124</v>
      </c>
    </row>
    <row r="2440" spans="1:7">
      <c r="A2440" s="216">
        <v>44256</v>
      </c>
      <c r="B2440" t="s">
        <v>49</v>
      </c>
      <c r="C2440">
        <v>9</v>
      </c>
      <c r="D2440" t="s">
        <v>450</v>
      </c>
      <c r="E2440" s="217">
        <v>44256</v>
      </c>
      <c r="F2440">
        <v>0</v>
      </c>
      <c r="G2440" s="227" t="s">
        <v>120</v>
      </c>
    </row>
    <row r="2441" spans="1:7">
      <c r="A2441" s="216">
        <v>44256</v>
      </c>
      <c r="B2441" t="s">
        <v>49</v>
      </c>
      <c r="C2441">
        <v>9</v>
      </c>
      <c r="D2441" t="s">
        <v>450</v>
      </c>
      <c r="E2441" s="217">
        <v>44256</v>
      </c>
      <c r="F2441">
        <v>0</v>
      </c>
      <c r="G2441" s="227" t="s">
        <v>89</v>
      </c>
    </row>
    <row r="2442" spans="1:7">
      <c r="A2442" s="216">
        <v>44256</v>
      </c>
      <c r="B2442" t="s">
        <v>49</v>
      </c>
      <c r="C2442">
        <v>9</v>
      </c>
      <c r="D2442" t="s">
        <v>450</v>
      </c>
      <c r="E2442" s="217">
        <v>44256</v>
      </c>
      <c r="F2442">
        <v>0</v>
      </c>
      <c r="G2442" s="227" t="s">
        <v>97</v>
      </c>
    </row>
    <row r="2443" spans="1:7">
      <c r="A2443" s="216">
        <v>44256</v>
      </c>
      <c r="B2443" t="s">
        <v>49</v>
      </c>
      <c r="C2443">
        <v>9</v>
      </c>
      <c r="D2443" t="s">
        <v>450</v>
      </c>
      <c r="E2443" s="217">
        <v>44256</v>
      </c>
      <c r="F2443">
        <v>0</v>
      </c>
      <c r="G2443" s="227" t="s">
        <v>93</v>
      </c>
    </row>
    <row r="2444" spans="1:7">
      <c r="A2444" s="216">
        <v>44256</v>
      </c>
      <c r="B2444" t="s">
        <v>49</v>
      </c>
      <c r="C2444">
        <v>9</v>
      </c>
      <c r="D2444" t="s">
        <v>450</v>
      </c>
      <c r="E2444" s="217">
        <v>44256</v>
      </c>
      <c r="F2444">
        <v>0</v>
      </c>
      <c r="G2444" s="227" t="s">
        <v>111</v>
      </c>
    </row>
    <row r="2445" spans="1:7">
      <c r="A2445" s="216">
        <v>44256</v>
      </c>
      <c r="B2445" t="s">
        <v>49</v>
      </c>
      <c r="C2445">
        <v>9</v>
      </c>
      <c r="D2445" t="s">
        <v>450</v>
      </c>
      <c r="E2445" s="217">
        <v>44256</v>
      </c>
      <c r="F2445">
        <v>0</v>
      </c>
      <c r="G2445" s="227" t="s">
        <v>434</v>
      </c>
    </row>
    <row r="2446" spans="1:7">
      <c r="A2446" s="216">
        <v>44256</v>
      </c>
      <c r="B2446" t="s">
        <v>49</v>
      </c>
      <c r="C2446">
        <v>10</v>
      </c>
      <c r="D2446" t="s">
        <v>433</v>
      </c>
      <c r="E2446" s="217">
        <v>44256</v>
      </c>
      <c r="F2446">
        <v>5267</v>
      </c>
      <c r="G2446" s="227" t="s">
        <v>79</v>
      </c>
    </row>
    <row r="2447" spans="1:7">
      <c r="A2447" s="216">
        <v>44256</v>
      </c>
      <c r="B2447" t="s">
        <v>49</v>
      </c>
      <c r="C2447">
        <v>10</v>
      </c>
      <c r="D2447" t="s">
        <v>433</v>
      </c>
      <c r="E2447" s="217">
        <v>44256</v>
      </c>
      <c r="F2447">
        <v>5343</v>
      </c>
      <c r="G2447" s="227" t="s">
        <v>115</v>
      </c>
    </row>
    <row r="2448" spans="1:7">
      <c r="A2448" s="216">
        <v>44256</v>
      </c>
      <c r="B2448" t="s">
        <v>49</v>
      </c>
      <c r="C2448">
        <v>10</v>
      </c>
      <c r="D2448" t="s">
        <v>433</v>
      </c>
      <c r="E2448" s="217">
        <v>44256</v>
      </c>
      <c r="F2448">
        <v>5372.9790000000003</v>
      </c>
      <c r="G2448" s="227" t="s">
        <v>106</v>
      </c>
    </row>
    <row r="2449" spans="1:7">
      <c r="A2449" s="216">
        <v>44256</v>
      </c>
      <c r="B2449" t="s">
        <v>49</v>
      </c>
      <c r="C2449">
        <v>10</v>
      </c>
      <c r="D2449" t="s">
        <v>433</v>
      </c>
      <c r="E2449" s="217">
        <v>44256</v>
      </c>
      <c r="F2449">
        <v>5522.7439999999997</v>
      </c>
      <c r="G2449" s="227" t="s">
        <v>101</v>
      </c>
    </row>
    <row r="2450" spans="1:7">
      <c r="A2450" s="216">
        <v>44256</v>
      </c>
      <c r="B2450" t="s">
        <v>49</v>
      </c>
      <c r="C2450">
        <v>10</v>
      </c>
      <c r="D2450" t="s">
        <v>433</v>
      </c>
      <c r="E2450" s="217">
        <v>44256</v>
      </c>
      <c r="F2450">
        <v>5591</v>
      </c>
      <c r="G2450" s="227" t="s">
        <v>84</v>
      </c>
    </row>
    <row r="2451" spans="1:7">
      <c r="A2451" s="216">
        <v>44256</v>
      </c>
      <c r="B2451" t="s">
        <v>49</v>
      </c>
      <c r="C2451">
        <v>10</v>
      </c>
      <c r="D2451" t="s">
        <v>433</v>
      </c>
      <c r="E2451" s="217">
        <v>44256</v>
      </c>
      <c r="F2451">
        <v>5491.7564000000002</v>
      </c>
      <c r="G2451" s="227" t="s">
        <v>128</v>
      </c>
    </row>
    <row r="2452" spans="1:7">
      <c r="A2452" s="216">
        <v>44256</v>
      </c>
      <c r="B2452" t="s">
        <v>49</v>
      </c>
      <c r="C2452">
        <v>10</v>
      </c>
      <c r="D2452" t="s">
        <v>433</v>
      </c>
      <c r="E2452" s="217">
        <v>44256</v>
      </c>
      <c r="F2452">
        <v>5728</v>
      </c>
      <c r="G2452" s="227" t="s">
        <v>124</v>
      </c>
    </row>
    <row r="2453" spans="1:7">
      <c r="A2453" s="216">
        <v>44256</v>
      </c>
      <c r="B2453" t="s">
        <v>49</v>
      </c>
      <c r="C2453">
        <v>10</v>
      </c>
      <c r="D2453" t="s">
        <v>433</v>
      </c>
      <c r="E2453" s="217">
        <v>44256</v>
      </c>
      <c r="F2453">
        <v>5411.1109999999999</v>
      </c>
      <c r="G2453" s="227" t="s">
        <v>120</v>
      </c>
    </row>
    <row r="2454" spans="1:7">
      <c r="A2454" s="216">
        <v>44256</v>
      </c>
      <c r="B2454" t="s">
        <v>49</v>
      </c>
      <c r="C2454">
        <v>10</v>
      </c>
      <c r="D2454" t="s">
        <v>433</v>
      </c>
      <c r="E2454" s="217">
        <v>44256</v>
      </c>
      <c r="F2454">
        <v>5471.3860000000004</v>
      </c>
      <c r="G2454" s="227" t="s">
        <v>89</v>
      </c>
    </row>
    <row r="2455" spans="1:7">
      <c r="A2455" s="216">
        <v>44256</v>
      </c>
      <c r="B2455" t="s">
        <v>49</v>
      </c>
      <c r="C2455">
        <v>10</v>
      </c>
      <c r="D2455" t="s">
        <v>433</v>
      </c>
      <c r="E2455" s="217">
        <v>44256</v>
      </c>
      <c r="F2455">
        <v>5665.0375000000004</v>
      </c>
      <c r="G2455" s="227" t="s">
        <v>97</v>
      </c>
    </row>
    <row r="2456" spans="1:7">
      <c r="A2456" s="216">
        <v>44256</v>
      </c>
      <c r="B2456" t="s">
        <v>49</v>
      </c>
      <c r="C2456">
        <v>10</v>
      </c>
      <c r="D2456" t="s">
        <v>433</v>
      </c>
      <c r="E2456" s="217">
        <v>44256</v>
      </c>
      <c r="F2456">
        <v>5526.5545199999997</v>
      </c>
      <c r="G2456" s="227" t="s">
        <v>93</v>
      </c>
    </row>
    <row r="2457" spans="1:7">
      <c r="A2457" s="216">
        <v>44256</v>
      </c>
      <c r="B2457" t="s">
        <v>49</v>
      </c>
      <c r="C2457">
        <v>10</v>
      </c>
      <c r="D2457" t="s">
        <v>433</v>
      </c>
      <c r="E2457" s="217">
        <v>44256</v>
      </c>
      <c r="F2457">
        <v>10901</v>
      </c>
      <c r="G2457" s="227" t="s">
        <v>111</v>
      </c>
    </row>
    <row r="2458" spans="1:7">
      <c r="A2458" s="216">
        <v>44256</v>
      </c>
      <c r="B2458" t="s">
        <v>49</v>
      </c>
      <c r="C2458">
        <v>10</v>
      </c>
      <c r="D2458" t="s">
        <v>433</v>
      </c>
      <c r="E2458" s="217">
        <v>44256</v>
      </c>
      <c r="F2458">
        <v>71291.568419999996</v>
      </c>
      <c r="G2458" s="227" t="s">
        <v>434</v>
      </c>
    </row>
    <row r="2459" spans="1:7">
      <c r="A2459" s="216">
        <v>44256</v>
      </c>
      <c r="B2459" t="s">
        <v>49</v>
      </c>
      <c r="C2459">
        <v>11</v>
      </c>
      <c r="D2459" t="s">
        <v>445</v>
      </c>
      <c r="E2459" s="217">
        <v>44256</v>
      </c>
      <c r="F2459">
        <v>2300</v>
      </c>
      <c r="G2459" s="227" t="s">
        <v>79</v>
      </c>
    </row>
    <row r="2460" spans="1:7">
      <c r="A2460" s="216">
        <v>44256</v>
      </c>
      <c r="B2460" t="s">
        <v>49</v>
      </c>
      <c r="C2460">
        <v>11</v>
      </c>
      <c r="D2460" t="s">
        <v>445</v>
      </c>
      <c r="E2460" s="217">
        <v>44256</v>
      </c>
      <c r="F2460">
        <v>4248</v>
      </c>
      <c r="G2460" s="227" t="s">
        <v>115</v>
      </c>
    </row>
    <row r="2461" spans="1:7">
      <c r="A2461" s="216">
        <v>44256</v>
      </c>
      <c r="B2461" t="s">
        <v>49</v>
      </c>
      <c r="C2461">
        <v>11</v>
      </c>
      <c r="D2461" t="s">
        <v>445</v>
      </c>
      <c r="E2461" s="217">
        <v>44256</v>
      </c>
      <c r="F2461">
        <v>3079.6</v>
      </c>
      <c r="G2461" s="227" t="s">
        <v>106</v>
      </c>
    </row>
    <row r="2462" spans="1:7">
      <c r="A2462" s="216">
        <v>44256</v>
      </c>
      <c r="B2462" t="s">
        <v>49</v>
      </c>
      <c r="C2462">
        <v>11</v>
      </c>
      <c r="D2462" t="s">
        <v>445</v>
      </c>
      <c r="E2462" s="217">
        <v>44256</v>
      </c>
      <c r="F2462">
        <v>2664.2</v>
      </c>
      <c r="G2462" s="227" t="s">
        <v>101</v>
      </c>
    </row>
    <row r="2463" spans="1:7">
      <c r="A2463" s="216">
        <v>44256</v>
      </c>
      <c r="B2463" t="s">
        <v>49</v>
      </c>
      <c r="C2463">
        <v>11</v>
      </c>
      <c r="D2463" t="s">
        <v>445</v>
      </c>
      <c r="E2463" s="217">
        <v>44256</v>
      </c>
      <c r="F2463">
        <v>2705.2</v>
      </c>
      <c r="G2463" s="227" t="s">
        <v>84</v>
      </c>
    </row>
    <row r="2464" spans="1:7">
      <c r="A2464" s="216">
        <v>44256</v>
      </c>
      <c r="B2464" t="s">
        <v>49</v>
      </c>
      <c r="C2464">
        <v>11</v>
      </c>
      <c r="D2464" t="s">
        <v>445</v>
      </c>
      <c r="E2464" s="217">
        <v>44256</v>
      </c>
      <c r="F2464">
        <v>3947.1091099999899</v>
      </c>
      <c r="G2464" s="227" t="s">
        <v>128</v>
      </c>
    </row>
    <row r="2465" spans="1:7">
      <c r="A2465" s="216">
        <v>44256</v>
      </c>
      <c r="B2465" t="s">
        <v>49</v>
      </c>
      <c r="C2465">
        <v>11</v>
      </c>
      <c r="D2465" t="s">
        <v>445</v>
      </c>
      <c r="E2465" s="217">
        <v>44256</v>
      </c>
      <c r="F2465">
        <v>3166.6</v>
      </c>
      <c r="G2465" s="227" t="s">
        <v>124</v>
      </c>
    </row>
    <row r="2466" spans="1:7">
      <c r="A2466" s="216">
        <v>44256</v>
      </c>
      <c r="B2466" t="s">
        <v>49</v>
      </c>
      <c r="C2466">
        <v>11</v>
      </c>
      <c r="D2466" t="s">
        <v>445</v>
      </c>
      <c r="E2466" s="217">
        <v>44256</v>
      </c>
      <c r="F2466">
        <v>3215.6</v>
      </c>
      <c r="G2466" s="227" t="s">
        <v>120</v>
      </c>
    </row>
    <row r="2467" spans="1:7">
      <c r="A2467" s="216">
        <v>44256</v>
      </c>
      <c r="B2467" t="s">
        <v>49</v>
      </c>
      <c r="C2467">
        <v>11</v>
      </c>
      <c r="D2467" t="s">
        <v>445</v>
      </c>
      <c r="E2467" s="217">
        <v>44256</v>
      </c>
      <c r="F2467">
        <v>4817.6000000000004</v>
      </c>
      <c r="G2467" s="227" t="s">
        <v>89</v>
      </c>
    </row>
    <row r="2468" spans="1:7">
      <c r="A2468" s="216">
        <v>44256</v>
      </c>
      <c r="B2468" t="s">
        <v>49</v>
      </c>
      <c r="C2468">
        <v>11</v>
      </c>
      <c r="D2468" t="s">
        <v>445</v>
      </c>
      <c r="E2468" s="217">
        <v>44256</v>
      </c>
      <c r="F2468">
        <v>3489.7</v>
      </c>
      <c r="G2468" s="227" t="s">
        <v>97</v>
      </c>
    </row>
    <row r="2469" spans="1:7">
      <c r="A2469" s="216">
        <v>44256</v>
      </c>
      <c r="B2469" t="s">
        <v>49</v>
      </c>
      <c r="C2469">
        <v>11</v>
      </c>
      <c r="D2469" t="s">
        <v>445</v>
      </c>
      <c r="E2469" s="217">
        <v>44256</v>
      </c>
      <c r="F2469">
        <v>3189</v>
      </c>
      <c r="G2469" s="227" t="s">
        <v>93</v>
      </c>
    </row>
    <row r="2470" spans="1:7">
      <c r="A2470" s="216">
        <v>44256</v>
      </c>
      <c r="B2470" t="s">
        <v>49</v>
      </c>
      <c r="C2470">
        <v>11</v>
      </c>
      <c r="D2470" t="s">
        <v>445</v>
      </c>
      <c r="E2470" s="217">
        <v>44256</v>
      </c>
      <c r="F2470">
        <v>1268</v>
      </c>
      <c r="G2470" s="227" t="s">
        <v>111</v>
      </c>
    </row>
    <row r="2471" spans="1:7">
      <c r="A2471" s="216">
        <v>44256</v>
      </c>
      <c r="B2471" t="s">
        <v>49</v>
      </c>
      <c r="C2471">
        <v>11</v>
      </c>
      <c r="D2471" t="s">
        <v>445</v>
      </c>
      <c r="E2471" s="217">
        <v>44256</v>
      </c>
      <c r="F2471">
        <v>38090.609109999998</v>
      </c>
      <c r="G2471" s="227" t="s">
        <v>434</v>
      </c>
    </row>
    <row r="2472" spans="1:7">
      <c r="A2472" s="216">
        <v>44256</v>
      </c>
      <c r="B2472" t="s">
        <v>49</v>
      </c>
      <c r="C2472">
        <v>12</v>
      </c>
      <c r="D2472" t="s">
        <v>454</v>
      </c>
      <c r="E2472" s="217">
        <v>44256</v>
      </c>
      <c r="F2472">
        <v>2255</v>
      </c>
      <c r="G2472" s="227" t="s">
        <v>79</v>
      </c>
    </row>
    <row r="2473" spans="1:7">
      <c r="A2473" s="216">
        <v>44256</v>
      </c>
      <c r="B2473" t="s">
        <v>49</v>
      </c>
      <c r="C2473">
        <v>12</v>
      </c>
      <c r="D2473" t="s">
        <v>454</v>
      </c>
      <c r="E2473" s="217">
        <v>44256</v>
      </c>
      <c r="F2473">
        <v>3411</v>
      </c>
      <c r="G2473" s="227" t="s">
        <v>115</v>
      </c>
    </row>
    <row r="2474" spans="1:7">
      <c r="A2474" s="216">
        <v>44256</v>
      </c>
      <c r="B2474" t="s">
        <v>49</v>
      </c>
      <c r="C2474">
        <v>12</v>
      </c>
      <c r="D2474" t="s">
        <v>454</v>
      </c>
      <c r="E2474" s="217">
        <v>44256</v>
      </c>
      <c r="F2474">
        <v>3482</v>
      </c>
      <c r="G2474" s="227" t="s">
        <v>106</v>
      </c>
    </row>
    <row r="2475" spans="1:7">
      <c r="A2475" s="216">
        <v>44256</v>
      </c>
      <c r="B2475" t="s">
        <v>49</v>
      </c>
      <c r="C2475">
        <v>12</v>
      </c>
      <c r="D2475" t="s">
        <v>454</v>
      </c>
      <c r="E2475" s="217">
        <v>44256</v>
      </c>
      <c r="F2475">
        <v>3193</v>
      </c>
      <c r="G2475" s="227" t="s">
        <v>101</v>
      </c>
    </row>
    <row r="2476" spans="1:7">
      <c r="A2476" s="216">
        <v>44256</v>
      </c>
      <c r="B2476" t="s">
        <v>49</v>
      </c>
      <c r="C2476">
        <v>12</v>
      </c>
      <c r="D2476" t="s">
        <v>454</v>
      </c>
      <c r="E2476" s="217">
        <v>44256</v>
      </c>
      <c r="F2476">
        <v>2757</v>
      </c>
      <c r="G2476" s="227" t="s">
        <v>84</v>
      </c>
    </row>
    <row r="2477" spans="1:7">
      <c r="A2477" s="216">
        <v>44256</v>
      </c>
      <c r="B2477" t="s">
        <v>49</v>
      </c>
      <c r="C2477">
        <v>12</v>
      </c>
      <c r="D2477" t="s">
        <v>454</v>
      </c>
      <c r="E2477" s="217">
        <v>44256</v>
      </c>
      <c r="F2477">
        <v>4337</v>
      </c>
      <c r="G2477" s="227" t="s">
        <v>128</v>
      </c>
    </row>
    <row r="2478" spans="1:7">
      <c r="A2478" s="216">
        <v>44256</v>
      </c>
      <c r="B2478" t="s">
        <v>49</v>
      </c>
      <c r="C2478">
        <v>12</v>
      </c>
      <c r="D2478" t="s">
        <v>454</v>
      </c>
      <c r="E2478" s="217">
        <v>44256</v>
      </c>
      <c r="F2478">
        <v>3212</v>
      </c>
      <c r="G2478" s="227" t="s">
        <v>124</v>
      </c>
    </row>
    <row r="2479" spans="1:7">
      <c r="A2479" s="216">
        <v>44256</v>
      </c>
      <c r="B2479" t="s">
        <v>49</v>
      </c>
      <c r="C2479">
        <v>12</v>
      </c>
      <c r="D2479" t="s">
        <v>454</v>
      </c>
      <c r="E2479" s="217">
        <v>44256</v>
      </c>
      <c r="F2479">
        <v>3259</v>
      </c>
      <c r="G2479" s="227" t="s">
        <v>120</v>
      </c>
    </row>
    <row r="2480" spans="1:7">
      <c r="A2480" s="216">
        <v>44256</v>
      </c>
      <c r="B2480" t="s">
        <v>49</v>
      </c>
      <c r="C2480">
        <v>12</v>
      </c>
      <c r="D2480" t="s">
        <v>454</v>
      </c>
      <c r="E2480" s="217">
        <v>44256</v>
      </c>
      <c r="F2480">
        <v>3300</v>
      </c>
      <c r="G2480" s="227" t="s">
        <v>89</v>
      </c>
    </row>
    <row r="2481" spans="1:7">
      <c r="A2481" s="216">
        <v>44256</v>
      </c>
      <c r="B2481" t="s">
        <v>49</v>
      </c>
      <c r="C2481">
        <v>12</v>
      </c>
      <c r="D2481" t="s">
        <v>454</v>
      </c>
      <c r="E2481" s="217">
        <v>44256</v>
      </c>
      <c r="F2481">
        <v>4388</v>
      </c>
      <c r="G2481" s="227" t="s">
        <v>97</v>
      </c>
    </row>
    <row r="2482" spans="1:7">
      <c r="A2482" s="216">
        <v>44256</v>
      </c>
      <c r="B2482" t="s">
        <v>49</v>
      </c>
      <c r="C2482">
        <v>12</v>
      </c>
      <c r="D2482" t="s">
        <v>454</v>
      </c>
      <c r="E2482" s="217">
        <v>44256</v>
      </c>
      <c r="F2482">
        <v>-811</v>
      </c>
      <c r="G2482" s="227" t="s">
        <v>93</v>
      </c>
    </row>
    <row r="2483" spans="1:7">
      <c r="A2483" s="216">
        <v>44256</v>
      </c>
      <c r="B2483" t="s">
        <v>49</v>
      </c>
      <c r="C2483">
        <v>12</v>
      </c>
      <c r="D2483" t="s">
        <v>454</v>
      </c>
      <c r="E2483" s="217">
        <v>44256</v>
      </c>
      <c r="F2483">
        <v>4003</v>
      </c>
      <c r="G2483" s="227" t="s">
        <v>111</v>
      </c>
    </row>
    <row r="2484" spans="1:7">
      <c r="A2484" s="216">
        <v>44256</v>
      </c>
      <c r="B2484" t="s">
        <v>49</v>
      </c>
      <c r="C2484">
        <v>12</v>
      </c>
      <c r="D2484" t="s">
        <v>454</v>
      </c>
      <c r="E2484" s="217">
        <v>44256</v>
      </c>
      <c r="F2484">
        <v>36786</v>
      </c>
      <c r="G2484" s="227" t="s">
        <v>434</v>
      </c>
    </row>
    <row r="2485" spans="1:7">
      <c r="A2485" s="216">
        <v>44256</v>
      </c>
      <c r="B2485" t="s">
        <v>49</v>
      </c>
      <c r="C2485">
        <v>13</v>
      </c>
      <c r="D2485" t="s">
        <v>441</v>
      </c>
      <c r="E2485" s="217">
        <v>44256</v>
      </c>
      <c r="F2485">
        <v>0</v>
      </c>
      <c r="G2485" s="227" t="s">
        <v>79</v>
      </c>
    </row>
    <row r="2486" spans="1:7">
      <c r="A2486" s="216">
        <v>44256</v>
      </c>
      <c r="B2486" t="s">
        <v>49</v>
      </c>
      <c r="C2486">
        <v>13</v>
      </c>
      <c r="D2486" t="s">
        <v>441</v>
      </c>
      <c r="E2486" s="217">
        <v>44256</v>
      </c>
      <c r="F2486">
        <v>0</v>
      </c>
      <c r="G2486" s="227" t="s">
        <v>115</v>
      </c>
    </row>
    <row r="2487" spans="1:7">
      <c r="A2487" s="216">
        <v>44256</v>
      </c>
      <c r="B2487" t="s">
        <v>49</v>
      </c>
      <c r="C2487">
        <v>13</v>
      </c>
      <c r="D2487" t="s">
        <v>441</v>
      </c>
      <c r="E2487" s="217">
        <v>44256</v>
      </c>
      <c r="F2487">
        <v>0</v>
      </c>
      <c r="G2487" s="227" t="s">
        <v>106</v>
      </c>
    </row>
    <row r="2488" spans="1:7">
      <c r="A2488" s="216">
        <v>44256</v>
      </c>
      <c r="B2488" t="s">
        <v>49</v>
      </c>
      <c r="C2488">
        <v>13</v>
      </c>
      <c r="D2488" t="s">
        <v>441</v>
      </c>
      <c r="E2488" s="217">
        <v>44256</v>
      </c>
      <c r="F2488">
        <v>0</v>
      </c>
      <c r="G2488" s="227" t="s">
        <v>101</v>
      </c>
    </row>
    <row r="2489" spans="1:7">
      <c r="A2489" s="216">
        <v>44256</v>
      </c>
      <c r="B2489" t="s">
        <v>49</v>
      </c>
      <c r="C2489">
        <v>13</v>
      </c>
      <c r="D2489" t="s">
        <v>441</v>
      </c>
      <c r="E2489" s="217">
        <v>44256</v>
      </c>
      <c r="F2489">
        <v>0</v>
      </c>
      <c r="G2489" s="227" t="s">
        <v>84</v>
      </c>
    </row>
    <row r="2490" spans="1:7">
      <c r="A2490" s="216">
        <v>44256</v>
      </c>
      <c r="B2490" t="s">
        <v>49</v>
      </c>
      <c r="C2490">
        <v>13</v>
      </c>
      <c r="D2490" t="s">
        <v>441</v>
      </c>
      <c r="E2490" s="217">
        <v>44256</v>
      </c>
      <c r="F2490">
        <v>0</v>
      </c>
      <c r="G2490" s="227" t="s">
        <v>128</v>
      </c>
    </row>
    <row r="2491" spans="1:7">
      <c r="A2491" s="216">
        <v>44256</v>
      </c>
      <c r="B2491" t="s">
        <v>49</v>
      </c>
      <c r="C2491">
        <v>13</v>
      </c>
      <c r="D2491" t="s">
        <v>441</v>
      </c>
      <c r="E2491" s="217">
        <v>44256</v>
      </c>
      <c r="F2491">
        <v>0</v>
      </c>
      <c r="G2491" s="227" t="s">
        <v>124</v>
      </c>
    </row>
    <row r="2492" spans="1:7">
      <c r="A2492" s="216">
        <v>44256</v>
      </c>
      <c r="B2492" t="s">
        <v>49</v>
      </c>
      <c r="C2492">
        <v>13</v>
      </c>
      <c r="D2492" t="s">
        <v>441</v>
      </c>
      <c r="E2492" s="217">
        <v>44256</v>
      </c>
      <c r="F2492">
        <v>0</v>
      </c>
      <c r="G2492" s="227" t="s">
        <v>120</v>
      </c>
    </row>
    <row r="2493" spans="1:7">
      <c r="A2493" s="216">
        <v>44256</v>
      </c>
      <c r="B2493" t="s">
        <v>49</v>
      </c>
      <c r="C2493">
        <v>13</v>
      </c>
      <c r="D2493" t="s">
        <v>441</v>
      </c>
      <c r="E2493" s="217">
        <v>44256</v>
      </c>
      <c r="F2493">
        <v>0</v>
      </c>
      <c r="G2493" s="227" t="s">
        <v>89</v>
      </c>
    </row>
    <row r="2494" spans="1:7">
      <c r="A2494" s="216">
        <v>44256</v>
      </c>
      <c r="B2494" t="s">
        <v>49</v>
      </c>
      <c r="C2494">
        <v>13</v>
      </c>
      <c r="D2494" t="s">
        <v>441</v>
      </c>
      <c r="E2494" s="217">
        <v>44256</v>
      </c>
      <c r="F2494">
        <v>0</v>
      </c>
      <c r="G2494" s="227" t="s">
        <v>97</v>
      </c>
    </row>
    <row r="2495" spans="1:7">
      <c r="A2495" s="216">
        <v>44256</v>
      </c>
      <c r="B2495" t="s">
        <v>49</v>
      </c>
      <c r="C2495">
        <v>13</v>
      </c>
      <c r="D2495" t="s">
        <v>441</v>
      </c>
      <c r="E2495" s="217">
        <v>44256</v>
      </c>
      <c r="F2495">
        <v>0</v>
      </c>
      <c r="G2495" s="227" t="s">
        <v>93</v>
      </c>
    </row>
    <row r="2496" spans="1:7">
      <c r="A2496" s="216">
        <v>44256</v>
      </c>
      <c r="B2496" t="s">
        <v>49</v>
      </c>
      <c r="C2496">
        <v>13</v>
      </c>
      <c r="D2496" t="s">
        <v>441</v>
      </c>
      <c r="E2496" s="217">
        <v>44256</v>
      </c>
      <c r="F2496">
        <v>0</v>
      </c>
      <c r="G2496" s="227" t="s">
        <v>111</v>
      </c>
    </row>
    <row r="2497" spans="1:7">
      <c r="A2497" s="216">
        <v>44256</v>
      </c>
      <c r="B2497" t="s">
        <v>49</v>
      </c>
      <c r="C2497">
        <v>13</v>
      </c>
      <c r="D2497" t="s">
        <v>441</v>
      </c>
      <c r="E2497" s="217">
        <v>44256</v>
      </c>
      <c r="F2497">
        <v>0</v>
      </c>
      <c r="G2497" s="227" t="s">
        <v>434</v>
      </c>
    </row>
    <row r="2498" spans="1:7">
      <c r="A2498" s="216">
        <v>44256</v>
      </c>
      <c r="B2498" t="s">
        <v>49</v>
      </c>
      <c r="C2498">
        <v>14</v>
      </c>
      <c r="D2498" t="s">
        <v>447</v>
      </c>
      <c r="E2498" s="217">
        <v>44256</v>
      </c>
      <c r="F2498">
        <v>0</v>
      </c>
      <c r="G2498" s="227" t="s">
        <v>79</v>
      </c>
    </row>
    <row r="2499" spans="1:7">
      <c r="A2499" s="216">
        <v>44256</v>
      </c>
      <c r="B2499" t="s">
        <v>49</v>
      </c>
      <c r="C2499">
        <v>14</v>
      </c>
      <c r="D2499" t="s">
        <v>447</v>
      </c>
      <c r="E2499" s="217">
        <v>44256</v>
      </c>
      <c r="F2499">
        <v>0</v>
      </c>
      <c r="G2499" s="227" t="s">
        <v>115</v>
      </c>
    </row>
    <row r="2500" spans="1:7">
      <c r="A2500" s="216">
        <v>44256</v>
      </c>
      <c r="B2500" t="s">
        <v>49</v>
      </c>
      <c r="C2500">
        <v>14</v>
      </c>
      <c r="D2500" t="s">
        <v>447</v>
      </c>
      <c r="E2500" s="217">
        <v>44256</v>
      </c>
      <c r="F2500">
        <v>0</v>
      </c>
      <c r="G2500" s="227" t="s">
        <v>106</v>
      </c>
    </row>
    <row r="2501" spans="1:7">
      <c r="A2501" s="216">
        <v>44256</v>
      </c>
      <c r="B2501" t="s">
        <v>49</v>
      </c>
      <c r="C2501">
        <v>14</v>
      </c>
      <c r="D2501" t="s">
        <v>447</v>
      </c>
      <c r="E2501" s="217">
        <v>44256</v>
      </c>
      <c r="F2501">
        <v>0</v>
      </c>
      <c r="G2501" s="227" t="s">
        <v>101</v>
      </c>
    </row>
    <row r="2502" spans="1:7">
      <c r="A2502" s="216">
        <v>44256</v>
      </c>
      <c r="B2502" t="s">
        <v>49</v>
      </c>
      <c r="C2502">
        <v>14</v>
      </c>
      <c r="D2502" t="s">
        <v>447</v>
      </c>
      <c r="E2502" s="217">
        <v>44256</v>
      </c>
      <c r="F2502">
        <v>0</v>
      </c>
      <c r="G2502" s="227" t="s">
        <v>84</v>
      </c>
    </row>
    <row r="2503" spans="1:7">
      <c r="A2503" s="216">
        <v>44256</v>
      </c>
      <c r="B2503" t="s">
        <v>49</v>
      </c>
      <c r="C2503">
        <v>14</v>
      </c>
      <c r="D2503" t="s">
        <v>447</v>
      </c>
      <c r="E2503" s="217">
        <v>44256</v>
      </c>
      <c r="F2503">
        <v>0</v>
      </c>
      <c r="G2503" s="227" t="s">
        <v>128</v>
      </c>
    </row>
    <row r="2504" spans="1:7">
      <c r="A2504" s="216">
        <v>44256</v>
      </c>
      <c r="B2504" t="s">
        <v>49</v>
      </c>
      <c r="C2504">
        <v>14</v>
      </c>
      <c r="D2504" t="s">
        <v>447</v>
      </c>
      <c r="E2504" s="217">
        <v>44256</v>
      </c>
      <c r="F2504">
        <v>0</v>
      </c>
      <c r="G2504" s="227" t="s">
        <v>124</v>
      </c>
    </row>
    <row r="2505" spans="1:7">
      <c r="A2505" s="216">
        <v>44256</v>
      </c>
      <c r="B2505" t="s">
        <v>49</v>
      </c>
      <c r="C2505">
        <v>14</v>
      </c>
      <c r="D2505" t="s">
        <v>447</v>
      </c>
      <c r="E2505" s="217">
        <v>44256</v>
      </c>
      <c r="F2505">
        <v>0</v>
      </c>
      <c r="G2505" s="227" t="s">
        <v>120</v>
      </c>
    </row>
    <row r="2506" spans="1:7">
      <c r="A2506" s="216">
        <v>44256</v>
      </c>
      <c r="B2506" t="s">
        <v>49</v>
      </c>
      <c r="C2506">
        <v>14</v>
      </c>
      <c r="D2506" t="s">
        <v>447</v>
      </c>
      <c r="E2506" s="217">
        <v>44256</v>
      </c>
      <c r="F2506">
        <v>0</v>
      </c>
      <c r="G2506" s="227" t="s">
        <v>89</v>
      </c>
    </row>
    <row r="2507" spans="1:7">
      <c r="A2507" s="216">
        <v>44256</v>
      </c>
      <c r="B2507" t="s">
        <v>49</v>
      </c>
      <c r="C2507">
        <v>14</v>
      </c>
      <c r="D2507" t="s">
        <v>447</v>
      </c>
      <c r="E2507" s="217">
        <v>44256</v>
      </c>
      <c r="F2507">
        <v>0</v>
      </c>
      <c r="G2507" s="227" t="s">
        <v>97</v>
      </c>
    </row>
    <row r="2508" spans="1:7">
      <c r="A2508" s="216">
        <v>44256</v>
      </c>
      <c r="B2508" t="s">
        <v>49</v>
      </c>
      <c r="C2508">
        <v>14</v>
      </c>
      <c r="D2508" t="s">
        <v>447</v>
      </c>
      <c r="E2508" s="217">
        <v>44256</v>
      </c>
      <c r="F2508">
        <v>0</v>
      </c>
      <c r="G2508" s="227" t="s">
        <v>93</v>
      </c>
    </row>
    <row r="2509" spans="1:7">
      <c r="A2509" s="216">
        <v>44256</v>
      </c>
      <c r="B2509" t="s">
        <v>49</v>
      </c>
      <c r="C2509">
        <v>14</v>
      </c>
      <c r="D2509" t="s">
        <v>447</v>
      </c>
      <c r="E2509" s="217">
        <v>44256</v>
      </c>
      <c r="F2509">
        <v>0</v>
      </c>
      <c r="G2509" s="227" t="s">
        <v>111</v>
      </c>
    </row>
    <row r="2510" spans="1:7">
      <c r="A2510" s="216">
        <v>44256</v>
      </c>
      <c r="B2510" t="s">
        <v>49</v>
      </c>
      <c r="C2510">
        <v>14</v>
      </c>
      <c r="D2510" t="s">
        <v>447</v>
      </c>
      <c r="E2510" s="217">
        <v>44256</v>
      </c>
      <c r="F2510">
        <v>0</v>
      </c>
      <c r="G2510" s="227" t="s">
        <v>434</v>
      </c>
    </row>
    <row r="2511" spans="1:7">
      <c r="A2511" s="216">
        <v>44256</v>
      </c>
      <c r="B2511" t="s">
        <v>49</v>
      </c>
      <c r="C2511">
        <v>15</v>
      </c>
      <c r="D2511" t="s">
        <v>437</v>
      </c>
      <c r="E2511" s="217">
        <v>44256</v>
      </c>
      <c r="F2511">
        <v>0</v>
      </c>
      <c r="G2511" s="227" t="s">
        <v>79</v>
      </c>
    </row>
    <row r="2512" spans="1:7">
      <c r="A2512" s="216">
        <v>44256</v>
      </c>
      <c r="B2512" t="s">
        <v>49</v>
      </c>
      <c r="C2512">
        <v>15</v>
      </c>
      <c r="D2512" t="s">
        <v>437</v>
      </c>
      <c r="E2512" s="217">
        <v>44256</v>
      </c>
      <c r="F2512">
        <v>0</v>
      </c>
      <c r="G2512" s="227" t="s">
        <v>115</v>
      </c>
    </row>
    <row r="2513" spans="1:7">
      <c r="A2513" s="216">
        <v>44256</v>
      </c>
      <c r="B2513" t="s">
        <v>49</v>
      </c>
      <c r="C2513">
        <v>15</v>
      </c>
      <c r="D2513" t="s">
        <v>437</v>
      </c>
      <c r="E2513" s="217">
        <v>44256</v>
      </c>
      <c r="F2513">
        <v>0</v>
      </c>
      <c r="G2513" s="227" t="s">
        <v>106</v>
      </c>
    </row>
    <row r="2514" spans="1:7">
      <c r="A2514" s="216">
        <v>44256</v>
      </c>
      <c r="B2514" t="s">
        <v>49</v>
      </c>
      <c r="C2514">
        <v>15</v>
      </c>
      <c r="D2514" t="s">
        <v>437</v>
      </c>
      <c r="E2514" s="217">
        <v>44256</v>
      </c>
      <c r="F2514">
        <v>0</v>
      </c>
      <c r="G2514" s="227" t="s">
        <v>101</v>
      </c>
    </row>
    <row r="2515" spans="1:7">
      <c r="A2515" s="216">
        <v>44256</v>
      </c>
      <c r="B2515" t="s">
        <v>49</v>
      </c>
      <c r="C2515">
        <v>15</v>
      </c>
      <c r="D2515" t="s">
        <v>437</v>
      </c>
      <c r="E2515" s="217">
        <v>44256</v>
      </c>
      <c r="F2515">
        <v>0</v>
      </c>
      <c r="G2515" s="227" t="s">
        <v>84</v>
      </c>
    </row>
    <row r="2516" spans="1:7">
      <c r="A2516" s="216">
        <v>44256</v>
      </c>
      <c r="B2516" t="s">
        <v>49</v>
      </c>
      <c r="C2516">
        <v>15</v>
      </c>
      <c r="D2516" t="s">
        <v>437</v>
      </c>
      <c r="E2516" s="217">
        <v>44256</v>
      </c>
      <c r="F2516">
        <v>0</v>
      </c>
      <c r="G2516" s="227" t="s">
        <v>128</v>
      </c>
    </row>
    <row r="2517" spans="1:7">
      <c r="A2517" s="216">
        <v>44256</v>
      </c>
      <c r="B2517" t="s">
        <v>49</v>
      </c>
      <c r="C2517">
        <v>15</v>
      </c>
      <c r="D2517" t="s">
        <v>437</v>
      </c>
      <c r="E2517" s="217">
        <v>44256</v>
      </c>
      <c r="F2517">
        <v>0</v>
      </c>
      <c r="G2517" s="227" t="s">
        <v>124</v>
      </c>
    </row>
    <row r="2518" spans="1:7">
      <c r="A2518" s="216">
        <v>44256</v>
      </c>
      <c r="B2518" t="s">
        <v>49</v>
      </c>
      <c r="C2518">
        <v>15</v>
      </c>
      <c r="D2518" t="s">
        <v>437</v>
      </c>
      <c r="E2518" s="217">
        <v>44256</v>
      </c>
      <c r="F2518">
        <v>0</v>
      </c>
      <c r="G2518" s="227" t="s">
        <v>120</v>
      </c>
    </row>
    <row r="2519" spans="1:7">
      <c r="A2519" s="216">
        <v>44256</v>
      </c>
      <c r="B2519" t="s">
        <v>49</v>
      </c>
      <c r="C2519">
        <v>15</v>
      </c>
      <c r="D2519" t="s">
        <v>437</v>
      </c>
      <c r="E2519" s="217">
        <v>44256</v>
      </c>
      <c r="F2519">
        <v>0</v>
      </c>
      <c r="G2519" s="227" t="s">
        <v>89</v>
      </c>
    </row>
    <row r="2520" spans="1:7">
      <c r="A2520" s="216">
        <v>44256</v>
      </c>
      <c r="B2520" t="s">
        <v>49</v>
      </c>
      <c r="C2520">
        <v>15</v>
      </c>
      <c r="D2520" t="s">
        <v>437</v>
      </c>
      <c r="E2520" s="217">
        <v>44256</v>
      </c>
      <c r="F2520">
        <v>0</v>
      </c>
      <c r="G2520" s="227" t="s">
        <v>97</v>
      </c>
    </row>
    <row r="2521" spans="1:7">
      <c r="A2521" s="216">
        <v>44256</v>
      </c>
      <c r="B2521" t="s">
        <v>49</v>
      </c>
      <c r="C2521">
        <v>15</v>
      </c>
      <c r="D2521" t="s">
        <v>437</v>
      </c>
      <c r="E2521" s="217">
        <v>44256</v>
      </c>
      <c r="F2521">
        <v>0</v>
      </c>
      <c r="G2521" s="227" t="s">
        <v>93</v>
      </c>
    </row>
    <row r="2522" spans="1:7">
      <c r="A2522" s="216">
        <v>44256</v>
      </c>
      <c r="B2522" t="s">
        <v>49</v>
      </c>
      <c r="C2522">
        <v>15</v>
      </c>
      <c r="D2522" t="s">
        <v>437</v>
      </c>
      <c r="E2522" s="217">
        <v>44256</v>
      </c>
      <c r="F2522">
        <v>0</v>
      </c>
      <c r="G2522" s="227" t="s">
        <v>111</v>
      </c>
    </row>
    <row r="2523" spans="1:7">
      <c r="A2523" s="216">
        <v>44256</v>
      </c>
      <c r="B2523" t="s">
        <v>49</v>
      </c>
      <c r="C2523">
        <v>15</v>
      </c>
      <c r="D2523" t="s">
        <v>437</v>
      </c>
      <c r="E2523" s="217">
        <v>44256</v>
      </c>
      <c r="F2523">
        <v>0</v>
      </c>
      <c r="G2523" s="227" t="s">
        <v>434</v>
      </c>
    </row>
    <row r="2524" spans="1:7">
      <c r="A2524" s="216">
        <v>44256</v>
      </c>
      <c r="B2524" t="s">
        <v>50</v>
      </c>
      <c r="C2524">
        <v>7</v>
      </c>
      <c r="D2524" t="s">
        <v>442</v>
      </c>
      <c r="E2524" s="217">
        <v>44256</v>
      </c>
      <c r="F2524">
        <v>18374</v>
      </c>
      <c r="G2524" s="227" t="s">
        <v>79</v>
      </c>
    </row>
    <row r="2525" spans="1:7">
      <c r="A2525" s="216">
        <v>44256</v>
      </c>
      <c r="B2525" t="s">
        <v>50</v>
      </c>
      <c r="C2525">
        <v>7</v>
      </c>
      <c r="D2525" t="s">
        <v>442</v>
      </c>
      <c r="E2525" s="217">
        <v>44256</v>
      </c>
      <c r="F2525">
        <v>18838</v>
      </c>
      <c r="G2525" s="227" t="s">
        <v>115</v>
      </c>
    </row>
    <row r="2526" spans="1:7">
      <c r="A2526" s="216">
        <v>44256</v>
      </c>
      <c r="B2526" t="s">
        <v>50</v>
      </c>
      <c r="C2526">
        <v>7</v>
      </c>
      <c r="D2526" t="s">
        <v>442</v>
      </c>
      <c r="E2526" s="217">
        <v>44256</v>
      </c>
      <c r="F2526">
        <v>18945</v>
      </c>
      <c r="G2526" s="227" t="s">
        <v>106</v>
      </c>
    </row>
    <row r="2527" spans="1:7">
      <c r="A2527" s="216">
        <v>44256</v>
      </c>
      <c r="B2527" t="s">
        <v>50</v>
      </c>
      <c r="C2527">
        <v>7</v>
      </c>
      <c r="D2527" t="s">
        <v>442</v>
      </c>
      <c r="E2527" s="217">
        <v>44256</v>
      </c>
      <c r="F2527">
        <v>18065</v>
      </c>
      <c r="G2527" s="227" t="s">
        <v>101</v>
      </c>
    </row>
    <row r="2528" spans="1:7">
      <c r="A2528" s="216">
        <v>44256</v>
      </c>
      <c r="B2528" t="s">
        <v>50</v>
      </c>
      <c r="C2528">
        <v>7</v>
      </c>
      <c r="D2528" t="s">
        <v>442</v>
      </c>
      <c r="E2528" s="217">
        <v>44256</v>
      </c>
      <c r="F2528">
        <v>18544</v>
      </c>
      <c r="G2528" s="227" t="s">
        <v>84</v>
      </c>
    </row>
    <row r="2529" spans="1:7">
      <c r="A2529" s="216">
        <v>44256</v>
      </c>
      <c r="B2529" t="s">
        <v>50</v>
      </c>
      <c r="C2529">
        <v>7</v>
      </c>
      <c r="D2529" t="s">
        <v>442</v>
      </c>
      <c r="E2529" s="217">
        <v>44256</v>
      </c>
      <c r="F2529">
        <v>17967</v>
      </c>
      <c r="G2529" s="227" t="s">
        <v>128</v>
      </c>
    </row>
    <row r="2530" spans="1:7">
      <c r="A2530" s="216">
        <v>44256</v>
      </c>
      <c r="B2530" t="s">
        <v>50</v>
      </c>
      <c r="C2530">
        <v>7</v>
      </c>
      <c r="D2530" t="s">
        <v>442</v>
      </c>
      <c r="E2530" s="217">
        <v>44256</v>
      </c>
      <c r="F2530">
        <v>18401</v>
      </c>
      <c r="G2530" s="227" t="s">
        <v>124</v>
      </c>
    </row>
    <row r="2531" spans="1:7">
      <c r="A2531" s="216">
        <v>44256</v>
      </c>
      <c r="B2531" t="s">
        <v>50</v>
      </c>
      <c r="C2531">
        <v>7</v>
      </c>
      <c r="D2531" t="s">
        <v>442</v>
      </c>
      <c r="E2531" s="217">
        <v>44256</v>
      </c>
      <c r="F2531">
        <v>18657</v>
      </c>
      <c r="G2531" s="227" t="s">
        <v>120</v>
      </c>
    </row>
    <row r="2532" spans="1:7">
      <c r="A2532" s="216">
        <v>44256</v>
      </c>
      <c r="B2532" t="s">
        <v>50</v>
      </c>
      <c r="C2532">
        <v>7</v>
      </c>
      <c r="D2532" t="s">
        <v>442</v>
      </c>
      <c r="E2532" s="217">
        <v>44256</v>
      </c>
      <c r="F2532">
        <v>21742</v>
      </c>
      <c r="G2532" s="227" t="s">
        <v>89</v>
      </c>
    </row>
    <row r="2533" spans="1:7">
      <c r="A2533" s="216">
        <v>44256</v>
      </c>
      <c r="B2533" t="s">
        <v>50</v>
      </c>
      <c r="C2533">
        <v>7</v>
      </c>
      <c r="D2533" t="s">
        <v>442</v>
      </c>
      <c r="E2533" s="217">
        <v>44256</v>
      </c>
      <c r="F2533">
        <v>16745</v>
      </c>
      <c r="G2533" s="227" t="s">
        <v>97</v>
      </c>
    </row>
    <row r="2534" spans="1:7">
      <c r="A2534" s="216">
        <v>44256</v>
      </c>
      <c r="B2534" t="s">
        <v>50</v>
      </c>
      <c r="C2534">
        <v>7</v>
      </c>
      <c r="D2534" t="s">
        <v>442</v>
      </c>
      <c r="E2534" s="217">
        <v>44256</v>
      </c>
      <c r="F2534">
        <v>21486</v>
      </c>
      <c r="G2534" s="227" t="s">
        <v>93</v>
      </c>
    </row>
    <row r="2535" spans="1:7">
      <c r="A2535" s="216">
        <v>44256</v>
      </c>
      <c r="B2535" t="s">
        <v>50</v>
      </c>
      <c r="C2535">
        <v>7</v>
      </c>
      <c r="D2535" t="s">
        <v>442</v>
      </c>
      <c r="E2535" s="217">
        <v>44256</v>
      </c>
      <c r="F2535">
        <v>31861</v>
      </c>
      <c r="G2535" s="227" t="s">
        <v>111</v>
      </c>
    </row>
    <row r="2536" spans="1:7">
      <c r="A2536" s="216">
        <v>44256</v>
      </c>
      <c r="B2536" t="s">
        <v>50</v>
      </c>
      <c r="C2536">
        <v>7</v>
      </c>
      <c r="D2536" t="s">
        <v>442</v>
      </c>
      <c r="E2536" s="217">
        <v>44256</v>
      </c>
      <c r="F2536">
        <v>239625</v>
      </c>
      <c r="G2536" s="227" t="s">
        <v>434</v>
      </c>
    </row>
    <row r="2537" spans="1:7">
      <c r="A2537" s="216">
        <v>44256</v>
      </c>
      <c r="B2537" t="s">
        <v>50</v>
      </c>
      <c r="C2537">
        <v>9</v>
      </c>
      <c r="D2537" t="s">
        <v>450</v>
      </c>
      <c r="E2537" s="217">
        <v>44256</v>
      </c>
      <c r="F2537">
        <v>0</v>
      </c>
      <c r="G2537" s="227" t="s">
        <v>79</v>
      </c>
    </row>
    <row r="2538" spans="1:7">
      <c r="A2538" s="216">
        <v>44256</v>
      </c>
      <c r="B2538" t="s">
        <v>50</v>
      </c>
      <c r="C2538">
        <v>9</v>
      </c>
      <c r="D2538" t="s">
        <v>450</v>
      </c>
      <c r="E2538" s="217">
        <v>44256</v>
      </c>
      <c r="F2538">
        <v>0</v>
      </c>
      <c r="G2538" s="227" t="s">
        <v>115</v>
      </c>
    </row>
    <row r="2539" spans="1:7">
      <c r="A2539" s="216">
        <v>44256</v>
      </c>
      <c r="B2539" t="s">
        <v>50</v>
      </c>
      <c r="C2539">
        <v>9</v>
      </c>
      <c r="D2539" t="s">
        <v>450</v>
      </c>
      <c r="E2539" s="217">
        <v>44256</v>
      </c>
      <c r="F2539">
        <v>0</v>
      </c>
      <c r="G2539" s="227" t="s">
        <v>106</v>
      </c>
    </row>
    <row r="2540" spans="1:7">
      <c r="A2540" s="216">
        <v>44256</v>
      </c>
      <c r="B2540" t="s">
        <v>50</v>
      </c>
      <c r="C2540">
        <v>9</v>
      </c>
      <c r="D2540" t="s">
        <v>450</v>
      </c>
      <c r="E2540" s="217">
        <v>44256</v>
      </c>
      <c r="F2540">
        <v>0</v>
      </c>
      <c r="G2540" s="227" t="s">
        <v>101</v>
      </c>
    </row>
    <row r="2541" spans="1:7">
      <c r="A2541" s="216">
        <v>44256</v>
      </c>
      <c r="B2541" t="s">
        <v>50</v>
      </c>
      <c r="C2541">
        <v>9</v>
      </c>
      <c r="D2541" t="s">
        <v>450</v>
      </c>
      <c r="E2541" s="217">
        <v>44256</v>
      </c>
      <c r="F2541">
        <v>0</v>
      </c>
      <c r="G2541" s="227" t="s">
        <v>84</v>
      </c>
    </row>
    <row r="2542" spans="1:7">
      <c r="A2542" s="216">
        <v>44256</v>
      </c>
      <c r="B2542" t="s">
        <v>50</v>
      </c>
      <c r="C2542">
        <v>9</v>
      </c>
      <c r="D2542" t="s">
        <v>450</v>
      </c>
      <c r="E2542" s="217">
        <v>44256</v>
      </c>
      <c r="F2542">
        <v>0</v>
      </c>
      <c r="G2542" s="227" t="s">
        <v>128</v>
      </c>
    </row>
    <row r="2543" spans="1:7">
      <c r="A2543" s="216">
        <v>44256</v>
      </c>
      <c r="B2543" t="s">
        <v>50</v>
      </c>
      <c r="C2543">
        <v>9</v>
      </c>
      <c r="D2543" t="s">
        <v>450</v>
      </c>
      <c r="E2543" s="217">
        <v>44256</v>
      </c>
      <c r="F2543">
        <v>0</v>
      </c>
      <c r="G2543" s="227" t="s">
        <v>124</v>
      </c>
    </row>
    <row r="2544" spans="1:7">
      <c r="A2544" s="216">
        <v>44256</v>
      </c>
      <c r="B2544" t="s">
        <v>50</v>
      </c>
      <c r="C2544">
        <v>9</v>
      </c>
      <c r="D2544" t="s">
        <v>450</v>
      </c>
      <c r="E2544" s="217">
        <v>44256</v>
      </c>
      <c r="F2544">
        <v>0</v>
      </c>
      <c r="G2544" s="227" t="s">
        <v>120</v>
      </c>
    </row>
    <row r="2545" spans="1:7">
      <c r="A2545" s="216">
        <v>44256</v>
      </c>
      <c r="B2545" t="s">
        <v>50</v>
      </c>
      <c r="C2545">
        <v>9</v>
      </c>
      <c r="D2545" t="s">
        <v>450</v>
      </c>
      <c r="E2545" s="217">
        <v>44256</v>
      </c>
      <c r="F2545">
        <v>0</v>
      </c>
      <c r="G2545" s="227" t="s">
        <v>89</v>
      </c>
    </row>
    <row r="2546" spans="1:7">
      <c r="A2546" s="216">
        <v>44256</v>
      </c>
      <c r="B2546" t="s">
        <v>50</v>
      </c>
      <c r="C2546">
        <v>9</v>
      </c>
      <c r="D2546" t="s">
        <v>450</v>
      </c>
      <c r="E2546" s="217">
        <v>44256</v>
      </c>
      <c r="F2546">
        <v>0</v>
      </c>
      <c r="G2546" s="227" t="s">
        <v>97</v>
      </c>
    </row>
    <row r="2547" spans="1:7">
      <c r="A2547" s="216">
        <v>44256</v>
      </c>
      <c r="B2547" t="s">
        <v>50</v>
      </c>
      <c r="C2547">
        <v>9</v>
      </c>
      <c r="D2547" t="s">
        <v>450</v>
      </c>
      <c r="E2547" s="217">
        <v>44256</v>
      </c>
      <c r="F2547">
        <v>0</v>
      </c>
      <c r="G2547" s="227" t="s">
        <v>93</v>
      </c>
    </row>
    <row r="2548" spans="1:7">
      <c r="A2548" s="216">
        <v>44256</v>
      </c>
      <c r="B2548" t="s">
        <v>50</v>
      </c>
      <c r="C2548">
        <v>9</v>
      </c>
      <c r="D2548" t="s">
        <v>450</v>
      </c>
      <c r="E2548" s="217">
        <v>44256</v>
      </c>
      <c r="F2548">
        <v>0</v>
      </c>
      <c r="G2548" s="227" t="s">
        <v>111</v>
      </c>
    </row>
    <row r="2549" spans="1:7">
      <c r="A2549" s="216">
        <v>44256</v>
      </c>
      <c r="B2549" t="s">
        <v>50</v>
      </c>
      <c r="C2549">
        <v>9</v>
      </c>
      <c r="D2549" t="s">
        <v>450</v>
      </c>
      <c r="E2549" s="217">
        <v>44256</v>
      </c>
      <c r="F2549">
        <v>0</v>
      </c>
      <c r="G2549" s="227" t="s">
        <v>434</v>
      </c>
    </row>
    <row r="2550" spans="1:7">
      <c r="A2550" s="216">
        <v>44256</v>
      </c>
      <c r="B2550" t="s">
        <v>50</v>
      </c>
      <c r="C2550">
        <v>10</v>
      </c>
      <c r="D2550" t="s">
        <v>433</v>
      </c>
      <c r="E2550" s="217">
        <v>44256</v>
      </c>
      <c r="F2550">
        <v>12953</v>
      </c>
      <c r="G2550" s="227" t="s">
        <v>79</v>
      </c>
    </row>
    <row r="2551" spans="1:7">
      <c r="A2551" s="216">
        <v>44256</v>
      </c>
      <c r="B2551" t="s">
        <v>50</v>
      </c>
      <c r="C2551">
        <v>10</v>
      </c>
      <c r="D2551" t="s">
        <v>433</v>
      </c>
      <c r="E2551" s="217">
        <v>44256</v>
      </c>
      <c r="F2551">
        <v>13335</v>
      </c>
      <c r="G2551" s="227" t="s">
        <v>115</v>
      </c>
    </row>
    <row r="2552" spans="1:7">
      <c r="A2552" s="216">
        <v>44256</v>
      </c>
      <c r="B2552" t="s">
        <v>50</v>
      </c>
      <c r="C2552">
        <v>10</v>
      </c>
      <c r="D2552" t="s">
        <v>433</v>
      </c>
      <c r="E2552" s="217">
        <v>44256</v>
      </c>
      <c r="F2552">
        <v>13310</v>
      </c>
      <c r="G2552" s="227" t="s">
        <v>106</v>
      </c>
    </row>
    <row r="2553" spans="1:7">
      <c r="A2553" s="216">
        <v>44256</v>
      </c>
      <c r="B2553" t="s">
        <v>50</v>
      </c>
      <c r="C2553">
        <v>10</v>
      </c>
      <c r="D2553" t="s">
        <v>433</v>
      </c>
      <c r="E2553" s="217">
        <v>44256</v>
      </c>
      <c r="F2553">
        <v>12753</v>
      </c>
      <c r="G2553" s="227" t="s">
        <v>101</v>
      </c>
    </row>
    <row r="2554" spans="1:7">
      <c r="A2554" s="216">
        <v>44256</v>
      </c>
      <c r="B2554" t="s">
        <v>50</v>
      </c>
      <c r="C2554">
        <v>10</v>
      </c>
      <c r="D2554" t="s">
        <v>433</v>
      </c>
      <c r="E2554" s="217">
        <v>44256</v>
      </c>
      <c r="F2554">
        <v>12928</v>
      </c>
      <c r="G2554" s="227" t="s">
        <v>84</v>
      </c>
    </row>
    <row r="2555" spans="1:7">
      <c r="A2555" s="216">
        <v>44256</v>
      </c>
      <c r="B2555" t="s">
        <v>50</v>
      </c>
      <c r="C2555">
        <v>10</v>
      </c>
      <c r="D2555" t="s">
        <v>433</v>
      </c>
      <c r="E2555" s="217">
        <v>44256</v>
      </c>
      <c r="F2555">
        <v>13282</v>
      </c>
      <c r="G2555" s="227" t="s">
        <v>128</v>
      </c>
    </row>
    <row r="2556" spans="1:7">
      <c r="A2556" s="216">
        <v>44256</v>
      </c>
      <c r="B2556" t="s">
        <v>50</v>
      </c>
      <c r="C2556">
        <v>10</v>
      </c>
      <c r="D2556" t="s">
        <v>433</v>
      </c>
      <c r="E2556" s="217">
        <v>44256</v>
      </c>
      <c r="F2556">
        <v>13024</v>
      </c>
      <c r="G2556" s="227" t="s">
        <v>124</v>
      </c>
    </row>
    <row r="2557" spans="1:7">
      <c r="A2557" s="216">
        <v>44256</v>
      </c>
      <c r="B2557" t="s">
        <v>50</v>
      </c>
      <c r="C2557">
        <v>10</v>
      </c>
      <c r="D2557" t="s">
        <v>433</v>
      </c>
      <c r="E2557" s="217">
        <v>44256</v>
      </c>
      <c r="F2557">
        <v>13510</v>
      </c>
      <c r="G2557" s="227" t="s">
        <v>120</v>
      </c>
    </row>
    <row r="2558" spans="1:7">
      <c r="A2558" s="216">
        <v>44256</v>
      </c>
      <c r="B2558" t="s">
        <v>50</v>
      </c>
      <c r="C2558">
        <v>10</v>
      </c>
      <c r="D2558" t="s">
        <v>433</v>
      </c>
      <c r="E2558" s="217">
        <v>44256</v>
      </c>
      <c r="F2558">
        <v>15940</v>
      </c>
      <c r="G2558" s="227" t="s">
        <v>89</v>
      </c>
    </row>
    <row r="2559" spans="1:7">
      <c r="A2559" s="216">
        <v>44256</v>
      </c>
      <c r="B2559" t="s">
        <v>50</v>
      </c>
      <c r="C2559">
        <v>10</v>
      </c>
      <c r="D2559" t="s">
        <v>433</v>
      </c>
      <c r="E2559" s="217">
        <v>44256</v>
      </c>
      <c r="F2559">
        <v>11467</v>
      </c>
      <c r="G2559" s="227" t="s">
        <v>97</v>
      </c>
    </row>
    <row r="2560" spans="1:7">
      <c r="A2560" s="216">
        <v>44256</v>
      </c>
      <c r="B2560" t="s">
        <v>50</v>
      </c>
      <c r="C2560">
        <v>10</v>
      </c>
      <c r="D2560" t="s">
        <v>433</v>
      </c>
      <c r="E2560" s="217">
        <v>44256</v>
      </c>
      <c r="F2560">
        <v>15726</v>
      </c>
      <c r="G2560" s="227" t="s">
        <v>93</v>
      </c>
    </row>
    <row r="2561" spans="1:7">
      <c r="A2561" s="216">
        <v>44256</v>
      </c>
      <c r="B2561" t="s">
        <v>50</v>
      </c>
      <c r="C2561">
        <v>10</v>
      </c>
      <c r="D2561" t="s">
        <v>433</v>
      </c>
      <c r="E2561" s="217">
        <v>44256</v>
      </c>
      <c r="F2561">
        <v>25216</v>
      </c>
      <c r="G2561" s="227" t="s">
        <v>111</v>
      </c>
    </row>
    <row r="2562" spans="1:7">
      <c r="A2562" s="216">
        <v>44256</v>
      </c>
      <c r="B2562" t="s">
        <v>50</v>
      </c>
      <c r="C2562">
        <v>10</v>
      </c>
      <c r="D2562" t="s">
        <v>433</v>
      </c>
      <c r="E2562" s="217">
        <v>44256</v>
      </c>
      <c r="F2562">
        <v>173444</v>
      </c>
      <c r="G2562" s="227" t="s">
        <v>434</v>
      </c>
    </row>
    <row r="2563" spans="1:7">
      <c r="A2563" s="216">
        <v>44256</v>
      </c>
      <c r="B2563" t="s">
        <v>50</v>
      </c>
      <c r="C2563">
        <v>8</v>
      </c>
      <c r="D2563" t="s">
        <v>451</v>
      </c>
      <c r="E2563" s="217">
        <v>44256</v>
      </c>
      <c r="F2563">
        <v>0</v>
      </c>
      <c r="G2563" s="227" t="s">
        <v>79</v>
      </c>
    </row>
    <row r="2564" spans="1:7">
      <c r="A2564" s="216">
        <v>44256</v>
      </c>
      <c r="B2564" t="s">
        <v>50</v>
      </c>
      <c r="C2564">
        <v>8</v>
      </c>
      <c r="D2564" t="s">
        <v>451</v>
      </c>
      <c r="E2564" s="217">
        <v>44256</v>
      </c>
      <c r="F2564">
        <v>0</v>
      </c>
      <c r="G2564" s="227" t="s">
        <v>115</v>
      </c>
    </row>
    <row r="2565" spans="1:7">
      <c r="A2565" s="216">
        <v>44256</v>
      </c>
      <c r="B2565" t="s">
        <v>50</v>
      </c>
      <c r="C2565">
        <v>8</v>
      </c>
      <c r="D2565" t="s">
        <v>451</v>
      </c>
      <c r="E2565" s="217">
        <v>44256</v>
      </c>
      <c r="F2565">
        <v>0</v>
      </c>
      <c r="G2565" s="227" t="s">
        <v>106</v>
      </c>
    </row>
    <row r="2566" spans="1:7">
      <c r="A2566" s="216">
        <v>44256</v>
      </c>
      <c r="B2566" t="s">
        <v>50</v>
      </c>
      <c r="C2566">
        <v>8</v>
      </c>
      <c r="D2566" t="s">
        <v>451</v>
      </c>
      <c r="E2566" s="217">
        <v>44256</v>
      </c>
      <c r="F2566">
        <v>0</v>
      </c>
      <c r="G2566" s="227" t="s">
        <v>101</v>
      </c>
    </row>
    <row r="2567" spans="1:7">
      <c r="A2567" s="216">
        <v>44256</v>
      </c>
      <c r="B2567" t="s">
        <v>50</v>
      </c>
      <c r="C2567">
        <v>8</v>
      </c>
      <c r="D2567" t="s">
        <v>451</v>
      </c>
      <c r="E2567" s="217">
        <v>44256</v>
      </c>
      <c r="F2567">
        <v>0</v>
      </c>
      <c r="G2567" s="227" t="s">
        <v>84</v>
      </c>
    </row>
    <row r="2568" spans="1:7">
      <c r="A2568" s="216">
        <v>44256</v>
      </c>
      <c r="B2568" t="s">
        <v>50</v>
      </c>
      <c r="C2568">
        <v>8</v>
      </c>
      <c r="D2568" t="s">
        <v>451</v>
      </c>
      <c r="E2568" s="217">
        <v>44256</v>
      </c>
      <c r="F2568">
        <v>0</v>
      </c>
      <c r="G2568" s="227" t="s">
        <v>128</v>
      </c>
    </row>
    <row r="2569" spans="1:7">
      <c r="A2569" s="216">
        <v>44256</v>
      </c>
      <c r="B2569" t="s">
        <v>50</v>
      </c>
      <c r="C2569">
        <v>8</v>
      </c>
      <c r="D2569" t="s">
        <v>451</v>
      </c>
      <c r="E2569" s="217">
        <v>44256</v>
      </c>
      <c r="F2569">
        <v>0</v>
      </c>
      <c r="G2569" s="227" t="s">
        <v>124</v>
      </c>
    </row>
    <row r="2570" spans="1:7">
      <c r="A2570" s="216">
        <v>44256</v>
      </c>
      <c r="B2570" t="s">
        <v>50</v>
      </c>
      <c r="C2570">
        <v>8</v>
      </c>
      <c r="D2570" t="s">
        <v>451</v>
      </c>
      <c r="E2570" s="217">
        <v>44256</v>
      </c>
      <c r="F2570">
        <v>0</v>
      </c>
      <c r="G2570" s="227" t="s">
        <v>120</v>
      </c>
    </row>
    <row r="2571" spans="1:7">
      <c r="A2571" s="216">
        <v>44256</v>
      </c>
      <c r="B2571" t="s">
        <v>50</v>
      </c>
      <c r="C2571">
        <v>8</v>
      </c>
      <c r="D2571" t="s">
        <v>451</v>
      </c>
      <c r="E2571" s="217">
        <v>44256</v>
      </c>
      <c r="F2571">
        <v>0</v>
      </c>
      <c r="G2571" s="227" t="s">
        <v>89</v>
      </c>
    </row>
    <row r="2572" spans="1:7">
      <c r="A2572" s="216">
        <v>44256</v>
      </c>
      <c r="B2572" t="s">
        <v>50</v>
      </c>
      <c r="C2572">
        <v>8</v>
      </c>
      <c r="D2572" t="s">
        <v>451</v>
      </c>
      <c r="E2572" s="217">
        <v>44256</v>
      </c>
      <c r="F2572">
        <v>0</v>
      </c>
      <c r="G2572" s="227" t="s">
        <v>97</v>
      </c>
    </row>
    <row r="2573" spans="1:7">
      <c r="A2573" s="216">
        <v>44256</v>
      </c>
      <c r="B2573" t="s">
        <v>50</v>
      </c>
      <c r="C2573">
        <v>8</v>
      </c>
      <c r="D2573" t="s">
        <v>451</v>
      </c>
      <c r="E2573" s="217">
        <v>44256</v>
      </c>
      <c r="F2573">
        <v>0</v>
      </c>
      <c r="G2573" s="227" t="s">
        <v>93</v>
      </c>
    </row>
    <row r="2574" spans="1:7">
      <c r="A2574" s="216">
        <v>44256</v>
      </c>
      <c r="B2574" t="s">
        <v>50</v>
      </c>
      <c r="C2574">
        <v>8</v>
      </c>
      <c r="D2574" t="s">
        <v>451</v>
      </c>
      <c r="E2574" s="217">
        <v>44256</v>
      </c>
      <c r="F2574">
        <v>0</v>
      </c>
      <c r="G2574" s="227" t="s">
        <v>111</v>
      </c>
    </row>
    <row r="2575" spans="1:7">
      <c r="A2575" s="216">
        <v>44256</v>
      </c>
      <c r="B2575" t="s">
        <v>50</v>
      </c>
      <c r="C2575">
        <v>8</v>
      </c>
      <c r="D2575" t="s">
        <v>451</v>
      </c>
      <c r="E2575" s="217">
        <v>44256</v>
      </c>
      <c r="F2575">
        <v>0</v>
      </c>
      <c r="G2575" s="227" t="s">
        <v>434</v>
      </c>
    </row>
    <row r="2576" spans="1:7">
      <c r="A2576" s="216">
        <v>44256</v>
      </c>
      <c r="B2576" t="s">
        <v>50</v>
      </c>
      <c r="C2576">
        <v>11</v>
      </c>
      <c r="D2576" t="s">
        <v>445</v>
      </c>
      <c r="E2576" s="217">
        <v>44256</v>
      </c>
      <c r="F2576">
        <v>3316</v>
      </c>
      <c r="G2576" s="227" t="s">
        <v>79</v>
      </c>
    </row>
    <row r="2577" spans="1:7">
      <c r="A2577" s="216">
        <v>44256</v>
      </c>
      <c r="B2577" t="s">
        <v>50</v>
      </c>
      <c r="C2577">
        <v>11</v>
      </c>
      <c r="D2577" t="s">
        <v>445</v>
      </c>
      <c r="E2577" s="217">
        <v>44256</v>
      </c>
      <c r="F2577">
        <v>3428</v>
      </c>
      <c r="G2577" s="227" t="s">
        <v>115</v>
      </c>
    </row>
    <row r="2578" spans="1:7">
      <c r="A2578" s="216">
        <v>44256</v>
      </c>
      <c r="B2578" t="s">
        <v>50</v>
      </c>
      <c r="C2578">
        <v>11</v>
      </c>
      <c r="D2578" t="s">
        <v>445</v>
      </c>
      <c r="E2578" s="217">
        <v>44256</v>
      </c>
      <c r="F2578">
        <v>3319</v>
      </c>
      <c r="G2578" s="227" t="s">
        <v>106</v>
      </c>
    </row>
    <row r="2579" spans="1:7">
      <c r="A2579" s="216">
        <v>44256</v>
      </c>
      <c r="B2579" t="s">
        <v>50</v>
      </c>
      <c r="C2579">
        <v>11</v>
      </c>
      <c r="D2579" t="s">
        <v>445</v>
      </c>
      <c r="E2579" s="217">
        <v>44256</v>
      </c>
      <c r="F2579">
        <v>3044</v>
      </c>
      <c r="G2579" s="227" t="s">
        <v>101</v>
      </c>
    </row>
    <row r="2580" spans="1:7">
      <c r="A2580" s="216">
        <v>44256</v>
      </c>
      <c r="B2580" t="s">
        <v>50</v>
      </c>
      <c r="C2580">
        <v>11</v>
      </c>
      <c r="D2580" t="s">
        <v>445</v>
      </c>
      <c r="E2580" s="217">
        <v>44256</v>
      </c>
      <c r="F2580">
        <v>3085</v>
      </c>
      <c r="G2580" s="227" t="s">
        <v>84</v>
      </c>
    </row>
    <row r="2581" spans="1:7">
      <c r="A2581" s="216">
        <v>44256</v>
      </c>
      <c r="B2581" t="s">
        <v>50</v>
      </c>
      <c r="C2581">
        <v>11</v>
      </c>
      <c r="D2581" t="s">
        <v>445</v>
      </c>
      <c r="E2581" s="217">
        <v>44256</v>
      </c>
      <c r="F2581">
        <v>3086</v>
      </c>
      <c r="G2581" s="227" t="s">
        <v>128</v>
      </c>
    </row>
    <row r="2582" spans="1:7">
      <c r="A2582" s="216">
        <v>44256</v>
      </c>
      <c r="B2582" t="s">
        <v>50</v>
      </c>
      <c r="C2582">
        <v>11</v>
      </c>
      <c r="D2582" t="s">
        <v>445</v>
      </c>
      <c r="E2582" s="217">
        <v>44256</v>
      </c>
      <c r="F2582">
        <v>3396</v>
      </c>
      <c r="G2582" s="227" t="s">
        <v>124</v>
      </c>
    </row>
    <row r="2583" spans="1:7">
      <c r="A2583" s="216">
        <v>44256</v>
      </c>
      <c r="B2583" t="s">
        <v>50</v>
      </c>
      <c r="C2583">
        <v>11</v>
      </c>
      <c r="D2583" t="s">
        <v>445</v>
      </c>
      <c r="E2583" s="217">
        <v>44256</v>
      </c>
      <c r="F2583">
        <v>3247</v>
      </c>
      <c r="G2583" s="227" t="s">
        <v>120</v>
      </c>
    </row>
    <row r="2584" spans="1:7">
      <c r="A2584" s="216">
        <v>44256</v>
      </c>
      <c r="B2584" t="s">
        <v>50</v>
      </c>
      <c r="C2584">
        <v>11</v>
      </c>
      <c r="D2584" t="s">
        <v>445</v>
      </c>
      <c r="E2584" s="217">
        <v>44256</v>
      </c>
      <c r="F2584">
        <v>3069</v>
      </c>
      <c r="G2584" s="227" t="s">
        <v>89</v>
      </c>
    </row>
    <row r="2585" spans="1:7">
      <c r="A2585" s="216">
        <v>44256</v>
      </c>
      <c r="B2585" t="s">
        <v>50</v>
      </c>
      <c r="C2585">
        <v>11</v>
      </c>
      <c r="D2585" t="s">
        <v>445</v>
      </c>
      <c r="E2585" s="217">
        <v>44256</v>
      </c>
      <c r="F2585">
        <v>3526</v>
      </c>
      <c r="G2585" s="227" t="s">
        <v>97</v>
      </c>
    </row>
    <row r="2586" spans="1:7">
      <c r="A2586" s="216">
        <v>44256</v>
      </c>
      <c r="B2586" t="s">
        <v>50</v>
      </c>
      <c r="C2586">
        <v>11</v>
      </c>
      <c r="D2586" t="s">
        <v>445</v>
      </c>
      <c r="E2586" s="217">
        <v>44256</v>
      </c>
      <c r="F2586">
        <v>3347</v>
      </c>
      <c r="G2586" s="227" t="s">
        <v>93</v>
      </c>
    </row>
    <row r="2587" spans="1:7">
      <c r="A2587" s="216">
        <v>44256</v>
      </c>
      <c r="B2587" t="s">
        <v>50</v>
      </c>
      <c r="C2587">
        <v>11</v>
      </c>
      <c r="D2587" t="s">
        <v>445</v>
      </c>
      <c r="E2587" s="217">
        <v>44256</v>
      </c>
      <c r="F2587">
        <v>4291</v>
      </c>
      <c r="G2587" s="227" t="s">
        <v>111</v>
      </c>
    </row>
    <row r="2588" spans="1:7">
      <c r="A2588" s="216">
        <v>44256</v>
      </c>
      <c r="B2588" t="s">
        <v>50</v>
      </c>
      <c r="C2588">
        <v>11</v>
      </c>
      <c r="D2588" t="s">
        <v>445</v>
      </c>
      <c r="E2588" s="217">
        <v>44256</v>
      </c>
      <c r="F2588">
        <v>40154</v>
      </c>
      <c r="G2588" s="227" t="s">
        <v>434</v>
      </c>
    </row>
    <row r="2589" spans="1:7">
      <c r="A2589" s="216">
        <v>44256</v>
      </c>
      <c r="B2589" t="s">
        <v>50</v>
      </c>
      <c r="C2589">
        <v>12</v>
      </c>
      <c r="D2589" t="s">
        <v>454</v>
      </c>
      <c r="E2589" s="217">
        <v>44256</v>
      </c>
      <c r="F2589">
        <v>52</v>
      </c>
      <c r="G2589" s="227" t="s">
        <v>79</v>
      </c>
    </row>
    <row r="2590" spans="1:7">
      <c r="A2590" s="216">
        <v>44256</v>
      </c>
      <c r="B2590" t="s">
        <v>50</v>
      </c>
      <c r="C2590">
        <v>12</v>
      </c>
      <c r="D2590" t="s">
        <v>454</v>
      </c>
      <c r="E2590" s="217">
        <v>44256</v>
      </c>
      <c r="F2590">
        <v>36</v>
      </c>
      <c r="G2590" s="227" t="s">
        <v>115</v>
      </c>
    </row>
    <row r="2591" spans="1:7">
      <c r="A2591" s="216">
        <v>44256</v>
      </c>
      <c r="B2591" t="s">
        <v>50</v>
      </c>
      <c r="C2591">
        <v>12</v>
      </c>
      <c r="D2591" t="s">
        <v>454</v>
      </c>
      <c r="E2591" s="217">
        <v>44256</v>
      </c>
      <c r="F2591">
        <v>34</v>
      </c>
      <c r="G2591" s="227" t="s">
        <v>106</v>
      </c>
    </row>
    <row r="2592" spans="1:7">
      <c r="A2592" s="216">
        <v>44256</v>
      </c>
      <c r="B2592" t="s">
        <v>50</v>
      </c>
      <c r="C2592">
        <v>12</v>
      </c>
      <c r="D2592" t="s">
        <v>454</v>
      </c>
      <c r="E2592" s="217">
        <v>44256</v>
      </c>
      <c r="F2592">
        <v>19</v>
      </c>
      <c r="G2592" s="227" t="s">
        <v>101</v>
      </c>
    </row>
    <row r="2593" spans="1:7">
      <c r="A2593" s="216">
        <v>44256</v>
      </c>
      <c r="B2593" t="s">
        <v>50</v>
      </c>
      <c r="C2593">
        <v>12</v>
      </c>
      <c r="D2593" t="s">
        <v>454</v>
      </c>
      <c r="E2593" s="217">
        <v>44256</v>
      </c>
      <c r="F2593">
        <v>32</v>
      </c>
      <c r="G2593" s="227" t="s">
        <v>84</v>
      </c>
    </row>
    <row r="2594" spans="1:7">
      <c r="A2594" s="216">
        <v>44256</v>
      </c>
      <c r="B2594" t="s">
        <v>50</v>
      </c>
      <c r="C2594">
        <v>12</v>
      </c>
      <c r="D2594" t="s">
        <v>454</v>
      </c>
      <c r="E2594" s="217">
        <v>44256</v>
      </c>
      <c r="F2594">
        <v>39</v>
      </c>
      <c r="G2594" s="227" t="s">
        <v>128</v>
      </c>
    </row>
    <row r="2595" spans="1:7">
      <c r="A2595" s="216">
        <v>44256</v>
      </c>
      <c r="B2595" t="s">
        <v>50</v>
      </c>
      <c r="C2595">
        <v>12</v>
      </c>
      <c r="D2595" t="s">
        <v>454</v>
      </c>
      <c r="E2595" s="217">
        <v>44256</v>
      </c>
      <c r="F2595">
        <v>41</v>
      </c>
      <c r="G2595" s="227" t="s">
        <v>124</v>
      </c>
    </row>
    <row r="2596" spans="1:7">
      <c r="A2596" s="216">
        <v>44256</v>
      </c>
      <c r="B2596" t="s">
        <v>50</v>
      </c>
      <c r="C2596">
        <v>12</v>
      </c>
      <c r="D2596" t="s">
        <v>454</v>
      </c>
      <c r="E2596" s="217">
        <v>44256</v>
      </c>
      <c r="F2596">
        <v>38</v>
      </c>
      <c r="G2596" s="227" t="s">
        <v>120</v>
      </c>
    </row>
    <row r="2597" spans="1:7">
      <c r="A2597" s="216">
        <v>44256</v>
      </c>
      <c r="B2597" t="s">
        <v>50</v>
      </c>
      <c r="C2597">
        <v>12</v>
      </c>
      <c r="D2597" t="s">
        <v>454</v>
      </c>
      <c r="E2597" s="217">
        <v>44256</v>
      </c>
      <c r="F2597">
        <v>40</v>
      </c>
      <c r="G2597" s="227" t="s">
        <v>89</v>
      </c>
    </row>
    <row r="2598" spans="1:7">
      <c r="A2598" s="216">
        <v>44256</v>
      </c>
      <c r="B2598" t="s">
        <v>50</v>
      </c>
      <c r="C2598">
        <v>12</v>
      </c>
      <c r="D2598" t="s">
        <v>454</v>
      </c>
      <c r="E2598" s="217">
        <v>44256</v>
      </c>
      <c r="F2598">
        <v>31</v>
      </c>
      <c r="G2598" s="227" t="s">
        <v>97</v>
      </c>
    </row>
    <row r="2599" spans="1:7">
      <c r="A2599" s="216">
        <v>44256</v>
      </c>
      <c r="B2599" t="s">
        <v>50</v>
      </c>
      <c r="C2599">
        <v>12</v>
      </c>
      <c r="D2599" t="s">
        <v>454</v>
      </c>
      <c r="E2599" s="217">
        <v>44256</v>
      </c>
      <c r="F2599">
        <v>35</v>
      </c>
      <c r="G2599" s="227" t="s">
        <v>93</v>
      </c>
    </row>
    <row r="2600" spans="1:7">
      <c r="A2600" s="216">
        <v>44256</v>
      </c>
      <c r="B2600" t="s">
        <v>50</v>
      </c>
      <c r="C2600">
        <v>12</v>
      </c>
      <c r="D2600" t="s">
        <v>454</v>
      </c>
      <c r="E2600" s="217">
        <v>44256</v>
      </c>
      <c r="F2600">
        <v>27</v>
      </c>
      <c r="G2600" s="227" t="s">
        <v>111</v>
      </c>
    </row>
    <row r="2601" spans="1:7">
      <c r="A2601" s="216">
        <v>44256</v>
      </c>
      <c r="B2601" t="s">
        <v>50</v>
      </c>
      <c r="C2601">
        <v>12</v>
      </c>
      <c r="D2601" t="s">
        <v>454</v>
      </c>
      <c r="E2601" s="217">
        <v>44256</v>
      </c>
      <c r="F2601">
        <v>424</v>
      </c>
      <c r="G2601" s="227" t="s">
        <v>434</v>
      </c>
    </row>
    <row r="2602" spans="1:7">
      <c r="A2602" s="216">
        <v>44256</v>
      </c>
      <c r="B2602" t="s">
        <v>50</v>
      </c>
      <c r="C2602">
        <v>13</v>
      </c>
      <c r="D2602" t="s">
        <v>441</v>
      </c>
      <c r="E2602" s="217">
        <v>44256</v>
      </c>
      <c r="F2602">
        <v>0</v>
      </c>
      <c r="G2602" s="227" t="s">
        <v>79</v>
      </c>
    </row>
    <row r="2603" spans="1:7">
      <c r="A2603" s="216">
        <v>44256</v>
      </c>
      <c r="B2603" t="s">
        <v>50</v>
      </c>
      <c r="C2603">
        <v>13</v>
      </c>
      <c r="D2603" t="s">
        <v>441</v>
      </c>
      <c r="E2603" s="217">
        <v>44256</v>
      </c>
      <c r="F2603">
        <v>0</v>
      </c>
      <c r="G2603" s="227" t="s">
        <v>115</v>
      </c>
    </row>
    <row r="2604" spans="1:7">
      <c r="A2604" s="216">
        <v>44256</v>
      </c>
      <c r="B2604" t="s">
        <v>50</v>
      </c>
      <c r="C2604">
        <v>13</v>
      </c>
      <c r="D2604" t="s">
        <v>441</v>
      </c>
      <c r="E2604" s="217">
        <v>44256</v>
      </c>
      <c r="F2604">
        <v>0</v>
      </c>
      <c r="G2604" s="227" t="s">
        <v>106</v>
      </c>
    </row>
    <row r="2605" spans="1:7">
      <c r="A2605" s="216">
        <v>44256</v>
      </c>
      <c r="B2605" t="s">
        <v>50</v>
      </c>
      <c r="C2605">
        <v>13</v>
      </c>
      <c r="D2605" t="s">
        <v>441</v>
      </c>
      <c r="E2605" s="217">
        <v>44256</v>
      </c>
      <c r="F2605">
        <v>0</v>
      </c>
      <c r="G2605" s="227" t="s">
        <v>101</v>
      </c>
    </row>
    <row r="2606" spans="1:7">
      <c r="A2606" s="216">
        <v>44256</v>
      </c>
      <c r="B2606" t="s">
        <v>50</v>
      </c>
      <c r="C2606">
        <v>13</v>
      </c>
      <c r="D2606" t="s">
        <v>441</v>
      </c>
      <c r="E2606" s="217">
        <v>44256</v>
      </c>
      <c r="F2606">
        <v>0</v>
      </c>
      <c r="G2606" s="227" t="s">
        <v>84</v>
      </c>
    </row>
    <row r="2607" spans="1:7">
      <c r="A2607" s="216">
        <v>44256</v>
      </c>
      <c r="B2607" t="s">
        <v>50</v>
      </c>
      <c r="C2607">
        <v>13</v>
      </c>
      <c r="D2607" t="s">
        <v>441</v>
      </c>
      <c r="E2607" s="217">
        <v>44256</v>
      </c>
      <c r="F2607">
        <v>0</v>
      </c>
      <c r="G2607" s="227" t="s">
        <v>128</v>
      </c>
    </row>
    <row r="2608" spans="1:7">
      <c r="A2608" s="216">
        <v>44256</v>
      </c>
      <c r="B2608" t="s">
        <v>50</v>
      </c>
      <c r="C2608">
        <v>13</v>
      </c>
      <c r="D2608" t="s">
        <v>441</v>
      </c>
      <c r="E2608" s="217">
        <v>44256</v>
      </c>
      <c r="F2608">
        <v>0</v>
      </c>
      <c r="G2608" s="227" t="s">
        <v>124</v>
      </c>
    </row>
    <row r="2609" spans="1:7">
      <c r="A2609" s="216">
        <v>44256</v>
      </c>
      <c r="B2609" t="s">
        <v>50</v>
      </c>
      <c r="C2609">
        <v>13</v>
      </c>
      <c r="D2609" t="s">
        <v>441</v>
      </c>
      <c r="E2609" s="217">
        <v>44256</v>
      </c>
      <c r="F2609">
        <v>0</v>
      </c>
      <c r="G2609" s="227" t="s">
        <v>120</v>
      </c>
    </row>
    <row r="2610" spans="1:7">
      <c r="A2610" s="216">
        <v>44256</v>
      </c>
      <c r="B2610" t="s">
        <v>50</v>
      </c>
      <c r="C2610">
        <v>13</v>
      </c>
      <c r="D2610" t="s">
        <v>441</v>
      </c>
      <c r="E2610" s="217">
        <v>44256</v>
      </c>
      <c r="F2610">
        <v>0</v>
      </c>
      <c r="G2610" s="227" t="s">
        <v>89</v>
      </c>
    </row>
    <row r="2611" spans="1:7">
      <c r="A2611" s="216">
        <v>44256</v>
      </c>
      <c r="B2611" t="s">
        <v>50</v>
      </c>
      <c r="C2611">
        <v>13</v>
      </c>
      <c r="D2611" t="s">
        <v>441</v>
      </c>
      <c r="E2611" s="217">
        <v>44256</v>
      </c>
      <c r="F2611">
        <v>0</v>
      </c>
      <c r="G2611" s="227" t="s">
        <v>97</v>
      </c>
    </row>
    <row r="2612" spans="1:7">
      <c r="A2612" s="216">
        <v>44256</v>
      </c>
      <c r="B2612" t="s">
        <v>50</v>
      </c>
      <c r="C2612">
        <v>13</v>
      </c>
      <c r="D2612" t="s">
        <v>441</v>
      </c>
      <c r="E2612" s="217">
        <v>44256</v>
      </c>
      <c r="F2612">
        <v>0</v>
      </c>
      <c r="G2612" s="227" t="s">
        <v>93</v>
      </c>
    </row>
    <row r="2613" spans="1:7">
      <c r="A2613" s="216">
        <v>44256</v>
      </c>
      <c r="B2613" t="s">
        <v>50</v>
      </c>
      <c r="C2613">
        <v>13</v>
      </c>
      <c r="D2613" t="s">
        <v>441</v>
      </c>
      <c r="E2613" s="217">
        <v>44256</v>
      </c>
      <c r="F2613">
        <v>0</v>
      </c>
      <c r="G2613" s="227" t="s">
        <v>111</v>
      </c>
    </row>
    <row r="2614" spans="1:7">
      <c r="A2614" s="216">
        <v>44256</v>
      </c>
      <c r="B2614" t="s">
        <v>50</v>
      </c>
      <c r="C2614">
        <v>13</v>
      </c>
      <c r="D2614" t="s">
        <v>441</v>
      </c>
      <c r="E2614" s="217">
        <v>44256</v>
      </c>
      <c r="F2614">
        <v>0</v>
      </c>
      <c r="G2614" s="227" t="s">
        <v>434</v>
      </c>
    </row>
    <row r="2615" spans="1:7">
      <c r="A2615" s="216">
        <v>44256</v>
      </c>
      <c r="B2615" t="s">
        <v>50</v>
      </c>
      <c r="C2615">
        <v>14</v>
      </c>
      <c r="D2615" t="s">
        <v>447</v>
      </c>
      <c r="E2615" s="217">
        <v>44256</v>
      </c>
      <c r="F2615">
        <v>0</v>
      </c>
      <c r="G2615" s="227" t="s">
        <v>79</v>
      </c>
    </row>
    <row r="2616" spans="1:7">
      <c r="A2616" s="216">
        <v>44256</v>
      </c>
      <c r="B2616" t="s">
        <v>50</v>
      </c>
      <c r="C2616">
        <v>14</v>
      </c>
      <c r="D2616" t="s">
        <v>447</v>
      </c>
      <c r="E2616" s="217">
        <v>44256</v>
      </c>
      <c r="F2616">
        <v>0</v>
      </c>
      <c r="G2616" s="227" t="s">
        <v>115</v>
      </c>
    </row>
    <row r="2617" spans="1:7">
      <c r="A2617" s="216">
        <v>44256</v>
      </c>
      <c r="B2617" t="s">
        <v>50</v>
      </c>
      <c r="C2617">
        <v>14</v>
      </c>
      <c r="D2617" t="s">
        <v>447</v>
      </c>
      <c r="E2617" s="217">
        <v>44256</v>
      </c>
      <c r="F2617">
        <v>0</v>
      </c>
      <c r="G2617" s="227" t="s">
        <v>106</v>
      </c>
    </row>
    <row r="2618" spans="1:7">
      <c r="A2618" s="216">
        <v>44256</v>
      </c>
      <c r="B2618" t="s">
        <v>50</v>
      </c>
      <c r="C2618">
        <v>14</v>
      </c>
      <c r="D2618" t="s">
        <v>447</v>
      </c>
      <c r="E2618" s="217">
        <v>44256</v>
      </c>
      <c r="F2618">
        <v>0</v>
      </c>
      <c r="G2618" s="227" t="s">
        <v>101</v>
      </c>
    </row>
    <row r="2619" spans="1:7">
      <c r="A2619" s="216">
        <v>44256</v>
      </c>
      <c r="B2619" t="s">
        <v>50</v>
      </c>
      <c r="C2619">
        <v>14</v>
      </c>
      <c r="D2619" t="s">
        <v>447</v>
      </c>
      <c r="E2619" s="217">
        <v>44256</v>
      </c>
      <c r="F2619">
        <v>0</v>
      </c>
      <c r="G2619" s="227" t="s">
        <v>84</v>
      </c>
    </row>
    <row r="2620" spans="1:7">
      <c r="A2620" s="216">
        <v>44256</v>
      </c>
      <c r="B2620" t="s">
        <v>50</v>
      </c>
      <c r="C2620">
        <v>14</v>
      </c>
      <c r="D2620" t="s">
        <v>447</v>
      </c>
      <c r="E2620" s="217">
        <v>44256</v>
      </c>
      <c r="F2620">
        <v>0</v>
      </c>
      <c r="G2620" s="227" t="s">
        <v>128</v>
      </c>
    </row>
    <row r="2621" spans="1:7">
      <c r="A2621" s="216">
        <v>44256</v>
      </c>
      <c r="B2621" t="s">
        <v>50</v>
      </c>
      <c r="C2621">
        <v>14</v>
      </c>
      <c r="D2621" t="s">
        <v>447</v>
      </c>
      <c r="E2621" s="217">
        <v>44256</v>
      </c>
      <c r="F2621">
        <v>0</v>
      </c>
      <c r="G2621" s="227" t="s">
        <v>124</v>
      </c>
    </row>
    <row r="2622" spans="1:7">
      <c r="A2622" s="216">
        <v>44256</v>
      </c>
      <c r="B2622" t="s">
        <v>50</v>
      </c>
      <c r="C2622">
        <v>14</v>
      </c>
      <c r="D2622" t="s">
        <v>447</v>
      </c>
      <c r="E2622" s="217">
        <v>44256</v>
      </c>
      <c r="F2622">
        <v>0</v>
      </c>
      <c r="G2622" s="227" t="s">
        <v>120</v>
      </c>
    </row>
    <row r="2623" spans="1:7">
      <c r="A2623" s="216">
        <v>44256</v>
      </c>
      <c r="B2623" t="s">
        <v>50</v>
      </c>
      <c r="C2623">
        <v>14</v>
      </c>
      <c r="D2623" t="s">
        <v>447</v>
      </c>
      <c r="E2623" s="217">
        <v>44256</v>
      </c>
      <c r="F2623">
        <v>0</v>
      </c>
      <c r="G2623" s="227" t="s">
        <v>89</v>
      </c>
    </row>
    <row r="2624" spans="1:7">
      <c r="A2624" s="216">
        <v>44256</v>
      </c>
      <c r="B2624" t="s">
        <v>50</v>
      </c>
      <c r="C2624">
        <v>14</v>
      </c>
      <c r="D2624" t="s">
        <v>447</v>
      </c>
      <c r="E2624" s="217">
        <v>44256</v>
      </c>
      <c r="F2624">
        <v>0</v>
      </c>
      <c r="G2624" s="227" t="s">
        <v>97</v>
      </c>
    </row>
    <row r="2625" spans="1:7">
      <c r="A2625" s="216">
        <v>44256</v>
      </c>
      <c r="B2625" t="s">
        <v>50</v>
      </c>
      <c r="C2625">
        <v>14</v>
      </c>
      <c r="D2625" t="s">
        <v>447</v>
      </c>
      <c r="E2625" s="217">
        <v>44256</v>
      </c>
      <c r="F2625">
        <v>0</v>
      </c>
      <c r="G2625" s="227" t="s">
        <v>93</v>
      </c>
    </row>
    <row r="2626" spans="1:7">
      <c r="A2626" s="216">
        <v>44256</v>
      </c>
      <c r="B2626" t="s">
        <v>50</v>
      </c>
      <c r="C2626">
        <v>14</v>
      </c>
      <c r="D2626" t="s">
        <v>447</v>
      </c>
      <c r="E2626" s="217">
        <v>44256</v>
      </c>
      <c r="F2626">
        <v>0</v>
      </c>
      <c r="G2626" s="227" t="s">
        <v>111</v>
      </c>
    </row>
    <row r="2627" spans="1:7">
      <c r="A2627" s="216">
        <v>44256</v>
      </c>
      <c r="B2627" t="s">
        <v>50</v>
      </c>
      <c r="C2627">
        <v>14</v>
      </c>
      <c r="D2627" t="s">
        <v>447</v>
      </c>
      <c r="E2627" s="217">
        <v>44256</v>
      </c>
      <c r="F2627">
        <v>0</v>
      </c>
      <c r="G2627" s="227" t="s">
        <v>434</v>
      </c>
    </row>
    <row r="2628" spans="1:7">
      <c r="A2628" s="216">
        <v>44256</v>
      </c>
      <c r="B2628" t="s">
        <v>50</v>
      </c>
      <c r="C2628">
        <v>15</v>
      </c>
      <c r="D2628" t="s">
        <v>437</v>
      </c>
      <c r="E2628" s="217">
        <v>44256</v>
      </c>
      <c r="F2628">
        <v>0</v>
      </c>
      <c r="G2628" s="227" t="s">
        <v>79</v>
      </c>
    </row>
    <row r="2629" spans="1:7">
      <c r="A2629" s="216">
        <v>44256</v>
      </c>
      <c r="B2629" t="s">
        <v>50</v>
      </c>
      <c r="C2629">
        <v>15</v>
      </c>
      <c r="D2629" t="s">
        <v>437</v>
      </c>
      <c r="E2629" s="217">
        <v>44256</v>
      </c>
      <c r="F2629">
        <v>0</v>
      </c>
      <c r="G2629" s="227" t="s">
        <v>115</v>
      </c>
    </row>
    <row r="2630" spans="1:7">
      <c r="A2630" s="216">
        <v>44256</v>
      </c>
      <c r="B2630" t="s">
        <v>50</v>
      </c>
      <c r="C2630">
        <v>15</v>
      </c>
      <c r="D2630" t="s">
        <v>437</v>
      </c>
      <c r="E2630" s="217">
        <v>44256</v>
      </c>
      <c r="F2630">
        <v>0</v>
      </c>
      <c r="G2630" s="227" t="s">
        <v>106</v>
      </c>
    </row>
    <row r="2631" spans="1:7">
      <c r="A2631" s="216">
        <v>44256</v>
      </c>
      <c r="B2631" t="s">
        <v>50</v>
      </c>
      <c r="C2631">
        <v>15</v>
      </c>
      <c r="D2631" t="s">
        <v>437</v>
      </c>
      <c r="E2631" s="217">
        <v>44256</v>
      </c>
      <c r="F2631">
        <v>0</v>
      </c>
      <c r="G2631" s="227" t="s">
        <v>101</v>
      </c>
    </row>
    <row r="2632" spans="1:7">
      <c r="A2632" s="216">
        <v>44256</v>
      </c>
      <c r="B2632" t="s">
        <v>50</v>
      </c>
      <c r="C2632">
        <v>15</v>
      </c>
      <c r="D2632" t="s">
        <v>437</v>
      </c>
      <c r="E2632" s="217">
        <v>44256</v>
      </c>
      <c r="F2632">
        <v>0</v>
      </c>
      <c r="G2632" s="227" t="s">
        <v>84</v>
      </c>
    </row>
    <row r="2633" spans="1:7">
      <c r="A2633" s="216">
        <v>44256</v>
      </c>
      <c r="B2633" t="s">
        <v>50</v>
      </c>
      <c r="C2633">
        <v>15</v>
      </c>
      <c r="D2633" t="s">
        <v>437</v>
      </c>
      <c r="E2633" s="217">
        <v>44256</v>
      </c>
      <c r="F2633">
        <v>0</v>
      </c>
      <c r="G2633" s="227" t="s">
        <v>128</v>
      </c>
    </row>
    <row r="2634" spans="1:7">
      <c r="A2634" s="216">
        <v>44256</v>
      </c>
      <c r="B2634" t="s">
        <v>50</v>
      </c>
      <c r="C2634">
        <v>15</v>
      </c>
      <c r="D2634" t="s">
        <v>437</v>
      </c>
      <c r="E2634" s="217">
        <v>44256</v>
      </c>
      <c r="F2634">
        <v>0</v>
      </c>
      <c r="G2634" s="227" t="s">
        <v>124</v>
      </c>
    </row>
    <row r="2635" spans="1:7">
      <c r="A2635" s="216">
        <v>44256</v>
      </c>
      <c r="B2635" t="s">
        <v>50</v>
      </c>
      <c r="C2635">
        <v>15</v>
      </c>
      <c r="D2635" t="s">
        <v>437</v>
      </c>
      <c r="E2635" s="217">
        <v>44256</v>
      </c>
      <c r="F2635">
        <v>0</v>
      </c>
      <c r="G2635" s="227" t="s">
        <v>120</v>
      </c>
    </row>
    <row r="2636" spans="1:7">
      <c r="A2636" s="216">
        <v>44256</v>
      </c>
      <c r="B2636" t="s">
        <v>50</v>
      </c>
      <c r="C2636">
        <v>15</v>
      </c>
      <c r="D2636" t="s">
        <v>437</v>
      </c>
      <c r="E2636" s="217">
        <v>44256</v>
      </c>
      <c r="F2636">
        <v>0</v>
      </c>
      <c r="G2636" s="227" t="s">
        <v>89</v>
      </c>
    </row>
    <row r="2637" spans="1:7">
      <c r="A2637" s="216">
        <v>44256</v>
      </c>
      <c r="B2637" t="s">
        <v>50</v>
      </c>
      <c r="C2637">
        <v>15</v>
      </c>
      <c r="D2637" t="s">
        <v>437</v>
      </c>
      <c r="E2637" s="217">
        <v>44256</v>
      </c>
      <c r="F2637">
        <v>0</v>
      </c>
      <c r="G2637" s="227" t="s">
        <v>97</v>
      </c>
    </row>
    <row r="2638" spans="1:7">
      <c r="A2638" s="216">
        <v>44256</v>
      </c>
      <c r="B2638" t="s">
        <v>50</v>
      </c>
      <c r="C2638">
        <v>15</v>
      </c>
      <c r="D2638" t="s">
        <v>437</v>
      </c>
      <c r="E2638" s="217">
        <v>44256</v>
      </c>
      <c r="F2638">
        <v>0</v>
      </c>
      <c r="G2638" s="227" t="s">
        <v>93</v>
      </c>
    </row>
    <row r="2639" spans="1:7">
      <c r="A2639" s="216">
        <v>44256</v>
      </c>
      <c r="B2639" t="s">
        <v>50</v>
      </c>
      <c r="C2639">
        <v>15</v>
      </c>
      <c r="D2639" t="s">
        <v>437</v>
      </c>
      <c r="E2639" s="217">
        <v>44256</v>
      </c>
      <c r="F2639">
        <v>0</v>
      </c>
      <c r="G2639" s="227" t="s">
        <v>111</v>
      </c>
    </row>
    <row r="2640" spans="1:7">
      <c r="A2640" s="216">
        <v>44256</v>
      </c>
      <c r="B2640" t="s">
        <v>50</v>
      </c>
      <c r="C2640">
        <v>15</v>
      </c>
      <c r="D2640" t="s">
        <v>437</v>
      </c>
      <c r="E2640" s="217">
        <v>44256</v>
      </c>
      <c r="F2640">
        <v>0</v>
      </c>
      <c r="G2640" s="227" t="s">
        <v>434</v>
      </c>
    </row>
    <row r="2641" spans="1:7">
      <c r="A2641" s="216">
        <v>44256</v>
      </c>
      <c r="B2641" t="s">
        <v>461</v>
      </c>
      <c r="C2641">
        <v>7</v>
      </c>
      <c r="D2641" t="s">
        <v>442</v>
      </c>
      <c r="E2641" s="217">
        <v>44256</v>
      </c>
      <c r="F2641">
        <v>76095.58</v>
      </c>
      <c r="G2641" s="227" t="s">
        <v>79</v>
      </c>
    </row>
    <row r="2642" spans="1:7">
      <c r="A2642" s="216">
        <v>44256</v>
      </c>
      <c r="B2642" t="s">
        <v>461</v>
      </c>
      <c r="C2642">
        <v>7</v>
      </c>
      <c r="D2642" t="s">
        <v>442</v>
      </c>
      <c r="E2642" s="217">
        <v>44256</v>
      </c>
      <c r="F2642">
        <v>73068.66</v>
      </c>
      <c r="G2642" s="227" t="s">
        <v>115</v>
      </c>
    </row>
    <row r="2643" spans="1:7">
      <c r="A2643" s="216">
        <v>44256</v>
      </c>
      <c r="B2643" t="s">
        <v>461</v>
      </c>
      <c r="C2643">
        <v>7</v>
      </c>
      <c r="D2643" t="s">
        <v>442</v>
      </c>
      <c r="E2643" s="217">
        <v>44256</v>
      </c>
      <c r="F2643">
        <v>68830.240000000005</v>
      </c>
      <c r="G2643" s="227" t="s">
        <v>106</v>
      </c>
    </row>
    <row r="2644" spans="1:7">
      <c r="A2644" s="216">
        <v>44256</v>
      </c>
      <c r="B2644" t="s">
        <v>461</v>
      </c>
      <c r="C2644">
        <v>7</v>
      </c>
      <c r="D2644" t="s">
        <v>442</v>
      </c>
      <c r="E2644" s="217">
        <v>44256</v>
      </c>
      <c r="F2644">
        <v>73622</v>
      </c>
      <c r="G2644" s="227" t="s">
        <v>101</v>
      </c>
    </row>
    <row r="2645" spans="1:7">
      <c r="A2645" s="216">
        <v>44256</v>
      </c>
      <c r="B2645" t="s">
        <v>461</v>
      </c>
      <c r="C2645">
        <v>7</v>
      </c>
      <c r="D2645" t="s">
        <v>442</v>
      </c>
      <c r="E2645" s="217">
        <v>44256</v>
      </c>
      <c r="F2645">
        <v>70575</v>
      </c>
      <c r="G2645" s="227" t="s">
        <v>84</v>
      </c>
    </row>
    <row r="2646" spans="1:7">
      <c r="A2646" s="216">
        <v>44256</v>
      </c>
      <c r="B2646" t="s">
        <v>461</v>
      </c>
      <c r="C2646">
        <v>7</v>
      </c>
      <c r="D2646" t="s">
        <v>442</v>
      </c>
      <c r="E2646" s="217">
        <v>44256</v>
      </c>
      <c r="F2646">
        <v>77001</v>
      </c>
      <c r="G2646" s="227" t="s">
        <v>128</v>
      </c>
    </row>
    <row r="2647" spans="1:7">
      <c r="A2647" s="216">
        <v>44256</v>
      </c>
      <c r="B2647" t="s">
        <v>461</v>
      </c>
      <c r="C2647">
        <v>7</v>
      </c>
      <c r="D2647" t="s">
        <v>442</v>
      </c>
      <c r="E2647" s="217">
        <v>44256</v>
      </c>
      <c r="F2647">
        <v>70662</v>
      </c>
      <c r="G2647" s="227" t="s">
        <v>124</v>
      </c>
    </row>
    <row r="2648" spans="1:7">
      <c r="A2648" s="216">
        <v>44256</v>
      </c>
      <c r="B2648" t="s">
        <v>461</v>
      </c>
      <c r="C2648">
        <v>7</v>
      </c>
      <c r="D2648" t="s">
        <v>442</v>
      </c>
      <c r="E2648" s="217">
        <v>44256</v>
      </c>
      <c r="F2648">
        <v>72853</v>
      </c>
      <c r="G2648" s="227" t="s">
        <v>120</v>
      </c>
    </row>
    <row r="2649" spans="1:7">
      <c r="A2649" s="216">
        <v>44256</v>
      </c>
      <c r="B2649" t="s">
        <v>461</v>
      </c>
      <c r="C2649">
        <v>7</v>
      </c>
      <c r="D2649" t="s">
        <v>442</v>
      </c>
      <c r="E2649" s="217">
        <v>44256</v>
      </c>
      <c r="F2649">
        <v>76861</v>
      </c>
      <c r="G2649" s="227" t="s">
        <v>89</v>
      </c>
    </row>
    <row r="2650" spans="1:7">
      <c r="A2650" s="216">
        <v>44256</v>
      </c>
      <c r="B2650" t="s">
        <v>461</v>
      </c>
      <c r="C2650">
        <v>7</v>
      </c>
      <c r="D2650" t="s">
        <v>442</v>
      </c>
      <c r="E2650" s="217">
        <v>44256</v>
      </c>
      <c r="F2650">
        <v>70479</v>
      </c>
      <c r="G2650" s="227" t="s">
        <v>97</v>
      </c>
    </row>
    <row r="2651" spans="1:7">
      <c r="A2651" s="216">
        <v>44256</v>
      </c>
      <c r="B2651" t="s">
        <v>461</v>
      </c>
      <c r="C2651">
        <v>7</v>
      </c>
      <c r="D2651" t="s">
        <v>442</v>
      </c>
      <c r="E2651" s="217">
        <v>44256</v>
      </c>
      <c r="F2651">
        <v>69994</v>
      </c>
      <c r="G2651" s="227" t="s">
        <v>93</v>
      </c>
    </row>
    <row r="2652" spans="1:7">
      <c r="A2652" s="216">
        <v>44256</v>
      </c>
      <c r="B2652" t="s">
        <v>461</v>
      </c>
      <c r="C2652">
        <v>7</v>
      </c>
      <c r="D2652" t="s">
        <v>442</v>
      </c>
      <c r="E2652" s="217">
        <v>44256</v>
      </c>
      <c r="F2652">
        <v>93711</v>
      </c>
      <c r="G2652" s="227" t="s">
        <v>111</v>
      </c>
    </row>
    <row r="2653" spans="1:7">
      <c r="A2653" s="216">
        <v>44256</v>
      </c>
      <c r="B2653" t="s">
        <v>461</v>
      </c>
      <c r="C2653">
        <v>7</v>
      </c>
      <c r="D2653" t="s">
        <v>442</v>
      </c>
      <c r="E2653" s="217">
        <v>44256</v>
      </c>
      <c r="F2653">
        <v>893752.48</v>
      </c>
      <c r="G2653" s="227" t="s">
        <v>434</v>
      </c>
    </row>
    <row r="2654" spans="1:7">
      <c r="A2654" s="216">
        <v>44256</v>
      </c>
      <c r="B2654" t="s">
        <v>461</v>
      </c>
      <c r="C2654">
        <v>9</v>
      </c>
      <c r="D2654" t="s">
        <v>450</v>
      </c>
      <c r="E2654" s="217">
        <v>44256</v>
      </c>
      <c r="F2654">
        <v>0</v>
      </c>
      <c r="G2654" s="227" t="s">
        <v>79</v>
      </c>
    </row>
    <row r="2655" spans="1:7">
      <c r="A2655" s="216">
        <v>44256</v>
      </c>
      <c r="B2655" t="s">
        <v>461</v>
      </c>
      <c r="C2655">
        <v>9</v>
      </c>
      <c r="D2655" t="s">
        <v>450</v>
      </c>
      <c r="E2655" s="217">
        <v>44256</v>
      </c>
      <c r="F2655">
        <v>0</v>
      </c>
      <c r="G2655" s="227" t="s">
        <v>115</v>
      </c>
    </row>
    <row r="2656" spans="1:7">
      <c r="A2656" s="216">
        <v>44256</v>
      </c>
      <c r="B2656" t="s">
        <v>461</v>
      </c>
      <c r="C2656">
        <v>9</v>
      </c>
      <c r="D2656" t="s">
        <v>450</v>
      </c>
      <c r="E2656" s="217">
        <v>44256</v>
      </c>
      <c r="F2656">
        <v>0</v>
      </c>
      <c r="G2656" s="227" t="s">
        <v>106</v>
      </c>
    </row>
    <row r="2657" spans="1:7">
      <c r="A2657" s="216">
        <v>44256</v>
      </c>
      <c r="B2657" t="s">
        <v>461</v>
      </c>
      <c r="C2657">
        <v>9</v>
      </c>
      <c r="D2657" t="s">
        <v>450</v>
      </c>
      <c r="E2657" s="217">
        <v>44256</v>
      </c>
      <c r="F2657">
        <v>0</v>
      </c>
      <c r="G2657" s="227" t="s">
        <v>101</v>
      </c>
    </row>
    <row r="2658" spans="1:7">
      <c r="A2658" s="216">
        <v>44256</v>
      </c>
      <c r="B2658" t="s">
        <v>461</v>
      </c>
      <c r="C2658">
        <v>9</v>
      </c>
      <c r="D2658" t="s">
        <v>450</v>
      </c>
      <c r="E2658" s="217">
        <v>44256</v>
      </c>
      <c r="F2658">
        <v>0</v>
      </c>
      <c r="G2658" s="227" t="s">
        <v>84</v>
      </c>
    </row>
    <row r="2659" spans="1:7">
      <c r="A2659" s="216">
        <v>44256</v>
      </c>
      <c r="B2659" t="s">
        <v>461</v>
      </c>
      <c r="C2659">
        <v>9</v>
      </c>
      <c r="D2659" t="s">
        <v>450</v>
      </c>
      <c r="E2659" s="217">
        <v>44256</v>
      </c>
      <c r="F2659">
        <v>0</v>
      </c>
      <c r="G2659" s="227" t="s">
        <v>128</v>
      </c>
    </row>
    <row r="2660" spans="1:7">
      <c r="A2660" s="216">
        <v>44256</v>
      </c>
      <c r="B2660" t="s">
        <v>461</v>
      </c>
      <c r="C2660">
        <v>9</v>
      </c>
      <c r="D2660" t="s">
        <v>450</v>
      </c>
      <c r="E2660" s="217">
        <v>44256</v>
      </c>
      <c r="F2660">
        <v>0</v>
      </c>
      <c r="G2660" s="227" t="s">
        <v>124</v>
      </c>
    </row>
    <row r="2661" spans="1:7">
      <c r="A2661" s="216">
        <v>44256</v>
      </c>
      <c r="B2661" t="s">
        <v>461</v>
      </c>
      <c r="C2661">
        <v>9</v>
      </c>
      <c r="D2661" t="s">
        <v>450</v>
      </c>
      <c r="E2661" s="217">
        <v>44256</v>
      </c>
      <c r="F2661">
        <v>0</v>
      </c>
      <c r="G2661" s="227" t="s">
        <v>120</v>
      </c>
    </row>
    <row r="2662" spans="1:7">
      <c r="A2662" s="216">
        <v>44256</v>
      </c>
      <c r="B2662" t="s">
        <v>461</v>
      </c>
      <c r="C2662">
        <v>9</v>
      </c>
      <c r="D2662" t="s">
        <v>450</v>
      </c>
      <c r="E2662" s="217">
        <v>44256</v>
      </c>
      <c r="F2662">
        <v>0</v>
      </c>
      <c r="G2662" s="227" t="s">
        <v>89</v>
      </c>
    </row>
    <row r="2663" spans="1:7">
      <c r="A2663" s="216">
        <v>44256</v>
      </c>
      <c r="B2663" t="s">
        <v>461</v>
      </c>
      <c r="C2663">
        <v>9</v>
      </c>
      <c r="D2663" t="s">
        <v>450</v>
      </c>
      <c r="E2663" s="217">
        <v>44256</v>
      </c>
      <c r="F2663">
        <v>0</v>
      </c>
      <c r="G2663" s="227" t="s">
        <v>97</v>
      </c>
    </row>
    <row r="2664" spans="1:7">
      <c r="A2664" s="216">
        <v>44256</v>
      </c>
      <c r="B2664" t="s">
        <v>461</v>
      </c>
      <c r="C2664">
        <v>9</v>
      </c>
      <c r="D2664" t="s">
        <v>450</v>
      </c>
      <c r="E2664" s="217">
        <v>44256</v>
      </c>
      <c r="F2664">
        <v>0</v>
      </c>
      <c r="G2664" s="227" t="s">
        <v>93</v>
      </c>
    </row>
    <row r="2665" spans="1:7">
      <c r="A2665" s="216">
        <v>44256</v>
      </c>
      <c r="B2665" t="s">
        <v>461</v>
      </c>
      <c r="C2665">
        <v>9</v>
      </c>
      <c r="D2665" t="s">
        <v>450</v>
      </c>
      <c r="E2665" s="217">
        <v>44256</v>
      </c>
      <c r="F2665">
        <v>0</v>
      </c>
      <c r="G2665" s="227" t="s">
        <v>111</v>
      </c>
    </row>
    <row r="2666" spans="1:7">
      <c r="A2666" s="216">
        <v>44256</v>
      </c>
      <c r="B2666" t="s">
        <v>461</v>
      </c>
      <c r="C2666">
        <v>9</v>
      </c>
      <c r="D2666" t="s">
        <v>450</v>
      </c>
      <c r="E2666" s="217">
        <v>44256</v>
      </c>
      <c r="F2666">
        <v>0</v>
      </c>
      <c r="G2666" s="227" t="s">
        <v>434</v>
      </c>
    </row>
    <row r="2667" spans="1:7">
      <c r="A2667" s="216">
        <v>44256</v>
      </c>
      <c r="B2667" t="s">
        <v>461</v>
      </c>
      <c r="C2667">
        <v>10</v>
      </c>
      <c r="D2667" t="s">
        <v>433</v>
      </c>
      <c r="E2667" s="217">
        <v>44256</v>
      </c>
      <c r="F2667">
        <v>516</v>
      </c>
      <c r="G2667" s="227" t="s">
        <v>79</v>
      </c>
    </row>
    <row r="2668" spans="1:7">
      <c r="A2668" s="216">
        <v>44256</v>
      </c>
      <c r="B2668" t="s">
        <v>461</v>
      </c>
      <c r="C2668">
        <v>10</v>
      </c>
      <c r="D2668" t="s">
        <v>433</v>
      </c>
      <c r="E2668" s="217">
        <v>44256</v>
      </c>
      <c r="F2668">
        <v>536</v>
      </c>
      <c r="G2668" s="227" t="s">
        <v>115</v>
      </c>
    </row>
    <row r="2669" spans="1:7">
      <c r="A2669" s="216">
        <v>44256</v>
      </c>
      <c r="B2669" t="s">
        <v>461</v>
      </c>
      <c r="C2669">
        <v>10</v>
      </c>
      <c r="D2669" t="s">
        <v>433</v>
      </c>
      <c r="E2669" s="217">
        <v>44256</v>
      </c>
      <c r="F2669">
        <v>537</v>
      </c>
      <c r="G2669" s="227" t="s">
        <v>106</v>
      </c>
    </row>
    <row r="2670" spans="1:7">
      <c r="A2670" s="216">
        <v>44256</v>
      </c>
      <c r="B2670" t="s">
        <v>461</v>
      </c>
      <c r="C2670">
        <v>10</v>
      </c>
      <c r="D2670" t="s">
        <v>433</v>
      </c>
      <c r="E2670" s="217">
        <v>44256</v>
      </c>
      <c r="F2670">
        <v>535</v>
      </c>
      <c r="G2670" s="227" t="s">
        <v>101</v>
      </c>
    </row>
    <row r="2671" spans="1:7">
      <c r="A2671" s="216">
        <v>44256</v>
      </c>
      <c r="B2671" t="s">
        <v>461</v>
      </c>
      <c r="C2671">
        <v>10</v>
      </c>
      <c r="D2671" t="s">
        <v>433</v>
      </c>
      <c r="E2671" s="217">
        <v>44256</v>
      </c>
      <c r="F2671">
        <v>520</v>
      </c>
      <c r="G2671" s="227" t="s">
        <v>84</v>
      </c>
    </row>
    <row r="2672" spans="1:7">
      <c r="A2672" s="216">
        <v>44256</v>
      </c>
      <c r="B2672" t="s">
        <v>461</v>
      </c>
      <c r="C2672">
        <v>10</v>
      </c>
      <c r="D2672" t="s">
        <v>433</v>
      </c>
      <c r="E2672" s="217">
        <v>44256</v>
      </c>
      <c r="F2672">
        <v>542</v>
      </c>
      <c r="G2672" s="227" t="s">
        <v>128</v>
      </c>
    </row>
    <row r="2673" spans="1:7">
      <c r="A2673" s="216">
        <v>44256</v>
      </c>
      <c r="B2673" t="s">
        <v>461</v>
      </c>
      <c r="C2673">
        <v>10</v>
      </c>
      <c r="D2673" t="s">
        <v>433</v>
      </c>
      <c r="E2673" s="217">
        <v>44256</v>
      </c>
      <c r="F2673">
        <v>525</v>
      </c>
      <c r="G2673" s="227" t="s">
        <v>124</v>
      </c>
    </row>
    <row r="2674" spans="1:7">
      <c r="A2674" s="216">
        <v>44256</v>
      </c>
      <c r="B2674" t="s">
        <v>461</v>
      </c>
      <c r="C2674">
        <v>10</v>
      </c>
      <c r="D2674" t="s">
        <v>433</v>
      </c>
      <c r="E2674" s="217">
        <v>44256</v>
      </c>
      <c r="F2674">
        <v>491</v>
      </c>
      <c r="G2674" s="227" t="s">
        <v>120</v>
      </c>
    </row>
    <row r="2675" spans="1:7">
      <c r="A2675" s="216">
        <v>44256</v>
      </c>
      <c r="B2675" t="s">
        <v>461</v>
      </c>
      <c r="C2675">
        <v>10</v>
      </c>
      <c r="D2675" t="s">
        <v>433</v>
      </c>
      <c r="E2675" s="217">
        <v>44256</v>
      </c>
      <c r="F2675">
        <v>532</v>
      </c>
      <c r="G2675" s="227" t="s">
        <v>89</v>
      </c>
    </row>
    <row r="2676" spans="1:7">
      <c r="A2676" s="216">
        <v>44256</v>
      </c>
      <c r="B2676" t="s">
        <v>461</v>
      </c>
      <c r="C2676">
        <v>10</v>
      </c>
      <c r="D2676" t="s">
        <v>433</v>
      </c>
      <c r="E2676" s="217">
        <v>44256</v>
      </c>
      <c r="F2676">
        <v>547</v>
      </c>
      <c r="G2676" s="227" t="s">
        <v>97</v>
      </c>
    </row>
    <row r="2677" spans="1:7">
      <c r="A2677" s="216">
        <v>44256</v>
      </c>
      <c r="B2677" t="s">
        <v>461</v>
      </c>
      <c r="C2677">
        <v>10</v>
      </c>
      <c r="D2677" t="s">
        <v>433</v>
      </c>
      <c r="E2677" s="217">
        <v>44256</v>
      </c>
      <c r="F2677">
        <v>561</v>
      </c>
      <c r="G2677" s="227" t="s">
        <v>93</v>
      </c>
    </row>
    <row r="2678" spans="1:7">
      <c r="A2678" s="216">
        <v>44256</v>
      </c>
      <c r="B2678" t="s">
        <v>461</v>
      </c>
      <c r="C2678">
        <v>10</v>
      </c>
      <c r="D2678" t="s">
        <v>433</v>
      </c>
      <c r="E2678" s="217">
        <v>44256</v>
      </c>
      <c r="F2678">
        <v>867</v>
      </c>
      <c r="G2678" s="227" t="s">
        <v>111</v>
      </c>
    </row>
    <row r="2679" spans="1:7">
      <c r="A2679" s="216">
        <v>44256</v>
      </c>
      <c r="B2679" t="s">
        <v>461</v>
      </c>
      <c r="C2679">
        <v>10</v>
      </c>
      <c r="D2679" t="s">
        <v>433</v>
      </c>
      <c r="E2679" s="217">
        <v>44256</v>
      </c>
      <c r="F2679">
        <v>6709</v>
      </c>
      <c r="G2679" s="227" t="s">
        <v>434</v>
      </c>
    </row>
    <row r="2680" spans="1:7">
      <c r="A2680" s="216">
        <v>44256</v>
      </c>
      <c r="B2680" t="s">
        <v>461</v>
      </c>
      <c r="C2680">
        <v>11</v>
      </c>
      <c r="D2680" t="s">
        <v>445</v>
      </c>
      <c r="E2680" s="217">
        <v>44256</v>
      </c>
      <c r="F2680">
        <v>119</v>
      </c>
      <c r="G2680" s="227" t="s">
        <v>79</v>
      </c>
    </row>
    <row r="2681" spans="1:7">
      <c r="A2681" s="216">
        <v>44256</v>
      </c>
      <c r="B2681" t="s">
        <v>461</v>
      </c>
      <c r="C2681">
        <v>11</v>
      </c>
      <c r="D2681" t="s">
        <v>445</v>
      </c>
      <c r="E2681" s="217">
        <v>44256</v>
      </c>
      <c r="F2681">
        <v>119</v>
      </c>
      <c r="G2681" s="227" t="s">
        <v>115</v>
      </c>
    </row>
    <row r="2682" spans="1:7">
      <c r="A2682" s="216">
        <v>44256</v>
      </c>
      <c r="B2682" t="s">
        <v>461</v>
      </c>
      <c r="C2682">
        <v>11</v>
      </c>
      <c r="D2682" t="s">
        <v>445</v>
      </c>
      <c r="E2682" s="217">
        <v>44256</v>
      </c>
      <c r="F2682">
        <v>119</v>
      </c>
      <c r="G2682" s="227" t="s">
        <v>106</v>
      </c>
    </row>
    <row r="2683" spans="1:7">
      <c r="A2683" s="216">
        <v>44256</v>
      </c>
      <c r="B2683" t="s">
        <v>461</v>
      </c>
      <c r="C2683">
        <v>11</v>
      </c>
      <c r="D2683" t="s">
        <v>445</v>
      </c>
      <c r="E2683" s="217">
        <v>44256</v>
      </c>
      <c r="F2683">
        <v>119</v>
      </c>
      <c r="G2683" s="227" t="s">
        <v>101</v>
      </c>
    </row>
    <row r="2684" spans="1:7">
      <c r="A2684" s="216">
        <v>44256</v>
      </c>
      <c r="B2684" t="s">
        <v>461</v>
      </c>
      <c r="C2684">
        <v>11</v>
      </c>
      <c r="D2684" t="s">
        <v>445</v>
      </c>
      <c r="E2684" s="217">
        <v>44256</v>
      </c>
      <c r="F2684">
        <v>119</v>
      </c>
      <c r="G2684" s="227" t="s">
        <v>84</v>
      </c>
    </row>
    <row r="2685" spans="1:7">
      <c r="A2685" s="216">
        <v>44256</v>
      </c>
      <c r="B2685" t="s">
        <v>461</v>
      </c>
      <c r="C2685">
        <v>11</v>
      </c>
      <c r="D2685" t="s">
        <v>445</v>
      </c>
      <c r="E2685" s="217">
        <v>44256</v>
      </c>
      <c r="F2685">
        <v>119</v>
      </c>
      <c r="G2685" s="227" t="s">
        <v>128</v>
      </c>
    </row>
    <row r="2686" spans="1:7">
      <c r="A2686" s="216">
        <v>44256</v>
      </c>
      <c r="B2686" t="s">
        <v>461</v>
      </c>
      <c r="C2686">
        <v>11</v>
      </c>
      <c r="D2686" t="s">
        <v>445</v>
      </c>
      <c r="E2686" s="217">
        <v>44256</v>
      </c>
      <c r="F2686">
        <v>119</v>
      </c>
      <c r="G2686" s="227" t="s">
        <v>124</v>
      </c>
    </row>
    <row r="2687" spans="1:7">
      <c r="A2687" s="216">
        <v>44256</v>
      </c>
      <c r="B2687" t="s">
        <v>461</v>
      </c>
      <c r="C2687">
        <v>11</v>
      </c>
      <c r="D2687" t="s">
        <v>445</v>
      </c>
      <c r="E2687" s="217">
        <v>44256</v>
      </c>
      <c r="F2687">
        <v>119</v>
      </c>
      <c r="G2687" s="227" t="s">
        <v>120</v>
      </c>
    </row>
    <row r="2688" spans="1:7">
      <c r="A2688" s="216">
        <v>44256</v>
      </c>
      <c r="B2688" t="s">
        <v>461</v>
      </c>
      <c r="C2688">
        <v>11</v>
      </c>
      <c r="D2688" t="s">
        <v>445</v>
      </c>
      <c r="E2688" s="217">
        <v>44256</v>
      </c>
      <c r="F2688">
        <v>119</v>
      </c>
      <c r="G2688" s="227" t="s">
        <v>89</v>
      </c>
    </row>
    <row r="2689" spans="1:7">
      <c r="A2689" s="216">
        <v>44256</v>
      </c>
      <c r="B2689" t="s">
        <v>461</v>
      </c>
      <c r="C2689">
        <v>11</v>
      </c>
      <c r="D2689" t="s">
        <v>445</v>
      </c>
      <c r="E2689" s="217">
        <v>44256</v>
      </c>
      <c r="F2689">
        <v>119</v>
      </c>
      <c r="G2689" s="227" t="s">
        <v>97</v>
      </c>
    </row>
    <row r="2690" spans="1:7">
      <c r="A2690" s="216">
        <v>44256</v>
      </c>
      <c r="B2690" t="s">
        <v>461</v>
      </c>
      <c r="C2690">
        <v>11</v>
      </c>
      <c r="D2690" t="s">
        <v>445</v>
      </c>
      <c r="E2690" s="217">
        <v>44256</v>
      </c>
      <c r="F2690">
        <v>119</v>
      </c>
      <c r="G2690" s="227" t="s">
        <v>93</v>
      </c>
    </row>
    <row r="2691" spans="1:7">
      <c r="A2691" s="216">
        <v>44256</v>
      </c>
      <c r="B2691" t="s">
        <v>461</v>
      </c>
      <c r="C2691">
        <v>11</v>
      </c>
      <c r="D2691" t="s">
        <v>445</v>
      </c>
      <c r="E2691" s="217">
        <v>44256</v>
      </c>
      <c r="F2691">
        <v>119</v>
      </c>
      <c r="G2691" s="227" t="s">
        <v>111</v>
      </c>
    </row>
    <row r="2692" spans="1:7">
      <c r="A2692" s="216">
        <v>44256</v>
      </c>
      <c r="B2692" t="s">
        <v>461</v>
      </c>
      <c r="C2692">
        <v>11</v>
      </c>
      <c r="D2692" t="s">
        <v>445</v>
      </c>
      <c r="E2692" s="217">
        <v>44256</v>
      </c>
      <c r="F2692">
        <v>1428</v>
      </c>
      <c r="G2692" s="227" t="s">
        <v>434</v>
      </c>
    </row>
    <row r="2693" spans="1:7">
      <c r="A2693" s="216">
        <v>44256</v>
      </c>
      <c r="B2693" t="s">
        <v>461</v>
      </c>
      <c r="C2693">
        <v>12</v>
      </c>
      <c r="D2693" t="s">
        <v>454</v>
      </c>
      <c r="E2693" s="217">
        <v>44256</v>
      </c>
      <c r="F2693">
        <v>0</v>
      </c>
      <c r="G2693" s="227" t="s">
        <v>79</v>
      </c>
    </row>
    <row r="2694" spans="1:7">
      <c r="A2694" s="216">
        <v>44256</v>
      </c>
      <c r="B2694" t="s">
        <v>461</v>
      </c>
      <c r="C2694">
        <v>12</v>
      </c>
      <c r="D2694" t="s">
        <v>454</v>
      </c>
      <c r="E2694" s="217">
        <v>44256</v>
      </c>
      <c r="F2694">
        <v>0</v>
      </c>
      <c r="G2694" s="227" t="s">
        <v>115</v>
      </c>
    </row>
    <row r="2695" spans="1:7">
      <c r="A2695" s="216">
        <v>44256</v>
      </c>
      <c r="B2695" t="s">
        <v>461</v>
      </c>
      <c r="C2695">
        <v>12</v>
      </c>
      <c r="D2695" t="s">
        <v>454</v>
      </c>
      <c r="E2695" s="217">
        <v>44256</v>
      </c>
      <c r="F2695">
        <v>0</v>
      </c>
      <c r="G2695" s="227" t="s">
        <v>106</v>
      </c>
    </row>
    <row r="2696" spans="1:7">
      <c r="A2696" s="216">
        <v>44256</v>
      </c>
      <c r="B2696" t="s">
        <v>461</v>
      </c>
      <c r="C2696">
        <v>12</v>
      </c>
      <c r="D2696" t="s">
        <v>454</v>
      </c>
      <c r="E2696" s="217">
        <v>44256</v>
      </c>
      <c r="F2696">
        <v>0</v>
      </c>
      <c r="G2696" s="227" t="s">
        <v>101</v>
      </c>
    </row>
    <row r="2697" spans="1:7">
      <c r="A2697" s="216">
        <v>44256</v>
      </c>
      <c r="B2697" t="s">
        <v>461</v>
      </c>
      <c r="C2697">
        <v>12</v>
      </c>
      <c r="D2697" t="s">
        <v>454</v>
      </c>
      <c r="E2697" s="217">
        <v>44256</v>
      </c>
      <c r="F2697">
        <v>0</v>
      </c>
      <c r="G2697" s="227" t="s">
        <v>84</v>
      </c>
    </row>
    <row r="2698" spans="1:7">
      <c r="A2698" s="216">
        <v>44256</v>
      </c>
      <c r="B2698" t="s">
        <v>461</v>
      </c>
      <c r="C2698">
        <v>12</v>
      </c>
      <c r="D2698" t="s">
        <v>454</v>
      </c>
      <c r="E2698" s="217">
        <v>44256</v>
      </c>
      <c r="F2698">
        <v>0</v>
      </c>
      <c r="G2698" s="227" t="s">
        <v>128</v>
      </c>
    </row>
    <row r="2699" spans="1:7">
      <c r="A2699" s="216">
        <v>44256</v>
      </c>
      <c r="B2699" t="s">
        <v>461</v>
      </c>
      <c r="C2699">
        <v>12</v>
      </c>
      <c r="D2699" t="s">
        <v>454</v>
      </c>
      <c r="E2699" s="217">
        <v>44256</v>
      </c>
      <c r="F2699">
        <v>0</v>
      </c>
      <c r="G2699" s="227" t="s">
        <v>124</v>
      </c>
    </row>
    <row r="2700" spans="1:7">
      <c r="A2700" s="216">
        <v>44256</v>
      </c>
      <c r="B2700" t="s">
        <v>461</v>
      </c>
      <c r="C2700">
        <v>12</v>
      </c>
      <c r="D2700" t="s">
        <v>454</v>
      </c>
      <c r="E2700" s="217">
        <v>44256</v>
      </c>
      <c r="F2700">
        <v>0</v>
      </c>
      <c r="G2700" s="227" t="s">
        <v>120</v>
      </c>
    </row>
    <row r="2701" spans="1:7">
      <c r="A2701" s="216">
        <v>44256</v>
      </c>
      <c r="B2701" t="s">
        <v>461</v>
      </c>
      <c r="C2701">
        <v>12</v>
      </c>
      <c r="D2701" t="s">
        <v>454</v>
      </c>
      <c r="E2701" s="217">
        <v>44256</v>
      </c>
      <c r="F2701">
        <v>0</v>
      </c>
      <c r="G2701" s="227" t="s">
        <v>89</v>
      </c>
    </row>
    <row r="2702" spans="1:7">
      <c r="A2702" s="216">
        <v>44256</v>
      </c>
      <c r="B2702" t="s">
        <v>461</v>
      </c>
      <c r="C2702">
        <v>12</v>
      </c>
      <c r="D2702" t="s">
        <v>454</v>
      </c>
      <c r="E2702" s="217">
        <v>44256</v>
      </c>
      <c r="F2702">
        <v>0</v>
      </c>
      <c r="G2702" s="227" t="s">
        <v>97</v>
      </c>
    </row>
    <row r="2703" spans="1:7">
      <c r="A2703" s="216">
        <v>44256</v>
      </c>
      <c r="B2703" t="s">
        <v>461</v>
      </c>
      <c r="C2703">
        <v>12</v>
      </c>
      <c r="D2703" t="s">
        <v>454</v>
      </c>
      <c r="E2703" s="217">
        <v>44256</v>
      </c>
      <c r="F2703">
        <v>0</v>
      </c>
      <c r="G2703" s="227" t="s">
        <v>93</v>
      </c>
    </row>
    <row r="2704" spans="1:7">
      <c r="A2704" s="216">
        <v>44256</v>
      </c>
      <c r="B2704" t="s">
        <v>461</v>
      </c>
      <c r="C2704">
        <v>12</v>
      </c>
      <c r="D2704" t="s">
        <v>454</v>
      </c>
      <c r="E2704" s="217">
        <v>44256</v>
      </c>
      <c r="F2704">
        <v>0</v>
      </c>
      <c r="G2704" s="227" t="s">
        <v>111</v>
      </c>
    </row>
    <row r="2705" spans="1:7">
      <c r="A2705" s="216">
        <v>44256</v>
      </c>
      <c r="B2705" t="s">
        <v>461</v>
      </c>
      <c r="C2705">
        <v>12</v>
      </c>
      <c r="D2705" t="s">
        <v>454</v>
      </c>
      <c r="E2705" s="217">
        <v>44256</v>
      </c>
      <c r="F2705">
        <v>0</v>
      </c>
      <c r="G2705" s="227" t="s">
        <v>434</v>
      </c>
    </row>
    <row r="2706" spans="1:7">
      <c r="A2706" s="216">
        <v>44256</v>
      </c>
      <c r="B2706" t="s">
        <v>461</v>
      </c>
      <c r="C2706">
        <v>8</v>
      </c>
      <c r="D2706" t="s">
        <v>451</v>
      </c>
      <c r="E2706" s="217">
        <v>44256</v>
      </c>
      <c r="F2706">
        <v>0</v>
      </c>
      <c r="G2706" s="227" t="s">
        <v>79</v>
      </c>
    </row>
    <row r="2707" spans="1:7">
      <c r="A2707" s="216">
        <v>44256</v>
      </c>
      <c r="B2707" t="s">
        <v>461</v>
      </c>
      <c r="C2707">
        <v>8</v>
      </c>
      <c r="D2707" t="s">
        <v>451</v>
      </c>
      <c r="E2707" s="217">
        <v>44256</v>
      </c>
      <c r="F2707">
        <v>0</v>
      </c>
      <c r="G2707" s="227" t="s">
        <v>115</v>
      </c>
    </row>
    <row r="2708" spans="1:7">
      <c r="A2708" s="216">
        <v>44256</v>
      </c>
      <c r="B2708" t="s">
        <v>461</v>
      </c>
      <c r="C2708">
        <v>8</v>
      </c>
      <c r="D2708" t="s">
        <v>451</v>
      </c>
      <c r="E2708" s="217">
        <v>44256</v>
      </c>
      <c r="F2708">
        <v>0</v>
      </c>
      <c r="G2708" s="227" t="s">
        <v>106</v>
      </c>
    </row>
    <row r="2709" spans="1:7">
      <c r="A2709" s="216">
        <v>44256</v>
      </c>
      <c r="B2709" t="s">
        <v>461</v>
      </c>
      <c r="C2709">
        <v>8</v>
      </c>
      <c r="D2709" t="s">
        <v>451</v>
      </c>
      <c r="E2709" s="217">
        <v>44256</v>
      </c>
      <c r="F2709">
        <v>0</v>
      </c>
      <c r="G2709" s="227" t="s">
        <v>101</v>
      </c>
    </row>
    <row r="2710" spans="1:7">
      <c r="A2710" s="216">
        <v>44256</v>
      </c>
      <c r="B2710" t="s">
        <v>461</v>
      </c>
      <c r="C2710">
        <v>8</v>
      </c>
      <c r="D2710" t="s">
        <v>451</v>
      </c>
      <c r="E2710" s="217">
        <v>44256</v>
      </c>
      <c r="F2710">
        <v>0</v>
      </c>
      <c r="G2710" s="227" t="s">
        <v>84</v>
      </c>
    </row>
    <row r="2711" spans="1:7">
      <c r="A2711" s="216">
        <v>44256</v>
      </c>
      <c r="B2711" t="s">
        <v>461</v>
      </c>
      <c r="C2711">
        <v>8</v>
      </c>
      <c r="D2711" t="s">
        <v>451</v>
      </c>
      <c r="E2711" s="217">
        <v>44256</v>
      </c>
      <c r="F2711">
        <v>0</v>
      </c>
      <c r="G2711" s="227" t="s">
        <v>128</v>
      </c>
    </row>
    <row r="2712" spans="1:7">
      <c r="A2712" s="216">
        <v>44256</v>
      </c>
      <c r="B2712" t="s">
        <v>461</v>
      </c>
      <c r="C2712">
        <v>8</v>
      </c>
      <c r="D2712" t="s">
        <v>451</v>
      </c>
      <c r="E2712" s="217">
        <v>44256</v>
      </c>
      <c r="F2712">
        <v>0</v>
      </c>
      <c r="G2712" s="227" t="s">
        <v>124</v>
      </c>
    </row>
    <row r="2713" spans="1:7">
      <c r="A2713" s="216">
        <v>44256</v>
      </c>
      <c r="B2713" t="s">
        <v>461</v>
      </c>
      <c r="C2713">
        <v>8</v>
      </c>
      <c r="D2713" t="s">
        <v>451</v>
      </c>
      <c r="E2713" s="217">
        <v>44256</v>
      </c>
      <c r="F2713">
        <v>0</v>
      </c>
      <c r="G2713" s="227" t="s">
        <v>120</v>
      </c>
    </row>
    <row r="2714" spans="1:7">
      <c r="A2714" s="216">
        <v>44256</v>
      </c>
      <c r="B2714" t="s">
        <v>461</v>
      </c>
      <c r="C2714">
        <v>8</v>
      </c>
      <c r="D2714" t="s">
        <v>451</v>
      </c>
      <c r="E2714" s="217">
        <v>44256</v>
      </c>
      <c r="F2714">
        <v>0</v>
      </c>
      <c r="G2714" s="227" t="s">
        <v>89</v>
      </c>
    </row>
    <row r="2715" spans="1:7">
      <c r="A2715" s="216">
        <v>44256</v>
      </c>
      <c r="B2715" t="s">
        <v>461</v>
      </c>
      <c r="C2715">
        <v>8</v>
      </c>
      <c r="D2715" t="s">
        <v>451</v>
      </c>
      <c r="E2715" s="217">
        <v>44256</v>
      </c>
      <c r="F2715">
        <v>0</v>
      </c>
      <c r="G2715" s="227" t="s">
        <v>97</v>
      </c>
    </row>
    <row r="2716" spans="1:7">
      <c r="A2716" s="216">
        <v>44256</v>
      </c>
      <c r="B2716" t="s">
        <v>461</v>
      </c>
      <c r="C2716">
        <v>8</v>
      </c>
      <c r="D2716" t="s">
        <v>451</v>
      </c>
      <c r="E2716" s="217">
        <v>44256</v>
      </c>
      <c r="F2716">
        <v>0</v>
      </c>
      <c r="G2716" s="227" t="s">
        <v>93</v>
      </c>
    </row>
    <row r="2717" spans="1:7">
      <c r="A2717" s="216">
        <v>44256</v>
      </c>
      <c r="B2717" t="s">
        <v>461</v>
      </c>
      <c r="C2717">
        <v>8</v>
      </c>
      <c r="D2717" t="s">
        <v>451</v>
      </c>
      <c r="E2717" s="217">
        <v>44256</v>
      </c>
      <c r="F2717">
        <v>0</v>
      </c>
      <c r="G2717" s="227" t="s">
        <v>111</v>
      </c>
    </row>
    <row r="2718" spans="1:7">
      <c r="A2718" s="216">
        <v>44256</v>
      </c>
      <c r="B2718" t="s">
        <v>461</v>
      </c>
      <c r="C2718">
        <v>8</v>
      </c>
      <c r="D2718" t="s">
        <v>451</v>
      </c>
      <c r="E2718" s="217">
        <v>44256</v>
      </c>
      <c r="F2718">
        <v>0</v>
      </c>
      <c r="G2718" s="227" t="s">
        <v>434</v>
      </c>
    </row>
    <row r="2719" spans="1:7">
      <c r="A2719" s="216">
        <v>44256</v>
      </c>
      <c r="B2719" t="s">
        <v>461</v>
      </c>
      <c r="C2719">
        <v>13</v>
      </c>
      <c r="D2719" t="s">
        <v>441</v>
      </c>
      <c r="E2719" s="217">
        <v>44256</v>
      </c>
      <c r="F2719">
        <v>67075</v>
      </c>
      <c r="G2719" s="227" t="s">
        <v>79</v>
      </c>
    </row>
    <row r="2720" spans="1:7">
      <c r="A2720" s="216">
        <v>44256</v>
      </c>
      <c r="B2720" t="s">
        <v>461</v>
      </c>
      <c r="C2720">
        <v>13</v>
      </c>
      <c r="D2720" t="s">
        <v>441</v>
      </c>
      <c r="E2720" s="217">
        <v>44256</v>
      </c>
      <c r="F2720">
        <v>65432</v>
      </c>
      <c r="G2720" s="227" t="s">
        <v>115</v>
      </c>
    </row>
    <row r="2721" spans="1:7">
      <c r="A2721" s="216">
        <v>44256</v>
      </c>
      <c r="B2721" t="s">
        <v>461</v>
      </c>
      <c r="C2721">
        <v>13</v>
      </c>
      <c r="D2721" t="s">
        <v>441</v>
      </c>
      <c r="E2721" s="217">
        <v>44256</v>
      </c>
      <c r="F2721">
        <v>63126</v>
      </c>
      <c r="G2721" s="227" t="s">
        <v>106</v>
      </c>
    </row>
    <row r="2722" spans="1:7">
      <c r="A2722" s="216">
        <v>44256</v>
      </c>
      <c r="B2722" t="s">
        <v>461</v>
      </c>
      <c r="C2722">
        <v>13</v>
      </c>
      <c r="D2722" t="s">
        <v>441</v>
      </c>
      <c r="E2722" s="217">
        <v>44256</v>
      </c>
      <c r="F2722">
        <v>67005</v>
      </c>
      <c r="G2722" s="227" t="s">
        <v>101</v>
      </c>
    </row>
    <row r="2723" spans="1:7">
      <c r="A2723" s="216">
        <v>44256</v>
      </c>
      <c r="B2723" t="s">
        <v>461</v>
      </c>
      <c r="C2723">
        <v>13</v>
      </c>
      <c r="D2723" t="s">
        <v>441</v>
      </c>
      <c r="E2723" s="217">
        <v>44256</v>
      </c>
      <c r="F2723">
        <v>65573</v>
      </c>
      <c r="G2723" s="227" t="s">
        <v>84</v>
      </c>
    </row>
    <row r="2724" spans="1:7">
      <c r="A2724" s="216">
        <v>44256</v>
      </c>
      <c r="B2724" t="s">
        <v>461</v>
      </c>
      <c r="C2724">
        <v>13</v>
      </c>
      <c r="D2724" t="s">
        <v>441</v>
      </c>
      <c r="E2724" s="217">
        <v>44256</v>
      </c>
      <c r="F2724">
        <v>73188</v>
      </c>
      <c r="G2724" s="227" t="s">
        <v>128</v>
      </c>
    </row>
    <row r="2725" spans="1:7">
      <c r="A2725" s="216">
        <v>44256</v>
      </c>
      <c r="B2725" t="s">
        <v>461</v>
      </c>
      <c r="C2725">
        <v>13</v>
      </c>
      <c r="D2725" t="s">
        <v>441</v>
      </c>
      <c r="E2725" s="217">
        <v>44256</v>
      </c>
      <c r="F2725">
        <v>66577</v>
      </c>
      <c r="G2725" s="227" t="s">
        <v>124</v>
      </c>
    </row>
    <row r="2726" spans="1:7">
      <c r="A2726" s="216">
        <v>44256</v>
      </c>
      <c r="B2726" t="s">
        <v>461</v>
      </c>
      <c r="C2726">
        <v>13</v>
      </c>
      <c r="D2726" t="s">
        <v>441</v>
      </c>
      <c r="E2726" s="217">
        <v>44256</v>
      </c>
      <c r="F2726">
        <v>68867</v>
      </c>
      <c r="G2726" s="227" t="s">
        <v>120</v>
      </c>
    </row>
    <row r="2727" spans="1:7">
      <c r="A2727" s="216">
        <v>44256</v>
      </c>
      <c r="B2727" t="s">
        <v>461</v>
      </c>
      <c r="C2727">
        <v>13</v>
      </c>
      <c r="D2727" t="s">
        <v>441</v>
      </c>
      <c r="E2727" s="217">
        <v>44256</v>
      </c>
      <c r="F2727">
        <v>73289</v>
      </c>
      <c r="G2727" s="227" t="s">
        <v>89</v>
      </c>
    </row>
    <row r="2728" spans="1:7">
      <c r="A2728" s="216">
        <v>44256</v>
      </c>
      <c r="B2728" t="s">
        <v>461</v>
      </c>
      <c r="C2728">
        <v>13</v>
      </c>
      <c r="D2728" t="s">
        <v>441</v>
      </c>
      <c r="E2728" s="217">
        <v>44256</v>
      </c>
      <c r="F2728">
        <v>66625</v>
      </c>
      <c r="G2728" s="227" t="s">
        <v>97</v>
      </c>
    </row>
    <row r="2729" spans="1:7">
      <c r="A2729" s="216">
        <v>44256</v>
      </c>
      <c r="B2729" t="s">
        <v>461</v>
      </c>
      <c r="C2729">
        <v>13</v>
      </c>
      <c r="D2729" t="s">
        <v>441</v>
      </c>
      <c r="E2729" s="217">
        <v>44256</v>
      </c>
      <c r="F2729">
        <v>66014</v>
      </c>
      <c r="G2729" s="227" t="s">
        <v>93</v>
      </c>
    </row>
    <row r="2730" spans="1:7">
      <c r="A2730" s="216">
        <v>44256</v>
      </c>
      <c r="B2730" t="s">
        <v>461</v>
      </c>
      <c r="C2730">
        <v>13</v>
      </c>
      <c r="D2730" t="s">
        <v>441</v>
      </c>
      <c r="E2730" s="217">
        <v>44256</v>
      </c>
      <c r="F2730">
        <v>86487</v>
      </c>
      <c r="G2730" s="227" t="s">
        <v>111</v>
      </c>
    </row>
    <row r="2731" spans="1:7">
      <c r="A2731" s="216">
        <v>44256</v>
      </c>
      <c r="B2731" t="s">
        <v>461</v>
      </c>
      <c r="C2731">
        <v>13</v>
      </c>
      <c r="D2731" t="s">
        <v>441</v>
      </c>
      <c r="E2731" s="217">
        <v>44256</v>
      </c>
      <c r="F2731">
        <v>829258</v>
      </c>
      <c r="G2731" s="227" t="s">
        <v>434</v>
      </c>
    </row>
    <row r="2732" spans="1:7">
      <c r="A2732" s="216">
        <v>44256</v>
      </c>
      <c r="B2732" t="s">
        <v>461</v>
      </c>
      <c r="C2732">
        <v>14</v>
      </c>
      <c r="D2732" t="s">
        <v>447</v>
      </c>
      <c r="E2732" s="217">
        <v>44256</v>
      </c>
      <c r="F2732">
        <v>0</v>
      </c>
      <c r="G2732" s="227" t="s">
        <v>79</v>
      </c>
    </row>
    <row r="2733" spans="1:7">
      <c r="A2733" s="216">
        <v>44256</v>
      </c>
      <c r="B2733" t="s">
        <v>461</v>
      </c>
      <c r="C2733">
        <v>14</v>
      </c>
      <c r="D2733" t="s">
        <v>447</v>
      </c>
      <c r="E2733" s="217">
        <v>44256</v>
      </c>
      <c r="F2733">
        <v>0</v>
      </c>
      <c r="G2733" s="227" t="s">
        <v>115</v>
      </c>
    </row>
    <row r="2734" spans="1:7">
      <c r="A2734" s="216">
        <v>44256</v>
      </c>
      <c r="B2734" t="s">
        <v>461</v>
      </c>
      <c r="C2734">
        <v>14</v>
      </c>
      <c r="D2734" t="s">
        <v>447</v>
      </c>
      <c r="E2734" s="217">
        <v>44256</v>
      </c>
      <c r="F2734">
        <v>0</v>
      </c>
      <c r="G2734" s="227" t="s">
        <v>106</v>
      </c>
    </row>
    <row r="2735" spans="1:7">
      <c r="A2735" s="216">
        <v>44256</v>
      </c>
      <c r="B2735" t="s">
        <v>461</v>
      </c>
      <c r="C2735">
        <v>14</v>
      </c>
      <c r="D2735" t="s">
        <v>447</v>
      </c>
      <c r="E2735" s="217">
        <v>44256</v>
      </c>
      <c r="F2735">
        <v>0</v>
      </c>
      <c r="G2735" s="227" t="s">
        <v>101</v>
      </c>
    </row>
    <row r="2736" spans="1:7">
      <c r="A2736" s="216">
        <v>44256</v>
      </c>
      <c r="B2736" t="s">
        <v>461</v>
      </c>
      <c r="C2736">
        <v>14</v>
      </c>
      <c r="D2736" t="s">
        <v>447</v>
      </c>
      <c r="E2736" s="217">
        <v>44256</v>
      </c>
      <c r="F2736">
        <v>0</v>
      </c>
      <c r="G2736" s="227" t="s">
        <v>84</v>
      </c>
    </row>
    <row r="2737" spans="1:7">
      <c r="A2737" s="216">
        <v>44256</v>
      </c>
      <c r="B2737" t="s">
        <v>461</v>
      </c>
      <c r="C2737">
        <v>14</v>
      </c>
      <c r="D2737" t="s">
        <v>447</v>
      </c>
      <c r="E2737" s="217">
        <v>44256</v>
      </c>
      <c r="F2737">
        <v>0</v>
      </c>
      <c r="G2737" s="227" t="s">
        <v>128</v>
      </c>
    </row>
    <row r="2738" spans="1:7">
      <c r="A2738" s="216">
        <v>44256</v>
      </c>
      <c r="B2738" t="s">
        <v>461</v>
      </c>
      <c r="C2738">
        <v>14</v>
      </c>
      <c r="D2738" t="s">
        <v>447</v>
      </c>
      <c r="E2738" s="217">
        <v>44256</v>
      </c>
      <c r="F2738">
        <v>0</v>
      </c>
      <c r="G2738" s="227" t="s">
        <v>124</v>
      </c>
    </row>
    <row r="2739" spans="1:7">
      <c r="A2739" s="216">
        <v>44256</v>
      </c>
      <c r="B2739" t="s">
        <v>461</v>
      </c>
      <c r="C2739">
        <v>14</v>
      </c>
      <c r="D2739" t="s">
        <v>447</v>
      </c>
      <c r="E2739" s="217">
        <v>44256</v>
      </c>
      <c r="F2739">
        <v>0</v>
      </c>
      <c r="G2739" s="227" t="s">
        <v>120</v>
      </c>
    </row>
    <row r="2740" spans="1:7">
      <c r="A2740" s="216">
        <v>44256</v>
      </c>
      <c r="B2740" t="s">
        <v>461</v>
      </c>
      <c r="C2740">
        <v>14</v>
      </c>
      <c r="D2740" t="s">
        <v>447</v>
      </c>
      <c r="E2740" s="217">
        <v>44256</v>
      </c>
      <c r="F2740">
        <v>0</v>
      </c>
      <c r="G2740" s="227" t="s">
        <v>89</v>
      </c>
    </row>
    <row r="2741" spans="1:7">
      <c r="A2741" s="216">
        <v>44256</v>
      </c>
      <c r="B2741" t="s">
        <v>461</v>
      </c>
      <c r="C2741">
        <v>14</v>
      </c>
      <c r="D2741" t="s">
        <v>447</v>
      </c>
      <c r="E2741" s="217">
        <v>44256</v>
      </c>
      <c r="F2741">
        <v>0</v>
      </c>
      <c r="G2741" s="227" t="s">
        <v>97</v>
      </c>
    </row>
    <row r="2742" spans="1:7">
      <c r="A2742" s="216">
        <v>44256</v>
      </c>
      <c r="B2742" t="s">
        <v>461</v>
      </c>
      <c r="C2742">
        <v>14</v>
      </c>
      <c r="D2742" t="s">
        <v>447</v>
      </c>
      <c r="E2742" s="217">
        <v>44256</v>
      </c>
      <c r="F2742">
        <v>0</v>
      </c>
      <c r="G2742" s="227" t="s">
        <v>93</v>
      </c>
    </row>
    <row r="2743" spans="1:7">
      <c r="A2743" s="216">
        <v>44256</v>
      </c>
      <c r="B2743" t="s">
        <v>461</v>
      </c>
      <c r="C2743">
        <v>14</v>
      </c>
      <c r="D2743" t="s">
        <v>447</v>
      </c>
      <c r="E2743" s="217">
        <v>44256</v>
      </c>
      <c r="F2743">
        <v>0</v>
      </c>
      <c r="G2743" s="227" t="s">
        <v>111</v>
      </c>
    </row>
    <row r="2744" spans="1:7">
      <c r="A2744" s="216">
        <v>44256</v>
      </c>
      <c r="B2744" t="s">
        <v>461</v>
      </c>
      <c r="C2744">
        <v>14</v>
      </c>
      <c r="D2744" t="s">
        <v>447</v>
      </c>
      <c r="E2744" s="217">
        <v>44256</v>
      </c>
      <c r="F2744">
        <v>0</v>
      </c>
      <c r="G2744" s="227" t="s">
        <v>434</v>
      </c>
    </row>
    <row r="2745" spans="1:7">
      <c r="A2745" s="216">
        <v>44256</v>
      </c>
      <c r="B2745" t="s">
        <v>461</v>
      </c>
      <c r="C2745">
        <v>15</v>
      </c>
      <c r="D2745" t="s">
        <v>437</v>
      </c>
      <c r="E2745" s="217">
        <v>44256</v>
      </c>
      <c r="F2745">
        <v>0</v>
      </c>
      <c r="G2745" s="227" t="s">
        <v>79</v>
      </c>
    </row>
    <row r="2746" spans="1:7">
      <c r="A2746" s="216">
        <v>44256</v>
      </c>
      <c r="B2746" t="s">
        <v>461</v>
      </c>
      <c r="C2746">
        <v>15</v>
      </c>
      <c r="D2746" t="s">
        <v>437</v>
      </c>
      <c r="E2746" s="217">
        <v>44256</v>
      </c>
      <c r="F2746">
        <v>0</v>
      </c>
      <c r="G2746" s="227" t="s">
        <v>115</v>
      </c>
    </row>
    <row r="2747" spans="1:7">
      <c r="A2747" s="216">
        <v>44256</v>
      </c>
      <c r="B2747" t="s">
        <v>461</v>
      </c>
      <c r="C2747">
        <v>15</v>
      </c>
      <c r="D2747" t="s">
        <v>437</v>
      </c>
      <c r="E2747" s="217">
        <v>44256</v>
      </c>
      <c r="F2747">
        <v>0</v>
      </c>
      <c r="G2747" s="227" t="s">
        <v>106</v>
      </c>
    </row>
    <row r="2748" spans="1:7">
      <c r="A2748" s="216">
        <v>44256</v>
      </c>
      <c r="B2748" t="s">
        <v>461</v>
      </c>
      <c r="C2748">
        <v>15</v>
      </c>
      <c r="D2748" t="s">
        <v>437</v>
      </c>
      <c r="E2748" s="217">
        <v>44256</v>
      </c>
      <c r="F2748">
        <v>0</v>
      </c>
      <c r="G2748" s="227" t="s">
        <v>101</v>
      </c>
    </row>
    <row r="2749" spans="1:7">
      <c r="A2749" s="216">
        <v>44256</v>
      </c>
      <c r="B2749" t="s">
        <v>461</v>
      </c>
      <c r="C2749">
        <v>15</v>
      </c>
      <c r="D2749" t="s">
        <v>437</v>
      </c>
      <c r="E2749" s="217">
        <v>44256</v>
      </c>
      <c r="F2749">
        <v>0</v>
      </c>
      <c r="G2749" s="227" t="s">
        <v>84</v>
      </c>
    </row>
    <row r="2750" spans="1:7">
      <c r="A2750" s="216">
        <v>44256</v>
      </c>
      <c r="B2750" t="s">
        <v>461</v>
      </c>
      <c r="C2750">
        <v>15</v>
      </c>
      <c r="D2750" t="s">
        <v>437</v>
      </c>
      <c r="E2750" s="217">
        <v>44256</v>
      </c>
      <c r="F2750">
        <v>0</v>
      </c>
      <c r="G2750" s="227" t="s">
        <v>128</v>
      </c>
    </row>
    <row r="2751" spans="1:7">
      <c r="A2751" s="216">
        <v>44256</v>
      </c>
      <c r="B2751" t="s">
        <v>461</v>
      </c>
      <c r="C2751">
        <v>15</v>
      </c>
      <c r="D2751" t="s">
        <v>437</v>
      </c>
      <c r="E2751" s="217">
        <v>44256</v>
      </c>
      <c r="F2751">
        <v>0</v>
      </c>
      <c r="G2751" s="227" t="s">
        <v>124</v>
      </c>
    </row>
    <row r="2752" spans="1:7">
      <c r="A2752" s="216">
        <v>44256</v>
      </c>
      <c r="B2752" t="s">
        <v>461</v>
      </c>
      <c r="C2752">
        <v>15</v>
      </c>
      <c r="D2752" t="s">
        <v>437</v>
      </c>
      <c r="E2752" s="217">
        <v>44256</v>
      </c>
      <c r="F2752">
        <v>0</v>
      </c>
      <c r="G2752" s="227" t="s">
        <v>120</v>
      </c>
    </row>
    <row r="2753" spans="1:7">
      <c r="A2753" s="216">
        <v>44256</v>
      </c>
      <c r="B2753" t="s">
        <v>461</v>
      </c>
      <c r="C2753">
        <v>15</v>
      </c>
      <c r="D2753" t="s">
        <v>437</v>
      </c>
      <c r="E2753" s="217">
        <v>44256</v>
      </c>
      <c r="F2753">
        <v>0</v>
      </c>
      <c r="G2753" s="227" t="s">
        <v>89</v>
      </c>
    </row>
    <row r="2754" spans="1:7">
      <c r="A2754" s="216">
        <v>44256</v>
      </c>
      <c r="B2754" t="s">
        <v>461</v>
      </c>
      <c r="C2754">
        <v>15</v>
      </c>
      <c r="D2754" t="s">
        <v>437</v>
      </c>
      <c r="E2754" s="217">
        <v>44256</v>
      </c>
      <c r="F2754">
        <v>0</v>
      </c>
      <c r="G2754" s="227" t="s">
        <v>97</v>
      </c>
    </row>
    <row r="2755" spans="1:7">
      <c r="A2755" s="216">
        <v>44256</v>
      </c>
      <c r="B2755" t="s">
        <v>461</v>
      </c>
      <c r="C2755">
        <v>15</v>
      </c>
      <c r="D2755" t="s">
        <v>437</v>
      </c>
      <c r="E2755" s="217">
        <v>44256</v>
      </c>
      <c r="F2755">
        <v>0</v>
      </c>
      <c r="G2755" s="227" t="s">
        <v>93</v>
      </c>
    </row>
    <row r="2756" spans="1:7">
      <c r="A2756" s="216">
        <v>44256</v>
      </c>
      <c r="B2756" t="s">
        <v>461</v>
      </c>
      <c r="C2756">
        <v>15</v>
      </c>
      <c r="D2756" t="s">
        <v>437</v>
      </c>
      <c r="E2756" s="217">
        <v>44256</v>
      </c>
      <c r="F2756">
        <v>0</v>
      </c>
      <c r="G2756" s="227" t="s">
        <v>111</v>
      </c>
    </row>
    <row r="2757" spans="1:7">
      <c r="A2757" s="216">
        <v>44256</v>
      </c>
      <c r="B2757" t="s">
        <v>461</v>
      </c>
      <c r="C2757">
        <v>15</v>
      </c>
      <c r="D2757" t="s">
        <v>437</v>
      </c>
      <c r="E2757" s="217">
        <v>44256</v>
      </c>
      <c r="F2757">
        <v>0</v>
      </c>
      <c r="G2757" s="227" t="s">
        <v>434</v>
      </c>
    </row>
    <row r="2758" spans="1:7">
      <c r="A2758" s="216">
        <v>44621</v>
      </c>
      <c r="B2758" t="s">
        <v>42</v>
      </c>
      <c r="C2758">
        <v>7</v>
      </c>
      <c r="D2758" t="s">
        <v>442</v>
      </c>
      <c r="E2758" s="217">
        <v>44621</v>
      </c>
      <c r="F2758">
        <v>113977</v>
      </c>
      <c r="G2758" s="227" t="s">
        <v>80</v>
      </c>
    </row>
    <row r="2759" spans="1:7">
      <c r="A2759" s="216">
        <v>44621</v>
      </c>
      <c r="B2759" t="s">
        <v>42</v>
      </c>
      <c r="C2759">
        <v>7</v>
      </c>
      <c r="D2759" t="s">
        <v>442</v>
      </c>
      <c r="E2759" s="217">
        <v>44621</v>
      </c>
      <c r="F2759">
        <v>131565</v>
      </c>
      <c r="G2759" s="227" t="s">
        <v>116</v>
      </c>
    </row>
    <row r="2760" spans="1:7">
      <c r="A2760" s="216">
        <v>44621</v>
      </c>
      <c r="B2760" t="s">
        <v>42</v>
      </c>
      <c r="C2760">
        <v>7</v>
      </c>
      <c r="D2760" t="s">
        <v>442</v>
      </c>
      <c r="E2760" s="217">
        <v>44621</v>
      </c>
      <c r="F2760">
        <v>136100</v>
      </c>
      <c r="G2760" s="227" t="s">
        <v>107</v>
      </c>
    </row>
    <row r="2761" spans="1:7">
      <c r="A2761" s="216">
        <v>44621</v>
      </c>
      <c r="B2761" t="s">
        <v>42</v>
      </c>
      <c r="C2761">
        <v>7</v>
      </c>
      <c r="D2761" t="s">
        <v>442</v>
      </c>
      <c r="E2761" s="217">
        <v>44621</v>
      </c>
      <c r="F2761">
        <v>134299</v>
      </c>
      <c r="G2761" s="227" t="s">
        <v>102</v>
      </c>
    </row>
    <row r="2762" spans="1:7">
      <c r="A2762" s="216">
        <v>44621</v>
      </c>
      <c r="B2762" t="s">
        <v>42</v>
      </c>
      <c r="C2762">
        <v>7</v>
      </c>
      <c r="D2762" t="s">
        <v>442</v>
      </c>
      <c r="E2762" s="217">
        <v>44621</v>
      </c>
      <c r="F2762">
        <v>134722</v>
      </c>
      <c r="G2762" s="227" t="s">
        <v>85</v>
      </c>
    </row>
    <row r="2763" spans="1:7">
      <c r="A2763" s="216">
        <v>44621</v>
      </c>
      <c r="B2763" t="s">
        <v>42</v>
      </c>
      <c r="C2763">
        <v>7</v>
      </c>
      <c r="D2763" t="s">
        <v>442</v>
      </c>
      <c r="E2763" s="217">
        <v>44621</v>
      </c>
      <c r="F2763">
        <v>140277.29999999999</v>
      </c>
      <c r="G2763" s="227" t="s">
        <v>129</v>
      </c>
    </row>
    <row r="2764" spans="1:7">
      <c r="A2764" s="216">
        <v>44621</v>
      </c>
      <c r="B2764" t="s">
        <v>42</v>
      </c>
      <c r="C2764">
        <v>7</v>
      </c>
      <c r="D2764" t="s">
        <v>442</v>
      </c>
      <c r="E2764" s="217">
        <v>44621</v>
      </c>
      <c r="F2764">
        <v>130403</v>
      </c>
      <c r="G2764" s="227" t="s">
        <v>125</v>
      </c>
    </row>
    <row r="2765" spans="1:7">
      <c r="A2765" s="216">
        <v>44621</v>
      </c>
      <c r="B2765" t="s">
        <v>42</v>
      </c>
      <c r="C2765">
        <v>7</v>
      </c>
      <c r="D2765" t="s">
        <v>442</v>
      </c>
      <c r="E2765" s="217">
        <v>44621</v>
      </c>
      <c r="F2765">
        <v>139854</v>
      </c>
      <c r="G2765" s="227" t="s">
        <v>121</v>
      </c>
    </row>
    <row r="2766" spans="1:7">
      <c r="A2766" s="216">
        <v>44621</v>
      </c>
      <c r="B2766" t="s">
        <v>42</v>
      </c>
      <c r="C2766">
        <v>7</v>
      </c>
      <c r="D2766" t="s">
        <v>442</v>
      </c>
      <c r="E2766" s="217">
        <v>44621</v>
      </c>
      <c r="F2766">
        <v>144291.20000000001</v>
      </c>
      <c r="G2766" s="227" t="s">
        <v>90</v>
      </c>
    </row>
    <row r="2767" spans="1:7">
      <c r="A2767" s="216">
        <v>44621</v>
      </c>
      <c r="B2767" t="s">
        <v>42</v>
      </c>
      <c r="C2767">
        <v>7</v>
      </c>
      <c r="D2767" t="s">
        <v>442</v>
      </c>
      <c r="E2767" s="217">
        <v>44621</v>
      </c>
      <c r="F2767">
        <v>149483</v>
      </c>
      <c r="G2767" s="227" t="s">
        <v>98</v>
      </c>
    </row>
    <row r="2768" spans="1:7">
      <c r="A2768" s="216">
        <v>44621</v>
      </c>
      <c r="B2768" t="s">
        <v>42</v>
      </c>
      <c r="C2768">
        <v>7</v>
      </c>
      <c r="D2768" t="s">
        <v>442</v>
      </c>
      <c r="E2768" s="217">
        <v>44621</v>
      </c>
      <c r="F2768">
        <v>144745</v>
      </c>
      <c r="G2768" s="227" t="s">
        <v>94</v>
      </c>
    </row>
    <row r="2769" spans="1:7">
      <c r="A2769" s="216">
        <v>44621</v>
      </c>
      <c r="B2769" t="s">
        <v>42</v>
      </c>
      <c r="C2769">
        <v>7</v>
      </c>
      <c r="D2769" t="s">
        <v>442</v>
      </c>
      <c r="E2769" s="217">
        <v>44621</v>
      </c>
      <c r="F2769">
        <v>208052</v>
      </c>
      <c r="G2769" s="227" t="s">
        <v>112</v>
      </c>
    </row>
    <row r="2770" spans="1:7">
      <c r="A2770" s="216">
        <v>44621</v>
      </c>
      <c r="B2770" t="s">
        <v>42</v>
      </c>
      <c r="C2770">
        <v>7</v>
      </c>
      <c r="D2770" t="s">
        <v>442</v>
      </c>
      <c r="E2770" s="217">
        <v>44621</v>
      </c>
      <c r="F2770">
        <v>1707768.5</v>
      </c>
      <c r="G2770" s="227" t="s">
        <v>434</v>
      </c>
    </row>
    <row r="2771" spans="1:7">
      <c r="A2771" s="216">
        <v>44621</v>
      </c>
      <c r="B2771" t="s">
        <v>42</v>
      </c>
      <c r="C2771">
        <v>8</v>
      </c>
      <c r="D2771" t="s">
        <v>451</v>
      </c>
      <c r="E2771" s="217">
        <v>44621</v>
      </c>
      <c r="F2771">
        <v>14919</v>
      </c>
      <c r="G2771" s="227" t="s">
        <v>80</v>
      </c>
    </row>
    <row r="2772" spans="1:7">
      <c r="A2772" s="216">
        <v>44621</v>
      </c>
      <c r="B2772" t="s">
        <v>42</v>
      </c>
      <c r="C2772">
        <v>8</v>
      </c>
      <c r="D2772" t="s">
        <v>451</v>
      </c>
      <c r="E2772" s="217">
        <v>44621</v>
      </c>
      <c r="F2772">
        <v>15531</v>
      </c>
      <c r="G2772" s="227" t="s">
        <v>116</v>
      </c>
    </row>
    <row r="2773" spans="1:7">
      <c r="A2773" s="216">
        <v>44621</v>
      </c>
      <c r="B2773" t="s">
        <v>42</v>
      </c>
      <c r="C2773">
        <v>8</v>
      </c>
      <c r="D2773" t="s">
        <v>451</v>
      </c>
      <c r="E2773" s="217">
        <v>44621</v>
      </c>
      <c r="F2773">
        <v>14382</v>
      </c>
      <c r="G2773" s="227" t="s">
        <v>107</v>
      </c>
    </row>
    <row r="2774" spans="1:7">
      <c r="A2774" s="216">
        <v>44621</v>
      </c>
      <c r="B2774" t="s">
        <v>42</v>
      </c>
      <c r="C2774">
        <v>8</v>
      </c>
      <c r="D2774" t="s">
        <v>451</v>
      </c>
      <c r="E2774" s="217">
        <v>44621</v>
      </c>
      <c r="F2774">
        <v>16952</v>
      </c>
      <c r="G2774" s="227" t="s">
        <v>102</v>
      </c>
    </row>
    <row r="2775" spans="1:7">
      <c r="A2775" s="216">
        <v>44621</v>
      </c>
      <c r="B2775" t="s">
        <v>42</v>
      </c>
      <c r="C2775">
        <v>8</v>
      </c>
      <c r="D2775" t="s">
        <v>451</v>
      </c>
      <c r="E2775" s="217">
        <v>44621</v>
      </c>
      <c r="F2775">
        <v>15915</v>
      </c>
      <c r="G2775" s="227" t="s">
        <v>85</v>
      </c>
    </row>
    <row r="2776" spans="1:7">
      <c r="A2776" s="216">
        <v>44621</v>
      </c>
      <c r="B2776" t="s">
        <v>42</v>
      </c>
      <c r="C2776">
        <v>8</v>
      </c>
      <c r="D2776" t="s">
        <v>451</v>
      </c>
      <c r="E2776" s="217">
        <v>44621</v>
      </c>
      <c r="F2776">
        <v>14030</v>
      </c>
      <c r="G2776" s="227" t="s">
        <v>129</v>
      </c>
    </row>
    <row r="2777" spans="1:7">
      <c r="A2777" s="216">
        <v>44621</v>
      </c>
      <c r="B2777" t="s">
        <v>42</v>
      </c>
      <c r="C2777">
        <v>8</v>
      </c>
      <c r="D2777" t="s">
        <v>451</v>
      </c>
      <c r="E2777" s="217">
        <v>44621</v>
      </c>
      <c r="F2777">
        <v>14348</v>
      </c>
      <c r="G2777" s="227" t="s">
        <v>125</v>
      </c>
    </row>
    <row r="2778" spans="1:7">
      <c r="A2778" s="216">
        <v>44621</v>
      </c>
      <c r="B2778" t="s">
        <v>42</v>
      </c>
      <c r="C2778">
        <v>8</v>
      </c>
      <c r="D2778" t="s">
        <v>451</v>
      </c>
      <c r="E2778" s="217">
        <v>44621</v>
      </c>
      <c r="F2778">
        <v>14378</v>
      </c>
      <c r="G2778" s="227" t="s">
        <v>121</v>
      </c>
    </row>
    <row r="2779" spans="1:7">
      <c r="A2779" s="216">
        <v>44621</v>
      </c>
      <c r="B2779" t="s">
        <v>42</v>
      </c>
      <c r="C2779">
        <v>8</v>
      </c>
      <c r="D2779" t="s">
        <v>451</v>
      </c>
      <c r="E2779" s="217">
        <v>44621</v>
      </c>
      <c r="F2779">
        <v>16910</v>
      </c>
      <c r="G2779" s="227" t="s">
        <v>90</v>
      </c>
    </row>
    <row r="2780" spans="1:7">
      <c r="A2780" s="216">
        <v>44621</v>
      </c>
      <c r="B2780" t="s">
        <v>42</v>
      </c>
      <c r="C2780">
        <v>8</v>
      </c>
      <c r="D2780" t="s">
        <v>451</v>
      </c>
      <c r="E2780" s="217">
        <v>44621</v>
      </c>
      <c r="F2780">
        <v>17124</v>
      </c>
      <c r="G2780" s="227" t="s">
        <v>98</v>
      </c>
    </row>
    <row r="2781" spans="1:7">
      <c r="A2781" s="216">
        <v>44621</v>
      </c>
      <c r="B2781" t="s">
        <v>42</v>
      </c>
      <c r="C2781">
        <v>8</v>
      </c>
      <c r="D2781" t="s">
        <v>451</v>
      </c>
      <c r="E2781" s="217">
        <v>44621</v>
      </c>
      <c r="F2781">
        <v>15777</v>
      </c>
      <c r="G2781" s="227" t="s">
        <v>94</v>
      </c>
    </row>
    <row r="2782" spans="1:7">
      <c r="A2782" s="216">
        <v>44621</v>
      </c>
      <c r="B2782" t="s">
        <v>42</v>
      </c>
      <c r="C2782">
        <v>8</v>
      </c>
      <c r="D2782" t="s">
        <v>451</v>
      </c>
      <c r="E2782" s="217">
        <v>44621</v>
      </c>
      <c r="F2782">
        <v>17200</v>
      </c>
      <c r="G2782" s="227" t="s">
        <v>112</v>
      </c>
    </row>
    <row r="2783" spans="1:7">
      <c r="A2783" s="216">
        <v>44621</v>
      </c>
      <c r="B2783" t="s">
        <v>42</v>
      </c>
      <c r="C2783">
        <v>8</v>
      </c>
      <c r="D2783" t="s">
        <v>451</v>
      </c>
      <c r="E2783" s="217">
        <v>44621</v>
      </c>
      <c r="F2783">
        <v>187466</v>
      </c>
      <c r="G2783" s="227" t="s">
        <v>434</v>
      </c>
    </row>
    <row r="2784" spans="1:7">
      <c r="A2784" s="216">
        <v>44621</v>
      </c>
      <c r="B2784" t="s">
        <v>42</v>
      </c>
      <c r="C2784">
        <v>9</v>
      </c>
      <c r="D2784" t="s">
        <v>450</v>
      </c>
      <c r="E2784" s="217">
        <v>44621</v>
      </c>
      <c r="F2784">
        <v>8998</v>
      </c>
      <c r="G2784" s="227" t="s">
        <v>80</v>
      </c>
    </row>
    <row r="2785" spans="1:7">
      <c r="A2785" s="216">
        <v>44621</v>
      </c>
      <c r="B2785" t="s">
        <v>42</v>
      </c>
      <c r="C2785">
        <v>9</v>
      </c>
      <c r="D2785" t="s">
        <v>450</v>
      </c>
      <c r="E2785" s="217">
        <v>44621</v>
      </c>
      <c r="F2785">
        <v>8948</v>
      </c>
      <c r="G2785" s="227" t="s">
        <v>116</v>
      </c>
    </row>
    <row r="2786" spans="1:7">
      <c r="A2786" s="216">
        <v>44621</v>
      </c>
      <c r="B2786" t="s">
        <v>42</v>
      </c>
      <c r="C2786">
        <v>9</v>
      </c>
      <c r="D2786" t="s">
        <v>450</v>
      </c>
      <c r="E2786" s="217">
        <v>44621</v>
      </c>
      <c r="F2786">
        <v>9227</v>
      </c>
      <c r="G2786" s="227" t="s">
        <v>107</v>
      </c>
    </row>
    <row r="2787" spans="1:7">
      <c r="A2787" s="216">
        <v>44621</v>
      </c>
      <c r="B2787" t="s">
        <v>42</v>
      </c>
      <c r="C2787">
        <v>9</v>
      </c>
      <c r="D2787" t="s">
        <v>450</v>
      </c>
      <c r="E2787" s="217">
        <v>44621</v>
      </c>
      <c r="F2787">
        <v>8776</v>
      </c>
      <c r="G2787" s="227" t="s">
        <v>102</v>
      </c>
    </row>
    <row r="2788" spans="1:7">
      <c r="A2788" s="216">
        <v>44621</v>
      </c>
      <c r="B2788" t="s">
        <v>42</v>
      </c>
      <c r="C2788">
        <v>9</v>
      </c>
      <c r="D2788" t="s">
        <v>450</v>
      </c>
      <c r="E2788" s="217">
        <v>44621</v>
      </c>
      <c r="F2788">
        <v>8824</v>
      </c>
      <c r="G2788" s="227" t="s">
        <v>85</v>
      </c>
    </row>
    <row r="2789" spans="1:7">
      <c r="A2789" s="216">
        <v>44621</v>
      </c>
      <c r="B2789" t="s">
        <v>42</v>
      </c>
      <c r="C2789">
        <v>9</v>
      </c>
      <c r="D2789" t="s">
        <v>450</v>
      </c>
      <c r="E2789" s="217">
        <v>44621</v>
      </c>
      <c r="F2789">
        <v>8877</v>
      </c>
      <c r="G2789" s="227" t="s">
        <v>129</v>
      </c>
    </row>
    <row r="2790" spans="1:7">
      <c r="A2790" s="216">
        <v>44621</v>
      </c>
      <c r="B2790" t="s">
        <v>42</v>
      </c>
      <c r="C2790">
        <v>9</v>
      </c>
      <c r="D2790" t="s">
        <v>450</v>
      </c>
      <c r="E2790" s="217">
        <v>44621</v>
      </c>
      <c r="F2790">
        <v>8663</v>
      </c>
      <c r="G2790" s="227" t="s">
        <v>125</v>
      </c>
    </row>
    <row r="2791" spans="1:7">
      <c r="A2791" s="216">
        <v>44621</v>
      </c>
      <c r="B2791" t="s">
        <v>42</v>
      </c>
      <c r="C2791">
        <v>9</v>
      </c>
      <c r="D2791" t="s">
        <v>450</v>
      </c>
      <c r="E2791" s="217">
        <v>44621</v>
      </c>
      <c r="F2791">
        <v>8943</v>
      </c>
      <c r="G2791" s="227" t="s">
        <v>121</v>
      </c>
    </row>
    <row r="2792" spans="1:7">
      <c r="A2792" s="216">
        <v>44621</v>
      </c>
      <c r="B2792" t="s">
        <v>42</v>
      </c>
      <c r="C2792">
        <v>9</v>
      </c>
      <c r="D2792" t="s">
        <v>450</v>
      </c>
      <c r="E2792" s="217">
        <v>44621</v>
      </c>
      <c r="F2792">
        <v>8811</v>
      </c>
      <c r="G2792" s="227" t="s">
        <v>90</v>
      </c>
    </row>
    <row r="2793" spans="1:7">
      <c r="A2793" s="216">
        <v>44621</v>
      </c>
      <c r="B2793" t="s">
        <v>42</v>
      </c>
      <c r="C2793">
        <v>9</v>
      </c>
      <c r="D2793" t="s">
        <v>450</v>
      </c>
      <c r="E2793" s="217">
        <v>44621</v>
      </c>
      <c r="F2793">
        <v>8981</v>
      </c>
      <c r="G2793" s="227" t="s">
        <v>98</v>
      </c>
    </row>
    <row r="2794" spans="1:7">
      <c r="A2794" s="216">
        <v>44621</v>
      </c>
      <c r="B2794" t="s">
        <v>42</v>
      </c>
      <c r="C2794">
        <v>9</v>
      </c>
      <c r="D2794" t="s">
        <v>450</v>
      </c>
      <c r="E2794" s="217">
        <v>44621</v>
      </c>
      <c r="F2794">
        <v>8808</v>
      </c>
      <c r="G2794" s="227" t="s">
        <v>94</v>
      </c>
    </row>
    <row r="2795" spans="1:7">
      <c r="A2795" s="216">
        <v>44621</v>
      </c>
      <c r="B2795" t="s">
        <v>42</v>
      </c>
      <c r="C2795">
        <v>9</v>
      </c>
      <c r="D2795" t="s">
        <v>450</v>
      </c>
      <c r="E2795" s="217">
        <v>44621</v>
      </c>
      <c r="F2795">
        <v>9029</v>
      </c>
      <c r="G2795" s="227" t="s">
        <v>112</v>
      </c>
    </row>
    <row r="2796" spans="1:7">
      <c r="A2796" s="216">
        <v>44621</v>
      </c>
      <c r="B2796" t="s">
        <v>42</v>
      </c>
      <c r="C2796">
        <v>9</v>
      </c>
      <c r="D2796" t="s">
        <v>450</v>
      </c>
      <c r="E2796" s="217">
        <v>44621</v>
      </c>
      <c r="F2796">
        <v>106885</v>
      </c>
      <c r="G2796" s="227" t="s">
        <v>434</v>
      </c>
    </row>
    <row r="2797" spans="1:7">
      <c r="A2797" s="216">
        <v>44621</v>
      </c>
      <c r="B2797" t="s">
        <v>42</v>
      </c>
      <c r="C2797">
        <v>10</v>
      </c>
      <c r="D2797" t="s">
        <v>433</v>
      </c>
      <c r="E2797" s="217">
        <v>44621</v>
      </c>
      <c r="F2797">
        <v>52141</v>
      </c>
      <c r="G2797" s="227" t="s">
        <v>80</v>
      </c>
    </row>
    <row r="2798" spans="1:7">
      <c r="A2798" s="216">
        <v>44621</v>
      </c>
      <c r="B2798" t="s">
        <v>42</v>
      </c>
      <c r="C2798">
        <v>10</v>
      </c>
      <c r="D2798" t="s">
        <v>433</v>
      </c>
      <c r="E2798" s="217">
        <v>44621</v>
      </c>
      <c r="F2798">
        <v>52720</v>
      </c>
      <c r="G2798" s="227" t="s">
        <v>116</v>
      </c>
    </row>
    <row r="2799" spans="1:7">
      <c r="A2799" s="216">
        <v>44621</v>
      </c>
      <c r="B2799" t="s">
        <v>42</v>
      </c>
      <c r="C2799">
        <v>10</v>
      </c>
      <c r="D2799" t="s">
        <v>433</v>
      </c>
      <c r="E2799" s="217">
        <v>44621</v>
      </c>
      <c r="F2799">
        <v>52905</v>
      </c>
      <c r="G2799" s="227" t="s">
        <v>107</v>
      </c>
    </row>
    <row r="2800" spans="1:7">
      <c r="A2800" s="216">
        <v>44621</v>
      </c>
      <c r="B2800" t="s">
        <v>42</v>
      </c>
      <c r="C2800">
        <v>10</v>
      </c>
      <c r="D2800" t="s">
        <v>433</v>
      </c>
      <c r="E2800" s="217">
        <v>44621</v>
      </c>
      <c r="F2800">
        <v>52020</v>
      </c>
      <c r="G2800" s="227" t="s">
        <v>102</v>
      </c>
    </row>
    <row r="2801" spans="1:7">
      <c r="A2801" s="216">
        <v>44621</v>
      </c>
      <c r="B2801" t="s">
        <v>42</v>
      </c>
      <c r="C2801">
        <v>10</v>
      </c>
      <c r="D2801" t="s">
        <v>433</v>
      </c>
      <c r="E2801" s="217">
        <v>44621</v>
      </c>
      <c r="F2801">
        <v>53294</v>
      </c>
      <c r="G2801" s="227" t="s">
        <v>85</v>
      </c>
    </row>
    <row r="2802" spans="1:7">
      <c r="A2802" s="216">
        <v>44621</v>
      </c>
      <c r="B2802" t="s">
        <v>42</v>
      </c>
      <c r="C2802">
        <v>10</v>
      </c>
      <c r="D2802" t="s">
        <v>433</v>
      </c>
      <c r="E2802" s="217">
        <v>44621</v>
      </c>
      <c r="F2802">
        <v>61697</v>
      </c>
      <c r="G2802" s="227" t="s">
        <v>129</v>
      </c>
    </row>
    <row r="2803" spans="1:7">
      <c r="A2803" s="216">
        <v>44621</v>
      </c>
      <c r="B2803" t="s">
        <v>42</v>
      </c>
      <c r="C2803">
        <v>10</v>
      </c>
      <c r="D2803" t="s">
        <v>433</v>
      </c>
      <c r="E2803" s="217">
        <v>44621</v>
      </c>
      <c r="F2803">
        <v>53802.65</v>
      </c>
      <c r="G2803" s="227" t="s">
        <v>125</v>
      </c>
    </row>
    <row r="2804" spans="1:7">
      <c r="A2804" s="216">
        <v>44621</v>
      </c>
      <c r="B2804" t="s">
        <v>42</v>
      </c>
      <c r="C2804">
        <v>10</v>
      </c>
      <c r="D2804" t="s">
        <v>433</v>
      </c>
      <c r="E2804" s="217">
        <v>44621</v>
      </c>
      <c r="F2804">
        <v>57195</v>
      </c>
      <c r="G2804" s="227" t="s">
        <v>121</v>
      </c>
    </row>
    <row r="2805" spans="1:7">
      <c r="A2805" s="216">
        <v>44621</v>
      </c>
      <c r="B2805" t="s">
        <v>42</v>
      </c>
      <c r="C2805">
        <v>10</v>
      </c>
      <c r="D2805" t="s">
        <v>433</v>
      </c>
      <c r="E2805" s="217">
        <v>44621</v>
      </c>
      <c r="F2805">
        <v>58034</v>
      </c>
      <c r="G2805" s="227" t="s">
        <v>90</v>
      </c>
    </row>
    <row r="2806" spans="1:7">
      <c r="A2806" s="216">
        <v>44621</v>
      </c>
      <c r="B2806" t="s">
        <v>42</v>
      </c>
      <c r="C2806">
        <v>10</v>
      </c>
      <c r="D2806" t="s">
        <v>433</v>
      </c>
      <c r="E2806" s="217">
        <v>44621</v>
      </c>
      <c r="F2806">
        <v>59325</v>
      </c>
      <c r="G2806" s="227" t="s">
        <v>98</v>
      </c>
    </row>
    <row r="2807" spans="1:7">
      <c r="A2807" s="216">
        <v>44621</v>
      </c>
      <c r="B2807" t="s">
        <v>42</v>
      </c>
      <c r="C2807">
        <v>10</v>
      </c>
      <c r="D2807" t="s">
        <v>433</v>
      </c>
      <c r="E2807" s="217">
        <v>44621</v>
      </c>
      <c r="F2807">
        <v>58753</v>
      </c>
      <c r="G2807" s="227" t="s">
        <v>94</v>
      </c>
    </row>
    <row r="2808" spans="1:7">
      <c r="A2808" s="216">
        <v>44621</v>
      </c>
      <c r="B2808" t="s">
        <v>42</v>
      </c>
      <c r="C2808">
        <v>10</v>
      </c>
      <c r="D2808" t="s">
        <v>433</v>
      </c>
      <c r="E2808" s="217">
        <v>44621</v>
      </c>
      <c r="F2808">
        <v>88309</v>
      </c>
      <c r="G2808" s="227" t="s">
        <v>112</v>
      </c>
    </row>
    <row r="2809" spans="1:7">
      <c r="A2809" s="216">
        <v>44621</v>
      </c>
      <c r="B2809" t="s">
        <v>42</v>
      </c>
      <c r="C2809">
        <v>10</v>
      </c>
      <c r="D2809" t="s">
        <v>433</v>
      </c>
      <c r="E2809" s="217">
        <v>44621</v>
      </c>
      <c r="F2809">
        <v>700195.65</v>
      </c>
      <c r="G2809" s="227" t="s">
        <v>434</v>
      </c>
    </row>
    <row r="2810" spans="1:7">
      <c r="A2810" s="216">
        <v>44621</v>
      </c>
      <c r="B2810" t="s">
        <v>42</v>
      </c>
      <c r="C2810">
        <v>11</v>
      </c>
      <c r="D2810" t="s">
        <v>445</v>
      </c>
      <c r="E2810" s="217">
        <v>44621</v>
      </c>
      <c r="F2810">
        <v>9692</v>
      </c>
      <c r="G2810" s="227" t="s">
        <v>80</v>
      </c>
    </row>
    <row r="2811" spans="1:7">
      <c r="A2811" s="216">
        <v>44621</v>
      </c>
      <c r="B2811" t="s">
        <v>42</v>
      </c>
      <c r="C2811">
        <v>11</v>
      </c>
      <c r="D2811" t="s">
        <v>445</v>
      </c>
      <c r="E2811" s="217">
        <v>44621</v>
      </c>
      <c r="F2811">
        <v>9736</v>
      </c>
      <c r="G2811" s="227" t="s">
        <v>116</v>
      </c>
    </row>
    <row r="2812" spans="1:7">
      <c r="A2812" s="216">
        <v>44621</v>
      </c>
      <c r="B2812" t="s">
        <v>42</v>
      </c>
      <c r="C2812">
        <v>11</v>
      </c>
      <c r="D2812" t="s">
        <v>445</v>
      </c>
      <c r="E2812" s="217">
        <v>44621</v>
      </c>
      <c r="F2812">
        <v>11479</v>
      </c>
      <c r="G2812" s="227" t="s">
        <v>107</v>
      </c>
    </row>
    <row r="2813" spans="1:7">
      <c r="A2813" s="216">
        <v>44621</v>
      </c>
      <c r="B2813" t="s">
        <v>42</v>
      </c>
      <c r="C2813">
        <v>11</v>
      </c>
      <c r="D2813" t="s">
        <v>445</v>
      </c>
      <c r="E2813" s="217">
        <v>44621</v>
      </c>
      <c r="F2813">
        <v>11271</v>
      </c>
      <c r="G2813" s="227" t="s">
        <v>102</v>
      </c>
    </row>
    <row r="2814" spans="1:7">
      <c r="A2814" s="216">
        <v>44621</v>
      </c>
      <c r="B2814" t="s">
        <v>42</v>
      </c>
      <c r="C2814">
        <v>11</v>
      </c>
      <c r="D2814" t="s">
        <v>445</v>
      </c>
      <c r="E2814" s="217">
        <v>44621</v>
      </c>
      <c r="F2814">
        <v>10715</v>
      </c>
      <c r="G2814" s="227" t="s">
        <v>85</v>
      </c>
    </row>
    <row r="2815" spans="1:7">
      <c r="A2815" s="216">
        <v>44621</v>
      </c>
      <c r="B2815" t="s">
        <v>42</v>
      </c>
      <c r="C2815">
        <v>11</v>
      </c>
      <c r="D2815" t="s">
        <v>445</v>
      </c>
      <c r="E2815" s="217">
        <v>44621</v>
      </c>
      <c r="F2815">
        <v>10584</v>
      </c>
      <c r="G2815" s="227" t="s">
        <v>129</v>
      </c>
    </row>
    <row r="2816" spans="1:7">
      <c r="A2816" s="216">
        <v>44621</v>
      </c>
      <c r="B2816" t="s">
        <v>42</v>
      </c>
      <c r="C2816">
        <v>11</v>
      </c>
      <c r="D2816" t="s">
        <v>445</v>
      </c>
      <c r="E2816" s="217">
        <v>44621</v>
      </c>
      <c r="F2816">
        <v>10473</v>
      </c>
      <c r="G2816" s="227" t="s">
        <v>125</v>
      </c>
    </row>
    <row r="2817" spans="1:7">
      <c r="A2817" s="216">
        <v>44621</v>
      </c>
      <c r="B2817" t="s">
        <v>42</v>
      </c>
      <c r="C2817">
        <v>11</v>
      </c>
      <c r="D2817" t="s">
        <v>445</v>
      </c>
      <c r="E2817" s="217">
        <v>44621</v>
      </c>
      <c r="F2817">
        <v>11544</v>
      </c>
      <c r="G2817" s="227" t="s">
        <v>121</v>
      </c>
    </row>
    <row r="2818" spans="1:7">
      <c r="A2818" s="216">
        <v>44621</v>
      </c>
      <c r="B2818" t="s">
        <v>42</v>
      </c>
      <c r="C2818">
        <v>11</v>
      </c>
      <c r="D2818" t="s">
        <v>445</v>
      </c>
      <c r="E2818" s="217">
        <v>44621</v>
      </c>
      <c r="F2818">
        <v>11642</v>
      </c>
      <c r="G2818" s="227" t="s">
        <v>90</v>
      </c>
    </row>
    <row r="2819" spans="1:7">
      <c r="A2819" s="216">
        <v>44621</v>
      </c>
      <c r="B2819" t="s">
        <v>42</v>
      </c>
      <c r="C2819">
        <v>11</v>
      </c>
      <c r="D2819" t="s">
        <v>445</v>
      </c>
      <c r="E2819" s="217">
        <v>44621</v>
      </c>
      <c r="F2819">
        <v>13811</v>
      </c>
      <c r="G2819" s="227" t="s">
        <v>98</v>
      </c>
    </row>
    <row r="2820" spans="1:7">
      <c r="A2820" s="216">
        <v>44621</v>
      </c>
      <c r="B2820" t="s">
        <v>42</v>
      </c>
      <c r="C2820">
        <v>11</v>
      </c>
      <c r="D2820" t="s">
        <v>445</v>
      </c>
      <c r="E2820" s="217">
        <v>44621</v>
      </c>
      <c r="F2820">
        <v>12997</v>
      </c>
      <c r="G2820" s="227" t="s">
        <v>94</v>
      </c>
    </row>
    <row r="2821" spans="1:7">
      <c r="A2821" s="216">
        <v>44621</v>
      </c>
      <c r="B2821" t="s">
        <v>42</v>
      </c>
      <c r="C2821">
        <v>11</v>
      </c>
      <c r="D2821" t="s">
        <v>445</v>
      </c>
      <c r="E2821" s="217">
        <v>44621</v>
      </c>
      <c r="F2821">
        <v>22807</v>
      </c>
      <c r="G2821" s="227" t="s">
        <v>112</v>
      </c>
    </row>
    <row r="2822" spans="1:7">
      <c r="A2822" s="216">
        <v>44621</v>
      </c>
      <c r="B2822" t="s">
        <v>42</v>
      </c>
      <c r="C2822">
        <v>11</v>
      </c>
      <c r="D2822" t="s">
        <v>445</v>
      </c>
      <c r="E2822" s="217">
        <v>44621</v>
      </c>
      <c r="F2822">
        <v>146751</v>
      </c>
      <c r="G2822" s="227" t="s">
        <v>434</v>
      </c>
    </row>
    <row r="2823" spans="1:7">
      <c r="A2823" s="216">
        <v>44621</v>
      </c>
      <c r="B2823" t="s">
        <v>42</v>
      </c>
      <c r="C2823">
        <v>12</v>
      </c>
      <c r="D2823" t="s">
        <v>454</v>
      </c>
      <c r="E2823" s="217">
        <v>44621</v>
      </c>
      <c r="F2823">
        <v>4197</v>
      </c>
      <c r="G2823" s="227" t="s">
        <v>80</v>
      </c>
    </row>
    <row r="2824" spans="1:7">
      <c r="A2824" s="216">
        <v>44621</v>
      </c>
      <c r="B2824" t="s">
        <v>42</v>
      </c>
      <c r="C2824">
        <v>12</v>
      </c>
      <c r="D2824" t="s">
        <v>454</v>
      </c>
      <c r="E2824" s="217">
        <v>44621</v>
      </c>
      <c r="F2824">
        <v>3767</v>
      </c>
      <c r="G2824" s="227" t="s">
        <v>116</v>
      </c>
    </row>
    <row r="2825" spans="1:7">
      <c r="A2825" s="216">
        <v>44621</v>
      </c>
      <c r="B2825" t="s">
        <v>42</v>
      </c>
      <c r="C2825">
        <v>12</v>
      </c>
      <c r="D2825" t="s">
        <v>454</v>
      </c>
      <c r="E2825" s="217">
        <v>44621</v>
      </c>
      <c r="F2825">
        <v>4961</v>
      </c>
      <c r="G2825" s="227" t="s">
        <v>107</v>
      </c>
    </row>
    <row r="2826" spans="1:7">
      <c r="A2826" s="216">
        <v>44621</v>
      </c>
      <c r="B2826" t="s">
        <v>42</v>
      </c>
      <c r="C2826">
        <v>12</v>
      </c>
      <c r="D2826" t="s">
        <v>454</v>
      </c>
      <c r="E2826" s="217">
        <v>44621</v>
      </c>
      <c r="F2826">
        <v>4547</v>
      </c>
      <c r="G2826" s="227" t="s">
        <v>102</v>
      </c>
    </row>
    <row r="2827" spans="1:7">
      <c r="A2827" s="216">
        <v>44621</v>
      </c>
      <c r="B2827" t="s">
        <v>42</v>
      </c>
      <c r="C2827">
        <v>12</v>
      </c>
      <c r="D2827" t="s">
        <v>454</v>
      </c>
      <c r="E2827" s="217">
        <v>44621</v>
      </c>
      <c r="F2827">
        <v>4709</v>
      </c>
      <c r="G2827" s="227" t="s">
        <v>85</v>
      </c>
    </row>
    <row r="2828" spans="1:7">
      <c r="A2828" s="216">
        <v>44621</v>
      </c>
      <c r="B2828" t="s">
        <v>42</v>
      </c>
      <c r="C2828">
        <v>12</v>
      </c>
      <c r="D2828" t="s">
        <v>454</v>
      </c>
      <c r="E2828" s="217">
        <v>44621</v>
      </c>
      <c r="F2828">
        <v>4289</v>
      </c>
      <c r="G2828" s="227" t="s">
        <v>129</v>
      </c>
    </row>
    <row r="2829" spans="1:7">
      <c r="A2829" s="216">
        <v>44621</v>
      </c>
      <c r="B2829" t="s">
        <v>42</v>
      </c>
      <c r="C2829">
        <v>12</v>
      </c>
      <c r="D2829" t="s">
        <v>454</v>
      </c>
      <c r="E2829" s="217">
        <v>44621</v>
      </c>
      <c r="F2829">
        <v>4406</v>
      </c>
      <c r="G2829" s="227" t="s">
        <v>125</v>
      </c>
    </row>
    <row r="2830" spans="1:7">
      <c r="A2830" s="216">
        <v>44621</v>
      </c>
      <c r="B2830" t="s">
        <v>42</v>
      </c>
      <c r="C2830">
        <v>12</v>
      </c>
      <c r="D2830" t="s">
        <v>454</v>
      </c>
      <c r="E2830" s="217">
        <v>44621</v>
      </c>
      <c r="F2830">
        <v>4780</v>
      </c>
      <c r="G2830" s="227" t="s">
        <v>121</v>
      </c>
    </row>
    <row r="2831" spans="1:7">
      <c r="A2831" s="216">
        <v>44621</v>
      </c>
      <c r="B2831" t="s">
        <v>42</v>
      </c>
      <c r="C2831">
        <v>12</v>
      </c>
      <c r="D2831" t="s">
        <v>454</v>
      </c>
      <c r="E2831" s="217">
        <v>44621</v>
      </c>
      <c r="F2831">
        <v>4727</v>
      </c>
      <c r="G2831" s="227" t="s">
        <v>90</v>
      </c>
    </row>
    <row r="2832" spans="1:7">
      <c r="A2832" s="216">
        <v>44621</v>
      </c>
      <c r="B2832" t="s">
        <v>42</v>
      </c>
      <c r="C2832">
        <v>12</v>
      </c>
      <c r="D2832" t="s">
        <v>454</v>
      </c>
      <c r="E2832" s="217">
        <v>44621</v>
      </c>
      <c r="F2832">
        <v>4828</v>
      </c>
      <c r="G2832" s="227" t="s">
        <v>98</v>
      </c>
    </row>
    <row r="2833" spans="1:7">
      <c r="A2833" s="216">
        <v>44621</v>
      </c>
      <c r="B2833" t="s">
        <v>42</v>
      </c>
      <c r="C2833">
        <v>12</v>
      </c>
      <c r="D2833" t="s">
        <v>454</v>
      </c>
      <c r="E2833" s="217">
        <v>44621</v>
      </c>
      <c r="F2833">
        <v>4964</v>
      </c>
      <c r="G2833" s="227" t="s">
        <v>94</v>
      </c>
    </row>
    <row r="2834" spans="1:7">
      <c r="A2834" s="216">
        <v>44621</v>
      </c>
      <c r="B2834" t="s">
        <v>42</v>
      </c>
      <c r="C2834">
        <v>12</v>
      </c>
      <c r="D2834" t="s">
        <v>454</v>
      </c>
      <c r="E2834" s="217">
        <v>44621</v>
      </c>
      <c r="F2834">
        <v>4865</v>
      </c>
      <c r="G2834" s="227" t="s">
        <v>112</v>
      </c>
    </row>
    <row r="2835" spans="1:7">
      <c r="A2835" s="216">
        <v>44621</v>
      </c>
      <c r="B2835" t="s">
        <v>42</v>
      </c>
      <c r="C2835">
        <v>12</v>
      </c>
      <c r="D2835" t="s">
        <v>454</v>
      </c>
      <c r="E2835" s="217">
        <v>44621</v>
      </c>
      <c r="F2835">
        <v>55040</v>
      </c>
      <c r="G2835" s="227" t="s">
        <v>434</v>
      </c>
    </row>
    <row r="2836" spans="1:7">
      <c r="A2836" s="216">
        <v>44621</v>
      </c>
      <c r="B2836" t="s">
        <v>42</v>
      </c>
      <c r="C2836">
        <v>13</v>
      </c>
      <c r="D2836" t="s">
        <v>441</v>
      </c>
      <c r="E2836" s="217">
        <v>44621</v>
      </c>
      <c r="F2836">
        <v>24780</v>
      </c>
      <c r="G2836" s="227" t="s">
        <v>80</v>
      </c>
    </row>
    <row r="2837" spans="1:7">
      <c r="A2837" s="216">
        <v>44621</v>
      </c>
      <c r="B2837" t="s">
        <v>42</v>
      </c>
      <c r="C2837">
        <v>13</v>
      </c>
      <c r="D2837" t="s">
        <v>441</v>
      </c>
      <c r="E2837" s="217">
        <v>44621</v>
      </c>
      <c r="F2837">
        <v>23764</v>
      </c>
      <c r="G2837" s="227" t="s">
        <v>116</v>
      </c>
    </row>
    <row r="2838" spans="1:7">
      <c r="A2838" s="216">
        <v>44621</v>
      </c>
      <c r="B2838" t="s">
        <v>42</v>
      </c>
      <c r="C2838">
        <v>13</v>
      </c>
      <c r="D2838" t="s">
        <v>441</v>
      </c>
      <c r="E2838" s="217">
        <v>44621</v>
      </c>
      <c r="F2838">
        <v>25055</v>
      </c>
      <c r="G2838" s="227" t="s">
        <v>107</v>
      </c>
    </row>
    <row r="2839" spans="1:7">
      <c r="A2839" s="216">
        <v>44621</v>
      </c>
      <c r="B2839" t="s">
        <v>42</v>
      </c>
      <c r="C2839">
        <v>13</v>
      </c>
      <c r="D2839" t="s">
        <v>441</v>
      </c>
      <c r="E2839" s="217">
        <v>44621</v>
      </c>
      <c r="F2839">
        <v>24181</v>
      </c>
      <c r="G2839" s="227" t="s">
        <v>102</v>
      </c>
    </row>
    <row r="2840" spans="1:7">
      <c r="A2840" s="216">
        <v>44621</v>
      </c>
      <c r="B2840" t="s">
        <v>42</v>
      </c>
      <c r="C2840">
        <v>13</v>
      </c>
      <c r="D2840" t="s">
        <v>441</v>
      </c>
      <c r="E2840" s="217">
        <v>44621</v>
      </c>
      <c r="F2840">
        <v>22944</v>
      </c>
      <c r="G2840" s="227" t="s">
        <v>85</v>
      </c>
    </row>
    <row r="2841" spans="1:7">
      <c r="A2841" s="216">
        <v>44621</v>
      </c>
      <c r="B2841" t="s">
        <v>42</v>
      </c>
      <c r="C2841">
        <v>13</v>
      </c>
      <c r="D2841" t="s">
        <v>441</v>
      </c>
      <c r="E2841" s="217">
        <v>44621</v>
      </c>
      <c r="F2841">
        <v>24125</v>
      </c>
      <c r="G2841" s="227" t="s">
        <v>129</v>
      </c>
    </row>
    <row r="2842" spans="1:7">
      <c r="A2842" s="216">
        <v>44621</v>
      </c>
      <c r="B2842" t="s">
        <v>42</v>
      </c>
      <c r="C2842">
        <v>13</v>
      </c>
      <c r="D2842" t="s">
        <v>441</v>
      </c>
      <c r="E2842" s="217">
        <v>44621</v>
      </c>
      <c r="F2842">
        <v>24623</v>
      </c>
      <c r="G2842" s="227" t="s">
        <v>125</v>
      </c>
    </row>
    <row r="2843" spans="1:7">
      <c r="A2843" s="216">
        <v>44621</v>
      </c>
      <c r="B2843" t="s">
        <v>42</v>
      </c>
      <c r="C2843">
        <v>13</v>
      </c>
      <c r="D2843" t="s">
        <v>441</v>
      </c>
      <c r="E2843" s="217">
        <v>44621</v>
      </c>
      <c r="F2843">
        <v>25751</v>
      </c>
      <c r="G2843" s="227" t="s">
        <v>121</v>
      </c>
    </row>
    <row r="2844" spans="1:7">
      <c r="A2844" s="216">
        <v>44621</v>
      </c>
      <c r="B2844" t="s">
        <v>42</v>
      </c>
      <c r="C2844">
        <v>13</v>
      </c>
      <c r="D2844" t="s">
        <v>441</v>
      </c>
      <c r="E2844" s="217">
        <v>44621</v>
      </c>
      <c r="F2844">
        <v>24660</v>
      </c>
      <c r="G2844" s="227" t="s">
        <v>90</v>
      </c>
    </row>
    <row r="2845" spans="1:7">
      <c r="A2845" s="216">
        <v>44621</v>
      </c>
      <c r="B2845" t="s">
        <v>42</v>
      </c>
      <c r="C2845">
        <v>13</v>
      </c>
      <c r="D2845" t="s">
        <v>441</v>
      </c>
      <c r="E2845" s="217">
        <v>44621</v>
      </c>
      <c r="F2845">
        <v>27103</v>
      </c>
      <c r="G2845" s="227" t="s">
        <v>98</v>
      </c>
    </row>
    <row r="2846" spans="1:7">
      <c r="A2846" s="216">
        <v>44621</v>
      </c>
      <c r="B2846" t="s">
        <v>42</v>
      </c>
      <c r="C2846">
        <v>13</v>
      </c>
      <c r="D2846" t="s">
        <v>441</v>
      </c>
      <c r="E2846" s="217">
        <v>44621</v>
      </c>
      <c r="F2846">
        <v>25192</v>
      </c>
      <c r="G2846" s="227" t="s">
        <v>94</v>
      </c>
    </row>
    <row r="2847" spans="1:7">
      <c r="A2847" s="216">
        <v>44621</v>
      </c>
      <c r="B2847" t="s">
        <v>42</v>
      </c>
      <c r="C2847">
        <v>13</v>
      </c>
      <c r="D2847" t="s">
        <v>441</v>
      </c>
      <c r="E2847" s="217">
        <v>44621</v>
      </c>
      <c r="F2847">
        <v>27399</v>
      </c>
      <c r="G2847" s="227" t="s">
        <v>112</v>
      </c>
    </row>
    <row r="2848" spans="1:7">
      <c r="A2848" s="216">
        <v>44621</v>
      </c>
      <c r="B2848" t="s">
        <v>42</v>
      </c>
      <c r="C2848">
        <v>13</v>
      </c>
      <c r="D2848" t="s">
        <v>441</v>
      </c>
      <c r="E2848" s="217">
        <v>44621</v>
      </c>
      <c r="F2848">
        <v>299577</v>
      </c>
      <c r="G2848" s="227" t="s">
        <v>434</v>
      </c>
    </row>
    <row r="2849" spans="1:7">
      <c r="A2849" s="216">
        <v>44621</v>
      </c>
      <c r="B2849" t="s">
        <v>42</v>
      </c>
      <c r="C2849">
        <v>14</v>
      </c>
      <c r="D2849" t="s">
        <v>447</v>
      </c>
      <c r="E2849" s="217">
        <v>44621</v>
      </c>
      <c r="F2849">
        <v>0</v>
      </c>
      <c r="G2849" s="227" t="s">
        <v>80</v>
      </c>
    </row>
    <row r="2850" spans="1:7">
      <c r="A2850" s="216">
        <v>44621</v>
      </c>
      <c r="B2850" t="s">
        <v>42</v>
      </c>
      <c r="C2850">
        <v>14</v>
      </c>
      <c r="D2850" t="s">
        <v>447</v>
      </c>
      <c r="E2850" s="217">
        <v>44621</v>
      </c>
      <c r="F2850">
        <v>0</v>
      </c>
      <c r="G2850" s="227" t="s">
        <v>116</v>
      </c>
    </row>
    <row r="2851" spans="1:7">
      <c r="A2851" s="216">
        <v>44621</v>
      </c>
      <c r="B2851" t="s">
        <v>42</v>
      </c>
      <c r="C2851">
        <v>14</v>
      </c>
      <c r="D2851" t="s">
        <v>447</v>
      </c>
      <c r="E2851" s="217">
        <v>44621</v>
      </c>
      <c r="F2851">
        <v>0</v>
      </c>
      <c r="G2851" s="227" t="s">
        <v>107</v>
      </c>
    </row>
    <row r="2852" spans="1:7">
      <c r="A2852" s="216">
        <v>44621</v>
      </c>
      <c r="B2852" t="s">
        <v>42</v>
      </c>
      <c r="C2852">
        <v>14</v>
      </c>
      <c r="D2852" t="s">
        <v>447</v>
      </c>
      <c r="E2852" s="217">
        <v>44621</v>
      </c>
      <c r="F2852">
        <v>0</v>
      </c>
      <c r="G2852" s="227" t="s">
        <v>102</v>
      </c>
    </row>
    <row r="2853" spans="1:7">
      <c r="A2853" s="216">
        <v>44621</v>
      </c>
      <c r="B2853" t="s">
        <v>42</v>
      </c>
      <c r="C2853">
        <v>14</v>
      </c>
      <c r="D2853" t="s">
        <v>447</v>
      </c>
      <c r="E2853" s="217">
        <v>44621</v>
      </c>
      <c r="F2853">
        <v>0</v>
      </c>
      <c r="G2853" s="227" t="s">
        <v>85</v>
      </c>
    </row>
    <row r="2854" spans="1:7">
      <c r="A2854" s="216">
        <v>44621</v>
      </c>
      <c r="B2854" t="s">
        <v>42</v>
      </c>
      <c r="C2854">
        <v>14</v>
      </c>
      <c r="D2854" t="s">
        <v>447</v>
      </c>
      <c r="E2854" s="217">
        <v>44621</v>
      </c>
      <c r="F2854">
        <v>0</v>
      </c>
      <c r="G2854" s="227" t="s">
        <v>129</v>
      </c>
    </row>
    <row r="2855" spans="1:7">
      <c r="A2855" s="216">
        <v>44621</v>
      </c>
      <c r="B2855" t="s">
        <v>42</v>
      </c>
      <c r="C2855">
        <v>14</v>
      </c>
      <c r="D2855" t="s">
        <v>447</v>
      </c>
      <c r="E2855" s="217">
        <v>44621</v>
      </c>
      <c r="F2855">
        <v>0</v>
      </c>
      <c r="G2855" s="227" t="s">
        <v>125</v>
      </c>
    </row>
    <row r="2856" spans="1:7">
      <c r="A2856" s="216">
        <v>44621</v>
      </c>
      <c r="B2856" t="s">
        <v>42</v>
      </c>
      <c r="C2856">
        <v>14</v>
      </c>
      <c r="D2856" t="s">
        <v>447</v>
      </c>
      <c r="E2856" s="217">
        <v>44621</v>
      </c>
      <c r="F2856">
        <v>0</v>
      </c>
      <c r="G2856" s="227" t="s">
        <v>121</v>
      </c>
    </row>
    <row r="2857" spans="1:7">
      <c r="A2857" s="216">
        <v>44621</v>
      </c>
      <c r="B2857" t="s">
        <v>42</v>
      </c>
      <c r="C2857">
        <v>14</v>
      </c>
      <c r="D2857" t="s">
        <v>447</v>
      </c>
      <c r="E2857" s="217">
        <v>44621</v>
      </c>
      <c r="F2857">
        <v>0</v>
      </c>
      <c r="G2857" s="227" t="s">
        <v>90</v>
      </c>
    </row>
    <row r="2858" spans="1:7">
      <c r="A2858" s="216">
        <v>44621</v>
      </c>
      <c r="B2858" t="s">
        <v>42</v>
      </c>
      <c r="C2858">
        <v>14</v>
      </c>
      <c r="D2858" t="s">
        <v>447</v>
      </c>
      <c r="E2858" s="217">
        <v>44621</v>
      </c>
      <c r="F2858">
        <v>0</v>
      </c>
      <c r="G2858" s="227" t="s">
        <v>98</v>
      </c>
    </row>
    <row r="2859" spans="1:7">
      <c r="A2859" s="216">
        <v>44621</v>
      </c>
      <c r="B2859" t="s">
        <v>42</v>
      </c>
      <c r="C2859">
        <v>14</v>
      </c>
      <c r="D2859" t="s">
        <v>447</v>
      </c>
      <c r="E2859" s="217">
        <v>44621</v>
      </c>
      <c r="F2859">
        <v>0</v>
      </c>
      <c r="G2859" s="227" t="s">
        <v>94</v>
      </c>
    </row>
    <row r="2860" spans="1:7">
      <c r="A2860" s="216">
        <v>44621</v>
      </c>
      <c r="B2860" t="s">
        <v>42</v>
      </c>
      <c r="C2860">
        <v>14</v>
      </c>
      <c r="D2860" t="s">
        <v>447</v>
      </c>
      <c r="E2860" s="217">
        <v>44621</v>
      </c>
      <c r="F2860">
        <v>0</v>
      </c>
      <c r="G2860" s="227" t="s">
        <v>112</v>
      </c>
    </row>
    <row r="2861" spans="1:7">
      <c r="A2861" s="216">
        <v>44621</v>
      </c>
      <c r="B2861" t="s">
        <v>42</v>
      </c>
      <c r="C2861">
        <v>14</v>
      </c>
      <c r="D2861" t="s">
        <v>447</v>
      </c>
      <c r="E2861" s="217">
        <v>44621</v>
      </c>
      <c r="F2861">
        <v>0</v>
      </c>
      <c r="G2861" s="227" t="s">
        <v>434</v>
      </c>
    </row>
    <row r="2862" spans="1:7">
      <c r="A2862" s="216">
        <v>44621</v>
      </c>
      <c r="B2862" t="s">
        <v>42</v>
      </c>
      <c r="C2862">
        <v>15</v>
      </c>
      <c r="D2862" t="s">
        <v>437</v>
      </c>
      <c r="E2862" s="217">
        <v>44621</v>
      </c>
      <c r="F2862">
        <v>8363</v>
      </c>
      <c r="G2862" s="227" t="s">
        <v>80</v>
      </c>
    </row>
    <row r="2863" spans="1:7">
      <c r="A2863" s="216">
        <v>44621</v>
      </c>
      <c r="B2863" t="s">
        <v>42</v>
      </c>
      <c r="C2863">
        <v>15</v>
      </c>
      <c r="D2863" t="s">
        <v>437</v>
      </c>
      <c r="E2863" s="217">
        <v>44621</v>
      </c>
      <c r="F2863">
        <v>8746</v>
      </c>
      <c r="G2863" s="227" t="s">
        <v>116</v>
      </c>
    </row>
    <row r="2864" spans="1:7">
      <c r="A2864" s="216">
        <v>44621</v>
      </c>
      <c r="B2864" t="s">
        <v>42</v>
      </c>
      <c r="C2864">
        <v>15</v>
      </c>
      <c r="D2864" t="s">
        <v>437</v>
      </c>
      <c r="E2864" s="217">
        <v>44621</v>
      </c>
      <c r="F2864">
        <v>8289</v>
      </c>
      <c r="G2864" s="227" t="s">
        <v>107</v>
      </c>
    </row>
    <row r="2865" spans="1:7">
      <c r="A2865" s="216">
        <v>44621</v>
      </c>
      <c r="B2865" t="s">
        <v>42</v>
      </c>
      <c r="C2865">
        <v>15</v>
      </c>
      <c r="D2865" t="s">
        <v>437</v>
      </c>
      <c r="E2865" s="217">
        <v>44621</v>
      </c>
      <c r="F2865">
        <v>8309</v>
      </c>
      <c r="G2865" s="227" t="s">
        <v>102</v>
      </c>
    </row>
    <row r="2866" spans="1:7">
      <c r="A2866" s="216">
        <v>44621</v>
      </c>
      <c r="B2866" t="s">
        <v>42</v>
      </c>
      <c r="C2866">
        <v>15</v>
      </c>
      <c r="D2866" t="s">
        <v>437</v>
      </c>
      <c r="E2866" s="217">
        <v>44621</v>
      </c>
      <c r="F2866">
        <v>9075</v>
      </c>
      <c r="G2866" s="227" t="s">
        <v>85</v>
      </c>
    </row>
    <row r="2867" spans="1:7">
      <c r="A2867" s="216">
        <v>44621</v>
      </c>
      <c r="B2867" t="s">
        <v>42</v>
      </c>
      <c r="C2867">
        <v>15</v>
      </c>
      <c r="D2867" t="s">
        <v>437</v>
      </c>
      <c r="E2867" s="217">
        <v>44621</v>
      </c>
      <c r="F2867">
        <v>8884</v>
      </c>
      <c r="G2867" s="227" t="s">
        <v>129</v>
      </c>
    </row>
    <row r="2868" spans="1:7">
      <c r="A2868" s="216">
        <v>44621</v>
      </c>
      <c r="B2868" t="s">
        <v>42</v>
      </c>
      <c r="C2868">
        <v>15</v>
      </c>
      <c r="D2868" t="s">
        <v>437</v>
      </c>
      <c r="E2868" s="217">
        <v>44621</v>
      </c>
      <c r="F2868">
        <v>9102</v>
      </c>
      <c r="G2868" s="227" t="s">
        <v>125</v>
      </c>
    </row>
    <row r="2869" spans="1:7">
      <c r="A2869" s="216">
        <v>44621</v>
      </c>
      <c r="B2869" t="s">
        <v>42</v>
      </c>
      <c r="C2869">
        <v>15</v>
      </c>
      <c r="D2869" t="s">
        <v>437</v>
      </c>
      <c r="E2869" s="217">
        <v>44621</v>
      </c>
      <c r="F2869">
        <v>8888</v>
      </c>
      <c r="G2869" s="227" t="s">
        <v>121</v>
      </c>
    </row>
    <row r="2870" spans="1:7">
      <c r="A2870" s="216">
        <v>44621</v>
      </c>
      <c r="B2870" t="s">
        <v>42</v>
      </c>
      <c r="C2870">
        <v>15</v>
      </c>
      <c r="D2870" t="s">
        <v>437</v>
      </c>
      <c r="E2870" s="217">
        <v>44621</v>
      </c>
      <c r="F2870">
        <v>10421</v>
      </c>
      <c r="G2870" s="227" t="s">
        <v>90</v>
      </c>
    </row>
    <row r="2871" spans="1:7">
      <c r="A2871" s="216">
        <v>44621</v>
      </c>
      <c r="B2871" t="s">
        <v>42</v>
      </c>
      <c r="C2871">
        <v>15</v>
      </c>
      <c r="D2871" t="s">
        <v>437</v>
      </c>
      <c r="E2871" s="217">
        <v>44621</v>
      </c>
      <c r="F2871">
        <v>9343</v>
      </c>
      <c r="G2871" s="227" t="s">
        <v>98</v>
      </c>
    </row>
    <row r="2872" spans="1:7">
      <c r="A2872" s="216">
        <v>44621</v>
      </c>
      <c r="B2872" t="s">
        <v>42</v>
      </c>
      <c r="C2872">
        <v>15</v>
      </c>
      <c r="D2872" t="s">
        <v>437</v>
      </c>
      <c r="E2872" s="217">
        <v>44621</v>
      </c>
      <c r="F2872">
        <v>8582</v>
      </c>
      <c r="G2872" s="227" t="s">
        <v>94</v>
      </c>
    </row>
    <row r="2873" spans="1:7">
      <c r="A2873" s="216">
        <v>44621</v>
      </c>
      <c r="B2873" t="s">
        <v>42</v>
      </c>
      <c r="C2873">
        <v>15</v>
      </c>
      <c r="D2873" t="s">
        <v>437</v>
      </c>
      <c r="E2873" s="217">
        <v>44621</v>
      </c>
      <c r="F2873">
        <v>9101</v>
      </c>
      <c r="G2873" s="227" t="s">
        <v>112</v>
      </c>
    </row>
    <row r="2874" spans="1:7">
      <c r="A2874" s="216">
        <v>44621</v>
      </c>
      <c r="B2874" t="s">
        <v>42</v>
      </c>
      <c r="C2874">
        <v>15</v>
      </c>
      <c r="D2874" t="s">
        <v>437</v>
      </c>
      <c r="E2874" s="217">
        <v>44621</v>
      </c>
      <c r="F2874">
        <v>107103</v>
      </c>
      <c r="G2874" s="227" t="s">
        <v>434</v>
      </c>
    </row>
    <row r="2875" spans="1:7">
      <c r="A2875" s="216">
        <v>44621</v>
      </c>
      <c r="B2875" t="s">
        <v>43</v>
      </c>
      <c r="C2875">
        <v>7</v>
      </c>
      <c r="D2875" t="s">
        <v>442</v>
      </c>
      <c r="E2875" s="217">
        <v>44621</v>
      </c>
      <c r="F2875">
        <v>148714</v>
      </c>
      <c r="G2875" s="227" t="s">
        <v>80</v>
      </c>
    </row>
    <row r="2876" spans="1:7">
      <c r="A2876" s="216">
        <v>44621</v>
      </c>
      <c r="B2876" t="s">
        <v>43</v>
      </c>
      <c r="C2876">
        <v>7</v>
      </c>
      <c r="D2876" t="s">
        <v>442</v>
      </c>
      <c r="E2876" s="217">
        <v>44621</v>
      </c>
      <c r="F2876">
        <v>158971</v>
      </c>
      <c r="G2876" s="227" t="s">
        <v>116</v>
      </c>
    </row>
    <row r="2877" spans="1:7">
      <c r="A2877" s="216">
        <v>44621</v>
      </c>
      <c r="B2877" t="s">
        <v>43</v>
      </c>
      <c r="C2877">
        <v>7</v>
      </c>
      <c r="D2877" t="s">
        <v>442</v>
      </c>
      <c r="E2877" s="217">
        <v>44621</v>
      </c>
      <c r="F2877">
        <v>158807</v>
      </c>
      <c r="G2877" s="227" t="s">
        <v>107</v>
      </c>
    </row>
    <row r="2878" spans="1:7">
      <c r="A2878" s="216">
        <v>44621</v>
      </c>
      <c r="B2878" t="s">
        <v>43</v>
      </c>
      <c r="C2878">
        <v>7</v>
      </c>
      <c r="D2878" t="s">
        <v>442</v>
      </c>
      <c r="E2878" s="217">
        <v>44621</v>
      </c>
      <c r="F2878">
        <v>158991</v>
      </c>
      <c r="G2878" s="227" t="s">
        <v>102</v>
      </c>
    </row>
    <row r="2879" spans="1:7">
      <c r="A2879" s="216">
        <v>44621</v>
      </c>
      <c r="B2879" t="s">
        <v>43</v>
      </c>
      <c r="C2879">
        <v>7</v>
      </c>
      <c r="D2879" t="s">
        <v>442</v>
      </c>
      <c r="E2879" s="217">
        <v>44621</v>
      </c>
      <c r="F2879">
        <v>163848</v>
      </c>
      <c r="G2879" s="227" t="s">
        <v>85</v>
      </c>
    </row>
    <row r="2880" spans="1:7">
      <c r="A2880" s="216">
        <v>44621</v>
      </c>
      <c r="B2880" t="s">
        <v>43</v>
      </c>
      <c r="C2880">
        <v>7</v>
      </c>
      <c r="D2880" t="s">
        <v>442</v>
      </c>
      <c r="E2880" s="217">
        <v>44621</v>
      </c>
      <c r="F2880">
        <v>160347</v>
      </c>
      <c r="G2880" s="227" t="s">
        <v>129</v>
      </c>
    </row>
    <row r="2881" spans="1:7">
      <c r="A2881" s="216">
        <v>44621</v>
      </c>
      <c r="B2881" t="s">
        <v>43</v>
      </c>
      <c r="C2881">
        <v>7</v>
      </c>
      <c r="D2881" t="s">
        <v>442</v>
      </c>
      <c r="E2881" s="217">
        <v>44621</v>
      </c>
      <c r="F2881">
        <v>160918</v>
      </c>
      <c r="G2881" s="227" t="s">
        <v>125</v>
      </c>
    </row>
    <row r="2882" spans="1:7">
      <c r="A2882" s="216">
        <v>44621</v>
      </c>
      <c r="B2882" t="s">
        <v>43</v>
      </c>
      <c r="C2882">
        <v>7</v>
      </c>
      <c r="D2882" t="s">
        <v>442</v>
      </c>
      <c r="E2882" s="217">
        <v>44621</v>
      </c>
      <c r="F2882">
        <v>163862</v>
      </c>
      <c r="G2882" s="227" t="s">
        <v>121</v>
      </c>
    </row>
    <row r="2883" spans="1:7">
      <c r="A2883" s="216">
        <v>44621</v>
      </c>
      <c r="B2883" t="s">
        <v>43</v>
      </c>
      <c r="C2883">
        <v>7</v>
      </c>
      <c r="D2883" t="s">
        <v>442</v>
      </c>
      <c r="E2883" s="217">
        <v>44621</v>
      </c>
      <c r="F2883">
        <v>171682</v>
      </c>
      <c r="G2883" s="227" t="s">
        <v>90</v>
      </c>
    </row>
    <row r="2884" spans="1:7">
      <c r="A2884" s="216">
        <v>44621</v>
      </c>
      <c r="B2884" t="s">
        <v>43</v>
      </c>
      <c r="C2884">
        <v>7</v>
      </c>
      <c r="D2884" t="s">
        <v>442</v>
      </c>
      <c r="E2884" s="217">
        <v>44621</v>
      </c>
      <c r="F2884">
        <v>178082</v>
      </c>
      <c r="G2884" s="227" t="s">
        <v>98</v>
      </c>
    </row>
    <row r="2885" spans="1:7">
      <c r="A2885" s="216">
        <v>44621</v>
      </c>
      <c r="B2885" t="s">
        <v>43</v>
      </c>
      <c r="C2885">
        <v>7</v>
      </c>
      <c r="D2885" t="s">
        <v>442</v>
      </c>
      <c r="E2885" s="217">
        <v>44621</v>
      </c>
      <c r="F2885">
        <v>173208</v>
      </c>
      <c r="G2885" s="227" t="s">
        <v>94</v>
      </c>
    </row>
    <row r="2886" spans="1:7">
      <c r="A2886" s="216">
        <v>44621</v>
      </c>
      <c r="B2886" t="s">
        <v>43</v>
      </c>
      <c r="C2886">
        <v>7</v>
      </c>
      <c r="D2886" t="s">
        <v>442</v>
      </c>
      <c r="E2886" s="217">
        <v>44621</v>
      </c>
      <c r="F2886">
        <v>229897</v>
      </c>
      <c r="G2886" s="227" t="s">
        <v>112</v>
      </c>
    </row>
    <row r="2887" spans="1:7">
      <c r="A2887" s="216">
        <v>44621</v>
      </c>
      <c r="B2887" t="s">
        <v>43</v>
      </c>
      <c r="C2887">
        <v>7</v>
      </c>
      <c r="D2887" t="s">
        <v>442</v>
      </c>
      <c r="E2887" s="217">
        <v>44621</v>
      </c>
      <c r="F2887">
        <v>2027327</v>
      </c>
      <c r="G2887" s="227" t="s">
        <v>434</v>
      </c>
    </row>
    <row r="2888" spans="1:7">
      <c r="A2888" s="216">
        <v>44621</v>
      </c>
      <c r="B2888" t="s">
        <v>43</v>
      </c>
      <c r="C2888">
        <v>9</v>
      </c>
      <c r="D2888" t="s">
        <v>450</v>
      </c>
      <c r="E2888" s="217">
        <v>44621</v>
      </c>
      <c r="F2888">
        <v>9198</v>
      </c>
      <c r="G2888" s="227" t="s">
        <v>80</v>
      </c>
    </row>
    <row r="2889" spans="1:7">
      <c r="A2889" s="216">
        <v>44621</v>
      </c>
      <c r="B2889" t="s">
        <v>43</v>
      </c>
      <c r="C2889">
        <v>9</v>
      </c>
      <c r="D2889" t="s">
        <v>450</v>
      </c>
      <c r="E2889" s="217">
        <v>44621</v>
      </c>
      <c r="F2889">
        <v>7930</v>
      </c>
      <c r="G2889" s="227" t="s">
        <v>116</v>
      </c>
    </row>
    <row r="2890" spans="1:7">
      <c r="A2890" s="216">
        <v>44621</v>
      </c>
      <c r="B2890" t="s">
        <v>43</v>
      </c>
      <c r="C2890">
        <v>9</v>
      </c>
      <c r="D2890" t="s">
        <v>450</v>
      </c>
      <c r="E2890" s="217">
        <v>44621</v>
      </c>
      <c r="F2890">
        <v>9258</v>
      </c>
      <c r="G2890" s="227" t="s">
        <v>107</v>
      </c>
    </row>
    <row r="2891" spans="1:7">
      <c r="A2891" s="216">
        <v>44621</v>
      </c>
      <c r="B2891" t="s">
        <v>43</v>
      </c>
      <c r="C2891">
        <v>9</v>
      </c>
      <c r="D2891" t="s">
        <v>450</v>
      </c>
      <c r="E2891" s="217">
        <v>44621</v>
      </c>
      <c r="F2891">
        <v>10467</v>
      </c>
      <c r="G2891" s="227" t="s">
        <v>102</v>
      </c>
    </row>
    <row r="2892" spans="1:7">
      <c r="A2892" s="216">
        <v>44621</v>
      </c>
      <c r="B2892" t="s">
        <v>43</v>
      </c>
      <c r="C2892">
        <v>9</v>
      </c>
      <c r="D2892" t="s">
        <v>450</v>
      </c>
      <c r="E2892" s="217">
        <v>44621</v>
      </c>
      <c r="F2892">
        <v>9325</v>
      </c>
      <c r="G2892" s="227" t="s">
        <v>85</v>
      </c>
    </row>
    <row r="2893" spans="1:7">
      <c r="A2893" s="216">
        <v>44621</v>
      </c>
      <c r="B2893" t="s">
        <v>43</v>
      </c>
      <c r="C2893">
        <v>9</v>
      </c>
      <c r="D2893" t="s">
        <v>450</v>
      </c>
      <c r="E2893" s="217">
        <v>44621</v>
      </c>
      <c r="F2893">
        <v>9801</v>
      </c>
      <c r="G2893" s="227" t="s">
        <v>129</v>
      </c>
    </row>
    <row r="2894" spans="1:7">
      <c r="A2894" s="216">
        <v>44621</v>
      </c>
      <c r="B2894" t="s">
        <v>43</v>
      </c>
      <c r="C2894">
        <v>9</v>
      </c>
      <c r="D2894" t="s">
        <v>450</v>
      </c>
      <c r="E2894" s="217">
        <v>44621</v>
      </c>
      <c r="F2894">
        <v>8807</v>
      </c>
      <c r="G2894" s="227" t="s">
        <v>125</v>
      </c>
    </row>
    <row r="2895" spans="1:7">
      <c r="A2895" s="216">
        <v>44621</v>
      </c>
      <c r="B2895" t="s">
        <v>43</v>
      </c>
      <c r="C2895">
        <v>9</v>
      </c>
      <c r="D2895" t="s">
        <v>450</v>
      </c>
      <c r="E2895" s="217">
        <v>44621</v>
      </c>
      <c r="F2895">
        <v>9252</v>
      </c>
      <c r="G2895" s="227" t="s">
        <v>121</v>
      </c>
    </row>
    <row r="2896" spans="1:7">
      <c r="A2896" s="216">
        <v>44621</v>
      </c>
      <c r="B2896" t="s">
        <v>43</v>
      </c>
      <c r="C2896">
        <v>9</v>
      </c>
      <c r="D2896" t="s">
        <v>450</v>
      </c>
      <c r="E2896" s="217">
        <v>44621</v>
      </c>
      <c r="F2896">
        <v>10283</v>
      </c>
      <c r="G2896" s="227" t="s">
        <v>90</v>
      </c>
    </row>
    <row r="2897" spans="1:7">
      <c r="A2897" s="216">
        <v>44621</v>
      </c>
      <c r="B2897" t="s">
        <v>43</v>
      </c>
      <c r="C2897">
        <v>9</v>
      </c>
      <c r="D2897" t="s">
        <v>450</v>
      </c>
      <c r="E2897" s="217">
        <v>44621</v>
      </c>
      <c r="F2897">
        <v>9316</v>
      </c>
      <c r="G2897" s="227" t="s">
        <v>98</v>
      </c>
    </row>
    <row r="2898" spans="1:7">
      <c r="A2898" s="216">
        <v>44621</v>
      </c>
      <c r="B2898" t="s">
        <v>43</v>
      </c>
      <c r="C2898">
        <v>9</v>
      </c>
      <c r="D2898" t="s">
        <v>450</v>
      </c>
      <c r="E2898" s="217">
        <v>44621</v>
      </c>
      <c r="F2898">
        <v>8901</v>
      </c>
      <c r="G2898" s="227" t="s">
        <v>94</v>
      </c>
    </row>
    <row r="2899" spans="1:7">
      <c r="A2899" s="216">
        <v>44621</v>
      </c>
      <c r="B2899" t="s">
        <v>43</v>
      </c>
      <c r="C2899">
        <v>9</v>
      </c>
      <c r="D2899" t="s">
        <v>450</v>
      </c>
      <c r="E2899" s="217">
        <v>44621</v>
      </c>
      <c r="F2899">
        <v>9764</v>
      </c>
      <c r="G2899" s="227" t="s">
        <v>112</v>
      </c>
    </row>
    <row r="2900" spans="1:7">
      <c r="A2900" s="216">
        <v>44621</v>
      </c>
      <c r="B2900" t="s">
        <v>43</v>
      </c>
      <c r="C2900">
        <v>9</v>
      </c>
      <c r="D2900" t="s">
        <v>450</v>
      </c>
      <c r="E2900" s="217">
        <v>44621</v>
      </c>
      <c r="F2900">
        <v>112302</v>
      </c>
      <c r="G2900" s="227" t="s">
        <v>434</v>
      </c>
    </row>
    <row r="2901" spans="1:7">
      <c r="A2901" s="216">
        <v>44621</v>
      </c>
      <c r="B2901" t="s">
        <v>43</v>
      </c>
      <c r="C2901">
        <v>10</v>
      </c>
      <c r="D2901" t="s">
        <v>433</v>
      </c>
      <c r="E2901" s="217">
        <v>44621</v>
      </c>
      <c r="F2901">
        <v>68195</v>
      </c>
      <c r="G2901" s="227" t="s">
        <v>80</v>
      </c>
    </row>
    <row r="2902" spans="1:7">
      <c r="A2902" s="216">
        <v>44621</v>
      </c>
      <c r="B2902" t="s">
        <v>43</v>
      </c>
      <c r="C2902">
        <v>10</v>
      </c>
      <c r="D2902" t="s">
        <v>433</v>
      </c>
      <c r="E2902" s="217">
        <v>44621</v>
      </c>
      <c r="F2902">
        <v>70220</v>
      </c>
      <c r="G2902" s="227" t="s">
        <v>116</v>
      </c>
    </row>
    <row r="2903" spans="1:7">
      <c r="A2903" s="216">
        <v>44621</v>
      </c>
      <c r="B2903" t="s">
        <v>43</v>
      </c>
      <c r="C2903">
        <v>10</v>
      </c>
      <c r="D2903" t="s">
        <v>433</v>
      </c>
      <c r="E2903" s="217">
        <v>44621</v>
      </c>
      <c r="F2903">
        <v>69655</v>
      </c>
      <c r="G2903" s="227" t="s">
        <v>107</v>
      </c>
    </row>
    <row r="2904" spans="1:7">
      <c r="A2904" s="216">
        <v>44621</v>
      </c>
      <c r="B2904" t="s">
        <v>43</v>
      </c>
      <c r="C2904">
        <v>10</v>
      </c>
      <c r="D2904" t="s">
        <v>433</v>
      </c>
      <c r="E2904" s="217">
        <v>44621</v>
      </c>
      <c r="F2904">
        <v>69040</v>
      </c>
      <c r="G2904" s="227" t="s">
        <v>102</v>
      </c>
    </row>
    <row r="2905" spans="1:7">
      <c r="A2905" s="216">
        <v>44621</v>
      </c>
      <c r="B2905" t="s">
        <v>43</v>
      </c>
      <c r="C2905">
        <v>10</v>
      </c>
      <c r="D2905" t="s">
        <v>433</v>
      </c>
      <c r="E2905" s="217">
        <v>44621</v>
      </c>
      <c r="F2905">
        <v>76096</v>
      </c>
      <c r="G2905" s="227" t="s">
        <v>85</v>
      </c>
    </row>
    <row r="2906" spans="1:7">
      <c r="A2906" s="216">
        <v>44621</v>
      </c>
      <c r="B2906" t="s">
        <v>43</v>
      </c>
      <c r="C2906">
        <v>10</v>
      </c>
      <c r="D2906" t="s">
        <v>433</v>
      </c>
      <c r="E2906" s="217">
        <v>44621</v>
      </c>
      <c r="F2906">
        <v>71989</v>
      </c>
      <c r="G2906" s="227" t="s">
        <v>129</v>
      </c>
    </row>
    <row r="2907" spans="1:7">
      <c r="A2907" s="216">
        <v>44621</v>
      </c>
      <c r="B2907" t="s">
        <v>43</v>
      </c>
      <c r="C2907">
        <v>10</v>
      </c>
      <c r="D2907" t="s">
        <v>433</v>
      </c>
      <c r="E2907" s="217">
        <v>44621</v>
      </c>
      <c r="F2907">
        <v>68512</v>
      </c>
      <c r="G2907" s="227" t="s">
        <v>125</v>
      </c>
    </row>
    <row r="2908" spans="1:7">
      <c r="A2908" s="216">
        <v>44621</v>
      </c>
      <c r="B2908" t="s">
        <v>43</v>
      </c>
      <c r="C2908">
        <v>10</v>
      </c>
      <c r="D2908" t="s">
        <v>433</v>
      </c>
      <c r="E2908" s="217">
        <v>44621</v>
      </c>
      <c r="F2908">
        <v>74010</v>
      </c>
      <c r="G2908" s="227" t="s">
        <v>121</v>
      </c>
    </row>
    <row r="2909" spans="1:7">
      <c r="A2909" s="216">
        <v>44621</v>
      </c>
      <c r="B2909" t="s">
        <v>43</v>
      </c>
      <c r="C2909">
        <v>10</v>
      </c>
      <c r="D2909" t="s">
        <v>433</v>
      </c>
      <c r="E2909" s="217">
        <v>44621</v>
      </c>
      <c r="F2909">
        <v>75451</v>
      </c>
      <c r="G2909" s="227" t="s">
        <v>90</v>
      </c>
    </row>
    <row r="2910" spans="1:7">
      <c r="A2910" s="216">
        <v>44621</v>
      </c>
      <c r="B2910" t="s">
        <v>43</v>
      </c>
      <c r="C2910">
        <v>10</v>
      </c>
      <c r="D2910" t="s">
        <v>433</v>
      </c>
      <c r="E2910" s="217">
        <v>44621</v>
      </c>
      <c r="F2910">
        <v>76663</v>
      </c>
      <c r="G2910" s="227" t="s">
        <v>98</v>
      </c>
    </row>
    <row r="2911" spans="1:7">
      <c r="A2911" s="216">
        <v>44621</v>
      </c>
      <c r="B2911" t="s">
        <v>43</v>
      </c>
      <c r="C2911">
        <v>10</v>
      </c>
      <c r="D2911" t="s">
        <v>433</v>
      </c>
      <c r="E2911" s="217">
        <v>44621</v>
      </c>
      <c r="F2911">
        <v>75266</v>
      </c>
      <c r="G2911" s="227" t="s">
        <v>94</v>
      </c>
    </row>
    <row r="2912" spans="1:7">
      <c r="A2912" s="216">
        <v>44621</v>
      </c>
      <c r="B2912" t="s">
        <v>43</v>
      </c>
      <c r="C2912">
        <v>10</v>
      </c>
      <c r="D2912" t="s">
        <v>433</v>
      </c>
      <c r="E2912" s="217">
        <v>44621</v>
      </c>
      <c r="F2912">
        <v>119373</v>
      </c>
      <c r="G2912" s="227" t="s">
        <v>112</v>
      </c>
    </row>
    <row r="2913" spans="1:7">
      <c r="A2913" s="216">
        <v>44621</v>
      </c>
      <c r="B2913" t="s">
        <v>43</v>
      </c>
      <c r="C2913">
        <v>10</v>
      </c>
      <c r="D2913" t="s">
        <v>433</v>
      </c>
      <c r="E2913" s="217">
        <v>44621</v>
      </c>
      <c r="F2913">
        <v>914470</v>
      </c>
      <c r="G2913" s="227" t="s">
        <v>434</v>
      </c>
    </row>
    <row r="2914" spans="1:7">
      <c r="A2914" s="216">
        <v>44621</v>
      </c>
      <c r="B2914" t="s">
        <v>43</v>
      </c>
      <c r="C2914">
        <v>11</v>
      </c>
      <c r="D2914" t="s">
        <v>445</v>
      </c>
      <c r="E2914" s="217">
        <v>44621</v>
      </c>
      <c r="F2914">
        <v>15182</v>
      </c>
      <c r="G2914" s="227" t="s">
        <v>80</v>
      </c>
    </row>
    <row r="2915" spans="1:7">
      <c r="A2915" s="216">
        <v>44621</v>
      </c>
      <c r="B2915" t="s">
        <v>43</v>
      </c>
      <c r="C2915">
        <v>11</v>
      </c>
      <c r="D2915" t="s">
        <v>445</v>
      </c>
      <c r="E2915" s="217">
        <v>44621</v>
      </c>
      <c r="F2915">
        <v>17563</v>
      </c>
      <c r="G2915" s="227" t="s">
        <v>116</v>
      </c>
    </row>
    <row r="2916" spans="1:7">
      <c r="A2916" s="216">
        <v>44621</v>
      </c>
      <c r="B2916" t="s">
        <v>43</v>
      </c>
      <c r="C2916">
        <v>11</v>
      </c>
      <c r="D2916" t="s">
        <v>445</v>
      </c>
      <c r="E2916" s="217">
        <v>44621</v>
      </c>
      <c r="F2916">
        <v>15845</v>
      </c>
      <c r="G2916" s="227" t="s">
        <v>107</v>
      </c>
    </row>
    <row r="2917" spans="1:7">
      <c r="A2917" s="216">
        <v>44621</v>
      </c>
      <c r="B2917" t="s">
        <v>43</v>
      </c>
      <c r="C2917">
        <v>11</v>
      </c>
      <c r="D2917" t="s">
        <v>445</v>
      </c>
      <c r="E2917" s="217">
        <v>44621</v>
      </c>
      <c r="F2917">
        <v>10560</v>
      </c>
      <c r="G2917" s="227" t="s">
        <v>102</v>
      </c>
    </row>
    <row r="2918" spans="1:7">
      <c r="A2918" s="216">
        <v>44621</v>
      </c>
      <c r="B2918" t="s">
        <v>43</v>
      </c>
      <c r="C2918">
        <v>11</v>
      </c>
      <c r="D2918" t="s">
        <v>445</v>
      </c>
      <c r="E2918" s="217">
        <v>44621</v>
      </c>
      <c r="F2918">
        <v>15781</v>
      </c>
      <c r="G2918" s="227" t="s">
        <v>85</v>
      </c>
    </row>
    <row r="2919" spans="1:7">
      <c r="A2919" s="216">
        <v>44621</v>
      </c>
      <c r="B2919" t="s">
        <v>43</v>
      </c>
      <c r="C2919">
        <v>11</v>
      </c>
      <c r="D2919" t="s">
        <v>445</v>
      </c>
      <c r="E2919" s="217">
        <v>44621</v>
      </c>
      <c r="F2919">
        <v>14590</v>
      </c>
      <c r="G2919" s="227" t="s">
        <v>129</v>
      </c>
    </row>
    <row r="2920" spans="1:7">
      <c r="A2920" s="216">
        <v>44621</v>
      </c>
      <c r="B2920" t="s">
        <v>43</v>
      </c>
      <c r="C2920">
        <v>11</v>
      </c>
      <c r="D2920" t="s">
        <v>445</v>
      </c>
      <c r="E2920" s="217">
        <v>44621</v>
      </c>
      <c r="F2920">
        <v>19039</v>
      </c>
      <c r="G2920" s="227" t="s">
        <v>125</v>
      </c>
    </row>
    <row r="2921" spans="1:7">
      <c r="A2921" s="216">
        <v>44621</v>
      </c>
      <c r="B2921" t="s">
        <v>43</v>
      </c>
      <c r="C2921">
        <v>11</v>
      </c>
      <c r="D2921" t="s">
        <v>445</v>
      </c>
      <c r="E2921" s="217">
        <v>44621</v>
      </c>
      <c r="F2921">
        <v>16871</v>
      </c>
      <c r="G2921" s="227" t="s">
        <v>121</v>
      </c>
    </row>
    <row r="2922" spans="1:7">
      <c r="A2922" s="216">
        <v>44621</v>
      </c>
      <c r="B2922" t="s">
        <v>43</v>
      </c>
      <c r="C2922">
        <v>11</v>
      </c>
      <c r="D2922" t="s">
        <v>445</v>
      </c>
      <c r="E2922" s="217">
        <v>44621</v>
      </c>
      <c r="F2922">
        <v>20436</v>
      </c>
      <c r="G2922" s="227" t="s">
        <v>90</v>
      </c>
    </row>
    <row r="2923" spans="1:7">
      <c r="A2923" s="216">
        <v>44621</v>
      </c>
      <c r="B2923" t="s">
        <v>43</v>
      </c>
      <c r="C2923">
        <v>11</v>
      </c>
      <c r="D2923" t="s">
        <v>445</v>
      </c>
      <c r="E2923" s="217">
        <v>44621</v>
      </c>
      <c r="F2923">
        <v>22073</v>
      </c>
      <c r="G2923" s="227" t="s">
        <v>98</v>
      </c>
    </row>
    <row r="2924" spans="1:7">
      <c r="A2924" s="216">
        <v>44621</v>
      </c>
      <c r="B2924" t="s">
        <v>43</v>
      </c>
      <c r="C2924">
        <v>11</v>
      </c>
      <c r="D2924" t="s">
        <v>445</v>
      </c>
      <c r="E2924" s="217">
        <v>44621</v>
      </c>
      <c r="F2924">
        <v>22726</v>
      </c>
      <c r="G2924" s="227" t="s">
        <v>94</v>
      </c>
    </row>
    <row r="2925" spans="1:7">
      <c r="A2925" s="216">
        <v>44621</v>
      </c>
      <c r="B2925" t="s">
        <v>43</v>
      </c>
      <c r="C2925">
        <v>11</v>
      </c>
      <c r="D2925" t="s">
        <v>445</v>
      </c>
      <c r="E2925" s="217">
        <v>44621</v>
      </c>
      <c r="F2925">
        <v>30049</v>
      </c>
      <c r="G2925" s="227" t="s">
        <v>112</v>
      </c>
    </row>
    <row r="2926" spans="1:7">
      <c r="A2926" s="216">
        <v>44621</v>
      </c>
      <c r="B2926" t="s">
        <v>43</v>
      </c>
      <c r="C2926">
        <v>11</v>
      </c>
      <c r="D2926" t="s">
        <v>445</v>
      </c>
      <c r="E2926" s="217">
        <v>44621</v>
      </c>
      <c r="F2926">
        <v>220715</v>
      </c>
      <c r="G2926" s="227" t="s">
        <v>434</v>
      </c>
    </row>
    <row r="2927" spans="1:7">
      <c r="A2927" s="216">
        <v>44621</v>
      </c>
      <c r="B2927" t="s">
        <v>43</v>
      </c>
      <c r="C2927">
        <v>12</v>
      </c>
      <c r="D2927" t="s">
        <v>454</v>
      </c>
      <c r="E2927" s="217">
        <v>44621</v>
      </c>
      <c r="F2927">
        <v>5618</v>
      </c>
      <c r="G2927" s="227" t="s">
        <v>80</v>
      </c>
    </row>
    <row r="2928" spans="1:7">
      <c r="A2928" s="216">
        <v>44621</v>
      </c>
      <c r="B2928" t="s">
        <v>43</v>
      </c>
      <c r="C2928">
        <v>12</v>
      </c>
      <c r="D2928" t="s">
        <v>454</v>
      </c>
      <c r="E2928" s="217">
        <v>44621</v>
      </c>
      <c r="F2928">
        <v>6033</v>
      </c>
      <c r="G2928" s="227" t="s">
        <v>116</v>
      </c>
    </row>
    <row r="2929" spans="1:7">
      <c r="A2929" s="216">
        <v>44621</v>
      </c>
      <c r="B2929" t="s">
        <v>43</v>
      </c>
      <c r="C2929">
        <v>12</v>
      </c>
      <c r="D2929" t="s">
        <v>454</v>
      </c>
      <c r="E2929" s="217">
        <v>44621</v>
      </c>
      <c r="F2929">
        <v>6797</v>
      </c>
      <c r="G2929" s="227" t="s">
        <v>107</v>
      </c>
    </row>
    <row r="2930" spans="1:7">
      <c r="A2930" s="216">
        <v>44621</v>
      </c>
      <c r="B2930" t="s">
        <v>43</v>
      </c>
      <c r="C2930">
        <v>12</v>
      </c>
      <c r="D2930" t="s">
        <v>454</v>
      </c>
      <c r="E2930" s="217">
        <v>44621</v>
      </c>
      <c r="F2930">
        <v>6861</v>
      </c>
      <c r="G2930" s="227" t="s">
        <v>102</v>
      </c>
    </row>
    <row r="2931" spans="1:7">
      <c r="A2931" s="216">
        <v>44621</v>
      </c>
      <c r="B2931" t="s">
        <v>43</v>
      </c>
      <c r="C2931">
        <v>12</v>
      </c>
      <c r="D2931" t="s">
        <v>454</v>
      </c>
      <c r="E2931" s="217">
        <v>44621</v>
      </c>
      <c r="F2931">
        <v>7056</v>
      </c>
      <c r="G2931" s="227" t="s">
        <v>85</v>
      </c>
    </row>
    <row r="2932" spans="1:7">
      <c r="A2932" s="216">
        <v>44621</v>
      </c>
      <c r="B2932" t="s">
        <v>43</v>
      </c>
      <c r="C2932">
        <v>12</v>
      </c>
      <c r="D2932" t="s">
        <v>454</v>
      </c>
      <c r="E2932" s="217">
        <v>44621</v>
      </c>
      <c r="F2932">
        <v>7521</v>
      </c>
      <c r="G2932" s="227" t="s">
        <v>129</v>
      </c>
    </row>
    <row r="2933" spans="1:7">
      <c r="A2933" s="216">
        <v>44621</v>
      </c>
      <c r="B2933" t="s">
        <v>43</v>
      </c>
      <c r="C2933">
        <v>12</v>
      </c>
      <c r="D2933" t="s">
        <v>454</v>
      </c>
      <c r="E2933" s="217">
        <v>44621</v>
      </c>
      <c r="F2933">
        <v>7455</v>
      </c>
      <c r="G2933" s="227" t="s">
        <v>125</v>
      </c>
    </row>
    <row r="2934" spans="1:7">
      <c r="A2934" s="216">
        <v>44621</v>
      </c>
      <c r="B2934" t="s">
        <v>43</v>
      </c>
      <c r="C2934">
        <v>12</v>
      </c>
      <c r="D2934" t="s">
        <v>454</v>
      </c>
      <c r="E2934" s="217">
        <v>44621</v>
      </c>
      <c r="F2934">
        <v>7101</v>
      </c>
      <c r="G2934" s="227" t="s">
        <v>121</v>
      </c>
    </row>
    <row r="2935" spans="1:7">
      <c r="A2935" s="216">
        <v>44621</v>
      </c>
      <c r="B2935" t="s">
        <v>43</v>
      </c>
      <c r="C2935">
        <v>12</v>
      </c>
      <c r="D2935" t="s">
        <v>454</v>
      </c>
      <c r="E2935" s="217">
        <v>44621</v>
      </c>
      <c r="F2935">
        <v>7149</v>
      </c>
      <c r="G2935" s="227" t="s">
        <v>90</v>
      </c>
    </row>
    <row r="2936" spans="1:7">
      <c r="A2936" s="216">
        <v>44621</v>
      </c>
      <c r="B2936" t="s">
        <v>43</v>
      </c>
      <c r="C2936">
        <v>12</v>
      </c>
      <c r="D2936" t="s">
        <v>454</v>
      </c>
      <c r="E2936" s="217">
        <v>44621</v>
      </c>
      <c r="F2936">
        <v>7184</v>
      </c>
      <c r="G2936" s="227" t="s">
        <v>98</v>
      </c>
    </row>
    <row r="2937" spans="1:7">
      <c r="A2937" s="216">
        <v>44621</v>
      </c>
      <c r="B2937" t="s">
        <v>43</v>
      </c>
      <c r="C2937">
        <v>12</v>
      </c>
      <c r="D2937" t="s">
        <v>454</v>
      </c>
      <c r="E2937" s="217">
        <v>44621</v>
      </c>
      <c r="F2937">
        <v>6359</v>
      </c>
      <c r="G2937" s="227" t="s">
        <v>94</v>
      </c>
    </row>
    <row r="2938" spans="1:7">
      <c r="A2938" s="216">
        <v>44621</v>
      </c>
      <c r="B2938" t="s">
        <v>43</v>
      </c>
      <c r="C2938">
        <v>12</v>
      </c>
      <c r="D2938" t="s">
        <v>454</v>
      </c>
      <c r="E2938" s="217">
        <v>44621</v>
      </c>
      <c r="F2938">
        <v>7081</v>
      </c>
      <c r="G2938" s="227" t="s">
        <v>112</v>
      </c>
    </row>
    <row r="2939" spans="1:7">
      <c r="A2939" s="216">
        <v>44621</v>
      </c>
      <c r="B2939" t="s">
        <v>43</v>
      </c>
      <c r="C2939">
        <v>12</v>
      </c>
      <c r="D2939" t="s">
        <v>454</v>
      </c>
      <c r="E2939" s="217">
        <v>44621</v>
      </c>
      <c r="F2939">
        <v>82215</v>
      </c>
      <c r="G2939" s="227" t="s">
        <v>434</v>
      </c>
    </row>
    <row r="2940" spans="1:7">
      <c r="A2940" s="216">
        <v>44621</v>
      </c>
      <c r="B2940" t="s">
        <v>43</v>
      </c>
      <c r="C2940">
        <v>8</v>
      </c>
      <c r="D2940" t="s">
        <v>451</v>
      </c>
      <c r="E2940" s="217">
        <v>44621</v>
      </c>
      <c r="F2940">
        <v>18135</v>
      </c>
      <c r="G2940" s="227" t="s">
        <v>80</v>
      </c>
    </row>
    <row r="2941" spans="1:7">
      <c r="A2941" s="216">
        <v>44621</v>
      </c>
      <c r="B2941" t="s">
        <v>43</v>
      </c>
      <c r="C2941">
        <v>8</v>
      </c>
      <c r="D2941" t="s">
        <v>451</v>
      </c>
      <c r="E2941" s="217">
        <v>44621</v>
      </c>
      <c r="F2941">
        <v>19071</v>
      </c>
      <c r="G2941" s="227" t="s">
        <v>116</v>
      </c>
    </row>
    <row r="2942" spans="1:7">
      <c r="A2942" s="216">
        <v>44621</v>
      </c>
      <c r="B2942" t="s">
        <v>43</v>
      </c>
      <c r="C2942">
        <v>8</v>
      </c>
      <c r="D2942" t="s">
        <v>451</v>
      </c>
      <c r="E2942" s="217">
        <v>44621</v>
      </c>
      <c r="F2942">
        <v>19080</v>
      </c>
      <c r="G2942" s="227" t="s">
        <v>107</v>
      </c>
    </row>
    <row r="2943" spans="1:7">
      <c r="A2943" s="216">
        <v>44621</v>
      </c>
      <c r="B2943" t="s">
        <v>43</v>
      </c>
      <c r="C2943">
        <v>8</v>
      </c>
      <c r="D2943" t="s">
        <v>451</v>
      </c>
      <c r="E2943" s="217">
        <v>44621</v>
      </c>
      <c r="F2943">
        <v>19713</v>
      </c>
      <c r="G2943" s="227" t="s">
        <v>102</v>
      </c>
    </row>
    <row r="2944" spans="1:7">
      <c r="A2944" s="216">
        <v>44621</v>
      </c>
      <c r="B2944" t="s">
        <v>43</v>
      </c>
      <c r="C2944">
        <v>8</v>
      </c>
      <c r="D2944" t="s">
        <v>451</v>
      </c>
      <c r="E2944" s="217">
        <v>44621</v>
      </c>
      <c r="F2944">
        <v>18455</v>
      </c>
      <c r="G2944" s="227" t="s">
        <v>85</v>
      </c>
    </row>
    <row r="2945" spans="1:7">
      <c r="A2945" s="216">
        <v>44621</v>
      </c>
      <c r="B2945" t="s">
        <v>43</v>
      </c>
      <c r="C2945">
        <v>8</v>
      </c>
      <c r="D2945" t="s">
        <v>451</v>
      </c>
      <c r="E2945" s="217">
        <v>44621</v>
      </c>
      <c r="F2945">
        <v>17954</v>
      </c>
      <c r="G2945" s="227" t="s">
        <v>129</v>
      </c>
    </row>
    <row r="2946" spans="1:7">
      <c r="A2946" s="216">
        <v>44621</v>
      </c>
      <c r="B2946" t="s">
        <v>43</v>
      </c>
      <c r="C2946">
        <v>8</v>
      </c>
      <c r="D2946" t="s">
        <v>451</v>
      </c>
      <c r="E2946" s="217">
        <v>44621</v>
      </c>
      <c r="F2946">
        <v>18689</v>
      </c>
      <c r="G2946" s="227" t="s">
        <v>125</v>
      </c>
    </row>
    <row r="2947" spans="1:7">
      <c r="A2947" s="216">
        <v>44621</v>
      </c>
      <c r="B2947" t="s">
        <v>43</v>
      </c>
      <c r="C2947">
        <v>8</v>
      </c>
      <c r="D2947" t="s">
        <v>451</v>
      </c>
      <c r="E2947" s="217">
        <v>44621</v>
      </c>
      <c r="F2947">
        <v>18851</v>
      </c>
      <c r="G2947" s="227" t="s">
        <v>121</v>
      </c>
    </row>
    <row r="2948" spans="1:7">
      <c r="A2948" s="216">
        <v>44621</v>
      </c>
      <c r="B2948" t="s">
        <v>43</v>
      </c>
      <c r="C2948">
        <v>8</v>
      </c>
      <c r="D2948" t="s">
        <v>451</v>
      </c>
      <c r="E2948" s="217">
        <v>44621</v>
      </c>
      <c r="F2948">
        <v>20808</v>
      </c>
      <c r="G2948" s="227" t="s">
        <v>90</v>
      </c>
    </row>
    <row r="2949" spans="1:7">
      <c r="A2949" s="216">
        <v>44621</v>
      </c>
      <c r="B2949" t="s">
        <v>43</v>
      </c>
      <c r="C2949">
        <v>8</v>
      </c>
      <c r="D2949" t="s">
        <v>451</v>
      </c>
      <c r="E2949" s="217">
        <v>44621</v>
      </c>
      <c r="F2949">
        <v>20257</v>
      </c>
      <c r="G2949" s="227" t="s">
        <v>98</v>
      </c>
    </row>
    <row r="2950" spans="1:7">
      <c r="A2950" s="216">
        <v>44621</v>
      </c>
      <c r="B2950" t="s">
        <v>43</v>
      </c>
      <c r="C2950">
        <v>8</v>
      </c>
      <c r="D2950" t="s">
        <v>451</v>
      </c>
      <c r="E2950" s="217">
        <v>44621</v>
      </c>
      <c r="F2950">
        <v>18240</v>
      </c>
      <c r="G2950" s="227" t="s">
        <v>94</v>
      </c>
    </row>
    <row r="2951" spans="1:7">
      <c r="A2951" s="216">
        <v>44621</v>
      </c>
      <c r="B2951" t="s">
        <v>43</v>
      </c>
      <c r="C2951">
        <v>8</v>
      </c>
      <c r="D2951" t="s">
        <v>451</v>
      </c>
      <c r="E2951" s="217">
        <v>44621</v>
      </c>
      <c r="F2951">
        <v>19387</v>
      </c>
      <c r="G2951" s="227" t="s">
        <v>112</v>
      </c>
    </row>
    <row r="2952" spans="1:7">
      <c r="A2952" s="216">
        <v>44621</v>
      </c>
      <c r="B2952" t="s">
        <v>43</v>
      </c>
      <c r="C2952">
        <v>8</v>
      </c>
      <c r="D2952" t="s">
        <v>451</v>
      </c>
      <c r="E2952" s="217">
        <v>44621</v>
      </c>
      <c r="F2952">
        <v>228640</v>
      </c>
      <c r="G2952" s="227" t="s">
        <v>434</v>
      </c>
    </row>
    <row r="2953" spans="1:7">
      <c r="A2953" s="216">
        <v>44621</v>
      </c>
      <c r="B2953" t="s">
        <v>43</v>
      </c>
      <c r="C2953">
        <v>13</v>
      </c>
      <c r="D2953" t="s">
        <v>441</v>
      </c>
      <c r="E2953" s="217">
        <v>44621</v>
      </c>
      <c r="F2953">
        <v>22821</v>
      </c>
      <c r="G2953" s="227" t="s">
        <v>80</v>
      </c>
    </row>
    <row r="2954" spans="1:7">
      <c r="A2954" s="216">
        <v>44621</v>
      </c>
      <c r="B2954" t="s">
        <v>43</v>
      </c>
      <c r="C2954">
        <v>13</v>
      </c>
      <c r="D2954" t="s">
        <v>441</v>
      </c>
      <c r="E2954" s="217">
        <v>44621</v>
      </c>
      <c r="F2954">
        <v>22833</v>
      </c>
      <c r="G2954" s="227" t="s">
        <v>116</v>
      </c>
    </row>
    <row r="2955" spans="1:7">
      <c r="A2955" s="216">
        <v>44621</v>
      </c>
      <c r="B2955" t="s">
        <v>43</v>
      </c>
      <c r="C2955">
        <v>13</v>
      </c>
      <c r="D2955" t="s">
        <v>441</v>
      </c>
      <c r="E2955" s="217">
        <v>44621</v>
      </c>
      <c r="F2955">
        <v>23387</v>
      </c>
      <c r="G2955" s="227" t="s">
        <v>107</v>
      </c>
    </row>
    <row r="2956" spans="1:7">
      <c r="A2956" s="216">
        <v>44621</v>
      </c>
      <c r="B2956" t="s">
        <v>43</v>
      </c>
      <c r="C2956">
        <v>13</v>
      </c>
      <c r="D2956" t="s">
        <v>441</v>
      </c>
      <c r="E2956" s="217">
        <v>44621</v>
      </c>
      <c r="F2956">
        <v>24412</v>
      </c>
      <c r="G2956" s="227" t="s">
        <v>102</v>
      </c>
    </row>
    <row r="2957" spans="1:7">
      <c r="A2957" s="216">
        <v>44621</v>
      </c>
      <c r="B2957" t="s">
        <v>43</v>
      </c>
      <c r="C2957">
        <v>13</v>
      </c>
      <c r="D2957" t="s">
        <v>441</v>
      </c>
      <c r="E2957" s="217">
        <v>44621</v>
      </c>
      <c r="F2957">
        <v>23277</v>
      </c>
      <c r="G2957" s="227" t="s">
        <v>85</v>
      </c>
    </row>
    <row r="2958" spans="1:7">
      <c r="A2958" s="216">
        <v>44621</v>
      </c>
      <c r="B2958" t="s">
        <v>43</v>
      </c>
      <c r="C2958">
        <v>13</v>
      </c>
      <c r="D2958" t="s">
        <v>441</v>
      </c>
      <c r="E2958" s="217">
        <v>44621</v>
      </c>
      <c r="F2958">
        <v>23725</v>
      </c>
      <c r="G2958" s="227" t="s">
        <v>129</v>
      </c>
    </row>
    <row r="2959" spans="1:7">
      <c r="A2959" s="216">
        <v>44621</v>
      </c>
      <c r="B2959" t="s">
        <v>43</v>
      </c>
      <c r="C2959">
        <v>13</v>
      </c>
      <c r="D2959" t="s">
        <v>441</v>
      </c>
      <c r="E2959" s="217">
        <v>44621</v>
      </c>
      <c r="F2959">
        <v>23522</v>
      </c>
      <c r="G2959" s="227" t="s">
        <v>125</v>
      </c>
    </row>
    <row r="2960" spans="1:7">
      <c r="A2960" s="216">
        <v>44621</v>
      </c>
      <c r="B2960" t="s">
        <v>43</v>
      </c>
      <c r="C2960">
        <v>13</v>
      </c>
      <c r="D2960" t="s">
        <v>441</v>
      </c>
      <c r="E2960" s="217">
        <v>44621</v>
      </c>
      <c r="F2960">
        <v>24464</v>
      </c>
      <c r="G2960" s="227" t="s">
        <v>121</v>
      </c>
    </row>
    <row r="2961" spans="1:7">
      <c r="A2961" s="216">
        <v>44621</v>
      </c>
      <c r="B2961" t="s">
        <v>43</v>
      </c>
      <c r="C2961">
        <v>13</v>
      </c>
      <c r="D2961" t="s">
        <v>441</v>
      </c>
      <c r="E2961" s="217">
        <v>44621</v>
      </c>
      <c r="F2961">
        <v>23501</v>
      </c>
      <c r="G2961" s="227" t="s">
        <v>90</v>
      </c>
    </row>
    <row r="2962" spans="1:7">
      <c r="A2962" s="216">
        <v>44621</v>
      </c>
      <c r="B2962" t="s">
        <v>43</v>
      </c>
      <c r="C2962">
        <v>13</v>
      </c>
      <c r="D2962" t="s">
        <v>441</v>
      </c>
      <c r="E2962" s="217">
        <v>44621</v>
      </c>
      <c r="F2962">
        <v>27354</v>
      </c>
      <c r="G2962" s="227" t="s">
        <v>98</v>
      </c>
    </row>
    <row r="2963" spans="1:7">
      <c r="A2963" s="216">
        <v>44621</v>
      </c>
      <c r="B2963" t="s">
        <v>43</v>
      </c>
      <c r="C2963">
        <v>13</v>
      </c>
      <c r="D2963" t="s">
        <v>441</v>
      </c>
      <c r="E2963" s="217">
        <v>44621</v>
      </c>
      <c r="F2963">
        <v>24123</v>
      </c>
      <c r="G2963" s="227" t="s">
        <v>94</v>
      </c>
    </row>
    <row r="2964" spans="1:7">
      <c r="A2964" s="216">
        <v>44621</v>
      </c>
      <c r="B2964" t="s">
        <v>43</v>
      </c>
      <c r="C2964">
        <v>13</v>
      </c>
      <c r="D2964" t="s">
        <v>441</v>
      </c>
      <c r="E2964" s="217">
        <v>44621</v>
      </c>
      <c r="F2964">
        <v>27963</v>
      </c>
      <c r="G2964" s="227" t="s">
        <v>112</v>
      </c>
    </row>
    <row r="2965" spans="1:7">
      <c r="A2965" s="216">
        <v>44621</v>
      </c>
      <c r="B2965" t="s">
        <v>43</v>
      </c>
      <c r="C2965">
        <v>13</v>
      </c>
      <c r="D2965" t="s">
        <v>441</v>
      </c>
      <c r="E2965" s="217">
        <v>44621</v>
      </c>
      <c r="F2965">
        <v>291382</v>
      </c>
      <c r="G2965" s="227" t="s">
        <v>434</v>
      </c>
    </row>
    <row r="2966" spans="1:7">
      <c r="A2966" s="216">
        <v>44621</v>
      </c>
      <c r="B2966" t="s">
        <v>43</v>
      </c>
      <c r="C2966">
        <v>14</v>
      </c>
      <c r="D2966" t="s">
        <v>447</v>
      </c>
      <c r="E2966" s="217">
        <v>44621</v>
      </c>
      <c r="F2966">
        <v>0</v>
      </c>
      <c r="G2966" s="227" t="s">
        <v>80</v>
      </c>
    </row>
    <row r="2967" spans="1:7">
      <c r="A2967" s="216">
        <v>44621</v>
      </c>
      <c r="B2967" t="s">
        <v>43</v>
      </c>
      <c r="C2967">
        <v>14</v>
      </c>
      <c r="D2967" t="s">
        <v>447</v>
      </c>
      <c r="E2967" s="217">
        <v>44621</v>
      </c>
      <c r="F2967">
        <v>0</v>
      </c>
      <c r="G2967" s="227" t="s">
        <v>116</v>
      </c>
    </row>
    <row r="2968" spans="1:7">
      <c r="A2968" s="216">
        <v>44621</v>
      </c>
      <c r="B2968" t="s">
        <v>43</v>
      </c>
      <c r="C2968">
        <v>14</v>
      </c>
      <c r="D2968" t="s">
        <v>447</v>
      </c>
      <c r="E2968" s="217">
        <v>44621</v>
      </c>
      <c r="F2968">
        <v>0</v>
      </c>
      <c r="G2968" s="227" t="s">
        <v>107</v>
      </c>
    </row>
    <row r="2969" spans="1:7">
      <c r="A2969" s="216">
        <v>44621</v>
      </c>
      <c r="B2969" t="s">
        <v>43</v>
      </c>
      <c r="C2969">
        <v>14</v>
      </c>
      <c r="D2969" t="s">
        <v>447</v>
      </c>
      <c r="E2969" s="217">
        <v>44621</v>
      </c>
      <c r="F2969">
        <v>0</v>
      </c>
      <c r="G2969" s="227" t="s">
        <v>102</v>
      </c>
    </row>
    <row r="2970" spans="1:7">
      <c r="A2970" s="216">
        <v>44621</v>
      </c>
      <c r="B2970" t="s">
        <v>43</v>
      </c>
      <c r="C2970">
        <v>14</v>
      </c>
      <c r="D2970" t="s">
        <v>447</v>
      </c>
      <c r="E2970" s="217">
        <v>44621</v>
      </c>
      <c r="F2970">
        <v>0</v>
      </c>
      <c r="G2970" s="227" t="s">
        <v>85</v>
      </c>
    </row>
    <row r="2971" spans="1:7">
      <c r="A2971" s="216">
        <v>44621</v>
      </c>
      <c r="B2971" t="s">
        <v>43</v>
      </c>
      <c r="C2971">
        <v>14</v>
      </c>
      <c r="D2971" t="s">
        <v>447</v>
      </c>
      <c r="E2971" s="217">
        <v>44621</v>
      </c>
      <c r="F2971">
        <v>0</v>
      </c>
      <c r="G2971" s="227" t="s">
        <v>129</v>
      </c>
    </row>
    <row r="2972" spans="1:7">
      <c r="A2972" s="216">
        <v>44621</v>
      </c>
      <c r="B2972" t="s">
        <v>43</v>
      </c>
      <c r="C2972">
        <v>14</v>
      </c>
      <c r="D2972" t="s">
        <v>447</v>
      </c>
      <c r="E2972" s="217">
        <v>44621</v>
      </c>
      <c r="F2972">
        <v>0</v>
      </c>
      <c r="G2972" s="227" t="s">
        <v>125</v>
      </c>
    </row>
    <row r="2973" spans="1:7">
      <c r="A2973" s="216">
        <v>44621</v>
      </c>
      <c r="B2973" t="s">
        <v>43</v>
      </c>
      <c r="C2973">
        <v>14</v>
      </c>
      <c r="D2973" t="s">
        <v>447</v>
      </c>
      <c r="E2973" s="217">
        <v>44621</v>
      </c>
      <c r="F2973">
        <v>0</v>
      </c>
      <c r="G2973" s="227" t="s">
        <v>121</v>
      </c>
    </row>
    <row r="2974" spans="1:7">
      <c r="A2974" s="216">
        <v>44621</v>
      </c>
      <c r="B2974" t="s">
        <v>43</v>
      </c>
      <c r="C2974">
        <v>14</v>
      </c>
      <c r="D2974" t="s">
        <v>447</v>
      </c>
      <c r="E2974" s="217">
        <v>44621</v>
      </c>
      <c r="F2974">
        <v>0</v>
      </c>
      <c r="G2974" s="227" t="s">
        <v>90</v>
      </c>
    </row>
    <row r="2975" spans="1:7">
      <c r="A2975" s="216">
        <v>44621</v>
      </c>
      <c r="B2975" t="s">
        <v>43</v>
      </c>
      <c r="C2975">
        <v>14</v>
      </c>
      <c r="D2975" t="s">
        <v>447</v>
      </c>
      <c r="E2975" s="217">
        <v>44621</v>
      </c>
      <c r="F2975">
        <v>0</v>
      </c>
      <c r="G2975" s="227" t="s">
        <v>98</v>
      </c>
    </row>
    <row r="2976" spans="1:7">
      <c r="A2976" s="216">
        <v>44621</v>
      </c>
      <c r="B2976" t="s">
        <v>43</v>
      </c>
      <c r="C2976">
        <v>14</v>
      </c>
      <c r="D2976" t="s">
        <v>447</v>
      </c>
      <c r="E2976" s="217">
        <v>44621</v>
      </c>
      <c r="F2976">
        <v>0</v>
      </c>
      <c r="G2976" s="227" t="s">
        <v>94</v>
      </c>
    </row>
    <row r="2977" spans="1:7">
      <c r="A2977" s="216">
        <v>44621</v>
      </c>
      <c r="B2977" t="s">
        <v>43</v>
      </c>
      <c r="C2977">
        <v>14</v>
      </c>
      <c r="D2977" t="s">
        <v>447</v>
      </c>
      <c r="E2977" s="217">
        <v>44621</v>
      </c>
      <c r="F2977">
        <v>0</v>
      </c>
      <c r="G2977" s="227" t="s">
        <v>112</v>
      </c>
    </row>
    <row r="2978" spans="1:7">
      <c r="A2978" s="216">
        <v>44621</v>
      </c>
      <c r="B2978" t="s">
        <v>43</v>
      </c>
      <c r="C2978">
        <v>14</v>
      </c>
      <c r="D2978" t="s">
        <v>447</v>
      </c>
      <c r="E2978" s="217">
        <v>44621</v>
      </c>
      <c r="F2978">
        <v>0</v>
      </c>
      <c r="G2978" s="227" t="s">
        <v>434</v>
      </c>
    </row>
    <row r="2979" spans="1:7">
      <c r="A2979" s="216">
        <v>44621</v>
      </c>
      <c r="B2979" t="s">
        <v>43</v>
      </c>
      <c r="C2979">
        <v>15</v>
      </c>
      <c r="D2979" t="s">
        <v>437</v>
      </c>
      <c r="E2979" s="217">
        <v>44621</v>
      </c>
      <c r="F2979">
        <v>8153</v>
      </c>
      <c r="G2979" s="227" t="s">
        <v>80</v>
      </c>
    </row>
    <row r="2980" spans="1:7">
      <c r="A2980" s="216">
        <v>44621</v>
      </c>
      <c r="B2980" t="s">
        <v>43</v>
      </c>
      <c r="C2980">
        <v>15</v>
      </c>
      <c r="D2980" t="s">
        <v>437</v>
      </c>
      <c r="E2980" s="217">
        <v>44621</v>
      </c>
      <c r="F2980">
        <v>9156</v>
      </c>
      <c r="G2980" s="227" t="s">
        <v>116</v>
      </c>
    </row>
    <row r="2981" spans="1:7">
      <c r="A2981" s="216">
        <v>44621</v>
      </c>
      <c r="B2981" t="s">
        <v>43</v>
      </c>
      <c r="C2981">
        <v>15</v>
      </c>
      <c r="D2981" t="s">
        <v>437</v>
      </c>
      <c r="E2981" s="217">
        <v>44621</v>
      </c>
      <c r="F2981">
        <v>8479</v>
      </c>
      <c r="G2981" s="227" t="s">
        <v>107</v>
      </c>
    </row>
    <row r="2982" spans="1:7">
      <c r="A2982" s="216">
        <v>44621</v>
      </c>
      <c r="B2982" t="s">
        <v>43</v>
      </c>
      <c r="C2982">
        <v>15</v>
      </c>
      <c r="D2982" t="s">
        <v>437</v>
      </c>
      <c r="E2982" s="217">
        <v>44621</v>
      </c>
      <c r="F2982">
        <v>10208</v>
      </c>
      <c r="G2982" s="227" t="s">
        <v>102</v>
      </c>
    </row>
    <row r="2983" spans="1:7">
      <c r="A2983" s="216">
        <v>44621</v>
      </c>
      <c r="B2983" t="s">
        <v>43</v>
      </c>
      <c r="C2983">
        <v>15</v>
      </c>
      <c r="D2983" t="s">
        <v>437</v>
      </c>
      <c r="E2983" s="217">
        <v>44621</v>
      </c>
      <c r="F2983">
        <v>8645</v>
      </c>
      <c r="G2983" s="227" t="s">
        <v>85</v>
      </c>
    </row>
    <row r="2984" spans="1:7">
      <c r="A2984" s="216">
        <v>44621</v>
      </c>
      <c r="B2984" t="s">
        <v>43</v>
      </c>
      <c r="C2984">
        <v>15</v>
      </c>
      <c r="D2984" t="s">
        <v>437</v>
      </c>
      <c r="E2984" s="217">
        <v>44621</v>
      </c>
      <c r="F2984">
        <v>7130</v>
      </c>
      <c r="G2984" s="227" t="s">
        <v>129</v>
      </c>
    </row>
    <row r="2985" spans="1:7">
      <c r="A2985" s="216">
        <v>44621</v>
      </c>
      <c r="B2985" t="s">
        <v>43</v>
      </c>
      <c r="C2985">
        <v>15</v>
      </c>
      <c r="D2985" t="s">
        <v>437</v>
      </c>
      <c r="E2985" s="217">
        <v>44621</v>
      </c>
      <c r="F2985">
        <v>9354</v>
      </c>
      <c r="G2985" s="227" t="s">
        <v>125</v>
      </c>
    </row>
    <row r="2986" spans="1:7">
      <c r="A2986" s="216">
        <v>44621</v>
      </c>
      <c r="B2986" t="s">
        <v>43</v>
      </c>
      <c r="C2986">
        <v>15</v>
      </c>
      <c r="D2986" t="s">
        <v>437</v>
      </c>
      <c r="E2986" s="217">
        <v>44621</v>
      </c>
      <c r="F2986">
        <v>7147</v>
      </c>
      <c r="G2986" s="227" t="s">
        <v>121</v>
      </c>
    </row>
    <row r="2987" spans="1:7">
      <c r="A2987" s="216">
        <v>44621</v>
      </c>
      <c r="B2987" t="s">
        <v>43</v>
      </c>
      <c r="C2987">
        <v>15</v>
      </c>
      <c r="D2987" t="s">
        <v>437</v>
      </c>
      <c r="E2987" s="217">
        <v>44621</v>
      </c>
      <c r="F2987">
        <v>8907</v>
      </c>
      <c r="G2987" s="227" t="s">
        <v>90</v>
      </c>
    </row>
    <row r="2988" spans="1:7">
      <c r="A2988" s="216">
        <v>44621</v>
      </c>
      <c r="B2988" t="s">
        <v>43</v>
      </c>
      <c r="C2988">
        <v>15</v>
      </c>
      <c r="D2988" t="s">
        <v>437</v>
      </c>
      <c r="E2988" s="217">
        <v>44621</v>
      </c>
      <c r="F2988">
        <v>8738</v>
      </c>
      <c r="G2988" s="227" t="s">
        <v>98</v>
      </c>
    </row>
    <row r="2989" spans="1:7">
      <c r="A2989" s="216">
        <v>44621</v>
      </c>
      <c r="B2989" t="s">
        <v>43</v>
      </c>
      <c r="C2989">
        <v>15</v>
      </c>
      <c r="D2989" t="s">
        <v>437</v>
      </c>
      <c r="E2989" s="217">
        <v>44621</v>
      </c>
      <c r="F2989">
        <v>7552</v>
      </c>
      <c r="G2989" s="227" t="s">
        <v>94</v>
      </c>
    </row>
    <row r="2990" spans="1:7">
      <c r="A2990" s="216">
        <v>44621</v>
      </c>
      <c r="B2990" t="s">
        <v>43</v>
      </c>
      <c r="C2990">
        <v>15</v>
      </c>
      <c r="D2990" t="s">
        <v>437</v>
      </c>
      <c r="E2990" s="217">
        <v>44621</v>
      </c>
      <c r="F2990">
        <v>9385</v>
      </c>
      <c r="G2990" s="227" t="s">
        <v>112</v>
      </c>
    </row>
    <row r="2991" spans="1:7">
      <c r="A2991" s="216">
        <v>44621</v>
      </c>
      <c r="B2991" t="s">
        <v>43</v>
      </c>
      <c r="C2991">
        <v>15</v>
      </c>
      <c r="D2991" t="s">
        <v>437</v>
      </c>
      <c r="E2991" s="217">
        <v>44621</v>
      </c>
      <c r="F2991">
        <v>102854</v>
      </c>
      <c r="G2991" s="227" t="s">
        <v>434</v>
      </c>
    </row>
    <row r="2992" spans="1:7">
      <c r="A2992" s="216">
        <v>44621</v>
      </c>
      <c r="B2992" t="s">
        <v>44</v>
      </c>
      <c r="C2992">
        <v>7</v>
      </c>
      <c r="D2992" t="s">
        <v>442</v>
      </c>
      <c r="E2992" s="217">
        <v>44621</v>
      </c>
      <c r="F2992">
        <v>131714</v>
      </c>
      <c r="G2992" s="227" t="s">
        <v>80</v>
      </c>
    </row>
    <row r="2993" spans="1:7">
      <c r="A2993" s="216">
        <v>44621</v>
      </c>
      <c r="B2993" t="s">
        <v>44</v>
      </c>
      <c r="C2993">
        <v>7</v>
      </c>
      <c r="D2993" t="s">
        <v>442</v>
      </c>
      <c r="E2993" s="217">
        <v>44621</v>
      </c>
      <c r="F2993">
        <v>134136</v>
      </c>
      <c r="G2993" s="227" t="s">
        <v>116</v>
      </c>
    </row>
    <row r="2994" spans="1:7">
      <c r="A2994" s="216">
        <v>44621</v>
      </c>
      <c r="B2994" t="s">
        <v>44</v>
      </c>
      <c r="C2994">
        <v>7</v>
      </c>
      <c r="D2994" t="s">
        <v>442</v>
      </c>
      <c r="E2994" s="217">
        <v>44621</v>
      </c>
      <c r="F2994">
        <v>133824</v>
      </c>
      <c r="G2994" s="227" t="s">
        <v>107</v>
      </c>
    </row>
    <row r="2995" spans="1:7">
      <c r="A2995" s="216">
        <v>44621</v>
      </c>
      <c r="B2995" t="s">
        <v>44</v>
      </c>
      <c r="C2995">
        <v>7</v>
      </c>
      <c r="D2995" t="s">
        <v>442</v>
      </c>
      <c r="E2995" s="217">
        <v>44621</v>
      </c>
      <c r="F2995">
        <v>133200</v>
      </c>
      <c r="G2995" s="227" t="s">
        <v>102</v>
      </c>
    </row>
    <row r="2996" spans="1:7">
      <c r="A2996" s="216">
        <v>44621</v>
      </c>
      <c r="B2996" t="s">
        <v>44</v>
      </c>
      <c r="C2996">
        <v>7</v>
      </c>
      <c r="D2996" t="s">
        <v>442</v>
      </c>
      <c r="E2996" s="217">
        <v>44621</v>
      </c>
      <c r="F2996">
        <v>136512</v>
      </c>
      <c r="G2996" s="227" t="s">
        <v>85</v>
      </c>
    </row>
    <row r="2997" spans="1:7">
      <c r="A2997" s="216">
        <v>44621</v>
      </c>
      <c r="B2997" t="s">
        <v>44</v>
      </c>
      <c r="C2997">
        <v>7</v>
      </c>
      <c r="D2997" t="s">
        <v>442</v>
      </c>
      <c r="E2997" s="217">
        <v>44621</v>
      </c>
      <c r="F2997">
        <v>145048</v>
      </c>
      <c r="G2997" s="227" t="s">
        <v>129</v>
      </c>
    </row>
    <row r="2998" spans="1:7">
      <c r="A2998" s="216">
        <v>44621</v>
      </c>
      <c r="B2998" t="s">
        <v>44</v>
      </c>
      <c r="C2998">
        <v>7</v>
      </c>
      <c r="D2998" t="s">
        <v>442</v>
      </c>
      <c r="E2998" s="217">
        <v>44621</v>
      </c>
      <c r="F2998">
        <v>138991</v>
      </c>
      <c r="G2998" s="227" t="s">
        <v>125</v>
      </c>
    </row>
    <row r="2999" spans="1:7">
      <c r="A2999" s="216">
        <v>44621</v>
      </c>
      <c r="B2999" t="s">
        <v>44</v>
      </c>
      <c r="C2999">
        <v>7</v>
      </c>
      <c r="D2999" t="s">
        <v>442</v>
      </c>
      <c r="E2999" s="217">
        <v>44621</v>
      </c>
      <c r="F2999">
        <v>137916</v>
      </c>
      <c r="G2999" s="227" t="s">
        <v>121</v>
      </c>
    </row>
    <row r="3000" spans="1:7">
      <c r="A3000" s="216">
        <v>44621</v>
      </c>
      <c r="B3000" t="s">
        <v>44</v>
      </c>
      <c r="C3000">
        <v>7</v>
      </c>
      <c r="D3000" t="s">
        <v>442</v>
      </c>
      <c r="E3000" s="217">
        <v>44621</v>
      </c>
      <c r="F3000">
        <v>139432</v>
      </c>
      <c r="G3000" s="227" t="s">
        <v>90</v>
      </c>
    </row>
    <row r="3001" spans="1:7">
      <c r="A3001" s="216">
        <v>44621</v>
      </c>
      <c r="B3001" t="s">
        <v>44</v>
      </c>
      <c r="C3001">
        <v>7</v>
      </c>
      <c r="D3001" t="s">
        <v>442</v>
      </c>
      <c r="E3001" s="217">
        <v>44621</v>
      </c>
      <c r="F3001">
        <v>148020</v>
      </c>
      <c r="G3001" s="227" t="s">
        <v>98</v>
      </c>
    </row>
    <row r="3002" spans="1:7">
      <c r="A3002" s="216">
        <v>44621</v>
      </c>
      <c r="B3002" t="s">
        <v>44</v>
      </c>
      <c r="C3002">
        <v>7</v>
      </c>
      <c r="D3002" t="s">
        <v>442</v>
      </c>
      <c r="E3002" s="217">
        <v>44621</v>
      </c>
      <c r="F3002">
        <v>144658</v>
      </c>
      <c r="G3002" s="227" t="s">
        <v>94</v>
      </c>
    </row>
    <row r="3003" spans="1:7">
      <c r="A3003" s="216">
        <v>44621</v>
      </c>
      <c r="B3003" t="s">
        <v>44</v>
      </c>
      <c r="C3003">
        <v>7</v>
      </c>
      <c r="D3003" t="s">
        <v>442</v>
      </c>
      <c r="E3003" s="217">
        <v>44621</v>
      </c>
      <c r="F3003">
        <v>207927</v>
      </c>
      <c r="G3003" s="227" t="s">
        <v>112</v>
      </c>
    </row>
    <row r="3004" spans="1:7">
      <c r="A3004" s="216">
        <v>44621</v>
      </c>
      <c r="B3004" t="s">
        <v>44</v>
      </c>
      <c r="C3004">
        <v>7</v>
      </c>
      <c r="D3004" t="s">
        <v>442</v>
      </c>
      <c r="E3004" s="217">
        <v>44621</v>
      </c>
      <c r="F3004">
        <v>1731378</v>
      </c>
      <c r="G3004" s="227" t="s">
        <v>434</v>
      </c>
    </row>
    <row r="3005" spans="1:7">
      <c r="A3005" s="216">
        <v>44621</v>
      </c>
      <c r="B3005" t="s">
        <v>44</v>
      </c>
      <c r="C3005">
        <v>8</v>
      </c>
      <c r="D3005" t="s">
        <v>451</v>
      </c>
      <c r="E3005" s="217">
        <v>44621</v>
      </c>
      <c r="F3005">
        <v>13860</v>
      </c>
      <c r="G3005" s="227" t="s">
        <v>80</v>
      </c>
    </row>
    <row r="3006" spans="1:7">
      <c r="A3006" s="216">
        <v>44621</v>
      </c>
      <c r="B3006" t="s">
        <v>44</v>
      </c>
      <c r="C3006">
        <v>8</v>
      </c>
      <c r="D3006" t="s">
        <v>451</v>
      </c>
      <c r="E3006" s="217">
        <v>44621</v>
      </c>
      <c r="F3006">
        <v>13663</v>
      </c>
      <c r="G3006" s="227" t="s">
        <v>116</v>
      </c>
    </row>
    <row r="3007" spans="1:7">
      <c r="A3007" s="216">
        <v>44621</v>
      </c>
      <c r="B3007" t="s">
        <v>44</v>
      </c>
      <c r="C3007">
        <v>8</v>
      </c>
      <c r="D3007" t="s">
        <v>451</v>
      </c>
      <c r="E3007" s="217">
        <v>44621</v>
      </c>
      <c r="F3007">
        <v>13329</v>
      </c>
      <c r="G3007" s="227" t="s">
        <v>107</v>
      </c>
    </row>
    <row r="3008" spans="1:7">
      <c r="A3008" s="216">
        <v>44621</v>
      </c>
      <c r="B3008" t="s">
        <v>44</v>
      </c>
      <c r="C3008">
        <v>8</v>
      </c>
      <c r="D3008" t="s">
        <v>451</v>
      </c>
      <c r="E3008" s="217">
        <v>44621</v>
      </c>
      <c r="F3008">
        <v>15444</v>
      </c>
      <c r="G3008" s="227" t="s">
        <v>102</v>
      </c>
    </row>
    <row r="3009" spans="1:7">
      <c r="A3009" s="216">
        <v>44621</v>
      </c>
      <c r="B3009" t="s">
        <v>44</v>
      </c>
      <c r="C3009">
        <v>8</v>
      </c>
      <c r="D3009" t="s">
        <v>451</v>
      </c>
      <c r="E3009" s="217">
        <v>44621</v>
      </c>
      <c r="F3009">
        <v>13625</v>
      </c>
      <c r="G3009" s="227" t="s">
        <v>85</v>
      </c>
    </row>
    <row r="3010" spans="1:7">
      <c r="A3010" s="216">
        <v>44621</v>
      </c>
      <c r="B3010" t="s">
        <v>44</v>
      </c>
      <c r="C3010">
        <v>8</v>
      </c>
      <c r="D3010" t="s">
        <v>451</v>
      </c>
      <c r="E3010" s="217">
        <v>44621</v>
      </c>
      <c r="F3010">
        <v>14158</v>
      </c>
      <c r="G3010" s="227" t="s">
        <v>129</v>
      </c>
    </row>
    <row r="3011" spans="1:7">
      <c r="A3011" s="216">
        <v>44621</v>
      </c>
      <c r="B3011" t="s">
        <v>44</v>
      </c>
      <c r="C3011">
        <v>8</v>
      </c>
      <c r="D3011" t="s">
        <v>451</v>
      </c>
      <c r="E3011" s="217">
        <v>44621</v>
      </c>
      <c r="F3011">
        <v>15535</v>
      </c>
      <c r="G3011" s="227" t="s">
        <v>125</v>
      </c>
    </row>
    <row r="3012" spans="1:7">
      <c r="A3012" s="216">
        <v>44621</v>
      </c>
      <c r="B3012" t="s">
        <v>44</v>
      </c>
      <c r="C3012">
        <v>8</v>
      </c>
      <c r="D3012" t="s">
        <v>451</v>
      </c>
      <c r="E3012" s="217">
        <v>44621</v>
      </c>
      <c r="F3012">
        <v>12869</v>
      </c>
      <c r="G3012" s="227" t="s">
        <v>121</v>
      </c>
    </row>
    <row r="3013" spans="1:7">
      <c r="A3013" s="216">
        <v>44621</v>
      </c>
      <c r="B3013" t="s">
        <v>44</v>
      </c>
      <c r="C3013">
        <v>8</v>
      </c>
      <c r="D3013" t="s">
        <v>451</v>
      </c>
      <c r="E3013" s="217">
        <v>44621</v>
      </c>
      <c r="F3013">
        <v>13830</v>
      </c>
      <c r="G3013" s="227" t="s">
        <v>90</v>
      </c>
    </row>
    <row r="3014" spans="1:7">
      <c r="A3014" s="216">
        <v>44621</v>
      </c>
      <c r="B3014" t="s">
        <v>44</v>
      </c>
      <c r="C3014">
        <v>8</v>
      </c>
      <c r="D3014" t="s">
        <v>451</v>
      </c>
      <c r="E3014" s="217">
        <v>44621</v>
      </c>
      <c r="F3014">
        <v>15740</v>
      </c>
      <c r="G3014" s="227" t="s">
        <v>98</v>
      </c>
    </row>
    <row r="3015" spans="1:7">
      <c r="A3015" s="216">
        <v>44621</v>
      </c>
      <c r="B3015" t="s">
        <v>44</v>
      </c>
      <c r="C3015">
        <v>8</v>
      </c>
      <c r="D3015" t="s">
        <v>451</v>
      </c>
      <c r="E3015" s="217">
        <v>44621</v>
      </c>
      <c r="F3015">
        <v>14546</v>
      </c>
      <c r="G3015" s="227" t="s">
        <v>94</v>
      </c>
    </row>
    <row r="3016" spans="1:7">
      <c r="A3016" s="216">
        <v>44621</v>
      </c>
      <c r="B3016" t="s">
        <v>44</v>
      </c>
      <c r="C3016">
        <v>8</v>
      </c>
      <c r="D3016" t="s">
        <v>451</v>
      </c>
      <c r="E3016" s="217">
        <v>44621</v>
      </c>
      <c r="F3016">
        <v>11633</v>
      </c>
      <c r="G3016" s="227" t="s">
        <v>112</v>
      </c>
    </row>
    <row r="3017" spans="1:7">
      <c r="A3017" s="216">
        <v>44621</v>
      </c>
      <c r="B3017" t="s">
        <v>44</v>
      </c>
      <c r="C3017">
        <v>8</v>
      </c>
      <c r="D3017" t="s">
        <v>451</v>
      </c>
      <c r="E3017" s="217">
        <v>44621</v>
      </c>
      <c r="F3017">
        <v>168232</v>
      </c>
      <c r="G3017" s="227" t="s">
        <v>434</v>
      </c>
    </row>
    <row r="3018" spans="1:7">
      <c r="A3018" s="216">
        <v>44621</v>
      </c>
      <c r="B3018" t="s">
        <v>44</v>
      </c>
      <c r="C3018">
        <v>9</v>
      </c>
      <c r="D3018" t="s">
        <v>450</v>
      </c>
      <c r="E3018" s="217">
        <v>44621</v>
      </c>
      <c r="F3018">
        <v>6518</v>
      </c>
      <c r="G3018" s="227" t="s">
        <v>80</v>
      </c>
    </row>
    <row r="3019" spans="1:7">
      <c r="A3019" s="216">
        <v>44621</v>
      </c>
      <c r="B3019" t="s">
        <v>44</v>
      </c>
      <c r="C3019">
        <v>9</v>
      </c>
      <c r="D3019" t="s">
        <v>450</v>
      </c>
      <c r="E3019" s="217">
        <v>44621</v>
      </c>
      <c r="F3019">
        <v>6648</v>
      </c>
      <c r="G3019" s="227" t="s">
        <v>116</v>
      </c>
    </row>
    <row r="3020" spans="1:7">
      <c r="A3020" s="216">
        <v>44621</v>
      </c>
      <c r="B3020" t="s">
        <v>44</v>
      </c>
      <c r="C3020">
        <v>9</v>
      </c>
      <c r="D3020" t="s">
        <v>450</v>
      </c>
      <c r="E3020" s="217">
        <v>44621</v>
      </c>
      <c r="F3020">
        <v>6979</v>
      </c>
      <c r="G3020" s="227" t="s">
        <v>107</v>
      </c>
    </row>
    <row r="3021" spans="1:7">
      <c r="A3021" s="216">
        <v>44621</v>
      </c>
      <c r="B3021" t="s">
        <v>44</v>
      </c>
      <c r="C3021">
        <v>9</v>
      </c>
      <c r="D3021" t="s">
        <v>450</v>
      </c>
      <c r="E3021" s="217">
        <v>44621</v>
      </c>
      <c r="F3021">
        <v>7037</v>
      </c>
      <c r="G3021" s="227" t="s">
        <v>102</v>
      </c>
    </row>
    <row r="3022" spans="1:7">
      <c r="A3022" s="216">
        <v>44621</v>
      </c>
      <c r="B3022" t="s">
        <v>44</v>
      </c>
      <c r="C3022">
        <v>9</v>
      </c>
      <c r="D3022" t="s">
        <v>450</v>
      </c>
      <c r="E3022" s="217">
        <v>44621</v>
      </c>
      <c r="F3022">
        <v>6490</v>
      </c>
      <c r="G3022" s="227" t="s">
        <v>85</v>
      </c>
    </row>
    <row r="3023" spans="1:7">
      <c r="A3023" s="216">
        <v>44621</v>
      </c>
      <c r="B3023" t="s">
        <v>44</v>
      </c>
      <c r="C3023">
        <v>9</v>
      </c>
      <c r="D3023" t="s">
        <v>450</v>
      </c>
      <c r="E3023" s="217">
        <v>44621</v>
      </c>
      <c r="F3023">
        <v>7053</v>
      </c>
      <c r="G3023" s="227" t="s">
        <v>129</v>
      </c>
    </row>
    <row r="3024" spans="1:7">
      <c r="A3024" s="216">
        <v>44621</v>
      </c>
      <c r="B3024" t="s">
        <v>44</v>
      </c>
      <c r="C3024">
        <v>9</v>
      </c>
      <c r="D3024" t="s">
        <v>450</v>
      </c>
      <c r="E3024" s="217">
        <v>44621</v>
      </c>
      <c r="F3024">
        <v>6749</v>
      </c>
      <c r="G3024" s="227" t="s">
        <v>125</v>
      </c>
    </row>
    <row r="3025" spans="1:7">
      <c r="A3025" s="216">
        <v>44621</v>
      </c>
      <c r="B3025" t="s">
        <v>44</v>
      </c>
      <c r="C3025">
        <v>9</v>
      </c>
      <c r="D3025" t="s">
        <v>450</v>
      </c>
      <c r="E3025" s="217">
        <v>44621</v>
      </c>
      <c r="F3025">
        <v>6904</v>
      </c>
      <c r="G3025" s="227" t="s">
        <v>121</v>
      </c>
    </row>
    <row r="3026" spans="1:7">
      <c r="A3026" s="216">
        <v>44621</v>
      </c>
      <c r="B3026" t="s">
        <v>44</v>
      </c>
      <c r="C3026">
        <v>9</v>
      </c>
      <c r="D3026" t="s">
        <v>450</v>
      </c>
      <c r="E3026" s="217">
        <v>44621</v>
      </c>
      <c r="F3026">
        <v>7054</v>
      </c>
      <c r="G3026" s="227" t="s">
        <v>90</v>
      </c>
    </row>
    <row r="3027" spans="1:7">
      <c r="A3027" s="216">
        <v>44621</v>
      </c>
      <c r="B3027" t="s">
        <v>44</v>
      </c>
      <c r="C3027">
        <v>9</v>
      </c>
      <c r="D3027" t="s">
        <v>450</v>
      </c>
      <c r="E3027" s="217">
        <v>44621</v>
      </c>
      <c r="F3027">
        <v>6059</v>
      </c>
      <c r="G3027" s="227" t="s">
        <v>98</v>
      </c>
    </row>
    <row r="3028" spans="1:7">
      <c r="A3028" s="216">
        <v>44621</v>
      </c>
      <c r="B3028" t="s">
        <v>44</v>
      </c>
      <c r="C3028">
        <v>9</v>
      </c>
      <c r="D3028" t="s">
        <v>450</v>
      </c>
      <c r="E3028" s="217">
        <v>44621</v>
      </c>
      <c r="F3028">
        <v>6670</v>
      </c>
      <c r="G3028" s="227" t="s">
        <v>94</v>
      </c>
    </row>
    <row r="3029" spans="1:7">
      <c r="A3029" s="216">
        <v>44621</v>
      </c>
      <c r="B3029" t="s">
        <v>44</v>
      </c>
      <c r="C3029">
        <v>9</v>
      </c>
      <c r="D3029" t="s">
        <v>450</v>
      </c>
      <c r="E3029" s="217">
        <v>44621</v>
      </c>
      <c r="F3029">
        <v>8097</v>
      </c>
      <c r="G3029" s="227" t="s">
        <v>112</v>
      </c>
    </row>
    <row r="3030" spans="1:7">
      <c r="A3030" s="216">
        <v>44621</v>
      </c>
      <c r="B3030" t="s">
        <v>44</v>
      </c>
      <c r="C3030">
        <v>9</v>
      </c>
      <c r="D3030" t="s">
        <v>450</v>
      </c>
      <c r="E3030" s="217">
        <v>44621</v>
      </c>
      <c r="F3030">
        <v>82258</v>
      </c>
      <c r="G3030" s="227" t="s">
        <v>434</v>
      </c>
    </row>
    <row r="3031" spans="1:7">
      <c r="A3031" s="216">
        <v>44621</v>
      </c>
      <c r="B3031" t="s">
        <v>44</v>
      </c>
      <c r="C3031">
        <v>10</v>
      </c>
      <c r="D3031" t="s">
        <v>433</v>
      </c>
      <c r="E3031" s="217">
        <v>44621</v>
      </c>
      <c r="F3031">
        <v>59095</v>
      </c>
      <c r="G3031" s="227" t="s">
        <v>80</v>
      </c>
    </row>
    <row r="3032" spans="1:7">
      <c r="A3032" s="216">
        <v>44621</v>
      </c>
      <c r="B3032" t="s">
        <v>44</v>
      </c>
      <c r="C3032">
        <v>10</v>
      </c>
      <c r="D3032" t="s">
        <v>433</v>
      </c>
      <c r="E3032" s="217">
        <v>44621</v>
      </c>
      <c r="F3032">
        <v>59945</v>
      </c>
      <c r="G3032" s="227" t="s">
        <v>116</v>
      </c>
    </row>
    <row r="3033" spans="1:7">
      <c r="A3033" s="216">
        <v>44621</v>
      </c>
      <c r="B3033" t="s">
        <v>44</v>
      </c>
      <c r="C3033">
        <v>10</v>
      </c>
      <c r="D3033" t="s">
        <v>433</v>
      </c>
      <c r="E3033" s="217">
        <v>44621</v>
      </c>
      <c r="F3033">
        <v>58874</v>
      </c>
      <c r="G3033" s="227" t="s">
        <v>107</v>
      </c>
    </row>
    <row r="3034" spans="1:7">
      <c r="A3034" s="216">
        <v>44621</v>
      </c>
      <c r="B3034" t="s">
        <v>44</v>
      </c>
      <c r="C3034">
        <v>10</v>
      </c>
      <c r="D3034" t="s">
        <v>433</v>
      </c>
      <c r="E3034" s="217">
        <v>44621</v>
      </c>
      <c r="F3034">
        <v>58673</v>
      </c>
      <c r="G3034" s="227" t="s">
        <v>102</v>
      </c>
    </row>
    <row r="3035" spans="1:7">
      <c r="A3035" s="216">
        <v>44621</v>
      </c>
      <c r="B3035" t="s">
        <v>44</v>
      </c>
      <c r="C3035">
        <v>10</v>
      </c>
      <c r="D3035" t="s">
        <v>433</v>
      </c>
      <c r="E3035" s="217">
        <v>44621</v>
      </c>
      <c r="F3035">
        <v>60651</v>
      </c>
      <c r="G3035" s="227" t="s">
        <v>85</v>
      </c>
    </row>
    <row r="3036" spans="1:7">
      <c r="A3036" s="216">
        <v>44621</v>
      </c>
      <c r="B3036" t="s">
        <v>44</v>
      </c>
      <c r="C3036">
        <v>10</v>
      </c>
      <c r="D3036" t="s">
        <v>433</v>
      </c>
      <c r="E3036" s="217">
        <v>44621</v>
      </c>
      <c r="F3036">
        <v>68599</v>
      </c>
      <c r="G3036" s="227" t="s">
        <v>129</v>
      </c>
    </row>
    <row r="3037" spans="1:7">
      <c r="A3037" s="216">
        <v>44621</v>
      </c>
      <c r="B3037" t="s">
        <v>44</v>
      </c>
      <c r="C3037">
        <v>10</v>
      </c>
      <c r="D3037" t="s">
        <v>433</v>
      </c>
      <c r="E3037" s="217">
        <v>44621</v>
      </c>
      <c r="F3037">
        <v>59221</v>
      </c>
      <c r="G3037" s="227" t="s">
        <v>125</v>
      </c>
    </row>
    <row r="3038" spans="1:7">
      <c r="A3038" s="216">
        <v>44621</v>
      </c>
      <c r="B3038" t="s">
        <v>44</v>
      </c>
      <c r="C3038">
        <v>10</v>
      </c>
      <c r="D3038" t="s">
        <v>433</v>
      </c>
      <c r="E3038" s="217">
        <v>44621</v>
      </c>
      <c r="F3038">
        <v>62995</v>
      </c>
      <c r="G3038" s="227" t="s">
        <v>121</v>
      </c>
    </row>
    <row r="3039" spans="1:7">
      <c r="A3039" s="216">
        <v>44621</v>
      </c>
      <c r="B3039" t="s">
        <v>44</v>
      </c>
      <c r="C3039">
        <v>10</v>
      </c>
      <c r="D3039" t="s">
        <v>433</v>
      </c>
      <c r="E3039" s="217">
        <v>44621</v>
      </c>
      <c r="F3039">
        <v>63492</v>
      </c>
      <c r="G3039" s="227" t="s">
        <v>90</v>
      </c>
    </row>
    <row r="3040" spans="1:7">
      <c r="A3040" s="216">
        <v>44621</v>
      </c>
      <c r="B3040" t="s">
        <v>44</v>
      </c>
      <c r="C3040">
        <v>10</v>
      </c>
      <c r="D3040" t="s">
        <v>433</v>
      </c>
      <c r="E3040" s="217">
        <v>44621</v>
      </c>
      <c r="F3040">
        <v>66171</v>
      </c>
      <c r="G3040" s="227" t="s">
        <v>98</v>
      </c>
    </row>
    <row r="3041" spans="1:7">
      <c r="A3041" s="216">
        <v>44621</v>
      </c>
      <c r="B3041" t="s">
        <v>44</v>
      </c>
      <c r="C3041">
        <v>10</v>
      </c>
      <c r="D3041" t="s">
        <v>433</v>
      </c>
      <c r="E3041" s="217">
        <v>44621</v>
      </c>
      <c r="F3041">
        <v>62135</v>
      </c>
      <c r="G3041" s="227" t="s">
        <v>94</v>
      </c>
    </row>
    <row r="3042" spans="1:7">
      <c r="A3042" s="216">
        <v>44621</v>
      </c>
      <c r="B3042" t="s">
        <v>44</v>
      </c>
      <c r="C3042">
        <v>10</v>
      </c>
      <c r="D3042" t="s">
        <v>433</v>
      </c>
      <c r="E3042" s="217">
        <v>44621</v>
      </c>
      <c r="F3042">
        <v>104023</v>
      </c>
      <c r="G3042" s="227" t="s">
        <v>112</v>
      </c>
    </row>
    <row r="3043" spans="1:7">
      <c r="A3043" s="216">
        <v>44621</v>
      </c>
      <c r="B3043" t="s">
        <v>44</v>
      </c>
      <c r="C3043">
        <v>10</v>
      </c>
      <c r="D3043" t="s">
        <v>433</v>
      </c>
      <c r="E3043" s="217">
        <v>44621</v>
      </c>
      <c r="F3043">
        <v>783874</v>
      </c>
      <c r="G3043" s="227" t="s">
        <v>434</v>
      </c>
    </row>
    <row r="3044" spans="1:7">
      <c r="A3044" s="216">
        <v>44621</v>
      </c>
      <c r="B3044" t="s">
        <v>44</v>
      </c>
      <c r="C3044">
        <v>11</v>
      </c>
      <c r="D3044" t="s">
        <v>445</v>
      </c>
      <c r="E3044" s="217">
        <v>44621</v>
      </c>
      <c r="F3044">
        <v>16900</v>
      </c>
      <c r="G3044" s="227" t="s">
        <v>80</v>
      </c>
    </row>
    <row r="3045" spans="1:7">
      <c r="A3045" s="216">
        <v>44621</v>
      </c>
      <c r="B3045" t="s">
        <v>44</v>
      </c>
      <c r="C3045">
        <v>11</v>
      </c>
      <c r="D3045" t="s">
        <v>445</v>
      </c>
      <c r="E3045" s="217">
        <v>44621</v>
      </c>
      <c r="F3045">
        <v>15010</v>
      </c>
      <c r="G3045" s="227" t="s">
        <v>116</v>
      </c>
    </row>
    <row r="3046" spans="1:7">
      <c r="A3046" s="216">
        <v>44621</v>
      </c>
      <c r="B3046" t="s">
        <v>44</v>
      </c>
      <c r="C3046">
        <v>11</v>
      </c>
      <c r="D3046" t="s">
        <v>445</v>
      </c>
      <c r="E3046" s="217">
        <v>44621</v>
      </c>
      <c r="F3046">
        <v>16548</v>
      </c>
      <c r="G3046" s="227" t="s">
        <v>107</v>
      </c>
    </row>
    <row r="3047" spans="1:7">
      <c r="A3047" s="216">
        <v>44621</v>
      </c>
      <c r="B3047" t="s">
        <v>44</v>
      </c>
      <c r="C3047">
        <v>11</v>
      </c>
      <c r="D3047" t="s">
        <v>445</v>
      </c>
      <c r="E3047" s="217">
        <v>44621</v>
      </c>
      <c r="F3047">
        <v>16114</v>
      </c>
      <c r="G3047" s="227" t="s">
        <v>102</v>
      </c>
    </row>
    <row r="3048" spans="1:7">
      <c r="A3048" s="216">
        <v>44621</v>
      </c>
      <c r="B3048" t="s">
        <v>44</v>
      </c>
      <c r="C3048">
        <v>11</v>
      </c>
      <c r="D3048" t="s">
        <v>445</v>
      </c>
      <c r="E3048" s="217">
        <v>44621</v>
      </c>
      <c r="F3048">
        <v>17234</v>
      </c>
      <c r="G3048" s="227" t="s">
        <v>85</v>
      </c>
    </row>
    <row r="3049" spans="1:7">
      <c r="A3049" s="216">
        <v>44621</v>
      </c>
      <c r="B3049" t="s">
        <v>44</v>
      </c>
      <c r="C3049">
        <v>11</v>
      </c>
      <c r="D3049" t="s">
        <v>445</v>
      </c>
      <c r="E3049" s="217">
        <v>44621</v>
      </c>
      <c r="F3049">
        <v>18098</v>
      </c>
      <c r="G3049" s="227" t="s">
        <v>129</v>
      </c>
    </row>
    <row r="3050" spans="1:7">
      <c r="A3050" s="216">
        <v>44621</v>
      </c>
      <c r="B3050" t="s">
        <v>44</v>
      </c>
      <c r="C3050">
        <v>11</v>
      </c>
      <c r="D3050" t="s">
        <v>445</v>
      </c>
      <c r="E3050" s="217">
        <v>44621</v>
      </c>
      <c r="F3050">
        <v>17866</v>
      </c>
      <c r="G3050" s="227" t="s">
        <v>125</v>
      </c>
    </row>
    <row r="3051" spans="1:7">
      <c r="A3051" s="216">
        <v>44621</v>
      </c>
      <c r="B3051" t="s">
        <v>44</v>
      </c>
      <c r="C3051">
        <v>11</v>
      </c>
      <c r="D3051" t="s">
        <v>445</v>
      </c>
      <c r="E3051" s="217">
        <v>44621</v>
      </c>
      <c r="F3051">
        <v>18315</v>
      </c>
      <c r="G3051" s="227" t="s">
        <v>121</v>
      </c>
    </row>
    <row r="3052" spans="1:7">
      <c r="A3052" s="216">
        <v>44621</v>
      </c>
      <c r="B3052" t="s">
        <v>44</v>
      </c>
      <c r="C3052">
        <v>11</v>
      </c>
      <c r="D3052" t="s">
        <v>445</v>
      </c>
      <c r="E3052" s="217">
        <v>44621</v>
      </c>
      <c r="F3052">
        <v>17835</v>
      </c>
      <c r="G3052" s="227" t="s">
        <v>90</v>
      </c>
    </row>
    <row r="3053" spans="1:7">
      <c r="A3053" s="216">
        <v>44621</v>
      </c>
      <c r="B3053" t="s">
        <v>44</v>
      </c>
      <c r="C3053">
        <v>11</v>
      </c>
      <c r="D3053" t="s">
        <v>445</v>
      </c>
      <c r="E3053" s="217">
        <v>44621</v>
      </c>
      <c r="F3053">
        <v>19760</v>
      </c>
      <c r="G3053" s="227" t="s">
        <v>98</v>
      </c>
    </row>
    <row r="3054" spans="1:7">
      <c r="A3054" s="216">
        <v>44621</v>
      </c>
      <c r="B3054" t="s">
        <v>44</v>
      </c>
      <c r="C3054">
        <v>11</v>
      </c>
      <c r="D3054" t="s">
        <v>445</v>
      </c>
      <c r="E3054" s="217">
        <v>44621</v>
      </c>
      <c r="F3054">
        <v>22279</v>
      </c>
      <c r="G3054" s="227" t="s">
        <v>94</v>
      </c>
    </row>
    <row r="3055" spans="1:7">
      <c r="A3055" s="216">
        <v>44621</v>
      </c>
      <c r="B3055" t="s">
        <v>44</v>
      </c>
      <c r="C3055">
        <v>11</v>
      </c>
      <c r="D3055" t="s">
        <v>445</v>
      </c>
      <c r="E3055" s="217">
        <v>44621</v>
      </c>
      <c r="F3055">
        <v>44327</v>
      </c>
      <c r="G3055" s="227" t="s">
        <v>112</v>
      </c>
    </row>
    <row r="3056" spans="1:7">
      <c r="A3056" s="216">
        <v>44621</v>
      </c>
      <c r="B3056" t="s">
        <v>44</v>
      </c>
      <c r="C3056">
        <v>11</v>
      </c>
      <c r="D3056" t="s">
        <v>445</v>
      </c>
      <c r="E3056" s="217">
        <v>44621</v>
      </c>
      <c r="F3056">
        <v>240286</v>
      </c>
      <c r="G3056" s="227" t="s">
        <v>434</v>
      </c>
    </row>
    <row r="3057" spans="1:7">
      <c r="A3057" s="216">
        <v>44621</v>
      </c>
      <c r="B3057" t="s">
        <v>44</v>
      </c>
      <c r="C3057">
        <v>12</v>
      </c>
      <c r="D3057" t="s">
        <v>454</v>
      </c>
      <c r="E3057" s="217">
        <v>44621</v>
      </c>
      <c r="F3057">
        <v>9357</v>
      </c>
      <c r="G3057" s="227" t="s">
        <v>80</v>
      </c>
    </row>
    <row r="3058" spans="1:7">
      <c r="A3058" s="216">
        <v>44621</v>
      </c>
      <c r="B3058" t="s">
        <v>44</v>
      </c>
      <c r="C3058">
        <v>12</v>
      </c>
      <c r="D3058" t="s">
        <v>454</v>
      </c>
      <c r="E3058" s="217">
        <v>44621</v>
      </c>
      <c r="F3058">
        <v>9226</v>
      </c>
      <c r="G3058" s="227" t="s">
        <v>116</v>
      </c>
    </row>
    <row r="3059" spans="1:7">
      <c r="A3059" s="216">
        <v>44621</v>
      </c>
      <c r="B3059" t="s">
        <v>44</v>
      </c>
      <c r="C3059">
        <v>12</v>
      </c>
      <c r="D3059" t="s">
        <v>454</v>
      </c>
      <c r="E3059" s="217">
        <v>44621</v>
      </c>
      <c r="F3059">
        <v>9918</v>
      </c>
      <c r="G3059" s="227" t="s">
        <v>107</v>
      </c>
    </row>
    <row r="3060" spans="1:7">
      <c r="A3060" s="216">
        <v>44621</v>
      </c>
      <c r="B3060" t="s">
        <v>44</v>
      </c>
      <c r="C3060">
        <v>12</v>
      </c>
      <c r="D3060" t="s">
        <v>454</v>
      </c>
      <c r="E3060" s="217">
        <v>44621</v>
      </c>
      <c r="F3060">
        <v>7740</v>
      </c>
      <c r="G3060" s="227" t="s">
        <v>102</v>
      </c>
    </row>
    <row r="3061" spans="1:7">
      <c r="A3061" s="216">
        <v>44621</v>
      </c>
      <c r="B3061" t="s">
        <v>44</v>
      </c>
      <c r="C3061">
        <v>12</v>
      </c>
      <c r="D3061" t="s">
        <v>454</v>
      </c>
      <c r="E3061" s="217">
        <v>44621</v>
      </c>
      <c r="F3061">
        <v>10280</v>
      </c>
      <c r="G3061" s="227" t="s">
        <v>85</v>
      </c>
    </row>
    <row r="3062" spans="1:7">
      <c r="A3062" s="216">
        <v>44621</v>
      </c>
      <c r="B3062" t="s">
        <v>44</v>
      </c>
      <c r="C3062">
        <v>12</v>
      </c>
      <c r="D3062" t="s">
        <v>454</v>
      </c>
      <c r="E3062" s="217">
        <v>44621</v>
      </c>
      <c r="F3062">
        <v>8530</v>
      </c>
      <c r="G3062" s="227" t="s">
        <v>129</v>
      </c>
    </row>
    <row r="3063" spans="1:7">
      <c r="A3063" s="216">
        <v>44621</v>
      </c>
      <c r="B3063" t="s">
        <v>44</v>
      </c>
      <c r="C3063">
        <v>12</v>
      </c>
      <c r="D3063" t="s">
        <v>454</v>
      </c>
      <c r="E3063" s="217">
        <v>44621</v>
      </c>
      <c r="F3063">
        <v>10621</v>
      </c>
      <c r="G3063" s="227" t="s">
        <v>125</v>
      </c>
    </row>
    <row r="3064" spans="1:7">
      <c r="A3064" s="216">
        <v>44621</v>
      </c>
      <c r="B3064" t="s">
        <v>44</v>
      </c>
      <c r="C3064">
        <v>12</v>
      </c>
      <c r="D3064" t="s">
        <v>454</v>
      </c>
      <c r="E3064" s="217">
        <v>44621</v>
      </c>
      <c r="F3064">
        <v>8479</v>
      </c>
      <c r="G3064" s="227" t="s">
        <v>121</v>
      </c>
    </row>
    <row r="3065" spans="1:7">
      <c r="A3065" s="216">
        <v>44621</v>
      </c>
      <c r="B3065" t="s">
        <v>44</v>
      </c>
      <c r="C3065">
        <v>12</v>
      </c>
      <c r="D3065" t="s">
        <v>454</v>
      </c>
      <c r="E3065" s="217">
        <v>44621</v>
      </c>
      <c r="F3065">
        <v>8485</v>
      </c>
      <c r="G3065" s="227" t="s">
        <v>90</v>
      </c>
    </row>
    <row r="3066" spans="1:7">
      <c r="A3066" s="216">
        <v>44621</v>
      </c>
      <c r="B3066" t="s">
        <v>44</v>
      </c>
      <c r="C3066">
        <v>12</v>
      </c>
      <c r="D3066" t="s">
        <v>454</v>
      </c>
      <c r="E3066" s="217">
        <v>44621</v>
      </c>
      <c r="F3066">
        <v>9416</v>
      </c>
      <c r="G3066" s="227" t="s">
        <v>98</v>
      </c>
    </row>
    <row r="3067" spans="1:7">
      <c r="A3067" s="216">
        <v>44621</v>
      </c>
      <c r="B3067" t="s">
        <v>44</v>
      </c>
      <c r="C3067">
        <v>12</v>
      </c>
      <c r="D3067" t="s">
        <v>454</v>
      </c>
      <c r="E3067" s="217">
        <v>44621</v>
      </c>
      <c r="F3067">
        <v>9550</v>
      </c>
      <c r="G3067" s="227" t="s">
        <v>94</v>
      </c>
    </row>
    <row r="3068" spans="1:7">
      <c r="A3068" s="216">
        <v>44621</v>
      </c>
      <c r="B3068" t="s">
        <v>44</v>
      </c>
      <c r="C3068">
        <v>12</v>
      </c>
      <c r="D3068" t="s">
        <v>454</v>
      </c>
      <c r="E3068" s="217">
        <v>44621</v>
      </c>
      <c r="F3068">
        <v>13377</v>
      </c>
      <c r="G3068" s="227" t="s">
        <v>112</v>
      </c>
    </row>
    <row r="3069" spans="1:7">
      <c r="A3069" s="216">
        <v>44621</v>
      </c>
      <c r="B3069" t="s">
        <v>44</v>
      </c>
      <c r="C3069">
        <v>12</v>
      </c>
      <c r="D3069" t="s">
        <v>454</v>
      </c>
      <c r="E3069" s="217">
        <v>44621</v>
      </c>
      <c r="F3069">
        <v>114979</v>
      </c>
      <c r="G3069" s="227" t="s">
        <v>434</v>
      </c>
    </row>
    <row r="3070" spans="1:7">
      <c r="A3070" s="216">
        <v>44621</v>
      </c>
      <c r="B3070" t="s">
        <v>44</v>
      </c>
      <c r="C3070">
        <v>13</v>
      </c>
      <c r="D3070" t="s">
        <v>441</v>
      </c>
      <c r="E3070" s="217">
        <v>44621</v>
      </c>
      <c r="F3070">
        <v>15646</v>
      </c>
      <c r="G3070" s="227" t="s">
        <v>80</v>
      </c>
    </row>
    <row r="3071" spans="1:7">
      <c r="A3071" s="216">
        <v>44621</v>
      </c>
      <c r="B3071" t="s">
        <v>44</v>
      </c>
      <c r="C3071">
        <v>13</v>
      </c>
      <c r="D3071" t="s">
        <v>441</v>
      </c>
      <c r="E3071" s="217">
        <v>44621</v>
      </c>
      <c r="F3071">
        <v>15518</v>
      </c>
      <c r="G3071" s="227" t="s">
        <v>116</v>
      </c>
    </row>
    <row r="3072" spans="1:7">
      <c r="A3072" s="216">
        <v>44621</v>
      </c>
      <c r="B3072" t="s">
        <v>44</v>
      </c>
      <c r="C3072">
        <v>13</v>
      </c>
      <c r="D3072" t="s">
        <v>441</v>
      </c>
      <c r="E3072" s="217">
        <v>44621</v>
      </c>
      <c r="F3072">
        <v>14920</v>
      </c>
      <c r="G3072" s="227" t="s">
        <v>107</v>
      </c>
    </row>
    <row r="3073" spans="1:7">
      <c r="A3073" s="216">
        <v>44621</v>
      </c>
      <c r="B3073" t="s">
        <v>44</v>
      </c>
      <c r="C3073">
        <v>13</v>
      </c>
      <c r="D3073" t="s">
        <v>441</v>
      </c>
      <c r="E3073" s="217">
        <v>44621</v>
      </c>
      <c r="F3073">
        <v>15629</v>
      </c>
      <c r="G3073" s="227" t="s">
        <v>102</v>
      </c>
    </row>
    <row r="3074" spans="1:7">
      <c r="A3074" s="216">
        <v>44621</v>
      </c>
      <c r="B3074" t="s">
        <v>44</v>
      </c>
      <c r="C3074">
        <v>13</v>
      </c>
      <c r="D3074" t="s">
        <v>441</v>
      </c>
      <c r="E3074" s="217">
        <v>44621</v>
      </c>
      <c r="F3074">
        <v>15663</v>
      </c>
      <c r="G3074" s="227" t="s">
        <v>85</v>
      </c>
    </row>
    <row r="3075" spans="1:7">
      <c r="A3075" s="216">
        <v>44621</v>
      </c>
      <c r="B3075" t="s">
        <v>44</v>
      </c>
      <c r="C3075">
        <v>13</v>
      </c>
      <c r="D3075" t="s">
        <v>441</v>
      </c>
      <c r="E3075" s="217">
        <v>44621</v>
      </c>
      <c r="F3075">
        <v>15248</v>
      </c>
      <c r="G3075" s="227" t="s">
        <v>129</v>
      </c>
    </row>
    <row r="3076" spans="1:7">
      <c r="A3076" s="216">
        <v>44621</v>
      </c>
      <c r="B3076" t="s">
        <v>44</v>
      </c>
      <c r="C3076">
        <v>13</v>
      </c>
      <c r="D3076" t="s">
        <v>441</v>
      </c>
      <c r="E3076" s="217">
        <v>44621</v>
      </c>
      <c r="F3076">
        <v>16232</v>
      </c>
      <c r="G3076" s="227" t="s">
        <v>125</v>
      </c>
    </row>
    <row r="3077" spans="1:7">
      <c r="A3077" s="216">
        <v>44621</v>
      </c>
      <c r="B3077" t="s">
        <v>44</v>
      </c>
      <c r="C3077">
        <v>13</v>
      </c>
      <c r="D3077" t="s">
        <v>441</v>
      </c>
      <c r="E3077" s="217">
        <v>44621</v>
      </c>
      <c r="F3077">
        <v>15999</v>
      </c>
      <c r="G3077" s="227" t="s">
        <v>121</v>
      </c>
    </row>
    <row r="3078" spans="1:7">
      <c r="A3078" s="216">
        <v>44621</v>
      </c>
      <c r="B3078" t="s">
        <v>44</v>
      </c>
      <c r="C3078">
        <v>13</v>
      </c>
      <c r="D3078" t="s">
        <v>441</v>
      </c>
      <c r="E3078" s="217">
        <v>44621</v>
      </c>
      <c r="F3078">
        <v>16306</v>
      </c>
      <c r="G3078" s="227" t="s">
        <v>90</v>
      </c>
    </row>
    <row r="3079" spans="1:7">
      <c r="A3079" s="216">
        <v>44621</v>
      </c>
      <c r="B3079" t="s">
        <v>44</v>
      </c>
      <c r="C3079">
        <v>13</v>
      </c>
      <c r="D3079" t="s">
        <v>441</v>
      </c>
      <c r="E3079" s="217">
        <v>44621</v>
      </c>
      <c r="F3079">
        <v>17752</v>
      </c>
      <c r="G3079" s="227" t="s">
        <v>98</v>
      </c>
    </row>
    <row r="3080" spans="1:7">
      <c r="A3080" s="216">
        <v>44621</v>
      </c>
      <c r="B3080" t="s">
        <v>44</v>
      </c>
      <c r="C3080">
        <v>13</v>
      </c>
      <c r="D3080" t="s">
        <v>441</v>
      </c>
      <c r="E3080" s="217">
        <v>44621</v>
      </c>
      <c r="F3080">
        <v>16801</v>
      </c>
      <c r="G3080" s="227" t="s">
        <v>94</v>
      </c>
    </row>
    <row r="3081" spans="1:7">
      <c r="A3081" s="216">
        <v>44621</v>
      </c>
      <c r="B3081" t="s">
        <v>44</v>
      </c>
      <c r="C3081">
        <v>13</v>
      </c>
      <c r="D3081" t="s">
        <v>441</v>
      </c>
      <c r="E3081" s="217">
        <v>44621</v>
      </c>
      <c r="F3081">
        <v>17568</v>
      </c>
      <c r="G3081" s="227" t="s">
        <v>112</v>
      </c>
    </row>
    <row r="3082" spans="1:7">
      <c r="A3082" s="216">
        <v>44621</v>
      </c>
      <c r="B3082" t="s">
        <v>44</v>
      </c>
      <c r="C3082">
        <v>13</v>
      </c>
      <c r="D3082" t="s">
        <v>441</v>
      </c>
      <c r="E3082" s="217">
        <v>44621</v>
      </c>
      <c r="F3082">
        <v>193282</v>
      </c>
      <c r="G3082" s="227" t="s">
        <v>434</v>
      </c>
    </row>
    <row r="3083" spans="1:7">
      <c r="A3083" s="216">
        <v>44621</v>
      </c>
      <c r="B3083" t="s">
        <v>44</v>
      </c>
      <c r="C3083">
        <v>14</v>
      </c>
      <c r="D3083" t="s">
        <v>447</v>
      </c>
      <c r="E3083" s="217">
        <v>44621</v>
      </c>
      <c r="F3083">
        <v>891</v>
      </c>
      <c r="G3083" s="227" t="s">
        <v>80</v>
      </c>
    </row>
    <row r="3084" spans="1:7">
      <c r="A3084" s="216">
        <v>44621</v>
      </c>
      <c r="B3084" t="s">
        <v>44</v>
      </c>
      <c r="C3084">
        <v>14</v>
      </c>
      <c r="D3084" t="s">
        <v>447</v>
      </c>
      <c r="E3084" s="217">
        <v>44621</v>
      </c>
      <c r="F3084">
        <v>903</v>
      </c>
      <c r="G3084" s="227" t="s">
        <v>116</v>
      </c>
    </row>
    <row r="3085" spans="1:7">
      <c r="A3085" s="216">
        <v>44621</v>
      </c>
      <c r="B3085" t="s">
        <v>44</v>
      </c>
      <c r="C3085">
        <v>14</v>
      </c>
      <c r="D3085" t="s">
        <v>447</v>
      </c>
      <c r="E3085" s="217">
        <v>44621</v>
      </c>
      <c r="F3085">
        <v>854</v>
      </c>
      <c r="G3085" s="227" t="s">
        <v>107</v>
      </c>
    </row>
    <row r="3086" spans="1:7">
      <c r="A3086" s="216">
        <v>44621</v>
      </c>
      <c r="B3086" t="s">
        <v>44</v>
      </c>
      <c r="C3086">
        <v>14</v>
      </c>
      <c r="D3086" t="s">
        <v>447</v>
      </c>
      <c r="E3086" s="217">
        <v>44621</v>
      </c>
      <c r="F3086">
        <v>930</v>
      </c>
      <c r="G3086" s="227" t="s">
        <v>102</v>
      </c>
    </row>
    <row r="3087" spans="1:7">
      <c r="A3087" s="216">
        <v>44621</v>
      </c>
      <c r="B3087" t="s">
        <v>44</v>
      </c>
      <c r="C3087">
        <v>14</v>
      </c>
      <c r="D3087" t="s">
        <v>447</v>
      </c>
      <c r="E3087" s="217">
        <v>44621</v>
      </c>
      <c r="F3087">
        <v>977</v>
      </c>
      <c r="G3087" s="227" t="s">
        <v>85</v>
      </c>
    </row>
    <row r="3088" spans="1:7">
      <c r="A3088" s="216">
        <v>44621</v>
      </c>
      <c r="B3088" t="s">
        <v>44</v>
      </c>
      <c r="C3088">
        <v>14</v>
      </c>
      <c r="D3088" t="s">
        <v>447</v>
      </c>
      <c r="E3088" s="217">
        <v>44621</v>
      </c>
      <c r="F3088">
        <v>942</v>
      </c>
      <c r="G3088" s="227" t="s">
        <v>129</v>
      </c>
    </row>
    <row r="3089" spans="1:7">
      <c r="A3089" s="216">
        <v>44621</v>
      </c>
      <c r="B3089" t="s">
        <v>44</v>
      </c>
      <c r="C3089">
        <v>14</v>
      </c>
      <c r="D3089" t="s">
        <v>447</v>
      </c>
      <c r="E3089" s="217">
        <v>44621</v>
      </c>
      <c r="F3089">
        <v>951</v>
      </c>
      <c r="G3089" s="227" t="s">
        <v>125</v>
      </c>
    </row>
    <row r="3090" spans="1:7">
      <c r="A3090" s="216">
        <v>44621</v>
      </c>
      <c r="B3090" t="s">
        <v>44</v>
      </c>
      <c r="C3090">
        <v>14</v>
      </c>
      <c r="D3090" t="s">
        <v>447</v>
      </c>
      <c r="E3090" s="217">
        <v>44621</v>
      </c>
      <c r="F3090">
        <v>873</v>
      </c>
      <c r="G3090" s="227" t="s">
        <v>121</v>
      </c>
    </row>
    <row r="3091" spans="1:7">
      <c r="A3091" s="216">
        <v>44621</v>
      </c>
      <c r="B3091" t="s">
        <v>44</v>
      </c>
      <c r="C3091">
        <v>14</v>
      </c>
      <c r="D3091" t="s">
        <v>447</v>
      </c>
      <c r="E3091" s="217">
        <v>44621</v>
      </c>
      <c r="F3091">
        <v>1107</v>
      </c>
      <c r="G3091" s="227" t="s">
        <v>90</v>
      </c>
    </row>
    <row r="3092" spans="1:7">
      <c r="A3092" s="216">
        <v>44621</v>
      </c>
      <c r="B3092" t="s">
        <v>44</v>
      </c>
      <c r="C3092">
        <v>14</v>
      </c>
      <c r="D3092" t="s">
        <v>447</v>
      </c>
      <c r="E3092" s="217">
        <v>44621</v>
      </c>
      <c r="F3092">
        <v>1034</v>
      </c>
      <c r="G3092" s="227" t="s">
        <v>98</v>
      </c>
    </row>
    <row r="3093" spans="1:7">
      <c r="A3093" s="216">
        <v>44621</v>
      </c>
      <c r="B3093" t="s">
        <v>44</v>
      </c>
      <c r="C3093">
        <v>14</v>
      </c>
      <c r="D3093" t="s">
        <v>447</v>
      </c>
      <c r="E3093" s="217">
        <v>44621</v>
      </c>
      <c r="F3093">
        <v>878</v>
      </c>
      <c r="G3093" s="227" t="s">
        <v>94</v>
      </c>
    </row>
    <row r="3094" spans="1:7">
      <c r="A3094" s="216">
        <v>44621</v>
      </c>
      <c r="B3094" t="s">
        <v>44</v>
      </c>
      <c r="C3094">
        <v>14</v>
      </c>
      <c r="D3094" t="s">
        <v>447</v>
      </c>
      <c r="E3094" s="217">
        <v>44621</v>
      </c>
      <c r="F3094">
        <v>1361</v>
      </c>
      <c r="G3094" s="227" t="s">
        <v>112</v>
      </c>
    </row>
    <row r="3095" spans="1:7">
      <c r="A3095" s="216">
        <v>44621</v>
      </c>
      <c r="B3095" t="s">
        <v>44</v>
      </c>
      <c r="C3095">
        <v>14</v>
      </c>
      <c r="D3095" t="s">
        <v>447</v>
      </c>
      <c r="E3095" s="217">
        <v>44621</v>
      </c>
      <c r="F3095">
        <v>11701</v>
      </c>
      <c r="G3095" s="227" t="s">
        <v>434</v>
      </c>
    </row>
    <row r="3096" spans="1:7">
      <c r="A3096" s="216">
        <v>44621</v>
      </c>
      <c r="B3096" t="s">
        <v>44</v>
      </c>
      <c r="C3096">
        <v>15</v>
      </c>
      <c r="D3096" t="s">
        <v>437</v>
      </c>
      <c r="E3096" s="217">
        <v>44621</v>
      </c>
      <c r="F3096">
        <v>6270</v>
      </c>
      <c r="G3096" s="227" t="s">
        <v>80</v>
      </c>
    </row>
    <row r="3097" spans="1:7">
      <c r="A3097" s="216">
        <v>44621</v>
      </c>
      <c r="B3097" t="s">
        <v>44</v>
      </c>
      <c r="C3097">
        <v>15</v>
      </c>
      <c r="D3097" t="s">
        <v>437</v>
      </c>
      <c r="E3097" s="217">
        <v>44621</v>
      </c>
      <c r="F3097">
        <v>6468</v>
      </c>
      <c r="G3097" s="227" t="s">
        <v>116</v>
      </c>
    </row>
    <row r="3098" spans="1:7">
      <c r="A3098" s="216">
        <v>44621</v>
      </c>
      <c r="B3098" t="s">
        <v>44</v>
      </c>
      <c r="C3098">
        <v>15</v>
      </c>
      <c r="D3098" t="s">
        <v>437</v>
      </c>
      <c r="E3098" s="217">
        <v>44621</v>
      </c>
      <c r="F3098">
        <v>6144</v>
      </c>
      <c r="G3098" s="227" t="s">
        <v>107</v>
      </c>
    </row>
    <row r="3099" spans="1:7">
      <c r="A3099" s="216">
        <v>44621</v>
      </c>
      <c r="B3099" t="s">
        <v>44</v>
      </c>
      <c r="C3099">
        <v>15</v>
      </c>
      <c r="D3099" t="s">
        <v>437</v>
      </c>
      <c r="E3099" s="217">
        <v>44621</v>
      </c>
      <c r="F3099">
        <v>6309</v>
      </c>
      <c r="G3099" s="227" t="s">
        <v>102</v>
      </c>
    </row>
    <row r="3100" spans="1:7">
      <c r="A3100" s="216">
        <v>44621</v>
      </c>
      <c r="B3100" t="s">
        <v>44</v>
      </c>
      <c r="C3100">
        <v>15</v>
      </c>
      <c r="D3100" t="s">
        <v>437</v>
      </c>
      <c r="E3100" s="217">
        <v>44621</v>
      </c>
      <c r="F3100">
        <v>6411</v>
      </c>
      <c r="G3100" s="227" t="s">
        <v>85</v>
      </c>
    </row>
    <row r="3101" spans="1:7">
      <c r="A3101" s="216">
        <v>44621</v>
      </c>
      <c r="B3101" t="s">
        <v>44</v>
      </c>
      <c r="C3101">
        <v>15</v>
      </c>
      <c r="D3101" t="s">
        <v>437</v>
      </c>
      <c r="E3101" s="217">
        <v>44621</v>
      </c>
      <c r="F3101">
        <v>6048</v>
      </c>
      <c r="G3101" s="227" t="s">
        <v>129</v>
      </c>
    </row>
    <row r="3102" spans="1:7">
      <c r="A3102" s="216">
        <v>44621</v>
      </c>
      <c r="B3102" t="s">
        <v>44</v>
      </c>
      <c r="C3102">
        <v>15</v>
      </c>
      <c r="D3102" t="s">
        <v>437</v>
      </c>
      <c r="E3102" s="217">
        <v>44621</v>
      </c>
      <c r="F3102">
        <v>6108</v>
      </c>
      <c r="G3102" s="227" t="s">
        <v>125</v>
      </c>
    </row>
    <row r="3103" spans="1:7">
      <c r="A3103" s="216">
        <v>44621</v>
      </c>
      <c r="B3103" t="s">
        <v>44</v>
      </c>
      <c r="C3103">
        <v>15</v>
      </c>
      <c r="D3103" t="s">
        <v>437</v>
      </c>
      <c r="E3103" s="217">
        <v>44621</v>
      </c>
      <c r="F3103">
        <v>6083</v>
      </c>
      <c r="G3103" s="227" t="s">
        <v>121</v>
      </c>
    </row>
    <row r="3104" spans="1:7">
      <c r="A3104" s="216">
        <v>44621</v>
      </c>
      <c r="B3104" t="s">
        <v>44</v>
      </c>
      <c r="C3104">
        <v>15</v>
      </c>
      <c r="D3104" t="s">
        <v>437</v>
      </c>
      <c r="E3104" s="217">
        <v>44621</v>
      </c>
      <c r="F3104">
        <v>6315</v>
      </c>
      <c r="G3104" s="227" t="s">
        <v>90</v>
      </c>
    </row>
    <row r="3105" spans="1:7">
      <c r="A3105" s="216">
        <v>44621</v>
      </c>
      <c r="B3105" t="s">
        <v>44</v>
      </c>
      <c r="C3105">
        <v>15</v>
      </c>
      <c r="D3105" t="s">
        <v>437</v>
      </c>
      <c r="E3105" s="217">
        <v>44621</v>
      </c>
      <c r="F3105">
        <v>6220</v>
      </c>
      <c r="G3105" s="227" t="s">
        <v>98</v>
      </c>
    </row>
    <row r="3106" spans="1:7">
      <c r="A3106" s="216">
        <v>44621</v>
      </c>
      <c r="B3106" t="s">
        <v>44</v>
      </c>
      <c r="C3106">
        <v>15</v>
      </c>
      <c r="D3106" t="s">
        <v>437</v>
      </c>
      <c r="E3106" s="217">
        <v>44621</v>
      </c>
      <c r="F3106">
        <v>5620</v>
      </c>
      <c r="G3106" s="227" t="s">
        <v>94</v>
      </c>
    </row>
    <row r="3107" spans="1:7">
      <c r="A3107" s="216">
        <v>44621</v>
      </c>
      <c r="B3107" t="s">
        <v>44</v>
      </c>
      <c r="C3107">
        <v>15</v>
      </c>
      <c r="D3107" t="s">
        <v>437</v>
      </c>
      <c r="E3107" s="217">
        <v>44621</v>
      </c>
      <c r="F3107">
        <v>7174</v>
      </c>
      <c r="G3107" s="227" t="s">
        <v>112</v>
      </c>
    </row>
    <row r="3108" spans="1:7">
      <c r="A3108" s="216">
        <v>44621</v>
      </c>
      <c r="B3108" t="s">
        <v>44</v>
      </c>
      <c r="C3108">
        <v>15</v>
      </c>
      <c r="D3108" t="s">
        <v>437</v>
      </c>
      <c r="E3108" s="217">
        <v>44621</v>
      </c>
      <c r="F3108">
        <v>75170</v>
      </c>
      <c r="G3108" s="227" t="s">
        <v>434</v>
      </c>
    </row>
    <row r="3109" spans="1:7">
      <c r="A3109" s="216">
        <v>44621</v>
      </c>
      <c r="B3109" t="s">
        <v>45</v>
      </c>
      <c r="C3109">
        <v>7</v>
      </c>
      <c r="D3109" t="s">
        <v>442</v>
      </c>
      <c r="E3109" s="217">
        <v>44621</v>
      </c>
      <c r="F3109">
        <v>105094.20754</v>
      </c>
      <c r="G3109" s="227" t="s">
        <v>80</v>
      </c>
    </row>
    <row r="3110" spans="1:7">
      <c r="A3110" s="216">
        <v>44621</v>
      </c>
      <c r="B3110" t="s">
        <v>45</v>
      </c>
      <c r="C3110">
        <v>7</v>
      </c>
      <c r="D3110" t="s">
        <v>442</v>
      </c>
      <c r="E3110" s="217">
        <v>44621</v>
      </c>
      <c r="F3110">
        <v>108759.84035</v>
      </c>
      <c r="G3110" s="227" t="s">
        <v>116</v>
      </c>
    </row>
    <row r="3111" spans="1:7">
      <c r="A3111" s="216">
        <v>44621</v>
      </c>
      <c r="B3111" t="s">
        <v>45</v>
      </c>
      <c r="C3111">
        <v>7</v>
      </c>
      <c r="D3111" t="s">
        <v>442</v>
      </c>
      <c r="E3111" s="217">
        <v>44621</v>
      </c>
      <c r="F3111">
        <v>109874.07311</v>
      </c>
      <c r="G3111" s="227" t="s">
        <v>107</v>
      </c>
    </row>
    <row r="3112" spans="1:7">
      <c r="A3112" s="216">
        <v>44621</v>
      </c>
      <c r="B3112" t="s">
        <v>45</v>
      </c>
      <c r="C3112">
        <v>7</v>
      </c>
      <c r="D3112" t="s">
        <v>442</v>
      </c>
      <c r="E3112" s="217">
        <v>44621</v>
      </c>
      <c r="F3112">
        <v>109787.092</v>
      </c>
      <c r="G3112" s="227" t="s">
        <v>102</v>
      </c>
    </row>
    <row r="3113" spans="1:7">
      <c r="A3113" s="216">
        <v>44621</v>
      </c>
      <c r="B3113" t="s">
        <v>45</v>
      </c>
      <c r="C3113">
        <v>7</v>
      </c>
      <c r="D3113" t="s">
        <v>442</v>
      </c>
      <c r="E3113" s="217">
        <v>44621</v>
      </c>
      <c r="F3113">
        <v>108931</v>
      </c>
      <c r="G3113" s="227" t="s">
        <v>85</v>
      </c>
    </row>
    <row r="3114" spans="1:7">
      <c r="A3114" s="216">
        <v>44621</v>
      </c>
      <c r="B3114" t="s">
        <v>45</v>
      </c>
      <c r="C3114">
        <v>7</v>
      </c>
      <c r="D3114" t="s">
        <v>442</v>
      </c>
      <c r="E3114" s="217">
        <v>44621</v>
      </c>
      <c r="F3114">
        <v>114844</v>
      </c>
      <c r="G3114" s="227" t="s">
        <v>129</v>
      </c>
    </row>
    <row r="3115" spans="1:7">
      <c r="A3115" s="216">
        <v>44621</v>
      </c>
      <c r="B3115" t="s">
        <v>45</v>
      </c>
      <c r="C3115">
        <v>7</v>
      </c>
      <c r="D3115" t="s">
        <v>442</v>
      </c>
      <c r="E3115" s="217">
        <v>44621</v>
      </c>
      <c r="F3115">
        <v>111072.13124</v>
      </c>
      <c r="G3115" s="227" t="s">
        <v>125</v>
      </c>
    </row>
    <row r="3116" spans="1:7">
      <c r="A3116" s="216">
        <v>44621</v>
      </c>
      <c r="B3116" t="s">
        <v>45</v>
      </c>
      <c r="C3116">
        <v>7</v>
      </c>
      <c r="D3116" t="s">
        <v>442</v>
      </c>
      <c r="E3116" s="217">
        <v>44621</v>
      </c>
      <c r="F3116">
        <v>115297.86876</v>
      </c>
      <c r="G3116" s="227" t="s">
        <v>121</v>
      </c>
    </row>
    <row r="3117" spans="1:7">
      <c r="A3117" s="216">
        <v>44621</v>
      </c>
      <c r="B3117" t="s">
        <v>45</v>
      </c>
      <c r="C3117">
        <v>7</v>
      </c>
      <c r="D3117" t="s">
        <v>442</v>
      </c>
      <c r="E3117" s="217">
        <v>44621</v>
      </c>
      <c r="F3117">
        <v>119861.25685999999</v>
      </c>
      <c r="G3117" s="227" t="s">
        <v>90</v>
      </c>
    </row>
    <row r="3118" spans="1:7">
      <c r="A3118" s="216">
        <v>44621</v>
      </c>
      <c r="B3118" t="s">
        <v>45</v>
      </c>
      <c r="C3118">
        <v>7</v>
      </c>
      <c r="D3118" t="s">
        <v>442</v>
      </c>
      <c r="E3118" s="217">
        <v>44621</v>
      </c>
      <c r="F3118">
        <v>118180.02849</v>
      </c>
      <c r="G3118" s="227" t="s">
        <v>98</v>
      </c>
    </row>
    <row r="3119" spans="1:7">
      <c r="A3119" s="216">
        <v>44621</v>
      </c>
      <c r="B3119" t="s">
        <v>45</v>
      </c>
      <c r="C3119">
        <v>7</v>
      </c>
      <c r="D3119" t="s">
        <v>442</v>
      </c>
      <c r="E3119" s="217">
        <v>44621</v>
      </c>
      <c r="F3119">
        <v>115200.861</v>
      </c>
      <c r="G3119" s="227" t="s">
        <v>94</v>
      </c>
    </row>
    <row r="3120" spans="1:7">
      <c r="A3120" s="216">
        <v>44621</v>
      </c>
      <c r="B3120" t="s">
        <v>45</v>
      </c>
      <c r="C3120">
        <v>7</v>
      </c>
      <c r="D3120" t="s">
        <v>442</v>
      </c>
      <c r="E3120" s="217">
        <v>44621</v>
      </c>
      <c r="F3120">
        <v>182809.72132000001</v>
      </c>
      <c r="G3120" s="227" t="s">
        <v>112</v>
      </c>
    </row>
    <row r="3121" spans="1:7">
      <c r="A3121" s="216">
        <v>44621</v>
      </c>
      <c r="B3121" t="s">
        <v>45</v>
      </c>
      <c r="C3121">
        <v>7</v>
      </c>
      <c r="D3121" t="s">
        <v>442</v>
      </c>
      <c r="E3121" s="217">
        <v>44621</v>
      </c>
      <c r="F3121">
        <v>1419712.0806700001</v>
      </c>
      <c r="G3121" s="227" t="s">
        <v>434</v>
      </c>
    </row>
    <row r="3122" spans="1:7">
      <c r="A3122" s="216">
        <v>44621</v>
      </c>
      <c r="B3122" t="s">
        <v>45</v>
      </c>
      <c r="C3122">
        <v>8</v>
      </c>
      <c r="D3122" t="s">
        <v>451</v>
      </c>
      <c r="E3122" s="217">
        <v>44621</v>
      </c>
      <c r="F3122">
        <v>11797.687519999999</v>
      </c>
      <c r="G3122" s="227" t="s">
        <v>80</v>
      </c>
    </row>
    <row r="3123" spans="1:7">
      <c r="A3123" s="216">
        <v>44621</v>
      </c>
      <c r="B3123" t="s">
        <v>45</v>
      </c>
      <c r="C3123">
        <v>8</v>
      </c>
      <c r="D3123" t="s">
        <v>451</v>
      </c>
      <c r="E3123" s="217">
        <v>44621</v>
      </c>
      <c r="F3123">
        <v>12631.91973</v>
      </c>
      <c r="G3123" s="227" t="s">
        <v>116</v>
      </c>
    </row>
    <row r="3124" spans="1:7">
      <c r="A3124" s="216">
        <v>44621</v>
      </c>
      <c r="B3124" t="s">
        <v>45</v>
      </c>
      <c r="C3124">
        <v>8</v>
      </c>
      <c r="D3124" t="s">
        <v>451</v>
      </c>
      <c r="E3124" s="217">
        <v>44621</v>
      </c>
      <c r="F3124">
        <v>12820.392750000001</v>
      </c>
      <c r="G3124" s="227" t="s">
        <v>107</v>
      </c>
    </row>
    <row r="3125" spans="1:7">
      <c r="A3125" s="216">
        <v>44621</v>
      </c>
      <c r="B3125" t="s">
        <v>45</v>
      </c>
      <c r="C3125">
        <v>8</v>
      </c>
      <c r="D3125" t="s">
        <v>451</v>
      </c>
      <c r="E3125" s="217">
        <v>44621</v>
      </c>
      <c r="F3125">
        <v>12516</v>
      </c>
      <c r="G3125" s="227" t="s">
        <v>102</v>
      </c>
    </row>
    <row r="3126" spans="1:7">
      <c r="A3126" s="216">
        <v>44621</v>
      </c>
      <c r="B3126" t="s">
        <v>45</v>
      </c>
      <c r="C3126">
        <v>8</v>
      </c>
      <c r="D3126" t="s">
        <v>451</v>
      </c>
      <c r="E3126" s="217">
        <v>44621</v>
      </c>
      <c r="F3126">
        <v>12955</v>
      </c>
      <c r="G3126" s="227" t="s">
        <v>85</v>
      </c>
    </row>
    <row r="3127" spans="1:7">
      <c r="A3127" s="216">
        <v>44621</v>
      </c>
      <c r="B3127" t="s">
        <v>45</v>
      </c>
      <c r="C3127">
        <v>8</v>
      </c>
      <c r="D3127" t="s">
        <v>451</v>
      </c>
      <c r="E3127" s="217">
        <v>44621</v>
      </c>
      <c r="F3127">
        <v>12426</v>
      </c>
      <c r="G3127" s="227" t="s">
        <v>129</v>
      </c>
    </row>
    <row r="3128" spans="1:7">
      <c r="A3128" s="216">
        <v>44621</v>
      </c>
      <c r="B3128" t="s">
        <v>45</v>
      </c>
      <c r="C3128">
        <v>8</v>
      </c>
      <c r="D3128" t="s">
        <v>451</v>
      </c>
      <c r="E3128" s="217">
        <v>44621</v>
      </c>
      <c r="F3128">
        <v>12612.27248</v>
      </c>
      <c r="G3128" s="227" t="s">
        <v>125</v>
      </c>
    </row>
    <row r="3129" spans="1:7">
      <c r="A3129" s="216">
        <v>44621</v>
      </c>
      <c r="B3129" t="s">
        <v>45</v>
      </c>
      <c r="C3129">
        <v>8</v>
      </c>
      <c r="D3129" t="s">
        <v>451</v>
      </c>
      <c r="E3129" s="217">
        <v>44621</v>
      </c>
      <c r="F3129">
        <v>12219.72752</v>
      </c>
      <c r="G3129" s="227" t="s">
        <v>121</v>
      </c>
    </row>
    <row r="3130" spans="1:7">
      <c r="A3130" s="216">
        <v>44621</v>
      </c>
      <c r="B3130" t="s">
        <v>45</v>
      </c>
      <c r="C3130">
        <v>8</v>
      </c>
      <c r="D3130" t="s">
        <v>451</v>
      </c>
      <c r="E3130" s="217">
        <v>44621</v>
      </c>
      <c r="F3130">
        <v>12897.78311</v>
      </c>
      <c r="G3130" s="227" t="s">
        <v>90</v>
      </c>
    </row>
    <row r="3131" spans="1:7">
      <c r="A3131" s="216">
        <v>44621</v>
      </c>
      <c r="B3131" t="s">
        <v>45</v>
      </c>
      <c r="C3131">
        <v>8</v>
      </c>
      <c r="D3131" t="s">
        <v>451</v>
      </c>
      <c r="E3131" s="217">
        <v>44621</v>
      </c>
      <c r="F3131">
        <v>13464.3905</v>
      </c>
      <c r="G3131" s="227" t="s">
        <v>98</v>
      </c>
    </row>
    <row r="3132" spans="1:7">
      <c r="A3132" s="216">
        <v>44621</v>
      </c>
      <c r="B3132" t="s">
        <v>45</v>
      </c>
      <c r="C3132">
        <v>8</v>
      </c>
      <c r="D3132" t="s">
        <v>451</v>
      </c>
      <c r="E3132" s="217">
        <v>44621</v>
      </c>
      <c r="F3132">
        <v>12180.707</v>
      </c>
      <c r="G3132" s="227" t="s">
        <v>94</v>
      </c>
    </row>
    <row r="3133" spans="1:7">
      <c r="A3133" s="216">
        <v>44621</v>
      </c>
      <c r="B3133" t="s">
        <v>45</v>
      </c>
      <c r="C3133">
        <v>8</v>
      </c>
      <c r="D3133" t="s">
        <v>451</v>
      </c>
      <c r="E3133" s="217">
        <v>44621</v>
      </c>
      <c r="F3133">
        <v>16066.365610000001</v>
      </c>
      <c r="G3133" s="227" t="s">
        <v>112</v>
      </c>
    </row>
    <row r="3134" spans="1:7">
      <c r="A3134" s="216">
        <v>44621</v>
      </c>
      <c r="B3134" t="s">
        <v>45</v>
      </c>
      <c r="C3134">
        <v>8</v>
      </c>
      <c r="D3134" t="s">
        <v>451</v>
      </c>
      <c r="E3134" s="217">
        <v>44621</v>
      </c>
      <c r="F3134">
        <v>154588.24622</v>
      </c>
      <c r="G3134" s="227" t="s">
        <v>434</v>
      </c>
    </row>
    <row r="3135" spans="1:7">
      <c r="A3135" s="216">
        <v>44621</v>
      </c>
      <c r="B3135" t="s">
        <v>45</v>
      </c>
      <c r="C3135">
        <v>9</v>
      </c>
      <c r="D3135" t="s">
        <v>450</v>
      </c>
      <c r="E3135" s="217">
        <v>44621</v>
      </c>
      <c r="F3135">
        <v>7911.9652699999997</v>
      </c>
      <c r="G3135" s="227" t="s">
        <v>80</v>
      </c>
    </row>
    <row r="3136" spans="1:7">
      <c r="A3136" s="216">
        <v>44621</v>
      </c>
      <c r="B3136" t="s">
        <v>45</v>
      </c>
      <c r="C3136">
        <v>9</v>
      </c>
      <c r="D3136" t="s">
        <v>450</v>
      </c>
      <c r="E3136" s="217">
        <v>44621</v>
      </c>
      <c r="F3136">
        <v>7597.1791199999998</v>
      </c>
      <c r="G3136" s="227" t="s">
        <v>116</v>
      </c>
    </row>
    <row r="3137" spans="1:7">
      <c r="A3137" s="216">
        <v>44621</v>
      </c>
      <c r="B3137" t="s">
        <v>45</v>
      </c>
      <c r="C3137">
        <v>9</v>
      </c>
      <c r="D3137" t="s">
        <v>450</v>
      </c>
      <c r="E3137" s="217">
        <v>44621</v>
      </c>
      <c r="F3137">
        <v>7872.7656100000004</v>
      </c>
      <c r="G3137" s="227" t="s">
        <v>107</v>
      </c>
    </row>
    <row r="3138" spans="1:7">
      <c r="A3138" s="216">
        <v>44621</v>
      </c>
      <c r="B3138" t="s">
        <v>45</v>
      </c>
      <c r="C3138">
        <v>9</v>
      </c>
      <c r="D3138" t="s">
        <v>450</v>
      </c>
      <c r="E3138" s="217">
        <v>44621</v>
      </c>
      <c r="F3138">
        <v>8009.09</v>
      </c>
      <c r="G3138" s="227" t="s">
        <v>102</v>
      </c>
    </row>
    <row r="3139" spans="1:7">
      <c r="A3139" s="216">
        <v>44621</v>
      </c>
      <c r="B3139" t="s">
        <v>45</v>
      </c>
      <c r="C3139">
        <v>9</v>
      </c>
      <c r="D3139" t="s">
        <v>450</v>
      </c>
      <c r="E3139" s="217">
        <v>44621</v>
      </c>
      <c r="F3139">
        <v>6810</v>
      </c>
      <c r="G3139" s="227" t="s">
        <v>85</v>
      </c>
    </row>
    <row r="3140" spans="1:7">
      <c r="A3140" s="216">
        <v>44621</v>
      </c>
      <c r="B3140" t="s">
        <v>45</v>
      </c>
      <c r="C3140">
        <v>9</v>
      </c>
      <c r="D3140" t="s">
        <v>450</v>
      </c>
      <c r="E3140" s="217">
        <v>44621</v>
      </c>
      <c r="F3140">
        <v>7887</v>
      </c>
      <c r="G3140" s="227" t="s">
        <v>129</v>
      </c>
    </row>
    <row r="3141" spans="1:7">
      <c r="A3141" s="216">
        <v>44621</v>
      </c>
      <c r="B3141" t="s">
        <v>45</v>
      </c>
      <c r="C3141">
        <v>9</v>
      </c>
      <c r="D3141" t="s">
        <v>450</v>
      </c>
      <c r="E3141" s="217">
        <v>44621</v>
      </c>
      <c r="F3141">
        <v>8731.5594199999996</v>
      </c>
      <c r="G3141" s="227" t="s">
        <v>125</v>
      </c>
    </row>
    <row r="3142" spans="1:7">
      <c r="A3142" s="216">
        <v>44621</v>
      </c>
      <c r="B3142" t="s">
        <v>45</v>
      </c>
      <c r="C3142">
        <v>9</v>
      </c>
      <c r="D3142" t="s">
        <v>450</v>
      </c>
      <c r="E3142" s="217">
        <v>44621</v>
      </c>
      <c r="F3142">
        <v>7358.4405800000004</v>
      </c>
      <c r="G3142" s="227" t="s">
        <v>121</v>
      </c>
    </row>
    <row r="3143" spans="1:7">
      <c r="A3143" s="216">
        <v>44621</v>
      </c>
      <c r="B3143" t="s">
        <v>45</v>
      </c>
      <c r="C3143">
        <v>9</v>
      </c>
      <c r="D3143" t="s">
        <v>450</v>
      </c>
      <c r="E3143" s="217">
        <v>44621</v>
      </c>
      <c r="F3143">
        <v>7626.2950099999998</v>
      </c>
      <c r="G3143" s="227" t="s">
        <v>90</v>
      </c>
    </row>
    <row r="3144" spans="1:7">
      <c r="A3144" s="216">
        <v>44621</v>
      </c>
      <c r="B3144" t="s">
        <v>45</v>
      </c>
      <c r="C3144">
        <v>9</v>
      </c>
      <c r="D3144" t="s">
        <v>450</v>
      </c>
      <c r="E3144" s="217">
        <v>44621</v>
      </c>
      <c r="F3144">
        <v>7399.0248199999996</v>
      </c>
      <c r="G3144" s="227" t="s">
        <v>98</v>
      </c>
    </row>
    <row r="3145" spans="1:7">
      <c r="A3145" s="216">
        <v>44621</v>
      </c>
      <c r="B3145" t="s">
        <v>45</v>
      </c>
      <c r="C3145">
        <v>9</v>
      </c>
      <c r="D3145" t="s">
        <v>450</v>
      </c>
      <c r="E3145" s="217">
        <v>44621</v>
      </c>
      <c r="F3145">
        <v>7020.9279999999999</v>
      </c>
      <c r="G3145" s="227" t="s">
        <v>94</v>
      </c>
    </row>
    <row r="3146" spans="1:7">
      <c r="A3146" s="216">
        <v>44621</v>
      </c>
      <c r="B3146" t="s">
        <v>45</v>
      </c>
      <c r="C3146">
        <v>9</v>
      </c>
      <c r="D3146" t="s">
        <v>450</v>
      </c>
      <c r="E3146" s="217">
        <v>44621</v>
      </c>
      <c r="F3146">
        <v>8867.8571699999993</v>
      </c>
      <c r="G3146" s="227" t="s">
        <v>112</v>
      </c>
    </row>
    <row r="3147" spans="1:7">
      <c r="A3147" s="216">
        <v>44621</v>
      </c>
      <c r="B3147" t="s">
        <v>45</v>
      </c>
      <c r="C3147">
        <v>9</v>
      </c>
      <c r="D3147" t="s">
        <v>450</v>
      </c>
      <c r="E3147" s="217">
        <v>44621</v>
      </c>
      <c r="F3147">
        <v>93092.104999999996</v>
      </c>
      <c r="G3147" s="227" t="s">
        <v>434</v>
      </c>
    </row>
    <row r="3148" spans="1:7">
      <c r="A3148" s="216">
        <v>44621</v>
      </c>
      <c r="B3148" t="s">
        <v>45</v>
      </c>
      <c r="C3148">
        <v>10</v>
      </c>
      <c r="D3148" t="s">
        <v>433</v>
      </c>
      <c r="E3148" s="217">
        <v>44621</v>
      </c>
      <c r="F3148">
        <v>47687.627739999902</v>
      </c>
      <c r="G3148" s="227" t="s">
        <v>80</v>
      </c>
    </row>
    <row r="3149" spans="1:7">
      <c r="A3149" s="216">
        <v>44621</v>
      </c>
      <c r="B3149" t="s">
        <v>45</v>
      </c>
      <c r="C3149">
        <v>10</v>
      </c>
      <c r="D3149" t="s">
        <v>433</v>
      </c>
      <c r="E3149" s="217">
        <v>44621</v>
      </c>
      <c r="F3149">
        <v>48147.642169999803</v>
      </c>
      <c r="G3149" s="227" t="s">
        <v>116</v>
      </c>
    </row>
    <row r="3150" spans="1:7">
      <c r="A3150" s="216">
        <v>44621</v>
      </c>
      <c r="B3150" t="s">
        <v>45</v>
      </c>
      <c r="C3150">
        <v>10</v>
      </c>
      <c r="D3150" t="s">
        <v>433</v>
      </c>
      <c r="E3150" s="217">
        <v>44621</v>
      </c>
      <c r="F3150">
        <v>46433.380090000297</v>
      </c>
      <c r="G3150" s="227" t="s">
        <v>107</v>
      </c>
    </row>
    <row r="3151" spans="1:7">
      <c r="A3151" s="216">
        <v>44621</v>
      </c>
      <c r="B3151" t="s">
        <v>45</v>
      </c>
      <c r="C3151">
        <v>10</v>
      </c>
      <c r="D3151" t="s">
        <v>433</v>
      </c>
      <c r="E3151" s="217">
        <v>44621</v>
      </c>
      <c r="F3151">
        <v>46374.35</v>
      </c>
      <c r="G3151" s="227" t="s">
        <v>102</v>
      </c>
    </row>
    <row r="3152" spans="1:7">
      <c r="A3152" s="216">
        <v>44621</v>
      </c>
      <c r="B3152" t="s">
        <v>45</v>
      </c>
      <c r="C3152">
        <v>10</v>
      </c>
      <c r="D3152" t="s">
        <v>433</v>
      </c>
      <c r="E3152" s="217">
        <v>44621</v>
      </c>
      <c r="F3152">
        <v>48957</v>
      </c>
      <c r="G3152" s="227" t="s">
        <v>85</v>
      </c>
    </row>
    <row r="3153" spans="1:7">
      <c r="A3153" s="216">
        <v>44621</v>
      </c>
      <c r="B3153" t="s">
        <v>45</v>
      </c>
      <c r="C3153">
        <v>10</v>
      </c>
      <c r="D3153" t="s">
        <v>433</v>
      </c>
      <c r="E3153" s="217">
        <v>44621</v>
      </c>
      <c r="F3153">
        <v>54174</v>
      </c>
      <c r="G3153" s="227" t="s">
        <v>129</v>
      </c>
    </row>
    <row r="3154" spans="1:7">
      <c r="A3154" s="216">
        <v>44621</v>
      </c>
      <c r="B3154" t="s">
        <v>45</v>
      </c>
      <c r="C3154">
        <v>10</v>
      </c>
      <c r="D3154" t="s">
        <v>433</v>
      </c>
      <c r="E3154" s="217">
        <v>44621</v>
      </c>
      <c r="F3154">
        <v>49232.751550000001</v>
      </c>
      <c r="G3154" s="227" t="s">
        <v>125</v>
      </c>
    </row>
    <row r="3155" spans="1:7">
      <c r="A3155" s="216">
        <v>44621</v>
      </c>
      <c r="B3155" t="s">
        <v>45</v>
      </c>
      <c r="C3155">
        <v>10</v>
      </c>
      <c r="D3155" t="s">
        <v>433</v>
      </c>
      <c r="E3155" s="217">
        <v>44621</v>
      </c>
      <c r="F3155">
        <v>51482.248449999999</v>
      </c>
      <c r="G3155" s="227" t="s">
        <v>121</v>
      </c>
    </row>
    <row r="3156" spans="1:7">
      <c r="A3156" s="216">
        <v>44621</v>
      </c>
      <c r="B3156" t="s">
        <v>45</v>
      </c>
      <c r="C3156">
        <v>10</v>
      </c>
      <c r="D3156" t="s">
        <v>433</v>
      </c>
      <c r="E3156" s="217">
        <v>44621</v>
      </c>
      <c r="F3156">
        <v>50544.791360000199</v>
      </c>
      <c r="G3156" s="227" t="s">
        <v>90</v>
      </c>
    </row>
    <row r="3157" spans="1:7">
      <c r="A3157" s="216">
        <v>44621</v>
      </c>
      <c r="B3157" t="s">
        <v>45</v>
      </c>
      <c r="C3157">
        <v>10</v>
      </c>
      <c r="D3157" t="s">
        <v>433</v>
      </c>
      <c r="E3157" s="217">
        <v>44621</v>
      </c>
      <c r="F3157">
        <v>52672</v>
      </c>
      <c r="G3157" s="227" t="s">
        <v>98</v>
      </c>
    </row>
    <row r="3158" spans="1:7">
      <c r="A3158" s="216">
        <v>44621</v>
      </c>
      <c r="B3158" t="s">
        <v>45</v>
      </c>
      <c r="C3158">
        <v>10</v>
      </c>
      <c r="D3158" t="s">
        <v>433</v>
      </c>
      <c r="E3158" s="217">
        <v>44621</v>
      </c>
      <c r="F3158">
        <v>51259.67</v>
      </c>
      <c r="G3158" s="227" t="s">
        <v>94</v>
      </c>
    </row>
    <row r="3159" spans="1:7">
      <c r="A3159" s="216">
        <v>44621</v>
      </c>
      <c r="B3159" t="s">
        <v>45</v>
      </c>
      <c r="C3159">
        <v>10</v>
      </c>
      <c r="D3159" t="s">
        <v>433</v>
      </c>
      <c r="E3159" s="217">
        <v>44621</v>
      </c>
      <c r="F3159">
        <v>80236.249819999604</v>
      </c>
      <c r="G3159" s="227" t="s">
        <v>112</v>
      </c>
    </row>
    <row r="3160" spans="1:7">
      <c r="A3160" s="216">
        <v>44621</v>
      </c>
      <c r="B3160" t="s">
        <v>45</v>
      </c>
      <c r="C3160">
        <v>10</v>
      </c>
      <c r="D3160" t="s">
        <v>433</v>
      </c>
      <c r="E3160" s="217">
        <v>44621</v>
      </c>
      <c r="F3160">
        <v>627201.71117999998</v>
      </c>
      <c r="G3160" s="227" t="s">
        <v>434</v>
      </c>
    </row>
    <row r="3161" spans="1:7">
      <c r="A3161" s="216">
        <v>44621</v>
      </c>
      <c r="B3161" t="s">
        <v>45</v>
      </c>
      <c r="C3161">
        <v>11</v>
      </c>
      <c r="D3161" t="s">
        <v>445</v>
      </c>
      <c r="E3161" s="217">
        <v>44621</v>
      </c>
      <c r="F3161">
        <v>8695.1322800000307</v>
      </c>
      <c r="G3161" s="227" t="s">
        <v>80</v>
      </c>
    </row>
    <row r="3162" spans="1:7">
      <c r="A3162" s="216">
        <v>44621</v>
      </c>
      <c r="B3162" t="s">
        <v>45</v>
      </c>
      <c r="C3162">
        <v>11</v>
      </c>
      <c r="D3162" t="s">
        <v>445</v>
      </c>
      <c r="E3162" s="217">
        <v>44621</v>
      </c>
      <c r="F3162">
        <v>8340.6691000000301</v>
      </c>
      <c r="G3162" s="227" t="s">
        <v>116</v>
      </c>
    </row>
    <row r="3163" spans="1:7">
      <c r="A3163" s="216">
        <v>44621</v>
      </c>
      <c r="B3163" t="s">
        <v>45</v>
      </c>
      <c r="C3163">
        <v>11</v>
      </c>
      <c r="D3163" t="s">
        <v>445</v>
      </c>
      <c r="E3163" s="217">
        <v>44621</v>
      </c>
      <c r="F3163">
        <v>9671.1066199999404</v>
      </c>
      <c r="G3163" s="227" t="s">
        <v>107</v>
      </c>
    </row>
    <row r="3164" spans="1:7">
      <c r="A3164" s="216">
        <v>44621</v>
      </c>
      <c r="B3164" t="s">
        <v>45</v>
      </c>
      <c r="C3164">
        <v>11</v>
      </c>
      <c r="D3164" t="s">
        <v>445</v>
      </c>
      <c r="E3164" s="217">
        <v>44621</v>
      </c>
      <c r="F3164">
        <v>10044.092000000001</v>
      </c>
      <c r="G3164" s="227" t="s">
        <v>102</v>
      </c>
    </row>
    <row r="3165" spans="1:7">
      <c r="A3165" s="216">
        <v>44621</v>
      </c>
      <c r="B3165" t="s">
        <v>45</v>
      </c>
      <c r="C3165">
        <v>11</v>
      </c>
      <c r="D3165" t="s">
        <v>445</v>
      </c>
      <c r="E3165" s="217">
        <v>44621</v>
      </c>
      <c r="F3165">
        <v>7368</v>
      </c>
      <c r="G3165" s="227" t="s">
        <v>85</v>
      </c>
    </row>
    <row r="3166" spans="1:7">
      <c r="A3166" s="216">
        <v>44621</v>
      </c>
      <c r="B3166" t="s">
        <v>45</v>
      </c>
      <c r="C3166">
        <v>11</v>
      </c>
      <c r="D3166" t="s">
        <v>445</v>
      </c>
      <c r="E3166" s="217">
        <v>44621</v>
      </c>
      <c r="F3166">
        <v>10642</v>
      </c>
      <c r="G3166" s="227" t="s">
        <v>129</v>
      </c>
    </row>
    <row r="3167" spans="1:7">
      <c r="A3167" s="216">
        <v>44621</v>
      </c>
      <c r="B3167" t="s">
        <v>45</v>
      </c>
      <c r="C3167">
        <v>11</v>
      </c>
      <c r="D3167" t="s">
        <v>445</v>
      </c>
      <c r="E3167" s="217">
        <v>44621</v>
      </c>
      <c r="F3167">
        <v>8575.8895500000108</v>
      </c>
      <c r="G3167" s="227" t="s">
        <v>125</v>
      </c>
    </row>
    <row r="3168" spans="1:7">
      <c r="A3168" s="216">
        <v>44621</v>
      </c>
      <c r="B3168" t="s">
        <v>45</v>
      </c>
      <c r="C3168">
        <v>11</v>
      </c>
      <c r="D3168" t="s">
        <v>445</v>
      </c>
      <c r="E3168" s="217">
        <v>44621</v>
      </c>
      <c r="F3168">
        <v>10396.11045</v>
      </c>
      <c r="G3168" s="227" t="s">
        <v>121</v>
      </c>
    </row>
    <row r="3169" spans="1:7">
      <c r="A3169" s="216">
        <v>44621</v>
      </c>
      <c r="B3169" t="s">
        <v>45</v>
      </c>
      <c r="C3169">
        <v>11</v>
      </c>
      <c r="D3169" t="s">
        <v>445</v>
      </c>
      <c r="E3169" s="217">
        <v>44621</v>
      </c>
      <c r="F3169">
        <v>9413.9241899999997</v>
      </c>
      <c r="G3169" s="227" t="s">
        <v>90</v>
      </c>
    </row>
    <row r="3170" spans="1:7">
      <c r="A3170" s="216">
        <v>44621</v>
      </c>
      <c r="B3170" t="s">
        <v>45</v>
      </c>
      <c r="C3170">
        <v>11</v>
      </c>
      <c r="D3170" t="s">
        <v>445</v>
      </c>
      <c r="E3170" s="217">
        <v>44621</v>
      </c>
      <c r="F3170">
        <v>9722.9972199999993</v>
      </c>
      <c r="G3170" s="227" t="s">
        <v>98</v>
      </c>
    </row>
    <row r="3171" spans="1:7">
      <c r="A3171" s="216">
        <v>44621</v>
      </c>
      <c r="B3171" t="s">
        <v>45</v>
      </c>
      <c r="C3171">
        <v>11</v>
      </c>
      <c r="D3171" t="s">
        <v>445</v>
      </c>
      <c r="E3171" s="217">
        <v>44621</v>
      </c>
      <c r="F3171">
        <v>9554.2990000000009</v>
      </c>
      <c r="G3171" s="227" t="s">
        <v>94</v>
      </c>
    </row>
    <row r="3172" spans="1:7">
      <c r="A3172" s="216">
        <v>44621</v>
      </c>
      <c r="B3172" t="s">
        <v>45</v>
      </c>
      <c r="C3172">
        <v>11</v>
      </c>
      <c r="D3172" t="s">
        <v>445</v>
      </c>
      <c r="E3172" s="217">
        <v>44621</v>
      </c>
      <c r="F3172">
        <v>15921.86428</v>
      </c>
      <c r="G3172" s="227" t="s">
        <v>112</v>
      </c>
    </row>
    <row r="3173" spans="1:7">
      <c r="A3173" s="216">
        <v>44621</v>
      </c>
      <c r="B3173" t="s">
        <v>45</v>
      </c>
      <c r="C3173">
        <v>11</v>
      </c>
      <c r="D3173" t="s">
        <v>445</v>
      </c>
      <c r="E3173" s="217">
        <v>44621</v>
      </c>
      <c r="F3173">
        <v>118346.08469</v>
      </c>
      <c r="G3173" s="227" t="s">
        <v>434</v>
      </c>
    </row>
    <row r="3174" spans="1:7">
      <c r="A3174" s="216">
        <v>44621</v>
      </c>
      <c r="B3174" t="s">
        <v>45</v>
      </c>
      <c r="C3174">
        <v>12</v>
      </c>
      <c r="D3174" t="s">
        <v>454</v>
      </c>
      <c r="E3174" s="217">
        <v>44621</v>
      </c>
      <c r="F3174">
        <v>2733.24125</v>
      </c>
      <c r="G3174" s="227" t="s">
        <v>80</v>
      </c>
    </row>
    <row r="3175" spans="1:7">
      <c r="A3175" s="216">
        <v>44621</v>
      </c>
      <c r="B3175" t="s">
        <v>45</v>
      </c>
      <c r="C3175">
        <v>12</v>
      </c>
      <c r="D3175" t="s">
        <v>454</v>
      </c>
      <c r="E3175" s="217">
        <v>44621</v>
      </c>
      <c r="F3175">
        <v>3802.8693899999998</v>
      </c>
      <c r="G3175" s="227" t="s">
        <v>116</v>
      </c>
    </row>
    <row r="3176" spans="1:7">
      <c r="A3176" s="216">
        <v>44621</v>
      </c>
      <c r="B3176" t="s">
        <v>45</v>
      </c>
      <c r="C3176">
        <v>12</v>
      </c>
      <c r="D3176" t="s">
        <v>454</v>
      </c>
      <c r="E3176" s="217">
        <v>44621</v>
      </c>
      <c r="F3176">
        <v>3149.8313600000001</v>
      </c>
      <c r="G3176" s="227" t="s">
        <v>107</v>
      </c>
    </row>
    <row r="3177" spans="1:7">
      <c r="A3177" s="216">
        <v>44621</v>
      </c>
      <c r="B3177" t="s">
        <v>45</v>
      </c>
      <c r="C3177">
        <v>12</v>
      </c>
      <c r="D3177" t="s">
        <v>454</v>
      </c>
      <c r="E3177" s="217">
        <v>44621</v>
      </c>
      <c r="F3177">
        <v>3047.058</v>
      </c>
      <c r="G3177" s="227" t="s">
        <v>102</v>
      </c>
    </row>
    <row r="3178" spans="1:7">
      <c r="A3178" s="216">
        <v>44621</v>
      </c>
      <c r="B3178" t="s">
        <v>45</v>
      </c>
      <c r="C3178">
        <v>12</v>
      </c>
      <c r="D3178" t="s">
        <v>454</v>
      </c>
      <c r="E3178" s="217">
        <v>44621</v>
      </c>
      <c r="F3178">
        <v>3273</v>
      </c>
      <c r="G3178" s="227" t="s">
        <v>85</v>
      </c>
    </row>
    <row r="3179" spans="1:7">
      <c r="A3179" s="216">
        <v>44621</v>
      </c>
      <c r="B3179" t="s">
        <v>45</v>
      </c>
      <c r="C3179">
        <v>12</v>
      </c>
      <c r="D3179" t="s">
        <v>454</v>
      </c>
      <c r="E3179" s="217">
        <v>44621</v>
      </c>
      <c r="F3179">
        <v>3943</v>
      </c>
      <c r="G3179" s="227" t="s">
        <v>129</v>
      </c>
    </row>
    <row r="3180" spans="1:7">
      <c r="A3180" s="216">
        <v>44621</v>
      </c>
      <c r="B3180" t="s">
        <v>45</v>
      </c>
      <c r="C3180">
        <v>12</v>
      </c>
      <c r="D3180" t="s">
        <v>454</v>
      </c>
      <c r="E3180" s="217">
        <v>44621</v>
      </c>
      <c r="F3180">
        <v>2660.1433299999999</v>
      </c>
      <c r="G3180" s="227" t="s">
        <v>125</v>
      </c>
    </row>
    <row r="3181" spans="1:7">
      <c r="A3181" s="216">
        <v>44621</v>
      </c>
      <c r="B3181" t="s">
        <v>45</v>
      </c>
      <c r="C3181">
        <v>12</v>
      </c>
      <c r="D3181" t="s">
        <v>454</v>
      </c>
      <c r="E3181" s="217">
        <v>44621</v>
      </c>
      <c r="F3181">
        <v>4014.8566700000001</v>
      </c>
      <c r="G3181" s="227" t="s">
        <v>121</v>
      </c>
    </row>
    <row r="3182" spans="1:7">
      <c r="A3182" s="216">
        <v>44621</v>
      </c>
      <c r="B3182" t="s">
        <v>45</v>
      </c>
      <c r="C3182">
        <v>12</v>
      </c>
      <c r="D3182" t="s">
        <v>454</v>
      </c>
      <c r="E3182" s="217">
        <v>44621</v>
      </c>
      <c r="F3182">
        <v>3558.9527899999998</v>
      </c>
      <c r="G3182" s="227" t="s">
        <v>90</v>
      </c>
    </row>
    <row r="3183" spans="1:7">
      <c r="A3183" s="216">
        <v>44621</v>
      </c>
      <c r="B3183" t="s">
        <v>45</v>
      </c>
      <c r="C3183">
        <v>12</v>
      </c>
      <c r="D3183" t="s">
        <v>454</v>
      </c>
      <c r="E3183" s="217">
        <v>44621</v>
      </c>
      <c r="F3183">
        <v>3269.3787900000002</v>
      </c>
      <c r="G3183" s="227" t="s">
        <v>98</v>
      </c>
    </row>
    <row r="3184" spans="1:7">
      <c r="A3184" s="216">
        <v>44621</v>
      </c>
      <c r="B3184" t="s">
        <v>45</v>
      </c>
      <c r="C3184">
        <v>12</v>
      </c>
      <c r="D3184" t="s">
        <v>454</v>
      </c>
      <c r="E3184" s="217">
        <v>44621</v>
      </c>
      <c r="F3184">
        <v>3380.7939999999999</v>
      </c>
      <c r="G3184" s="227" t="s">
        <v>94</v>
      </c>
    </row>
    <row r="3185" spans="1:7">
      <c r="A3185" s="216">
        <v>44621</v>
      </c>
      <c r="B3185" t="s">
        <v>45</v>
      </c>
      <c r="C3185">
        <v>12</v>
      </c>
      <c r="D3185" t="s">
        <v>454</v>
      </c>
      <c r="E3185" s="217">
        <v>44621</v>
      </c>
      <c r="F3185">
        <v>3417.3430199999998</v>
      </c>
      <c r="G3185" s="227" t="s">
        <v>112</v>
      </c>
    </row>
    <row r="3186" spans="1:7">
      <c r="A3186" s="216">
        <v>44621</v>
      </c>
      <c r="B3186" t="s">
        <v>45</v>
      </c>
      <c r="C3186">
        <v>12</v>
      </c>
      <c r="D3186" t="s">
        <v>454</v>
      </c>
      <c r="E3186" s="217">
        <v>44621</v>
      </c>
      <c r="F3186">
        <v>40250.4686</v>
      </c>
      <c r="G3186" s="227" t="s">
        <v>434</v>
      </c>
    </row>
    <row r="3187" spans="1:7">
      <c r="A3187" s="216">
        <v>44621</v>
      </c>
      <c r="B3187" t="s">
        <v>45</v>
      </c>
      <c r="C3187">
        <v>13</v>
      </c>
      <c r="D3187" t="s">
        <v>441</v>
      </c>
      <c r="E3187" s="217">
        <v>44621</v>
      </c>
      <c r="F3187">
        <v>18574.604220000001</v>
      </c>
      <c r="G3187" s="227" t="s">
        <v>80</v>
      </c>
    </row>
    <row r="3188" spans="1:7">
      <c r="A3188" s="216">
        <v>44621</v>
      </c>
      <c r="B3188" t="s">
        <v>45</v>
      </c>
      <c r="C3188">
        <v>13</v>
      </c>
      <c r="D3188" t="s">
        <v>441</v>
      </c>
      <c r="E3188" s="217">
        <v>44621</v>
      </c>
      <c r="F3188">
        <v>20020.409039999999</v>
      </c>
      <c r="G3188" s="227" t="s">
        <v>116</v>
      </c>
    </row>
    <row r="3189" spans="1:7">
      <c r="A3189" s="216">
        <v>44621</v>
      </c>
      <c r="B3189" t="s">
        <v>45</v>
      </c>
      <c r="C3189">
        <v>13</v>
      </c>
      <c r="D3189" t="s">
        <v>441</v>
      </c>
      <c r="E3189" s="217">
        <v>44621</v>
      </c>
      <c r="F3189">
        <v>19660.083259999999</v>
      </c>
      <c r="G3189" s="227" t="s">
        <v>107</v>
      </c>
    </row>
    <row r="3190" spans="1:7">
      <c r="A3190" s="216">
        <v>44621</v>
      </c>
      <c r="B3190" t="s">
        <v>45</v>
      </c>
      <c r="C3190">
        <v>13</v>
      </c>
      <c r="D3190" t="s">
        <v>441</v>
      </c>
      <c r="E3190" s="217">
        <v>44621</v>
      </c>
      <c r="F3190">
        <v>20094.47</v>
      </c>
      <c r="G3190" s="227" t="s">
        <v>102</v>
      </c>
    </row>
    <row r="3191" spans="1:7">
      <c r="A3191" s="216">
        <v>44621</v>
      </c>
      <c r="B3191" t="s">
        <v>45</v>
      </c>
      <c r="C3191">
        <v>13</v>
      </c>
      <c r="D3191" t="s">
        <v>441</v>
      </c>
      <c r="E3191" s="217">
        <v>44621</v>
      </c>
      <c r="F3191">
        <v>21603</v>
      </c>
      <c r="G3191" s="227" t="s">
        <v>85</v>
      </c>
    </row>
    <row r="3192" spans="1:7">
      <c r="A3192" s="216">
        <v>44621</v>
      </c>
      <c r="B3192" t="s">
        <v>45</v>
      </c>
      <c r="C3192">
        <v>13</v>
      </c>
      <c r="D3192" t="s">
        <v>441</v>
      </c>
      <c r="E3192" s="217">
        <v>44621</v>
      </c>
      <c r="F3192">
        <v>20021</v>
      </c>
      <c r="G3192" s="227" t="s">
        <v>129</v>
      </c>
    </row>
    <row r="3193" spans="1:7">
      <c r="A3193" s="216">
        <v>44621</v>
      </c>
      <c r="B3193" t="s">
        <v>45</v>
      </c>
      <c r="C3193">
        <v>13</v>
      </c>
      <c r="D3193" t="s">
        <v>441</v>
      </c>
      <c r="E3193" s="217">
        <v>44621</v>
      </c>
      <c r="F3193">
        <v>20513.195650000001</v>
      </c>
      <c r="G3193" s="227" t="s">
        <v>125</v>
      </c>
    </row>
    <row r="3194" spans="1:7">
      <c r="A3194" s="216">
        <v>44621</v>
      </c>
      <c r="B3194" t="s">
        <v>45</v>
      </c>
      <c r="C3194">
        <v>13</v>
      </c>
      <c r="D3194" t="s">
        <v>441</v>
      </c>
      <c r="E3194" s="217">
        <v>44621</v>
      </c>
      <c r="F3194">
        <v>20808.50546</v>
      </c>
      <c r="G3194" s="227" t="s">
        <v>121</v>
      </c>
    </row>
    <row r="3195" spans="1:7">
      <c r="A3195" s="216">
        <v>44621</v>
      </c>
      <c r="B3195" t="s">
        <v>45</v>
      </c>
      <c r="C3195">
        <v>13</v>
      </c>
      <c r="D3195" t="s">
        <v>441</v>
      </c>
      <c r="E3195" s="217">
        <v>44621</v>
      </c>
      <c r="F3195">
        <v>26074.527539999999</v>
      </c>
      <c r="G3195" s="227" t="s">
        <v>90</v>
      </c>
    </row>
    <row r="3196" spans="1:7">
      <c r="A3196" s="216">
        <v>44621</v>
      </c>
      <c r="B3196" t="s">
        <v>45</v>
      </c>
      <c r="C3196">
        <v>13</v>
      </c>
      <c r="D3196" t="s">
        <v>441</v>
      </c>
      <c r="E3196" s="217">
        <v>44621</v>
      </c>
      <c r="F3196">
        <v>20137.799169999998</v>
      </c>
      <c r="G3196" s="227" t="s">
        <v>98</v>
      </c>
    </row>
    <row r="3197" spans="1:7">
      <c r="A3197" s="216">
        <v>44621</v>
      </c>
      <c r="B3197" t="s">
        <v>45</v>
      </c>
      <c r="C3197">
        <v>13</v>
      </c>
      <c r="D3197" t="s">
        <v>441</v>
      </c>
      <c r="E3197" s="217">
        <v>44621</v>
      </c>
      <c r="F3197">
        <v>22920.756000000001</v>
      </c>
      <c r="G3197" s="227" t="s">
        <v>94</v>
      </c>
    </row>
    <row r="3198" spans="1:7">
      <c r="A3198" s="216">
        <v>44621</v>
      </c>
      <c r="B3198" t="s">
        <v>45</v>
      </c>
      <c r="C3198">
        <v>13</v>
      </c>
      <c r="D3198" t="s">
        <v>441</v>
      </c>
      <c r="E3198" s="217">
        <v>44621</v>
      </c>
      <c r="F3198">
        <v>26148.39645</v>
      </c>
      <c r="G3198" s="227" t="s">
        <v>112</v>
      </c>
    </row>
    <row r="3199" spans="1:7">
      <c r="A3199" s="216">
        <v>44621</v>
      </c>
      <c r="B3199" t="s">
        <v>45</v>
      </c>
      <c r="C3199">
        <v>13</v>
      </c>
      <c r="D3199" t="s">
        <v>441</v>
      </c>
      <c r="E3199" s="217">
        <v>44621</v>
      </c>
      <c r="F3199">
        <v>256576.74679</v>
      </c>
      <c r="G3199" s="227" t="s">
        <v>434</v>
      </c>
    </row>
    <row r="3200" spans="1:7">
      <c r="A3200" s="216">
        <v>44621</v>
      </c>
      <c r="B3200" t="s">
        <v>45</v>
      </c>
      <c r="C3200">
        <v>14</v>
      </c>
      <c r="D3200" t="s">
        <v>447</v>
      </c>
      <c r="E3200" s="217">
        <v>44621</v>
      </c>
      <c r="F3200">
        <v>13.21674</v>
      </c>
      <c r="G3200" s="227" t="s">
        <v>80</v>
      </c>
    </row>
    <row r="3201" spans="1:7">
      <c r="A3201" s="216">
        <v>44621</v>
      </c>
      <c r="B3201" t="s">
        <v>45</v>
      </c>
      <c r="C3201">
        <v>14</v>
      </c>
      <c r="D3201" t="s">
        <v>447</v>
      </c>
      <c r="E3201" s="217">
        <v>44621</v>
      </c>
      <c r="F3201">
        <v>13.21674</v>
      </c>
      <c r="G3201" s="227" t="s">
        <v>116</v>
      </c>
    </row>
    <row r="3202" spans="1:7">
      <c r="A3202" s="216">
        <v>44621</v>
      </c>
      <c r="B3202" t="s">
        <v>45</v>
      </c>
      <c r="C3202">
        <v>14</v>
      </c>
      <c r="D3202" t="s">
        <v>447</v>
      </c>
      <c r="E3202" s="217">
        <v>44621</v>
      </c>
      <c r="F3202">
        <v>13</v>
      </c>
      <c r="G3202" s="227" t="s">
        <v>107</v>
      </c>
    </row>
    <row r="3203" spans="1:7">
      <c r="A3203" s="216">
        <v>44621</v>
      </c>
      <c r="B3203" t="s">
        <v>45</v>
      </c>
      <c r="C3203">
        <v>14</v>
      </c>
      <c r="D3203" t="s">
        <v>447</v>
      </c>
      <c r="E3203" s="217">
        <v>44621</v>
      </c>
      <c r="F3203">
        <v>13</v>
      </c>
      <c r="G3203" s="227" t="s">
        <v>102</v>
      </c>
    </row>
    <row r="3204" spans="1:7">
      <c r="A3204" s="216">
        <v>44621</v>
      </c>
      <c r="B3204" t="s">
        <v>45</v>
      </c>
      <c r="C3204">
        <v>14</v>
      </c>
      <c r="D3204" t="s">
        <v>447</v>
      </c>
      <c r="E3204" s="217">
        <v>44621</v>
      </c>
      <c r="F3204">
        <v>14</v>
      </c>
      <c r="G3204" s="227" t="s">
        <v>85</v>
      </c>
    </row>
    <row r="3205" spans="1:7">
      <c r="A3205" s="216">
        <v>44621</v>
      </c>
      <c r="B3205" t="s">
        <v>45</v>
      </c>
      <c r="C3205">
        <v>14</v>
      </c>
      <c r="D3205" t="s">
        <v>447</v>
      </c>
      <c r="E3205" s="217">
        <v>44621</v>
      </c>
      <c r="F3205">
        <v>15</v>
      </c>
      <c r="G3205" s="227" t="s">
        <v>129</v>
      </c>
    </row>
    <row r="3206" spans="1:7">
      <c r="A3206" s="216">
        <v>44621</v>
      </c>
      <c r="B3206" t="s">
        <v>45</v>
      </c>
      <c r="C3206">
        <v>14</v>
      </c>
      <c r="D3206" t="s">
        <v>447</v>
      </c>
      <c r="E3206" s="217">
        <v>44621</v>
      </c>
      <c r="F3206">
        <v>192.29889</v>
      </c>
      <c r="G3206" s="227" t="s">
        <v>125</v>
      </c>
    </row>
    <row r="3207" spans="1:7">
      <c r="A3207" s="216">
        <v>44621</v>
      </c>
      <c r="B3207" t="s">
        <v>45</v>
      </c>
      <c r="C3207">
        <v>14</v>
      </c>
      <c r="D3207" t="s">
        <v>447</v>
      </c>
      <c r="E3207" s="217">
        <v>44621</v>
      </c>
      <c r="F3207">
        <v>41</v>
      </c>
      <c r="G3207" s="227" t="s">
        <v>121</v>
      </c>
    </row>
    <row r="3208" spans="1:7">
      <c r="A3208" s="216">
        <v>44621</v>
      </c>
      <c r="B3208" t="s">
        <v>45</v>
      </c>
      <c r="C3208">
        <v>14</v>
      </c>
      <c r="D3208" t="s">
        <v>447</v>
      </c>
      <c r="E3208" s="217">
        <v>44621</v>
      </c>
      <c r="F3208">
        <v>40.841000000000001</v>
      </c>
      <c r="G3208" s="227" t="s">
        <v>90</v>
      </c>
    </row>
    <row r="3209" spans="1:7">
      <c r="A3209" s="216">
        <v>44621</v>
      </c>
      <c r="B3209" t="s">
        <v>45</v>
      </c>
      <c r="C3209">
        <v>14</v>
      </c>
      <c r="D3209" t="s">
        <v>447</v>
      </c>
      <c r="E3209" s="217">
        <v>44621</v>
      </c>
      <c r="F3209">
        <v>258.73500000000001</v>
      </c>
      <c r="G3209" s="227" t="s">
        <v>98</v>
      </c>
    </row>
    <row r="3210" spans="1:7">
      <c r="A3210" s="216">
        <v>44621</v>
      </c>
      <c r="B3210" t="s">
        <v>45</v>
      </c>
      <c r="C3210">
        <v>14</v>
      </c>
      <c r="D3210" t="s">
        <v>447</v>
      </c>
      <c r="E3210" s="217">
        <v>44621</v>
      </c>
      <c r="F3210">
        <v>253.28700000000001</v>
      </c>
      <c r="G3210" s="227" t="s">
        <v>94</v>
      </c>
    </row>
    <row r="3211" spans="1:7">
      <c r="A3211" s="216">
        <v>44621</v>
      </c>
      <c r="B3211" t="s">
        <v>45</v>
      </c>
      <c r="C3211">
        <v>14</v>
      </c>
      <c r="D3211" t="s">
        <v>447</v>
      </c>
      <c r="E3211" s="217">
        <v>44621</v>
      </c>
      <c r="F3211">
        <v>190.29599999999999</v>
      </c>
      <c r="G3211" s="227" t="s">
        <v>112</v>
      </c>
    </row>
    <row r="3212" spans="1:7">
      <c r="A3212" s="216">
        <v>44621</v>
      </c>
      <c r="B3212" t="s">
        <v>45</v>
      </c>
      <c r="C3212">
        <v>14</v>
      </c>
      <c r="D3212" t="s">
        <v>447</v>
      </c>
      <c r="E3212" s="217">
        <v>44621</v>
      </c>
      <c r="F3212">
        <v>1057.8913700000001</v>
      </c>
      <c r="G3212" s="227" t="s">
        <v>434</v>
      </c>
    </row>
    <row r="3213" spans="1:7">
      <c r="A3213" s="216">
        <v>44621</v>
      </c>
      <c r="B3213" t="s">
        <v>45</v>
      </c>
      <c r="C3213">
        <v>15</v>
      </c>
      <c r="D3213" t="s">
        <v>437</v>
      </c>
      <c r="E3213" s="217">
        <v>44621</v>
      </c>
      <c r="F3213">
        <v>4570.3742300000004</v>
      </c>
      <c r="G3213" s="227" t="s">
        <v>80</v>
      </c>
    </row>
    <row r="3214" spans="1:7">
      <c r="A3214" s="216">
        <v>44621</v>
      </c>
      <c r="B3214" t="s">
        <v>45</v>
      </c>
      <c r="C3214">
        <v>15</v>
      </c>
      <c r="D3214" t="s">
        <v>437</v>
      </c>
      <c r="E3214" s="217">
        <v>44621</v>
      </c>
      <c r="F3214">
        <v>5468.8433999999997</v>
      </c>
      <c r="G3214" s="227" t="s">
        <v>116</v>
      </c>
    </row>
    <row r="3215" spans="1:7">
      <c r="A3215" s="216">
        <v>44621</v>
      </c>
      <c r="B3215" t="s">
        <v>45</v>
      </c>
      <c r="C3215">
        <v>15</v>
      </c>
      <c r="D3215" t="s">
        <v>437</v>
      </c>
      <c r="E3215" s="217">
        <v>44621</v>
      </c>
      <c r="F3215">
        <v>4550.7823699999999</v>
      </c>
      <c r="G3215" s="227" t="s">
        <v>107</v>
      </c>
    </row>
    <row r="3216" spans="1:7">
      <c r="A3216" s="216">
        <v>44621</v>
      </c>
      <c r="B3216" t="s">
        <v>45</v>
      </c>
      <c r="C3216">
        <v>15</v>
      </c>
      <c r="D3216" t="s">
        <v>437</v>
      </c>
      <c r="E3216" s="217">
        <v>44621</v>
      </c>
      <c r="F3216">
        <v>5615</v>
      </c>
      <c r="G3216" s="227" t="s">
        <v>102</v>
      </c>
    </row>
    <row r="3217" spans="1:7">
      <c r="A3217" s="216">
        <v>44621</v>
      </c>
      <c r="B3217" t="s">
        <v>45</v>
      </c>
      <c r="C3217">
        <v>15</v>
      </c>
      <c r="D3217" t="s">
        <v>437</v>
      </c>
      <c r="E3217" s="217">
        <v>44621</v>
      </c>
      <c r="F3217">
        <v>4325</v>
      </c>
      <c r="G3217" s="227" t="s">
        <v>85</v>
      </c>
    </row>
    <row r="3218" spans="1:7">
      <c r="A3218" s="216">
        <v>44621</v>
      </c>
      <c r="B3218" t="s">
        <v>45</v>
      </c>
      <c r="C3218">
        <v>15</v>
      </c>
      <c r="D3218" t="s">
        <v>437</v>
      </c>
      <c r="E3218" s="217">
        <v>44621</v>
      </c>
      <c r="F3218">
        <v>799</v>
      </c>
      <c r="G3218" s="227" t="s">
        <v>129</v>
      </c>
    </row>
    <row r="3219" spans="1:7">
      <c r="A3219" s="216">
        <v>44621</v>
      </c>
      <c r="B3219" t="s">
        <v>45</v>
      </c>
      <c r="C3219">
        <v>15</v>
      </c>
      <c r="D3219" t="s">
        <v>437</v>
      </c>
      <c r="E3219" s="217">
        <v>44621</v>
      </c>
      <c r="F3219">
        <v>3878.9904700000002</v>
      </c>
      <c r="G3219" s="227" t="s">
        <v>125</v>
      </c>
    </row>
    <row r="3220" spans="1:7">
      <c r="A3220" s="216">
        <v>44621</v>
      </c>
      <c r="B3220" t="s">
        <v>45</v>
      </c>
      <c r="C3220">
        <v>15</v>
      </c>
      <c r="D3220" t="s">
        <v>437</v>
      </c>
      <c r="E3220" s="217">
        <v>44621</v>
      </c>
      <c r="F3220">
        <v>4860.0095300000003</v>
      </c>
      <c r="G3220" s="227" t="s">
        <v>121</v>
      </c>
    </row>
    <row r="3221" spans="1:7">
      <c r="A3221" s="216">
        <v>44621</v>
      </c>
      <c r="B3221" t="s">
        <v>45</v>
      </c>
      <c r="C3221">
        <v>15</v>
      </c>
      <c r="D3221" t="s">
        <v>437</v>
      </c>
      <c r="E3221" s="217">
        <v>44621</v>
      </c>
      <c r="F3221">
        <v>5492.61096</v>
      </c>
      <c r="G3221" s="227" t="s">
        <v>90</v>
      </c>
    </row>
    <row r="3222" spans="1:7">
      <c r="A3222" s="216">
        <v>44621</v>
      </c>
      <c r="B3222" t="s">
        <v>45</v>
      </c>
      <c r="C3222">
        <v>15</v>
      </c>
      <c r="D3222" t="s">
        <v>437</v>
      </c>
      <c r="E3222" s="217">
        <v>44621</v>
      </c>
      <c r="F3222">
        <v>4897.33277000001</v>
      </c>
      <c r="G3222" s="227" t="s">
        <v>98</v>
      </c>
    </row>
    <row r="3223" spans="1:7">
      <c r="A3223" s="216">
        <v>44621</v>
      </c>
      <c r="B3223" t="s">
        <v>45</v>
      </c>
      <c r="C3223">
        <v>15</v>
      </c>
      <c r="D3223" t="s">
        <v>437</v>
      </c>
      <c r="E3223" s="217">
        <v>44621</v>
      </c>
      <c r="F3223">
        <v>3047.165</v>
      </c>
      <c r="G3223" s="227" t="s">
        <v>94</v>
      </c>
    </row>
    <row r="3224" spans="1:7">
      <c r="A3224" s="216">
        <v>44621</v>
      </c>
      <c r="B3224" t="s">
        <v>45</v>
      </c>
      <c r="C3224">
        <v>15</v>
      </c>
      <c r="D3224" t="s">
        <v>437</v>
      </c>
      <c r="E3224" s="217">
        <v>44621</v>
      </c>
      <c r="F3224">
        <v>5204.3797599999998</v>
      </c>
      <c r="G3224" s="227" t="s">
        <v>112</v>
      </c>
    </row>
    <row r="3225" spans="1:7">
      <c r="A3225" s="216">
        <v>44621</v>
      </c>
      <c r="B3225" t="s">
        <v>45</v>
      </c>
      <c r="C3225">
        <v>15</v>
      </c>
      <c r="D3225" t="s">
        <v>437</v>
      </c>
      <c r="E3225" s="217">
        <v>44621</v>
      </c>
      <c r="F3225">
        <v>52709.488490000003</v>
      </c>
      <c r="G3225" s="227" t="s">
        <v>434</v>
      </c>
    </row>
    <row r="3226" spans="1:7">
      <c r="A3226" s="216">
        <v>44621</v>
      </c>
      <c r="B3226" t="s">
        <v>45</v>
      </c>
      <c r="C3226">
        <v>58</v>
      </c>
      <c r="D3226" t="s">
        <v>1167</v>
      </c>
      <c r="E3226" s="217">
        <v>44621</v>
      </c>
      <c r="F3226">
        <v>0</v>
      </c>
      <c r="G3226" s="227" t="s">
        <v>80</v>
      </c>
    </row>
    <row r="3227" spans="1:7">
      <c r="A3227" s="216">
        <v>44621</v>
      </c>
      <c r="B3227" t="s">
        <v>45</v>
      </c>
      <c r="C3227">
        <v>58</v>
      </c>
      <c r="D3227" t="s">
        <v>1167</v>
      </c>
      <c r="E3227" s="217">
        <v>44621</v>
      </c>
      <c r="F3227">
        <v>0</v>
      </c>
      <c r="G3227" s="227" t="s">
        <v>116</v>
      </c>
    </row>
    <row r="3228" spans="1:7">
      <c r="A3228" s="216">
        <v>44621</v>
      </c>
      <c r="B3228" t="s">
        <v>45</v>
      </c>
      <c r="C3228">
        <v>58</v>
      </c>
      <c r="D3228" t="s">
        <v>1167</v>
      </c>
      <c r="E3228" s="217">
        <v>44621</v>
      </c>
      <c r="F3228">
        <v>0</v>
      </c>
      <c r="G3228" s="227" t="s">
        <v>107</v>
      </c>
    </row>
    <row r="3229" spans="1:7">
      <c r="A3229" s="216">
        <v>44621</v>
      </c>
      <c r="B3229" t="s">
        <v>45</v>
      </c>
      <c r="C3229">
        <v>58</v>
      </c>
      <c r="D3229" t="s">
        <v>1167</v>
      </c>
      <c r="E3229" s="217">
        <v>44621</v>
      </c>
      <c r="F3229">
        <v>0</v>
      </c>
      <c r="G3229" s="227" t="s">
        <v>102</v>
      </c>
    </row>
    <row r="3230" spans="1:7">
      <c r="A3230" s="216">
        <v>44621</v>
      </c>
      <c r="B3230" t="s">
        <v>45</v>
      </c>
      <c r="C3230">
        <v>58</v>
      </c>
      <c r="D3230" t="s">
        <v>1167</v>
      </c>
      <c r="E3230" s="217">
        <v>44621</v>
      </c>
      <c r="F3230">
        <v>0</v>
      </c>
      <c r="G3230" s="227" t="s">
        <v>85</v>
      </c>
    </row>
    <row r="3231" spans="1:7">
      <c r="A3231" s="216">
        <v>44621</v>
      </c>
      <c r="B3231" t="s">
        <v>45</v>
      </c>
      <c r="C3231">
        <v>58</v>
      </c>
      <c r="D3231" t="s">
        <v>1167</v>
      </c>
      <c r="E3231" s="217">
        <v>44621</v>
      </c>
      <c r="F3231">
        <v>0</v>
      </c>
      <c r="G3231" s="227" t="s">
        <v>129</v>
      </c>
    </row>
    <row r="3232" spans="1:7">
      <c r="A3232" s="216">
        <v>44621</v>
      </c>
      <c r="B3232" t="s">
        <v>45</v>
      </c>
      <c r="C3232">
        <v>58</v>
      </c>
      <c r="D3232" t="s">
        <v>1167</v>
      </c>
      <c r="E3232" s="217">
        <v>44621</v>
      </c>
      <c r="F3232">
        <v>0</v>
      </c>
      <c r="G3232" s="227" t="s">
        <v>125</v>
      </c>
    </row>
    <row r="3233" spans="1:7">
      <c r="A3233" s="216">
        <v>44621</v>
      </c>
      <c r="B3233" t="s">
        <v>45</v>
      </c>
      <c r="C3233">
        <v>58</v>
      </c>
      <c r="D3233" t="s">
        <v>1167</v>
      </c>
      <c r="E3233" s="217">
        <v>44621</v>
      </c>
      <c r="F3233">
        <v>0</v>
      </c>
      <c r="G3233" s="227" t="s">
        <v>121</v>
      </c>
    </row>
    <row r="3234" spans="1:7">
      <c r="A3234" s="216">
        <v>44621</v>
      </c>
      <c r="B3234" t="s">
        <v>45</v>
      </c>
      <c r="C3234">
        <v>58</v>
      </c>
      <c r="D3234" t="s">
        <v>1167</v>
      </c>
      <c r="E3234" s="217">
        <v>44621</v>
      </c>
      <c r="F3234">
        <v>0</v>
      </c>
      <c r="G3234" s="227" t="s">
        <v>90</v>
      </c>
    </row>
    <row r="3235" spans="1:7">
      <c r="A3235" s="216">
        <v>44621</v>
      </c>
      <c r="B3235" t="s">
        <v>45</v>
      </c>
      <c r="C3235">
        <v>58</v>
      </c>
      <c r="D3235" t="s">
        <v>1167</v>
      </c>
      <c r="E3235" s="217">
        <v>44621</v>
      </c>
      <c r="F3235">
        <v>0</v>
      </c>
      <c r="G3235" s="227" t="s">
        <v>98</v>
      </c>
    </row>
    <row r="3236" spans="1:7">
      <c r="A3236" s="216">
        <v>44621</v>
      </c>
      <c r="B3236" t="s">
        <v>45</v>
      </c>
      <c r="C3236">
        <v>58</v>
      </c>
      <c r="D3236" t="s">
        <v>1167</v>
      </c>
      <c r="E3236" s="217">
        <v>44621</v>
      </c>
      <c r="F3236">
        <v>0</v>
      </c>
      <c r="G3236" s="227" t="s">
        <v>94</v>
      </c>
    </row>
    <row r="3237" spans="1:7">
      <c r="A3237" s="216">
        <v>44621</v>
      </c>
      <c r="B3237" t="s">
        <v>45</v>
      </c>
      <c r="C3237">
        <v>58</v>
      </c>
      <c r="D3237" t="s">
        <v>1167</v>
      </c>
      <c r="E3237" s="217">
        <v>44621</v>
      </c>
      <c r="F3237">
        <v>0</v>
      </c>
      <c r="G3237" s="227" t="s">
        <v>112</v>
      </c>
    </row>
    <row r="3238" spans="1:7">
      <c r="A3238" s="216">
        <v>44621</v>
      </c>
      <c r="B3238" t="s">
        <v>45</v>
      </c>
      <c r="C3238">
        <v>58</v>
      </c>
      <c r="D3238" t="s">
        <v>1167</v>
      </c>
      <c r="E3238" s="217">
        <v>44621</v>
      </c>
      <c r="F3238">
        <v>0</v>
      </c>
      <c r="G3238" s="227" t="s">
        <v>434</v>
      </c>
    </row>
    <row r="3239" spans="1:7">
      <c r="A3239" s="216">
        <v>44621</v>
      </c>
      <c r="B3239" t="s">
        <v>52</v>
      </c>
      <c r="C3239">
        <v>7</v>
      </c>
      <c r="D3239" t="s">
        <v>442</v>
      </c>
      <c r="E3239" s="217">
        <v>44621</v>
      </c>
      <c r="F3239">
        <v>8989</v>
      </c>
      <c r="G3239" s="227" t="s">
        <v>80</v>
      </c>
    </row>
    <row r="3240" spans="1:7">
      <c r="A3240" s="216">
        <v>44621</v>
      </c>
      <c r="B3240" t="s">
        <v>52</v>
      </c>
      <c r="C3240">
        <v>7</v>
      </c>
      <c r="D3240" t="s">
        <v>442</v>
      </c>
      <c r="E3240" s="217">
        <v>44621</v>
      </c>
      <c r="F3240">
        <v>9597</v>
      </c>
      <c r="G3240" s="227" t="s">
        <v>116</v>
      </c>
    </row>
    <row r="3241" spans="1:7">
      <c r="A3241" s="216">
        <v>44621</v>
      </c>
      <c r="B3241" t="s">
        <v>52</v>
      </c>
      <c r="C3241">
        <v>7</v>
      </c>
      <c r="D3241" t="s">
        <v>442</v>
      </c>
      <c r="E3241" s="217">
        <v>44621</v>
      </c>
      <c r="F3241">
        <v>9475</v>
      </c>
      <c r="G3241" s="227" t="s">
        <v>107</v>
      </c>
    </row>
    <row r="3242" spans="1:7">
      <c r="A3242" s="216">
        <v>44621</v>
      </c>
      <c r="B3242" t="s">
        <v>52</v>
      </c>
      <c r="C3242">
        <v>7</v>
      </c>
      <c r="D3242" t="s">
        <v>442</v>
      </c>
      <c r="E3242" s="217">
        <v>44621</v>
      </c>
      <c r="F3242">
        <v>10185</v>
      </c>
      <c r="G3242" s="227" t="s">
        <v>102</v>
      </c>
    </row>
    <row r="3243" spans="1:7">
      <c r="A3243" s="216">
        <v>44621</v>
      </c>
      <c r="B3243" t="s">
        <v>52</v>
      </c>
      <c r="C3243">
        <v>7</v>
      </c>
      <c r="D3243" t="s">
        <v>442</v>
      </c>
      <c r="E3243" s="217">
        <v>44621</v>
      </c>
      <c r="F3243">
        <v>9863</v>
      </c>
      <c r="G3243" s="227" t="s">
        <v>85</v>
      </c>
    </row>
    <row r="3244" spans="1:7">
      <c r="A3244" s="216">
        <v>44621</v>
      </c>
      <c r="B3244" t="s">
        <v>52</v>
      </c>
      <c r="C3244">
        <v>7</v>
      </c>
      <c r="D3244" t="s">
        <v>442</v>
      </c>
      <c r="E3244" s="217">
        <v>44621</v>
      </c>
      <c r="F3244">
        <v>11207</v>
      </c>
      <c r="G3244" s="227" t="s">
        <v>129</v>
      </c>
    </row>
    <row r="3245" spans="1:7">
      <c r="A3245" s="216">
        <v>44621</v>
      </c>
      <c r="B3245" t="s">
        <v>52</v>
      </c>
      <c r="C3245">
        <v>7</v>
      </c>
      <c r="D3245" t="s">
        <v>442</v>
      </c>
      <c r="E3245" s="217">
        <v>44621</v>
      </c>
      <c r="F3245">
        <v>10306</v>
      </c>
      <c r="G3245" s="227" t="s">
        <v>125</v>
      </c>
    </row>
    <row r="3246" spans="1:7">
      <c r="A3246" s="216">
        <v>44621</v>
      </c>
      <c r="B3246" t="s">
        <v>52</v>
      </c>
      <c r="C3246">
        <v>7</v>
      </c>
      <c r="D3246" t="s">
        <v>442</v>
      </c>
      <c r="E3246" s="217">
        <v>44621</v>
      </c>
      <c r="F3246">
        <v>11202</v>
      </c>
      <c r="G3246" s="227" t="s">
        <v>121</v>
      </c>
    </row>
    <row r="3247" spans="1:7">
      <c r="A3247" s="216">
        <v>44621</v>
      </c>
      <c r="B3247" t="s">
        <v>52</v>
      </c>
      <c r="C3247">
        <v>7</v>
      </c>
      <c r="D3247" t="s">
        <v>442</v>
      </c>
      <c r="E3247" s="217">
        <v>44621</v>
      </c>
      <c r="F3247">
        <v>11715</v>
      </c>
      <c r="G3247" s="227" t="s">
        <v>90</v>
      </c>
    </row>
    <row r="3248" spans="1:7">
      <c r="A3248" s="216">
        <v>44621</v>
      </c>
      <c r="B3248" t="s">
        <v>52</v>
      </c>
      <c r="C3248">
        <v>7</v>
      </c>
      <c r="D3248" t="s">
        <v>442</v>
      </c>
      <c r="E3248" s="217">
        <v>44621</v>
      </c>
      <c r="F3248">
        <v>10337</v>
      </c>
      <c r="G3248" s="227" t="s">
        <v>98</v>
      </c>
    </row>
    <row r="3249" spans="1:7">
      <c r="A3249" s="216">
        <v>44621</v>
      </c>
      <c r="B3249" t="s">
        <v>52</v>
      </c>
      <c r="C3249">
        <v>7</v>
      </c>
      <c r="D3249" t="s">
        <v>442</v>
      </c>
      <c r="E3249" s="217">
        <v>44621</v>
      </c>
      <c r="F3249">
        <v>10181</v>
      </c>
      <c r="G3249" s="227" t="s">
        <v>94</v>
      </c>
    </row>
    <row r="3250" spans="1:7">
      <c r="A3250" s="216">
        <v>44621</v>
      </c>
      <c r="B3250" t="s">
        <v>52</v>
      </c>
      <c r="C3250">
        <v>7</v>
      </c>
      <c r="D3250" t="s">
        <v>442</v>
      </c>
      <c r="E3250" s="217">
        <v>44621</v>
      </c>
      <c r="F3250">
        <v>18011</v>
      </c>
      <c r="G3250" s="227" t="s">
        <v>112</v>
      </c>
    </row>
    <row r="3251" spans="1:7">
      <c r="A3251" s="216">
        <v>44621</v>
      </c>
      <c r="B3251" t="s">
        <v>52</v>
      </c>
      <c r="C3251">
        <v>7</v>
      </c>
      <c r="D3251" t="s">
        <v>442</v>
      </c>
      <c r="E3251" s="217">
        <v>44621</v>
      </c>
      <c r="F3251">
        <v>131068</v>
      </c>
      <c r="G3251" s="227" t="s">
        <v>434</v>
      </c>
    </row>
    <row r="3252" spans="1:7">
      <c r="A3252" s="216">
        <v>44621</v>
      </c>
      <c r="B3252" t="s">
        <v>52</v>
      </c>
      <c r="C3252">
        <v>8</v>
      </c>
      <c r="D3252" t="s">
        <v>451</v>
      </c>
      <c r="E3252" s="217">
        <v>44621</v>
      </c>
      <c r="F3252">
        <v>0</v>
      </c>
      <c r="G3252" s="227" t="s">
        <v>80</v>
      </c>
    </row>
    <row r="3253" spans="1:7">
      <c r="A3253" s="216">
        <v>44621</v>
      </c>
      <c r="B3253" t="s">
        <v>52</v>
      </c>
      <c r="C3253">
        <v>8</v>
      </c>
      <c r="D3253" t="s">
        <v>451</v>
      </c>
      <c r="E3253" s="217">
        <v>44621</v>
      </c>
      <c r="F3253">
        <v>0</v>
      </c>
      <c r="G3253" s="227" t="s">
        <v>116</v>
      </c>
    </row>
    <row r="3254" spans="1:7">
      <c r="A3254" s="216">
        <v>44621</v>
      </c>
      <c r="B3254" t="s">
        <v>52</v>
      </c>
      <c r="C3254">
        <v>8</v>
      </c>
      <c r="D3254" t="s">
        <v>451</v>
      </c>
      <c r="E3254" s="217">
        <v>44621</v>
      </c>
      <c r="F3254">
        <v>0</v>
      </c>
      <c r="G3254" s="227" t="s">
        <v>107</v>
      </c>
    </row>
    <row r="3255" spans="1:7">
      <c r="A3255" s="216">
        <v>44621</v>
      </c>
      <c r="B3255" t="s">
        <v>52</v>
      </c>
      <c r="C3255">
        <v>8</v>
      </c>
      <c r="D3255" t="s">
        <v>451</v>
      </c>
      <c r="E3255" s="217">
        <v>44621</v>
      </c>
      <c r="F3255">
        <v>0</v>
      </c>
      <c r="G3255" s="227" t="s">
        <v>102</v>
      </c>
    </row>
    <row r="3256" spans="1:7">
      <c r="A3256" s="216">
        <v>44621</v>
      </c>
      <c r="B3256" t="s">
        <v>52</v>
      </c>
      <c r="C3256">
        <v>8</v>
      </c>
      <c r="D3256" t="s">
        <v>451</v>
      </c>
      <c r="E3256" s="217">
        <v>44621</v>
      </c>
      <c r="F3256">
        <v>0</v>
      </c>
      <c r="G3256" s="227" t="s">
        <v>85</v>
      </c>
    </row>
    <row r="3257" spans="1:7">
      <c r="A3257" s="216">
        <v>44621</v>
      </c>
      <c r="B3257" t="s">
        <v>52</v>
      </c>
      <c r="C3257">
        <v>8</v>
      </c>
      <c r="D3257" t="s">
        <v>451</v>
      </c>
      <c r="E3257" s="217">
        <v>44621</v>
      </c>
      <c r="F3257">
        <v>0</v>
      </c>
      <c r="G3257" s="227" t="s">
        <v>129</v>
      </c>
    </row>
    <row r="3258" spans="1:7">
      <c r="A3258" s="216">
        <v>44621</v>
      </c>
      <c r="B3258" t="s">
        <v>52</v>
      </c>
      <c r="C3258">
        <v>8</v>
      </c>
      <c r="D3258" t="s">
        <v>451</v>
      </c>
      <c r="E3258" s="217">
        <v>44621</v>
      </c>
      <c r="F3258">
        <v>0</v>
      </c>
      <c r="G3258" s="227" t="s">
        <v>125</v>
      </c>
    </row>
    <row r="3259" spans="1:7">
      <c r="A3259" s="216">
        <v>44621</v>
      </c>
      <c r="B3259" t="s">
        <v>52</v>
      </c>
      <c r="C3259">
        <v>8</v>
      </c>
      <c r="D3259" t="s">
        <v>451</v>
      </c>
      <c r="E3259" s="217">
        <v>44621</v>
      </c>
      <c r="F3259">
        <v>0</v>
      </c>
      <c r="G3259" s="227" t="s">
        <v>121</v>
      </c>
    </row>
    <row r="3260" spans="1:7">
      <c r="A3260" s="216">
        <v>44621</v>
      </c>
      <c r="B3260" t="s">
        <v>52</v>
      </c>
      <c r="C3260">
        <v>8</v>
      </c>
      <c r="D3260" t="s">
        <v>451</v>
      </c>
      <c r="E3260" s="217">
        <v>44621</v>
      </c>
      <c r="F3260">
        <v>0</v>
      </c>
      <c r="G3260" s="227" t="s">
        <v>90</v>
      </c>
    </row>
    <row r="3261" spans="1:7">
      <c r="A3261" s="216">
        <v>44621</v>
      </c>
      <c r="B3261" t="s">
        <v>52</v>
      </c>
      <c r="C3261">
        <v>8</v>
      </c>
      <c r="D3261" t="s">
        <v>451</v>
      </c>
      <c r="E3261" s="217">
        <v>44621</v>
      </c>
      <c r="F3261">
        <v>0</v>
      </c>
      <c r="G3261" s="227" t="s">
        <v>98</v>
      </c>
    </row>
    <row r="3262" spans="1:7">
      <c r="A3262" s="216">
        <v>44621</v>
      </c>
      <c r="B3262" t="s">
        <v>52</v>
      </c>
      <c r="C3262">
        <v>8</v>
      </c>
      <c r="D3262" t="s">
        <v>451</v>
      </c>
      <c r="E3262" s="217">
        <v>44621</v>
      </c>
      <c r="F3262">
        <v>0</v>
      </c>
      <c r="G3262" s="227" t="s">
        <v>94</v>
      </c>
    </row>
    <row r="3263" spans="1:7">
      <c r="A3263" s="216">
        <v>44621</v>
      </c>
      <c r="B3263" t="s">
        <v>52</v>
      </c>
      <c r="C3263">
        <v>8</v>
      </c>
      <c r="D3263" t="s">
        <v>451</v>
      </c>
      <c r="E3263" s="217">
        <v>44621</v>
      </c>
      <c r="F3263">
        <v>0</v>
      </c>
      <c r="G3263" s="227" t="s">
        <v>112</v>
      </c>
    </row>
    <row r="3264" spans="1:7">
      <c r="A3264" s="216">
        <v>44621</v>
      </c>
      <c r="B3264" t="s">
        <v>52</v>
      </c>
      <c r="C3264">
        <v>8</v>
      </c>
      <c r="D3264" t="s">
        <v>451</v>
      </c>
      <c r="E3264" s="217">
        <v>44621</v>
      </c>
      <c r="F3264">
        <v>0</v>
      </c>
      <c r="G3264" s="227" t="s">
        <v>434</v>
      </c>
    </row>
    <row r="3265" spans="1:7">
      <c r="A3265" s="216">
        <v>44621</v>
      </c>
      <c r="B3265" t="s">
        <v>52</v>
      </c>
      <c r="C3265">
        <v>9</v>
      </c>
      <c r="D3265" t="s">
        <v>450</v>
      </c>
      <c r="E3265" s="217">
        <v>44621</v>
      </c>
      <c r="F3265">
        <v>0</v>
      </c>
      <c r="G3265" s="227" t="s">
        <v>80</v>
      </c>
    </row>
    <row r="3266" spans="1:7">
      <c r="A3266" s="216">
        <v>44621</v>
      </c>
      <c r="B3266" t="s">
        <v>52</v>
      </c>
      <c r="C3266">
        <v>9</v>
      </c>
      <c r="D3266" t="s">
        <v>450</v>
      </c>
      <c r="E3266" s="217">
        <v>44621</v>
      </c>
      <c r="F3266">
        <v>0</v>
      </c>
      <c r="G3266" s="227" t="s">
        <v>116</v>
      </c>
    </row>
    <row r="3267" spans="1:7">
      <c r="A3267" s="216">
        <v>44621</v>
      </c>
      <c r="B3267" t="s">
        <v>52</v>
      </c>
      <c r="C3267">
        <v>9</v>
      </c>
      <c r="D3267" t="s">
        <v>450</v>
      </c>
      <c r="E3267" s="217">
        <v>44621</v>
      </c>
      <c r="F3267">
        <v>0</v>
      </c>
      <c r="G3267" s="227" t="s">
        <v>107</v>
      </c>
    </row>
    <row r="3268" spans="1:7">
      <c r="A3268" s="216">
        <v>44621</v>
      </c>
      <c r="B3268" t="s">
        <v>52</v>
      </c>
      <c r="C3268">
        <v>9</v>
      </c>
      <c r="D3268" t="s">
        <v>450</v>
      </c>
      <c r="E3268" s="217">
        <v>44621</v>
      </c>
      <c r="F3268">
        <v>0</v>
      </c>
      <c r="G3268" s="227" t="s">
        <v>102</v>
      </c>
    </row>
    <row r="3269" spans="1:7">
      <c r="A3269" s="216">
        <v>44621</v>
      </c>
      <c r="B3269" t="s">
        <v>52</v>
      </c>
      <c r="C3269">
        <v>9</v>
      </c>
      <c r="D3269" t="s">
        <v>450</v>
      </c>
      <c r="E3269" s="217">
        <v>44621</v>
      </c>
      <c r="F3269">
        <v>0</v>
      </c>
      <c r="G3269" s="227" t="s">
        <v>85</v>
      </c>
    </row>
    <row r="3270" spans="1:7">
      <c r="A3270" s="216">
        <v>44621</v>
      </c>
      <c r="B3270" t="s">
        <v>52</v>
      </c>
      <c r="C3270">
        <v>9</v>
      </c>
      <c r="D3270" t="s">
        <v>450</v>
      </c>
      <c r="E3270" s="217">
        <v>44621</v>
      </c>
      <c r="F3270">
        <v>0</v>
      </c>
      <c r="G3270" s="227" t="s">
        <v>129</v>
      </c>
    </row>
    <row r="3271" spans="1:7">
      <c r="A3271" s="216">
        <v>44621</v>
      </c>
      <c r="B3271" t="s">
        <v>52</v>
      </c>
      <c r="C3271">
        <v>9</v>
      </c>
      <c r="D3271" t="s">
        <v>450</v>
      </c>
      <c r="E3271" s="217">
        <v>44621</v>
      </c>
      <c r="F3271">
        <v>0</v>
      </c>
      <c r="G3271" s="227" t="s">
        <v>125</v>
      </c>
    </row>
    <row r="3272" spans="1:7">
      <c r="A3272" s="216">
        <v>44621</v>
      </c>
      <c r="B3272" t="s">
        <v>52</v>
      </c>
      <c r="C3272">
        <v>9</v>
      </c>
      <c r="D3272" t="s">
        <v>450</v>
      </c>
      <c r="E3272" s="217">
        <v>44621</v>
      </c>
      <c r="F3272">
        <v>0</v>
      </c>
      <c r="G3272" s="227" t="s">
        <v>121</v>
      </c>
    </row>
    <row r="3273" spans="1:7">
      <c r="A3273" s="216">
        <v>44621</v>
      </c>
      <c r="B3273" t="s">
        <v>52</v>
      </c>
      <c r="C3273">
        <v>9</v>
      </c>
      <c r="D3273" t="s">
        <v>450</v>
      </c>
      <c r="E3273" s="217">
        <v>44621</v>
      </c>
      <c r="F3273">
        <v>0</v>
      </c>
      <c r="G3273" s="227" t="s">
        <v>90</v>
      </c>
    </row>
    <row r="3274" spans="1:7">
      <c r="A3274" s="216">
        <v>44621</v>
      </c>
      <c r="B3274" t="s">
        <v>52</v>
      </c>
      <c r="C3274">
        <v>9</v>
      </c>
      <c r="D3274" t="s">
        <v>450</v>
      </c>
      <c r="E3274" s="217">
        <v>44621</v>
      </c>
      <c r="F3274">
        <v>0</v>
      </c>
      <c r="G3274" s="227" t="s">
        <v>98</v>
      </c>
    </row>
    <row r="3275" spans="1:7">
      <c r="A3275" s="216">
        <v>44621</v>
      </c>
      <c r="B3275" t="s">
        <v>52</v>
      </c>
      <c r="C3275">
        <v>9</v>
      </c>
      <c r="D3275" t="s">
        <v>450</v>
      </c>
      <c r="E3275" s="217">
        <v>44621</v>
      </c>
      <c r="F3275">
        <v>0</v>
      </c>
      <c r="G3275" s="227" t="s">
        <v>94</v>
      </c>
    </row>
    <row r="3276" spans="1:7">
      <c r="A3276" s="216">
        <v>44621</v>
      </c>
      <c r="B3276" t="s">
        <v>52</v>
      </c>
      <c r="C3276">
        <v>9</v>
      </c>
      <c r="D3276" t="s">
        <v>450</v>
      </c>
      <c r="E3276" s="217">
        <v>44621</v>
      </c>
      <c r="F3276">
        <v>0</v>
      </c>
      <c r="G3276" s="227" t="s">
        <v>112</v>
      </c>
    </row>
    <row r="3277" spans="1:7">
      <c r="A3277" s="216">
        <v>44621</v>
      </c>
      <c r="B3277" t="s">
        <v>52</v>
      </c>
      <c r="C3277">
        <v>9</v>
      </c>
      <c r="D3277" t="s">
        <v>450</v>
      </c>
      <c r="E3277" s="217">
        <v>44621</v>
      </c>
      <c r="F3277">
        <v>0</v>
      </c>
      <c r="G3277" s="227" t="s">
        <v>434</v>
      </c>
    </row>
    <row r="3278" spans="1:7">
      <c r="A3278" s="216">
        <v>44621</v>
      </c>
      <c r="B3278" t="s">
        <v>52</v>
      </c>
      <c r="C3278">
        <v>10</v>
      </c>
      <c r="D3278" t="s">
        <v>433</v>
      </c>
      <c r="E3278" s="217">
        <v>44621</v>
      </c>
      <c r="F3278">
        <v>3075</v>
      </c>
      <c r="G3278" s="227" t="s">
        <v>80</v>
      </c>
    </row>
    <row r="3279" spans="1:7">
      <c r="A3279" s="216">
        <v>44621</v>
      </c>
      <c r="B3279" t="s">
        <v>52</v>
      </c>
      <c r="C3279">
        <v>10</v>
      </c>
      <c r="D3279" t="s">
        <v>433</v>
      </c>
      <c r="E3279" s="217">
        <v>44621</v>
      </c>
      <c r="F3279">
        <v>3242</v>
      </c>
      <c r="G3279" s="227" t="s">
        <v>116</v>
      </c>
    </row>
    <row r="3280" spans="1:7">
      <c r="A3280" s="216">
        <v>44621</v>
      </c>
      <c r="B3280" t="s">
        <v>52</v>
      </c>
      <c r="C3280">
        <v>10</v>
      </c>
      <c r="D3280" t="s">
        <v>433</v>
      </c>
      <c r="E3280" s="217">
        <v>44621</v>
      </c>
      <c r="F3280">
        <v>3399</v>
      </c>
      <c r="G3280" s="227" t="s">
        <v>107</v>
      </c>
    </row>
    <row r="3281" spans="1:7">
      <c r="A3281" s="216">
        <v>44621</v>
      </c>
      <c r="B3281" t="s">
        <v>52</v>
      </c>
      <c r="C3281">
        <v>10</v>
      </c>
      <c r="D3281" t="s">
        <v>433</v>
      </c>
      <c r="E3281" s="217">
        <v>44621</v>
      </c>
      <c r="F3281">
        <v>3343</v>
      </c>
      <c r="G3281" s="227" t="s">
        <v>102</v>
      </c>
    </row>
    <row r="3282" spans="1:7">
      <c r="A3282" s="216">
        <v>44621</v>
      </c>
      <c r="B3282" t="s">
        <v>52</v>
      </c>
      <c r="C3282">
        <v>10</v>
      </c>
      <c r="D3282" t="s">
        <v>433</v>
      </c>
      <c r="E3282" s="217">
        <v>44621</v>
      </c>
      <c r="F3282">
        <v>3530</v>
      </c>
      <c r="G3282" s="227" t="s">
        <v>85</v>
      </c>
    </row>
    <row r="3283" spans="1:7">
      <c r="A3283" s="216">
        <v>44621</v>
      </c>
      <c r="B3283" t="s">
        <v>52</v>
      </c>
      <c r="C3283">
        <v>10</v>
      </c>
      <c r="D3283" t="s">
        <v>433</v>
      </c>
      <c r="E3283" s="217">
        <v>44621</v>
      </c>
      <c r="F3283">
        <v>3578</v>
      </c>
      <c r="G3283" s="227" t="s">
        <v>129</v>
      </c>
    </row>
    <row r="3284" spans="1:7">
      <c r="A3284" s="216">
        <v>44621</v>
      </c>
      <c r="B3284" t="s">
        <v>52</v>
      </c>
      <c r="C3284">
        <v>10</v>
      </c>
      <c r="D3284" t="s">
        <v>433</v>
      </c>
      <c r="E3284" s="217">
        <v>44621</v>
      </c>
      <c r="F3284">
        <v>3538</v>
      </c>
      <c r="G3284" s="227" t="s">
        <v>125</v>
      </c>
    </row>
    <row r="3285" spans="1:7">
      <c r="A3285" s="216">
        <v>44621</v>
      </c>
      <c r="B3285" t="s">
        <v>52</v>
      </c>
      <c r="C3285">
        <v>10</v>
      </c>
      <c r="D3285" t="s">
        <v>433</v>
      </c>
      <c r="E3285" s="217">
        <v>44621</v>
      </c>
      <c r="F3285">
        <v>3598</v>
      </c>
      <c r="G3285" s="227" t="s">
        <v>121</v>
      </c>
    </row>
    <row r="3286" spans="1:7">
      <c r="A3286" s="216">
        <v>44621</v>
      </c>
      <c r="B3286" t="s">
        <v>52</v>
      </c>
      <c r="C3286">
        <v>10</v>
      </c>
      <c r="D3286" t="s">
        <v>433</v>
      </c>
      <c r="E3286" s="217">
        <v>44621</v>
      </c>
      <c r="F3286">
        <v>3617</v>
      </c>
      <c r="G3286" s="227" t="s">
        <v>90</v>
      </c>
    </row>
    <row r="3287" spans="1:7">
      <c r="A3287" s="216">
        <v>44621</v>
      </c>
      <c r="B3287" t="s">
        <v>52</v>
      </c>
      <c r="C3287">
        <v>10</v>
      </c>
      <c r="D3287" t="s">
        <v>433</v>
      </c>
      <c r="E3287" s="217">
        <v>44621</v>
      </c>
      <c r="F3287">
        <v>3528</v>
      </c>
      <c r="G3287" s="227" t="s">
        <v>98</v>
      </c>
    </row>
    <row r="3288" spans="1:7">
      <c r="A3288" s="216">
        <v>44621</v>
      </c>
      <c r="B3288" t="s">
        <v>52</v>
      </c>
      <c r="C3288">
        <v>10</v>
      </c>
      <c r="D3288" t="s">
        <v>433</v>
      </c>
      <c r="E3288" s="217">
        <v>44621</v>
      </c>
      <c r="F3288">
        <v>3544</v>
      </c>
      <c r="G3288" s="227" t="s">
        <v>94</v>
      </c>
    </row>
    <row r="3289" spans="1:7">
      <c r="A3289" s="216">
        <v>44621</v>
      </c>
      <c r="B3289" t="s">
        <v>52</v>
      </c>
      <c r="C3289">
        <v>10</v>
      </c>
      <c r="D3289" t="s">
        <v>433</v>
      </c>
      <c r="E3289" s="217">
        <v>44621</v>
      </c>
      <c r="F3289">
        <v>6229</v>
      </c>
      <c r="G3289" s="227" t="s">
        <v>112</v>
      </c>
    </row>
    <row r="3290" spans="1:7">
      <c r="A3290" s="216">
        <v>44621</v>
      </c>
      <c r="B3290" t="s">
        <v>52</v>
      </c>
      <c r="C3290">
        <v>10</v>
      </c>
      <c r="D3290" t="s">
        <v>433</v>
      </c>
      <c r="E3290" s="217">
        <v>44621</v>
      </c>
      <c r="F3290">
        <v>44221</v>
      </c>
      <c r="G3290" s="227" t="s">
        <v>434</v>
      </c>
    </row>
    <row r="3291" spans="1:7">
      <c r="A3291" s="216">
        <v>44621</v>
      </c>
      <c r="B3291" t="s">
        <v>52</v>
      </c>
      <c r="C3291">
        <v>11</v>
      </c>
      <c r="D3291" t="s">
        <v>445</v>
      </c>
      <c r="E3291" s="217">
        <v>44621</v>
      </c>
      <c r="F3291">
        <v>4820</v>
      </c>
      <c r="G3291" s="227" t="s">
        <v>80</v>
      </c>
    </row>
    <row r="3292" spans="1:7">
      <c r="A3292" s="216">
        <v>44621</v>
      </c>
      <c r="B3292" t="s">
        <v>52</v>
      </c>
      <c r="C3292">
        <v>11</v>
      </c>
      <c r="D3292" t="s">
        <v>445</v>
      </c>
      <c r="E3292" s="217">
        <v>44621</v>
      </c>
      <c r="F3292">
        <v>5452</v>
      </c>
      <c r="G3292" s="227" t="s">
        <v>116</v>
      </c>
    </row>
    <row r="3293" spans="1:7">
      <c r="A3293" s="216">
        <v>44621</v>
      </c>
      <c r="B3293" t="s">
        <v>52</v>
      </c>
      <c r="C3293">
        <v>11</v>
      </c>
      <c r="D3293" t="s">
        <v>445</v>
      </c>
      <c r="E3293" s="217">
        <v>44621</v>
      </c>
      <c r="F3293">
        <v>5295</v>
      </c>
      <c r="G3293" s="227" t="s">
        <v>107</v>
      </c>
    </row>
    <row r="3294" spans="1:7">
      <c r="A3294" s="216">
        <v>44621</v>
      </c>
      <c r="B3294" t="s">
        <v>52</v>
      </c>
      <c r="C3294">
        <v>11</v>
      </c>
      <c r="D3294" t="s">
        <v>445</v>
      </c>
      <c r="E3294" s="217">
        <v>44621</v>
      </c>
      <c r="F3294">
        <v>5988</v>
      </c>
      <c r="G3294" s="227" t="s">
        <v>102</v>
      </c>
    </row>
    <row r="3295" spans="1:7">
      <c r="A3295" s="216">
        <v>44621</v>
      </c>
      <c r="B3295" t="s">
        <v>52</v>
      </c>
      <c r="C3295">
        <v>11</v>
      </c>
      <c r="D3295" t="s">
        <v>445</v>
      </c>
      <c r="E3295" s="217">
        <v>44621</v>
      </c>
      <c r="F3295">
        <v>5528</v>
      </c>
      <c r="G3295" s="227" t="s">
        <v>85</v>
      </c>
    </row>
    <row r="3296" spans="1:7">
      <c r="A3296" s="216">
        <v>44621</v>
      </c>
      <c r="B3296" t="s">
        <v>52</v>
      </c>
      <c r="C3296">
        <v>11</v>
      </c>
      <c r="D3296" t="s">
        <v>445</v>
      </c>
      <c r="E3296" s="217">
        <v>44621</v>
      </c>
      <c r="F3296">
        <v>6631</v>
      </c>
      <c r="G3296" s="227" t="s">
        <v>129</v>
      </c>
    </row>
    <row r="3297" spans="1:7">
      <c r="A3297" s="216">
        <v>44621</v>
      </c>
      <c r="B3297" t="s">
        <v>52</v>
      </c>
      <c r="C3297">
        <v>11</v>
      </c>
      <c r="D3297" t="s">
        <v>445</v>
      </c>
      <c r="E3297" s="217">
        <v>44621</v>
      </c>
      <c r="F3297">
        <v>5957</v>
      </c>
      <c r="G3297" s="227" t="s">
        <v>125</v>
      </c>
    </row>
    <row r="3298" spans="1:7">
      <c r="A3298" s="216">
        <v>44621</v>
      </c>
      <c r="B3298" t="s">
        <v>52</v>
      </c>
      <c r="C3298">
        <v>11</v>
      </c>
      <c r="D3298" t="s">
        <v>445</v>
      </c>
      <c r="E3298" s="217">
        <v>44621</v>
      </c>
      <c r="F3298">
        <v>6528</v>
      </c>
      <c r="G3298" s="227" t="s">
        <v>121</v>
      </c>
    </row>
    <row r="3299" spans="1:7">
      <c r="A3299" s="216">
        <v>44621</v>
      </c>
      <c r="B3299" t="s">
        <v>52</v>
      </c>
      <c r="C3299">
        <v>11</v>
      </c>
      <c r="D3299" t="s">
        <v>445</v>
      </c>
      <c r="E3299" s="217">
        <v>44621</v>
      </c>
      <c r="F3299">
        <v>7316</v>
      </c>
      <c r="G3299" s="227" t="s">
        <v>90</v>
      </c>
    </row>
    <row r="3300" spans="1:7">
      <c r="A3300" s="216">
        <v>44621</v>
      </c>
      <c r="B3300" t="s">
        <v>52</v>
      </c>
      <c r="C3300">
        <v>11</v>
      </c>
      <c r="D3300" t="s">
        <v>445</v>
      </c>
      <c r="E3300" s="217">
        <v>44621</v>
      </c>
      <c r="F3300">
        <v>6028</v>
      </c>
      <c r="G3300" s="227" t="s">
        <v>98</v>
      </c>
    </row>
    <row r="3301" spans="1:7">
      <c r="A3301" s="216">
        <v>44621</v>
      </c>
      <c r="B3301" t="s">
        <v>52</v>
      </c>
      <c r="C3301">
        <v>11</v>
      </c>
      <c r="D3301" t="s">
        <v>445</v>
      </c>
      <c r="E3301" s="217">
        <v>44621</v>
      </c>
      <c r="F3301">
        <v>5898</v>
      </c>
      <c r="G3301" s="227" t="s">
        <v>94</v>
      </c>
    </row>
    <row r="3302" spans="1:7">
      <c r="A3302" s="216">
        <v>44621</v>
      </c>
      <c r="B3302" t="s">
        <v>52</v>
      </c>
      <c r="C3302">
        <v>11</v>
      </c>
      <c r="D3302" t="s">
        <v>445</v>
      </c>
      <c r="E3302" s="217">
        <v>44621</v>
      </c>
      <c r="F3302">
        <v>11274</v>
      </c>
      <c r="G3302" s="227" t="s">
        <v>112</v>
      </c>
    </row>
    <row r="3303" spans="1:7">
      <c r="A3303" s="216">
        <v>44621</v>
      </c>
      <c r="B3303" t="s">
        <v>52</v>
      </c>
      <c r="C3303">
        <v>11</v>
      </c>
      <c r="D3303" t="s">
        <v>445</v>
      </c>
      <c r="E3303" s="217">
        <v>44621</v>
      </c>
      <c r="F3303">
        <v>76715</v>
      </c>
      <c r="G3303" s="227" t="s">
        <v>434</v>
      </c>
    </row>
    <row r="3304" spans="1:7">
      <c r="A3304" s="216">
        <v>44621</v>
      </c>
      <c r="B3304" t="s">
        <v>52</v>
      </c>
      <c r="C3304">
        <v>12</v>
      </c>
      <c r="D3304" t="s">
        <v>454</v>
      </c>
      <c r="E3304" s="217">
        <v>44621</v>
      </c>
      <c r="F3304">
        <v>0</v>
      </c>
      <c r="G3304" s="227" t="s">
        <v>80</v>
      </c>
    </row>
    <row r="3305" spans="1:7">
      <c r="A3305" s="216">
        <v>44621</v>
      </c>
      <c r="B3305" t="s">
        <v>52</v>
      </c>
      <c r="C3305">
        <v>12</v>
      </c>
      <c r="D3305" t="s">
        <v>454</v>
      </c>
      <c r="E3305" s="217">
        <v>44621</v>
      </c>
      <c r="F3305">
        <v>0</v>
      </c>
      <c r="G3305" s="227" t="s">
        <v>116</v>
      </c>
    </row>
    <row r="3306" spans="1:7">
      <c r="A3306" s="216">
        <v>44621</v>
      </c>
      <c r="B3306" t="s">
        <v>52</v>
      </c>
      <c r="C3306">
        <v>12</v>
      </c>
      <c r="D3306" t="s">
        <v>454</v>
      </c>
      <c r="E3306" s="217">
        <v>44621</v>
      </c>
      <c r="F3306">
        <v>0</v>
      </c>
      <c r="G3306" s="227" t="s">
        <v>107</v>
      </c>
    </row>
    <row r="3307" spans="1:7">
      <c r="A3307" s="216">
        <v>44621</v>
      </c>
      <c r="B3307" t="s">
        <v>52</v>
      </c>
      <c r="C3307">
        <v>12</v>
      </c>
      <c r="D3307" t="s">
        <v>454</v>
      </c>
      <c r="E3307" s="217">
        <v>44621</v>
      </c>
      <c r="F3307">
        <v>0</v>
      </c>
      <c r="G3307" s="227" t="s">
        <v>102</v>
      </c>
    </row>
    <row r="3308" spans="1:7">
      <c r="A3308" s="216">
        <v>44621</v>
      </c>
      <c r="B3308" t="s">
        <v>52</v>
      </c>
      <c r="C3308">
        <v>12</v>
      </c>
      <c r="D3308" t="s">
        <v>454</v>
      </c>
      <c r="E3308" s="217">
        <v>44621</v>
      </c>
      <c r="F3308">
        <v>0</v>
      </c>
      <c r="G3308" s="227" t="s">
        <v>85</v>
      </c>
    </row>
    <row r="3309" spans="1:7">
      <c r="A3309" s="216">
        <v>44621</v>
      </c>
      <c r="B3309" t="s">
        <v>52</v>
      </c>
      <c r="C3309">
        <v>12</v>
      </c>
      <c r="D3309" t="s">
        <v>454</v>
      </c>
      <c r="E3309" s="217">
        <v>44621</v>
      </c>
      <c r="F3309">
        <v>0</v>
      </c>
      <c r="G3309" s="227" t="s">
        <v>129</v>
      </c>
    </row>
    <row r="3310" spans="1:7">
      <c r="A3310" s="216">
        <v>44621</v>
      </c>
      <c r="B3310" t="s">
        <v>52</v>
      </c>
      <c r="C3310">
        <v>12</v>
      </c>
      <c r="D3310" t="s">
        <v>454</v>
      </c>
      <c r="E3310" s="217">
        <v>44621</v>
      </c>
      <c r="F3310">
        <v>0</v>
      </c>
      <c r="G3310" s="227" t="s">
        <v>125</v>
      </c>
    </row>
    <row r="3311" spans="1:7">
      <c r="A3311" s="216">
        <v>44621</v>
      </c>
      <c r="B3311" t="s">
        <v>52</v>
      </c>
      <c r="C3311">
        <v>12</v>
      </c>
      <c r="D3311" t="s">
        <v>454</v>
      </c>
      <c r="E3311" s="217">
        <v>44621</v>
      </c>
      <c r="F3311">
        <v>0</v>
      </c>
      <c r="G3311" s="227" t="s">
        <v>121</v>
      </c>
    </row>
    <row r="3312" spans="1:7">
      <c r="A3312" s="216">
        <v>44621</v>
      </c>
      <c r="B3312" t="s">
        <v>52</v>
      </c>
      <c r="C3312">
        <v>12</v>
      </c>
      <c r="D3312" t="s">
        <v>454</v>
      </c>
      <c r="E3312" s="217">
        <v>44621</v>
      </c>
      <c r="F3312">
        <v>0</v>
      </c>
      <c r="G3312" s="227" t="s">
        <v>90</v>
      </c>
    </row>
    <row r="3313" spans="1:7">
      <c r="A3313" s="216">
        <v>44621</v>
      </c>
      <c r="B3313" t="s">
        <v>52</v>
      </c>
      <c r="C3313">
        <v>12</v>
      </c>
      <c r="D3313" t="s">
        <v>454</v>
      </c>
      <c r="E3313" s="217">
        <v>44621</v>
      </c>
      <c r="F3313">
        <v>0</v>
      </c>
      <c r="G3313" s="227" t="s">
        <v>98</v>
      </c>
    </row>
    <row r="3314" spans="1:7">
      <c r="A3314" s="216">
        <v>44621</v>
      </c>
      <c r="B3314" t="s">
        <v>52</v>
      </c>
      <c r="C3314">
        <v>12</v>
      </c>
      <c r="D3314" t="s">
        <v>454</v>
      </c>
      <c r="E3314" s="217">
        <v>44621</v>
      </c>
      <c r="F3314">
        <v>0</v>
      </c>
      <c r="G3314" s="227" t="s">
        <v>94</v>
      </c>
    </row>
    <row r="3315" spans="1:7">
      <c r="A3315" s="216">
        <v>44621</v>
      </c>
      <c r="B3315" t="s">
        <v>52</v>
      </c>
      <c r="C3315">
        <v>12</v>
      </c>
      <c r="D3315" t="s">
        <v>454</v>
      </c>
      <c r="E3315" s="217">
        <v>44621</v>
      </c>
      <c r="F3315">
        <v>0</v>
      </c>
      <c r="G3315" s="227" t="s">
        <v>112</v>
      </c>
    </row>
    <row r="3316" spans="1:7">
      <c r="A3316" s="216">
        <v>44621</v>
      </c>
      <c r="B3316" t="s">
        <v>52</v>
      </c>
      <c r="C3316">
        <v>12</v>
      </c>
      <c r="D3316" t="s">
        <v>454</v>
      </c>
      <c r="E3316" s="217">
        <v>44621</v>
      </c>
      <c r="F3316">
        <v>0</v>
      </c>
      <c r="G3316" s="227" t="s">
        <v>434</v>
      </c>
    </row>
    <row r="3317" spans="1:7">
      <c r="A3317" s="216">
        <v>44621</v>
      </c>
      <c r="B3317" t="s">
        <v>52</v>
      </c>
      <c r="C3317">
        <v>13</v>
      </c>
      <c r="D3317" t="s">
        <v>441</v>
      </c>
      <c r="E3317" s="217">
        <v>44621</v>
      </c>
      <c r="F3317">
        <v>0</v>
      </c>
      <c r="G3317" s="227" t="s">
        <v>80</v>
      </c>
    </row>
    <row r="3318" spans="1:7">
      <c r="A3318" s="216">
        <v>44621</v>
      </c>
      <c r="B3318" t="s">
        <v>52</v>
      </c>
      <c r="C3318">
        <v>13</v>
      </c>
      <c r="D3318" t="s">
        <v>441</v>
      </c>
      <c r="E3318" s="217">
        <v>44621</v>
      </c>
      <c r="F3318">
        <v>0</v>
      </c>
      <c r="G3318" s="227" t="s">
        <v>116</v>
      </c>
    </row>
    <row r="3319" spans="1:7">
      <c r="A3319" s="216">
        <v>44621</v>
      </c>
      <c r="B3319" t="s">
        <v>52</v>
      </c>
      <c r="C3319">
        <v>13</v>
      </c>
      <c r="D3319" t="s">
        <v>441</v>
      </c>
      <c r="E3319" s="217">
        <v>44621</v>
      </c>
      <c r="F3319">
        <v>0</v>
      </c>
      <c r="G3319" s="227" t="s">
        <v>107</v>
      </c>
    </row>
    <row r="3320" spans="1:7">
      <c r="A3320" s="216">
        <v>44621</v>
      </c>
      <c r="B3320" t="s">
        <v>52</v>
      </c>
      <c r="C3320">
        <v>13</v>
      </c>
      <c r="D3320" t="s">
        <v>441</v>
      </c>
      <c r="E3320" s="217">
        <v>44621</v>
      </c>
      <c r="F3320">
        <v>0</v>
      </c>
      <c r="G3320" s="227" t="s">
        <v>102</v>
      </c>
    </row>
    <row r="3321" spans="1:7">
      <c r="A3321" s="216">
        <v>44621</v>
      </c>
      <c r="B3321" t="s">
        <v>52</v>
      </c>
      <c r="C3321">
        <v>13</v>
      </c>
      <c r="D3321" t="s">
        <v>441</v>
      </c>
      <c r="E3321" s="217">
        <v>44621</v>
      </c>
      <c r="F3321">
        <v>0</v>
      </c>
      <c r="G3321" s="227" t="s">
        <v>85</v>
      </c>
    </row>
    <row r="3322" spans="1:7">
      <c r="A3322" s="216">
        <v>44621</v>
      </c>
      <c r="B3322" t="s">
        <v>52</v>
      </c>
      <c r="C3322">
        <v>13</v>
      </c>
      <c r="D3322" t="s">
        <v>441</v>
      </c>
      <c r="E3322" s="217">
        <v>44621</v>
      </c>
      <c r="F3322">
        <v>0</v>
      </c>
      <c r="G3322" s="227" t="s">
        <v>129</v>
      </c>
    </row>
    <row r="3323" spans="1:7">
      <c r="A3323" s="216">
        <v>44621</v>
      </c>
      <c r="B3323" t="s">
        <v>52</v>
      </c>
      <c r="C3323">
        <v>13</v>
      </c>
      <c r="D3323" t="s">
        <v>441</v>
      </c>
      <c r="E3323" s="217">
        <v>44621</v>
      </c>
      <c r="F3323">
        <v>0</v>
      </c>
      <c r="G3323" s="227" t="s">
        <v>125</v>
      </c>
    </row>
    <row r="3324" spans="1:7">
      <c r="A3324" s="216">
        <v>44621</v>
      </c>
      <c r="B3324" t="s">
        <v>52</v>
      </c>
      <c r="C3324">
        <v>13</v>
      </c>
      <c r="D3324" t="s">
        <v>441</v>
      </c>
      <c r="E3324" s="217">
        <v>44621</v>
      </c>
      <c r="F3324">
        <v>0</v>
      </c>
      <c r="G3324" s="227" t="s">
        <v>121</v>
      </c>
    </row>
    <row r="3325" spans="1:7">
      <c r="A3325" s="216">
        <v>44621</v>
      </c>
      <c r="B3325" t="s">
        <v>52</v>
      </c>
      <c r="C3325">
        <v>13</v>
      </c>
      <c r="D3325" t="s">
        <v>441</v>
      </c>
      <c r="E3325" s="217">
        <v>44621</v>
      </c>
      <c r="F3325">
        <v>0</v>
      </c>
      <c r="G3325" s="227" t="s">
        <v>90</v>
      </c>
    </row>
    <row r="3326" spans="1:7">
      <c r="A3326" s="216">
        <v>44621</v>
      </c>
      <c r="B3326" t="s">
        <v>52</v>
      </c>
      <c r="C3326">
        <v>13</v>
      </c>
      <c r="D3326" t="s">
        <v>441</v>
      </c>
      <c r="E3326" s="217">
        <v>44621</v>
      </c>
      <c r="F3326">
        <v>0</v>
      </c>
      <c r="G3326" s="227" t="s">
        <v>98</v>
      </c>
    </row>
    <row r="3327" spans="1:7">
      <c r="A3327" s="216">
        <v>44621</v>
      </c>
      <c r="B3327" t="s">
        <v>52</v>
      </c>
      <c r="C3327">
        <v>13</v>
      </c>
      <c r="D3327" t="s">
        <v>441</v>
      </c>
      <c r="E3327" s="217">
        <v>44621</v>
      </c>
      <c r="F3327">
        <v>0</v>
      </c>
      <c r="G3327" s="227" t="s">
        <v>94</v>
      </c>
    </row>
    <row r="3328" spans="1:7">
      <c r="A3328" s="216">
        <v>44621</v>
      </c>
      <c r="B3328" t="s">
        <v>52</v>
      </c>
      <c r="C3328">
        <v>13</v>
      </c>
      <c r="D3328" t="s">
        <v>441</v>
      </c>
      <c r="E3328" s="217">
        <v>44621</v>
      </c>
      <c r="F3328">
        <v>0</v>
      </c>
      <c r="G3328" s="227" t="s">
        <v>112</v>
      </c>
    </row>
    <row r="3329" spans="1:7">
      <c r="A3329" s="216">
        <v>44621</v>
      </c>
      <c r="B3329" t="s">
        <v>52</v>
      </c>
      <c r="C3329">
        <v>13</v>
      </c>
      <c r="D3329" t="s">
        <v>441</v>
      </c>
      <c r="E3329" s="217">
        <v>44621</v>
      </c>
      <c r="F3329">
        <v>0</v>
      </c>
      <c r="G3329" s="227" t="s">
        <v>434</v>
      </c>
    </row>
    <row r="3330" spans="1:7">
      <c r="A3330" s="216">
        <v>44621</v>
      </c>
      <c r="B3330" t="s">
        <v>52</v>
      </c>
      <c r="C3330">
        <v>14</v>
      </c>
      <c r="D3330" t="s">
        <v>447</v>
      </c>
      <c r="E3330" s="217">
        <v>44621</v>
      </c>
      <c r="F3330">
        <v>64</v>
      </c>
      <c r="G3330" s="227" t="s">
        <v>80</v>
      </c>
    </row>
    <row r="3331" spans="1:7">
      <c r="A3331" s="216">
        <v>44621</v>
      </c>
      <c r="B3331" t="s">
        <v>52</v>
      </c>
      <c r="C3331">
        <v>14</v>
      </c>
      <c r="D3331" t="s">
        <v>447</v>
      </c>
      <c r="E3331" s="217">
        <v>44621</v>
      </c>
      <c r="F3331">
        <v>76</v>
      </c>
      <c r="G3331" s="227" t="s">
        <v>116</v>
      </c>
    </row>
    <row r="3332" spans="1:7">
      <c r="A3332" s="216">
        <v>44621</v>
      </c>
      <c r="B3332" t="s">
        <v>52</v>
      </c>
      <c r="C3332">
        <v>14</v>
      </c>
      <c r="D3332" t="s">
        <v>447</v>
      </c>
      <c r="E3332" s="217">
        <v>44621</v>
      </c>
      <c r="F3332">
        <v>56</v>
      </c>
      <c r="G3332" s="227" t="s">
        <v>107</v>
      </c>
    </row>
    <row r="3333" spans="1:7">
      <c r="A3333" s="216">
        <v>44621</v>
      </c>
      <c r="B3333" t="s">
        <v>52</v>
      </c>
      <c r="C3333">
        <v>14</v>
      </c>
      <c r="D3333" t="s">
        <v>447</v>
      </c>
      <c r="E3333" s="217">
        <v>44621</v>
      </c>
      <c r="F3333">
        <v>48</v>
      </c>
      <c r="G3333" s="227" t="s">
        <v>102</v>
      </c>
    </row>
    <row r="3334" spans="1:7">
      <c r="A3334" s="216">
        <v>44621</v>
      </c>
      <c r="B3334" t="s">
        <v>52</v>
      </c>
      <c r="C3334">
        <v>14</v>
      </c>
      <c r="D3334" t="s">
        <v>447</v>
      </c>
      <c r="E3334" s="217">
        <v>44621</v>
      </c>
      <c r="F3334">
        <v>64</v>
      </c>
      <c r="G3334" s="227" t="s">
        <v>85</v>
      </c>
    </row>
    <row r="3335" spans="1:7">
      <c r="A3335" s="216">
        <v>44621</v>
      </c>
      <c r="B3335" t="s">
        <v>52</v>
      </c>
      <c r="C3335">
        <v>14</v>
      </c>
      <c r="D3335" t="s">
        <v>447</v>
      </c>
      <c r="E3335" s="217">
        <v>44621</v>
      </c>
      <c r="F3335">
        <v>136</v>
      </c>
      <c r="G3335" s="227" t="s">
        <v>129</v>
      </c>
    </row>
    <row r="3336" spans="1:7">
      <c r="A3336" s="216">
        <v>44621</v>
      </c>
      <c r="B3336" t="s">
        <v>52</v>
      </c>
      <c r="C3336">
        <v>14</v>
      </c>
      <c r="D3336" t="s">
        <v>447</v>
      </c>
      <c r="E3336" s="217">
        <v>44621</v>
      </c>
      <c r="F3336">
        <v>66</v>
      </c>
      <c r="G3336" s="227" t="s">
        <v>125</v>
      </c>
    </row>
    <row r="3337" spans="1:7">
      <c r="A3337" s="216">
        <v>44621</v>
      </c>
      <c r="B3337" t="s">
        <v>52</v>
      </c>
      <c r="C3337">
        <v>14</v>
      </c>
      <c r="D3337" t="s">
        <v>447</v>
      </c>
      <c r="E3337" s="217">
        <v>44621</v>
      </c>
      <c r="F3337">
        <v>64</v>
      </c>
      <c r="G3337" s="227" t="s">
        <v>121</v>
      </c>
    </row>
    <row r="3338" spans="1:7">
      <c r="A3338" s="216">
        <v>44621</v>
      </c>
      <c r="B3338" t="s">
        <v>52</v>
      </c>
      <c r="C3338">
        <v>14</v>
      </c>
      <c r="D3338" t="s">
        <v>447</v>
      </c>
      <c r="E3338" s="217">
        <v>44621</v>
      </c>
      <c r="F3338">
        <v>64</v>
      </c>
      <c r="G3338" s="227" t="s">
        <v>90</v>
      </c>
    </row>
    <row r="3339" spans="1:7">
      <c r="A3339" s="216">
        <v>44621</v>
      </c>
      <c r="B3339" t="s">
        <v>52</v>
      </c>
      <c r="C3339">
        <v>14</v>
      </c>
      <c r="D3339" t="s">
        <v>447</v>
      </c>
      <c r="E3339" s="217">
        <v>44621</v>
      </c>
      <c r="F3339">
        <v>64</v>
      </c>
      <c r="G3339" s="227" t="s">
        <v>98</v>
      </c>
    </row>
    <row r="3340" spans="1:7">
      <c r="A3340" s="216">
        <v>44621</v>
      </c>
      <c r="B3340" t="s">
        <v>52</v>
      </c>
      <c r="C3340">
        <v>14</v>
      </c>
      <c r="D3340" t="s">
        <v>447</v>
      </c>
      <c r="E3340" s="217">
        <v>44621</v>
      </c>
      <c r="F3340">
        <v>64</v>
      </c>
      <c r="G3340" s="227" t="s">
        <v>94</v>
      </c>
    </row>
    <row r="3341" spans="1:7">
      <c r="A3341" s="216">
        <v>44621</v>
      </c>
      <c r="B3341" t="s">
        <v>52</v>
      </c>
      <c r="C3341">
        <v>14</v>
      </c>
      <c r="D3341" t="s">
        <v>447</v>
      </c>
      <c r="E3341" s="217">
        <v>44621</v>
      </c>
      <c r="F3341">
        <v>64</v>
      </c>
      <c r="G3341" s="227" t="s">
        <v>112</v>
      </c>
    </row>
    <row r="3342" spans="1:7">
      <c r="A3342" s="216">
        <v>44621</v>
      </c>
      <c r="B3342" t="s">
        <v>52</v>
      </c>
      <c r="C3342">
        <v>14</v>
      </c>
      <c r="D3342" t="s">
        <v>447</v>
      </c>
      <c r="E3342" s="217">
        <v>44621</v>
      </c>
      <c r="F3342">
        <v>830</v>
      </c>
      <c r="G3342" s="227" t="s">
        <v>434</v>
      </c>
    </row>
    <row r="3343" spans="1:7">
      <c r="A3343" s="216">
        <v>44621</v>
      </c>
      <c r="B3343" t="s">
        <v>52</v>
      </c>
      <c r="C3343">
        <v>15</v>
      </c>
      <c r="D3343" t="s">
        <v>437</v>
      </c>
      <c r="E3343" s="217">
        <v>44621</v>
      </c>
      <c r="F3343">
        <v>0</v>
      </c>
      <c r="G3343" s="227" t="s">
        <v>80</v>
      </c>
    </row>
    <row r="3344" spans="1:7">
      <c r="A3344" s="216">
        <v>44621</v>
      </c>
      <c r="B3344" t="s">
        <v>52</v>
      </c>
      <c r="C3344">
        <v>15</v>
      </c>
      <c r="D3344" t="s">
        <v>437</v>
      </c>
      <c r="E3344" s="217">
        <v>44621</v>
      </c>
      <c r="F3344">
        <v>0</v>
      </c>
      <c r="G3344" s="227" t="s">
        <v>116</v>
      </c>
    </row>
    <row r="3345" spans="1:7">
      <c r="A3345" s="216">
        <v>44621</v>
      </c>
      <c r="B3345" t="s">
        <v>52</v>
      </c>
      <c r="C3345">
        <v>15</v>
      </c>
      <c r="D3345" t="s">
        <v>437</v>
      </c>
      <c r="E3345" s="217">
        <v>44621</v>
      </c>
      <c r="F3345">
        <v>0</v>
      </c>
      <c r="G3345" s="227" t="s">
        <v>107</v>
      </c>
    </row>
    <row r="3346" spans="1:7">
      <c r="A3346" s="216">
        <v>44621</v>
      </c>
      <c r="B3346" t="s">
        <v>52</v>
      </c>
      <c r="C3346">
        <v>15</v>
      </c>
      <c r="D3346" t="s">
        <v>437</v>
      </c>
      <c r="E3346" s="217">
        <v>44621</v>
      </c>
      <c r="F3346">
        <v>0</v>
      </c>
      <c r="G3346" s="227" t="s">
        <v>102</v>
      </c>
    </row>
    <row r="3347" spans="1:7">
      <c r="A3347" s="216">
        <v>44621</v>
      </c>
      <c r="B3347" t="s">
        <v>52</v>
      </c>
      <c r="C3347">
        <v>15</v>
      </c>
      <c r="D3347" t="s">
        <v>437</v>
      </c>
      <c r="E3347" s="217">
        <v>44621</v>
      </c>
      <c r="F3347">
        <v>0</v>
      </c>
      <c r="G3347" s="227" t="s">
        <v>85</v>
      </c>
    </row>
    <row r="3348" spans="1:7">
      <c r="A3348" s="216">
        <v>44621</v>
      </c>
      <c r="B3348" t="s">
        <v>52</v>
      </c>
      <c r="C3348">
        <v>15</v>
      </c>
      <c r="D3348" t="s">
        <v>437</v>
      </c>
      <c r="E3348" s="217">
        <v>44621</v>
      </c>
      <c r="F3348">
        <v>0</v>
      </c>
      <c r="G3348" s="227" t="s">
        <v>129</v>
      </c>
    </row>
    <row r="3349" spans="1:7">
      <c r="A3349" s="216">
        <v>44621</v>
      </c>
      <c r="B3349" t="s">
        <v>52</v>
      </c>
      <c r="C3349">
        <v>15</v>
      </c>
      <c r="D3349" t="s">
        <v>437</v>
      </c>
      <c r="E3349" s="217">
        <v>44621</v>
      </c>
      <c r="F3349">
        <v>0</v>
      </c>
      <c r="G3349" s="227" t="s">
        <v>125</v>
      </c>
    </row>
    <row r="3350" spans="1:7">
      <c r="A3350" s="216">
        <v>44621</v>
      </c>
      <c r="B3350" t="s">
        <v>52</v>
      </c>
      <c r="C3350">
        <v>15</v>
      </c>
      <c r="D3350" t="s">
        <v>437</v>
      </c>
      <c r="E3350" s="217">
        <v>44621</v>
      </c>
      <c r="F3350">
        <v>0</v>
      </c>
      <c r="G3350" s="227" t="s">
        <v>121</v>
      </c>
    </row>
    <row r="3351" spans="1:7">
      <c r="A3351" s="216">
        <v>44621</v>
      </c>
      <c r="B3351" t="s">
        <v>52</v>
      </c>
      <c r="C3351">
        <v>15</v>
      </c>
      <c r="D3351" t="s">
        <v>437</v>
      </c>
      <c r="E3351" s="217">
        <v>44621</v>
      </c>
      <c r="F3351">
        <v>0</v>
      </c>
      <c r="G3351" s="227" t="s">
        <v>90</v>
      </c>
    </row>
    <row r="3352" spans="1:7">
      <c r="A3352" s="216">
        <v>44621</v>
      </c>
      <c r="B3352" t="s">
        <v>52</v>
      </c>
      <c r="C3352">
        <v>15</v>
      </c>
      <c r="D3352" t="s">
        <v>437</v>
      </c>
      <c r="E3352" s="217">
        <v>44621</v>
      </c>
      <c r="F3352">
        <v>0</v>
      </c>
      <c r="G3352" s="227" t="s">
        <v>98</v>
      </c>
    </row>
    <row r="3353" spans="1:7">
      <c r="A3353" s="216">
        <v>44621</v>
      </c>
      <c r="B3353" t="s">
        <v>52</v>
      </c>
      <c r="C3353">
        <v>15</v>
      </c>
      <c r="D3353" t="s">
        <v>437</v>
      </c>
      <c r="E3353" s="217">
        <v>44621</v>
      </c>
      <c r="F3353">
        <v>0</v>
      </c>
      <c r="G3353" s="227" t="s">
        <v>94</v>
      </c>
    </row>
    <row r="3354" spans="1:7">
      <c r="A3354" s="216">
        <v>44621</v>
      </c>
      <c r="B3354" t="s">
        <v>52</v>
      </c>
      <c r="C3354">
        <v>15</v>
      </c>
      <c r="D3354" t="s">
        <v>437</v>
      </c>
      <c r="E3354" s="217">
        <v>44621</v>
      </c>
      <c r="F3354">
        <v>0</v>
      </c>
      <c r="G3354" s="227" t="s">
        <v>112</v>
      </c>
    </row>
    <row r="3355" spans="1:7">
      <c r="A3355" s="216">
        <v>44621</v>
      </c>
      <c r="B3355" t="s">
        <v>52</v>
      </c>
      <c r="C3355">
        <v>15</v>
      </c>
      <c r="D3355" t="s">
        <v>437</v>
      </c>
      <c r="E3355" s="217">
        <v>44621</v>
      </c>
      <c r="F3355">
        <v>0</v>
      </c>
      <c r="G3355" s="227" t="s">
        <v>434</v>
      </c>
    </row>
    <row r="3356" spans="1:7">
      <c r="A3356" s="216">
        <v>44621</v>
      </c>
      <c r="B3356" t="s">
        <v>46</v>
      </c>
      <c r="C3356">
        <v>7</v>
      </c>
      <c r="D3356" t="s">
        <v>442</v>
      </c>
      <c r="E3356" s="217">
        <v>44621</v>
      </c>
      <c r="F3356">
        <v>82184</v>
      </c>
      <c r="G3356" s="227" t="s">
        <v>80</v>
      </c>
    </row>
    <row r="3357" spans="1:7">
      <c r="A3357" s="216">
        <v>44621</v>
      </c>
      <c r="B3357" t="s">
        <v>46</v>
      </c>
      <c r="C3357">
        <v>7</v>
      </c>
      <c r="D3357" t="s">
        <v>442</v>
      </c>
      <c r="E3357" s="217">
        <v>44621</v>
      </c>
      <c r="F3357">
        <v>88374</v>
      </c>
      <c r="G3357" s="227" t="s">
        <v>116</v>
      </c>
    </row>
    <row r="3358" spans="1:7">
      <c r="A3358" s="216">
        <v>44621</v>
      </c>
      <c r="B3358" t="s">
        <v>46</v>
      </c>
      <c r="C3358">
        <v>7</v>
      </c>
      <c r="D3358" t="s">
        <v>442</v>
      </c>
      <c r="E3358" s="217">
        <v>44621</v>
      </c>
      <c r="F3358">
        <v>88129</v>
      </c>
      <c r="G3358" s="227" t="s">
        <v>107</v>
      </c>
    </row>
    <row r="3359" spans="1:7">
      <c r="A3359" s="216">
        <v>44621</v>
      </c>
      <c r="B3359" t="s">
        <v>46</v>
      </c>
      <c r="C3359">
        <v>7</v>
      </c>
      <c r="D3359" t="s">
        <v>442</v>
      </c>
      <c r="E3359" s="217">
        <v>44621</v>
      </c>
      <c r="F3359">
        <v>84819.553700000004</v>
      </c>
      <c r="G3359" s="227" t="s">
        <v>102</v>
      </c>
    </row>
    <row r="3360" spans="1:7">
      <c r="A3360" s="216">
        <v>44621</v>
      </c>
      <c r="B3360" t="s">
        <v>46</v>
      </c>
      <c r="C3360">
        <v>7</v>
      </c>
      <c r="D3360" t="s">
        <v>442</v>
      </c>
      <c r="E3360" s="217">
        <v>44621</v>
      </c>
      <c r="F3360">
        <v>90071</v>
      </c>
      <c r="G3360" s="227" t="s">
        <v>85</v>
      </c>
    </row>
    <row r="3361" spans="1:7">
      <c r="A3361" s="216">
        <v>44621</v>
      </c>
      <c r="B3361" t="s">
        <v>46</v>
      </c>
      <c r="C3361">
        <v>7</v>
      </c>
      <c r="D3361" t="s">
        <v>442</v>
      </c>
      <c r="E3361" s="217">
        <v>44621</v>
      </c>
      <c r="F3361">
        <v>95381</v>
      </c>
      <c r="G3361" s="227" t="s">
        <v>129</v>
      </c>
    </row>
    <row r="3362" spans="1:7">
      <c r="A3362" s="216">
        <v>44621</v>
      </c>
      <c r="B3362" t="s">
        <v>46</v>
      </c>
      <c r="C3362">
        <v>7</v>
      </c>
      <c r="D3362" t="s">
        <v>442</v>
      </c>
      <c r="E3362" s="217">
        <v>44621</v>
      </c>
      <c r="F3362">
        <v>90413</v>
      </c>
      <c r="G3362" s="227" t="s">
        <v>125</v>
      </c>
    </row>
    <row r="3363" spans="1:7">
      <c r="A3363" s="216">
        <v>44621</v>
      </c>
      <c r="B3363" t="s">
        <v>46</v>
      </c>
      <c r="C3363">
        <v>7</v>
      </c>
      <c r="D3363" t="s">
        <v>442</v>
      </c>
      <c r="E3363" s="217">
        <v>44621</v>
      </c>
      <c r="F3363">
        <v>92890</v>
      </c>
      <c r="G3363" s="227" t="s">
        <v>121</v>
      </c>
    </row>
    <row r="3364" spans="1:7">
      <c r="A3364" s="216">
        <v>44621</v>
      </c>
      <c r="B3364" t="s">
        <v>46</v>
      </c>
      <c r="C3364">
        <v>7</v>
      </c>
      <c r="D3364" t="s">
        <v>442</v>
      </c>
      <c r="E3364" s="217">
        <v>44621</v>
      </c>
      <c r="F3364">
        <v>102642</v>
      </c>
      <c r="G3364" s="227" t="s">
        <v>90</v>
      </c>
    </row>
    <row r="3365" spans="1:7">
      <c r="A3365" s="216">
        <v>44621</v>
      </c>
      <c r="B3365" t="s">
        <v>46</v>
      </c>
      <c r="C3365">
        <v>7</v>
      </c>
      <c r="D3365" t="s">
        <v>442</v>
      </c>
      <c r="E3365" s="217">
        <v>44621</v>
      </c>
      <c r="F3365">
        <v>99280</v>
      </c>
      <c r="G3365" s="227" t="s">
        <v>98</v>
      </c>
    </row>
    <row r="3366" spans="1:7">
      <c r="A3366" s="216">
        <v>44621</v>
      </c>
      <c r="B3366" t="s">
        <v>46</v>
      </c>
      <c r="C3366">
        <v>7</v>
      </c>
      <c r="D3366" t="s">
        <v>442</v>
      </c>
      <c r="E3366" s="217">
        <v>44621</v>
      </c>
      <c r="F3366">
        <v>92935</v>
      </c>
      <c r="G3366" s="227" t="s">
        <v>94</v>
      </c>
    </row>
    <row r="3367" spans="1:7">
      <c r="A3367" s="216">
        <v>44621</v>
      </c>
      <c r="B3367" t="s">
        <v>46</v>
      </c>
      <c r="C3367">
        <v>7</v>
      </c>
      <c r="D3367" t="s">
        <v>442</v>
      </c>
      <c r="E3367" s="217">
        <v>44621</v>
      </c>
      <c r="F3367">
        <v>132993.484</v>
      </c>
      <c r="G3367" s="227" t="s">
        <v>112</v>
      </c>
    </row>
    <row r="3368" spans="1:7">
      <c r="A3368" s="216">
        <v>44621</v>
      </c>
      <c r="B3368" t="s">
        <v>46</v>
      </c>
      <c r="C3368">
        <v>7</v>
      </c>
      <c r="D3368" t="s">
        <v>442</v>
      </c>
      <c r="E3368" s="217">
        <v>44621</v>
      </c>
      <c r="F3368">
        <v>1140112.0377</v>
      </c>
      <c r="G3368" s="227" t="s">
        <v>434</v>
      </c>
    </row>
    <row r="3369" spans="1:7">
      <c r="A3369" s="216">
        <v>44621</v>
      </c>
      <c r="B3369" t="s">
        <v>46</v>
      </c>
      <c r="C3369">
        <v>8</v>
      </c>
      <c r="D3369" t="s">
        <v>451</v>
      </c>
      <c r="E3369" s="217">
        <v>44621</v>
      </c>
      <c r="F3369">
        <v>10362</v>
      </c>
      <c r="G3369" s="227" t="s">
        <v>80</v>
      </c>
    </row>
    <row r="3370" spans="1:7">
      <c r="A3370" s="216">
        <v>44621</v>
      </c>
      <c r="B3370" t="s">
        <v>46</v>
      </c>
      <c r="C3370">
        <v>8</v>
      </c>
      <c r="D3370" t="s">
        <v>451</v>
      </c>
      <c r="E3370" s="217">
        <v>44621</v>
      </c>
      <c r="F3370">
        <v>10752</v>
      </c>
      <c r="G3370" s="227" t="s">
        <v>116</v>
      </c>
    </row>
    <row r="3371" spans="1:7">
      <c r="A3371" s="216">
        <v>44621</v>
      </c>
      <c r="B3371" t="s">
        <v>46</v>
      </c>
      <c r="C3371">
        <v>8</v>
      </c>
      <c r="D3371" t="s">
        <v>451</v>
      </c>
      <c r="E3371" s="217">
        <v>44621</v>
      </c>
      <c r="F3371">
        <v>11453</v>
      </c>
      <c r="G3371" s="227" t="s">
        <v>107</v>
      </c>
    </row>
    <row r="3372" spans="1:7">
      <c r="A3372" s="216">
        <v>44621</v>
      </c>
      <c r="B3372" t="s">
        <v>46</v>
      </c>
      <c r="C3372">
        <v>8</v>
      </c>
      <c r="D3372" t="s">
        <v>451</v>
      </c>
      <c r="E3372" s="217">
        <v>44621</v>
      </c>
      <c r="F3372">
        <v>10428</v>
      </c>
      <c r="G3372" s="227" t="s">
        <v>102</v>
      </c>
    </row>
    <row r="3373" spans="1:7">
      <c r="A3373" s="216">
        <v>44621</v>
      </c>
      <c r="B3373" t="s">
        <v>46</v>
      </c>
      <c r="C3373">
        <v>8</v>
      </c>
      <c r="D3373" t="s">
        <v>451</v>
      </c>
      <c r="E3373" s="217">
        <v>44621</v>
      </c>
      <c r="F3373">
        <v>10415</v>
      </c>
      <c r="G3373" s="227" t="s">
        <v>85</v>
      </c>
    </row>
    <row r="3374" spans="1:7">
      <c r="A3374" s="216">
        <v>44621</v>
      </c>
      <c r="B3374" t="s">
        <v>46</v>
      </c>
      <c r="C3374">
        <v>8</v>
      </c>
      <c r="D3374" t="s">
        <v>451</v>
      </c>
      <c r="E3374" s="217">
        <v>44621</v>
      </c>
      <c r="F3374">
        <v>10416</v>
      </c>
      <c r="G3374" s="227" t="s">
        <v>129</v>
      </c>
    </row>
    <row r="3375" spans="1:7">
      <c r="A3375" s="216">
        <v>44621</v>
      </c>
      <c r="B3375" t="s">
        <v>46</v>
      </c>
      <c r="C3375">
        <v>8</v>
      </c>
      <c r="D3375" t="s">
        <v>451</v>
      </c>
      <c r="E3375" s="217">
        <v>44621</v>
      </c>
      <c r="F3375">
        <v>9360</v>
      </c>
      <c r="G3375" s="227" t="s">
        <v>125</v>
      </c>
    </row>
    <row r="3376" spans="1:7">
      <c r="A3376" s="216">
        <v>44621</v>
      </c>
      <c r="B3376" t="s">
        <v>46</v>
      </c>
      <c r="C3376">
        <v>8</v>
      </c>
      <c r="D3376" t="s">
        <v>451</v>
      </c>
      <c r="E3376" s="217">
        <v>44621</v>
      </c>
      <c r="F3376">
        <v>10036</v>
      </c>
      <c r="G3376" s="227" t="s">
        <v>121</v>
      </c>
    </row>
    <row r="3377" spans="1:7">
      <c r="A3377" s="216">
        <v>44621</v>
      </c>
      <c r="B3377" t="s">
        <v>46</v>
      </c>
      <c r="C3377">
        <v>8</v>
      </c>
      <c r="D3377" t="s">
        <v>451</v>
      </c>
      <c r="E3377" s="217">
        <v>44621</v>
      </c>
      <c r="F3377">
        <v>12087</v>
      </c>
      <c r="G3377" s="227" t="s">
        <v>90</v>
      </c>
    </row>
    <row r="3378" spans="1:7">
      <c r="A3378" s="216">
        <v>44621</v>
      </c>
      <c r="B3378" t="s">
        <v>46</v>
      </c>
      <c r="C3378">
        <v>8</v>
      </c>
      <c r="D3378" t="s">
        <v>451</v>
      </c>
      <c r="E3378" s="217">
        <v>44621</v>
      </c>
      <c r="F3378">
        <v>9698</v>
      </c>
      <c r="G3378" s="227" t="s">
        <v>98</v>
      </c>
    </row>
    <row r="3379" spans="1:7">
      <c r="A3379" s="216">
        <v>44621</v>
      </c>
      <c r="B3379" t="s">
        <v>46</v>
      </c>
      <c r="C3379">
        <v>8</v>
      </c>
      <c r="D3379" t="s">
        <v>451</v>
      </c>
      <c r="E3379" s="217">
        <v>44621</v>
      </c>
      <c r="F3379">
        <v>9487</v>
      </c>
      <c r="G3379" s="227" t="s">
        <v>94</v>
      </c>
    </row>
    <row r="3380" spans="1:7">
      <c r="A3380" s="216">
        <v>44621</v>
      </c>
      <c r="B3380" t="s">
        <v>46</v>
      </c>
      <c r="C3380">
        <v>8</v>
      </c>
      <c r="D3380" t="s">
        <v>451</v>
      </c>
      <c r="E3380" s="217">
        <v>44621</v>
      </c>
      <c r="F3380">
        <v>14506</v>
      </c>
      <c r="G3380" s="227" t="s">
        <v>112</v>
      </c>
    </row>
    <row r="3381" spans="1:7">
      <c r="A3381" s="216">
        <v>44621</v>
      </c>
      <c r="B3381" t="s">
        <v>46</v>
      </c>
      <c r="C3381">
        <v>8</v>
      </c>
      <c r="D3381" t="s">
        <v>451</v>
      </c>
      <c r="E3381" s="217">
        <v>44621</v>
      </c>
      <c r="F3381">
        <v>129000</v>
      </c>
      <c r="G3381" s="227" t="s">
        <v>434</v>
      </c>
    </row>
    <row r="3382" spans="1:7">
      <c r="A3382" s="216">
        <v>44621</v>
      </c>
      <c r="B3382" t="s">
        <v>46</v>
      </c>
      <c r="C3382">
        <v>9</v>
      </c>
      <c r="D3382" t="s">
        <v>450</v>
      </c>
      <c r="E3382" s="217">
        <v>44621</v>
      </c>
      <c r="F3382">
        <v>6561</v>
      </c>
      <c r="G3382" s="227" t="s">
        <v>80</v>
      </c>
    </row>
    <row r="3383" spans="1:7">
      <c r="A3383" s="216">
        <v>44621</v>
      </c>
      <c r="B3383" t="s">
        <v>46</v>
      </c>
      <c r="C3383">
        <v>9</v>
      </c>
      <c r="D3383" t="s">
        <v>450</v>
      </c>
      <c r="E3383" s="217">
        <v>44621</v>
      </c>
      <c r="F3383">
        <v>6172</v>
      </c>
      <c r="G3383" s="227" t="s">
        <v>116</v>
      </c>
    </row>
    <row r="3384" spans="1:7">
      <c r="A3384" s="216">
        <v>44621</v>
      </c>
      <c r="B3384" t="s">
        <v>46</v>
      </c>
      <c r="C3384">
        <v>9</v>
      </c>
      <c r="D3384" t="s">
        <v>450</v>
      </c>
      <c r="E3384" s="217">
        <v>44621</v>
      </c>
      <c r="F3384">
        <v>7006</v>
      </c>
      <c r="G3384" s="227" t="s">
        <v>107</v>
      </c>
    </row>
    <row r="3385" spans="1:7">
      <c r="A3385" s="216">
        <v>44621</v>
      </c>
      <c r="B3385" t="s">
        <v>46</v>
      </c>
      <c r="C3385">
        <v>9</v>
      </c>
      <c r="D3385" t="s">
        <v>450</v>
      </c>
      <c r="E3385" s="217">
        <v>44621</v>
      </c>
      <c r="F3385">
        <v>6938</v>
      </c>
      <c r="G3385" s="227" t="s">
        <v>102</v>
      </c>
    </row>
    <row r="3386" spans="1:7">
      <c r="A3386" s="216">
        <v>44621</v>
      </c>
      <c r="B3386" t="s">
        <v>46</v>
      </c>
      <c r="C3386">
        <v>9</v>
      </c>
      <c r="D3386" t="s">
        <v>450</v>
      </c>
      <c r="E3386" s="217">
        <v>44621</v>
      </c>
      <c r="F3386">
        <v>6473</v>
      </c>
      <c r="G3386" s="227" t="s">
        <v>85</v>
      </c>
    </row>
    <row r="3387" spans="1:7">
      <c r="A3387" s="216">
        <v>44621</v>
      </c>
      <c r="B3387" t="s">
        <v>46</v>
      </c>
      <c r="C3387">
        <v>9</v>
      </c>
      <c r="D3387" t="s">
        <v>450</v>
      </c>
      <c r="E3387" s="217">
        <v>44621</v>
      </c>
      <c r="F3387">
        <v>6829</v>
      </c>
      <c r="G3387" s="227" t="s">
        <v>129</v>
      </c>
    </row>
    <row r="3388" spans="1:7">
      <c r="A3388" s="216">
        <v>44621</v>
      </c>
      <c r="B3388" t="s">
        <v>46</v>
      </c>
      <c r="C3388">
        <v>9</v>
      </c>
      <c r="D3388" t="s">
        <v>450</v>
      </c>
      <c r="E3388" s="217">
        <v>44621</v>
      </c>
      <c r="F3388">
        <v>7030</v>
      </c>
      <c r="G3388" s="227" t="s">
        <v>125</v>
      </c>
    </row>
    <row r="3389" spans="1:7">
      <c r="A3389" s="216">
        <v>44621</v>
      </c>
      <c r="B3389" t="s">
        <v>46</v>
      </c>
      <c r="C3389">
        <v>9</v>
      </c>
      <c r="D3389" t="s">
        <v>450</v>
      </c>
      <c r="E3389" s="217">
        <v>44621</v>
      </c>
      <c r="F3389">
        <v>6850</v>
      </c>
      <c r="G3389" s="227" t="s">
        <v>121</v>
      </c>
    </row>
    <row r="3390" spans="1:7">
      <c r="A3390" s="216">
        <v>44621</v>
      </c>
      <c r="B3390" t="s">
        <v>46</v>
      </c>
      <c r="C3390">
        <v>9</v>
      </c>
      <c r="D3390" t="s">
        <v>450</v>
      </c>
      <c r="E3390" s="217">
        <v>44621</v>
      </c>
      <c r="F3390">
        <v>6859</v>
      </c>
      <c r="G3390" s="227" t="s">
        <v>90</v>
      </c>
    </row>
    <row r="3391" spans="1:7">
      <c r="A3391" s="216">
        <v>44621</v>
      </c>
      <c r="B3391" t="s">
        <v>46</v>
      </c>
      <c r="C3391">
        <v>9</v>
      </c>
      <c r="D3391" t="s">
        <v>450</v>
      </c>
      <c r="E3391" s="217">
        <v>44621</v>
      </c>
      <c r="F3391">
        <v>6276</v>
      </c>
      <c r="G3391" s="227" t="s">
        <v>98</v>
      </c>
    </row>
    <row r="3392" spans="1:7">
      <c r="A3392" s="216">
        <v>44621</v>
      </c>
      <c r="B3392" t="s">
        <v>46</v>
      </c>
      <c r="C3392">
        <v>9</v>
      </c>
      <c r="D3392" t="s">
        <v>450</v>
      </c>
      <c r="E3392" s="217">
        <v>44621</v>
      </c>
      <c r="F3392">
        <v>6078</v>
      </c>
      <c r="G3392" s="227" t="s">
        <v>94</v>
      </c>
    </row>
    <row r="3393" spans="1:7">
      <c r="A3393" s="216">
        <v>44621</v>
      </c>
      <c r="B3393" t="s">
        <v>46</v>
      </c>
      <c r="C3393">
        <v>9</v>
      </c>
      <c r="D3393" t="s">
        <v>450</v>
      </c>
      <c r="E3393" s="217">
        <v>44621</v>
      </c>
      <c r="F3393">
        <v>6644</v>
      </c>
      <c r="G3393" s="227" t="s">
        <v>112</v>
      </c>
    </row>
    <row r="3394" spans="1:7">
      <c r="A3394" s="216">
        <v>44621</v>
      </c>
      <c r="B3394" t="s">
        <v>46</v>
      </c>
      <c r="C3394">
        <v>9</v>
      </c>
      <c r="D3394" t="s">
        <v>450</v>
      </c>
      <c r="E3394" s="217">
        <v>44621</v>
      </c>
      <c r="F3394">
        <v>79716</v>
      </c>
      <c r="G3394" s="227" t="s">
        <v>434</v>
      </c>
    </row>
    <row r="3395" spans="1:7">
      <c r="A3395" s="216">
        <v>44621</v>
      </c>
      <c r="B3395" t="s">
        <v>46</v>
      </c>
      <c r="C3395">
        <v>10</v>
      </c>
      <c r="D3395" t="s">
        <v>433</v>
      </c>
      <c r="E3395" s="217">
        <v>44621</v>
      </c>
      <c r="F3395">
        <v>39404</v>
      </c>
      <c r="G3395" s="227" t="s">
        <v>80</v>
      </c>
    </row>
    <row r="3396" spans="1:7">
      <c r="A3396" s="216">
        <v>44621</v>
      </c>
      <c r="B3396" t="s">
        <v>46</v>
      </c>
      <c r="C3396">
        <v>10</v>
      </c>
      <c r="D3396" t="s">
        <v>433</v>
      </c>
      <c r="E3396" s="217">
        <v>44621</v>
      </c>
      <c r="F3396">
        <v>40234</v>
      </c>
      <c r="G3396" s="227" t="s">
        <v>116</v>
      </c>
    </row>
    <row r="3397" spans="1:7">
      <c r="A3397" s="216">
        <v>44621</v>
      </c>
      <c r="B3397" t="s">
        <v>46</v>
      </c>
      <c r="C3397">
        <v>10</v>
      </c>
      <c r="D3397" t="s">
        <v>433</v>
      </c>
      <c r="E3397" s="217">
        <v>44621</v>
      </c>
      <c r="F3397">
        <v>39868</v>
      </c>
      <c r="G3397" s="227" t="s">
        <v>107</v>
      </c>
    </row>
    <row r="3398" spans="1:7">
      <c r="A3398" s="216">
        <v>44621</v>
      </c>
      <c r="B3398" t="s">
        <v>46</v>
      </c>
      <c r="C3398">
        <v>10</v>
      </c>
      <c r="D3398" t="s">
        <v>433</v>
      </c>
      <c r="E3398" s="217">
        <v>44621</v>
      </c>
      <c r="F3398">
        <v>40045</v>
      </c>
      <c r="G3398" s="227" t="s">
        <v>102</v>
      </c>
    </row>
    <row r="3399" spans="1:7">
      <c r="A3399" s="216">
        <v>44621</v>
      </c>
      <c r="B3399" t="s">
        <v>46</v>
      </c>
      <c r="C3399">
        <v>10</v>
      </c>
      <c r="D3399" t="s">
        <v>433</v>
      </c>
      <c r="E3399" s="217">
        <v>44621</v>
      </c>
      <c r="F3399">
        <v>42506</v>
      </c>
      <c r="G3399" s="227" t="s">
        <v>85</v>
      </c>
    </row>
    <row r="3400" spans="1:7">
      <c r="A3400" s="216">
        <v>44621</v>
      </c>
      <c r="B3400" t="s">
        <v>46</v>
      </c>
      <c r="C3400">
        <v>10</v>
      </c>
      <c r="D3400" t="s">
        <v>433</v>
      </c>
      <c r="E3400" s="217">
        <v>44621</v>
      </c>
      <c r="F3400">
        <v>46350</v>
      </c>
      <c r="G3400" s="227" t="s">
        <v>129</v>
      </c>
    </row>
    <row r="3401" spans="1:7">
      <c r="A3401" s="216">
        <v>44621</v>
      </c>
      <c r="B3401" t="s">
        <v>46</v>
      </c>
      <c r="C3401">
        <v>10</v>
      </c>
      <c r="D3401" t="s">
        <v>433</v>
      </c>
      <c r="E3401" s="217">
        <v>44621</v>
      </c>
      <c r="F3401">
        <v>42567</v>
      </c>
      <c r="G3401" s="227" t="s">
        <v>125</v>
      </c>
    </row>
    <row r="3402" spans="1:7">
      <c r="A3402" s="216">
        <v>44621</v>
      </c>
      <c r="B3402" t="s">
        <v>46</v>
      </c>
      <c r="C3402">
        <v>10</v>
      </c>
      <c r="D3402" t="s">
        <v>433</v>
      </c>
      <c r="E3402" s="217">
        <v>44621</v>
      </c>
      <c r="F3402">
        <v>43570</v>
      </c>
      <c r="G3402" s="227" t="s">
        <v>121</v>
      </c>
    </row>
    <row r="3403" spans="1:7">
      <c r="A3403" s="216">
        <v>44621</v>
      </c>
      <c r="B3403" t="s">
        <v>46</v>
      </c>
      <c r="C3403">
        <v>10</v>
      </c>
      <c r="D3403" t="s">
        <v>433</v>
      </c>
      <c r="E3403" s="217">
        <v>44621</v>
      </c>
      <c r="F3403">
        <v>42682</v>
      </c>
      <c r="G3403" s="227" t="s">
        <v>90</v>
      </c>
    </row>
    <row r="3404" spans="1:7">
      <c r="A3404" s="216">
        <v>44621</v>
      </c>
      <c r="B3404" t="s">
        <v>46</v>
      </c>
      <c r="C3404">
        <v>10</v>
      </c>
      <c r="D3404" t="s">
        <v>433</v>
      </c>
      <c r="E3404" s="217">
        <v>44621</v>
      </c>
      <c r="F3404">
        <v>44191</v>
      </c>
      <c r="G3404" s="227" t="s">
        <v>98</v>
      </c>
    </row>
    <row r="3405" spans="1:7">
      <c r="A3405" s="216">
        <v>44621</v>
      </c>
      <c r="B3405" t="s">
        <v>46</v>
      </c>
      <c r="C3405">
        <v>10</v>
      </c>
      <c r="D3405" t="s">
        <v>433</v>
      </c>
      <c r="E3405" s="217">
        <v>44621</v>
      </c>
      <c r="F3405">
        <v>43561</v>
      </c>
      <c r="G3405" s="227" t="s">
        <v>94</v>
      </c>
    </row>
    <row r="3406" spans="1:7">
      <c r="A3406" s="216">
        <v>44621</v>
      </c>
      <c r="B3406" t="s">
        <v>46</v>
      </c>
      <c r="C3406">
        <v>10</v>
      </c>
      <c r="D3406" t="s">
        <v>433</v>
      </c>
      <c r="E3406" s="217">
        <v>44621</v>
      </c>
      <c r="F3406">
        <v>66810.483999999997</v>
      </c>
      <c r="G3406" s="227" t="s">
        <v>112</v>
      </c>
    </row>
    <row r="3407" spans="1:7">
      <c r="A3407" s="216">
        <v>44621</v>
      </c>
      <c r="B3407" t="s">
        <v>46</v>
      </c>
      <c r="C3407">
        <v>10</v>
      </c>
      <c r="D3407" t="s">
        <v>433</v>
      </c>
      <c r="E3407" s="217">
        <v>44621</v>
      </c>
      <c r="F3407">
        <v>531788.48400000005</v>
      </c>
      <c r="G3407" s="227" t="s">
        <v>434</v>
      </c>
    </row>
    <row r="3408" spans="1:7">
      <c r="A3408" s="216">
        <v>44621</v>
      </c>
      <c r="B3408" t="s">
        <v>46</v>
      </c>
      <c r="C3408">
        <v>11</v>
      </c>
      <c r="D3408" t="s">
        <v>445</v>
      </c>
      <c r="E3408" s="217">
        <v>44621</v>
      </c>
      <c r="F3408">
        <v>6856</v>
      </c>
      <c r="G3408" s="227" t="s">
        <v>80</v>
      </c>
    </row>
    <row r="3409" spans="1:7">
      <c r="A3409" s="216">
        <v>44621</v>
      </c>
      <c r="B3409" t="s">
        <v>46</v>
      </c>
      <c r="C3409">
        <v>11</v>
      </c>
      <c r="D3409" t="s">
        <v>445</v>
      </c>
      <c r="E3409" s="217">
        <v>44621</v>
      </c>
      <c r="F3409">
        <v>6318</v>
      </c>
      <c r="G3409" s="227" t="s">
        <v>116</v>
      </c>
    </row>
    <row r="3410" spans="1:7">
      <c r="A3410" s="216">
        <v>44621</v>
      </c>
      <c r="B3410" t="s">
        <v>46</v>
      </c>
      <c r="C3410">
        <v>11</v>
      </c>
      <c r="D3410" t="s">
        <v>445</v>
      </c>
      <c r="E3410" s="217">
        <v>44621</v>
      </c>
      <c r="F3410">
        <v>7132</v>
      </c>
      <c r="G3410" s="227" t="s">
        <v>107</v>
      </c>
    </row>
    <row r="3411" spans="1:7">
      <c r="A3411" s="216">
        <v>44621</v>
      </c>
      <c r="B3411" t="s">
        <v>46</v>
      </c>
      <c r="C3411">
        <v>11</v>
      </c>
      <c r="D3411" t="s">
        <v>445</v>
      </c>
      <c r="E3411" s="217">
        <v>44621</v>
      </c>
      <c r="F3411">
        <v>7411</v>
      </c>
      <c r="G3411" s="227" t="s">
        <v>102</v>
      </c>
    </row>
    <row r="3412" spans="1:7">
      <c r="A3412" s="216">
        <v>44621</v>
      </c>
      <c r="B3412" t="s">
        <v>46</v>
      </c>
      <c r="C3412">
        <v>11</v>
      </c>
      <c r="D3412" t="s">
        <v>445</v>
      </c>
      <c r="E3412" s="217">
        <v>44621</v>
      </c>
      <c r="F3412">
        <v>8071</v>
      </c>
      <c r="G3412" s="227" t="s">
        <v>85</v>
      </c>
    </row>
    <row r="3413" spans="1:7">
      <c r="A3413" s="216">
        <v>44621</v>
      </c>
      <c r="B3413" t="s">
        <v>46</v>
      </c>
      <c r="C3413">
        <v>11</v>
      </c>
      <c r="D3413" t="s">
        <v>445</v>
      </c>
      <c r="E3413" s="217">
        <v>44621</v>
      </c>
      <c r="F3413">
        <v>8381</v>
      </c>
      <c r="G3413" s="227" t="s">
        <v>129</v>
      </c>
    </row>
    <row r="3414" spans="1:7">
      <c r="A3414" s="216">
        <v>44621</v>
      </c>
      <c r="B3414" t="s">
        <v>46</v>
      </c>
      <c r="C3414">
        <v>11</v>
      </c>
      <c r="D3414" t="s">
        <v>445</v>
      </c>
      <c r="E3414" s="217">
        <v>44621</v>
      </c>
      <c r="F3414">
        <v>9189</v>
      </c>
      <c r="G3414" s="227" t="s">
        <v>125</v>
      </c>
    </row>
    <row r="3415" spans="1:7">
      <c r="A3415" s="216">
        <v>44621</v>
      </c>
      <c r="B3415" t="s">
        <v>46</v>
      </c>
      <c r="C3415">
        <v>11</v>
      </c>
      <c r="D3415" t="s">
        <v>445</v>
      </c>
      <c r="E3415" s="217">
        <v>44621</v>
      </c>
      <c r="F3415">
        <v>8799</v>
      </c>
      <c r="G3415" s="227" t="s">
        <v>121</v>
      </c>
    </row>
    <row r="3416" spans="1:7">
      <c r="A3416" s="216">
        <v>44621</v>
      </c>
      <c r="B3416" t="s">
        <v>46</v>
      </c>
      <c r="C3416">
        <v>11</v>
      </c>
      <c r="D3416" t="s">
        <v>445</v>
      </c>
      <c r="E3416" s="217">
        <v>44621</v>
      </c>
      <c r="F3416">
        <v>9309</v>
      </c>
      <c r="G3416" s="227" t="s">
        <v>90</v>
      </c>
    </row>
    <row r="3417" spans="1:7">
      <c r="A3417" s="216">
        <v>44621</v>
      </c>
      <c r="B3417" t="s">
        <v>46</v>
      </c>
      <c r="C3417">
        <v>11</v>
      </c>
      <c r="D3417" t="s">
        <v>445</v>
      </c>
      <c r="E3417" s="217">
        <v>44621</v>
      </c>
      <c r="F3417">
        <v>13318</v>
      </c>
      <c r="G3417" s="227" t="s">
        <v>98</v>
      </c>
    </row>
    <row r="3418" spans="1:7">
      <c r="A3418" s="216">
        <v>44621</v>
      </c>
      <c r="B3418" t="s">
        <v>46</v>
      </c>
      <c r="C3418">
        <v>11</v>
      </c>
      <c r="D3418" t="s">
        <v>445</v>
      </c>
      <c r="E3418" s="217">
        <v>44621</v>
      </c>
      <c r="F3418">
        <v>10681</v>
      </c>
      <c r="G3418" s="227" t="s">
        <v>94</v>
      </c>
    </row>
    <row r="3419" spans="1:7">
      <c r="A3419" s="216">
        <v>44621</v>
      </c>
      <c r="B3419" t="s">
        <v>46</v>
      </c>
      <c r="C3419">
        <v>11</v>
      </c>
      <c r="D3419" t="s">
        <v>445</v>
      </c>
      <c r="E3419" s="217">
        <v>44621</v>
      </c>
      <c r="F3419">
        <v>20469</v>
      </c>
      <c r="G3419" s="227" t="s">
        <v>112</v>
      </c>
    </row>
    <row r="3420" spans="1:7">
      <c r="A3420" s="216">
        <v>44621</v>
      </c>
      <c r="B3420" t="s">
        <v>46</v>
      </c>
      <c r="C3420">
        <v>11</v>
      </c>
      <c r="D3420" t="s">
        <v>445</v>
      </c>
      <c r="E3420" s="217">
        <v>44621</v>
      </c>
      <c r="F3420">
        <v>115934</v>
      </c>
      <c r="G3420" s="227" t="s">
        <v>434</v>
      </c>
    </row>
    <row r="3421" spans="1:7">
      <c r="A3421" s="216">
        <v>44621</v>
      </c>
      <c r="B3421" t="s">
        <v>46</v>
      </c>
      <c r="C3421">
        <v>12</v>
      </c>
      <c r="D3421" t="s">
        <v>454</v>
      </c>
      <c r="E3421" s="217">
        <v>44621</v>
      </c>
      <c r="F3421">
        <v>3932</v>
      </c>
      <c r="G3421" s="227" t="s">
        <v>80</v>
      </c>
    </row>
    <row r="3422" spans="1:7">
      <c r="A3422" s="216">
        <v>44621</v>
      </c>
      <c r="B3422" t="s">
        <v>46</v>
      </c>
      <c r="C3422">
        <v>12</v>
      </c>
      <c r="D3422" t="s">
        <v>454</v>
      </c>
      <c r="E3422" s="217">
        <v>44621</v>
      </c>
      <c r="F3422">
        <v>4192</v>
      </c>
      <c r="G3422" s="227" t="s">
        <v>116</v>
      </c>
    </row>
    <row r="3423" spans="1:7">
      <c r="A3423" s="216">
        <v>44621</v>
      </c>
      <c r="B3423" t="s">
        <v>46</v>
      </c>
      <c r="C3423">
        <v>12</v>
      </c>
      <c r="D3423" t="s">
        <v>454</v>
      </c>
      <c r="E3423" s="217">
        <v>44621</v>
      </c>
      <c r="F3423">
        <v>3623</v>
      </c>
      <c r="G3423" s="227" t="s">
        <v>107</v>
      </c>
    </row>
    <row r="3424" spans="1:7">
      <c r="A3424" s="216">
        <v>44621</v>
      </c>
      <c r="B3424" t="s">
        <v>46</v>
      </c>
      <c r="C3424">
        <v>12</v>
      </c>
      <c r="D3424" t="s">
        <v>454</v>
      </c>
      <c r="E3424" s="217">
        <v>44621</v>
      </c>
      <c r="F3424">
        <v>4149</v>
      </c>
      <c r="G3424" s="227" t="s">
        <v>102</v>
      </c>
    </row>
    <row r="3425" spans="1:7">
      <c r="A3425" s="216">
        <v>44621</v>
      </c>
      <c r="B3425" t="s">
        <v>46</v>
      </c>
      <c r="C3425">
        <v>12</v>
      </c>
      <c r="D3425" t="s">
        <v>454</v>
      </c>
      <c r="E3425" s="217">
        <v>44621</v>
      </c>
      <c r="F3425">
        <v>3877</v>
      </c>
      <c r="G3425" s="227" t="s">
        <v>85</v>
      </c>
    </row>
    <row r="3426" spans="1:7">
      <c r="A3426" s="216">
        <v>44621</v>
      </c>
      <c r="B3426" t="s">
        <v>46</v>
      </c>
      <c r="C3426">
        <v>12</v>
      </c>
      <c r="D3426" t="s">
        <v>454</v>
      </c>
      <c r="E3426" s="217">
        <v>44621</v>
      </c>
      <c r="F3426">
        <v>4319</v>
      </c>
      <c r="G3426" s="227" t="s">
        <v>129</v>
      </c>
    </row>
    <row r="3427" spans="1:7">
      <c r="A3427" s="216">
        <v>44621</v>
      </c>
      <c r="B3427" t="s">
        <v>46</v>
      </c>
      <c r="C3427">
        <v>12</v>
      </c>
      <c r="D3427" t="s">
        <v>454</v>
      </c>
      <c r="E3427" s="217">
        <v>44621</v>
      </c>
      <c r="F3427">
        <v>4185</v>
      </c>
      <c r="G3427" s="227" t="s">
        <v>125</v>
      </c>
    </row>
    <row r="3428" spans="1:7">
      <c r="A3428" s="216">
        <v>44621</v>
      </c>
      <c r="B3428" t="s">
        <v>46</v>
      </c>
      <c r="C3428">
        <v>12</v>
      </c>
      <c r="D3428" t="s">
        <v>454</v>
      </c>
      <c r="E3428" s="217">
        <v>44621</v>
      </c>
      <c r="F3428">
        <v>4550</v>
      </c>
      <c r="G3428" s="227" t="s">
        <v>121</v>
      </c>
    </row>
    <row r="3429" spans="1:7">
      <c r="A3429" s="216">
        <v>44621</v>
      </c>
      <c r="B3429" t="s">
        <v>46</v>
      </c>
      <c r="C3429">
        <v>12</v>
      </c>
      <c r="D3429" t="s">
        <v>454</v>
      </c>
      <c r="E3429" s="217">
        <v>44621</v>
      </c>
      <c r="F3429">
        <v>4491</v>
      </c>
      <c r="G3429" s="227" t="s">
        <v>90</v>
      </c>
    </row>
    <row r="3430" spans="1:7">
      <c r="A3430" s="216">
        <v>44621</v>
      </c>
      <c r="B3430" t="s">
        <v>46</v>
      </c>
      <c r="C3430">
        <v>12</v>
      </c>
      <c r="D3430" t="s">
        <v>454</v>
      </c>
      <c r="E3430" s="217">
        <v>44621</v>
      </c>
      <c r="F3430">
        <v>4283</v>
      </c>
      <c r="G3430" s="227" t="s">
        <v>98</v>
      </c>
    </row>
    <row r="3431" spans="1:7">
      <c r="A3431" s="216">
        <v>44621</v>
      </c>
      <c r="B3431" t="s">
        <v>46</v>
      </c>
      <c r="C3431">
        <v>12</v>
      </c>
      <c r="D3431" t="s">
        <v>454</v>
      </c>
      <c r="E3431" s="217">
        <v>44621</v>
      </c>
      <c r="F3431">
        <v>3935</v>
      </c>
      <c r="G3431" s="227" t="s">
        <v>94</v>
      </c>
    </row>
    <row r="3432" spans="1:7">
      <c r="A3432" s="216">
        <v>44621</v>
      </c>
      <c r="B3432" t="s">
        <v>46</v>
      </c>
      <c r="C3432">
        <v>12</v>
      </c>
      <c r="D3432" t="s">
        <v>454</v>
      </c>
      <c r="E3432" s="217">
        <v>44621</v>
      </c>
      <c r="F3432">
        <v>4568</v>
      </c>
      <c r="G3432" s="227" t="s">
        <v>112</v>
      </c>
    </row>
    <row r="3433" spans="1:7">
      <c r="A3433" s="216">
        <v>44621</v>
      </c>
      <c r="B3433" t="s">
        <v>46</v>
      </c>
      <c r="C3433">
        <v>12</v>
      </c>
      <c r="D3433" t="s">
        <v>454</v>
      </c>
      <c r="E3433" s="217">
        <v>44621</v>
      </c>
      <c r="F3433">
        <v>50104</v>
      </c>
      <c r="G3433" s="227" t="s">
        <v>434</v>
      </c>
    </row>
    <row r="3434" spans="1:7">
      <c r="A3434" s="216">
        <v>44621</v>
      </c>
      <c r="B3434" t="s">
        <v>46</v>
      </c>
      <c r="C3434">
        <v>13</v>
      </c>
      <c r="D3434" t="s">
        <v>441</v>
      </c>
      <c r="E3434" s="217">
        <v>44621</v>
      </c>
      <c r="F3434">
        <v>13572</v>
      </c>
      <c r="G3434" s="227" t="s">
        <v>80</v>
      </c>
    </row>
    <row r="3435" spans="1:7">
      <c r="A3435" s="216">
        <v>44621</v>
      </c>
      <c r="B3435" t="s">
        <v>46</v>
      </c>
      <c r="C3435">
        <v>13</v>
      </c>
      <c r="D3435" t="s">
        <v>441</v>
      </c>
      <c r="E3435" s="217">
        <v>44621</v>
      </c>
      <c r="F3435">
        <v>13575</v>
      </c>
      <c r="G3435" s="227" t="s">
        <v>116</v>
      </c>
    </row>
    <row r="3436" spans="1:7">
      <c r="A3436" s="216">
        <v>44621</v>
      </c>
      <c r="B3436" t="s">
        <v>46</v>
      </c>
      <c r="C3436">
        <v>13</v>
      </c>
      <c r="D3436" t="s">
        <v>441</v>
      </c>
      <c r="E3436" s="217">
        <v>44621</v>
      </c>
      <c r="F3436">
        <v>13725</v>
      </c>
      <c r="G3436" s="227" t="s">
        <v>107</v>
      </c>
    </row>
    <row r="3437" spans="1:7">
      <c r="A3437" s="216">
        <v>44621</v>
      </c>
      <c r="B3437" t="s">
        <v>46</v>
      </c>
      <c r="C3437">
        <v>13</v>
      </c>
      <c r="D3437" t="s">
        <v>441</v>
      </c>
      <c r="E3437" s="217">
        <v>44621</v>
      </c>
      <c r="F3437">
        <v>13922</v>
      </c>
      <c r="G3437" s="227" t="s">
        <v>102</v>
      </c>
    </row>
    <row r="3438" spans="1:7">
      <c r="A3438" s="216">
        <v>44621</v>
      </c>
      <c r="B3438" t="s">
        <v>46</v>
      </c>
      <c r="C3438">
        <v>13</v>
      </c>
      <c r="D3438" t="s">
        <v>441</v>
      </c>
      <c r="E3438" s="217">
        <v>44621</v>
      </c>
      <c r="F3438">
        <v>13687</v>
      </c>
      <c r="G3438" s="227" t="s">
        <v>85</v>
      </c>
    </row>
    <row r="3439" spans="1:7">
      <c r="A3439" s="216">
        <v>44621</v>
      </c>
      <c r="B3439" t="s">
        <v>46</v>
      </c>
      <c r="C3439">
        <v>13</v>
      </c>
      <c r="D3439" t="s">
        <v>441</v>
      </c>
      <c r="E3439" s="217">
        <v>44621</v>
      </c>
      <c r="F3439">
        <v>13782</v>
      </c>
      <c r="G3439" s="227" t="s">
        <v>129</v>
      </c>
    </row>
    <row r="3440" spans="1:7">
      <c r="A3440" s="216">
        <v>44621</v>
      </c>
      <c r="B3440" t="s">
        <v>46</v>
      </c>
      <c r="C3440">
        <v>13</v>
      </c>
      <c r="D3440" t="s">
        <v>441</v>
      </c>
      <c r="E3440" s="217">
        <v>44621</v>
      </c>
      <c r="F3440">
        <v>14080</v>
      </c>
      <c r="G3440" s="227" t="s">
        <v>125</v>
      </c>
    </row>
    <row r="3441" spans="1:7">
      <c r="A3441" s="216">
        <v>44621</v>
      </c>
      <c r="B3441" t="s">
        <v>46</v>
      </c>
      <c r="C3441">
        <v>13</v>
      </c>
      <c r="D3441" t="s">
        <v>441</v>
      </c>
      <c r="E3441" s="217">
        <v>44621</v>
      </c>
      <c r="F3441">
        <v>14134</v>
      </c>
      <c r="G3441" s="227" t="s">
        <v>121</v>
      </c>
    </row>
    <row r="3442" spans="1:7">
      <c r="A3442" s="216">
        <v>44621</v>
      </c>
      <c r="B3442" t="s">
        <v>46</v>
      </c>
      <c r="C3442">
        <v>13</v>
      </c>
      <c r="D3442" t="s">
        <v>441</v>
      </c>
      <c r="E3442" s="217">
        <v>44621</v>
      </c>
      <c r="F3442">
        <v>13768</v>
      </c>
      <c r="G3442" s="227" t="s">
        <v>90</v>
      </c>
    </row>
    <row r="3443" spans="1:7">
      <c r="A3443" s="216">
        <v>44621</v>
      </c>
      <c r="B3443" t="s">
        <v>46</v>
      </c>
      <c r="C3443">
        <v>13</v>
      </c>
      <c r="D3443" t="s">
        <v>441</v>
      </c>
      <c r="E3443" s="217">
        <v>44621</v>
      </c>
      <c r="F3443">
        <v>15259</v>
      </c>
      <c r="G3443" s="227" t="s">
        <v>98</v>
      </c>
    </row>
    <row r="3444" spans="1:7">
      <c r="A3444" s="216">
        <v>44621</v>
      </c>
      <c r="B3444" t="s">
        <v>46</v>
      </c>
      <c r="C3444">
        <v>13</v>
      </c>
      <c r="D3444" t="s">
        <v>441</v>
      </c>
      <c r="E3444" s="217">
        <v>44621</v>
      </c>
      <c r="F3444">
        <v>13584</v>
      </c>
      <c r="G3444" s="227" t="s">
        <v>94</v>
      </c>
    </row>
    <row r="3445" spans="1:7">
      <c r="A3445" s="216">
        <v>44621</v>
      </c>
      <c r="B3445" t="s">
        <v>46</v>
      </c>
      <c r="C3445">
        <v>13</v>
      </c>
      <c r="D3445" t="s">
        <v>441</v>
      </c>
      <c r="E3445" s="217">
        <v>44621</v>
      </c>
      <c r="F3445">
        <v>15102</v>
      </c>
      <c r="G3445" s="227" t="s">
        <v>112</v>
      </c>
    </row>
    <row r="3446" spans="1:7">
      <c r="A3446" s="216">
        <v>44621</v>
      </c>
      <c r="B3446" t="s">
        <v>46</v>
      </c>
      <c r="C3446">
        <v>13</v>
      </c>
      <c r="D3446" t="s">
        <v>441</v>
      </c>
      <c r="E3446" s="217">
        <v>44621</v>
      </c>
      <c r="F3446">
        <v>168190</v>
      </c>
      <c r="G3446" s="227" t="s">
        <v>434</v>
      </c>
    </row>
    <row r="3447" spans="1:7">
      <c r="A3447" s="216">
        <v>44621</v>
      </c>
      <c r="B3447" t="s">
        <v>46</v>
      </c>
      <c r="C3447">
        <v>14</v>
      </c>
      <c r="D3447" t="s">
        <v>447</v>
      </c>
      <c r="E3447" s="217">
        <v>44621</v>
      </c>
      <c r="F3447">
        <v>0</v>
      </c>
      <c r="G3447" s="227" t="s">
        <v>80</v>
      </c>
    </row>
    <row r="3448" spans="1:7">
      <c r="A3448" s="216">
        <v>44621</v>
      </c>
      <c r="B3448" t="s">
        <v>46</v>
      </c>
      <c r="C3448">
        <v>14</v>
      </c>
      <c r="D3448" t="s">
        <v>447</v>
      </c>
      <c r="E3448" s="217">
        <v>44621</v>
      </c>
      <c r="F3448">
        <v>0</v>
      </c>
      <c r="G3448" s="227" t="s">
        <v>116</v>
      </c>
    </row>
    <row r="3449" spans="1:7">
      <c r="A3449" s="216">
        <v>44621</v>
      </c>
      <c r="B3449" t="s">
        <v>46</v>
      </c>
      <c r="C3449">
        <v>14</v>
      </c>
      <c r="D3449" t="s">
        <v>447</v>
      </c>
      <c r="E3449" s="217">
        <v>44621</v>
      </c>
      <c r="F3449">
        <v>0</v>
      </c>
      <c r="G3449" s="227" t="s">
        <v>107</v>
      </c>
    </row>
    <row r="3450" spans="1:7">
      <c r="A3450" s="216">
        <v>44621</v>
      </c>
      <c r="B3450" t="s">
        <v>46</v>
      </c>
      <c r="C3450">
        <v>14</v>
      </c>
      <c r="D3450" t="s">
        <v>447</v>
      </c>
      <c r="E3450" s="217">
        <v>44621</v>
      </c>
      <c r="F3450">
        <v>0</v>
      </c>
      <c r="G3450" s="227" t="s">
        <v>102</v>
      </c>
    </row>
    <row r="3451" spans="1:7">
      <c r="A3451" s="216">
        <v>44621</v>
      </c>
      <c r="B3451" t="s">
        <v>46</v>
      </c>
      <c r="C3451">
        <v>14</v>
      </c>
      <c r="D3451" t="s">
        <v>447</v>
      </c>
      <c r="E3451" s="217">
        <v>44621</v>
      </c>
      <c r="F3451">
        <v>0</v>
      </c>
      <c r="G3451" s="227" t="s">
        <v>85</v>
      </c>
    </row>
    <row r="3452" spans="1:7">
      <c r="A3452" s="216">
        <v>44621</v>
      </c>
      <c r="B3452" t="s">
        <v>46</v>
      </c>
      <c r="C3452">
        <v>14</v>
      </c>
      <c r="D3452" t="s">
        <v>447</v>
      </c>
      <c r="E3452" s="217">
        <v>44621</v>
      </c>
      <c r="F3452">
        <v>0</v>
      </c>
      <c r="G3452" s="227" t="s">
        <v>129</v>
      </c>
    </row>
    <row r="3453" spans="1:7">
      <c r="A3453" s="216">
        <v>44621</v>
      </c>
      <c r="B3453" t="s">
        <v>46</v>
      </c>
      <c r="C3453">
        <v>14</v>
      </c>
      <c r="D3453" t="s">
        <v>447</v>
      </c>
      <c r="E3453" s="217">
        <v>44621</v>
      </c>
      <c r="F3453">
        <v>0</v>
      </c>
      <c r="G3453" s="227" t="s">
        <v>125</v>
      </c>
    </row>
    <row r="3454" spans="1:7">
      <c r="A3454" s="216">
        <v>44621</v>
      </c>
      <c r="B3454" t="s">
        <v>46</v>
      </c>
      <c r="C3454">
        <v>14</v>
      </c>
      <c r="D3454" t="s">
        <v>447</v>
      </c>
      <c r="E3454" s="217">
        <v>44621</v>
      </c>
      <c r="F3454">
        <v>0</v>
      </c>
      <c r="G3454" s="227" t="s">
        <v>121</v>
      </c>
    </row>
    <row r="3455" spans="1:7">
      <c r="A3455" s="216">
        <v>44621</v>
      </c>
      <c r="B3455" t="s">
        <v>46</v>
      </c>
      <c r="C3455">
        <v>14</v>
      </c>
      <c r="D3455" t="s">
        <v>447</v>
      </c>
      <c r="E3455" s="217">
        <v>44621</v>
      </c>
      <c r="F3455">
        <v>0</v>
      </c>
      <c r="G3455" s="227" t="s">
        <v>90</v>
      </c>
    </row>
    <row r="3456" spans="1:7">
      <c r="A3456" s="216">
        <v>44621</v>
      </c>
      <c r="B3456" t="s">
        <v>46</v>
      </c>
      <c r="C3456">
        <v>14</v>
      </c>
      <c r="D3456" t="s">
        <v>447</v>
      </c>
      <c r="E3456" s="217">
        <v>44621</v>
      </c>
      <c r="F3456">
        <v>0</v>
      </c>
      <c r="G3456" s="227" t="s">
        <v>98</v>
      </c>
    </row>
    <row r="3457" spans="1:7">
      <c r="A3457" s="216">
        <v>44621</v>
      </c>
      <c r="B3457" t="s">
        <v>46</v>
      </c>
      <c r="C3457">
        <v>14</v>
      </c>
      <c r="D3457" t="s">
        <v>447</v>
      </c>
      <c r="E3457" s="217">
        <v>44621</v>
      </c>
      <c r="F3457">
        <v>0</v>
      </c>
      <c r="G3457" s="227" t="s">
        <v>94</v>
      </c>
    </row>
    <row r="3458" spans="1:7">
      <c r="A3458" s="216">
        <v>44621</v>
      </c>
      <c r="B3458" t="s">
        <v>46</v>
      </c>
      <c r="C3458">
        <v>14</v>
      </c>
      <c r="D3458" t="s">
        <v>447</v>
      </c>
      <c r="E3458" s="217">
        <v>44621</v>
      </c>
      <c r="F3458">
        <v>0</v>
      </c>
      <c r="G3458" s="227" t="s">
        <v>112</v>
      </c>
    </row>
    <row r="3459" spans="1:7">
      <c r="A3459" s="216">
        <v>44621</v>
      </c>
      <c r="B3459" t="s">
        <v>46</v>
      </c>
      <c r="C3459">
        <v>14</v>
      </c>
      <c r="D3459" t="s">
        <v>447</v>
      </c>
      <c r="E3459" s="217">
        <v>44621</v>
      </c>
      <c r="F3459">
        <v>0</v>
      </c>
      <c r="G3459" s="227" t="s">
        <v>434</v>
      </c>
    </row>
    <row r="3460" spans="1:7">
      <c r="A3460" s="216">
        <v>44621</v>
      </c>
      <c r="B3460" t="s">
        <v>46</v>
      </c>
      <c r="C3460">
        <v>15</v>
      </c>
      <c r="D3460" t="s">
        <v>437</v>
      </c>
      <c r="E3460" s="217">
        <v>44621</v>
      </c>
      <c r="F3460">
        <v>4117</v>
      </c>
      <c r="G3460" s="227" t="s">
        <v>80</v>
      </c>
    </row>
    <row r="3461" spans="1:7">
      <c r="A3461" s="216">
        <v>44621</v>
      </c>
      <c r="B3461" t="s">
        <v>46</v>
      </c>
      <c r="C3461">
        <v>15</v>
      </c>
      <c r="D3461" t="s">
        <v>437</v>
      </c>
      <c r="E3461" s="217">
        <v>44621</v>
      </c>
      <c r="F3461">
        <v>4310</v>
      </c>
      <c r="G3461" s="227" t="s">
        <v>116</v>
      </c>
    </row>
    <row r="3462" spans="1:7">
      <c r="A3462" s="216">
        <v>44621</v>
      </c>
      <c r="B3462" t="s">
        <v>46</v>
      </c>
      <c r="C3462">
        <v>15</v>
      </c>
      <c r="D3462" t="s">
        <v>437</v>
      </c>
      <c r="E3462" s="217">
        <v>44621</v>
      </c>
      <c r="F3462">
        <v>4754</v>
      </c>
      <c r="G3462" s="227" t="s">
        <v>107</v>
      </c>
    </row>
    <row r="3463" spans="1:7">
      <c r="A3463" s="216">
        <v>44621</v>
      </c>
      <c r="B3463" t="s">
        <v>46</v>
      </c>
      <c r="C3463">
        <v>15</v>
      </c>
      <c r="D3463" t="s">
        <v>437</v>
      </c>
      <c r="E3463" s="217">
        <v>44621</v>
      </c>
      <c r="F3463">
        <v>4348</v>
      </c>
      <c r="G3463" s="227" t="s">
        <v>102</v>
      </c>
    </row>
    <row r="3464" spans="1:7">
      <c r="A3464" s="216">
        <v>44621</v>
      </c>
      <c r="B3464" t="s">
        <v>46</v>
      </c>
      <c r="C3464">
        <v>15</v>
      </c>
      <c r="D3464" t="s">
        <v>437</v>
      </c>
      <c r="E3464" s="217">
        <v>44621</v>
      </c>
      <c r="F3464">
        <v>4168</v>
      </c>
      <c r="G3464" s="227" t="s">
        <v>85</v>
      </c>
    </row>
    <row r="3465" spans="1:7">
      <c r="A3465" s="216">
        <v>44621</v>
      </c>
      <c r="B3465" t="s">
        <v>46</v>
      </c>
      <c r="C3465">
        <v>15</v>
      </c>
      <c r="D3465" t="s">
        <v>437</v>
      </c>
      <c r="E3465" s="217">
        <v>44621</v>
      </c>
      <c r="F3465">
        <v>4945</v>
      </c>
      <c r="G3465" s="227" t="s">
        <v>129</v>
      </c>
    </row>
    <row r="3466" spans="1:7">
      <c r="A3466" s="216">
        <v>44621</v>
      </c>
      <c r="B3466" t="s">
        <v>46</v>
      </c>
      <c r="C3466">
        <v>15</v>
      </c>
      <c r="D3466" t="s">
        <v>437</v>
      </c>
      <c r="E3466" s="217">
        <v>44621</v>
      </c>
      <c r="F3466">
        <v>4432</v>
      </c>
      <c r="G3466" s="227" t="s">
        <v>125</v>
      </c>
    </row>
    <row r="3467" spans="1:7">
      <c r="A3467" s="216">
        <v>44621</v>
      </c>
      <c r="B3467" t="s">
        <v>46</v>
      </c>
      <c r="C3467">
        <v>15</v>
      </c>
      <c r="D3467" t="s">
        <v>437</v>
      </c>
      <c r="E3467" s="217">
        <v>44621</v>
      </c>
      <c r="F3467">
        <v>4303</v>
      </c>
      <c r="G3467" s="227" t="s">
        <v>121</v>
      </c>
    </row>
    <row r="3468" spans="1:7">
      <c r="A3468" s="216">
        <v>44621</v>
      </c>
      <c r="B3468" t="s">
        <v>46</v>
      </c>
      <c r="C3468">
        <v>15</v>
      </c>
      <c r="D3468" t="s">
        <v>437</v>
      </c>
      <c r="E3468" s="217">
        <v>44621</v>
      </c>
      <c r="F3468">
        <v>4451</v>
      </c>
      <c r="G3468" s="227" t="s">
        <v>90</v>
      </c>
    </row>
    <row r="3469" spans="1:7">
      <c r="A3469" s="216">
        <v>44621</v>
      </c>
      <c r="B3469" t="s">
        <v>46</v>
      </c>
      <c r="C3469">
        <v>15</v>
      </c>
      <c r="D3469" t="s">
        <v>437</v>
      </c>
      <c r="E3469" s="217">
        <v>44621</v>
      </c>
      <c r="F3469">
        <v>4641</v>
      </c>
      <c r="G3469" s="227" t="s">
        <v>98</v>
      </c>
    </row>
    <row r="3470" spans="1:7">
      <c r="A3470" s="216">
        <v>44621</v>
      </c>
      <c r="B3470" t="s">
        <v>46</v>
      </c>
      <c r="C3470">
        <v>15</v>
      </c>
      <c r="D3470" t="s">
        <v>437</v>
      </c>
      <c r="E3470" s="217">
        <v>44621</v>
      </c>
      <c r="F3470">
        <v>4144</v>
      </c>
      <c r="G3470" s="227" t="s">
        <v>94</v>
      </c>
    </row>
    <row r="3471" spans="1:7">
      <c r="A3471" s="216">
        <v>44621</v>
      </c>
      <c r="B3471" t="s">
        <v>46</v>
      </c>
      <c r="C3471">
        <v>15</v>
      </c>
      <c r="D3471" t="s">
        <v>437</v>
      </c>
      <c r="E3471" s="217">
        <v>44621</v>
      </c>
      <c r="F3471">
        <v>3002</v>
      </c>
      <c r="G3471" s="227" t="s">
        <v>112</v>
      </c>
    </row>
    <row r="3472" spans="1:7">
      <c r="A3472" s="216">
        <v>44621</v>
      </c>
      <c r="B3472" t="s">
        <v>46</v>
      </c>
      <c r="C3472">
        <v>15</v>
      </c>
      <c r="D3472" t="s">
        <v>437</v>
      </c>
      <c r="E3472" s="217">
        <v>44621</v>
      </c>
      <c r="F3472">
        <v>51615</v>
      </c>
      <c r="G3472" s="227" t="s">
        <v>434</v>
      </c>
    </row>
    <row r="3473" spans="1:7">
      <c r="A3473" s="216">
        <v>44621</v>
      </c>
      <c r="B3473" t="s">
        <v>51</v>
      </c>
      <c r="C3473">
        <v>7</v>
      </c>
      <c r="D3473" t="s">
        <v>442</v>
      </c>
      <c r="E3473" s="217">
        <v>44621</v>
      </c>
      <c r="F3473">
        <v>20020</v>
      </c>
      <c r="G3473" s="227" t="s">
        <v>80</v>
      </c>
    </row>
    <row r="3474" spans="1:7">
      <c r="A3474" s="216">
        <v>44621</v>
      </c>
      <c r="B3474" t="s">
        <v>51</v>
      </c>
      <c r="C3474">
        <v>7</v>
      </c>
      <c r="D3474" t="s">
        <v>442</v>
      </c>
      <c r="E3474" s="217">
        <v>44621</v>
      </c>
      <c r="F3474">
        <v>20135</v>
      </c>
      <c r="G3474" s="227" t="s">
        <v>116</v>
      </c>
    </row>
    <row r="3475" spans="1:7">
      <c r="A3475" s="216">
        <v>44621</v>
      </c>
      <c r="B3475" t="s">
        <v>51</v>
      </c>
      <c r="C3475">
        <v>7</v>
      </c>
      <c r="D3475" t="s">
        <v>442</v>
      </c>
      <c r="E3475" s="217">
        <v>44621</v>
      </c>
      <c r="F3475">
        <v>18799</v>
      </c>
      <c r="G3475" s="227" t="s">
        <v>107</v>
      </c>
    </row>
    <row r="3476" spans="1:7">
      <c r="A3476" s="216">
        <v>44621</v>
      </c>
      <c r="B3476" t="s">
        <v>51</v>
      </c>
      <c r="C3476">
        <v>7</v>
      </c>
      <c r="D3476" t="s">
        <v>442</v>
      </c>
      <c r="E3476" s="217">
        <v>44621</v>
      </c>
      <c r="F3476">
        <v>20086</v>
      </c>
      <c r="G3476" s="227" t="s">
        <v>102</v>
      </c>
    </row>
    <row r="3477" spans="1:7">
      <c r="A3477" s="216">
        <v>44621</v>
      </c>
      <c r="B3477" t="s">
        <v>51</v>
      </c>
      <c r="C3477">
        <v>7</v>
      </c>
      <c r="D3477" t="s">
        <v>442</v>
      </c>
      <c r="E3477" s="217">
        <v>44621</v>
      </c>
      <c r="F3477">
        <v>21160</v>
      </c>
      <c r="G3477" s="227" t="s">
        <v>85</v>
      </c>
    </row>
    <row r="3478" spans="1:7">
      <c r="A3478" s="216">
        <v>44621</v>
      </c>
      <c r="B3478" t="s">
        <v>51</v>
      </c>
      <c r="C3478">
        <v>7</v>
      </c>
      <c r="D3478" t="s">
        <v>442</v>
      </c>
      <c r="E3478" s="217">
        <v>44621</v>
      </c>
      <c r="F3478">
        <v>23157</v>
      </c>
      <c r="G3478" s="227" t="s">
        <v>129</v>
      </c>
    </row>
    <row r="3479" spans="1:7">
      <c r="A3479" s="216">
        <v>44621</v>
      </c>
      <c r="B3479" t="s">
        <v>51</v>
      </c>
      <c r="C3479">
        <v>7</v>
      </c>
      <c r="D3479" t="s">
        <v>442</v>
      </c>
      <c r="E3479" s="217">
        <v>44621</v>
      </c>
      <c r="F3479">
        <v>23579</v>
      </c>
      <c r="G3479" s="227" t="s">
        <v>125</v>
      </c>
    </row>
    <row r="3480" spans="1:7">
      <c r="A3480" s="216">
        <v>44621</v>
      </c>
      <c r="B3480" t="s">
        <v>51</v>
      </c>
      <c r="C3480">
        <v>7</v>
      </c>
      <c r="D3480" t="s">
        <v>442</v>
      </c>
      <c r="E3480" s="217">
        <v>44621</v>
      </c>
      <c r="F3480">
        <v>23124</v>
      </c>
      <c r="G3480" s="227" t="s">
        <v>121</v>
      </c>
    </row>
    <row r="3481" spans="1:7">
      <c r="A3481" s="216">
        <v>44621</v>
      </c>
      <c r="B3481" t="s">
        <v>51</v>
      </c>
      <c r="C3481">
        <v>7</v>
      </c>
      <c r="D3481" t="s">
        <v>442</v>
      </c>
      <c r="E3481" s="217">
        <v>44621</v>
      </c>
      <c r="F3481">
        <v>22732</v>
      </c>
      <c r="G3481" s="227" t="s">
        <v>90</v>
      </c>
    </row>
    <row r="3482" spans="1:7">
      <c r="A3482" s="216">
        <v>44621</v>
      </c>
      <c r="B3482" t="s">
        <v>51</v>
      </c>
      <c r="C3482">
        <v>7</v>
      </c>
      <c r="D3482" t="s">
        <v>442</v>
      </c>
      <c r="E3482" s="217">
        <v>44621</v>
      </c>
      <c r="F3482">
        <v>22223</v>
      </c>
      <c r="G3482" s="227" t="s">
        <v>98</v>
      </c>
    </row>
    <row r="3483" spans="1:7">
      <c r="A3483" s="216">
        <v>44621</v>
      </c>
      <c r="B3483" t="s">
        <v>51</v>
      </c>
      <c r="C3483">
        <v>7</v>
      </c>
      <c r="D3483" t="s">
        <v>442</v>
      </c>
      <c r="E3483" s="217">
        <v>44621</v>
      </c>
      <c r="F3483">
        <v>24602</v>
      </c>
      <c r="G3483" s="227" t="s">
        <v>94</v>
      </c>
    </row>
    <row r="3484" spans="1:7">
      <c r="A3484" s="216">
        <v>44621</v>
      </c>
      <c r="B3484" t="s">
        <v>51</v>
      </c>
      <c r="C3484">
        <v>7</v>
      </c>
      <c r="D3484" t="s">
        <v>442</v>
      </c>
      <c r="E3484" s="217">
        <v>44621</v>
      </c>
      <c r="F3484">
        <v>29090</v>
      </c>
      <c r="G3484" s="227" t="s">
        <v>112</v>
      </c>
    </row>
    <row r="3485" spans="1:7">
      <c r="A3485" s="216">
        <v>44621</v>
      </c>
      <c r="B3485" t="s">
        <v>51</v>
      </c>
      <c r="C3485">
        <v>7</v>
      </c>
      <c r="D3485" t="s">
        <v>442</v>
      </c>
      <c r="E3485" s="217">
        <v>44621</v>
      </c>
      <c r="F3485">
        <v>268707</v>
      </c>
      <c r="G3485" s="227" t="s">
        <v>434</v>
      </c>
    </row>
    <row r="3486" spans="1:7">
      <c r="A3486" s="216">
        <v>44621</v>
      </c>
      <c r="B3486" t="s">
        <v>51</v>
      </c>
      <c r="C3486">
        <v>8</v>
      </c>
      <c r="D3486" t="s">
        <v>451</v>
      </c>
      <c r="E3486" s="217">
        <v>44621</v>
      </c>
      <c r="F3486">
        <v>0</v>
      </c>
      <c r="G3486" s="227" t="s">
        <v>80</v>
      </c>
    </row>
    <row r="3487" spans="1:7">
      <c r="A3487" s="216">
        <v>44621</v>
      </c>
      <c r="B3487" t="s">
        <v>51</v>
      </c>
      <c r="C3487">
        <v>8</v>
      </c>
      <c r="D3487" t="s">
        <v>451</v>
      </c>
      <c r="E3487" s="217">
        <v>44621</v>
      </c>
      <c r="F3487">
        <v>0</v>
      </c>
      <c r="G3487" s="227" t="s">
        <v>116</v>
      </c>
    </row>
    <row r="3488" spans="1:7">
      <c r="A3488" s="216">
        <v>44621</v>
      </c>
      <c r="B3488" t="s">
        <v>51</v>
      </c>
      <c r="C3488">
        <v>8</v>
      </c>
      <c r="D3488" t="s">
        <v>451</v>
      </c>
      <c r="E3488" s="217">
        <v>44621</v>
      </c>
      <c r="F3488">
        <v>0</v>
      </c>
      <c r="G3488" s="227" t="s">
        <v>107</v>
      </c>
    </row>
    <row r="3489" spans="1:7">
      <c r="A3489" s="216">
        <v>44621</v>
      </c>
      <c r="B3489" t="s">
        <v>51</v>
      </c>
      <c r="C3489">
        <v>8</v>
      </c>
      <c r="D3489" t="s">
        <v>451</v>
      </c>
      <c r="E3489" s="217">
        <v>44621</v>
      </c>
      <c r="F3489">
        <v>0</v>
      </c>
      <c r="G3489" s="227" t="s">
        <v>102</v>
      </c>
    </row>
    <row r="3490" spans="1:7">
      <c r="A3490" s="216">
        <v>44621</v>
      </c>
      <c r="B3490" t="s">
        <v>51</v>
      </c>
      <c r="C3490">
        <v>8</v>
      </c>
      <c r="D3490" t="s">
        <v>451</v>
      </c>
      <c r="E3490" s="217">
        <v>44621</v>
      </c>
      <c r="F3490">
        <v>0</v>
      </c>
      <c r="G3490" s="227" t="s">
        <v>85</v>
      </c>
    </row>
    <row r="3491" spans="1:7">
      <c r="A3491" s="216">
        <v>44621</v>
      </c>
      <c r="B3491" t="s">
        <v>51</v>
      </c>
      <c r="C3491">
        <v>8</v>
      </c>
      <c r="D3491" t="s">
        <v>451</v>
      </c>
      <c r="E3491" s="217">
        <v>44621</v>
      </c>
      <c r="F3491">
        <v>0</v>
      </c>
      <c r="G3491" s="227" t="s">
        <v>129</v>
      </c>
    </row>
    <row r="3492" spans="1:7">
      <c r="A3492" s="216">
        <v>44621</v>
      </c>
      <c r="B3492" t="s">
        <v>51</v>
      </c>
      <c r="C3492">
        <v>8</v>
      </c>
      <c r="D3492" t="s">
        <v>451</v>
      </c>
      <c r="E3492" s="217">
        <v>44621</v>
      </c>
      <c r="F3492">
        <v>0</v>
      </c>
      <c r="G3492" s="227" t="s">
        <v>125</v>
      </c>
    </row>
    <row r="3493" spans="1:7">
      <c r="A3493" s="216">
        <v>44621</v>
      </c>
      <c r="B3493" t="s">
        <v>51</v>
      </c>
      <c r="C3493">
        <v>8</v>
      </c>
      <c r="D3493" t="s">
        <v>451</v>
      </c>
      <c r="E3493" s="217">
        <v>44621</v>
      </c>
      <c r="F3493">
        <v>0</v>
      </c>
      <c r="G3493" s="227" t="s">
        <v>121</v>
      </c>
    </row>
    <row r="3494" spans="1:7">
      <c r="A3494" s="216">
        <v>44621</v>
      </c>
      <c r="B3494" t="s">
        <v>51</v>
      </c>
      <c r="C3494">
        <v>8</v>
      </c>
      <c r="D3494" t="s">
        <v>451</v>
      </c>
      <c r="E3494" s="217">
        <v>44621</v>
      </c>
      <c r="F3494">
        <v>0</v>
      </c>
      <c r="G3494" s="227" t="s">
        <v>90</v>
      </c>
    </row>
    <row r="3495" spans="1:7">
      <c r="A3495" s="216">
        <v>44621</v>
      </c>
      <c r="B3495" t="s">
        <v>51</v>
      </c>
      <c r="C3495">
        <v>8</v>
      </c>
      <c r="D3495" t="s">
        <v>451</v>
      </c>
      <c r="E3495" s="217">
        <v>44621</v>
      </c>
      <c r="F3495">
        <v>0</v>
      </c>
      <c r="G3495" s="227" t="s">
        <v>98</v>
      </c>
    </row>
    <row r="3496" spans="1:7">
      <c r="A3496" s="216">
        <v>44621</v>
      </c>
      <c r="B3496" t="s">
        <v>51</v>
      </c>
      <c r="C3496">
        <v>8</v>
      </c>
      <c r="D3496" t="s">
        <v>451</v>
      </c>
      <c r="E3496" s="217">
        <v>44621</v>
      </c>
      <c r="F3496">
        <v>0</v>
      </c>
      <c r="G3496" s="227" t="s">
        <v>94</v>
      </c>
    </row>
    <row r="3497" spans="1:7">
      <c r="A3497" s="216">
        <v>44621</v>
      </c>
      <c r="B3497" t="s">
        <v>51</v>
      </c>
      <c r="C3497">
        <v>8</v>
      </c>
      <c r="D3497" t="s">
        <v>451</v>
      </c>
      <c r="E3497" s="217">
        <v>44621</v>
      </c>
      <c r="F3497">
        <v>0</v>
      </c>
      <c r="G3497" s="227" t="s">
        <v>112</v>
      </c>
    </row>
    <row r="3498" spans="1:7">
      <c r="A3498" s="216">
        <v>44621</v>
      </c>
      <c r="B3498" t="s">
        <v>51</v>
      </c>
      <c r="C3498">
        <v>8</v>
      </c>
      <c r="D3498" t="s">
        <v>451</v>
      </c>
      <c r="E3498" s="217">
        <v>44621</v>
      </c>
      <c r="F3498">
        <v>0</v>
      </c>
      <c r="G3498" s="227" t="s">
        <v>434</v>
      </c>
    </row>
    <row r="3499" spans="1:7">
      <c r="A3499" s="216">
        <v>44621</v>
      </c>
      <c r="B3499" t="s">
        <v>51</v>
      </c>
      <c r="C3499">
        <v>9</v>
      </c>
      <c r="D3499" t="s">
        <v>450</v>
      </c>
      <c r="E3499" s="217">
        <v>44621</v>
      </c>
      <c r="F3499">
        <v>0</v>
      </c>
      <c r="G3499" s="227" t="s">
        <v>80</v>
      </c>
    </row>
    <row r="3500" spans="1:7">
      <c r="A3500" s="216">
        <v>44621</v>
      </c>
      <c r="B3500" t="s">
        <v>51</v>
      </c>
      <c r="C3500">
        <v>9</v>
      </c>
      <c r="D3500" t="s">
        <v>450</v>
      </c>
      <c r="E3500" s="217">
        <v>44621</v>
      </c>
      <c r="F3500">
        <v>0</v>
      </c>
      <c r="G3500" s="227" t="s">
        <v>116</v>
      </c>
    </row>
    <row r="3501" spans="1:7">
      <c r="A3501" s="216">
        <v>44621</v>
      </c>
      <c r="B3501" t="s">
        <v>51</v>
      </c>
      <c r="C3501">
        <v>9</v>
      </c>
      <c r="D3501" t="s">
        <v>450</v>
      </c>
      <c r="E3501" s="217">
        <v>44621</v>
      </c>
      <c r="F3501">
        <v>0</v>
      </c>
      <c r="G3501" s="227" t="s">
        <v>107</v>
      </c>
    </row>
    <row r="3502" spans="1:7">
      <c r="A3502" s="216">
        <v>44621</v>
      </c>
      <c r="B3502" t="s">
        <v>51</v>
      </c>
      <c r="C3502">
        <v>9</v>
      </c>
      <c r="D3502" t="s">
        <v>450</v>
      </c>
      <c r="E3502" s="217">
        <v>44621</v>
      </c>
      <c r="F3502">
        <v>0</v>
      </c>
      <c r="G3502" s="227" t="s">
        <v>102</v>
      </c>
    </row>
    <row r="3503" spans="1:7">
      <c r="A3503" s="216">
        <v>44621</v>
      </c>
      <c r="B3503" t="s">
        <v>51</v>
      </c>
      <c r="C3503">
        <v>9</v>
      </c>
      <c r="D3503" t="s">
        <v>450</v>
      </c>
      <c r="E3503" s="217">
        <v>44621</v>
      </c>
      <c r="F3503">
        <v>0</v>
      </c>
      <c r="G3503" s="227" t="s">
        <v>85</v>
      </c>
    </row>
    <row r="3504" spans="1:7">
      <c r="A3504" s="216">
        <v>44621</v>
      </c>
      <c r="B3504" t="s">
        <v>51</v>
      </c>
      <c r="C3504">
        <v>9</v>
      </c>
      <c r="D3504" t="s">
        <v>450</v>
      </c>
      <c r="E3504" s="217">
        <v>44621</v>
      </c>
      <c r="F3504">
        <v>0</v>
      </c>
      <c r="G3504" s="227" t="s">
        <v>129</v>
      </c>
    </row>
    <row r="3505" spans="1:7">
      <c r="A3505" s="216">
        <v>44621</v>
      </c>
      <c r="B3505" t="s">
        <v>51</v>
      </c>
      <c r="C3505">
        <v>9</v>
      </c>
      <c r="D3505" t="s">
        <v>450</v>
      </c>
      <c r="E3505" s="217">
        <v>44621</v>
      </c>
      <c r="F3505">
        <v>0</v>
      </c>
      <c r="G3505" s="227" t="s">
        <v>125</v>
      </c>
    </row>
    <row r="3506" spans="1:7">
      <c r="A3506" s="216">
        <v>44621</v>
      </c>
      <c r="B3506" t="s">
        <v>51</v>
      </c>
      <c r="C3506">
        <v>9</v>
      </c>
      <c r="D3506" t="s">
        <v>450</v>
      </c>
      <c r="E3506" s="217">
        <v>44621</v>
      </c>
      <c r="F3506">
        <v>0</v>
      </c>
      <c r="G3506" s="227" t="s">
        <v>121</v>
      </c>
    </row>
    <row r="3507" spans="1:7">
      <c r="A3507" s="216">
        <v>44621</v>
      </c>
      <c r="B3507" t="s">
        <v>51</v>
      </c>
      <c r="C3507">
        <v>9</v>
      </c>
      <c r="D3507" t="s">
        <v>450</v>
      </c>
      <c r="E3507" s="217">
        <v>44621</v>
      </c>
      <c r="F3507">
        <v>0</v>
      </c>
      <c r="G3507" s="227" t="s">
        <v>90</v>
      </c>
    </row>
    <row r="3508" spans="1:7">
      <c r="A3508" s="216">
        <v>44621</v>
      </c>
      <c r="B3508" t="s">
        <v>51</v>
      </c>
      <c r="C3508">
        <v>9</v>
      </c>
      <c r="D3508" t="s">
        <v>450</v>
      </c>
      <c r="E3508" s="217">
        <v>44621</v>
      </c>
      <c r="F3508">
        <v>0</v>
      </c>
      <c r="G3508" s="227" t="s">
        <v>98</v>
      </c>
    </row>
    <row r="3509" spans="1:7">
      <c r="A3509" s="216">
        <v>44621</v>
      </c>
      <c r="B3509" t="s">
        <v>51</v>
      </c>
      <c r="C3509">
        <v>9</v>
      </c>
      <c r="D3509" t="s">
        <v>450</v>
      </c>
      <c r="E3509" s="217">
        <v>44621</v>
      </c>
      <c r="F3509">
        <v>0</v>
      </c>
      <c r="G3509" s="227" t="s">
        <v>94</v>
      </c>
    </row>
    <row r="3510" spans="1:7">
      <c r="A3510" s="216">
        <v>44621</v>
      </c>
      <c r="B3510" t="s">
        <v>51</v>
      </c>
      <c r="C3510">
        <v>9</v>
      </c>
      <c r="D3510" t="s">
        <v>450</v>
      </c>
      <c r="E3510" s="217">
        <v>44621</v>
      </c>
      <c r="F3510">
        <v>0</v>
      </c>
      <c r="G3510" s="227" t="s">
        <v>112</v>
      </c>
    </row>
    <row r="3511" spans="1:7">
      <c r="A3511" s="216">
        <v>44621</v>
      </c>
      <c r="B3511" t="s">
        <v>51</v>
      </c>
      <c r="C3511">
        <v>9</v>
      </c>
      <c r="D3511" t="s">
        <v>450</v>
      </c>
      <c r="E3511" s="217">
        <v>44621</v>
      </c>
      <c r="F3511">
        <v>0</v>
      </c>
      <c r="G3511" s="227" t="s">
        <v>434</v>
      </c>
    </row>
    <row r="3512" spans="1:7">
      <c r="A3512" s="216">
        <v>44621</v>
      </c>
      <c r="B3512" t="s">
        <v>51</v>
      </c>
      <c r="C3512">
        <v>10</v>
      </c>
      <c r="D3512" t="s">
        <v>433</v>
      </c>
      <c r="E3512" s="217">
        <v>44621</v>
      </c>
      <c r="F3512">
        <v>1491</v>
      </c>
      <c r="G3512" s="227" t="s">
        <v>80</v>
      </c>
    </row>
    <row r="3513" spans="1:7">
      <c r="A3513" s="216">
        <v>44621</v>
      </c>
      <c r="B3513" t="s">
        <v>51</v>
      </c>
      <c r="C3513">
        <v>10</v>
      </c>
      <c r="D3513" t="s">
        <v>433</v>
      </c>
      <c r="E3513" s="217">
        <v>44621</v>
      </c>
      <c r="F3513">
        <v>1490</v>
      </c>
      <c r="G3513" s="227" t="s">
        <v>116</v>
      </c>
    </row>
    <row r="3514" spans="1:7">
      <c r="A3514" s="216">
        <v>44621</v>
      </c>
      <c r="B3514" t="s">
        <v>51</v>
      </c>
      <c r="C3514">
        <v>10</v>
      </c>
      <c r="D3514" t="s">
        <v>433</v>
      </c>
      <c r="E3514" s="217">
        <v>44621</v>
      </c>
      <c r="F3514">
        <v>1560</v>
      </c>
      <c r="G3514" s="227" t="s">
        <v>107</v>
      </c>
    </row>
    <row r="3515" spans="1:7">
      <c r="A3515" s="216">
        <v>44621</v>
      </c>
      <c r="B3515" t="s">
        <v>51</v>
      </c>
      <c r="C3515">
        <v>10</v>
      </c>
      <c r="D3515" t="s">
        <v>433</v>
      </c>
      <c r="E3515" s="217">
        <v>44621</v>
      </c>
      <c r="F3515">
        <v>1560</v>
      </c>
      <c r="G3515" s="227" t="s">
        <v>102</v>
      </c>
    </row>
    <row r="3516" spans="1:7">
      <c r="A3516" s="216">
        <v>44621</v>
      </c>
      <c r="B3516" t="s">
        <v>51</v>
      </c>
      <c r="C3516">
        <v>10</v>
      </c>
      <c r="D3516" t="s">
        <v>433</v>
      </c>
      <c r="E3516" s="217">
        <v>44621</v>
      </c>
      <c r="F3516">
        <v>1584</v>
      </c>
      <c r="G3516" s="227" t="s">
        <v>85</v>
      </c>
    </row>
    <row r="3517" spans="1:7">
      <c r="A3517" s="216">
        <v>44621</v>
      </c>
      <c r="B3517" t="s">
        <v>51</v>
      </c>
      <c r="C3517">
        <v>10</v>
      </c>
      <c r="D3517" t="s">
        <v>433</v>
      </c>
      <c r="E3517" s="217">
        <v>44621</v>
      </c>
      <c r="F3517">
        <v>1822</v>
      </c>
      <c r="G3517" s="227" t="s">
        <v>129</v>
      </c>
    </row>
    <row r="3518" spans="1:7">
      <c r="A3518" s="216">
        <v>44621</v>
      </c>
      <c r="B3518" t="s">
        <v>51</v>
      </c>
      <c r="C3518">
        <v>10</v>
      </c>
      <c r="D3518" t="s">
        <v>433</v>
      </c>
      <c r="E3518" s="217">
        <v>44621</v>
      </c>
      <c r="F3518">
        <v>1743</v>
      </c>
      <c r="G3518" s="227" t="s">
        <v>125</v>
      </c>
    </row>
    <row r="3519" spans="1:7">
      <c r="A3519" s="216">
        <v>44621</v>
      </c>
      <c r="B3519" t="s">
        <v>51</v>
      </c>
      <c r="C3519">
        <v>10</v>
      </c>
      <c r="D3519" t="s">
        <v>433</v>
      </c>
      <c r="E3519" s="217">
        <v>44621</v>
      </c>
      <c r="F3519">
        <v>1752</v>
      </c>
      <c r="G3519" s="227" t="s">
        <v>121</v>
      </c>
    </row>
    <row r="3520" spans="1:7">
      <c r="A3520" s="216">
        <v>44621</v>
      </c>
      <c r="B3520" t="s">
        <v>51</v>
      </c>
      <c r="C3520">
        <v>10</v>
      </c>
      <c r="D3520" t="s">
        <v>433</v>
      </c>
      <c r="E3520" s="217">
        <v>44621</v>
      </c>
      <c r="F3520">
        <v>1774</v>
      </c>
      <c r="G3520" s="227" t="s">
        <v>90</v>
      </c>
    </row>
    <row r="3521" spans="1:7">
      <c r="A3521" s="216">
        <v>44621</v>
      </c>
      <c r="B3521" t="s">
        <v>51</v>
      </c>
      <c r="C3521">
        <v>10</v>
      </c>
      <c r="D3521" t="s">
        <v>433</v>
      </c>
      <c r="E3521" s="217">
        <v>44621</v>
      </c>
      <c r="F3521">
        <v>1851</v>
      </c>
      <c r="G3521" s="227" t="s">
        <v>98</v>
      </c>
    </row>
    <row r="3522" spans="1:7">
      <c r="A3522" s="216">
        <v>44621</v>
      </c>
      <c r="B3522" t="s">
        <v>51</v>
      </c>
      <c r="C3522">
        <v>10</v>
      </c>
      <c r="D3522" t="s">
        <v>433</v>
      </c>
      <c r="E3522" s="217">
        <v>44621</v>
      </c>
      <c r="F3522">
        <v>1850</v>
      </c>
      <c r="G3522" s="227" t="s">
        <v>94</v>
      </c>
    </row>
    <row r="3523" spans="1:7">
      <c r="A3523" s="216">
        <v>44621</v>
      </c>
      <c r="B3523" t="s">
        <v>51</v>
      </c>
      <c r="C3523">
        <v>10</v>
      </c>
      <c r="D3523" t="s">
        <v>433</v>
      </c>
      <c r="E3523" s="217">
        <v>44621</v>
      </c>
      <c r="F3523">
        <v>2822</v>
      </c>
      <c r="G3523" s="227" t="s">
        <v>112</v>
      </c>
    </row>
    <row r="3524" spans="1:7">
      <c r="A3524" s="216">
        <v>44621</v>
      </c>
      <c r="B3524" t="s">
        <v>51</v>
      </c>
      <c r="C3524">
        <v>10</v>
      </c>
      <c r="D3524" t="s">
        <v>433</v>
      </c>
      <c r="E3524" s="217">
        <v>44621</v>
      </c>
      <c r="F3524">
        <v>21299</v>
      </c>
      <c r="G3524" s="227" t="s">
        <v>434</v>
      </c>
    </row>
    <row r="3525" spans="1:7">
      <c r="A3525" s="216">
        <v>44621</v>
      </c>
      <c r="B3525" t="s">
        <v>51</v>
      </c>
      <c r="C3525">
        <v>11</v>
      </c>
      <c r="D3525" t="s">
        <v>445</v>
      </c>
      <c r="E3525" s="217">
        <v>44621</v>
      </c>
      <c r="F3525">
        <v>899</v>
      </c>
      <c r="G3525" s="227" t="s">
        <v>80</v>
      </c>
    </row>
    <row r="3526" spans="1:7">
      <c r="A3526" s="216">
        <v>44621</v>
      </c>
      <c r="B3526" t="s">
        <v>51</v>
      </c>
      <c r="C3526">
        <v>11</v>
      </c>
      <c r="D3526" t="s">
        <v>445</v>
      </c>
      <c r="E3526" s="217">
        <v>44621</v>
      </c>
      <c r="F3526">
        <v>854</v>
      </c>
      <c r="G3526" s="227" t="s">
        <v>116</v>
      </c>
    </row>
    <row r="3527" spans="1:7">
      <c r="A3527" s="216">
        <v>44621</v>
      </c>
      <c r="B3527" t="s">
        <v>51</v>
      </c>
      <c r="C3527">
        <v>11</v>
      </c>
      <c r="D3527" t="s">
        <v>445</v>
      </c>
      <c r="E3527" s="217">
        <v>44621</v>
      </c>
      <c r="F3527">
        <v>975</v>
      </c>
      <c r="G3527" s="227" t="s">
        <v>107</v>
      </c>
    </row>
    <row r="3528" spans="1:7">
      <c r="A3528" s="216">
        <v>44621</v>
      </c>
      <c r="B3528" t="s">
        <v>51</v>
      </c>
      <c r="C3528">
        <v>11</v>
      </c>
      <c r="D3528" t="s">
        <v>445</v>
      </c>
      <c r="E3528" s="217">
        <v>44621</v>
      </c>
      <c r="F3528">
        <v>1038</v>
      </c>
      <c r="G3528" s="227" t="s">
        <v>102</v>
      </c>
    </row>
    <row r="3529" spans="1:7">
      <c r="A3529" s="216">
        <v>44621</v>
      </c>
      <c r="B3529" t="s">
        <v>51</v>
      </c>
      <c r="C3529">
        <v>11</v>
      </c>
      <c r="D3529" t="s">
        <v>445</v>
      </c>
      <c r="E3529" s="217">
        <v>44621</v>
      </c>
      <c r="F3529">
        <v>783</v>
      </c>
      <c r="G3529" s="227" t="s">
        <v>85</v>
      </c>
    </row>
    <row r="3530" spans="1:7">
      <c r="A3530" s="216">
        <v>44621</v>
      </c>
      <c r="B3530" t="s">
        <v>51</v>
      </c>
      <c r="C3530">
        <v>11</v>
      </c>
      <c r="D3530" t="s">
        <v>445</v>
      </c>
      <c r="E3530" s="217">
        <v>44621</v>
      </c>
      <c r="F3530">
        <v>1015</v>
      </c>
      <c r="G3530" s="227" t="s">
        <v>129</v>
      </c>
    </row>
    <row r="3531" spans="1:7">
      <c r="A3531" s="216">
        <v>44621</v>
      </c>
      <c r="B3531" t="s">
        <v>51</v>
      </c>
      <c r="C3531">
        <v>11</v>
      </c>
      <c r="D3531" t="s">
        <v>445</v>
      </c>
      <c r="E3531" s="217">
        <v>44621</v>
      </c>
      <c r="F3531">
        <v>1194</v>
      </c>
      <c r="G3531" s="227" t="s">
        <v>125</v>
      </c>
    </row>
    <row r="3532" spans="1:7">
      <c r="A3532" s="216">
        <v>44621</v>
      </c>
      <c r="B3532" t="s">
        <v>51</v>
      </c>
      <c r="C3532">
        <v>11</v>
      </c>
      <c r="D3532" t="s">
        <v>445</v>
      </c>
      <c r="E3532" s="217">
        <v>44621</v>
      </c>
      <c r="F3532">
        <v>1009</v>
      </c>
      <c r="G3532" s="227" t="s">
        <v>121</v>
      </c>
    </row>
    <row r="3533" spans="1:7">
      <c r="A3533" s="216">
        <v>44621</v>
      </c>
      <c r="B3533" t="s">
        <v>51</v>
      </c>
      <c r="C3533">
        <v>11</v>
      </c>
      <c r="D3533" t="s">
        <v>445</v>
      </c>
      <c r="E3533" s="217">
        <v>44621</v>
      </c>
      <c r="F3533">
        <v>1501</v>
      </c>
      <c r="G3533" s="227" t="s">
        <v>90</v>
      </c>
    </row>
    <row r="3534" spans="1:7">
      <c r="A3534" s="216">
        <v>44621</v>
      </c>
      <c r="B3534" t="s">
        <v>51</v>
      </c>
      <c r="C3534">
        <v>11</v>
      </c>
      <c r="D3534" t="s">
        <v>445</v>
      </c>
      <c r="E3534" s="217">
        <v>44621</v>
      </c>
      <c r="F3534">
        <v>1125</v>
      </c>
      <c r="G3534" s="227" t="s">
        <v>98</v>
      </c>
    </row>
    <row r="3535" spans="1:7">
      <c r="A3535" s="216">
        <v>44621</v>
      </c>
      <c r="B3535" t="s">
        <v>51</v>
      </c>
      <c r="C3535">
        <v>11</v>
      </c>
      <c r="D3535" t="s">
        <v>445</v>
      </c>
      <c r="E3535" s="217">
        <v>44621</v>
      </c>
      <c r="F3535">
        <v>1339</v>
      </c>
      <c r="G3535" s="227" t="s">
        <v>94</v>
      </c>
    </row>
    <row r="3536" spans="1:7">
      <c r="A3536" s="216">
        <v>44621</v>
      </c>
      <c r="B3536" t="s">
        <v>51</v>
      </c>
      <c r="C3536">
        <v>11</v>
      </c>
      <c r="D3536" t="s">
        <v>445</v>
      </c>
      <c r="E3536" s="217">
        <v>44621</v>
      </c>
      <c r="F3536">
        <v>1813</v>
      </c>
      <c r="G3536" s="227" t="s">
        <v>112</v>
      </c>
    </row>
    <row r="3537" spans="1:7">
      <c r="A3537" s="216">
        <v>44621</v>
      </c>
      <c r="B3537" t="s">
        <v>51</v>
      </c>
      <c r="C3537">
        <v>11</v>
      </c>
      <c r="D3537" t="s">
        <v>445</v>
      </c>
      <c r="E3537" s="217">
        <v>44621</v>
      </c>
      <c r="F3537">
        <v>13545</v>
      </c>
      <c r="G3537" s="227" t="s">
        <v>434</v>
      </c>
    </row>
    <row r="3538" spans="1:7">
      <c r="A3538" s="216">
        <v>44621</v>
      </c>
      <c r="B3538" t="s">
        <v>51</v>
      </c>
      <c r="C3538">
        <v>12</v>
      </c>
      <c r="D3538" t="s">
        <v>454</v>
      </c>
      <c r="E3538" s="217">
        <v>44621</v>
      </c>
      <c r="F3538">
        <v>0</v>
      </c>
      <c r="G3538" s="227" t="s">
        <v>80</v>
      </c>
    </row>
    <row r="3539" spans="1:7">
      <c r="A3539" s="216">
        <v>44621</v>
      </c>
      <c r="B3539" t="s">
        <v>51</v>
      </c>
      <c r="C3539">
        <v>12</v>
      </c>
      <c r="D3539" t="s">
        <v>454</v>
      </c>
      <c r="E3539" s="217">
        <v>44621</v>
      </c>
      <c r="F3539">
        <v>0</v>
      </c>
      <c r="G3539" s="227" t="s">
        <v>116</v>
      </c>
    </row>
    <row r="3540" spans="1:7">
      <c r="A3540" s="216">
        <v>44621</v>
      </c>
      <c r="B3540" t="s">
        <v>51</v>
      </c>
      <c r="C3540">
        <v>12</v>
      </c>
      <c r="D3540" t="s">
        <v>454</v>
      </c>
      <c r="E3540" s="217">
        <v>44621</v>
      </c>
      <c r="F3540">
        <v>0</v>
      </c>
      <c r="G3540" s="227" t="s">
        <v>107</v>
      </c>
    </row>
    <row r="3541" spans="1:7">
      <c r="A3541" s="216">
        <v>44621</v>
      </c>
      <c r="B3541" t="s">
        <v>51</v>
      </c>
      <c r="C3541">
        <v>12</v>
      </c>
      <c r="D3541" t="s">
        <v>454</v>
      </c>
      <c r="E3541" s="217">
        <v>44621</v>
      </c>
      <c r="F3541">
        <v>0</v>
      </c>
      <c r="G3541" s="227" t="s">
        <v>102</v>
      </c>
    </row>
    <row r="3542" spans="1:7">
      <c r="A3542" s="216">
        <v>44621</v>
      </c>
      <c r="B3542" t="s">
        <v>51</v>
      </c>
      <c r="C3542">
        <v>12</v>
      </c>
      <c r="D3542" t="s">
        <v>454</v>
      </c>
      <c r="E3542" s="217">
        <v>44621</v>
      </c>
      <c r="F3542">
        <v>0</v>
      </c>
      <c r="G3542" s="227" t="s">
        <v>85</v>
      </c>
    </row>
    <row r="3543" spans="1:7">
      <c r="A3543" s="216">
        <v>44621</v>
      </c>
      <c r="B3543" t="s">
        <v>51</v>
      </c>
      <c r="C3543">
        <v>12</v>
      </c>
      <c r="D3543" t="s">
        <v>454</v>
      </c>
      <c r="E3543" s="217">
        <v>44621</v>
      </c>
      <c r="F3543">
        <v>0</v>
      </c>
      <c r="G3543" s="227" t="s">
        <v>129</v>
      </c>
    </row>
    <row r="3544" spans="1:7">
      <c r="A3544" s="216">
        <v>44621</v>
      </c>
      <c r="B3544" t="s">
        <v>51</v>
      </c>
      <c r="C3544">
        <v>12</v>
      </c>
      <c r="D3544" t="s">
        <v>454</v>
      </c>
      <c r="E3544" s="217">
        <v>44621</v>
      </c>
      <c r="F3544">
        <v>0</v>
      </c>
      <c r="G3544" s="227" t="s">
        <v>125</v>
      </c>
    </row>
    <row r="3545" spans="1:7">
      <c r="A3545" s="216">
        <v>44621</v>
      </c>
      <c r="B3545" t="s">
        <v>51</v>
      </c>
      <c r="C3545">
        <v>12</v>
      </c>
      <c r="D3545" t="s">
        <v>454</v>
      </c>
      <c r="E3545" s="217">
        <v>44621</v>
      </c>
      <c r="F3545">
        <v>0</v>
      </c>
      <c r="G3545" s="227" t="s">
        <v>121</v>
      </c>
    </row>
    <row r="3546" spans="1:7">
      <c r="A3546" s="216">
        <v>44621</v>
      </c>
      <c r="B3546" t="s">
        <v>51</v>
      </c>
      <c r="C3546">
        <v>12</v>
      </c>
      <c r="D3546" t="s">
        <v>454</v>
      </c>
      <c r="E3546" s="217">
        <v>44621</v>
      </c>
      <c r="F3546">
        <v>0</v>
      </c>
      <c r="G3546" s="227" t="s">
        <v>90</v>
      </c>
    </row>
    <row r="3547" spans="1:7">
      <c r="A3547" s="216">
        <v>44621</v>
      </c>
      <c r="B3547" t="s">
        <v>51</v>
      </c>
      <c r="C3547">
        <v>12</v>
      </c>
      <c r="D3547" t="s">
        <v>454</v>
      </c>
      <c r="E3547" s="217">
        <v>44621</v>
      </c>
      <c r="F3547">
        <v>0</v>
      </c>
      <c r="G3547" s="227" t="s">
        <v>98</v>
      </c>
    </row>
    <row r="3548" spans="1:7">
      <c r="A3548" s="216">
        <v>44621</v>
      </c>
      <c r="B3548" t="s">
        <v>51</v>
      </c>
      <c r="C3548">
        <v>12</v>
      </c>
      <c r="D3548" t="s">
        <v>454</v>
      </c>
      <c r="E3548" s="217">
        <v>44621</v>
      </c>
      <c r="F3548">
        <v>0</v>
      </c>
      <c r="G3548" s="227" t="s">
        <v>94</v>
      </c>
    </row>
    <row r="3549" spans="1:7">
      <c r="A3549" s="216">
        <v>44621</v>
      </c>
      <c r="B3549" t="s">
        <v>51</v>
      </c>
      <c r="C3549">
        <v>12</v>
      </c>
      <c r="D3549" t="s">
        <v>454</v>
      </c>
      <c r="E3549" s="217">
        <v>44621</v>
      </c>
      <c r="F3549">
        <v>0</v>
      </c>
      <c r="G3549" s="227" t="s">
        <v>112</v>
      </c>
    </row>
    <row r="3550" spans="1:7">
      <c r="A3550" s="216">
        <v>44621</v>
      </c>
      <c r="B3550" t="s">
        <v>51</v>
      </c>
      <c r="C3550">
        <v>12</v>
      </c>
      <c r="D3550" t="s">
        <v>454</v>
      </c>
      <c r="E3550" s="217">
        <v>44621</v>
      </c>
      <c r="F3550">
        <v>0</v>
      </c>
      <c r="G3550" s="227" t="s">
        <v>434</v>
      </c>
    </row>
    <row r="3551" spans="1:7">
      <c r="A3551" s="216">
        <v>44621</v>
      </c>
      <c r="B3551" t="s">
        <v>51</v>
      </c>
      <c r="C3551">
        <v>13</v>
      </c>
      <c r="D3551" t="s">
        <v>441</v>
      </c>
      <c r="E3551" s="217">
        <v>44621</v>
      </c>
      <c r="F3551">
        <v>0</v>
      </c>
      <c r="G3551" s="227" t="s">
        <v>80</v>
      </c>
    </row>
    <row r="3552" spans="1:7">
      <c r="A3552" s="216">
        <v>44621</v>
      </c>
      <c r="B3552" t="s">
        <v>51</v>
      </c>
      <c r="C3552">
        <v>13</v>
      </c>
      <c r="D3552" t="s">
        <v>441</v>
      </c>
      <c r="E3552" s="217">
        <v>44621</v>
      </c>
      <c r="F3552">
        <v>0</v>
      </c>
      <c r="G3552" s="227" t="s">
        <v>116</v>
      </c>
    </row>
    <row r="3553" spans="1:7">
      <c r="A3553" s="216">
        <v>44621</v>
      </c>
      <c r="B3553" t="s">
        <v>51</v>
      </c>
      <c r="C3553">
        <v>13</v>
      </c>
      <c r="D3553" t="s">
        <v>441</v>
      </c>
      <c r="E3553" s="217">
        <v>44621</v>
      </c>
      <c r="F3553">
        <v>0</v>
      </c>
      <c r="G3553" s="227" t="s">
        <v>107</v>
      </c>
    </row>
    <row r="3554" spans="1:7">
      <c r="A3554" s="216">
        <v>44621</v>
      </c>
      <c r="B3554" t="s">
        <v>51</v>
      </c>
      <c r="C3554">
        <v>13</v>
      </c>
      <c r="D3554" t="s">
        <v>441</v>
      </c>
      <c r="E3554" s="217">
        <v>44621</v>
      </c>
      <c r="F3554">
        <v>0</v>
      </c>
      <c r="G3554" s="227" t="s">
        <v>102</v>
      </c>
    </row>
    <row r="3555" spans="1:7">
      <c r="A3555" s="216">
        <v>44621</v>
      </c>
      <c r="B3555" t="s">
        <v>51</v>
      </c>
      <c r="C3555">
        <v>13</v>
      </c>
      <c r="D3555" t="s">
        <v>441</v>
      </c>
      <c r="E3555" s="217">
        <v>44621</v>
      </c>
      <c r="F3555">
        <v>0</v>
      </c>
      <c r="G3555" s="227" t="s">
        <v>85</v>
      </c>
    </row>
    <row r="3556" spans="1:7">
      <c r="A3556" s="216">
        <v>44621</v>
      </c>
      <c r="B3556" t="s">
        <v>51</v>
      </c>
      <c r="C3556">
        <v>13</v>
      </c>
      <c r="D3556" t="s">
        <v>441</v>
      </c>
      <c r="E3556" s="217">
        <v>44621</v>
      </c>
      <c r="F3556">
        <v>0</v>
      </c>
      <c r="G3556" s="227" t="s">
        <v>129</v>
      </c>
    </row>
    <row r="3557" spans="1:7">
      <c r="A3557" s="216">
        <v>44621</v>
      </c>
      <c r="B3557" t="s">
        <v>51</v>
      </c>
      <c r="C3557">
        <v>13</v>
      </c>
      <c r="D3557" t="s">
        <v>441</v>
      </c>
      <c r="E3557" s="217">
        <v>44621</v>
      </c>
      <c r="F3557">
        <v>0</v>
      </c>
      <c r="G3557" s="227" t="s">
        <v>125</v>
      </c>
    </row>
    <row r="3558" spans="1:7">
      <c r="A3558" s="216">
        <v>44621</v>
      </c>
      <c r="B3558" t="s">
        <v>51</v>
      </c>
      <c r="C3558">
        <v>13</v>
      </c>
      <c r="D3558" t="s">
        <v>441</v>
      </c>
      <c r="E3558" s="217">
        <v>44621</v>
      </c>
      <c r="F3558">
        <v>0</v>
      </c>
      <c r="G3558" s="227" t="s">
        <v>121</v>
      </c>
    </row>
    <row r="3559" spans="1:7">
      <c r="A3559" s="216">
        <v>44621</v>
      </c>
      <c r="B3559" t="s">
        <v>51</v>
      </c>
      <c r="C3559">
        <v>13</v>
      </c>
      <c r="D3559" t="s">
        <v>441</v>
      </c>
      <c r="E3559" s="217">
        <v>44621</v>
      </c>
      <c r="F3559">
        <v>0</v>
      </c>
      <c r="G3559" s="227" t="s">
        <v>90</v>
      </c>
    </row>
    <row r="3560" spans="1:7">
      <c r="A3560" s="216">
        <v>44621</v>
      </c>
      <c r="B3560" t="s">
        <v>51</v>
      </c>
      <c r="C3560">
        <v>13</v>
      </c>
      <c r="D3560" t="s">
        <v>441</v>
      </c>
      <c r="E3560" s="217">
        <v>44621</v>
      </c>
      <c r="F3560">
        <v>0</v>
      </c>
      <c r="G3560" s="227" t="s">
        <v>98</v>
      </c>
    </row>
    <row r="3561" spans="1:7">
      <c r="A3561" s="216">
        <v>44621</v>
      </c>
      <c r="B3561" t="s">
        <v>51</v>
      </c>
      <c r="C3561">
        <v>13</v>
      </c>
      <c r="D3561" t="s">
        <v>441</v>
      </c>
      <c r="E3561" s="217">
        <v>44621</v>
      </c>
      <c r="F3561">
        <v>0</v>
      </c>
      <c r="G3561" s="227" t="s">
        <v>94</v>
      </c>
    </row>
    <row r="3562" spans="1:7">
      <c r="A3562" s="216">
        <v>44621</v>
      </c>
      <c r="B3562" t="s">
        <v>51</v>
      </c>
      <c r="C3562">
        <v>13</v>
      </c>
      <c r="D3562" t="s">
        <v>441</v>
      </c>
      <c r="E3562" s="217">
        <v>44621</v>
      </c>
      <c r="F3562">
        <v>0</v>
      </c>
      <c r="G3562" s="227" t="s">
        <v>112</v>
      </c>
    </row>
    <row r="3563" spans="1:7">
      <c r="A3563" s="216">
        <v>44621</v>
      </c>
      <c r="B3563" t="s">
        <v>51</v>
      </c>
      <c r="C3563">
        <v>13</v>
      </c>
      <c r="D3563" t="s">
        <v>441</v>
      </c>
      <c r="E3563" s="217">
        <v>44621</v>
      </c>
      <c r="F3563">
        <v>0</v>
      </c>
      <c r="G3563" s="227" t="s">
        <v>434</v>
      </c>
    </row>
    <row r="3564" spans="1:7">
      <c r="A3564" s="216">
        <v>44621</v>
      </c>
      <c r="B3564" t="s">
        <v>51</v>
      </c>
      <c r="C3564">
        <v>14</v>
      </c>
      <c r="D3564" t="s">
        <v>447</v>
      </c>
      <c r="E3564" s="217">
        <v>44621</v>
      </c>
      <c r="F3564">
        <v>0</v>
      </c>
      <c r="G3564" s="227" t="s">
        <v>80</v>
      </c>
    </row>
    <row r="3565" spans="1:7">
      <c r="A3565" s="216">
        <v>44621</v>
      </c>
      <c r="B3565" t="s">
        <v>51</v>
      </c>
      <c r="C3565">
        <v>14</v>
      </c>
      <c r="D3565" t="s">
        <v>447</v>
      </c>
      <c r="E3565" s="217">
        <v>44621</v>
      </c>
      <c r="F3565">
        <v>0</v>
      </c>
      <c r="G3565" s="227" t="s">
        <v>116</v>
      </c>
    </row>
    <row r="3566" spans="1:7">
      <c r="A3566" s="216">
        <v>44621</v>
      </c>
      <c r="B3566" t="s">
        <v>51</v>
      </c>
      <c r="C3566">
        <v>14</v>
      </c>
      <c r="D3566" t="s">
        <v>447</v>
      </c>
      <c r="E3566" s="217">
        <v>44621</v>
      </c>
      <c r="F3566">
        <v>0</v>
      </c>
      <c r="G3566" s="227" t="s">
        <v>107</v>
      </c>
    </row>
    <row r="3567" spans="1:7">
      <c r="A3567" s="216">
        <v>44621</v>
      </c>
      <c r="B3567" t="s">
        <v>51</v>
      </c>
      <c r="C3567">
        <v>14</v>
      </c>
      <c r="D3567" t="s">
        <v>447</v>
      </c>
      <c r="E3567" s="217">
        <v>44621</v>
      </c>
      <c r="F3567">
        <v>0</v>
      </c>
      <c r="G3567" s="227" t="s">
        <v>102</v>
      </c>
    </row>
    <row r="3568" spans="1:7">
      <c r="A3568" s="216">
        <v>44621</v>
      </c>
      <c r="B3568" t="s">
        <v>51</v>
      </c>
      <c r="C3568">
        <v>14</v>
      </c>
      <c r="D3568" t="s">
        <v>447</v>
      </c>
      <c r="E3568" s="217">
        <v>44621</v>
      </c>
      <c r="F3568">
        <v>0</v>
      </c>
      <c r="G3568" s="227" t="s">
        <v>85</v>
      </c>
    </row>
    <row r="3569" spans="1:7">
      <c r="A3569" s="216">
        <v>44621</v>
      </c>
      <c r="B3569" t="s">
        <v>51</v>
      </c>
      <c r="C3569">
        <v>14</v>
      </c>
      <c r="D3569" t="s">
        <v>447</v>
      </c>
      <c r="E3569" s="217">
        <v>44621</v>
      </c>
      <c r="F3569">
        <v>0</v>
      </c>
      <c r="G3569" s="227" t="s">
        <v>129</v>
      </c>
    </row>
    <row r="3570" spans="1:7">
      <c r="A3570" s="216">
        <v>44621</v>
      </c>
      <c r="B3570" t="s">
        <v>51</v>
      </c>
      <c r="C3570">
        <v>14</v>
      </c>
      <c r="D3570" t="s">
        <v>447</v>
      </c>
      <c r="E3570" s="217">
        <v>44621</v>
      </c>
      <c r="F3570">
        <v>0</v>
      </c>
      <c r="G3570" s="227" t="s">
        <v>125</v>
      </c>
    </row>
    <row r="3571" spans="1:7">
      <c r="A3571" s="216">
        <v>44621</v>
      </c>
      <c r="B3571" t="s">
        <v>51</v>
      </c>
      <c r="C3571">
        <v>14</v>
      </c>
      <c r="D3571" t="s">
        <v>447</v>
      </c>
      <c r="E3571" s="217">
        <v>44621</v>
      </c>
      <c r="F3571">
        <v>0</v>
      </c>
      <c r="G3571" s="227" t="s">
        <v>121</v>
      </c>
    </row>
    <row r="3572" spans="1:7">
      <c r="A3572" s="216">
        <v>44621</v>
      </c>
      <c r="B3572" t="s">
        <v>51</v>
      </c>
      <c r="C3572">
        <v>14</v>
      </c>
      <c r="D3572" t="s">
        <v>447</v>
      </c>
      <c r="E3572" s="217">
        <v>44621</v>
      </c>
      <c r="F3572">
        <v>0</v>
      </c>
      <c r="G3572" s="227" t="s">
        <v>90</v>
      </c>
    </row>
    <row r="3573" spans="1:7">
      <c r="A3573" s="216">
        <v>44621</v>
      </c>
      <c r="B3573" t="s">
        <v>51</v>
      </c>
      <c r="C3573">
        <v>14</v>
      </c>
      <c r="D3573" t="s">
        <v>447</v>
      </c>
      <c r="E3573" s="217">
        <v>44621</v>
      </c>
      <c r="F3573">
        <v>0</v>
      </c>
      <c r="G3573" s="227" t="s">
        <v>98</v>
      </c>
    </row>
    <row r="3574" spans="1:7">
      <c r="A3574" s="216">
        <v>44621</v>
      </c>
      <c r="B3574" t="s">
        <v>51</v>
      </c>
      <c r="C3574">
        <v>14</v>
      </c>
      <c r="D3574" t="s">
        <v>447</v>
      </c>
      <c r="E3574" s="217">
        <v>44621</v>
      </c>
      <c r="F3574">
        <v>0</v>
      </c>
      <c r="G3574" s="227" t="s">
        <v>94</v>
      </c>
    </row>
    <row r="3575" spans="1:7">
      <c r="A3575" s="216">
        <v>44621</v>
      </c>
      <c r="B3575" t="s">
        <v>51</v>
      </c>
      <c r="C3575">
        <v>14</v>
      </c>
      <c r="D3575" t="s">
        <v>447</v>
      </c>
      <c r="E3575" s="217">
        <v>44621</v>
      </c>
      <c r="F3575">
        <v>0</v>
      </c>
      <c r="G3575" s="227" t="s">
        <v>112</v>
      </c>
    </row>
    <row r="3576" spans="1:7">
      <c r="A3576" s="216">
        <v>44621</v>
      </c>
      <c r="B3576" t="s">
        <v>51</v>
      </c>
      <c r="C3576">
        <v>14</v>
      </c>
      <c r="D3576" t="s">
        <v>447</v>
      </c>
      <c r="E3576" s="217">
        <v>44621</v>
      </c>
      <c r="F3576">
        <v>0</v>
      </c>
      <c r="G3576" s="227" t="s">
        <v>434</v>
      </c>
    </row>
    <row r="3577" spans="1:7">
      <c r="A3577" s="216">
        <v>44621</v>
      </c>
      <c r="B3577" t="s">
        <v>51</v>
      </c>
      <c r="C3577">
        <v>15</v>
      </c>
      <c r="D3577" t="s">
        <v>437</v>
      </c>
      <c r="E3577" s="217">
        <v>44621</v>
      </c>
      <c r="F3577">
        <v>0</v>
      </c>
      <c r="G3577" s="227" t="s">
        <v>80</v>
      </c>
    </row>
    <row r="3578" spans="1:7">
      <c r="A3578" s="216">
        <v>44621</v>
      </c>
      <c r="B3578" t="s">
        <v>51</v>
      </c>
      <c r="C3578">
        <v>15</v>
      </c>
      <c r="D3578" t="s">
        <v>437</v>
      </c>
      <c r="E3578" s="217">
        <v>44621</v>
      </c>
      <c r="F3578">
        <v>0</v>
      </c>
      <c r="G3578" s="227" t="s">
        <v>116</v>
      </c>
    </row>
    <row r="3579" spans="1:7">
      <c r="A3579" s="216">
        <v>44621</v>
      </c>
      <c r="B3579" t="s">
        <v>51</v>
      </c>
      <c r="C3579">
        <v>15</v>
      </c>
      <c r="D3579" t="s">
        <v>437</v>
      </c>
      <c r="E3579" s="217">
        <v>44621</v>
      </c>
      <c r="F3579">
        <v>0</v>
      </c>
      <c r="G3579" s="227" t="s">
        <v>107</v>
      </c>
    </row>
    <row r="3580" spans="1:7">
      <c r="A3580" s="216">
        <v>44621</v>
      </c>
      <c r="B3580" t="s">
        <v>51</v>
      </c>
      <c r="C3580">
        <v>15</v>
      </c>
      <c r="D3580" t="s">
        <v>437</v>
      </c>
      <c r="E3580" s="217">
        <v>44621</v>
      </c>
      <c r="F3580">
        <v>0</v>
      </c>
      <c r="G3580" s="227" t="s">
        <v>102</v>
      </c>
    </row>
    <row r="3581" spans="1:7">
      <c r="A3581" s="216">
        <v>44621</v>
      </c>
      <c r="B3581" t="s">
        <v>51</v>
      </c>
      <c r="C3581">
        <v>15</v>
      </c>
      <c r="D3581" t="s">
        <v>437</v>
      </c>
      <c r="E3581" s="217">
        <v>44621</v>
      </c>
      <c r="F3581">
        <v>0</v>
      </c>
      <c r="G3581" s="227" t="s">
        <v>85</v>
      </c>
    </row>
    <row r="3582" spans="1:7">
      <c r="A3582" s="216">
        <v>44621</v>
      </c>
      <c r="B3582" t="s">
        <v>51</v>
      </c>
      <c r="C3582">
        <v>15</v>
      </c>
      <c r="D3582" t="s">
        <v>437</v>
      </c>
      <c r="E3582" s="217">
        <v>44621</v>
      </c>
      <c r="F3582">
        <v>0</v>
      </c>
      <c r="G3582" s="227" t="s">
        <v>129</v>
      </c>
    </row>
    <row r="3583" spans="1:7">
      <c r="A3583" s="216">
        <v>44621</v>
      </c>
      <c r="B3583" t="s">
        <v>51</v>
      </c>
      <c r="C3583">
        <v>15</v>
      </c>
      <c r="D3583" t="s">
        <v>437</v>
      </c>
      <c r="E3583" s="217">
        <v>44621</v>
      </c>
      <c r="F3583">
        <v>0</v>
      </c>
      <c r="G3583" s="227" t="s">
        <v>125</v>
      </c>
    </row>
    <row r="3584" spans="1:7">
      <c r="A3584" s="216">
        <v>44621</v>
      </c>
      <c r="B3584" t="s">
        <v>51</v>
      </c>
      <c r="C3584">
        <v>15</v>
      </c>
      <c r="D3584" t="s">
        <v>437</v>
      </c>
      <c r="E3584" s="217">
        <v>44621</v>
      </c>
      <c r="F3584">
        <v>0</v>
      </c>
      <c r="G3584" s="227" t="s">
        <v>121</v>
      </c>
    </row>
    <row r="3585" spans="1:7">
      <c r="A3585" s="216">
        <v>44621</v>
      </c>
      <c r="B3585" t="s">
        <v>51</v>
      </c>
      <c r="C3585">
        <v>15</v>
      </c>
      <c r="D3585" t="s">
        <v>437</v>
      </c>
      <c r="E3585" s="217">
        <v>44621</v>
      </c>
      <c r="F3585">
        <v>0</v>
      </c>
      <c r="G3585" s="227" t="s">
        <v>90</v>
      </c>
    </row>
    <row r="3586" spans="1:7">
      <c r="A3586" s="216">
        <v>44621</v>
      </c>
      <c r="B3586" t="s">
        <v>51</v>
      </c>
      <c r="C3586">
        <v>15</v>
      </c>
      <c r="D3586" t="s">
        <v>437</v>
      </c>
      <c r="E3586" s="217">
        <v>44621</v>
      </c>
      <c r="F3586">
        <v>0</v>
      </c>
      <c r="G3586" s="227" t="s">
        <v>98</v>
      </c>
    </row>
    <row r="3587" spans="1:7">
      <c r="A3587" s="216">
        <v>44621</v>
      </c>
      <c r="B3587" t="s">
        <v>51</v>
      </c>
      <c r="C3587">
        <v>15</v>
      </c>
      <c r="D3587" t="s">
        <v>437</v>
      </c>
      <c r="E3587" s="217">
        <v>44621</v>
      </c>
      <c r="F3587">
        <v>0</v>
      </c>
      <c r="G3587" s="227" t="s">
        <v>94</v>
      </c>
    </row>
    <row r="3588" spans="1:7">
      <c r="A3588" s="216">
        <v>44621</v>
      </c>
      <c r="B3588" t="s">
        <v>51</v>
      </c>
      <c r="C3588">
        <v>15</v>
      </c>
      <c r="D3588" t="s">
        <v>437</v>
      </c>
      <c r="E3588" s="217">
        <v>44621</v>
      </c>
      <c r="F3588">
        <v>0</v>
      </c>
      <c r="G3588" s="227" t="s">
        <v>112</v>
      </c>
    </row>
    <row r="3589" spans="1:7">
      <c r="A3589" s="216">
        <v>44621</v>
      </c>
      <c r="B3589" t="s">
        <v>51</v>
      </c>
      <c r="C3589">
        <v>15</v>
      </c>
      <c r="D3589" t="s">
        <v>437</v>
      </c>
      <c r="E3589" s="217">
        <v>44621</v>
      </c>
      <c r="F3589">
        <v>0</v>
      </c>
      <c r="G3589" s="227" t="s">
        <v>434</v>
      </c>
    </row>
    <row r="3590" spans="1:7">
      <c r="A3590" s="216">
        <v>44621</v>
      </c>
      <c r="B3590" t="s">
        <v>53</v>
      </c>
      <c r="C3590">
        <v>7</v>
      </c>
      <c r="D3590" t="s">
        <v>442</v>
      </c>
      <c r="E3590" s="217">
        <v>44621</v>
      </c>
      <c r="F3590">
        <v>28354</v>
      </c>
      <c r="G3590" s="227" t="s">
        <v>80</v>
      </c>
    </row>
    <row r="3591" spans="1:7">
      <c r="A3591" s="216">
        <v>44621</v>
      </c>
      <c r="B3591" t="s">
        <v>53</v>
      </c>
      <c r="C3591">
        <v>7</v>
      </c>
      <c r="D3591" t="s">
        <v>442</v>
      </c>
      <c r="E3591" s="217">
        <v>44621</v>
      </c>
      <c r="F3591">
        <v>30869</v>
      </c>
      <c r="G3591" s="227" t="s">
        <v>116</v>
      </c>
    </row>
    <row r="3592" spans="1:7">
      <c r="A3592" s="216">
        <v>44621</v>
      </c>
      <c r="B3592" t="s">
        <v>53</v>
      </c>
      <c r="C3592">
        <v>7</v>
      </c>
      <c r="D3592" t="s">
        <v>442</v>
      </c>
      <c r="E3592" s="217">
        <v>44621</v>
      </c>
      <c r="F3592">
        <v>33558</v>
      </c>
      <c r="G3592" s="227" t="s">
        <v>107</v>
      </c>
    </row>
    <row r="3593" spans="1:7">
      <c r="A3593" s="216">
        <v>44621</v>
      </c>
      <c r="B3593" t="s">
        <v>53</v>
      </c>
      <c r="C3593">
        <v>7</v>
      </c>
      <c r="D3593" t="s">
        <v>442</v>
      </c>
      <c r="E3593" s="217">
        <v>44621</v>
      </c>
      <c r="F3593">
        <v>38850</v>
      </c>
      <c r="G3593" s="227" t="s">
        <v>102</v>
      </c>
    </row>
    <row r="3594" spans="1:7">
      <c r="A3594" s="216">
        <v>44621</v>
      </c>
      <c r="B3594" t="s">
        <v>53</v>
      </c>
      <c r="C3594">
        <v>7</v>
      </c>
      <c r="D3594" t="s">
        <v>442</v>
      </c>
      <c r="E3594" s="217">
        <v>44621</v>
      </c>
      <c r="F3594">
        <v>41327</v>
      </c>
      <c r="G3594" s="227" t="s">
        <v>85</v>
      </c>
    </row>
    <row r="3595" spans="1:7">
      <c r="A3595" s="216">
        <v>44621</v>
      </c>
      <c r="B3595" t="s">
        <v>53</v>
      </c>
      <c r="C3595">
        <v>7</v>
      </c>
      <c r="D3595" t="s">
        <v>442</v>
      </c>
      <c r="E3595" s="217">
        <v>44621</v>
      </c>
      <c r="F3595">
        <v>45240</v>
      </c>
      <c r="G3595" s="227" t="s">
        <v>129</v>
      </c>
    </row>
    <row r="3596" spans="1:7">
      <c r="A3596" s="216">
        <v>44621</v>
      </c>
      <c r="B3596" t="s">
        <v>53</v>
      </c>
      <c r="C3596">
        <v>7</v>
      </c>
      <c r="D3596" t="s">
        <v>442</v>
      </c>
      <c r="E3596" s="217">
        <v>44621</v>
      </c>
      <c r="F3596">
        <v>44656</v>
      </c>
      <c r="G3596" s="227" t="s">
        <v>125</v>
      </c>
    </row>
    <row r="3597" spans="1:7">
      <c r="A3597" s="216">
        <v>44621</v>
      </c>
      <c r="B3597" t="s">
        <v>53</v>
      </c>
      <c r="C3597">
        <v>7</v>
      </c>
      <c r="D3597" t="s">
        <v>442</v>
      </c>
      <c r="E3597" s="217">
        <v>44621</v>
      </c>
      <c r="F3597">
        <v>36686</v>
      </c>
      <c r="G3597" s="227" t="s">
        <v>121</v>
      </c>
    </row>
    <row r="3598" spans="1:7">
      <c r="A3598" s="216">
        <v>44621</v>
      </c>
      <c r="B3598" t="s">
        <v>53</v>
      </c>
      <c r="C3598">
        <v>7</v>
      </c>
      <c r="D3598" t="s">
        <v>442</v>
      </c>
      <c r="E3598" s="217">
        <v>44621</v>
      </c>
      <c r="F3598">
        <v>69287</v>
      </c>
      <c r="G3598" s="227" t="s">
        <v>90</v>
      </c>
    </row>
    <row r="3599" spans="1:7">
      <c r="A3599" s="216">
        <v>44621</v>
      </c>
      <c r="B3599" t="s">
        <v>53</v>
      </c>
      <c r="C3599">
        <v>7</v>
      </c>
      <c r="D3599" t="s">
        <v>442</v>
      </c>
      <c r="E3599" s="217">
        <v>44621</v>
      </c>
      <c r="F3599">
        <v>46154</v>
      </c>
      <c r="G3599" s="227" t="s">
        <v>98</v>
      </c>
    </row>
    <row r="3600" spans="1:7">
      <c r="A3600" s="216">
        <v>44621</v>
      </c>
      <c r="B3600" t="s">
        <v>53</v>
      </c>
      <c r="C3600">
        <v>7</v>
      </c>
      <c r="D3600" t="s">
        <v>442</v>
      </c>
      <c r="E3600" s="217">
        <v>44621</v>
      </c>
      <c r="F3600">
        <v>45991</v>
      </c>
      <c r="G3600" s="227" t="s">
        <v>94</v>
      </c>
    </row>
    <row r="3601" spans="1:7">
      <c r="A3601" s="216">
        <v>44621</v>
      </c>
      <c r="B3601" t="s">
        <v>53</v>
      </c>
      <c r="C3601">
        <v>7</v>
      </c>
      <c r="D3601" t="s">
        <v>442</v>
      </c>
      <c r="E3601" s="217">
        <v>44621</v>
      </c>
      <c r="F3601">
        <v>112752</v>
      </c>
      <c r="G3601" s="227" t="s">
        <v>112</v>
      </c>
    </row>
    <row r="3602" spans="1:7">
      <c r="A3602" s="216">
        <v>44621</v>
      </c>
      <c r="B3602" t="s">
        <v>53</v>
      </c>
      <c r="C3602">
        <v>7</v>
      </c>
      <c r="D3602" t="s">
        <v>442</v>
      </c>
      <c r="E3602" s="217">
        <v>44621</v>
      </c>
      <c r="F3602">
        <v>573724</v>
      </c>
      <c r="G3602" s="227" t="s">
        <v>434</v>
      </c>
    </row>
    <row r="3603" spans="1:7">
      <c r="A3603" s="216">
        <v>44621</v>
      </c>
      <c r="B3603" t="s">
        <v>53</v>
      </c>
      <c r="C3603">
        <v>8</v>
      </c>
      <c r="D3603" t="s">
        <v>451</v>
      </c>
      <c r="E3603" s="217">
        <v>44621</v>
      </c>
      <c r="F3603">
        <v>0</v>
      </c>
      <c r="G3603" s="227" t="s">
        <v>80</v>
      </c>
    </row>
    <row r="3604" spans="1:7">
      <c r="A3604" s="216">
        <v>44621</v>
      </c>
      <c r="B3604" t="s">
        <v>53</v>
      </c>
      <c r="C3604">
        <v>8</v>
      </c>
      <c r="D3604" t="s">
        <v>451</v>
      </c>
      <c r="E3604" s="217">
        <v>44621</v>
      </c>
      <c r="F3604">
        <v>0</v>
      </c>
      <c r="G3604" s="227" t="s">
        <v>116</v>
      </c>
    </row>
    <row r="3605" spans="1:7">
      <c r="A3605" s="216">
        <v>44621</v>
      </c>
      <c r="B3605" t="s">
        <v>53</v>
      </c>
      <c r="C3605">
        <v>8</v>
      </c>
      <c r="D3605" t="s">
        <v>451</v>
      </c>
      <c r="E3605" s="217">
        <v>44621</v>
      </c>
      <c r="F3605">
        <v>0</v>
      </c>
      <c r="G3605" s="227" t="s">
        <v>107</v>
      </c>
    </row>
    <row r="3606" spans="1:7">
      <c r="A3606" s="216">
        <v>44621</v>
      </c>
      <c r="B3606" t="s">
        <v>53</v>
      </c>
      <c r="C3606">
        <v>8</v>
      </c>
      <c r="D3606" t="s">
        <v>451</v>
      </c>
      <c r="E3606" s="217">
        <v>44621</v>
      </c>
      <c r="F3606">
        <v>0</v>
      </c>
      <c r="G3606" s="227" t="s">
        <v>102</v>
      </c>
    </row>
    <row r="3607" spans="1:7">
      <c r="A3607" s="216">
        <v>44621</v>
      </c>
      <c r="B3607" t="s">
        <v>53</v>
      </c>
      <c r="C3607">
        <v>8</v>
      </c>
      <c r="D3607" t="s">
        <v>451</v>
      </c>
      <c r="E3607" s="217">
        <v>44621</v>
      </c>
      <c r="F3607">
        <v>0</v>
      </c>
      <c r="G3607" s="227" t="s">
        <v>85</v>
      </c>
    </row>
    <row r="3608" spans="1:7">
      <c r="A3608" s="216">
        <v>44621</v>
      </c>
      <c r="B3608" t="s">
        <v>53</v>
      </c>
      <c r="C3608">
        <v>8</v>
      </c>
      <c r="D3608" t="s">
        <v>451</v>
      </c>
      <c r="E3608" s="217">
        <v>44621</v>
      </c>
      <c r="F3608">
        <v>0</v>
      </c>
      <c r="G3608" s="227" t="s">
        <v>129</v>
      </c>
    </row>
    <row r="3609" spans="1:7">
      <c r="A3609" s="216">
        <v>44621</v>
      </c>
      <c r="B3609" t="s">
        <v>53</v>
      </c>
      <c r="C3609">
        <v>8</v>
      </c>
      <c r="D3609" t="s">
        <v>451</v>
      </c>
      <c r="E3609" s="217">
        <v>44621</v>
      </c>
      <c r="F3609">
        <v>0</v>
      </c>
      <c r="G3609" s="227" t="s">
        <v>125</v>
      </c>
    </row>
    <row r="3610" spans="1:7">
      <c r="A3610" s="216">
        <v>44621</v>
      </c>
      <c r="B3610" t="s">
        <v>53</v>
      </c>
      <c r="C3610">
        <v>8</v>
      </c>
      <c r="D3610" t="s">
        <v>451</v>
      </c>
      <c r="E3610" s="217">
        <v>44621</v>
      </c>
      <c r="F3610">
        <v>0</v>
      </c>
      <c r="G3610" s="227" t="s">
        <v>121</v>
      </c>
    </row>
    <row r="3611" spans="1:7">
      <c r="A3611" s="216">
        <v>44621</v>
      </c>
      <c r="B3611" t="s">
        <v>53</v>
      </c>
      <c r="C3611">
        <v>8</v>
      </c>
      <c r="D3611" t="s">
        <v>451</v>
      </c>
      <c r="E3611" s="217">
        <v>44621</v>
      </c>
      <c r="F3611">
        <v>0</v>
      </c>
      <c r="G3611" s="227" t="s">
        <v>90</v>
      </c>
    </row>
    <row r="3612" spans="1:7">
      <c r="A3612" s="216">
        <v>44621</v>
      </c>
      <c r="B3612" t="s">
        <v>53</v>
      </c>
      <c r="C3612">
        <v>8</v>
      </c>
      <c r="D3612" t="s">
        <v>451</v>
      </c>
      <c r="E3612" s="217">
        <v>44621</v>
      </c>
      <c r="F3612">
        <v>0</v>
      </c>
      <c r="G3612" s="227" t="s">
        <v>98</v>
      </c>
    </row>
    <row r="3613" spans="1:7">
      <c r="A3613" s="216">
        <v>44621</v>
      </c>
      <c r="B3613" t="s">
        <v>53</v>
      </c>
      <c r="C3613">
        <v>8</v>
      </c>
      <c r="D3613" t="s">
        <v>451</v>
      </c>
      <c r="E3613" s="217">
        <v>44621</v>
      </c>
      <c r="F3613">
        <v>0</v>
      </c>
      <c r="G3613" s="227" t="s">
        <v>94</v>
      </c>
    </row>
    <row r="3614" spans="1:7">
      <c r="A3614" s="216">
        <v>44621</v>
      </c>
      <c r="B3614" t="s">
        <v>53</v>
      </c>
      <c r="C3614">
        <v>8</v>
      </c>
      <c r="D3614" t="s">
        <v>451</v>
      </c>
      <c r="E3614" s="217">
        <v>44621</v>
      </c>
      <c r="F3614">
        <v>0</v>
      </c>
      <c r="G3614" s="227" t="s">
        <v>112</v>
      </c>
    </row>
    <row r="3615" spans="1:7">
      <c r="A3615" s="216">
        <v>44621</v>
      </c>
      <c r="B3615" t="s">
        <v>53</v>
      </c>
      <c r="C3615">
        <v>8</v>
      </c>
      <c r="D3615" t="s">
        <v>451</v>
      </c>
      <c r="E3615" s="217">
        <v>44621</v>
      </c>
      <c r="F3615">
        <v>0</v>
      </c>
      <c r="G3615" s="227" t="s">
        <v>434</v>
      </c>
    </row>
    <row r="3616" spans="1:7">
      <c r="A3616" s="216">
        <v>44621</v>
      </c>
      <c r="B3616" t="s">
        <v>53</v>
      </c>
      <c r="C3616">
        <v>9</v>
      </c>
      <c r="D3616" t="s">
        <v>450</v>
      </c>
      <c r="E3616" s="217">
        <v>44621</v>
      </c>
      <c r="F3616">
        <v>0</v>
      </c>
      <c r="G3616" s="227" t="s">
        <v>80</v>
      </c>
    </row>
    <row r="3617" spans="1:7">
      <c r="A3617" s="216">
        <v>44621</v>
      </c>
      <c r="B3617" t="s">
        <v>53</v>
      </c>
      <c r="C3617">
        <v>9</v>
      </c>
      <c r="D3617" t="s">
        <v>450</v>
      </c>
      <c r="E3617" s="217">
        <v>44621</v>
      </c>
      <c r="F3617">
        <v>0</v>
      </c>
      <c r="G3617" s="227" t="s">
        <v>116</v>
      </c>
    </row>
    <row r="3618" spans="1:7">
      <c r="A3618" s="216">
        <v>44621</v>
      </c>
      <c r="B3618" t="s">
        <v>53</v>
      </c>
      <c r="C3618">
        <v>9</v>
      </c>
      <c r="D3618" t="s">
        <v>450</v>
      </c>
      <c r="E3618" s="217">
        <v>44621</v>
      </c>
      <c r="F3618">
        <v>0</v>
      </c>
      <c r="G3618" s="227" t="s">
        <v>107</v>
      </c>
    </row>
    <row r="3619" spans="1:7">
      <c r="A3619" s="216">
        <v>44621</v>
      </c>
      <c r="B3619" t="s">
        <v>53</v>
      </c>
      <c r="C3619">
        <v>9</v>
      </c>
      <c r="D3619" t="s">
        <v>450</v>
      </c>
      <c r="E3619" s="217">
        <v>44621</v>
      </c>
      <c r="F3619">
        <v>0</v>
      </c>
      <c r="G3619" s="227" t="s">
        <v>102</v>
      </c>
    </row>
    <row r="3620" spans="1:7">
      <c r="A3620" s="216">
        <v>44621</v>
      </c>
      <c r="B3620" t="s">
        <v>53</v>
      </c>
      <c r="C3620">
        <v>9</v>
      </c>
      <c r="D3620" t="s">
        <v>450</v>
      </c>
      <c r="E3620" s="217">
        <v>44621</v>
      </c>
      <c r="F3620">
        <v>0</v>
      </c>
      <c r="G3620" s="227" t="s">
        <v>85</v>
      </c>
    </row>
    <row r="3621" spans="1:7">
      <c r="A3621" s="216">
        <v>44621</v>
      </c>
      <c r="B3621" t="s">
        <v>53</v>
      </c>
      <c r="C3621">
        <v>9</v>
      </c>
      <c r="D3621" t="s">
        <v>450</v>
      </c>
      <c r="E3621" s="217">
        <v>44621</v>
      </c>
      <c r="F3621">
        <v>0</v>
      </c>
      <c r="G3621" s="227" t="s">
        <v>129</v>
      </c>
    </row>
    <row r="3622" spans="1:7">
      <c r="A3622" s="216">
        <v>44621</v>
      </c>
      <c r="B3622" t="s">
        <v>53</v>
      </c>
      <c r="C3622">
        <v>9</v>
      </c>
      <c r="D3622" t="s">
        <v>450</v>
      </c>
      <c r="E3622" s="217">
        <v>44621</v>
      </c>
      <c r="F3622">
        <v>0</v>
      </c>
      <c r="G3622" s="227" t="s">
        <v>125</v>
      </c>
    </row>
    <row r="3623" spans="1:7">
      <c r="A3623" s="216">
        <v>44621</v>
      </c>
      <c r="B3623" t="s">
        <v>53</v>
      </c>
      <c r="C3623">
        <v>9</v>
      </c>
      <c r="D3623" t="s">
        <v>450</v>
      </c>
      <c r="E3623" s="217">
        <v>44621</v>
      </c>
      <c r="F3623">
        <v>0</v>
      </c>
      <c r="G3623" s="227" t="s">
        <v>121</v>
      </c>
    </row>
    <row r="3624" spans="1:7">
      <c r="A3624" s="216">
        <v>44621</v>
      </c>
      <c r="B3624" t="s">
        <v>53</v>
      </c>
      <c r="C3624">
        <v>9</v>
      </c>
      <c r="D3624" t="s">
        <v>450</v>
      </c>
      <c r="E3624" s="217">
        <v>44621</v>
      </c>
      <c r="F3624">
        <v>0</v>
      </c>
      <c r="G3624" s="227" t="s">
        <v>90</v>
      </c>
    </row>
    <row r="3625" spans="1:7">
      <c r="A3625" s="216">
        <v>44621</v>
      </c>
      <c r="B3625" t="s">
        <v>53</v>
      </c>
      <c r="C3625">
        <v>9</v>
      </c>
      <c r="D3625" t="s">
        <v>450</v>
      </c>
      <c r="E3625" s="217">
        <v>44621</v>
      </c>
      <c r="F3625">
        <v>0</v>
      </c>
      <c r="G3625" s="227" t="s">
        <v>98</v>
      </c>
    </row>
    <row r="3626" spans="1:7">
      <c r="A3626" s="216">
        <v>44621</v>
      </c>
      <c r="B3626" t="s">
        <v>53</v>
      </c>
      <c r="C3626">
        <v>9</v>
      </c>
      <c r="D3626" t="s">
        <v>450</v>
      </c>
      <c r="E3626" s="217">
        <v>44621</v>
      </c>
      <c r="F3626">
        <v>0</v>
      </c>
      <c r="G3626" s="227" t="s">
        <v>94</v>
      </c>
    </row>
    <row r="3627" spans="1:7">
      <c r="A3627" s="216">
        <v>44621</v>
      </c>
      <c r="B3627" t="s">
        <v>53</v>
      </c>
      <c r="C3627">
        <v>9</v>
      </c>
      <c r="D3627" t="s">
        <v>450</v>
      </c>
      <c r="E3627" s="217">
        <v>44621</v>
      </c>
      <c r="F3627">
        <v>0</v>
      </c>
      <c r="G3627" s="227" t="s">
        <v>112</v>
      </c>
    </row>
    <row r="3628" spans="1:7">
      <c r="A3628" s="216">
        <v>44621</v>
      </c>
      <c r="B3628" t="s">
        <v>53</v>
      </c>
      <c r="C3628">
        <v>9</v>
      </c>
      <c r="D3628" t="s">
        <v>450</v>
      </c>
      <c r="E3628" s="217">
        <v>44621</v>
      </c>
      <c r="F3628">
        <v>0</v>
      </c>
      <c r="G3628" s="227" t="s">
        <v>434</v>
      </c>
    </row>
    <row r="3629" spans="1:7">
      <c r="A3629" s="216">
        <v>44621</v>
      </c>
      <c r="B3629" t="s">
        <v>53</v>
      </c>
      <c r="C3629">
        <v>10</v>
      </c>
      <c r="D3629" t="s">
        <v>433</v>
      </c>
      <c r="E3629" s="217">
        <v>44621</v>
      </c>
      <c r="F3629">
        <v>14054</v>
      </c>
      <c r="G3629" s="227" t="s">
        <v>80</v>
      </c>
    </row>
    <row r="3630" spans="1:7">
      <c r="A3630" s="216">
        <v>44621</v>
      </c>
      <c r="B3630" t="s">
        <v>53</v>
      </c>
      <c r="C3630">
        <v>10</v>
      </c>
      <c r="D3630" t="s">
        <v>433</v>
      </c>
      <c r="E3630" s="217">
        <v>44621</v>
      </c>
      <c r="F3630">
        <v>14687</v>
      </c>
      <c r="G3630" s="227" t="s">
        <v>116</v>
      </c>
    </row>
    <row r="3631" spans="1:7">
      <c r="A3631" s="216">
        <v>44621</v>
      </c>
      <c r="B3631" t="s">
        <v>53</v>
      </c>
      <c r="C3631">
        <v>10</v>
      </c>
      <c r="D3631" t="s">
        <v>433</v>
      </c>
      <c r="E3631" s="217">
        <v>44621</v>
      </c>
      <c r="F3631">
        <v>14353</v>
      </c>
      <c r="G3631" s="227" t="s">
        <v>107</v>
      </c>
    </row>
    <row r="3632" spans="1:7">
      <c r="A3632" s="216">
        <v>44621</v>
      </c>
      <c r="B3632" t="s">
        <v>53</v>
      </c>
      <c r="C3632">
        <v>10</v>
      </c>
      <c r="D3632" t="s">
        <v>433</v>
      </c>
      <c r="E3632" s="217">
        <v>44621</v>
      </c>
      <c r="F3632">
        <v>14293</v>
      </c>
      <c r="G3632" s="227" t="s">
        <v>102</v>
      </c>
    </row>
    <row r="3633" spans="1:7">
      <c r="A3633" s="216">
        <v>44621</v>
      </c>
      <c r="B3633" t="s">
        <v>53</v>
      </c>
      <c r="C3633">
        <v>10</v>
      </c>
      <c r="D3633" t="s">
        <v>433</v>
      </c>
      <c r="E3633" s="217">
        <v>44621</v>
      </c>
      <c r="F3633">
        <v>16872</v>
      </c>
      <c r="G3633" s="227" t="s">
        <v>85</v>
      </c>
    </row>
    <row r="3634" spans="1:7">
      <c r="A3634" s="216">
        <v>44621</v>
      </c>
      <c r="B3634" t="s">
        <v>53</v>
      </c>
      <c r="C3634">
        <v>10</v>
      </c>
      <c r="D3634" t="s">
        <v>433</v>
      </c>
      <c r="E3634" s="217">
        <v>44621</v>
      </c>
      <c r="F3634">
        <v>20087</v>
      </c>
      <c r="G3634" s="227" t="s">
        <v>129</v>
      </c>
    </row>
    <row r="3635" spans="1:7">
      <c r="A3635" s="216">
        <v>44621</v>
      </c>
      <c r="B3635" t="s">
        <v>53</v>
      </c>
      <c r="C3635">
        <v>10</v>
      </c>
      <c r="D3635" t="s">
        <v>433</v>
      </c>
      <c r="E3635" s="217">
        <v>44621</v>
      </c>
      <c r="F3635">
        <v>17698</v>
      </c>
      <c r="G3635" s="227" t="s">
        <v>125</v>
      </c>
    </row>
    <row r="3636" spans="1:7">
      <c r="A3636" s="216">
        <v>44621</v>
      </c>
      <c r="B3636" t="s">
        <v>53</v>
      </c>
      <c r="C3636">
        <v>10</v>
      </c>
      <c r="D3636" t="s">
        <v>433</v>
      </c>
      <c r="E3636" s="217">
        <v>44621</v>
      </c>
      <c r="F3636">
        <v>19166</v>
      </c>
      <c r="G3636" s="227" t="s">
        <v>121</v>
      </c>
    </row>
    <row r="3637" spans="1:7">
      <c r="A3637" s="216">
        <v>44621</v>
      </c>
      <c r="B3637" t="s">
        <v>53</v>
      </c>
      <c r="C3637">
        <v>10</v>
      </c>
      <c r="D3637" t="s">
        <v>433</v>
      </c>
      <c r="E3637" s="217">
        <v>44621</v>
      </c>
      <c r="F3637">
        <v>19300</v>
      </c>
      <c r="G3637" s="227" t="s">
        <v>90</v>
      </c>
    </row>
    <row r="3638" spans="1:7">
      <c r="A3638" s="216">
        <v>44621</v>
      </c>
      <c r="B3638" t="s">
        <v>53</v>
      </c>
      <c r="C3638">
        <v>10</v>
      </c>
      <c r="D3638" t="s">
        <v>433</v>
      </c>
      <c r="E3638" s="217">
        <v>44621</v>
      </c>
      <c r="F3638">
        <v>19539.400000000001</v>
      </c>
      <c r="G3638" s="227" t="s">
        <v>98</v>
      </c>
    </row>
    <row r="3639" spans="1:7">
      <c r="A3639" s="216">
        <v>44621</v>
      </c>
      <c r="B3639" t="s">
        <v>53</v>
      </c>
      <c r="C3639">
        <v>10</v>
      </c>
      <c r="D3639" t="s">
        <v>433</v>
      </c>
      <c r="E3639" s="217">
        <v>44621</v>
      </c>
      <c r="F3639">
        <v>19220.003489999999</v>
      </c>
      <c r="G3639" s="227" t="s">
        <v>94</v>
      </c>
    </row>
    <row r="3640" spans="1:7">
      <c r="A3640" s="216">
        <v>44621</v>
      </c>
      <c r="B3640" t="s">
        <v>53</v>
      </c>
      <c r="C3640">
        <v>10</v>
      </c>
      <c r="D3640" t="s">
        <v>433</v>
      </c>
      <c r="E3640" s="217">
        <v>44621</v>
      </c>
      <c r="F3640">
        <v>29159</v>
      </c>
      <c r="G3640" s="227" t="s">
        <v>112</v>
      </c>
    </row>
    <row r="3641" spans="1:7">
      <c r="A3641" s="216">
        <v>44621</v>
      </c>
      <c r="B3641" t="s">
        <v>53</v>
      </c>
      <c r="C3641">
        <v>10</v>
      </c>
      <c r="D3641" t="s">
        <v>433</v>
      </c>
      <c r="E3641" s="217">
        <v>44621</v>
      </c>
      <c r="F3641">
        <v>218428.40349</v>
      </c>
      <c r="G3641" s="227" t="s">
        <v>434</v>
      </c>
    </row>
    <row r="3642" spans="1:7">
      <c r="A3642" s="216">
        <v>44621</v>
      </c>
      <c r="B3642" t="s">
        <v>53</v>
      </c>
      <c r="C3642">
        <v>11</v>
      </c>
      <c r="D3642" t="s">
        <v>445</v>
      </c>
      <c r="E3642" s="217">
        <v>44621</v>
      </c>
      <c r="F3642">
        <v>13378.9</v>
      </c>
      <c r="G3642" s="227" t="s">
        <v>80</v>
      </c>
    </row>
    <row r="3643" spans="1:7">
      <c r="A3643" s="216">
        <v>44621</v>
      </c>
      <c r="B3643" t="s">
        <v>53</v>
      </c>
      <c r="C3643">
        <v>11</v>
      </c>
      <c r="D3643" t="s">
        <v>445</v>
      </c>
      <c r="E3643" s="217">
        <v>44621</v>
      </c>
      <c r="F3643">
        <v>13038</v>
      </c>
      <c r="G3643" s="227" t="s">
        <v>116</v>
      </c>
    </row>
    <row r="3644" spans="1:7">
      <c r="A3644" s="216">
        <v>44621</v>
      </c>
      <c r="B3644" t="s">
        <v>53</v>
      </c>
      <c r="C3644">
        <v>11</v>
      </c>
      <c r="D3644" t="s">
        <v>445</v>
      </c>
      <c r="E3644" s="217">
        <v>44621</v>
      </c>
      <c r="F3644">
        <v>14684</v>
      </c>
      <c r="G3644" s="227" t="s">
        <v>107</v>
      </c>
    </row>
    <row r="3645" spans="1:7">
      <c r="A3645" s="216">
        <v>44621</v>
      </c>
      <c r="B3645" t="s">
        <v>53</v>
      </c>
      <c r="C3645">
        <v>11</v>
      </c>
      <c r="D3645" t="s">
        <v>445</v>
      </c>
      <c r="E3645" s="217">
        <v>44621</v>
      </c>
      <c r="F3645">
        <v>14143.5</v>
      </c>
      <c r="G3645" s="227" t="s">
        <v>102</v>
      </c>
    </row>
    <row r="3646" spans="1:7">
      <c r="A3646" s="216">
        <v>44621</v>
      </c>
      <c r="B3646" t="s">
        <v>53</v>
      </c>
      <c r="C3646">
        <v>11</v>
      </c>
      <c r="D3646" t="s">
        <v>445</v>
      </c>
      <c r="E3646" s="217">
        <v>44621</v>
      </c>
      <c r="F3646">
        <v>13902</v>
      </c>
      <c r="G3646" s="227" t="s">
        <v>85</v>
      </c>
    </row>
    <row r="3647" spans="1:7">
      <c r="A3647" s="216">
        <v>44621</v>
      </c>
      <c r="B3647" t="s">
        <v>53</v>
      </c>
      <c r="C3647">
        <v>11</v>
      </c>
      <c r="D3647" t="s">
        <v>445</v>
      </c>
      <c r="E3647" s="217">
        <v>44621</v>
      </c>
      <c r="F3647">
        <v>17154</v>
      </c>
      <c r="G3647" s="227" t="s">
        <v>129</v>
      </c>
    </row>
    <row r="3648" spans="1:7">
      <c r="A3648" s="216">
        <v>44621</v>
      </c>
      <c r="B3648" t="s">
        <v>53</v>
      </c>
      <c r="C3648">
        <v>11</v>
      </c>
      <c r="D3648" t="s">
        <v>445</v>
      </c>
      <c r="E3648" s="217">
        <v>44621</v>
      </c>
      <c r="F3648">
        <v>17823</v>
      </c>
      <c r="G3648" s="227" t="s">
        <v>125</v>
      </c>
    </row>
    <row r="3649" spans="1:7">
      <c r="A3649" s="216">
        <v>44621</v>
      </c>
      <c r="B3649" t="s">
        <v>53</v>
      </c>
      <c r="C3649">
        <v>11</v>
      </c>
      <c r="D3649" t="s">
        <v>445</v>
      </c>
      <c r="E3649" s="217">
        <v>44621</v>
      </c>
      <c r="F3649">
        <v>12626</v>
      </c>
      <c r="G3649" s="227" t="s">
        <v>121</v>
      </c>
    </row>
    <row r="3650" spans="1:7">
      <c r="A3650" s="216">
        <v>44621</v>
      </c>
      <c r="B3650" t="s">
        <v>53</v>
      </c>
      <c r="C3650">
        <v>11</v>
      </c>
      <c r="D3650" t="s">
        <v>445</v>
      </c>
      <c r="E3650" s="217">
        <v>44621</v>
      </c>
      <c r="F3650">
        <v>17850</v>
      </c>
      <c r="G3650" s="227" t="s">
        <v>90</v>
      </c>
    </row>
    <row r="3651" spans="1:7">
      <c r="A3651" s="216">
        <v>44621</v>
      </c>
      <c r="B3651" t="s">
        <v>53</v>
      </c>
      <c r="C3651">
        <v>11</v>
      </c>
      <c r="D3651" t="s">
        <v>445</v>
      </c>
      <c r="E3651" s="217">
        <v>44621</v>
      </c>
      <c r="F3651">
        <v>17904.5</v>
      </c>
      <c r="G3651" s="227" t="s">
        <v>98</v>
      </c>
    </row>
    <row r="3652" spans="1:7">
      <c r="A3652" s="216">
        <v>44621</v>
      </c>
      <c r="B3652" t="s">
        <v>53</v>
      </c>
      <c r="C3652">
        <v>11</v>
      </c>
      <c r="D3652" t="s">
        <v>445</v>
      </c>
      <c r="E3652" s="217">
        <v>44621</v>
      </c>
      <c r="F3652">
        <v>14939.7</v>
      </c>
      <c r="G3652" s="227" t="s">
        <v>94</v>
      </c>
    </row>
    <row r="3653" spans="1:7">
      <c r="A3653" s="216">
        <v>44621</v>
      </c>
      <c r="B3653" t="s">
        <v>53</v>
      </c>
      <c r="C3653">
        <v>11</v>
      </c>
      <c r="D3653" t="s">
        <v>445</v>
      </c>
      <c r="E3653" s="217">
        <v>44621</v>
      </c>
      <c r="F3653">
        <v>42549</v>
      </c>
      <c r="G3653" s="227" t="s">
        <v>112</v>
      </c>
    </row>
    <row r="3654" spans="1:7">
      <c r="A3654" s="216">
        <v>44621</v>
      </c>
      <c r="B3654" t="s">
        <v>53</v>
      </c>
      <c r="C3654">
        <v>11</v>
      </c>
      <c r="D3654" t="s">
        <v>445</v>
      </c>
      <c r="E3654" s="217">
        <v>44621</v>
      </c>
      <c r="F3654">
        <v>209992.6</v>
      </c>
      <c r="G3654" s="227" t="s">
        <v>434</v>
      </c>
    </row>
    <row r="3655" spans="1:7">
      <c r="A3655" s="216">
        <v>44621</v>
      </c>
      <c r="B3655" t="s">
        <v>53</v>
      </c>
      <c r="C3655">
        <v>12</v>
      </c>
      <c r="D3655" t="s">
        <v>454</v>
      </c>
      <c r="E3655" s="217">
        <v>44621</v>
      </c>
      <c r="F3655">
        <v>0</v>
      </c>
      <c r="G3655" s="227" t="s">
        <v>80</v>
      </c>
    </row>
    <row r="3656" spans="1:7">
      <c r="A3656" s="216">
        <v>44621</v>
      </c>
      <c r="B3656" t="s">
        <v>53</v>
      </c>
      <c r="C3656">
        <v>12</v>
      </c>
      <c r="D3656" t="s">
        <v>454</v>
      </c>
      <c r="E3656" s="217">
        <v>44621</v>
      </c>
      <c r="F3656">
        <v>0</v>
      </c>
      <c r="G3656" s="227" t="s">
        <v>116</v>
      </c>
    </row>
    <row r="3657" spans="1:7">
      <c r="A3657" s="216">
        <v>44621</v>
      </c>
      <c r="B3657" t="s">
        <v>53</v>
      </c>
      <c r="C3657">
        <v>12</v>
      </c>
      <c r="D3657" t="s">
        <v>454</v>
      </c>
      <c r="E3657" s="217">
        <v>44621</v>
      </c>
      <c r="F3657">
        <v>0</v>
      </c>
      <c r="G3657" s="227" t="s">
        <v>107</v>
      </c>
    </row>
    <row r="3658" spans="1:7">
      <c r="A3658" s="216">
        <v>44621</v>
      </c>
      <c r="B3658" t="s">
        <v>53</v>
      </c>
      <c r="C3658">
        <v>12</v>
      </c>
      <c r="D3658" t="s">
        <v>454</v>
      </c>
      <c r="E3658" s="217">
        <v>44621</v>
      </c>
      <c r="F3658">
        <v>0</v>
      </c>
      <c r="G3658" s="227" t="s">
        <v>102</v>
      </c>
    </row>
    <row r="3659" spans="1:7">
      <c r="A3659" s="216">
        <v>44621</v>
      </c>
      <c r="B3659" t="s">
        <v>53</v>
      </c>
      <c r="C3659">
        <v>12</v>
      </c>
      <c r="D3659" t="s">
        <v>454</v>
      </c>
      <c r="E3659" s="217">
        <v>44621</v>
      </c>
      <c r="F3659">
        <v>0</v>
      </c>
      <c r="G3659" s="227" t="s">
        <v>85</v>
      </c>
    </row>
    <row r="3660" spans="1:7">
      <c r="A3660" s="216">
        <v>44621</v>
      </c>
      <c r="B3660" t="s">
        <v>53</v>
      </c>
      <c r="C3660">
        <v>12</v>
      </c>
      <c r="D3660" t="s">
        <v>454</v>
      </c>
      <c r="E3660" s="217">
        <v>44621</v>
      </c>
      <c r="F3660">
        <v>0</v>
      </c>
      <c r="G3660" s="227" t="s">
        <v>129</v>
      </c>
    </row>
    <row r="3661" spans="1:7">
      <c r="A3661" s="216">
        <v>44621</v>
      </c>
      <c r="B3661" t="s">
        <v>53</v>
      </c>
      <c r="C3661">
        <v>12</v>
      </c>
      <c r="D3661" t="s">
        <v>454</v>
      </c>
      <c r="E3661" s="217">
        <v>44621</v>
      </c>
      <c r="F3661">
        <v>0</v>
      </c>
      <c r="G3661" s="227" t="s">
        <v>125</v>
      </c>
    </row>
    <row r="3662" spans="1:7">
      <c r="A3662" s="216">
        <v>44621</v>
      </c>
      <c r="B3662" t="s">
        <v>53</v>
      </c>
      <c r="C3662">
        <v>12</v>
      </c>
      <c r="D3662" t="s">
        <v>454</v>
      </c>
      <c r="E3662" s="217">
        <v>44621</v>
      </c>
      <c r="F3662">
        <v>0</v>
      </c>
      <c r="G3662" s="227" t="s">
        <v>121</v>
      </c>
    </row>
    <row r="3663" spans="1:7">
      <c r="A3663" s="216">
        <v>44621</v>
      </c>
      <c r="B3663" t="s">
        <v>53</v>
      </c>
      <c r="C3663">
        <v>12</v>
      </c>
      <c r="D3663" t="s">
        <v>454</v>
      </c>
      <c r="E3663" s="217">
        <v>44621</v>
      </c>
      <c r="F3663">
        <v>0</v>
      </c>
      <c r="G3663" s="227" t="s">
        <v>90</v>
      </c>
    </row>
    <row r="3664" spans="1:7">
      <c r="A3664" s="216">
        <v>44621</v>
      </c>
      <c r="B3664" t="s">
        <v>53</v>
      </c>
      <c r="C3664">
        <v>12</v>
      </c>
      <c r="D3664" t="s">
        <v>454</v>
      </c>
      <c r="E3664" s="217">
        <v>44621</v>
      </c>
      <c r="F3664">
        <v>0</v>
      </c>
      <c r="G3664" s="227" t="s">
        <v>98</v>
      </c>
    </row>
    <row r="3665" spans="1:7">
      <c r="A3665" s="216">
        <v>44621</v>
      </c>
      <c r="B3665" t="s">
        <v>53</v>
      </c>
      <c r="C3665">
        <v>12</v>
      </c>
      <c r="D3665" t="s">
        <v>454</v>
      </c>
      <c r="E3665" s="217">
        <v>44621</v>
      </c>
      <c r="F3665">
        <v>0</v>
      </c>
      <c r="G3665" s="227" t="s">
        <v>94</v>
      </c>
    </row>
    <row r="3666" spans="1:7">
      <c r="A3666" s="216">
        <v>44621</v>
      </c>
      <c r="B3666" t="s">
        <v>53</v>
      </c>
      <c r="C3666">
        <v>12</v>
      </c>
      <c r="D3666" t="s">
        <v>454</v>
      </c>
      <c r="E3666" s="217">
        <v>44621</v>
      </c>
      <c r="F3666">
        <v>0</v>
      </c>
      <c r="G3666" s="227" t="s">
        <v>112</v>
      </c>
    </row>
    <row r="3667" spans="1:7">
      <c r="A3667" s="216">
        <v>44621</v>
      </c>
      <c r="B3667" t="s">
        <v>53</v>
      </c>
      <c r="C3667">
        <v>12</v>
      </c>
      <c r="D3667" t="s">
        <v>454</v>
      </c>
      <c r="E3667" s="217">
        <v>44621</v>
      </c>
      <c r="F3667">
        <v>0</v>
      </c>
      <c r="G3667" s="227" t="s">
        <v>434</v>
      </c>
    </row>
    <row r="3668" spans="1:7">
      <c r="A3668" s="216">
        <v>44621</v>
      </c>
      <c r="B3668" t="s">
        <v>53</v>
      </c>
      <c r="C3668">
        <v>13</v>
      </c>
      <c r="D3668" t="s">
        <v>441</v>
      </c>
      <c r="E3668" s="217">
        <v>44621</v>
      </c>
      <c r="F3668">
        <v>0</v>
      </c>
      <c r="G3668" s="227" t="s">
        <v>80</v>
      </c>
    </row>
    <row r="3669" spans="1:7">
      <c r="A3669" s="216">
        <v>44621</v>
      </c>
      <c r="B3669" t="s">
        <v>53</v>
      </c>
      <c r="C3669">
        <v>13</v>
      </c>
      <c r="D3669" t="s">
        <v>441</v>
      </c>
      <c r="E3669" s="217">
        <v>44621</v>
      </c>
      <c r="F3669">
        <v>0</v>
      </c>
      <c r="G3669" s="227" t="s">
        <v>116</v>
      </c>
    </row>
    <row r="3670" spans="1:7">
      <c r="A3670" s="216">
        <v>44621</v>
      </c>
      <c r="B3670" t="s">
        <v>53</v>
      </c>
      <c r="C3670">
        <v>13</v>
      </c>
      <c r="D3670" t="s">
        <v>441</v>
      </c>
      <c r="E3670" s="217">
        <v>44621</v>
      </c>
      <c r="F3670">
        <v>0</v>
      </c>
      <c r="G3670" s="227" t="s">
        <v>107</v>
      </c>
    </row>
    <row r="3671" spans="1:7">
      <c r="A3671" s="216">
        <v>44621</v>
      </c>
      <c r="B3671" t="s">
        <v>53</v>
      </c>
      <c r="C3671">
        <v>13</v>
      </c>
      <c r="D3671" t="s">
        <v>441</v>
      </c>
      <c r="E3671" s="217">
        <v>44621</v>
      </c>
      <c r="F3671">
        <v>0</v>
      </c>
      <c r="G3671" s="227" t="s">
        <v>102</v>
      </c>
    </row>
    <row r="3672" spans="1:7">
      <c r="A3672" s="216">
        <v>44621</v>
      </c>
      <c r="B3672" t="s">
        <v>53</v>
      </c>
      <c r="C3672">
        <v>13</v>
      </c>
      <c r="D3672" t="s">
        <v>441</v>
      </c>
      <c r="E3672" s="217">
        <v>44621</v>
      </c>
      <c r="F3672">
        <v>0</v>
      </c>
      <c r="G3672" s="227" t="s">
        <v>85</v>
      </c>
    </row>
    <row r="3673" spans="1:7">
      <c r="A3673" s="216">
        <v>44621</v>
      </c>
      <c r="B3673" t="s">
        <v>53</v>
      </c>
      <c r="C3673">
        <v>13</v>
      </c>
      <c r="D3673" t="s">
        <v>441</v>
      </c>
      <c r="E3673" s="217">
        <v>44621</v>
      </c>
      <c r="F3673">
        <v>0</v>
      </c>
      <c r="G3673" s="227" t="s">
        <v>129</v>
      </c>
    </row>
    <row r="3674" spans="1:7">
      <c r="A3674" s="216">
        <v>44621</v>
      </c>
      <c r="B3674" t="s">
        <v>53</v>
      </c>
      <c r="C3674">
        <v>13</v>
      </c>
      <c r="D3674" t="s">
        <v>441</v>
      </c>
      <c r="E3674" s="217">
        <v>44621</v>
      </c>
      <c r="F3674">
        <v>0</v>
      </c>
      <c r="G3674" s="227" t="s">
        <v>125</v>
      </c>
    </row>
    <row r="3675" spans="1:7">
      <c r="A3675" s="216">
        <v>44621</v>
      </c>
      <c r="B3675" t="s">
        <v>53</v>
      </c>
      <c r="C3675">
        <v>13</v>
      </c>
      <c r="D3675" t="s">
        <v>441</v>
      </c>
      <c r="E3675" s="217">
        <v>44621</v>
      </c>
      <c r="F3675">
        <v>0</v>
      </c>
      <c r="G3675" s="227" t="s">
        <v>121</v>
      </c>
    </row>
    <row r="3676" spans="1:7">
      <c r="A3676" s="216">
        <v>44621</v>
      </c>
      <c r="B3676" t="s">
        <v>53</v>
      </c>
      <c r="C3676">
        <v>13</v>
      </c>
      <c r="D3676" t="s">
        <v>441</v>
      </c>
      <c r="E3676" s="217">
        <v>44621</v>
      </c>
      <c r="F3676">
        <v>0</v>
      </c>
      <c r="G3676" s="227" t="s">
        <v>90</v>
      </c>
    </row>
    <row r="3677" spans="1:7">
      <c r="A3677" s="216">
        <v>44621</v>
      </c>
      <c r="B3677" t="s">
        <v>53</v>
      </c>
      <c r="C3677">
        <v>13</v>
      </c>
      <c r="D3677" t="s">
        <v>441</v>
      </c>
      <c r="E3677" s="217">
        <v>44621</v>
      </c>
      <c r="F3677">
        <v>0</v>
      </c>
      <c r="G3677" s="227" t="s">
        <v>98</v>
      </c>
    </row>
    <row r="3678" spans="1:7">
      <c r="A3678" s="216">
        <v>44621</v>
      </c>
      <c r="B3678" t="s">
        <v>53</v>
      </c>
      <c r="C3678">
        <v>13</v>
      </c>
      <c r="D3678" t="s">
        <v>441</v>
      </c>
      <c r="E3678" s="217">
        <v>44621</v>
      </c>
      <c r="F3678">
        <v>0</v>
      </c>
      <c r="G3678" s="227" t="s">
        <v>94</v>
      </c>
    </row>
    <row r="3679" spans="1:7">
      <c r="A3679" s="216">
        <v>44621</v>
      </c>
      <c r="B3679" t="s">
        <v>53</v>
      </c>
      <c r="C3679">
        <v>13</v>
      </c>
      <c r="D3679" t="s">
        <v>441</v>
      </c>
      <c r="E3679" s="217">
        <v>44621</v>
      </c>
      <c r="F3679">
        <v>0</v>
      </c>
      <c r="G3679" s="227" t="s">
        <v>112</v>
      </c>
    </row>
    <row r="3680" spans="1:7">
      <c r="A3680" s="216">
        <v>44621</v>
      </c>
      <c r="B3680" t="s">
        <v>53</v>
      </c>
      <c r="C3680">
        <v>13</v>
      </c>
      <c r="D3680" t="s">
        <v>441</v>
      </c>
      <c r="E3680" s="217">
        <v>44621</v>
      </c>
      <c r="F3680">
        <v>0</v>
      </c>
      <c r="G3680" s="227" t="s">
        <v>434</v>
      </c>
    </row>
    <row r="3681" spans="1:7">
      <c r="A3681" s="216">
        <v>44621</v>
      </c>
      <c r="B3681" t="s">
        <v>53</v>
      </c>
      <c r="C3681">
        <v>14</v>
      </c>
      <c r="D3681" t="s">
        <v>447</v>
      </c>
      <c r="E3681" s="217">
        <v>44621</v>
      </c>
      <c r="F3681">
        <v>0</v>
      </c>
      <c r="G3681" s="227" t="s">
        <v>80</v>
      </c>
    </row>
    <row r="3682" spans="1:7">
      <c r="A3682" s="216">
        <v>44621</v>
      </c>
      <c r="B3682" t="s">
        <v>53</v>
      </c>
      <c r="C3682">
        <v>14</v>
      </c>
      <c r="D3682" t="s">
        <v>447</v>
      </c>
      <c r="E3682" s="217">
        <v>44621</v>
      </c>
      <c r="F3682">
        <v>0</v>
      </c>
      <c r="G3682" s="227" t="s">
        <v>116</v>
      </c>
    </row>
    <row r="3683" spans="1:7">
      <c r="A3683" s="216">
        <v>44621</v>
      </c>
      <c r="B3683" t="s">
        <v>53</v>
      </c>
      <c r="C3683">
        <v>14</v>
      </c>
      <c r="D3683" t="s">
        <v>447</v>
      </c>
      <c r="E3683" s="217">
        <v>44621</v>
      </c>
      <c r="F3683">
        <v>0</v>
      </c>
      <c r="G3683" s="227" t="s">
        <v>107</v>
      </c>
    </row>
    <row r="3684" spans="1:7">
      <c r="A3684" s="216">
        <v>44621</v>
      </c>
      <c r="B3684" t="s">
        <v>53</v>
      </c>
      <c r="C3684">
        <v>14</v>
      </c>
      <c r="D3684" t="s">
        <v>447</v>
      </c>
      <c r="E3684" s="217">
        <v>44621</v>
      </c>
      <c r="F3684">
        <v>0</v>
      </c>
      <c r="G3684" s="227" t="s">
        <v>102</v>
      </c>
    </row>
    <row r="3685" spans="1:7">
      <c r="A3685" s="216">
        <v>44621</v>
      </c>
      <c r="B3685" t="s">
        <v>53</v>
      </c>
      <c r="C3685">
        <v>14</v>
      </c>
      <c r="D3685" t="s">
        <v>447</v>
      </c>
      <c r="E3685" s="217">
        <v>44621</v>
      </c>
      <c r="F3685">
        <v>0</v>
      </c>
      <c r="G3685" s="227" t="s">
        <v>85</v>
      </c>
    </row>
    <row r="3686" spans="1:7">
      <c r="A3686" s="216">
        <v>44621</v>
      </c>
      <c r="B3686" t="s">
        <v>53</v>
      </c>
      <c r="C3686">
        <v>14</v>
      </c>
      <c r="D3686" t="s">
        <v>447</v>
      </c>
      <c r="E3686" s="217">
        <v>44621</v>
      </c>
      <c r="F3686">
        <v>0</v>
      </c>
      <c r="G3686" s="227" t="s">
        <v>129</v>
      </c>
    </row>
    <row r="3687" spans="1:7">
      <c r="A3687" s="216">
        <v>44621</v>
      </c>
      <c r="B3687" t="s">
        <v>53</v>
      </c>
      <c r="C3687">
        <v>14</v>
      </c>
      <c r="D3687" t="s">
        <v>447</v>
      </c>
      <c r="E3687" s="217">
        <v>44621</v>
      </c>
      <c r="F3687">
        <v>0</v>
      </c>
      <c r="G3687" s="227" t="s">
        <v>125</v>
      </c>
    </row>
    <row r="3688" spans="1:7">
      <c r="A3688" s="216">
        <v>44621</v>
      </c>
      <c r="B3688" t="s">
        <v>53</v>
      </c>
      <c r="C3688">
        <v>14</v>
      </c>
      <c r="D3688" t="s">
        <v>447</v>
      </c>
      <c r="E3688" s="217">
        <v>44621</v>
      </c>
      <c r="F3688">
        <v>0</v>
      </c>
      <c r="G3688" s="227" t="s">
        <v>121</v>
      </c>
    </row>
    <row r="3689" spans="1:7">
      <c r="A3689" s="216">
        <v>44621</v>
      </c>
      <c r="B3689" t="s">
        <v>53</v>
      </c>
      <c r="C3689">
        <v>14</v>
      </c>
      <c r="D3689" t="s">
        <v>447</v>
      </c>
      <c r="E3689" s="217">
        <v>44621</v>
      </c>
      <c r="F3689">
        <v>0</v>
      </c>
      <c r="G3689" s="227" t="s">
        <v>90</v>
      </c>
    </row>
    <row r="3690" spans="1:7">
      <c r="A3690" s="216">
        <v>44621</v>
      </c>
      <c r="B3690" t="s">
        <v>53</v>
      </c>
      <c r="C3690">
        <v>14</v>
      </c>
      <c r="D3690" t="s">
        <v>447</v>
      </c>
      <c r="E3690" s="217">
        <v>44621</v>
      </c>
      <c r="F3690">
        <v>0</v>
      </c>
      <c r="G3690" s="227" t="s">
        <v>98</v>
      </c>
    </row>
    <row r="3691" spans="1:7">
      <c r="A3691" s="216">
        <v>44621</v>
      </c>
      <c r="B3691" t="s">
        <v>53</v>
      </c>
      <c r="C3691">
        <v>14</v>
      </c>
      <c r="D3691" t="s">
        <v>447</v>
      </c>
      <c r="E3691" s="217">
        <v>44621</v>
      </c>
      <c r="F3691">
        <v>0</v>
      </c>
      <c r="G3691" s="227" t="s">
        <v>94</v>
      </c>
    </row>
    <row r="3692" spans="1:7">
      <c r="A3692" s="216">
        <v>44621</v>
      </c>
      <c r="B3692" t="s">
        <v>53</v>
      </c>
      <c r="C3692">
        <v>14</v>
      </c>
      <c r="D3692" t="s">
        <v>447</v>
      </c>
      <c r="E3692" s="217">
        <v>44621</v>
      </c>
      <c r="F3692">
        <v>0</v>
      </c>
      <c r="G3692" s="227" t="s">
        <v>112</v>
      </c>
    </row>
    <row r="3693" spans="1:7">
      <c r="A3693" s="216">
        <v>44621</v>
      </c>
      <c r="B3693" t="s">
        <v>53</v>
      </c>
      <c r="C3693">
        <v>14</v>
      </c>
      <c r="D3693" t="s">
        <v>447</v>
      </c>
      <c r="E3693" s="217">
        <v>44621</v>
      </c>
      <c r="F3693">
        <v>0</v>
      </c>
      <c r="G3693" s="227" t="s">
        <v>434</v>
      </c>
    </row>
    <row r="3694" spans="1:7">
      <c r="A3694" s="216">
        <v>44621</v>
      </c>
      <c r="B3694" t="s">
        <v>53</v>
      </c>
      <c r="C3694">
        <v>15</v>
      </c>
      <c r="D3694" t="s">
        <v>437</v>
      </c>
      <c r="E3694" s="217">
        <v>44621</v>
      </c>
      <c r="F3694">
        <v>0</v>
      </c>
      <c r="G3694" s="227" t="s">
        <v>80</v>
      </c>
    </row>
    <row r="3695" spans="1:7">
      <c r="A3695" s="216">
        <v>44621</v>
      </c>
      <c r="B3695" t="s">
        <v>53</v>
      </c>
      <c r="C3695">
        <v>15</v>
      </c>
      <c r="D3695" t="s">
        <v>437</v>
      </c>
      <c r="E3695" s="217">
        <v>44621</v>
      </c>
      <c r="F3695">
        <v>0</v>
      </c>
      <c r="G3695" s="227" t="s">
        <v>116</v>
      </c>
    </row>
    <row r="3696" spans="1:7">
      <c r="A3696" s="216">
        <v>44621</v>
      </c>
      <c r="B3696" t="s">
        <v>53</v>
      </c>
      <c r="C3696">
        <v>15</v>
      </c>
      <c r="D3696" t="s">
        <v>437</v>
      </c>
      <c r="E3696" s="217">
        <v>44621</v>
      </c>
      <c r="F3696">
        <v>0</v>
      </c>
      <c r="G3696" s="227" t="s">
        <v>107</v>
      </c>
    </row>
    <row r="3697" spans="1:7">
      <c r="A3697" s="216">
        <v>44621</v>
      </c>
      <c r="B3697" t="s">
        <v>53</v>
      </c>
      <c r="C3697">
        <v>15</v>
      </c>
      <c r="D3697" t="s">
        <v>437</v>
      </c>
      <c r="E3697" s="217">
        <v>44621</v>
      </c>
      <c r="F3697">
        <v>0</v>
      </c>
      <c r="G3697" s="227" t="s">
        <v>102</v>
      </c>
    </row>
    <row r="3698" spans="1:7">
      <c r="A3698" s="216">
        <v>44621</v>
      </c>
      <c r="B3698" t="s">
        <v>53</v>
      </c>
      <c r="C3698">
        <v>15</v>
      </c>
      <c r="D3698" t="s">
        <v>437</v>
      </c>
      <c r="E3698" s="217">
        <v>44621</v>
      </c>
      <c r="F3698">
        <v>0</v>
      </c>
      <c r="G3698" s="227" t="s">
        <v>85</v>
      </c>
    </row>
    <row r="3699" spans="1:7">
      <c r="A3699" s="216">
        <v>44621</v>
      </c>
      <c r="B3699" t="s">
        <v>53</v>
      </c>
      <c r="C3699">
        <v>15</v>
      </c>
      <c r="D3699" t="s">
        <v>437</v>
      </c>
      <c r="E3699" s="217">
        <v>44621</v>
      </c>
      <c r="F3699">
        <v>0</v>
      </c>
      <c r="G3699" s="227" t="s">
        <v>129</v>
      </c>
    </row>
    <row r="3700" spans="1:7">
      <c r="A3700" s="216">
        <v>44621</v>
      </c>
      <c r="B3700" t="s">
        <v>53</v>
      </c>
      <c r="C3700">
        <v>15</v>
      </c>
      <c r="D3700" t="s">
        <v>437</v>
      </c>
      <c r="E3700" s="217">
        <v>44621</v>
      </c>
      <c r="F3700">
        <v>0</v>
      </c>
      <c r="G3700" s="227" t="s">
        <v>125</v>
      </c>
    </row>
    <row r="3701" spans="1:7">
      <c r="A3701" s="216">
        <v>44621</v>
      </c>
      <c r="B3701" t="s">
        <v>53</v>
      </c>
      <c r="C3701">
        <v>15</v>
      </c>
      <c r="D3701" t="s">
        <v>437</v>
      </c>
      <c r="E3701" s="217">
        <v>44621</v>
      </c>
      <c r="F3701">
        <v>0</v>
      </c>
      <c r="G3701" s="227" t="s">
        <v>121</v>
      </c>
    </row>
    <row r="3702" spans="1:7">
      <c r="A3702" s="216">
        <v>44621</v>
      </c>
      <c r="B3702" t="s">
        <v>53</v>
      </c>
      <c r="C3702">
        <v>15</v>
      </c>
      <c r="D3702" t="s">
        <v>437</v>
      </c>
      <c r="E3702" s="217">
        <v>44621</v>
      </c>
      <c r="F3702">
        <v>0</v>
      </c>
      <c r="G3702" s="227" t="s">
        <v>90</v>
      </c>
    </row>
    <row r="3703" spans="1:7">
      <c r="A3703" s="216">
        <v>44621</v>
      </c>
      <c r="B3703" t="s">
        <v>53</v>
      </c>
      <c r="C3703">
        <v>15</v>
      </c>
      <c r="D3703" t="s">
        <v>437</v>
      </c>
      <c r="E3703" s="217">
        <v>44621</v>
      </c>
      <c r="F3703">
        <v>0</v>
      </c>
      <c r="G3703" s="227" t="s">
        <v>98</v>
      </c>
    </row>
    <row r="3704" spans="1:7">
      <c r="A3704" s="216">
        <v>44621</v>
      </c>
      <c r="B3704" t="s">
        <v>53</v>
      </c>
      <c r="C3704">
        <v>15</v>
      </c>
      <c r="D3704" t="s">
        <v>437</v>
      </c>
      <c r="E3704" s="217">
        <v>44621</v>
      </c>
      <c r="F3704">
        <v>0</v>
      </c>
      <c r="G3704" s="227" t="s">
        <v>94</v>
      </c>
    </row>
    <row r="3705" spans="1:7">
      <c r="A3705" s="216">
        <v>44621</v>
      </c>
      <c r="B3705" t="s">
        <v>53</v>
      </c>
      <c r="C3705">
        <v>15</v>
      </c>
      <c r="D3705" t="s">
        <v>437</v>
      </c>
      <c r="E3705" s="217">
        <v>44621</v>
      </c>
      <c r="F3705">
        <v>0</v>
      </c>
      <c r="G3705" s="227" t="s">
        <v>112</v>
      </c>
    </row>
    <row r="3706" spans="1:7">
      <c r="A3706" s="216">
        <v>44621</v>
      </c>
      <c r="B3706" t="s">
        <v>53</v>
      </c>
      <c r="C3706">
        <v>15</v>
      </c>
      <c r="D3706" t="s">
        <v>437</v>
      </c>
      <c r="E3706" s="217">
        <v>44621</v>
      </c>
      <c r="F3706">
        <v>0</v>
      </c>
      <c r="G3706" s="227" t="s">
        <v>434</v>
      </c>
    </row>
    <row r="3707" spans="1:7">
      <c r="A3707" s="216">
        <v>44621</v>
      </c>
      <c r="B3707" t="s">
        <v>48</v>
      </c>
      <c r="C3707">
        <v>7</v>
      </c>
      <c r="D3707" t="s">
        <v>442</v>
      </c>
      <c r="E3707" s="217">
        <v>44621</v>
      </c>
      <c r="F3707">
        <v>18121</v>
      </c>
      <c r="G3707" s="227" t="s">
        <v>80</v>
      </c>
    </row>
    <row r="3708" spans="1:7">
      <c r="A3708" s="216">
        <v>44621</v>
      </c>
      <c r="B3708" t="s">
        <v>48</v>
      </c>
      <c r="C3708">
        <v>7</v>
      </c>
      <c r="D3708" t="s">
        <v>442</v>
      </c>
      <c r="E3708" s="217">
        <v>44621</v>
      </c>
      <c r="F3708">
        <v>17015</v>
      </c>
      <c r="G3708" s="227" t="s">
        <v>116</v>
      </c>
    </row>
    <row r="3709" spans="1:7">
      <c r="A3709" s="216">
        <v>44621</v>
      </c>
      <c r="B3709" t="s">
        <v>48</v>
      </c>
      <c r="C3709">
        <v>7</v>
      </c>
      <c r="D3709" t="s">
        <v>442</v>
      </c>
      <c r="E3709" s="217">
        <v>44621</v>
      </c>
      <c r="F3709">
        <v>17677</v>
      </c>
      <c r="G3709" s="227" t="s">
        <v>107</v>
      </c>
    </row>
    <row r="3710" spans="1:7">
      <c r="A3710" s="216">
        <v>44621</v>
      </c>
      <c r="B3710" t="s">
        <v>48</v>
      </c>
      <c r="C3710">
        <v>7</v>
      </c>
      <c r="D3710" t="s">
        <v>442</v>
      </c>
      <c r="E3710" s="217">
        <v>44621</v>
      </c>
      <c r="F3710">
        <v>20600</v>
      </c>
      <c r="G3710" s="227" t="s">
        <v>102</v>
      </c>
    </row>
    <row r="3711" spans="1:7">
      <c r="A3711" s="216">
        <v>44621</v>
      </c>
      <c r="B3711" t="s">
        <v>48</v>
      </c>
      <c r="C3711">
        <v>7</v>
      </c>
      <c r="D3711" t="s">
        <v>442</v>
      </c>
      <c r="E3711" s="217">
        <v>44621</v>
      </c>
      <c r="F3711">
        <v>21134</v>
      </c>
      <c r="G3711" s="227" t="s">
        <v>85</v>
      </c>
    </row>
    <row r="3712" spans="1:7">
      <c r="A3712" s="216">
        <v>44621</v>
      </c>
      <c r="B3712" t="s">
        <v>48</v>
      </c>
      <c r="C3712">
        <v>7</v>
      </c>
      <c r="D3712" t="s">
        <v>442</v>
      </c>
      <c r="E3712" s="217">
        <v>44621</v>
      </c>
      <c r="F3712">
        <v>22180</v>
      </c>
      <c r="G3712" s="227" t="s">
        <v>129</v>
      </c>
    </row>
    <row r="3713" spans="1:7">
      <c r="A3713" s="216">
        <v>44621</v>
      </c>
      <c r="B3713" t="s">
        <v>48</v>
      </c>
      <c r="C3713">
        <v>7</v>
      </c>
      <c r="D3713" t="s">
        <v>442</v>
      </c>
      <c r="E3713" s="217">
        <v>44621</v>
      </c>
      <c r="F3713">
        <v>21651</v>
      </c>
      <c r="G3713" s="227" t="s">
        <v>125</v>
      </c>
    </row>
    <row r="3714" spans="1:7">
      <c r="A3714" s="216">
        <v>44621</v>
      </c>
      <c r="B3714" t="s">
        <v>48</v>
      </c>
      <c r="C3714">
        <v>7</v>
      </c>
      <c r="D3714" t="s">
        <v>442</v>
      </c>
      <c r="E3714" s="217">
        <v>44621</v>
      </c>
      <c r="F3714">
        <v>23994</v>
      </c>
      <c r="G3714" s="227" t="s">
        <v>121</v>
      </c>
    </row>
    <row r="3715" spans="1:7">
      <c r="A3715" s="216">
        <v>44621</v>
      </c>
      <c r="B3715" t="s">
        <v>48</v>
      </c>
      <c r="C3715">
        <v>7</v>
      </c>
      <c r="D3715" t="s">
        <v>442</v>
      </c>
      <c r="E3715" s="217">
        <v>44621</v>
      </c>
      <c r="F3715">
        <v>20893</v>
      </c>
      <c r="G3715" s="227" t="s">
        <v>90</v>
      </c>
    </row>
    <row r="3716" spans="1:7">
      <c r="A3716" s="216">
        <v>44621</v>
      </c>
      <c r="B3716" t="s">
        <v>48</v>
      </c>
      <c r="C3716">
        <v>7</v>
      </c>
      <c r="D3716" t="s">
        <v>442</v>
      </c>
      <c r="E3716" s="217">
        <v>44621</v>
      </c>
      <c r="F3716">
        <v>21986</v>
      </c>
      <c r="G3716" s="227" t="s">
        <v>98</v>
      </c>
    </row>
    <row r="3717" spans="1:7">
      <c r="A3717" s="216">
        <v>44621</v>
      </c>
      <c r="B3717" t="s">
        <v>48</v>
      </c>
      <c r="C3717">
        <v>7</v>
      </c>
      <c r="D3717" t="s">
        <v>442</v>
      </c>
      <c r="E3717" s="217">
        <v>44621</v>
      </c>
      <c r="F3717">
        <v>20989</v>
      </c>
      <c r="G3717" s="227" t="s">
        <v>94</v>
      </c>
    </row>
    <row r="3718" spans="1:7">
      <c r="A3718" s="216">
        <v>44621</v>
      </c>
      <c r="B3718" t="s">
        <v>48</v>
      </c>
      <c r="C3718">
        <v>7</v>
      </c>
      <c r="D3718" t="s">
        <v>442</v>
      </c>
      <c r="E3718" s="217">
        <v>44621</v>
      </c>
      <c r="F3718">
        <v>33663.24</v>
      </c>
      <c r="G3718" s="227" t="s">
        <v>112</v>
      </c>
    </row>
    <row r="3719" spans="1:7">
      <c r="A3719" s="216">
        <v>44621</v>
      </c>
      <c r="B3719" t="s">
        <v>48</v>
      </c>
      <c r="C3719">
        <v>7</v>
      </c>
      <c r="D3719" t="s">
        <v>442</v>
      </c>
      <c r="E3719" s="217">
        <v>44621</v>
      </c>
      <c r="F3719">
        <v>259903.24</v>
      </c>
      <c r="G3719" s="227" t="s">
        <v>434</v>
      </c>
    </row>
    <row r="3720" spans="1:7">
      <c r="A3720" s="216">
        <v>44621</v>
      </c>
      <c r="B3720" t="s">
        <v>48</v>
      </c>
      <c r="C3720">
        <v>8</v>
      </c>
      <c r="D3720" t="s">
        <v>451</v>
      </c>
      <c r="E3720" s="217">
        <v>44621</v>
      </c>
      <c r="F3720">
        <v>0</v>
      </c>
      <c r="G3720" s="227" t="s">
        <v>80</v>
      </c>
    </row>
    <row r="3721" spans="1:7">
      <c r="A3721" s="216">
        <v>44621</v>
      </c>
      <c r="B3721" t="s">
        <v>48</v>
      </c>
      <c r="C3721">
        <v>8</v>
      </c>
      <c r="D3721" t="s">
        <v>451</v>
      </c>
      <c r="E3721" s="217">
        <v>44621</v>
      </c>
      <c r="F3721">
        <v>0</v>
      </c>
      <c r="G3721" s="227" t="s">
        <v>116</v>
      </c>
    </row>
    <row r="3722" spans="1:7">
      <c r="A3722" s="216">
        <v>44621</v>
      </c>
      <c r="B3722" t="s">
        <v>48</v>
      </c>
      <c r="C3722">
        <v>8</v>
      </c>
      <c r="D3722" t="s">
        <v>451</v>
      </c>
      <c r="E3722" s="217">
        <v>44621</v>
      </c>
      <c r="F3722">
        <v>0</v>
      </c>
      <c r="G3722" s="227" t="s">
        <v>107</v>
      </c>
    </row>
    <row r="3723" spans="1:7">
      <c r="A3723" s="216">
        <v>44621</v>
      </c>
      <c r="B3723" t="s">
        <v>48</v>
      </c>
      <c r="C3723">
        <v>8</v>
      </c>
      <c r="D3723" t="s">
        <v>451</v>
      </c>
      <c r="E3723" s="217">
        <v>44621</v>
      </c>
      <c r="F3723">
        <v>0</v>
      </c>
      <c r="G3723" s="227" t="s">
        <v>102</v>
      </c>
    </row>
    <row r="3724" spans="1:7">
      <c r="A3724" s="216">
        <v>44621</v>
      </c>
      <c r="B3724" t="s">
        <v>48</v>
      </c>
      <c r="C3724">
        <v>8</v>
      </c>
      <c r="D3724" t="s">
        <v>451</v>
      </c>
      <c r="E3724" s="217">
        <v>44621</v>
      </c>
      <c r="F3724">
        <v>0</v>
      </c>
      <c r="G3724" s="227" t="s">
        <v>85</v>
      </c>
    </row>
    <row r="3725" spans="1:7">
      <c r="A3725" s="216">
        <v>44621</v>
      </c>
      <c r="B3725" t="s">
        <v>48</v>
      </c>
      <c r="C3725">
        <v>8</v>
      </c>
      <c r="D3725" t="s">
        <v>451</v>
      </c>
      <c r="E3725" s="217">
        <v>44621</v>
      </c>
      <c r="F3725">
        <v>0</v>
      </c>
      <c r="G3725" s="227" t="s">
        <v>129</v>
      </c>
    </row>
    <row r="3726" spans="1:7">
      <c r="A3726" s="216">
        <v>44621</v>
      </c>
      <c r="B3726" t="s">
        <v>48</v>
      </c>
      <c r="C3726">
        <v>8</v>
      </c>
      <c r="D3726" t="s">
        <v>451</v>
      </c>
      <c r="E3726" s="217">
        <v>44621</v>
      </c>
      <c r="F3726">
        <v>0</v>
      </c>
      <c r="G3726" s="227" t="s">
        <v>125</v>
      </c>
    </row>
    <row r="3727" spans="1:7">
      <c r="A3727" s="216">
        <v>44621</v>
      </c>
      <c r="B3727" t="s">
        <v>48</v>
      </c>
      <c r="C3727">
        <v>8</v>
      </c>
      <c r="D3727" t="s">
        <v>451</v>
      </c>
      <c r="E3727" s="217">
        <v>44621</v>
      </c>
      <c r="F3727">
        <v>0</v>
      </c>
      <c r="G3727" s="227" t="s">
        <v>121</v>
      </c>
    </row>
    <row r="3728" spans="1:7">
      <c r="A3728" s="216">
        <v>44621</v>
      </c>
      <c r="B3728" t="s">
        <v>48</v>
      </c>
      <c r="C3728">
        <v>8</v>
      </c>
      <c r="D3728" t="s">
        <v>451</v>
      </c>
      <c r="E3728" s="217">
        <v>44621</v>
      </c>
      <c r="F3728">
        <v>0</v>
      </c>
      <c r="G3728" s="227" t="s">
        <v>90</v>
      </c>
    </row>
    <row r="3729" spans="1:7">
      <c r="A3729" s="216">
        <v>44621</v>
      </c>
      <c r="B3729" t="s">
        <v>48</v>
      </c>
      <c r="C3729">
        <v>8</v>
      </c>
      <c r="D3729" t="s">
        <v>451</v>
      </c>
      <c r="E3729" s="217">
        <v>44621</v>
      </c>
      <c r="F3729">
        <v>0</v>
      </c>
      <c r="G3729" s="227" t="s">
        <v>98</v>
      </c>
    </row>
    <row r="3730" spans="1:7">
      <c r="A3730" s="216">
        <v>44621</v>
      </c>
      <c r="B3730" t="s">
        <v>48</v>
      </c>
      <c r="C3730">
        <v>8</v>
      </c>
      <c r="D3730" t="s">
        <v>451</v>
      </c>
      <c r="E3730" s="217">
        <v>44621</v>
      </c>
      <c r="F3730">
        <v>0</v>
      </c>
      <c r="G3730" s="227" t="s">
        <v>94</v>
      </c>
    </row>
    <row r="3731" spans="1:7">
      <c r="A3731" s="216">
        <v>44621</v>
      </c>
      <c r="B3731" t="s">
        <v>48</v>
      </c>
      <c r="C3731">
        <v>8</v>
      </c>
      <c r="D3731" t="s">
        <v>451</v>
      </c>
      <c r="E3731" s="217">
        <v>44621</v>
      </c>
      <c r="F3731">
        <v>0</v>
      </c>
      <c r="G3731" s="227" t="s">
        <v>112</v>
      </c>
    </row>
    <row r="3732" spans="1:7">
      <c r="A3732" s="216">
        <v>44621</v>
      </c>
      <c r="B3732" t="s">
        <v>48</v>
      </c>
      <c r="C3732">
        <v>8</v>
      </c>
      <c r="D3732" t="s">
        <v>451</v>
      </c>
      <c r="E3732" s="217">
        <v>44621</v>
      </c>
      <c r="F3732">
        <v>0</v>
      </c>
      <c r="G3732" s="227" t="s">
        <v>434</v>
      </c>
    </row>
    <row r="3733" spans="1:7">
      <c r="A3733" s="216">
        <v>44621</v>
      </c>
      <c r="B3733" t="s">
        <v>48</v>
      </c>
      <c r="C3733">
        <v>9</v>
      </c>
      <c r="D3733" t="s">
        <v>450</v>
      </c>
      <c r="E3733" s="217">
        <v>44621</v>
      </c>
      <c r="F3733">
        <v>0</v>
      </c>
      <c r="G3733" s="227" t="s">
        <v>80</v>
      </c>
    </row>
    <row r="3734" spans="1:7">
      <c r="A3734" s="216">
        <v>44621</v>
      </c>
      <c r="B3734" t="s">
        <v>48</v>
      </c>
      <c r="C3734">
        <v>9</v>
      </c>
      <c r="D3734" t="s">
        <v>450</v>
      </c>
      <c r="E3734" s="217">
        <v>44621</v>
      </c>
      <c r="F3734">
        <v>0</v>
      </c>
      <c r="G3734" s="227" t="s">
        <v>116</v>
      </c>
    </row>
    <row r="3735" spans="1:7">
      <c r="A3735" s="216">
        <v>44621</v>
      </c>
      <c r="B3735" t="s">
        <v>48</v>
      </c>
      <c r="C3735">
        <v>9</v>
      </c>
      <c r="D3735" t="s">
        <v>450</v>
      </c>
      <c r="E3735" s="217">
        <v>44621</v>
      </c>
      <c r="F3735">
        <v>0</v>
      </c>
      <c r="G3735" s="227" t="s">
        <v>107</v>
      </c>
    </row>
    <row r="3736" spans="1:7">
      <c r="A3736" s="216">
        <v>44621</v>
      </c>
      <c r="B3736" t="s">
        <v>48</v>
      </c>
      <c r="C3736">
        <v>9</v>
      </c>
      <c r="D3736" t="s">
        <v>450</v>
      </c>
      <c r="E3736" s="217">
        <v>44621</v>
      </c>
      <c r="F3736">
        <v>0</v>
      </c>
      <c r="G3736" s="227" t="s">
        <v>102</v>
      </c>
    </row>
    <row r="3737" spans="1:7">
      <c r="A3737" s="216">
        <v>44621</v>
      </c>
      <c r="B3737" t="s">
        <v>48</v>
      </c>
      <c r="C3737">
        <v>9</v>
      </c>
      <c r="D3737" t="s">
        <v>450</v>
      </c>
      <c r="E3737" s="217">
        <v>44621</v>
      </c>
      <c r="F3737">
        <v>0</v>
      </c>
      <c r="G3737" s="227" t="s">
        <v>85</v>
      </c>
    </row>
    <row r="3738" spans="1:7">
      <c r="A3738" s="216">
        <v>44621</v>
      </c>
      <c r="B3738" t="s">
        <v>48</v>
      </c>
      <c r="C3738">
        <v>9</v>
      </c>
      <c r="D3738" t="s">
        <v>450</v>
      </c>
      <c r="E3738" s="217">
        <v>44621</v>
      </c>
      <c r="F3738">
        <v>0</v>
      </c>
      <c r="G3738" s="227" t="s">
        <v>129</v>
      </c>
    </row>
    <row r="3739" spans="1:7">
      <c r="A3739" s="216">
        <v>44621</v>
      </c>
      <c r="B3739" t="s">
        <v>48</v>
      </c>
      <c r="C3739">
        <v>9</v>
      </c>
      <c r="D3739" t="s">
        <v>450</v>
      </c>
      <c r="E3739" s="217">
        <v>44621</v>
      </c>
      <c r="F3739">
        <v>0</v>
      </c>
      <c r="G3739" s="227" t="s">
        <v>125</v>
      </c>
    </row>
    <row r="3740" spans="1:7">
      <c r="A3740" s="216">
        <v>44621</v>
      </c>
      <c r="B3740" t="s">
        <v>48</v>
      </c>
      <c r="C3740">
        <v>9</v>
      </c>
      <c r="D3740" t="s">
        <v>450</v>
      </c>
      <c r="E3740" s="217">
        <v>44621</v>
      </c>
      <c r="F3740">
        <v>0</v>
      </c>
      <c r="G3740" s="227" t="s">
        <v>121</v>
      </c>
    </row>
    <row r="3741" spans="1:7">
      <c r="A3741" s="216">
        <v>44621</v>
      </c>
      <c r="B3741" t="s">
        <v>48</v>
      </c>
      <c r="C3741">
        <v>9</v>
      </c>
      <c r="D3741" t="s">
        <v>450</v>
      </c>
      <c r="E3741" s="217">
        <v>44621</v>
      </c>
      <c r="F3741">
        <v>0</v>
      </c>
      <c r="G3741" s="227" t="s">
        <v>90</v>
      </c>
    </row>
    <row r="3742" spans="1:7">
      <c r="A3742" s="216">
        <v>44621</v>
      </c>
      <c r="B3742" t="s">
        <v>48</v>
      </c>
      <c r="C3742">
        <v>9</v>
      </c>
      <c r="D3742" t="s">
        <v>450</v>
      </c>
      <c r="E3742" s="217">
        <v>44621</v>
      </c>
      <c r="F3742">
        <v>0</v>
      </c>
      <c r="G3742" s="227" t="s">
        <v>98</v>
      </c>
    </row>
    <row r="3743" spans="1:7">
      <c r="A3743" s="216">
        <v>44621</v>
      </c>
      <c r="B3743" t="s">
        <v>48</v>
      </c>
      <c r="C3743">
        <v>9</v>
      </c>
      <c r="D3743" t="s">
        <v>450</v>
      </c>
      <c r="E3743" s="217">
        <v>44621</v>
      </c>
      <c r="F3743">
        <v>0</v>
      </c>
      <c r="G3743" s="227" t="s">
        <v>94</v>
      </c>
    </row>
    <row r="3744" spans="1:7">
      <c r="A3744" s="216">
        <v>44621</v>
      </c>
      <c r="B3744" t="s">
        <v>48</v>
      </c>
      <c r="C3744">
        <v>9</v>
      </c>
      <c r="D3744" t="s">
        <v>450</v>
      </c>
      <c r="E3744" s="217">
        <v>44621</v>
      </c>
      <c r="F3744">
        <v>0</v>
      </c>
      <c r="G3744" s="227" t="s">
        <v>112</v>
      </c>
    </row>
    <row r="3745" spans="1:7">
      <c r="A3745" s="216">
        <v>44621</v>
      </c>
      <c r="B3745" t="s">
        <v>48</v>
      </c>
      <c r="C3745">
        <v>9</v>
      </c>
      <c r="D3745" t="s">
        <v>450</v>
      </c>
      <c r="E3745" s="217">
        <v>44621</v>
      </c>
      <c r="F3745">
        <v>0</v>
      </c>
      <c r="G3745" s="227" t="s">
        <v>434</v>
      </c>
    </row>
    <row r="3746" spans="1:7">
      <c r="A3746" s="216">
        <v>44621</v>
      </c>
      <c r="B3746" t="s">
        <v>48</v>
      </c>
      <c r="C3746">
        <v>10</v>
      </c>
      <c r="D3746" t="s">
        <v>433</v>
      </c>
      <c r="E3746" s="217">
        <v>44621</v>
      </c>
      <c r="F3746">
        <v>9364</v>
      </c>
      <c r="G3746" s="227" t="s">
        <v>80</v>
      </c>
    </row>
    <row r="3747" spans="1:7">
      <c r="A3747" s="216">
        <v>44621</v>
      </c>
      <c r="B3747" t="s">
        <v>48</v>
      </c>
      <c r="C3747">
        <v>10</v>
      </c>
      <c r="D3747" t="s">
        <v>433</v>
      </c>
      <c r="E3747" s="217">
        <v>44621</v>
      </c>
      <c r="F3747">
        <v>9274</v>
      </c>
      <c r="G3747" s="227" t="s">
        <v>116</v>
      </c>
    </row>
    <row r="3748" spans="1:7">
      <c r="A3748" s="216">
        <v>44621</v>
      </c>
      <c r="B3748" t="s">
        <v>48</v>
      </c>
      <c r="C3748">
        <v>10</v>
      </c>
      <c r="D3748" t="s">
        <v>433</v>
      </c>
      <c r="E3748" s="217">
        <v>44621</v>
      </c>
      <c r="F3748">
        <v>9808</v>
      </c>
      <c r="G3748" s="227" t="s">
        <v>107</v>
      </c>
    </row>
    <row r="3749" spans="1:7">
      <c r="A3749" s="216">
        <v>44621</v>
      </c>
      <c r="B3749" t="s">
        <v>48</v>
      </c>
      <c r="C3749">
        <v>10</v>
      </c>
      <c r="D3749" t="s">
        <v>433</v>
      </c>
      <c r="E3749" s="217">
        <v>44621</v>
      </c>
      <c r="F3749">
        <v>9714</v>
      </c>
      <c r="G3749" s="227" t="s">
        <v>102</v>
      </c>
    </row>
    <row r="3750" spans="1:7">
      <c r="A3750" s="216">
        <v>44621</v>
      </c>
      <c r="B3750" t="s">
        <v>48</v>
      </c>
      <c r="C3750">
        <v>10</v>
      </c>
      <c r="D3750" t="s">
        <v>433</v>
      </c>
      <c r="E3750" s="217">
        <v>44621</v>
      </c>
      <c r="F3750">
        <v>9563</v>
      </c>
      <c r="G3750" s="227" t="s">
        <v>85</v>
      </c>
    </row>
    <row r="3751" spans="1:7">
      <c r="A3751" s="216">
        <v>44621</v>
      </c>
      <c r="B3751" t="s">
        <v>48</v>
      </c>
      <c r="C3751">
        <v>10</v>
      </c>
      <c r="D3751" t="s">
        <v>433</v>
      </c>
      <c r="E3751" s="217">
        <v>44621</v>
      </c>
      <c r="F3751">
        <v>10719</v>
      </c>
      <c r="G3751" s="227" t="s">
        <v>129</v>
      </c>
    </row>
    <row r="3752" spans="1:7">
      <c r="A3752" s="216">
        <v>44621</v>
      </c>
      <c r="B3752" t="s">
        <v>48</v>
      </c>
      <c r="C3752">
        <v>10</v>
      </c>
      <c r="D3752" t="s">
        <v>433</v>
      </c>
      <c r="E3752" s="217">
        <v>44621</v>
      </c>
      <c r="F3752">
        <v>9928</v>
      </c>
      <c r="G3752" s="227" t="s">
        <v>125</v>
      </c>
    </row>
    <row r="3753" spans="1:7">
      <c r="A3753" s="216">
        <v>44621</v>
      </c>
      <c r="B3753" t="s">
        <v>48</v>
      </c>
      <c r="C3753">
        <v>10</v>
      </c>
      <c r="D3753" t="s">
        <v>433</v>
      </c>
      <c r="E3753" s="217">
        <v>44621</v>
      </c>
      <c r="F3753">
        <v>10274</v>
      </c>
      <c r="G3753" s="227" t="s">
        <v>121</v>
      </c>
    </row>
    <row r="3754" spans="1:7">
      <c r="A3754" s="216">
        <v>44621</v>
      </c>
      <c r="B3754" t="s">
        <v>48</v>
      </c>
      <c r="C3754">
        <v>10</v>
      </c>
      <c r="D3754" t="s">
        <v>433</v>
      </c>
      <c r="E3754" s="217">
        <v>44621</v>
      </c>
      <c r="F3754">
        <v>10442</v>
      </c>
      <c r="G3754" s="227" t="s">
        <v>90</v>
      </c>
    </row>
    <row r="3755" spans="1:7">
      <c r="A3755" s="216">
        <v>44621</v>
      </c>
      <c r="B3755" t="s">
        <v>48</v>
      </c>
      <c r="C3755">
        <v>10</v>
      </c>
      <c r="D3755" t="s">
        <v>433</v>
      </c>
      <c r="E3755" s="217">
        <v>44621</v>
      </c>
      <c r="F3755">
        <v>10407</v>
      </c>
      <c r="G3755" s="227" t="s">
        <v>98</v>
      </c>
    </row>
    <row r="3756" spans="1:7">
      <c r="A3756" s="216">
        <v>44621</v>
      </c>
      <c r="B3756" t="s">
        <v>48</v>
      </c>
      <c r="C3756">
        <v>10</v>
      </c>
      <c r="D3756" t="s">
        <v>433</v>
      </c>
      <c r="E3756" s="217">
        <v>44621</v>
      </c>
      <c r="F3756">
        <v>9616</v>
      </c>
      <c r="G3756" s="227" t="s">
        <v>94</v>
      </c>
    </row>
    <row r="3757" spans="1:7">
      <c r="A3757" s="216">
        <v>44621</v>
      </c>
      <c r="B3757" t="s">
        <v>48</v>
      </c>
      <c r="C3757">
        <v>10</v>
      </c>
      <c r="D3757" t="s">
        <v>433</v>
      </c>
      <c r="E3757" s="217">
        <v>44621</v>
      </c>
      <c r="F3757">
        <v>12552</v>
      </c>
      <c r="G3757" s="227" t="s">
        <v>112</v>
      </c>
    </row>
    <row r="3758" spans="1:7">
      <c r="A3758" s="216">
        <v>44621</v>
      </c>
      <c r="B3758" t="s">
        <v>48</v>
      </c>
      <c r="C3758">
        <v>10</v>
      </c>
      <c r="D3758" t="s">
        <v>433</v>
      </c>
      <c r="E3758" s="217">
        <v>44621</v>
      </c>
      <c r="F3758">
        <v>121661</v>
      </c>
      <c r="G3758" s="227" t="s">
        <v>434</v>
      </c>
    </row>
    <row r="3759" spans="1:7">
      <c r="A3759" s="216">
        <v>44621</v>
      </c>
      <c r="B3759" t="s">
        <v>48</v>
      </c>
      <c r="C3759">
        <v>11</v>
      </c>
      <c r="D3759" t="s">
        <v>445</v>
      </c>
      <c r="E3759" s="217">
        <v>44621</v>
      </c>
      <c r="F3759">
        <v>8453</v>
      </c>
      <c r="G3759" s="227" t="s">
        <v>80</v>
      </c>
    </row>
    <row r="3760" spans="1:7">
      <c r="A3760" s="216">
        <v>44621</v>
      </c>
      <c r="B3760" t="s">
        <v>48</v>
      </c>
      <c r="C3760">
        <v>11</v>
      </c>
      <c r="D3760" t="s">
        <v>445</v>
      </c>
      <c r="E3760" s="217">
        <v>44621</v>
      </c>
      <c r="F3760">
        <v>7429</v>
      </c>
      <c r="G3760" s="227" t="s">
        <v>116</v>
      </c>
    </row>
    <row r="3761" spans="1:7">
      <c r="A3761" s="216">
        <v>44621</v>
      </c>
      <c r="B3761" t="s">
        <v>48</v>
      </c>
      <c r="C3761">
        <v>11</v>
      </c>
      <c r="D3761" t="s">
        <v>445</v>
      </c>
      <c r="E3761" s="217">
        <v>44621</v>
      </c>
      <c r="F3761">
        <v>7604</v>
      </c>
      <c r="G3761" s="227" t="s">
        <v>107</v>
      </c>
    </row>
    <row r="3762" spans="1:7">
      <c r="A3762" s="216">
        <v>44621</v>
      </c>
      <c r="B3762" t="s">
        <v>48</v>
      </c>
      <c r="C3762">
        <v>11</v>
      </c>
      <c r="D3762" t="s">
        <v>445</v>
      </c>
      <c r="E3762" s="217">
        <v>44621</v>
      </c>
      <c r="F3762">
        <v>10564</v>
      </c>
      <c r="G3762" s="227" t="s">
        <v>102</v>
      </c>
    </row>
    <row r="3763" spans="1:7">
      <c r="A3763" s="216">
        <v>44621</v>
      </c>
      <c r="B3763" t="s">
        <v>48</v>
      </c>
      <c r="C3763">
        <v>11</v>
      </c>
      <c r="D3763" t="s">
        <v>445</v>
      </c>
      <c r="E3763" s="217">
        <v>44621</v>
      </c>
      <c r="F3763">
        <v>10885.62</v>
      </c>
      <c r="G3763" s="227" t="s">
        <v>85</v>
      </c>
    </row>
    <row r="3764" spans="1:7">
      <c r="A3764" s="216">
        <v>44621</v>
      </c>
      <c r="B3764" t="s">
        <v>48</v>
      </c>
      <c r="C3764">
        <v>11</v>
      </c>
      <c r="D3764" t="s">
        <v>445</v>
      </c>
      <c r="E3764" s="217">
        <v>44621</v>
      </c>
      <c r="F3764">
        <v>11077.34</v>
      </c>
      <c r="G3764" s="227" t="s">
        <v>129</v>
      </c>
    </row>
    <row r="3765" spans="1:7">
      <c r="A3765" s="216">
        <v>44621</v>
      </c>
      <c r="B3765" t="s">
        <v>48</v>
      </c>
      <c r="C3765">
        <v>11</v>
      </c>
      <c r="D3765" t="s">
        <v>445</v>
      </c>
      <c r="E3765" s="217">
        <v>44621</v>
      </c>
      <c r="F3765">
        <v>11422.34</v>
      </c>
      <c r="G3765" s="227" t="s">
        <v>125</v>
      </c>
    </row>
    <row r="3766" spans="1:7">
      <c r="A3766" s="216">
        <v>44621</v>
      </c>
      <c r="B3766" t="s">
        <v>48</v>
      </c>
      <c r="C3766">
        <v>11</v>
      </c>
      <c r="D3766" t="s">
        <v>445</v>
      </c>
      <c r="E3766" s="217">
        <v>44621</v>
      </c>
      <c r="F3766">
        <v>13354.34</v>
      </c>
      <c r="G3766" s="227" t="s">
        <v>121</v>
      </c>
    </row>
    <row r="3767" spans="1:7">
      <c r="A3767" s="216">
        <v>44621</v>
      </c>
      <c r="B3767" t="s">
        <v>48</v>
      </c>
      <c r="C3767">
        <v>11</v>
      </c>
      <c r="D3767" t="s">
        <v>445</v>
      </c>
      <c r="E3767" s="217">
        <v>44621</v>
      </c>
      <c r="F3767">
        <v>10081.34</v>
      </c>
      <c r="G3767" s="227" t="s">
        <v>90</v>
      </c>
    </row>
    <row r="3768" spans="1:7">
      <c r="A3768" s="216">
        <v>44621</v>
      </c>
      <c r="B3768" t="s">
        <v>48</v>
      </c>
      <c r="C3768">
        <v>11</v>
      </c>
      <c r="D3768" t="s">
        <v>445</v>
      </c>
      <c r="E3768" s="217">
        <v>44621</v>
      </c>
      <c r="F3768">
        <v>11193.34</v>
      </c>
      <c r="G3768" s="227" t="s">
        <v>98</v>
      </c>
    </row>
    <row r="3769" spans="1:7">
      <c r="A3769" s="216">
        <v>44621</v>
      </c>
      <c r="B3769" t="s">
        <v>48</v>
      </c>
      <c r="C3769">
        <v>11</v>
      </c>
      <c r="D3769" t="s">
        <v>445</v>
      </c>
      <c r="E3769" s="217">
        <v>44621</v>
      </c>
      <c r="F3769">
        <v>11028.34</v>
      </c>
      <c r="G3769" s="227" t="s">
        <v>94</v>
      </c>
    </row>
    <row r="3770" spans="1:7">
      <c r="A3770" s="216">
        <v>44621</v>
      </c>
      <c r="B3770" t="s">
        <v>48</v>
      </c>
      <c r="C3770">
        <v>11</v>
      </c>
      <c r="D3770" t="s">
        <v>445</v>
      </c>
      <c r="E3770" s="217">
        <v>44621</v>
      </c>
      <c r="F3770">
        <v>20777.34</v>
      </c>
      <c r="G3770" s="227" t="s">
        <v>112</v>
      </c>
    </row>
    <row r="3771" spans="1:7">
      <c r="A3771" s="216">
        <v>44621</v>
      </c>
      <c r="B3771" t="s">
        <v>48</v>
      </c>
      <c r="C3771">
        <v>11</v>
      </c>
      <c r="D3771" t="s">
        <v>445</v>
      </c>
      <c r="E3771" s="217">
        <v>44621</v>
      </c>
      <c r="F3771">
        <v>133870</v>
      </c>
      <c r="G3771" s="227" t="s">
        <v>434</v>
      </c>
    </row>
    <row r="3772" spans="1:7">
      <c r="A3772" s="216">
        <v>44621</v>
      </c>
      <c r="B3772" t="s">
        <v>48</v>
      </c>
      <c r="C3772">
        <v>12</v>
      </c>
      <c r="D3772" t="s">
        <v>454</v>
      </c>
      <c r="E3772" s="217">
        <v>44621</v>
      </c>
      <c r="F3772">
        <v>0</v>
      </c>
      <c r="G3772" s="227" t="s">
        <v>80</v>
      </c>
    </row>
    <row r="3773" spans="1:7">
      <c r="A3773" s="216">
        <v>44621</v>
      </c>
      <c r="B3773" t="s">
        <v>48</v>
      </c>
      <c r="C3773">
        <v>12</v>
      </c>
      <c r="D3773" t="s">
        <v>454</v>
      </c>
      <c r="E3773" s="217">
        <v>44621</v>
      </c>
      <c r="F3773">
        <v>0</v>
      </c>
      <c r="G3773" s="227" t="s">
        <v>116</v>
      </c>
    </row>
    <row r="3774" spans="1:7">
      <c r="A3774" s="216">
        <v>44621</v>
      </c>
      <c r="B3774" t="s">
        <v>48</v>
      </c>
      <c r="C3774">
        <v>12</v>
      </c>
      <c r="D3774" t="s">
        <v>454</v>
      </c>
      <c r="E3774" s="217">
        <v>44621</v>
      </c>
      <c r="F3774">
        <v>0</v>
      </c>
      <c r="G3774" s="227" t="s">
        <v>107</v>
      </c>
    </row>
    <row r="3775" spans="1:7">
      <c r="A3775" s="216">
        <v>44621</v>
      </c>
      <c r="B3775" t="s">
        <v>48</v>
      </c>
      <c r="C3775">
        <v>12</v>
      </c>
      <c r="D3775" t="s">
        <v>454</v>
      </c>
      <c r="E3775" s="217">
        <v>44621</v>
      </c>
      <c r="F3775">
        <v>0</v>
      </c>
      <c r="G3775" s="227" t="s">
        <v>102</v>
      </c>
    </row>
    <row r="3776" spans="1:7">
      <c r="A3776" s="216">
        <v>44621</v>
      </c>
      <c r="B3776" t="s">
        <v>48</v>
      </c>
      <c r="C3776">
        <v>12</v>
      </c>
      <c r="D3776" t="s">
        <v>454</v>
      </c>
      <c r="E3776" s="217">
        <v>44621</v>
      </c>
      <c r="F3776">
        <v>0</v>
      </c>
      <c r="G3776" s="227" t="s">
        <v>85</v>
      </c>
    </row>
    <row r="3777" spans="1:7">
      <c r="A3777" s="216">
        <v>44621</v>
      </c>
      <c r="B3777" t="s">
        <v>48</v>
      </c>
      <c r="C3777">
        <v>12</v>
      </c>
      <c r="D3777" t="s">
        <v>454</v>
      </c>
      <c r="E3777" s="217">
        <v>44621</v>
      </c>
      <c r="F3777">
        <v>0</v>
      </c>
      <c r="G3777" s="227" t="s">
        <v>129</v>
      </c>
    </row>
    <row r="3778" spans="1:7">
      <c r="A3778" s="216">
        <v>44621</v>
      </c>
      <c r="B3778" t="s">
        <v>48</v>
      </c>
      <c r="C3778">
        <v>12</v>
      </c>
      <c r="D3778" t="s">
        <v>454</v>
      </c>
      <c r="E3778" s="217">
        <v>44621</v>
      </c>
      <c r="F3778">
        <v>0</v>
      </c>
      <c r="G3778" s="227" t="s">
        <v>125</v>
      </c>
    </row>
    <row r="3779" spans="1:7">
      <c r="A3779" s="216">
        <v>44621</v>
      </c>
      <c r="B3779" t="s">
        <v>48</v>
      </c>
      <c r="C3779">
        <v>12</v>
      </c>
      <c r="D3779" t="s">
        <v>454</v>
      </c>
      <c r="E3779" s="217">
        <v>44621</v>
      </c>
      <c r="F3779">
        <v>0</v>
      </c>
      <c r="G3779" s="227" t="s">
        <v>121</v>
      </c>
    </row>
    <row r="3780" spans="1:7">
      <c r="A3780" s="216">
        <v>44621</v>
      </c>
      <c r="B3780" t="s">
        <v>48</v>
      </c>
      <c r="C3780">
        <v>12</v>
      </c>
      <c r="D3780" t="s">
        <v>454</v>
      </c>
      <c r="E3780" s="217">
        <v>44621</v>
      </c>
      <c r="F3780">
        <v>0</v>
      </c>
      <c r="G3780" s="227" t="s">
        <v>90</v>
      </c>
    </row>
    <row r="3781" spans="1:7">
      <c r="A3781" s="216">
        <v>44621</v>
      </c>
      <c r="B3781" t="s">
        <v>48</v>
      </c>
      <c r="C3781">
        <v>12</v>
      </c>
      <c r="D3781" t="s">
        <v>454</v>
      </c>
      <c r="E3781" s="217">
        <v>44621</v>
      </c>
      <c r="F3781">
        <v>0</v>
      </c>
      <c r="G3781" s="227" t="s">
        <v>98</v>
      </c>
    </row>
    <row r="3782" spans="1:7">
      <c r="A3782" s="216">
        <v>44621</v>
      </c>
      <c r="B3782" t="s">
        <v>48</v>
      </c>
      <c r="C3782">
        <v>12</v>
      </c>
      <c r="D3782" t="s">
        <v>454</v>
      </c>
      <c r="E3782" s="217">
        <v>44621</v>
      </c>
      <c r="F3782">
        <v>0</v>
      </c>
      <c r="G3782" s="227" t="s">
        <v>94</v>
      </c>
    </row>
    <row r="3783" spans="1:7">
      <c r="A3783" s="216">
        <v>44621</v>
      </c>
      <c r="B3783" t="s">
        <v>48</v>
      </c>
      <c r="C3783">
        <v>12</v>
      </c>
      <c r="D3783" t="s">
        <v>454</v>
      </c>
      <c r="E3783" s="217">
        <v>44621</v>
      </c>
      <c r="F3783">
        <v>0</v>
      </c>
      <c r="G3783" s="227" t="s">
        <v>112</v>
      </c>
    </row>
    <row r="3784" spans="1:7">
      <c r="A3784" s="216">
        <v>44621</v>
      </c>
      <c r="B3784" t="s">
        <v>48</v>
      </c>
      <c r="C3784">
        <v>12</v>
      </c>
      <c r="D3784" t="s">
        <v>454</v>
      </c>
      <c r="E3784" s="217">
        <v>44621</v>
      </c>
      <c r="F3784">
        <v>0</v>
      </c>
      <c r="G3784" s="227" t="s">
        <v>434</v>
      </c>
    </row>
    <row r="3785" spans="1:7">
      <c r="A3785" s="216">
        <v>44621</v>
      </c>
      <c r="B3785" t="s">
        <v>48</v>
      </c>
      <c r="C3785">
        <v>13</v>
      </c>
      <c r="D3785" t="s">
        <v>441</v>
      </c>
      <c r="E3785" s="217">
        <v>44621</v>
      </c>
      <c r="F3785">
        <v>0</v>
      </c>
      <c r="G3785" s="227" t="s">
        <v>80</v>
      </c>
    </row>
    <row r="3786" spans="1:7">
      <c r="A3786" s="216">
        <v>44621</v>
      </c>
      <c r="B3786" t="s">
        <v>48</v>
      </c>
      <c r="C3786">
        <v>13</v>
      </c>
      <c r="D3786" t="s">
        <v>441</v>
      </c>
      <c r="E3786" s="217">
        <v>44621</v>
      </c>
      <c r="F3786">
        <v>0</v>
      </c>
      <c r="G3786" s="227" t="s">
        <v>116</v>
      </c>
    </row>
    <row r="3787" spans="1:7">
      <c r="A3787" s="216">
        <v>44621</v>
      </c>
      <c r="B3787" t="s">
        <v>48</v>
      </c>
      <c r="C3787">
        <v>13</v>
      </c>
      <c r="D3787" t="s">
        <v>441</v>
      </c>
      <c r="E3787" s="217">
        <v>44621</v>
      </c>
      <c r="F3787">
        <v>0</v>
      </c>
      <c r="G3787" s="227" t="s">
        <v>107</v>
      </c>
    </row>
    <row r="3788" spans="1:7">
      <c r="A3788" s="216">
        <v>44621</v>
      </c>
      <c r="B3788" t="s">
        <v>48</v>
      </c>
      <c r="C3788">
        <v>13</v>
      </c>
      <c r="D3788" t="s">
        <v>441</v>
      </c>
      <c r="E3788" s="217">
        <v>44621</v>
      </c>
      <c r="F3788">
        <v>0</v>
      </c>
      <c r="G3788" s="227" t="s">
        <v>102</v>
      </c>
    </row>
    <row r="3789" spans="1:7">
      <c r="A3789" s="216">
        <v>44621</v>
      </c>
      <c r="B3789" t="s">
        <v>48</v>
      </c>
      <c r="C3789">
        <v>13</v>
      </c>
      <c r="D3789" t="s">
        <v>441</v>
      </c>
      <c r="E3789" s="217">
        <v>44621</v>
      </c>
      <c r="F3789">
        <v>0</v>
      </c>
      <c r="G3789" s="227" t="s">
        <v>85</v>
      </c>
    </row>
    <row r="3790" spans="1:7">
      <c r="A3790" s="216">
        <v>44621</v>
      </c>
      <c r="B3790" t="s">
        <v>48</v>
      </c>
      <c r="C3790">
        <v>13</v>
      </c>
      <c r="D3790" t="s">
        <v>441</v>
      </c>
      <c r="E3790" s="217">
        <v>44621</v>
      </c>
      <c r="F3790">
        <v>0</v>
      </c>
      <c r="G3790" s="227" t="s">
        <v>129</v>
      </c>
    </row>
    <row r="3791" spans="1:7">
      <c r="A3791" s="216">
        <v>44621</v>
      </c>
      <c r="B3791" t="s">
        <v>48</v>
      </c>
      <c r="C3791">
        <v>13</v>
      </c>
      <c r="D3791" t="s">
        <v>441</v>
      </c>
      <c r="E3791" s="217">
        <v>44621</v>
      </c>
      <c r="F3791">
        <v>0</v>
      </c>
      <c r="G3791" s="227" t="s">
        <v>125</v>
      </c>
    </row>
    <row r="3792" spans="1:7">
      <c r="A3792" s="216">
        <v>44621</v>
      </c>
      <c r="B3792" t="s">
        <v>48</v>
      </c>
      <c r="C3792">
        <v>13</v>
      </c>
      <c r="D3792" t="s">
        <v>441</v>
      </c>
      <c r="E3792" s="217">
        <v>44621</v>
      </c>
      <c r="F3792">
        <v>0</v>
      </c>
      <c r="G3792" s="227" t="s">
        <v>121</v>
      </c>
    </row>
    <row r="3793" spans="1:7">
      <c r="A3793" s="216">
        <v>44621</v>
      </c>
      <c r="B3793" t="s">
        <v>48</v>
      </c>
      <c r="C3793">
        <v>13</v>
      </c>
      <c r="D3793" t="s">
        <v>441</v>
      </c>
      <c r="E3793" s="217">
        <v>44621</v>
      </c>
      <c r="F3793">
        <v>0</v>
      </c>
      <c r="G3793" s="227" t="s">
        <v>90</v>
      </c>
    </row>
    <row r="3794" spans="1:7">
      <c r="A3794" s="216">
        <v>44621</v>
      </c>
      <c r="B3794" t="s">
        <v>48</v>
      </c>
      <c r="C3794">
        <v>13</v>
      </c>
      <c r="D3794" t="s">
        <v>441</v>
      </c>
      <c r="E3794" s="217">
        <v>44621</v>
      </c>
      <c r="F3794">
        <v>0</v>
      </c>
      <c r="G3794" s="227" t="s">
        <v>98</v>
      </c>
    </row>
    <row r="3795" spans="1:7">
      <c r="A3795" s="216">
        <v>44621</v>
      </c>
      <c r="B3795" t="s">
        <v>48</v>
      </c>
      <c r="C3795">
        <v>13</v>
      </c>
      <c r="D3795" t="s">
        <v>441</v>
      </c>
      <c r="E3795" s="217">
        <v>44621</v>
      </c>
      <c r="F3795">
        <v>0</v>
      </c>
      <c r="G3795" s="227" t="s">
        <v>94</v>
      </c>
    </row>
    <row r="3796" spans="1:7">
      <c r="A3796" s="216">
        <v>44621</v>
      </c>
      <c r="B3796" t="s">
        <v>48</v>
      </c>
      <c r="C3796">
        <v>13</v>
      </c>
      <c r="D3796" t="s">
        <v>441</v>
      </c>
      <c r="E3796" s="217">
        <v>44621</v>
      </c>
      <c r="F3796">
        <v>0</v>
      </c>
      <c r="G3796" s="227" t="s">
        <v>112</v>
      </c>
    </row>
    <row r="3797" spans="1:7">
      <c r="A3797" s="216">
        <v>44621</v>
      </c>
      <c r="B3797" t="s">
        <v>48</v>
      </c>
      <c r="C3797">
        <v>13</v>
      </c>
      <c r="D3797" t="s">
        <v>441</v>
      </c>
      <c r="E3797" s="217">
        <v>44621</v>
      </c>
      <c r="F3797">
        <v>0</v>
      </c>
      <c r="G3797" s="227" t="s">
        <v>434</v>
      </c>
    </row>
    <row r="3798" spans="1:7">
      <c r="A3798" s="216">
        <v>44621</v>
      </c>
      <c r="B3798" t="s">
        <v>48</v>
      </c>
      <c r="C3798">
        <v>14</v>
      </c>
      <c r="D3798" t="s">
        <v>447</v>
      </c>
      <c r="E3798" s="217">
        <v>44621</v>
      </c>
      <c r="F3798">
        <v>0</v>
      </c>
      <c r="G3798" s="227" t="s">
        <v>80</v>
      </c>
    </row>
    <row r="3799" spans="1:7">
      <c r="A3799" s="216">
        <v>44621</v>
      </c>
      <c r="B3799" t="s">
        <v>48</v>
      </c>
      <c r="C3799">
        <v>14</v>
      </c>
      <c r="D3799" t="s">
        <v>447</v>
      </c>
      <c r="E3799" s="217">
        <v>44621</v>
      </c>
      <c r="F3799">
        <v>0</v>
      </c>
      <c r="G3799" s="227" t="s">
        <v>116</v>
      </c>
    </row>
    <row r="3800" spans="1:7">
      <c r="A3800" s="216">
        <v>44621</v>
      </c>
      <c r="B3800" t="s">
        <v>48</v>
      </c>
      <c r="C3800">
        <v>14</v>
      </c>
      <c r="D3800" t="s">
        <v>447</v>
      </c>
      <c r="E3800" s="217">
        <v>44621</v>
      </c>
      <c r="F3800">
        <v>0</v>
      </c>
      <c r="G3800" s="227" t="s">
        <v>107</v>
      </c>
    </row>
    <row r="3801" spans="1:7">
      <c r="A3801" s="216">
        <v>44621</v>
      </c>
      <c r="B3801" t="s">
        <v>48</v>
      </c>
      <c r="C3801">
        <v>14</v>
      </c>
      <c r="D3801" t="s">
        <v>447</v>
      </c>
      <c r="E3801" s="217">
        <v>44621</v>
      </c>
      <c r="F3801">
        <v>0</v>
      </c>
      <c r="G3801" s="227" t="s">
        <v>102</v>
      </c>
    </row>
    <row r="3802" spans="1:7">
      <c r="A3802" s="216">
        <v>44621</v>
      </c>
      <c r="B3802" t="s">
        <v>48</v>
      </c>
      <c r="C3802">
        <v>14</v>
      </c>
      <c r="D3802" t="s">
        <v>447</v>
      </c>
      <c r="E3802" s="217">
        <v>44621</v>
      </c>
      <c r="F3802">
        <v>0</v>
      </c>
      <c r="G3802" s="227" t="s">
        <v>85</v>
      </c>
    </row>
    <row r="3803" spans="1:7">
      <c r="A3803" s="216">
        <v>44621</v>
      </c>
      <c r="B3803" t="s">
        <v>48</v>
      </c>
      <c r="C3803">
        <v>14</v>
      </c>
      <c r="D3803" t="s">
        <v>447</v>
      </c>
      <c r="E3803" s="217">
        <v>44621</v>
      </c>
      <c r="F3803">
        <v>0</v>
      </c>
      <c r="G3803" s="227" t="s">
        <v>129</v>
      </c>
    </row>
    <row r="3804" spans="1:7">
      <c r="A3804" s="216">
        <v>44621</v>
      </c>
      <c r="B3804" t="s">
        <v>48</v>
      </c>
      <c r="C3804">
        <v>14</v>
      </c>
      <c r="D3804" t="s">
        <v>447</v>
      </c>
      <c r="E3804" s="217">
        <v>44621</v>
      </c>
      <c r="F3804">
        <v>0</v>
      </c>
      <c r="G3804" s="227" t="s">
        <v>125</v>
      </c>
    </row>
    <row r="3805" spans="1:7">
      <c r="A3805" s="216">
        <v>44621</v>
      </c>
      <c r="B3805" t="s">
        <v>48</v>
      </c>
      <c r="C3805">
        <v>14</v>
      </c>
      <c r="D3805" t="s">
        <v>447</v>
      </c>
      <c r="E3805" s="217">
        <v>44621</v>
      </c>
      <c r="F3805">
        <v>0</v>
      </c>
      <c r="G3805" s="227" t="s">
        <v>121</v>
      </c>
    </row>
    <row r="3806" spans="1:7">
      <c r="A3806" s="216">
        <v>44621</v>
      </c>
      <c r="B3806" t="s">
        <v>48</v>
      </c>
      <c r="C3806">
        <v>14</v>
      </c>
      <c r="D3806" t="s">
        <v>447</v>
      </c>
      <c r="E3806" s="217">
        <v>44621</v>
      </c>
      <c r="F3806">
        <v>0</v>
      </c>
      <c r="G3806" s="227" t="s">
        <v>90</v>
      </c>
    </row>
    <row r="3807" spans="1:7">
      <c r="A3807" s="216">
        <v>44621</v>
      </c>
      <c r="B3807" t="s">
        <v>48</v>
      </c>
      <c r="C3807">
        <v>14</v>
      </c>
      <c r="D3807" t="s">
        <v>447</v>
      </c>
      <c r="E3807" s="217">
        <v>44621</v>
      </c>
      <c r="F3807">
        <v>0</v>
      </c>
      <c r="G3807" s="227" t="s">
        <v>98</v>
      </c>
    </row>
    <row r="3808" spans="1:7">
      <c r="A3808" s="216">
        <v>44621</v>
      </c>
      <c r="B3808" t="s">
        <v>48</v>
      </c>
      <c r="C3808">
        <v>14</v>
      </c>
      <c r="D3808" t="s">
        <v>447</v>
      </c>
      <c r="E3808" s="217">
        <v>44621</v>
      </c>
      <c r="F3808">
        <v>0</v>
      </c>
      <c r="G3808" s="227" t="s">
        <v>94</v>
      </c>
    </row>
    <row r="3809" spans="1:7">
      <c r="A3809" s="216">
        <v>44621</v>
      </c>
      <c r="B3809" t="s">
        <v>48</v>
      </c>
      <c r="C3809">
        <v>14</v>
      </c>
      <c r="D3809" t="s">
        <v>447</v>
      </c>
      <c r="E3809" s="217">
        <v>44621</v>
      </c>
      <c r="F3809">
        <v>0</v>
      </c>
      <c r="G3809" s="227" t="s">
        <v>112</v>
      </c>
    </row>
    <row r="3810" spans="1:7">
      <c r="A3810" s="216">
        <v>44621</v>
      </c>
      <c r="B3810" t="s">
        <v>48</v>
      </c>
      <c r="C3810">
        <v>14</v>
      </c>
      <c r="D3810" t="s">
        <v>447</v>
      </c>
      <c r="E3810" s="217">
        <v>44621</v>
      </c>
      <c r="F3810">
        <v>0</v>
      </c>
      <c r="G3810" s="227" t="s">
        <v>434</v>
      </c>
    </row>
    <row r="3811" spans="1:7">
      <c r="A3811" s="216">
        <v>44621</v>
      </c>
      <c r="B3811" t="s">
        <v>48</v>
      </c>
      <c r="C3811">
        <v>15</v>
      </c>
      <c r="D3811" t="s">
        <v>437</v>
      </c>
      <c r="E3811" s="217">
        <v>44621</v>
      </c>
      <c r="F3811">
        <v>0</v>
      </c>
      <c r="G3811" s="227" t="s">
        <v>80</v>
      </c>
    </row>
    <row r="3812" spans="1:7">
      <c r="A3812" s="216">
        <v>44621</v>
      </c>
      <c r="B3812" t="s">
        <v>48</v>
      </c>
      <c r="C3812">
        <v>15</v>
      </c>
      <c r="D3812" t="s">
        <v>437</v>
      </c>
      <c r="E3812" s="217">
        <v>44621</v>
      </c>
      <c r="F3812">
        <v>0</v>
      </c>
      <c r="G3812" s="227" t="s">
        <v>116</v>
      </c>
    </row>
    <row r="3813" spans="1:7">
      <c r="A3813" s="216">
        <v>44621</v>
      </c>
      <c r="B3813" t="s">
        <v>48</v>
      </c>
      <c r="C3813">
        <v>15</v>
      </c>
      <c r="D3813" t="s">
        <v>437</v>
      </c>
      <c r="E3813" s="217">
        <v>44621</v>
      </c>
      <c r="F3813">
        <v>0</v>
      </c>
      <c r="G3813" s="227" t="s">
        <v>107</v>
      </c>
    </row>
    <row r="3814" spans="1:7">
      <c r="A3814" s="216">
        <v>44621</v>
      </c>
      <c r="B3814" t="s">
        <v>48</v>
      </c>
      <c r="C3814">
        <v>15</v>
      </c>
      <c r="D3814" t="s">
        <v>437</v>
      </c>
      <c r="E3814" s="217">
        <v>44621</v>
      </c>
      <c r="F3814">
        <v>0</v>
      </c>
      <c r="G3814" s="227" t="s">
        <v>102</v>
      </c>
    </row>
    <row r="3815" spans="1:7">
      <c r="A3815" s="216">
        <v>44621</v>
      </c>
      <c r="B3815" t="s">
        <v>48</v>
      </c>
      <c r="C3815">
        <v>15</v>
      </c>
      <c r="D3815" t="s">
        <v>437</v>
      </c>
      <c r="E3815" s="217">
        <v>44621</v>
      </c>
      <c r="F3815">
        <v>0</v>
      </c>
      <c r="G3815" s="227" t="s">
        <v>85</v>
      </c>
    </row>
    <row r="3816" spans="1:7">
      <c r="A3816" s="216">
        <v>44621</v>
      </c>
      <c r="B3816" t="s">
        <v>48</v>
      </c>
      <c r="C3816">
        <v>15</v>
      </c>
      <c r="D3816" t="s">
        <v>437</v>
      </c>
      <c r="E3816" s="217">
        <v>44621</v>
      </c>
      <c r="F3816">
        <v>0</v>
      </c>
      <c r="G3816" s="227" t="s">
        <v>129</v>
      </c>
    </row>
    <row r="3817" spans="1:7">
      <c r="A3817" s="216">
        <v>44621</v>
      </c>
      <c r="B3817" t="s">
        <v>48</v>
      </c>
      <c r="C3817">
        <v>15</v>
      </c>
      <c r="D3817" t="s">
        <v>437</v>
      </c>
      <c r="E3817" s="217">
        <v>44621</v>
      </c>
      <c r="F3817">
        <v>0</v>
      </c>
      <c r="G3817" s="227" t="s">
        <v>125</v>
      </c>
    </row>
    <row r="3818" spans="1:7">
      <c r="A3818" s="216">
        <v>44621</v>
      </c>
      <c r="B3818" t="s">
        <v>48</v>
      </c>
      <c r="C3818">
        <v>15</v>
      </c>
      <c r="D3818" t="s">
        <v>437</v>
      </c>
      <c r="E3818" s="217">
        <v>44621</v>
      </c>
      <c r="F3818">
        <v>0</v>
      </c>
      <c r="G3818" s="227" t="s">
        <v>121</v>
      </c>
    </row>
    <row r="3819" spans="1:7">
      <c r="A3819" s="216">
        <v>44621</v>
      </c>
      <c r="B3819" t="s">
        <v>48</v>
      </c>
      <c r="C3819">
        <v>15</v>
      </c>
      <c r="D3819" t="s">
        <v>437</v>
      </c>
      <c r="E3819" s="217">
        <v>44621</v>
      </c>
      <c r="F3819">
        <v>0</v>
      </c>
      <c r="G3819" s="227" t="s">
        <v>90</v>
      </c>
    </row>
    <row r="3820" spans="1:7">
      <c r="A3820" s="216">
        <v>44621</v>
      </c>
      <c r="B3820" t="s">
        <v>48</v>
      </c>
      <c r="C3820">
        <v>15</v>
      </c>
      <c r="D3820" t="s">
        <v>437</v>
      </c>
      <c r="E3820" s="217">
        <v>44621</v>
      </c>
      <c r="F3820">
        <v>0</v>
      </c>
      <c r="G3820" s="227" t="s">
        <v>98</v>
      </c>
    </row>
    <row r="3821" spans="1:7">
      <c r="A3821" s="216">
        <v>44621</v>
      </c>
      <c r="B3821" t="s">
        <v>48</v>
      </c>
      <c r="C3821">
        <v>15</v>
      </c>
      <c r="D3821" t="s">
        <v>437</v>
      </c>
      <c r="E3821" s="217">
        <v>44621</v>
      </c>
      <c r="F3821">
        <v>0</v>
      </c>
      <c r="G3821" s="227" t="s">
        <v>94</v>
      </c>
    </row>
    <row r="3822" spans="1:7">
      <c r="A3822" s="216">
        <v>44621</v>
      </c>
      <c r="B3822" t="s">
        <v>48</v>
      </c>
      <c r="C3822">
        <v>15</v>
      </c>
      <c r="D3822" t="s">
        <v>437</v>
      </c>
      <c r="E3822" s="217">
        <v>44621</v>
      </c>
      <c r="F3822">
        <v>0</v>
      </c>
      <c r="G3822" s="227" t="s">
        <v>112</v>
      </c>
    </row>
    <row r="3823" spans="1:7">
      <c r="A3823" s="216">
        <v>44621</v>
      </c>
      <c r="B3823" t="s">
        <v>48</v>
      </c>
      <c r="C3823">
        <v>15</v>
      </c>
      <c r="D3823" t="s">
        <v>437</v>
      </c>
      <c r="E3823" s="217">
        <v>44621</v>
      </c>
      <c r="F3823">
        <v>0</v>
      </c>
      <c r="G3823" s="227" t="s">
        <v>434</v>
      </c>
    </row>
    <row r="3824" spans="1:7">
      <c r="A3824" s="216">
        <v>44621</v>
      </c>
      <c r="B3824" t="s">
        <v>47</v>
      </c>
      <c r="C3824">
        <v>7</v>
      </c>
      <c r="D3824" t="s">
        <v>442</v>
      </c>
      <c r="E3824" s="217">
        <v>44621</v>
      </c>
      <c r="F3824">
        <v>30437.66</v>
      </c>
      <c r="G3824" s="227" t="s">
        <v>80</v>
      </c>
    </row>
    <row r="3825" spans="1:7">
      <c r="A3825" s="216">
        <v>44621</v>
      </c>
      <c r="B3825" t="s">
        <v>47</v>
      </c>
      <c r="C3825">
        <v>7</v>
      </c>
      <c r="D3825" t="s">
        <v>442</v>
      </c>
      <c r="E3825" s="217">
        <v>44621</v>
      </c>
      <c r="F3825">
        <v>30171.17</v>
      </c>
      <c r="G3825" s="227" t="s">
        <v>116</v>
      </c>
    </row>
    <row r="3826" spans="1:7">
      <c r="A3826" s="216">
        <v>44621</v>
      </c>
      <c r="B3826" t="s">
        <v>47</v>
      </c>
      <c r="C3826">
        <v>7</v>
      </c>
      <c r="D3826" t="s">
        <v>442</v>
      </c>
      <c r="E3826" s="217">
        <v>44621</v>
      </c>
      <c r="F3826">
        <v>31082.53</v>
      </c>
      <c r="G3826" s="227" t="s">
        <v>107</v>
      </c>
    </row>
    <row r="3827" spans="1:7">
      <c r="A3827" s="216">
        <v>44621</v>
      </c>
      <c r="B3827" t="s">
        <v>47</v>
      </c>
      <c r="C3827">
        <v>7</v>
      </c>
      <c r="D3827" t="s">
        <v>442</v>
      </c>
      <c r="E3827" s="217">
        <v>44621</v>
      </c>
      <c r="F3827">
        <v>31672.5</v>
      </c>
      <c r="G3827" s="227" t="s">
        <v>102</v>
      </c>
    </row>
    <row r="3828" spans="1:7">
      <c r="A3828" s="216">
        <v>44621</v>
      </c>
      <c r="B3828" t="s">
        <v>47</v>
      </c>
      <c r="C3828">
        <v>7</v>
      </c>
      <c r="D3828" t="s">
        <v>442</v>
      </c>
      <c r="E3828" s="217">
        <v>44621</v>
      </c>
      <c r="F3828">
        <v>30595.45</v>
      </c>
      <c r="G3828" s="227" t="s">
        <v>85</v>
      </c>
    </row>
    <row r="3829" spans="1:7">
      <c r="A3829" s="216">
        <v>44621</v>
      </c>
      <c r="B3829" t="s">
        <v>47</v>
      </c>
      <c r="C3829">
        <v>7</v>
      </c>
      <c r="D3829" t="s">
        <v>442</v>
      </c>
      <c r="E3829" s="217">
        <v>44621</v>
      </c>
      <c r="F3829">
        <v>31543.23</v>
      </c>
      <c r="G3829" s="227" t="s">
        <v>129</v>
      </c>
    </row>
    <row r="3830" spans="1:7">
      <c r="A3830" s="216">
        <v>44621</v>
      </c>
      <c r="B3830" t="s">
        <v>47</v>
      </c>
      <c r="C3830">
        <v>7</v>
      </c>
      <c r="D3830" t="s">
        <v>442</v>
      </c>
      <c r="E3830" s="217">
        <v>44621</v>
      </c>
      <c r="F3830">
        <v>31613.93</v>
      </c>
      <c r="G3830" s="227" t="s">
        <v>125</v>
      </c>
    </row>
    <row r="3831" spans="1:7">
      <c r="A3831" s="216">
        <v>44621</v>
      </c>
      <c r="B3831" t="s">
        <v>47</v>
      </c>
      <c r="C3831">
        <v>7</v>
      </c>
      <c r="D3831" t="s">
        <v>442</v>
      </c>
      <c r="E3831" s="217">
        <v>44621</v>
      </c>
      <c r="F3831">
        <v>31271.26</v>
      </c>
      <c r="G3831" s="227" t="s">
        <v>121</v>
      </c>
    </row>
    <row r="3832" spans="1:7">
      <c r="A3832" s="216">
        <v>44621</v>
      </c>
      <c r="B3832" t="s">
        <v>47</v>
      </c>
      <c r="C3832">
        <v>7</v>
      </c>
      <c r="D3832" t="s">
        <v>442</v>
      </c>
      <c r="E3832" s="217">
        <v>44621</v>
      </c>
      <c r="F3832">
        <v>32561.41</v>
      </c>
      <c r="G3832" s="227" t="s">
        <v>90</v>
      </c>
    </row>
    <row r="3833" spans="1:7">
      <c r="A3833" s="216">
        <v>44621</v>
      </c>
      <c r="B3833" t="s">
        <v>47</v>
      </c>
      <c r="C3833">
        <v>7</v>
      </c>
      <c r="D3833" t="s">
        <v>442</v>
      </c>
      <c r="E3833" s="217">
        <v>44621</v>
      </c>
      <c r="F3833">
        <v>32779.040000000001</v>
      </c>
      <c r="G3833" s="227" t="s">
        <v>98</v>
      </c>
    </row>
    <row r="3834" spans="1:7">
      <c r="A3834" s="216">
        <v>44621</v>
      </c>
      <c r="B3834" t="s">
        <v>47</v>
      </c>
      <c r="C3834">
        <v>7</v>
      </c>
      <c r="D3834" t="s">
        <v>442</v>
      </c>
      <c r="E3834" s="217">
        <v>44621</v>
      </c>
      <c r="F3834">
        <v>31981.49</v>
      </c>
      <c r="G3834" s="227" t="s">
        <v>94</v>
      </c>
    </row>
    <row r="3835" spans="1:7">
      <c r="A3835" s="216">
        <v>44621</v>
      </c>
      <c r="B3835" t="s">
        <v>47</v>
      </c>
      <c r="C3835">
        <v>7</v>
      </c>
      <c r="D3835" t="s">
        <v>442</v>
      </c>
      <c r="E3835" s="217">
        <v>44621</v>
      </c>
      <c r="F3835">
        <v>47839.43</v>
      </c>
      <c r="G3835" s="227" t="s">
        <v>112</v>
      </c>
    </row>
    <row r="3836" spans="1:7">
      <c r="A3836" s="216">
        <v>44621</v>
      </c>
      <c r="B3836" t="s">
        <v>47</v>
      </c>
      <c r="C3836">
        <v>7</v>
      </c>
      <c r="D3836" t="s">
        <v>442</v>
      </c>
      <c r="E3836" s="217">
        <v>44621</v>
      </c>
      <c r="F3836">
        <v>393549.1</v>
      </c>
      <c r="G3836" s="227" t="s">
        <v>434</v>
      </c>
    </row>
    <row r="3837" spans="1:7">
      <c r="A3837" s="216">
        <v>44621</v>
      </c>
      <c r="B3837" t="s">
        <v>47</v>
      </c>
      <c r="C3837">
        <v>8</v>
      </c>
      <c r="D3837" t="s">
        <v>451</v>
      </c>
      <c r="E3837" s="217">
        <v>44621</v>
      </c>
      <c r="F3837">
        <v>3368.4</v>
      </c>
      <c r="G3837" s="227" t="s">
        <v>80</v>
      </c>
    </row>
    <row r="3838" spans="1:7">
      <c r="A3838" s="216">
        <v>44621</v>
      </c>
      <c r="B3838" t="s">
        <v>47</v>
      </c>
      <c r="C3838">
        <v>8</v>
      </c>
      <c r="D3838" t="s">
        <v>451</v>
      </c>
      <c r="E3838" s="217">
        <v>44621</v>
      </c>
      <c r="F3838">
        <v>3137.66</v>
      </c>
      <c r="G3838" s="227" t="s">
        <v>116</v>
      </c>
    </row>
    <row r="3839" spans="1:7">
      <c r="A3839" s="216">
        <v>44621</v>
      </c>
      <c r="B3839" t="s">
        <v>47</v>
      </c>
      <c r="C3839">
        <v>8</v>
      </c>
      <c r="D3839" t="s">
        <v>451</v>
      </c>
      <c r="E3839" s="217">
        <v>44621</v>
      </c>
      <c r="F3839">
        <v>3519.87</v>
      </c>
      <c r="G3839" s="227" t="s">
        <v>107</v>
      </c>
    </row>
    <row r="3840" spans="1:7">
      <c r="A3840" s="216">
        <v>44621</v>
      </c>
      <c r="B3840" t="s">
        <v>47</v>
      </c>
      <c r="C3840">
        <v>8</v>
      </c>
      <c r="D3840" t="s">
        <v>451</v>
      </c>
      <c r="E3840" s="217">
        <v>44621</v>
      </c>
      <c r="F3840">
        <v>4073.73</v>
      </c>
      <c r="G3840" s="227" t="s">
        <v>102</v>
      </c>
    </row>
    <row r="3841" spans="1:7">
      <c r="A3841" s="216">
        <v>44621</v>
      </c>
      <c r="B3841" t="s">
        <v>47</v>
      </c>
      <c r="C3841">
        <v>8</v>
      </c>
      <c r="D3841" t="s">
        <v>451</v>
      </c>
      <c r="E3841" s="217">
        <v>44621</v>
      </c>
      <c r="F3841">
        <v>3430.81</v>
      </c>
      <c r="G3841" s="227" t="s">
        <v>85</v>
      </c>
    </row>
    <row r="3842" spans="1:7">
      <c r="A3842" s="216">
        <v>44621</v>
      </c>
      <c r="B3842" t="s">
        <v>47</v>
      </c>
      <c r="C3842">
        <v>8</v>
      </c>
      <c r="D3842" t="s">
        <v>451</v>
      </c>
      <c r="E3842" s="217">
        <v>44621</v>
      </c>
      <c r="F3842">
        <v>3400.27</v>
      </c>
      <c r="G3842" s="227" t="s">
        <v>129</v>
      </c>
    </row>
    <row r="3843" spans="1:7">
      <c r="A3843" s="216">
        <v>44621</v>
      </c>
      <c r="B3843" t="s">
        <v>47</v>
      </c>
      <c r="C3843">
        <v>8</v>
      </c>
      <c r="D3843" t="s">
        <v>451</v>
      </c>
      <c r="E3843" s="217">
        <v>44621</v>
      </c>
      <c r="F3843">
        <v>3387.38</v>
      </c>
      <c r="G3843" s="227" t="s">
        <v>125</v>
      </c>
    </row>
    <row r="3844" spans="1:7">
      <c r="A3844" s="216">
        <v>44621</v>
      </c>
      <c r="B3844" t="s">
        <v>47</v>
      </c>
      <c r="C3844">
        <v>8</v>
      </c>
      <c r="D3844" t="s">
        <v>451</v>
      </c>
      <c r="E3844" s="217">
        <v>44621</v>
      </c>
      <c r="F3844">
        <v>3046</v>
      </c>
      <c r="G3844" s="227" t="s">
        <v>121</v>
      </c>
    </row>
    <row r="3845" spans="1:7">
      <c r="A3845" s="216">
        <v>44621</v>
      </c>
      <c r="B3845" t="s">
        <v>47</v>
      </c>
      <c r="C3845">
        <v>8</v>
      </c>
      <c r="D3845" t="s">
        <v>451</v>
      </c>
      <c r="E3845" s="217">
        <v>44621</v>
      </c>
      <c r="F3845">
        <v>3878.89</v>
      </c>
      <c r="G3845" s="227" t="s">
        <v>90</v>
      </c>
    </row>
    <row r="3846" spans="1:7">
      <c r="A3846" s="216">
        <v>44621</v>
      </c>
      <c r="B3846" t="s">
        <v>47</v>
      </c>
      <c r="C3846">
        <v>8</v>
      </c>
      <c r="D3846" t="s">
        <v>451</v>
      </c>
      <c r="E3846" s="217">
        <v>44621</v>
      </c>
      <c r="F3846">
        <v>3400.79</v>
      </c>
      <c r="G3846" s="227" t="s">
        <v>98</v>
      </c>
    </row>
    <row r="3847" spans="1:7">
      <c r="A3847" s="216">
        <v>44621</v>
      </c>
      <c r="B3847" t="s">
        <v>47</v>
      </c>
      <c r="C3847">
        <v>8</v>
      </c>
      <c r="D3847" t="s">
        <v>451</v>
      </c>
      <c r="E3847" s="217">
        <v>44621</v>
      </c>
      <c r="F3847">
        <v>3122.65</v>
      </c>
      <c r="G3847" s="227" t="s">
        <v>94</v>
      </c>
    </row>
    <row r="3848" spans="1:7">
      <c r="A3848" s="216">
        <v>44621</v>
      </c>
      <c r="B3848" t="s">
        <v>47</v>
      </c>
      <c r="C3848">
        <v>8</v>
      </c>
      <c r="D3848" t="s">
        <v>451</v>
      </c>
      <c r="E3848" s="217">
        <v>44621</v>
      </c>
      <c r="F3848">
        <v>5496.65</v>
      </c>
      <c r="G3848" s="227" t="s">
        <v>112</v>
      </c>
    </row>
    <row r="3849" spans="1:7">
      <c r="A3849" s="216">
        <v>44621</v>
      </c>
      <c r="B3849" t="s">
        <v>47</v>
      </c>
      <c r="C3849">
        <v>8</v>
      </c>
      <c r="D3849" t="s">
        <v>451</v>
      </c>
      <c r="E3849" s="217">
        <v>44621</v>
      </c>
      <c r="F3849">
        <v>43263.1</v>
      </c>
      <c r="G3849" s="227" t="s">
        <v>434</v>
      </c>
    </row>
    <row r="3850" spans="1:7">
      <c r="A3850" s="216">
        <v>44621</v>
      </c>
      <c r="B3850" t="s">
        <v>47</v>
      </c>
      <c r="C3850">
        <v>9</v>
      </c>
      <c r="D3850" t="s">
        <v>450</v>
      </c>
      <c r="E3850" s="217">
        <v>44621</v>
      </c>
      <c r="F3850">
        <v>2615.54</v>
      </c>
      <c r="G3850" s="227" t="s">
        <v>80</v>
      </c>
    </row>
    <row r="3851" spans="1:7">
      <c r="A3851" s="216">
        <v>44621</v>
      </c>
      <c r="B3851" t="s">
        <v>47</v>
      </c>
      <c r="C3851">
        <v>9</v>
      </c>
      <c r="D3851" t="s">
        <v>450</v>
      </c>
      <c r="E3851" s="217">
        <v>44621</v>
      </c>
      <c r="F3851">
        <v>2615.54</v>
      </c>
      <c r="G3851" s="227" t="s">
        <v>116</v>
      </c>
    </row>
    <row r="3852" spans="1:7">
      <c r="A3852" s="216">
        <v>44621</v>
      </c>
      <c r="B3852" t="s">
        <v>47</v>
      </c>
      <c r="C3852">
        <v>9</v>
      </c>
      <c r="D3852" t="s">
        <v>450</v>
      </c>
      <c r="E3852" s="217">
        <v>44621</v>
      </c>
      <c r="F3852">
        <v>2615.54</v>
      </c>
      <c r="G3852" s="227" t="s">
        <v>107</v>
      </c>
    </row>
    <row r="3853" spans="1:7">
      <c r="A3853" s="216">
        <v>44621</v>
      </c>
      <c r="B3853" t="s">
        <v>47</v>
      </c>
      <c r="C3853">
        <v>9</v>
      </c>
      <c r="D3853" t="s">
        <v>450</v>
      </c>
      <c r="E3853" s="217">
        <v>44621</v>
      </c>
      <c r="F3853">
        <v>2680.67</v>
      </c>
      <c r="G3853" s="227" t="s">
        <v>102</v>
      </c>
    </row>
    <row r="3854" spans="1:7">
      <c r="A3854" s="216">
        <v>44621</v>
      </c>
      <c r="B3854" t="s">
        <v>47</v>
      </c>
      <c r="C3854">
        <v>9</v>
      </c>
      <c r="D3854" t="s">
        <v>450</v>
      </c>
      <c r="E3854" s="217">
        <v>44621</v>
      </c>
      <c r="F3854">
        <v>2552.23</v>
      </c>
      <c r="G3854" s="227" t="s">
        <v>85</v>
      </c>
    </row>
    <row r="3855" spans="1:7">
      <c r="A3855" s="216">
        <v>44621</v>
      </c>
      <c r="B3855" t="s">
        <v>47</v>
      </c>
      <c r="C3855">
        <v>9</v>
      </c>
      <c r="D3855" t="s">
        <v>450</v>
      </c>
      <c r="E3855" s="217">
        <v>44621</v>
      </c>
      <c r="F3855">
        <v>2585.25</v>
      </c>
      <c r="G3855" s="227" t="s">
        <v>129</v>
      </c>
    </row>
    <row r="3856" spans="1:7">
      <c r="A3856" s="216">
        <v>44621</v>
      </c>
      <c r="B3856" t="s">
        <v>47</v>
      </c>
      <c r="C3856">
        <v>9</v>
      </c>
      <c r="D3856" t="s">
        <v>450</v>
      </c>
      <c r="E3856" s="217">
        <v>44621</v>
      </c>
      <c r="F3856">
        <v>2450.58</v>
      </c>
      <c r="G3856" s="227" t="s">
        <v>125</v>
      </c>
    </row>
    <row r="3857" spans="1:7">
      <c r="A3857" s="216">
        <v>44621</v>
      </c>
      <c r="B3857" t="s">
        <v>47</v>
      </c>
      <c r="C3857">
        <v>9</v>
      </c>
      <c r="D3857" t="s">
        <v>450</v>
      </c>
      <c r="E3857" s="217">
        <v>44621</v>
      </c>
      <c r="F3857">
        <v>2467.88</v>
      </c>
      <c r="G3857" s="227" t="s">
        <v>121</v>
      </c>
    </row>
    <row r="3858" spans="1:7">
      <c r="A3858" s="216">
        <v>44621</v>
      </c>
      <c r="B3858" t="s">
        <v>47</v>
      </c>
      <c r="C3858">
        <v>9</v>
      </c>
      <c r="D3858" t="s">
        <v>450</v>
      </c>
      <c r="E3858" s="217">
        <v>44621</v>
      </c>
      <c r="F3858">
        <v>2457.83</v>
      </c>
      <c r="G3858" s="227" t="s">
        <v>90</v>
      </c>
    </row>
    <row r="3859" spans="1:7">
      <c r="A3859" s="216">
        <v>44621</v>
      </c>
      <c r="B3859" t="s">
        <v>47</v>
      </c>
      <c r="C3859">
        <v>9</v>
      </c>
      <c r="D3859" t="s">
        <v>450</v>
      </c>
      <c r="E3859" s="217">
        <v>44621</v>
      </c>
      <c r="F3859">
        <v>2486.34</v>
      </c>
      <c r="G3859" s="227" t="s">
        <v>98</v>
      </c>
    </row>
    <row r="3860" spans="1:7">
      <c r="A3860" s="216">
        <v>44621</v>
      </c>
      <c r="B3860" t="s">
        <v>47</v>
      </c>
      <c r="C3860">
        <v>9</v>
      </c>
      <c r="D3860" t="s">
        <v>450</v>
      </c>
      <c r="E3860" s="217">
        <v>44621</v>
      </c>
      <c r="F3860">
        <v>2446.81</v>
      </c>
      <c r="G3860" s="227" t="s">
        <v>94</v>
      </c>
    </row>
    <row r="3861" spans="1:7">
      <c r="A3861" s="216">
        <v>44621</v>
      </c>
      <c r="B3861" t="s">
        <v>47</v>
      </c>
      <c r="C3861">
        <v>9</v>
      </c>
      <c r="D3861" t="s">
        <v>450</v>
      </c>
      <c r="E3861" s="217">
        <v>44621</v>
      </c>
      <c r="F3861">
        <v>2728.31</v>
      </c>
      <c r="G3861" s="227" t="s">
        <v>112</v>
      </c>
    </row>
    <row r="3862" spans="1:7">
      <c r="A3862" s="216">
        <v>44621</v>
      </c>
      <c r="B3862" t="s">
        <v>47</v>
      </c>
      <c r="C3862">
        <v>9</v>
      </c>
      <c r="D3862" t="s">
        <v>450</v>
      </c>
      <c r="E3862" s="217">
        <v>44621</v>
      </c>
      <c r="F3862">
        <v>30702.52</v>
      </c>
      <c r="G3862" s="227" t="s">
        <v>434</v>
      </c>
    </row>
    <row r="3863" spans="1:7">
      <c r="A3863" s="216">
        <v>44621</v>
      </c>
      <c r="B3863" t="s">
        <v>47</v>
      </c>
      <c r="C3863">
        <v>10</v>
      </c>
      <c r="D3863" t="s">
        <v>433</v>
      </c>
      <c r="E3863" s="217">
        <v>44621</v>
      </c>
      <c r="F3863">
        <v>7319.36</v>
      </c>
      <c r="G3863" s="227" t="s">
        <v>80</v>
      </c>
    </row>
    <row r="3864" spans="1:7">
      <c r="A3864" s="216">
        <v>44621</v>
      </c>
      <c r="B3864" t="s">
        <v>47</v>
      </c>
      <c r="C3864">
        <v>10</v>
      </c>
      <c r="D3864" t="s">
        <v>433</v>
      </c>
      <c r="E3864" s="217">
        <v>44621</v>
      </c>
      <c r="F3864">
        <v>7524.65</v>
      </c>
      <c r="G3864" s="227" t="s">
        <v>116</v>
      </c>
    </row>
    <row r="3865" spans="1:7">
      <c r="A3865" s="216">
        <v>44621</v>
      </c>
      <c r="B3865" t="s">
        <v>47</v>
      </c>
      <c r="C3865">
        <v>10</v>
      </c>
      <c r="D3865" t="s">
        <v>433</v>
      </c>
      <c r="E3865" s="217">
        <v>44621</v>
      </c>
      <c r="F3865">
        <v>7336.83</v>
      </c>
      <c r="G3865" s="227" t="s">
        <v>107</v>
      </c>
    </row>
    <row r="3866" spans="1:7">
      <c r="A3866" s="216">
        <v>44621</v>
      </c>
      <c r="B3866" t="s">
        <v>47</v>
      </c>
      <c r="C3866">
        <v>10</v>
      </c>
      <c r="D3866" t="s">
        <v>433</v>
      </c>
      <c r="E3866" s="217">
        <v>44621</v>
      </c>
      <c r="F3866">
        <v>7351.96</v>
      </c>
      <c r="G3866" s="227" t="s">
        <v>102</v>
      </c>
    </row>
    <row r="3867" spans="1:7">
      <c r="A3867" s="216">
        <v>44621</v>
      </c>
      <c r="B3867" t="s">
        <v>47</v>
      </c>
      <c r="C3867">
        <v>10</v>
      </c>
      <c r="D3867" t="s">
        <v>433</v>
      </c>
      <c r="E3867" s="217">
        <v>44621</v>
      </c>
      <c r="F3867">
        <v>7350.61</v>
      </c>
      <c r="G3867" s="227" t="s">
        <v>85</v>
      </c>
    </row>
    <row r="3868" spans="1:7">
      <c r="A3868" s="216">
        <v>44621</v>
      </c>
      <c r="B3868" t="s">
        <v>47</v>
      </c>
      <c r="C3868">
        <v>10</v>
      </c>
      <c r="D3868" t="s">
        <v>433</v>
      </c>
      <c r="E3868" s="217">
        <v>44621</v>
      </c>
      <c r="F3868">
        <v>8124.12</v>
      </c>
      <c r="G3868" s="227" t="s">
        <v>129</v>
      </c>
    </row>
    <row r="3869" spans="1:7">
      <c r="A3869" s="216">
        <v>44621</v>
      </c>
      <c r="B3869" t="s">
        <v>47</v>
      </c>
      <c r="C3869">
        <v>10</v>
      </c>
      <c r="D3869" t="s">
        <v>433</v>
      </c>
      <c r="E3869" s="217">
        <v>44621</v>
      </c>
      <c r="F3869">
        <v>7339.36</v>
      </c>
      <c r="G3869" s="227" t="s">
        <v>125</v>
      </c>
    </row>
    <row r="3870" spans="1:7">
      <c r="A3870" s="216">
        <v>44621</v>
      </c>
      <c r="B3870" t="s">
        <v>47</v>
      </c>
      <c r="C3870">
        <v>10</v>
      </c>
      <c r="D3870" t="s">
        <v>433</v>
      </c>
      <c r="E3870" s="217">
        <v>44621</v>
      </c>
      <c r="F3870">
        <v>7627.34</v>
      </c>
      <c r="G3870" s="227" t="s">
        <v>121</v>
      </c>
    </row>
    <row r="3871" spans="1:7">
      <c r="A3871" s="216">
        <v>44621</v>
      </c>
      <c r="B3871" t="s">
        <v>47</v>
      </c>
      <c r="C3871">
        <v>10</v>
      </c>
      <c r="D3871" t="s">
        <v>433</v>
      </c>
      <c r="E3871" s="217">
        <v>44621</v>
      </c>
      <c r="F3871">
        <v>7539.06</v>
      </c>
      <c r="G3871" s="227" t="s">
        <v>90</v>
      </c>
    </row>
    <row r="3872" spans="1:7">
      <c r="A3872" s="216">
        <v>44621</v>
      </c>
      <c r="B3872" t="s">
        <v>47</v>
      </c>
      <c r="C3872">
        <v>10</v>
      </c>
      <c r="D3872" t="s">
        <v>433</v>
      </c>
      <c r="E3872" s="217">
        <v>44621</v>
      </c>
      <c r="F3872">
        <v>7818.71</v>
      </c>
      <c r="G3872" s="227" t="s">
        <v>98</v>
      </c>
    </row>
    <row r="3873" spans="1:7">
      <c r="A3873" s="216">
        <v>44621</v>
      </c>
      <c r="B3873" t="s">
        <v>47</v>
      </c>
      <c r="C3873">
        <v>10</v>
      </c>
      <c r="D3873" t="s">
        <v>433</v>
      </c>
      <c r="E3873" s="217">
        <v>44621</v>
      </c>
      <c r="F3873">
        <v>7600.35</v>
      </c>
      <c r="G3873" s="227" t="s">
        <v>94</v>
      </c>
    </row>
    <row r="3874" spans="1:7">
      <c r="A3874" s="216">
        <v>44621</v>
      </c>
      <c r="B3874" t="s">
        <v>47</v>
      </c>
      <c r="C3874">
        <v>10</v>
      </c>
      <c r="D3874" t="s">
        <v>433</v>
      </c>
      <c r="E3874" s="217">
        <v>44621</v>
      </c>
      <c r="F3874">
        <v>13137.16</v>
      </c>
      <c r="G3874" s="227" t="s">
        <v>112</v>
      </c>
    </row>
    <row r="3875" spans="1:7">
      <c r="A3875" s="216">
        <v>44621</v>
      </c>
      <c r="B3875" t="s">
        <v>47</v>
      </c>
      <c r="C3875">
        <v>10</v>
      </c>
      <c r="D3875" t="s">
        <v>433</v>
      </c>
      <c r="E3875" s="217">
        <v>44621</v>
      </c>
      <c r="F3875">
        <v>96069.51</v>
      </c>
      <c r="G3875" s="227" t="s">
        <v>434</v>
      </c>
    </row>
    <row r="3876" spans="1:7">
      <c r="A3876" s="216">
        <v>44621</v>
      </c>
      <c r="B3876" t="s">
        <v>47</v>
      </c>
      <c r="C3876">
        <v>11</v>
      </c>
      <c r="D3876" t="s">
        <v>445</v>
      </c>
      <c r="E3876" s="217">
        <v>44621</v>
      </c>
      <c r="F3876">
        <v>1767.62</v>
      </c>
      <c r="G3876" s="227" t="s">
        <v>80</v>
      </c>
    </row>
    <row r="3877" spans="1:7">
      <c r="A3877" s="216">
        <v>44621</v>
      </c>
      <c r="B3877" t="s">
        <v>47</v>
      </c>
      <c r="C3877">
        <v>11</v>
      </c>
      <c r="D3877" t="s">
        <v>445</v>
      </c>
      <c r="E3877" s="217">
        <v>44621</v>
      </c>
      <c r="F3877">
        <v>1486.94</v>
      </c>
      <c r="G3877" s="227" t="s">
        <v>116</v>
      </c>
    </row>
    <row r="3878" spans="1:7">
      <c r="A3878" s="216">
        <v>44621</v>
      </c>
      <c r="B3878" t="s">
        <v>47</v>
      </c>
      <c r="C3878">
        <v>11</v>
      </c>
      <c r="D3878" t="s">
        <v>445</v>
      </c>
      <c r="E3878" s="217">
        <v>44621</v>
      </c>
      <c r="F3878">
        <v>1854.3</v>
      </c>
      <c r="G3878" s="227" t="s">
        <v>107</v>
      </c>
    </row>
    <row r="3879" spans="1:7">
      <c r="A3879" s="216">
        <v>44621</v>
      </c>
      <c r="B3879" t="s">
        <v>47</v>
      </c>
      <c r="C3879">
        <v>11</v>
      </c>
      <c r="D3879" t="s">
        <v>445</v>
      </c>
      <c r="E3879" s="217">
        <v>44621</v>
      </c>
      <c r="F3879">
        <v>1842.62</v>
      </c>
      <c r="G3879" s="227" t="s">
        <v>102</v>
      </c>
    </row>
    <row r="3880" spans="1:7">
      <c r="A3880" s="216">
        <v>44621</v>
      </c>
      <c r="B3880" t="s">
        <v>47</v>
      </c>
      <c r="C3880">
        <v>11</v>
      </c>
      <c r="D3880" t="s">
        <v>445</v>
      </c>
      <c r="E3880" s="217">
        <v>44621</v>
      </c>
      <c r="F3880">
        <v>1364.21</v>
      </c>
      <c r="G3880" s="227" t="s">
        <v>85</v>
      </c>
    </row>
    <row r="3881" spans="1:7">
      <c r="A3881" s="216">
        <v>44621</v>
      </c>
      <c r="B3881" t="s">
        <v>47</v>
      </c>
      <c r="C3881">
        <v>11</v>
      </c>
      <c r="D3881" t="s">
        <v>445</v>
      </c>
      <c r="E3881" s="217">
        <v>44621</v>
      </c>
      <c r="F3881">
        <v>1440.9</v>
      </c>
      <c r="G3881" s="227" t="s">
        <v>129</v>
      </c>
    </row>
    <row r="3882" spans="1:7">
      <c r="A3882" s="216">
        <v>44621</v>
      </c>
      <c r="B3882" t="s">
        <v>47</v>
      </c>
      <c r="C3882">
        <v>11</v>
      </c>
      <c r="D3882" t="s">
        <v>445</v>
      </c>
      <c r="E3882" s="217">
        <v>44621</v>
      </c>
      <c r="F3882">
        <v>2273.94</v>
      </c>
      <c r="G3882" s="227" t="s">
        <v>125</v>
      </c>
    </row>
    <row r="3883" spans="1:7">
      <c r="A3883" s="216">
        <v>44621</v>
      </c>
      <c r="B3883" t="s">
        <v>47</v>
      </c>
      <c r="C3883">
        <v>11</v>
      </c>
      <c r="D3883" t="s">
        <v>445</v>
      </c>
      <c r="E3883" s="217">
        <v>44621</v>
      </c>
      <c r="F3883">
        <v>1916</v>
      </c>
      <c r="G3883" s="227" t="s">
        <v>121</v>
      </c>
    </row>
    <row r="3884" spans="1:7">
      <c r="A3884" s="216">
        <v>44621</v>
      </c>
      <c r="B3884" t="s">
        <v>47</v>
      </c>
      <c r="C3884">
        <v>11</v>
      </c>
      <c r="D3884" t="s">
        <v>445</v>
      </c>
      <c r="E3884" s="217">
        <v>44621</v>
      </c>
      <c r="F3884">
        <v>2182.12</v>
      </c>
      <c r="G3884" s="227" t="s">
        <v>90</v>
      </c>
    </row>
    <row r="3885" spans="1:7">
      <c r="A3885" s="216">
        <v>44621</v>
      </c>
      <c r="B3885" t="s">
        <v>47</v>
      </c>
      <c r="C3885">
        <v>11</v>
      </c>
      <c r="D3885" t="s">
        <v>445</v>
      </c>
      <c r="E3885" s="217">
        <v>44621</v>
      </c>
      <c r="F3885">
        <v>2606.98</v>
      </c>
      <c r="G3885" s="227" t="s">
        <v>98</v>
      </c>
    </row>
    <row r="3886" spans="1:7">
      <c r="A3886" s="216">
        <v>44621</v>
      </c>
      <c r="B3886" t="s">
        <v>47</v>
      </c>
      <c r="C3886">
        <v>11</v>
      </c>
      <c r="D3886" t="s">
        <v>445</v>
      </c>
      <c r="E3886" s="217">
        <v>44621</v>
      </c>
      <c r="F3886">
        <v>3033.24</v>
      </c>
      <c r="G3886" s="227" t="s">
        <v>94</v>
      </c>
    </row>
    <row r="3887" spans="1:7">
      <c r="A3887" s="216">
        <v>44621</v>
      </c>
      <c r="B3887" t="s">
        <v>47</v>
      </c>
      <c r="C3887">
        <v>11</v>
      </c>
      <c r="D3887" t="s">
        <v>445</v>
      </c>
      <c r="E3887" s="217">
        <v>44621</v>
      </c>
      <c r="F3887">
        <v>5456.6</v>
      </c>
      <c r="G3887" s="227" t="s">
        <v>112</v>
      </c>
    </row>
    <row r="3888" spans="1:7">
      <c r="A3888" s="216">
        <v>44621</v>
      </c>
      <c r="B3888" t="s">
        <v>47</v>
      </c>
      <c r="C3888">
        <v>11</v>
      </c>
      <c r="D3888" t="s">
        <v>445</v>
      </c>
      <c r="E3888" s="217">
        <v>44621</v>
      </c>
      <c r="F3888">
        <v>27225.47</v>
      </c>
      <c r="G3888" s="227" t="s">
        <v>434</v>
      </c>
    </row>
    <row r="3889" spans="1:7">
      <c r="A3889" s="216">
        <v>44621</v>
      </c>
      <c r="B3889" t="s">
        <v>47</v>
      </c>
      <c r="C3889">
        <v>12</v>
      </c>
      <c r="D3889" t="s">
        <v>454</v>
      </c>
      <c r="E3889" s="217">
        <v>44621</v>
      </c>
      <c r="F3889">
        <v>121.73</v>
      </c>
      <c r="G3889" s="227" t="s">
        <v>80</v>
      </c>
    </row>
    <row r="3890" spans="1:7">
      <c r="A3890" s="216">
        <v>44621</v>
      </c>
      <c r="B3890" t="s">
        <v>47</v>
      </c>
      <c r="C3890">
        <v>12</v>
      </c>
      <c r="D3890" t="s">
        <v>454</v>
      </c>
      <c r="E3890" s="217">
        <v>44621</v>
      </c>
      <c r="F3890">
        <v>92.09</v>
      </c>
      <c r="G3890" s="227" t="s">
        <v>116</v>
      </c>
    </row>
    <row r="3891" spans="1:7">
      <c r="A3891" s="216">
        <v>44621</v>
      </c>
      <c r="B3891" t="s">
        <v>47</v>
      </c>
      <c r="C3891">
        <v>12</v>
      </c>
      <c r="D3891" t="s">
        <v>454</v>
      </c>
      <c r="E3891" s="217">
        <v>44621</v>
      </c>
      <c r="F3891">
        <v>125.61</v>
      </c>
      <c r="G3891" s="227" t="s">
        <v>107</v>
      </c>
    </row>
    <row r="3892" spans="1:7">
      <c r="A3892" s="216">
        <v>44621</v>
      </c>
      <c r="B3892" t="s">
        <v>47</v>
      </c>
      <c r="C3892">
        <v>12</v>
      </c>
      <c r="D3892" t="s">
        <v>454</v>
      </c>
      <c r="E3892" s="217">
        <v>44621</v>
      </c>
      <c r="F3892">
        <v>128.56</v>
      </c>
      <c r="G3892" s="227" t="s">
        <v>102</v>
      </c>
    </row>
    <row r="3893" spans="1:7">
      <c r="A3893" s="216">
        <v>44621</v>
      </c>
      <c r="B3893" t="s">
        <v>47</v>
      </c>
      <c r="C3893">
        <v>12</v>
      </c>
      <c r="D3893" t="s">
        <v>454</v>
      </c>
      <c r="E3893" s="217">
        <v>44621</v>
      </c>
      <c r="F3893">
        <v>87.58</v>
      </c>
      <c r="G3893" s="227" t="s">
        <v>85</v>
      </c>
    </row>
    <row r="3894" spans="1:7">
      <c r="A3894" s="216">
        <v>44621</v>
      </c>
      <c r="B3894" t="s">
        <v>47</v>
      </c>
      <c r="C3894">
        <v>12</v>
      </c>
      <c r="D3894" t="s">
        <v>454</v>
      </c>
      <c r="E3894" s="217">
        <v>44621</v>
      </c>
      <c r="F3894">
        <v>116</v>
      </c>
      <c r="G3894" s="227" t="s">
        <v>129</v>
      </c>
    </row>
    <row r="3895" spans="1:7">
      <c r="A3895" s="216">
        <v>44621</v>
      </c>
      <c r="B3895" t="s">
        <v>47</v>
      </c>
      <c r="C3895">
        <v>12</v>
      </c>
      <c r="D3895" t="s">
        <v>454</v>
      </c>
      <c r="E3895" s="217">
        <v>44621</v>
      </c>
      <c r="F3895">
        <v>115.85</v>
      </c>
      <c r="G3895" s="227" t="s">
        <v>125</v>
      </c>
    </row>
    <row r="3896" spans="1:7">
      <c r="A3896" s="216">
        <v>44621</v>
      </c>
      <c r="B3896" t="s">
        <v>47</v>
      </c>
      <c r="C3896">
        <v>12</v>
      </c>
      <c r="D3896" t="s">
        <v>454</v>
      </c>
      <c r="E3896" s="217">
        <v>44621</v>
      </c>
      <c r="F3896">
        <v>121.2</v>
      </c>
      <c r="G3896" s="227" t="s">
        <v>121</v>
      </c>
    </row>
    <row r="3897" spans="1:7">
      <c r="A3897" s="216">
        <v>44621</v>
      </c>
      <c r="B3897" t="s">
        <v>47</v>
      </c>
      <c r="C3897">
        <v>12</v>
      </c>
      <c r="D3897" t="s">
        <v>454</v>
      </c>
      <c r="E3897" s="217">
        <v>44621</v>
      </c>
      <c r="F3897">
        <v>114.88</v>
      </c>
      <c r="G3897" s="227" t="s">
        <v>90</v>
      </c>
    </row>
    <row r="3898" spans="1:7">
      <c r="A3898" s="216">
        <v>44621</v>
      </c>
      <c r="B3898" t="s">
        <v>47</v>
      </c>
      <c r="C3898">
        <v>12</v>
      </c>
      <c r="D3898" t="s">
        <v>454</v>
      </c>
      <c r="E3898" s="217">
        <v>44621</v>
      </c>
      <c r="F3898">
        <v>115.7</v>
      </c>
      <c r="G3898" s="227" t="s">
        <v>98</v>
      </c>
    </row>
    <row r="3899" spans="1:7">
      <c r="A3899" s="216">
        <v>44621</v>
      </c>
      <c r="B3899" t="s">
        <v>47</v>
      </c>
      <c r="C3899">
        <v>12</v>
      </c>
      <c r="D3899" t="s">
        <v>454</v>
      </c>
      <c r="E3899" s="217">
        <v>44621</v>
      </c>
      <c r="F3899">
        <v>100.26</v>
      </c>
      <c r="G3899" s="227" t="s">
        <v>94</v>
      </c>
    </row>
    <row r="3900" spans="1:7">
      <c r="A3900" s="216">
        <v>44621</v>
      </c>
      <c r="B3900" t="s">
        <v>47</v>
      </c>
      <c r="C3900">
        <v>12</v>
      </c>
      <c r="D3900" t="s">
        <v>454</v>
      </c>
      <c r="E3900" s="217">
        <v>44621</v>
      </c>
      <c r="F3900">
        <v>123.64</v>
      </c>
      <c r="G3900" s="227" t="s">
        <v>112</v>
      </c>
    </row>
    <row r="3901" spans="1:7">
      <c r="A3901" s="216">
        <v>44621</v>
      </c>
      <c r="B3901" t="s">
        <v>47</v>
      </c>
      <c r="C3901">
        <v>12</v>
      </c>
      <c r="D3901" t="s">
        <v>454</v>
      </c>
      <c r="E3901" s="217">
        <v>44621</v>
      </c>
      <c r="F3901">
        <v>1363.1</v>
      </c>
      <c r="G3901" s="227" t="s">
        <v>434</v>
      </c>
    </row>
    <row r="3902" spans="1:7">
      <c r="A3902" s="216">
        <v>44621</v>
      </c>
      <c r="B3902" t="s">
        <v>47</v>
      </c>
      <c r="C3902">
        <v>13</v>
      </c>
      <c r="D3902" t="s">
        <v>441</v>
      </c>
      <c r="E3902" s="217">
        <v>44621</v>
      </c>
      <c r="F3902">
        <v>12016.02</v>
      </c>
      <c r="G3902" s="227" t="s">
        <v>80</v>
      </c>
    </row>
    <row r="3903" spans="1:7">
      <c r="A3903" s="216">
        <v>44621</v>
      </c>
      <c r="B3903" t="s">
        <v>47</v>
      </c>
      <c r="C3903">
        <v>13</v>
      </c>
      <c r="D3903" t="s">
        <v>441</v>
      </c>
      <c r="E3903" s="217">
        <v>44621</v>
      </c>
      <c r="F3903">
        <v>12021.42</v>
      </c>
      <c r="G3903" s="227" t="s">
        <v>116</v>
      </c>
    </row>
    <row r="3904" spans="1:7">
      <c r="A3904" s="216">
        <v>44621</v>
      </c>
      <c r="B3904" t="s">
        <v>47</v>
      </c>
      <c r="C3904">
        <v>13</v>
      </c>
      <c r="D3904" t="s">
        <v>441</v>
      </c>
      <c r="E3904" s="217">
        <v>44621</v>
      </c>
      <c r="F3904">
        <v>12007.93</v>
      </c>
      <c r="G3904" s="227" t="s">
        <v>107</v>
      </c>
    </row>
    <row r="3905" spans="1:7">
      <c r="A3905" s="216">
        <v>44621</v>
      </c>
      <c r="B3905" t="s">
        <v>47</v>
      </c>
      <c r="C3905">
        <v>13</v>
      </c>
      <c r="D3905" t="s">
        <v>441</v>
      </c>
      <c r="E3905" s="217">
        <v>44621</v>
      </c>
      <c r="F3905">
        <v>12303.75</v>
      </c>
      <c r="G3905" s="227" t="s">
        <v>102</v>
      </c>
    </row>
    <row r="3906" spans="1:7">
      <c r="A3906" s="216">
        <v>44621</v>
      </c>
      <c r="B3906" t="s">
        <v>47</v>
      </c>
      <c r="C3906">
        <v>13</v>
      </c>
      <c r="D3906" t="s">
        <v>441</v>
      </c>
      <c r="E3906" s="217">
        <v>44621</v>
      </c>
      <c r="F3906">
        <v>12350.42</v>
      </c>
      <c r="G3906" s="227" t="s">
        <v>85</v>
      </c>
    </row>
    <row r="3907" spans="1:7">
      <c r="A3907" s="216">
        <v>44621</v>
      </c>
      <c r="B3907" t="s">
        <v>47</v>
      </c>
      <c r="C3907">
        <v>13</v>
      </c>
      <c r="D3907" t="s">
        <v>441</v>
      </c>
      <c r="E3907" s="217">
        <v>44621</v>
      </c>
      <c r="F3907">
        <v>12338.87</v>
      </c>
      <c r="G3907" s="227" t="s">
        <v>129</v>
      </c>
    </row>
    <row r="3908" spans="1:7">
      <c r="A3908" s="216">
        <v>44621</v>
      </c>
      <c r="B3908" t="s">
        <v>47</v>
      </c>
      <c r="C3908">
        <v>13</v>
      </c>
      <c r="D3908" t="s">
        <v>441</v>
      </c>
      <c r="E3908" s="217">
        <v>44621</v>
      </c>
      <c r="F3908">
        <v>12260.93</v>
      </c>
      <c r="G3908" s="227" t="s">
        <v>125</v>
      </c>
    </row>
    <row r="3909" spans="1:7">
      <c r="A3909" s="216">
        <v>44621</v>
      </c>
      <c r="B3909" t="s">
        <v>47</v>
      </c>
      <c r="C3909">
        <v>13</v>
      </c>
      <c r="D3909" t="s">
        <v>441</v>
      </c>
      <c r="E3909" s="217">
        <v>44621</v>
      </c>
      <c r="F3909">
        <v>12224.27</v>
      </c>
      <c r="G3909" s="227" t="s">
        <v>121</v>
      </c>
    </row>
    <row r="3910" spans="1:7">
      <c r="A3910" s="216">
        <v>44621</v>
      </c>
      <c r="B3910" t="s">
        <v>47</v>
      </c>
      <c r="C3910">
        <v>13</v>
      </c>
      <c r="D3910" t="s">
        <v>441</v>
      </c>
      <c r="E3910" s="217">
        <v>44621</v>
      </c>
      <c r="F3910">
        <v>12701.1</v>
      </c>
      <c r="G3910" s="227" t="s">
        <v>90</v>
      </c>
    </row>
    <row r="3911" spans="1:7">
      <c r="A3911" s="216">
        <v>44621</v>
      </c>
      <c r="B3911" t="s">
        <v>47</v>
      </c>
      <c r="C3911">
        <v>13</v>
      </c>
      <c r="D3911" t="s">
        <v>441</v>
      </c>
      <c r="E3911" s="217">
        <v>44621</v>
      </c>
      <c r="F3911">
        <v>12336.51</v>
      </c>
      <c r="G3911" s="227" t="s">
        <v>98</v>
      </c>
    </row>
    <row r="3912" spans="1:7">
      <c r="A3912" s="216">
        <v>44621</v>
      </c>
      <c r="B3912" t="s">
        <v>47</v>
      </c>
      <c r="C3912">
        <v>13</v>
      </c>
      <c r="D3912" t="s">
        <v>441</v>
      </c>
      <c r="E3912" s="217">
        <v>44621</v>
      </c>
      <c r="F3912">
        <v>12038.17</v>
      </c>
      <c r="G3912" s="227" t="s">
        <v>94</v>
      </c>
    </row>
    <row r="3913" spans="1:7">
      <c r="A3913" s="216">
        <v>44621</v>
      </c>
      <c r="B3913" t="s">
        <v>47</v>
      </c>
      <c r="C3913">
        <v>13</v>
      </c>
      <c r="D3913" t="s">
        <v>441</v>
      </c>
      <c r="E3913" s="217">
        <v>44621</v>
      </c>
      <c r="F3913">
        <v>14674.15</v>
      </c>
      <c r="G3913" s="227" t="s">
        <v>112</v>
      </c>
    </row>
    <row r="3914" spans="1:7">
      <c r="A3914" s="216">
        <v>44621</v>
      </c>
      <c r="B3914" t="s">
        <v>47</v>
      </c>
      <c r="C3914">
        <v>13</v>
      </c>
      <c r="D3914" t="s">
        <v>441</v>
      </c>
      <c r="E3914" s="217">
        <v>44621</v>
      </c>
      <c r="F3914">
        <v>149273.54</v>
      </c>
      <c r="G3914" s="227" t="s">
        <v>434</v>
      </c>
    </row>
    <row r="3915" spans="1:7">
      <c r="A3915" s="216">
        <v>44621</v>
      </c>
      <c r="B3915" t="s">
        <v>47</v>
      </c>
      <c r="C3915">
        <v>14</v>
      </c>
      <c r="D3915" t="s">
        <v>447</v>
      </c>
      <c r="E3915" s="217">
        <v>44621</v>
      </c>
      <c r="F3915">
        <v>0</v>
      </c>
      <c r="G3915" s="227" t="s">
        <v>80</v>
      </c>
    </row>
    <row r="3916" spans="1:7">
      <c r="A3916" s="216">
        <v>44621</v>
      </c>
      <c r="B3916" t="s">
        <v>47</v>
      </c>
      <c r="C3916">
        <v>14</v>
      </c>
      <c r="D3916" t="s">
        <v>447</v>
      </c>
      <c r="E3916" s="217">
        <v>44621</v>
      </c>
      <c r="F3916">
        <v>0</v>
      </c>
      <c r="G3916" s="227" t="s">
        <v>116</v>
      </c>
    </row>
    <row r="3917" spans="1:7">
      <c r="A3917" s="216">
        <v>44621</v>
      </c>
      <c r="B3917" t="s">
        <v>47</v>
      </c>
      <c r="C3917">
        <v>14</v>
      </c>
      <c r="D3917" t="s">
        <v>447</v>
      </c>
      <c r="E3917" s="217">
        <v>44621</v>
      </c>
      <c r="F3917">
        <v>0</v>
      </c>
      <c r="G3917" s="227" t="s">
        <v>107</v>
      </c>
    </row>
    <row r="3918" spans="1:7">
      <c r="A3918" s="216">
        <v>44621</v>
      </c>
      <c r="B3918" t="s">
        <v>47</v>
      </c>
      <c r="C3918">
        <v>14</v>
      </c>
      <c r="D3918" t="s">
        <v>447</v>
      </c>
      <c r="E3918" s="217">
        <v>44621</v>
      </c>
      <c r="F3918">
        <v>0</v>
      </c>
      <c r="G3918" s="227" t="s">
        <v>102</v>
      </c>
    </row>
    <row r="3919" spans="1:7">
      <c r="A3919" s="216">
        <v>44621</v>
      </c>
      <c r="B3919" t="s">
        <v>47</v>
      </c>
      <c r="C3919">
        <v>14</v>
      </c>
      <c r="D3919" t="s">
        <v>447</v>
      </c>
      <c r="E3919" s="217">
        <v>44621</v>
      </c>
      <c r="F3919">
        <v>0</v>
      </c>
      <c r="G3919" s="227" t="s">
        <v>85</v>
      </c>
    </row>
    <row r="3920" spans="1:7">
      <c r="A3920" s="216">
        <v>44621</v>
      </c>
      <c r="B3920" t="s">
        <v>47</v>
      </c>
      <c r="C3920">
        <v>14</v>
      </c>
      <c r="D3920" t="s">
        <v>447</v>
      </c>
      <c r="E3920" s="217">
        <v>44621</v>
      </c>
      <c r="F3920">
        <v>0</v>
      </c>
      <c r="G3920" s="227" t="s">
        <v>129</v>
      </c>
    </row>
    <row r="3921" spans="1:7">
      <c r="A3921" s="216">
        <v>44621</v>
      </c>
      <c r="B3921" t="s">
        <v>47</v>
      </c>
      <c r="C3921">
        <v>14</v>
      </c>
      <c r="D3921" t="s">
        <v>447</v>
      </c>
      <c r="E3921" s="217">
        <v>44621</v>
      </c>
      <c r="F3921">
        <v>0</v>
      </c>
      <c r="G3921" s="227" t="s">
        <v>125</v>
      </c>
    </row>
    <row r="3922" spans="1:7">
      <c r="A3922" s="216">
        <v>44621</v>
      </c>
      <c r="B3922" t="s">
        <v>47</v>
      </c>
      <c r="C3922">
        <v>14</v>
      </c>
      <c r="D3922" t="s">
        <v>447</v>
      </c>
      <c r="E3922" s="217">
        <v>44621</v>
      </c>
      <c r="F3922">
        <v>0</v>
      </c>
      <c r="G3922" s="227" t="s">
        <v>121</v>
      </c>
    </row>
    <row r="3923" spans="1:7">
      <c r="A3923" s="216">
        <v>44621</v>
      </c>
      <c r="B3923" t="s">
        <v>47</v>
      </c>
      <c r="C3923">
        <v>14</v>
      </c>
      <c r="D3923" t="s">
        <v>447</v>
      </c>
      <c r="E3923" s="217">
        <v>44621</v>
      </c>
      <c r="F3923">
        <v>0</v>
      </c>
      <c r="G3923" s="227" t="s">
        <v>90</v>
      </c>
    </row>
    <row r="3924" spans="1:7">
      <c r="A3924" s="216">
        <v>44621</v>
      </c>
      <c r="B3924" t="s">
        <v>47</v>
      </c>
      <c r="C3924">
        <v>14</v>
      </c>
      <c r="D3924" t="s">
        <v>447</v>
      </c>
      <c r="E3924" s="217">
        <v>44621</v>
      </c>
      <c r="F3924">
        <v>0</v>
      </c>
      <c r="G3924" s="227" t="s">
        <v>98</v>
      </c>
    </row>
    <row r="3925" spans="1:7">
      <c r="A3925" s="216">
        <v>44621</v>
      </c>
      <c r="B3925" t="s">
        <v>47</v>
      </c>
      <c r="C3925">
        <v>14</v>
      </c>
      <c r="D3925" t="s">
        <v>447</v>
      </c>
      <c r="E3925" s="217">
        <v>44621</v>
      </c>
      <c r="F3925">
        <v>0</v>
      </c>
      <c r="G3925" s="227" t="s">
        <v>94</v>
      </c>
    </row>
    <row r="3926" spans="1:7">
      <c r="A3926" s="216">
        <v>44621</v>
      </c>
      <c r="B3926" t="s">
        <v>47</v>
      </c>
      <c r="C3926">
        <v>14</v>
      </c>
      <c r="D3926" t="s">
        <v>447</v>
      </c>
      <c r="E3926" s="217">
        <v>44621</v>
      </c>
      <c r="F3926">
        <v>0</v>
      </c>
      <c r="G3926" s="227" t="s">
        <v>112</v>
      </c>
    </row>
    <row r="3927" spans="1:7">
      <c r="A3927" s="216">
        <v>44621</v>
      </c>
      <c r="B3927" t="s">
        <v>47</v>
      </c>
      <c r="C3927">
        <v>14</v>
      </c>
      <c r="D3927" t="s">
        <v>447</v>
      </c>
      <c r="E3927" s="217">
        <v>44621</v>
      </c>
      <c r="F3927">
        <v>0</v>
      </c>
      <c r="G3927" s="227" t="s">
        <v>434</v>
      </c>
    </row>
    <row r="3928" spans="1:7">
      <c r="A3928" s="216">
        <v>44621</v>
      </c>
      <c r="B3928" t="s">
        <v>47</v>
      </c>
      <c r="C3928">
        <v>15</v>
      </c>
      <c r="D3928" t="s">
        <v>437</v>
      </c>
      <c r="E3928" s="217">
        <v>44621</v>
      </c>
      <c r="F3928">
        <v>1531.46</v>
      </c>
      <c r="G3928" s="227" t="s">
        <v>80</v>
      </c>
    </row>
    <row r="3929" spans="1:7">
      <c r="A3929" s="216">
        <v>44621</v>
      </c>
      <c r="B3929" t="s">
        <v>47</v>
      </c>
      <c r="C3929">
        <v>15</v>
      </c>
      <c r="D3929" t="s">
        <v>437</v>
      </c>
      <c r="E3929" s="217">
        <v>44621</v>
      </c>
      <c r="F3929">
        <v>1480.18</v>
      </c>
      <c r="G3929" s="227" t="s">
        <v>116</v>
      </c>
    </row>
    <row r="3930" spans="1:7">
      <c r="A3930" s="216">
        <v>44621</v>
      </c>
      <c r="B3930" t="s">
        <v>47</v>
      </c>
      <c r="C3930">
        <v>15</v>
      </c>
      <c r="D3930" t="s">
        <v>437</v>
      </c>
      <c r="E3930" s="217">
        <v>44621</v>
      </c>
      <c r="F3930">
        <v>1730.81</v>
      </c>
      <c r="G3930" s="227" t="s">
        <v>107</v>
      </c>
    </row>
    <row r="3931" spans="1:7">
      <c r="A3931" s="216">
        <v>44621</v>
      </c>
      <c r="B3931" t="s">
        <v>47</v>
      </c>
      <c r="C3931">
        <v>15</v>
      </c>
      <c r="D3931" t="s">
        <v>437</v>
      </c>
      <c r="E3931" s="217">
        <v>44621</v>
      </c>
      <c r="F3931">
        <v>1506.61</v>
      </c>
      <c r="G3931" s="227" t="s">
        <v>102</v>
      </c>
    </row>
    <row r="3932" spans="1:7">
      <c r="A3932" s="216">
        <v>44621</v>
      </c>
      <c r="B3932" t="s">
        <v>47</v>
      </c>
      <c r="C3932">
        <v>15</v>
      </c>
      <c r="D3932" t="s">
        <v>437</v>
      </c>
      <c r="E3932" s="217">
        <v>44621</v>
      </c>
      <c r="F3932">
        <v>1555.21</v>
      </c>
      <c r="G3932" s="227" t="s">
        <v>85</v>
      </c>
    </row>
    <row r="3933" spans="1:7">
      <c r="A3933" s="216">
        <v>44621</v>
      </c>
      <c r="B3933" t="s">
        <v>47</v>
      </c>
      <c r="C3933">
        <v>15</v>
      </c>
      <c r="D3933" t="s">
        <v>437</v>
      </c>
      <c r="E3933" s="217">
        <v>44621</v>
      </c>
      <c r="F3933">
        <v>1628.97</v>
      </c>
      <c r="G3933" s="227" t="s">
        <v>129</v>
      </c>
    </row>
    <row r="3934" spans="1:7">
      <c r="A3934" s="216">
        <v>44621</v>
      </c>
      <c r="B3934" t="s">
        <v>47</v>
      </c>
      <c r="C3934">
        <v>15</v>
      </c>
      <c r="D3934" t="s">
        <v>437</v>
      </c>
      <c r="E3934" s="217">
        <v>44621</v>
      </c>
      <c r="F3934">
        <v>1797.64</v>
      </c>
      <c r="G3934" s="227" t="s">
        <v>125</v>
      </c>
    </row>
    <row r="3935" spans="1:7">
      <c r="A3935" s="216">
        <v>44621</v>
      </c>
      <c r="B3935" t="s">
        <v>47</v>
      </c>
      <c r="C3935">
        <v>15</v>
      </c>
      <c r="D3935" t="s">
        <v>437</v>
      </c>
      <c r="E3935" s="217">
        <v>44621</v>
      </c>
      <c r="F3935">
        <v>1922.87</v>
      </c>
      <c r="G3935" s="227" t="s">
        <v>121</v>
      </c>
    </row>
    <row r="3936" spans="1:7">
      <c r="A3936" s="216">
        <v>44621</v>
      </c>
      <c r="B3936" t="s">
        <v>47</v>
      </c>
      <c r="C3936">
        <v>15</v>
      </c>
      <c r="D3936" t="s">
        <v>437</v>
      </c>
      <c r="E3936" s="217">
        <v>44621</v>
      </c>
      <c r="F3936">
        <v>1612.01</v>
      </c>
      <c r="G3936" s="227" t="s">
        <v>90</v>
      </c>
    </row>
    <row r="3937" spans="1:7">
      <c r="A3937" s="216">
        <v>44621</v>
      </c>
      <c r="B3937" t="s">
        <v>47</v>
      </c>
      <c r="C3937">
        <v>15</v>
      </c>
      <c r="D3937" t="s">
        <v>437</v>
      </c>
      <c r="E3937" s="217">
        <v>44621</v>
      </c>
      <c r="F3937">
        <v>1924.43</v>
      </c>
      <c r="G3937" s="227" t="s">
        <v>98</v>
      </c>
    </row>
    <row r="3938" spans="1:7">
      <c r="A3938" s="216">
        <v>44621</v>
      </c>
      <c r="B3938" t="s">
        <v>47</v>
      </c>
      <c r="C3938">
        <v>15</v>
      </c>
      <c r="D3938" t="s">
        <v>437</v>
      </c>
      <c r="E3938" s="217">
        <v>44621</v>
      </c>
      <c r="F3938">
        <v>1766.84</v>
      </c>
      <c r="G3938" s="227" t="s">
        <v>94</v>
      </c>
    </row>
    <row r="3939" spans="1:7">
      <c r="A3939" s="216">
        <v>44621</v>
      </c>
      <c r="B3939" t="s">
        <v>47</v>
      </c>
      <c r="C3939">
        <v>15</v>
      </c>
      <c r="D3939" t="s">
        <v>437</v>
      </c>
      <c r="E3939" s="217">
        <v>44621</v>
      </c>
      <c r="F3939">
        <v>3292.76</v>
      </c>
      <c r="G3939" s="227" t="s">
        <v>112</v>
      </c>
    </row>
    <row r="3940" spans="1:7">
      <c r="A3940" s="216">
        <v>44621</v>
      </c>
      <c r="B3940" t="s">
        <v>47</v>
      </c>
      <c r="C3940">
        <v>15</v>
      </c>
      <c r="D3940" t="s">
        <v>437</v>
      </c>
      <c r="E3940" s="217">
        <v>44621</v>
      </c>
      <c r="F3940">
        <v>21749.79</v>
      </c>
      <c r="G3940" s="227" t="s">
        <v>434</v>
      </c>
    </row>
    <row r="3941" spans="1:7">
      <c r="A3941" s="216">
        <v>44621</v>
      </c>
      <c r="B3941" t="s">
        <v>3</v>
      </c>
      <c r="C3941">
        <v>7</v>
      </c>
      <c r="D3941" t="s">
        <v>442</v>
      </c>
      <c r="E3941" s="217">
        <v>44621</v>
      </c>
      <c r="F3941">
        <v>99371.835000000006</v>
      </c>
      <c r="G3941" s="227" t="s">
        <v>80</v>
      </c>
    </row>
    <row r="3942" spans="1:7">
      <c r="A3942" s="216">
        <v>44621</v>
      </c>
      <c r="B3942" t="s">
        <v>3</v>
      </c>
      <c r="C3942">
        <v>7</v>
      </c>
      <c r="D3942" t="s">
        <v>442</v>
      </c>
      <c r="E3942" s="217">
        <v>44621</v>
      </c>
      <c r="F3942">
        <v>102812.94899999999</v>
      </c>
      <c r="G3942" s="227" t="s">
        <v>116</v>
      </c>
    </row>
    <row r="3943" spans="1:7">
      <c r="A3943" s="216">
        <v>44621</v>
      </c>
      <c r="B3943" t="s">
        <v>3</v>
      </c>
      <c r="C3943">
        <v>7</v>
      </c>
      <c r="D3943" t="s">
        <v>442</v>
      </c>
      <c r="E3943" s="217">
        <v>44621</v>
      </c>
      <c r="F3943">
        <v>103097.849</v>
      </c>
      <c r="G3943" s="227" t="s">
        <v>107</v>
      </c>
    </row>
    <row r="3944" spans="1:7">
      <c r="A3944" s="216">
        <v>44621</v>
      </c>
      <c r="B3944" t="s">
        <v>3</v>
      </c>
      <c r="C3944">
        <v>7</v>
      </c>
      <c r="D3944" t="s">
        <v>442</v>
      </c>
      <c r="E3944" s="217">
        <v>44621</v>
      </c>
      <c r="F3944">
        <v>106767.572</v>
      </c>
      <c r="G3944" s="227" t="s">
        <v>102</v>
      </c>
    </row>
    <row r="3945" spans="1:7">
      <c r="A3945" s="216">
        <v>44621</v>
      </c>
      <c r="B3945" t="s">
        <v>3</v>
      </c>
      <c r="C3945">
        <v>7</v>
      </c>
      <c r="D3945" t="s">
        <v>442</v>
      </c>
      <c r="E3945" s="217">
        <v>44621</v>
      </c>
      <c r="F3945">
        <v>107036.2</v>
      </c>
      <c r="G3945" s="227" t="s">
        <v>85</v>
      </c>
    </row>
    <row r="3946" spans="1:7">
      <c r="A3946" s="216">
        <v>44621</v>
      </c>
      <c r="B3946" t="s">
        <v>3</v>
      </c>
      <c r="C3946">
        <v>7</v>
      </c>
      <c r="D3946" t="s">
        <v>442</v>
      </c>
      <c r="E3946" s="217">
        <v>44621</v>
      </c>
      <c r="F3946">
        <v>115142.643</v>
      </c>
      <c r="G3946" s="227" t="s">
        <v>129</v>
      </c>
    </row>
    <row r="3947" spans="1:7">
      <c r="A3947" s="216">
        <v>44621</v>
      </c>
      <c r="B3947" t="s">
        <v>3</v>
      </c>
      <c r="C3947">
        <v>7</v>
      </c>
      <c r="D3947" t="s">
        <v>442</v>
      </c>
      <c r="E3947" s="217">
        <v>44621</v>
      </c>
      <c r="F3947">
        <v>108473.202</v>
      </c>
      <c r="G3947" s="227" t="s">
        <v>125</v>
      </c>
    </row>
    <row r="3948" spans="1:7">
      <c r="A3948" s="216">
        <v>44621</v>
      </c>
      <c r="B3948" t="s">
        <v>3</v>
      </c>
      <c r="C3948">
        <v>7</v>
      </c>
      <c r="D3948" t="s">
        <v>442</v>
      </c>
      <c r="E3948" s="217">
        <v>44621</v>
      </c>
      <c r="F3948">
        <v>109853.92600000001</v>
      </c>
      <c r="G3948" s="227" t="s">
        <v>121</v>
      </c>
    </row>
    <row r="3949" spans="1:7">
      <c r="A3949" s="216">
        <v>44621</v>
      </c>
      <c r="B3949" t="s">
        <v>3</v>
      </c>
      <c r="C3949">
        <v>7</v>
      </c>
      <c r="D3949" t="s">
        <v>442</v>
      </c>
      <c r="E3949" s="217">
        <v>44621</v>
      </c>
      <c r="F3949">
        <v>112807.57</v>
      </c>
      <c r="G3949" s="227" t="s">
        <v>90</v>
      </c>
    </row>
    <row r="3950" spans="1:7">
      <c r="A3950" s="216">
        <v>44621</v>
      </c>
      <c r="B3950" t="s">
        <v>3</v>
      </c>
      <c r="C3950">
        <v>7</v>
      </c>
      <c r="D3950" t="s">
        <v>442</v>
      </c>
      <c r="E3950" s="217">
        <v>44621</v>
      </c>
      <c r="F3950">
        <v>117061.141</v>
      </c>
      <c r="G3950" s="227" t="s">
        <v>98</v>
      </c>
    </row>
    <row r="3951" spans="1:7">
      <c r="A3951" s="216">
        <v>44621</v>
      </c>
      <c r="B3951" t="s">
        <v>3</v>
      </c>
      <c r="C3951">
        <v>7</v>
      </c>
      <c r="D3951" t="s">
        <v>442</v>
      </c>
      <c r="E3951" s="217">
        <v>44621</v>
      </c>
      <c r="F3951">
        <v>112458.35</v>
      </c>
      <c r="G3951" s="227" t="s">
        <v>94</v>
      </c>
    </row>
    <row r="3952" spans="1:7">
      <c r="A3952" s="216">
        <v>44621</v>
      </c>
      <c r="B3952" t="s">
        <v>3</v>
      </c>
      <c r="C3952">
        <v>7</v>
      </c>
      <c r="D3952" t="s">
        <v>442</v>
      </c>
      <c r="E3952" s="217">
        <v>44621</v>
      </c>
      <c r="F3952">
        <v>180314.53</v>
      </c>
      <c r="G3952" s="227" t="s">
        <v>112</v>
      </c>
    </row>
    <row r="3953" spans="1:7">
      <c r="A3953" s="216">
        <v>44621</v>
      </c>
      <c r="B3953" t="s">
        <v>3</v>
      </c>
      <c r="C3953">
        <v>7</v>
      </c>
      <c r="D3953" t="s">
        <v>442</v>
      </c>
      <c r="E3953" s="217">
        <v>44621</v>
      </c>
      <c r="F3953">
        <v>1375197.767</v>
      </c>
      <c r="G3953" s="227" t="s">
        <v>434</v>
      </c>
    </row>
    <row r="3954" spans="1:7">
      <c r="A3954" s="216">
        <v>44621</v>
      </c>
      <c r="B3954" t="s">
        <v>3</v>
      </c>
      <c r="C3954">
        <v>8</v>
      </c>
      <c r="D3954" t="s">
        <v>451</v>
      </c>
      <c r="E3954" s="217">
        <v>44621</v>
      </c>
      <c r="F3954">
        <v>9189.1620000000003</v>
      </c>
      <c r="G3954" s="227" t="s">
        <v>80</v>
      </c>
    </row>
    <row r="3955" spans="1:7">
      <c r="A3955" s="216">
        <v>44621</v>
      </c>
      <c r="B3955" t="s">
        <v>3</v>
      </c>
      <c r="C3955">
        <v>8</v>
      </c>
      <c r="D3955" t="s">
        <v>451</v>
      </c>
      <c r="E3955" s="217">
        <v>44621</v>
      </c>
      <c r="F3955">
        <v>9665.9369999999999</v>
      </c>
      <c r="G3955" s="227" t="s">
        <v>116</v>
      </c>
    </row>
    <row r="3956" spans="1:7">
      <c r="A3956" s="216">
        <v>44621</v>
      </c>
      <c r="B3956" t="s">
        <v>3</v>
      </c>
      <c r="C3956">
        <v>8</v>
      </c>
      <c r="D3956" t="s">
        <v>451</v>
      </c>
      <c r="E3956" s="217">
        <v>44621</v>
      </c>
      <c r="F3956">
        <v>9334.65</v>
      </c>
      <c r="G3956" s="227" t="s">
        <v>107</v>
      </c>
    </row>
    <row r="3957" spans="1:7">
      <c r="A3957" s="216">
        <v>44621</v>
      </c>
      <c r="B3957" t="s">
        <v>3</v>
      </c>
      <c r="C3957">
        <v>8</v>
      </c>
      <c r="D3957" t="s">
        <v>451</v>
      </c>
      <c r="E3957" s="217">
        <v>44621</v>
      </c>
      <c r="F3957">
        <v>11800.132</v>
      </c>
      <c r="G3957" s="227" t="s">
        <v>102</v>
      </c>
    </row>
    <row r="3958" spans="1:7">
      <c r="A3958" s="216">
        <v>44621</v>
      </c>
      <c r="B3958" t="s">
        <v>3</v>
      </c>
      <c r="C3958">
        <v>8</v>
      </c>
      <c r="D3958" t="s">
        <v>451</v>
      </c>
      <c r="E3958" s="217">
        <v>44621</v>
      </c>
      <c r="F3958">
        <v>10201.841</v>
      </c>
      <c r="G3958" s="227" t="s">
        <v>85</v>
      </c>
    </row>
    <row r="3959" spans="1:7">
      <c r="A3959" s="216">
        <v>44621</v>
      </c>
      <c r="B3959" t="s">
        <v>3</v>
      </c>
      <c r="C3959">
        <v>8</v>
      </c>
      <c r="D3959" t="s">
        <v>451</v>
      </c>
      <c r="E3959" s="217">
        <v>44621</v>
      </c>
      <c r="F3959">
        <v>9823.1239999999998</v>
      </c>
      <c r="G3959" s="227" t="s">
        <v>129</v>
      </c>
    </row>
    <row r="3960" spans="1:7">
      <c r="A3960" s="216">
        <v>44621</v>
      </c>
      <c r="B3960" t="s">
        <v>3</v>
      </c>
      <c r="C3960">
        <v>8</v>
      </c>
      <c r="D3960" t="s">
        <v>451</v>
      </c>
      <c r="E3960" s="217">
        <v>44621</v>
      </c>
      <c r="F3960">
        <v>10016.858</v>
      </c>
      <c r="G3960" s="227" t="s">
        <v>125</v>
      </c>
    </row>
    <row r="3961" spans="1:7">
      <c r="A3961" s="216">
        <v>44621</v>
      </c>
      <c r="B3961" t="s">
        <v>3</v>
      </c>
      <c r="C3961">
        <v>8</v>
      </c>
      <c r="D3961" t="s">
        <v>451</v>
      </c>
      <c r="E3961" s="217">
        <v>44621</v>
      </c>
      <c r="F3961">
        <v>9680.44</v>
      </c>
      <c r="G3961" s="227" t="s">
        <v>121</v>
      </c>
    </row>
    <row r="3962" spans="1:7">
      <c r="A3962" s="216">
        <v>44621</v>
      </c>
      <c r="B3962" t="s">
        <v>3</v>
      </c>
      <c r="C3962">
        <v>8</v>
      </c>
      <c r="D3962" t="s">
        <v>451</v>
      </c>
      <c r="E3962" s="217">
        <v>44621</v>
      </c>
      <c r="F3962">
        <v>11324.512000000001</v>
      </c>
      <c r="G3962" s="227" t="s">
        <v>90</v>
      </c>
    </row>
    <row r="3963" spans="1:7">
      <c r="A3963" s="216">
        <v>44621</v>
      </c>
      <c r="B3963" t="s">
        <v>3</v>
      </c>
      <c r="C3963">
        <v>8</v>
      </c>
      <c r="D3963" t="s">
        <v>451</v>
      </c>
      <c r="E3963" s="217">
        <v>44621</v>
      </c>
      <c r="F3963">
        <v>9693.33</v>
      </c>
      <c r="G3963" s="227" t="s">
        <v>98</v>
      </c>
    </row>
    <row r="3964" spans="1:7">
      <c r="A3964" s="216">
        <v>44621</v>
      </c>
      <c r="B3964" t="s">
        <v>3</v>
      </c>
      <c r="C3964">
        <v>8</v>
      </c>
      <c r="D3964" t="s">
        <v>451</v>
      </c>
      <c r="E3964" s="217">
        <v>44621</v>
      </c>
      <c r="F3964">
        <v>8845.69</v>
      </c>
      <c r="G3964" s="227" t="s">
        <v>94</v>
      </c>
    </row>
    <row r="3965" spans="1:7">
      <c r="A3965" s="216">
        <v>44621</v>
      </c>
      <c r="B3965" t="s">
        <v>3</v>
      </c>
      <c r="C3965">
        <v>8</v>
      </c>
      <c r="D3965" t="s">
        <v>451</v>
      </c>
      <c r="E3965" s="217">
        <v>44621</v>
      </c>
      <c r="F3965">
        <v>10929.857</v>
      </c>
      <c r="G3965" s="227" t="s">
        <v>112</v>
      </c>
    </row>
    <row r="3966" spans="1:7">
      <c r="A3966" s="216">
        <v>44621</v>
      </c>
      <c r="B3966" t="s">
        <v>3</v>
      </c>
      <c r="C3966">
        <v>8</v>
      </c>
      <c r="D3966" t="s">
        <v>451</v>
      </c>
      <c r="E3966" s="217">
        <v>44621</v>
      </c>
      <c r="F3966">
        <v>120505.533</v>
      </c>
      <c r="G3966" s="227" t="s">
        <v>434</v>
      </c>
    </row>
    <row r="3967" spans="1:7">
      <c r="A3967" s="216">
        <v>44621</v>
      </c>
      <c r="B3967" t="s">
        <v>3</v>
      </c>
      <c r="C3967">
        <v>9</v>
      </c>
      <c r="D3967" t="s">
        <v>450</v>
      </c>
      <c r="E3967" s="217">
        <v>44621</v>
      </c>
      <c r="F3967">
        <v>7046.6049999999996</v>
      </c>
      <c r="G3967" s="227" t="s">
        <v>80</v>
      </c>
    </row>
    <row r="3968" spans="1:7">
      <c r="A3968" s="216">
        <v>44621</v>
      </c>
      <c r="B3968" t="s">
        <v>3</v>
      </c>
      <c r="C3968">
        <v>9</v>
      </c>
      <c r="D3968" t="s">
        <v>450</v>
      </c>
      <c r="E3968" s="217">
        <v>44621</v>
      </c>
      <c r="F3968">
        <v>6556.1859999999997</v>
      </c>
      <c r="G3968" s="227" t="s">
        <v>116</v>
      </c>
    </row>
    <row r="3969" spans="1:7">
      <c r="A3969" s="216">
        <v>44621</v>
      </c>
      <c r="B3969" t="s">
        <v>3</v>
      </c>
      <c r="C3969">
        <v>9</v>
      </c>
      <c r="D3969" t="s">
        <v>450</v>
      </c>
      <c r="E3969" s="217">
        <v>44621</v>
      </c>
      <c r="F3969">
        <v>6582.317</v>
      </c>
      <c r="G3969" s="227" t="s">
        <v>107</v>
      </c>
    </row>
    <row r="3970" spans="1:7">
      <c r="A3970" s="216">
        <v>44621</v>
      </c>
      <c r="B3970" t="s">
        <v>3</v>
      </c>
      <c r="C3970">
        <v>9</v>
      </c>
      <c r="D3970" t="s">
        <v>450</v>
      </c>
      <c r="E3970" s="217">
        <v>44621</v>
      </c>
      <c r="F3970">
        <v>6593.2579999999998</v>
      </c>
      <c r="G3970" s="227" t="s">
        <v>102</v>
      </c>
    </row>
    <row r="3971" spans="1:7">
      <c r="A3971" s="216">
        <v>44621</v>
      </c>
      <c r="B3971" t="s">
        <v>3</v>
      </c>
      <c r="C3971">
        <v>9</v>
      </c>
      <c r="D3971" t="s">
        <v>450</v>
      </c>
      <c r="E3971" s="217">
        <v>44621</v>
      </c>
      <c r="F3971">
        <v>6804.7420000000002</v>
      </c>
      <c r="G3971" s="227" t="s">
        <v>85</v>
      </c>
    </row>
    <row r="3972" spans="1:7">
      <c r="A3972" s="216">
        <v>44621</v>
      </c>
      <c r="B3972" t="s">
        <v>3</v>
      </c>
      <c r="C3972">
        <v>9</v>
      </c>
      <c r="D3972" t="s">
        <v>450</v>
      </c>
      <c r="E3972" s="217">
        <v>44621</v>
      </c>
      <c r="F3972">
        <v>6414.7039999999997</v>
      </c>
      <c r="G3972" s="227" t="s">
        <v>129</v>
      </c>
    </row>
    <row r="3973" spans="1:7">
      <c r="A3973" s="216">
        <v>44621</v>
      </c>
      <c r="B3973" t="s">
        <v>3</v>
      </c>
      <c r="C3973">
        <v>9</v>
      </c>
      <c r="D3973" t="s">
        <v>450</v>
      </c>
      <c r="E3973" s="217">
        <v>44621</v>
      </c>
      <c r="F3973">
        <v>6247.9229999999998</v>
      </c>
      <c r="G3973" s="227" t="s">
        <v>125</v>
      </c>
    </row>
    <row r="3974" spans="1:7">
      <c r="A3974" s="216">
        <v>44621</v>
      </c>
      <c r="B3974" t="s">
        <v>3</v>
      </c>
      <c r="C3974">
        <v>9</v>
      </c>
      <c r="D3974" t="s">
        <v>450</v>
      </c>
      <c r="E3974" s="217">
        <v>44621</v>
      </c>
      <c r="F3974">
        <v>6564.1040000000003</v>
      </c>
      <c r="G3974" s="227" t="s">
        <v>121</v>
      </c>
    </row>
    <row r="3975" spans="1:7">
      <c r="A3975" s="216">
        <v>44621</v>
      </c>
      <c r="B3975" t="s">
        <v>3</v>
      </c>
      <c r="C3975">
        <v>9</v>
      </c>
      <c r="D3975" t="s">
        <v>450</v>
      </c>
      <c r="E3975" s="217">
        <v>44621</v>
      </c>
      <c r="F3975">
        <v>6651.5119999999997</v>
      </c>
      <c r="G3975" s="227" t="s">
        <v>90</v>
      </c>
    </row>
    <row r="3976" spans="1:7">
      <c r="A3976" s="216">
        <v>44621</v>
      </c>
      <c r="B3976" t="s">
        <v>3</v>
      </c>
      <c r="C3976">
        <v>9</v>
      </c>
      <c r="D3976" t="s">
        <v>450</v>
      </c>
      <c r="E3976" s="217">
        <v>44621</v>
      </c>
      <c r="F3976">
        <v>6603.9009999999898</v>
      </c>
      <c r="G3976" s="227" t="s">
        <v>98</v>
      </c>
    </row>
    <row r="3977" spans="1:7">
      <c r="A3977" s="216">
        <v>44621</v>
      </c>
      <c r="B3977" t="s">
        <v>3</v>
      </c>
      <c r="C3977">
        <v>9</v>
      </c>
      <c r="D3977" t="s">
        <v>450</v>
      </c>
      <c r="E3977" s="217">
        <v>44621</v>
      </c>
      <c r="F3977">
        <v>6457.5140000000101</v>
      </c>
      <c r="G3977" s="227" t="s">
        <v>94</v>
      </c>
    </row>
    <row r="3978" spans="1:7">
      <c r="A3978" s="216">
        <v>44621</v>
      </c>
      <c r="B3978" t="s">
        <v>3</v>
      </c>
      <c r="C3978">
        <v>9</v>
      </c>
      <c r="D3978" t="s">
        <v>450</v>
      </c>
      <c r="E3978" s="217">
        <v>44621</v>
      </c>
      <c r="F3978">
        <v>5895.6909999999898</v>
      </c>
      <c r="G3978" s="227" t="s">
        <v>112</v>
      </c>
    </row>
    <row r="3979" spans="1:7">
      <c r="A3979" s="216">
        <v>44621</v>
      </c>
      <c r="B3979" t="s">
        <v>3</v>
      </c>
      <c r="C3979">
        <v>9</v>
      </c>
      <c r="D3979" t="s">
        <v>450</v>
      </c>
      <c r="E3979" s="217">
        <v>44621</v>
      </c>
      <c r="F3979">
        <v>78418.456999999995</v>
      </c>
      <c r="G3979" s="227" t="s">
        <v>434</v>
      </c>
    </row>
    <row r="3980" spans="1:7">
      <c r="A3980" s="216">
        <v>44621</v>
      </c>
      <c r="B3980" t="s">
        <v>3</v>
      </c>
      <c r="C3980">
        <v>10</v>
      </c>
      <c r="D3980" t="s">
        <v>433</v>
      </c>
      <c r="E3980" s="217">
        <v>44621</v>
      </c>
      <c r="F3980">
        <v>49002.392999999996</v>
      </c>
      <c r="G3980" s="227" t="s">
        <v>80</v>
      </c>
    </row>
    <row r="3981" spans="1:7">
      <c r="A3981" s="216">
        <v>44621</v>
      </c>
      <c r="B3981" t="s">
        <v>3</v>
      </c>
      <c r="C3981">
        <v>10</v>
      </c>
      <c r="D3981" t="s">
        <v>433</v>
      </c>
      <c r="E3981" s="217">
        <v>44621</v>
      </c>
      <c r="F3981">
        <v>49071.368000000002</v>
      </c>
      <c r="G3981" s="227" t="s">
        <v>116</v>
      </c>
    </row>
    <row r="3982" spans="1:7">
      <c r="A3982" s="216">
        <v>44621</v>
      </c>
      <c r="B3982" t="s">
        <v>3</v>
      </c>
      <c r="C3982">
        <v>10</v>
      </c>
      <c r="D3982" t="s">
        <v>433</v>
      </c>
      <c r="E3982" s="217">
        <v>44621</v>
      </c>
      <c r="F3982">
        <v>48376.724000000002</v>
      </c>
      <c r="G3982" s="227" t="s">
        <v>107</v>
      </c>
    </row>
    <row r="3983" spans="1:7">
      <c r="A3983" s="216">
        <v>44621</v>
      </c>
      <c r="B3983" t="s">
        <v>3</v>
      </c>
      <c r="C3983">
        <v>10</v>
      </c>
      <c r="D3983" t="s">
        <v>433</v>
      </c>
      <c r="E3983" s="217">
        <v>44621</v>
      </c>
      <c r="F3983">
        <v>49139.817999999999</v>
      </c>
      <c r="G3983" s="227" t="s">
        <v>102</v>
      </c>
    </row>
    <row r="3984" spans="1:7">
      <c r="A3984" s="216">
        <v>44621</v>
      </c>
      <c r="B3984" t="s">
        <v>3</v>
      </c>
      <c r="C3984">
        <v>10</v>
      </c>
      <c r="D3984" t="s">
        <v>433</v>
      </c>
      <c r="E3984" s="217">
        <v>44621</v>
      </c>
      <c r="F3984">
        <v>50532.385000000002</v>
      </c>
      <c r="G3984" s="227" t="s">
        <v>85</v>
      </c>
    </row>
    <row r="3985" spans="1:7">
      <c r="A3985" s="216">
        <v>44621</v>
      </c>
      <c r="B3985" t="s">
        <v>3</v>
      </c>
      <c r="C3985">
        <v>10</v>
      </c>
      <c r="D3985" t="s">
        <v>433</v>
      </c>
      <c r="E3985" s="217">
        <v>44621</v>
      </c>
      <c r="F3985">
        <v>57539.614999999998</v>
      </c>
      <c r="G3985" s="227" t="s">
        <v>129</v>
      </c>
    </row>
    <row r="3986" spans="1:7">
      <c r="A3986" s="216">
        <v>44621</v>
      </c>
      <c r="B3986" t="s">
        <v>3</v>
      </c>
      <c r="C3986">
        <v>10</v>
      </c>
      <c r="D3986" t="s">
        <v>433</v>
      </c>
      <c r="E3986" s="217">
        <v>44621</v>
      </c>
      <c r="F3986">
        <v>51711.83</v>
      </c>
      <c r="G3986" s="227" t="s">
        <v>125</v>
      </c>
    </row>
    <row r="3987" spans="1:7">
      <c r="A3987" s="216">
        <v>44621</v>
      </c>
      <c r="B3987" t="s">
        <v>3</v>
      </c>
      <c r="C3987">
        <v>10</v>
      </c>
      <c r="D3987" t="s">
        <v>433</v>
      </c>
      <c r="E3987" s="217">
        <v>44621</v>
      </c>
      <c r="F3987">
        <v>52682.656000000003</v>
      </c>
      <c r="G3987" s="227" t="s">
        <v>121</v>
      </c>
    </row>
    <row r="3988" spans="1:7">
      <c r="A3988" s="216">
        <v>44621</v>
      </c>
      <c r="B3988" t="s">
        <v>3</v>
      </c>
      <c r="C3988">
        <v>10</v>
      </c>
      <c r="D3988" t="s">
        <v>433</v>
      </c>
      <c r="E3988" s="217">
        <v>44621</v>
      </c>
      <c r="F3988">
        <v>52273.201999999997</v>
      </c>
      <c r="G3988" s="227" t="s">
        <v>90</v>
      </c>
    </row>
    <row r="3989" spans="1:7">
      <c r="A3989" s="216">
        <v>44621</v>
      </c>
      <c r="B3989" t="s">
        <v>3</v>
      </c>
      <c r="C3989">
        <v>10</v>
      </c>
      <c r="D3989" t="s">
        <v>433</v>
      </c>
      <c r="E3989" s="217">
        <v>44621</v>
      </c>
      <c r="F3989">
        <v>56191.694000000003</v>
      </c>
      <c r="G3989" s="227" t="s">
        <v>98</v>
      </c>
    </row>
    <row r="3990" spans="1:7">
      <c r="A3990" s="216">
        <v>44621</v>
      </c>
      <c r="B3990" t="s">
        <v>3</v>
      </c>
      <c r="C3990">
        <v>10</v>
      </c>
      <c r="D3990" t="s">
        <v>433</v>
      </c>
      <c r="E3990" s="217">
        <v>44621</v>
      </c>
      <c r="F3990">
        <v>53486.351999999999</v>
      </c>
      <c r="G3990" s="227" t="s">
        <v>94</v>
      </c>
    </row>
    <row r="3991" spans="1:7">
      <c r="A3991" s="216">
        <v>44621</v>
      </c>
      <c r="B3991" t="s">
        <v>3</v>
      </c>
      <c r="C3991">
        <v>10</v>
      </c>
      <c r="D3991" t="s">
        <v>433</v>
      </c>
      <c r="E3991" s="217">
        <v>44621</v>
      </c>
      <c r="F3991">
        <v>95795.86</v>
      </c>
      <c r="G3991" s="227" t="s">
        <v>112</v>
      </c>
    </row>
    <row r="3992" spans="1:7">
      <c r="A3992" s="216">
        <v>44621</v>
      </c>
      <c r="B3992" t="s">
        <v>3</v>
      </c>
      <c r="C3992">
        <v>10</v>
      </c>
      <c r="D3992" t="s">
        <v>433</v>
      </c>
      <c r="E3992" s="217">
        <v>44621</v>
      </c>
      <c r="F3992">
        <v>665803.897</v>
      </c>
      <c r="G3992" s="227" t="s">
        <v>434</v>
      </c>
    </row>
    <row r="3993" spans="1:7">
      <c r="A3993" s="216">
        <v>44621</v>
      </c>
      <c r="B3993" t="s">
        <v>3</v>
      </c>
      <c r="C3993">
        <v>11</v>
      </c>
      <c r="D3993" t="s">
        <v>445</v>
      </c>
      <c r="E3993" s="217">
        <v>44621</v>
      </c>
      <c r="F3993">
        <v>9733.2649999999994</v>
      </c>
      <c r="G3993" s="227" t="s">
        <v>80</v>
      </c>
    </row>
    <row r="3994" spans="1:7">
      <c r="A3994" s="216">
        <v>44621</v>
      </c>
      <c r="B3994" t="s">
        <v>3</v>
      </c>
      <c r="C3994">
        <v>11</v>
      </c>
      <c r="D3994" t="s">
        <v>445</v>
      </c>
      <c r="E3994" s="217">
        <v>44621</v>
      </c>
      <c r="F3994">
        <v>8893.42</v>
      </c>
      <c r="G3994" s="227" t="s">
        <v>116</v>
      </c>
    </row>
    <row r="3995" spans="1:7">
      <c r="A3995" s="216">
        <v>44621</v>
      </c>
      <c r="B3995" t="s">
        <v>3</v>
      </c>
      <c r="C3995">
        <v>11</v>
      </c>
      <c r="D3995" t="s">
        <v>445</v>
      </c>
      <c r="E3995" s="217">
        <v>44621</v>
      </c>
      <c r="F3995">
        <v>11533.084999999999</v>
      </c>
      <c r="G3995" s="227" t="s">
        <v>107</v>
      </c>
    </row>
    <row r="3996" spans="1:7">
      <c r="A3996" s="216">
        <v>44621</v>
      </c>
      <c r="B3996" t="s">
        <v>3</v>
      </c>
      <c r="C3996">
        <v>11</v>
      </c>
      <c r="D3996" t="s">
        <v>445</v>
      </c>
      <c r="E3996" s="217">
        <v>44621</v>
      </c>
      <c r="F3996">
        <v>10913.953</v>
      </c>
      <c r="G3996" s="227" t="s">
        <v>102</v>
      </c>
    </row>
    <row r="3997" spans="1:7">
      <c r="A3997" s="216">
        <v>44621</v>
      </c>
      <c r="B3997" t="s">
        <v>3</v>
      </c>
      <c r="C3997">
        <v>11</v>
      </c>
      <c r="D3997" t="s">
        <v>445</v>
      </c>
      <c r="E3997" s="217">
        <v>44621</v>
      </c>
      <c r="F3997">
        <v>10884.763999999999</v>
      </c>
      <c r="G3997" s="227" t="s">
        <v>85</v>
      </c>
    </row>
    <row r="3998" spans="1:7">
      <c r="A3998" s="216">
        <v>44621</v>
      </c>
      <c r="B3998" t="s">
        <v>3</v>
      </c>
      <c r="C3998">
        <v>11</v>
      </c>
      <c r="D3998" t="s">
        <v>445</v>
      </c>
      <c r="E3998" s="217">
        <v>44621</v>
      </c>
      <c r="F3998">
        <v>11726.383</v>
      </c>
      <c r="G3998" s="227" t="s">
        <v>129</v>
      </c>
    </row>
    <row r="3999" spans="1:7">
      <c r="A3999" s="216">
        <v>44621</v>
      </c>
      <c r="B3999" t="s">
        <v>3</v>
      </c>
      <c r="C3999">
        <v>11</v>
      </c>
      <c r="D3999" t="s">
        <v>445</v>
      </c>
      <c r="E3999" s="217">
        <v>44621</v>
      </c>
      <c r="F3999">
        <v>11037.362999999999</v>
      </c>
      <c r="G3999" s="227" t="s">
        <v>125</v>
      </c>
    </row>
    <row r="4000" spans="1:7">
      <c r="A4000" s="216">
        <v>44621</v>
      </c>
      <c r="B4000" t="s">
        <v>3</v>
      </c>
      <c r="C4000">
        <v>11</v>
      </c>
      <c r="D4000" t="s">
        <v>445</v>
      </c>
      <c r="E4000" s="217">
        <v>44621</v>
      </c>
      <c r="F4000">
        <v>11991.054</v>
      </c>
      <c r="G4000" s="227" t="s">
        <v>121</v>
      </c>
    </row>
    <row r="4001" spans="1:7">
      <c r="A4001" s="216">
        <v>44621</v>
      </c>
      <c r="B4001" t="s">
        <v>3</v>
      </c>
      <c r="C4001">
        <v>11</v>
      </c>
      <c r="D4001" t="s">
        <v>445</v>
      </c>
      <c r="E4001" s="217">
        <v>44621</v>
      </c>
      <c r="F4001">
        <v>13200.569</v>
      </c>
      <c r="G4001" s="227" t="s">
        <v>90</v>
      </c>
    </row>
    <row r="4002" spans="1:7">
      <c r="A4002" s="216">
        <v>44621</v>
      </c>
      <c r="B4002" t="s">
        <v>3</v>
      </c>
      <c r="C4002">
        <v>11</v>
      </c>
      <c r="D4002" t="s">
        <v>445</v>
      </c>
      <c r="E4002" s="217">
        <v>44621</v>
      </c>
      <c r="F4002">
        <v>12404.708000000001</v>
      </c>
      <c r="G4002" s="227" t="s">
        <v>98</v>
      </c>
    </row>
    <row r="4003" spans="1:7">
      <c r="A4003" s="216">
        <v>44621</v>
      </c>
      <c r="B4003" t="s">
        <v>3</v>
      </c>
      <c r="C4003">
        <v>11</v>
      </c>
      <c r="D4003" t="s">
        <v>445</v>
      </c>
      <c r="E4003" s="217">
        <v>44621</v>
      </c>
      <c r="F4003">
        <v>13618.137000000001</v>
      </c>
      <c r="G4003" s="227" t="s">
        <v>94</v>
      </c>
    </row>
    <row r="4004" spans="1:7">
      <c r="A4004" s="216">
        <v>44621</v>
      </c>
      <c r="B4004" t="s">
        <v>3</v>
      </c>
      <c r="C4004">
        <v>11</v>
      </c>
      <c r="D4004" t="s">
        <v>445</v>
      </c>
      <c r="E4004" s="217">
        <v>44621</v>
      </c>
      <c r="F4004">
        <v>25482.395</v>
      </c>
      <c r="G4004" s="227" t="s">
        <v>112</v>
      </c>
    </row>
    <row r="4005" spans="1:7">
      <c r="A4005" s="216">
        <v>44621</v>
      </c>
      <c r="B4005" t="s">
        <v>3</v>
      </c>
      <c r="C4005">
        <v>11</v>
      </c>
      <c r="D4005" t="s">
        <v>445</v>
      </c>
      <c r="E4005" s="217">
        <v>44621</v>
      </c>
      <c r="F4005">
        <v>151419.09599999999</v>
      </c>
      <c r="G4005" s="227" t="s">
        <v>434</v>
      </c>
    </row>
    <row r="4006" spans="1:7">
      <c r="A4006" s="216">
        <v>44621</v>
      </c>
      <c r="B4006" t="s">
        <v>3</v>
      </c>
      <c r="C4006">
        <v>12</v>
      </c>
      <c r="D4006" t="s">
        <v>454</v>
      </c>
      <c r="E4006" s="217">
        <v>44621</v>
      </c>
      <c r="F4006">
        <v>5939.1080000000002</v>
      </c>
      <c r="G4006" s="227" t="s">
        <v>80</v>
      </c>
    </row>
    <row r="4007" spans="1:7">
      <c r="A4007" s="216">
        <v>44621</v>
      </c>
      <c r="B4007" t="s">
        <v>3</v>
      </c>
      <c r="C4007">
        <v>12</v>
      </c>
      <c r="D4007" t="s">
        <v>454</v>
      </c>
      <c r="E4007" s="217">
        <v>44621</v>
      </c>
      <c r="F4007">
        <v>7083.9719999999998</v>
      </c>
      <c r="G4007" s="227" t="s">
        <v>116</v>
      </c>
    </row>
    <row r="4008" spans="1:7">
      <c r="A4008" s="216">
        <v>44621</v>
      </c>
      <c r="B4008" t="s">
        <v>3</v>
      </c>
      <c r="C4008">
        <v>12</v>
      </c>
      <c r="D4008" t="s">
        <v>454</v>
      </c>
      <c r="E4008" s="217">
        <v>44621</v>
      </c>
      <c r="F4008">
        <v>5482.2049999999999</v>
      </c>
      <c r="G4008" s="227" t="s">
        <v>107</v>
      </c>
    </row>
    <row r="4009" spans="1:7">
      <c r="A4009" s="216">
        <v>44621</v>
      </c>
      <c r="B4009" t="s">
        <v>3</v>
      </c>
      <c r="C4009">
        <v>12</v>
      </c>
      <c r="D4009" t="s">
        <v>454</v>
      </c>
      <c r="E4009" s="217">
        <v>44621</v>
      </c>
      <c r="F4009">
        <v>6510.4589999999998</v>
      </c>
      <c r="G4009" s="227" t="s">
        <v>102</v>
      </c>
    </row>
    <row r="4010" spans="1:7">
      <c r="A4010" s="216">
        <v>44621</v>
      </c>
      <c r="B4010" t="s">
        <v>3</v>
      </c>
      <c r="C4010">
        <v>12</v>
      </c>
      <c r="D4010" t="s">
        <v>454</v>
      </c>
      <c r="E4010" s="217">
        <v>44621</v>
      </c>
      <c r="F4010">
        <v>6037.3389999999999</v>
      </c>
      <c r="G4010" s="227" t="s">
        <v>85</v>
      </c>
    </row>
    <row r="4011" spans="1:7">
      <c r="A4011" s="216">
        <v>44621</v>
      </c>
      <c r="B4011" t="s">
        <v>3</v>
      </c>
      <c r="C4011">
        <v>12</v>
      </c>
      <c r="D4011" t="s">
        <v>454</v>
      </c>
      <c r="E4011" s="217">
        <v>44621</v>
      </c>
      <c r="F4011">
        <v>6506.4669999999996</v>
      </c>
      <c r="G4011" s="227" t="s">
        <v>129</v>
      </c>
    </row>
    <row r="4012" spans="1:7">
      <c r="A4012" s="216">
        <v>44621</v>
      </c>
      <c r="B4012" t="s">
        <v>3</v>
      </c>
      <c r="C4012">
        <v>12</v>
      </c>
      <c r="D4012" t="s">
        <v>454</v>
      </c>
      <c r="E4012" s="217">
        <v>44621</v>
      </c>
      <c r="F4012">
        <v>6715.9480000000003</v>
      </c>
      <c r="G4012" s="227" t="s">
        <v>125</v>
      </c>
    </row>
    <row r="4013" spans="1:7">
      <c r="A4013" s="216">
        <v>44621</v>
      </c>
      <c r="B4013" t="s">
        <v>3</v>
      </c>
      <c r="C4013">
        <v>12</v>
      </c>
      <c r="D4013" t="s">
        <v>454</v>
      </c>
      <c r="E4013" s="217">
        <v>44621</v>
      </c>
      <c r="F4013">
        <v>6363.9369999999999</v>
      </c>
      <c r="G4013" s="227" t="s">
        <v>121</v>
      </c>
    </row>
    <row r="4014" spans="1:7">
      <c r="A4014" s="216">
        <v>44621</v>
      </c>
      <c r="B4014" t="s">
        <v>3</v>
      </c>
      <c r="C4014">
        <v>12</v>
      </c>
      <c r="D4014" t="s">
        <v>454</v>
      </c>
      <c r="E4014" s="217">
        <v>44621</v>
      </c>
      <c r="F4014">
        <v>5774.6760000000004</v>
      </c>
      <c r="G4014" s="227" t="s">
        <v>90</v>
      </c>
    </row>
    <row r="4015" spans="1:7">
      <c r="A4015" s="216">
        <v>44621</v>
      </c>
      <c r="B4015" t="s">
        <v>3</v>
      </c>
      <c r="C4015">
        <v>12</v>
      </c>
      <c r="D4015" t="s">
        <v>454</v>
      </c>
      <c r="E4015" s="217">
        <v>44621</v>
      </c>
      <c r="F4015">
        <v>6835.7089999999998</v>
      </c>
      <c r="G4015" s="227" t="s">
        <v>98</v>
      </c>
    </row>
    <row r="4016" spans="1:7">
      <c r="A4016" s="216">
        <v>44621</v>
      </c>
      <c r="B4016" t="s">
        <v>3</v>
      </c>
      <c r="C4016">
        <v>12</v>
      </c>
      <c r="D4016" t="s">
        <v>454</v>
      </c>
      <c r="E4016" s="217">
        <v>44621</v>
      </c>
      <c r="F4016">
        <v>6422.0140000000001</v>
      </c>
      <c r="G4016" s="227" t="s">
        <v>94</v>
      </c>
    </row>
    <row r="4017" spans="1:7">
      <c r="A4017" s="216">
        <v>44621</v>
      </c>
      <c r="B4017" t="s">
        <v>3</v>
      </c>
      <c r="C4017">
        <v>12</v>
      </c>
      <c r="D4017" t="s">
        <v>454</v>
      </c>
      <c r="E4017" s="217">
        <v>44621</v>
      </c>
      <c r="F4017">
        <v>6163.7969999999896</v>
      </c>
      <c r="G4017" s="227" t="s">
        <v>112</v>
      </c>
    </row>
    <row r="4018" spans="1:7">
      <c r="A4018" s="216">
        <v>44621</v>
      </c>
      <c r="B4018" t="s">
        <v>3</v>
      </c>
      <c r="C4018">
        <v>12</v>
      </c>
      <c r="D4018" t="s">
        <v>454</v>
      </c>
      <c r="E4018" s="217">
        <v>44621</v>
      </c>
      <c r="F4018">
        <v>75835.630999999994</v>
      </c>
      <c r="G4018" s="227" t="s">
        <v>434</v>
      </c>
    </row>
    <row r="4019" spans="1:7">
      <c r="A4019" s="216">
        <v>44621</v>
      </c>
      <c r="B4019" t="s">
        <v>3</v>
      </c>
      <c r="C4019">
        <v>13</v>
      </c>
      <c r="D4019" t="s">
        <v>441</v>
      </c>
      <c r="E4019" s="217">
        <v>44621</v>
      </c>
      <c r="F4019">
        <v>13355.688</v>
      </c>
      <c r="G4019" s="227" t="s">
        <v>80</v>
      </c>
    </row>
    <row r="4020" spans="1:7">
      <c r="A4020" s="216">
        <v>44621</v>
      </c>
      <c r="B4020" t="s">
        <v>3</v>
      </c>
      <c r="C4020">
        <v>13</v>
      </c>
      <c r="D4020" t="s">
        <v>441</v>
      </c>
      <c r="E4020" s="217">
        <v>44621</v>
      </c>
      <c r="F4020">
        <v>13410.807000000001</v>
      </c>
      <c r="G4020" s="227" t="s">
        <v>116</v>
      </c>
    </row>
    <row r="4021" spans="1:7">
      <c r="A4021" s="216">
        <v>44621</v>
      </c>
      <c r="B4021" t="s">
        <v>3</v>
      </c>
      <c r="C4021">
        <v>13</v>
      </c>
      <c r="D4021" t="s">
        <v>441</v>
      </c>
      <c r="E4021" s="217">
        <v>44621</v>
      </c>
      <c r="F4021">
        <v>13509.227999999999</v>
      </c>
      <c r="G4021" s="227" t="s">
        <v>107</v>
      </c>
    </row>
    <row r="4022" spans="1:7">
      <c r="A4022" s="216">
        <v>44621</v>
      </c>
      <c r="B4022" t="s">
        <v>3</v>
      </c>
      <c r="C4022">
        <v>13</v>
      </c>
      <c r="D4022" t="s">
        <v>441</v>
      </c>
      <c r="E4022" s="217">
        <v>44621</v>
      </c>
      <c r="F4022">
        <v>14267.585999999999</v>
      </c>
      <c r="G4022" s="227" t="s">
        <v>102</v>
      </c>
    </row>
    <row r="4023" spans="1:7">
      <c r="A4023" s="216">
        <v>44621</v>
      </c>
      <c r="B4023" t="s">
        <v>3</v>
      </c>
      <c r="C4023">
        <v>13</v>
      </c>
      <c r="D4023" t="s">
        <v>441</v>
      </c>
      <c r="E4023" s="217">
        <v>44621</v>
      </c>
      <c r="F4023">
        <v>14689.236999999999</v>
      </c>
      <c r="G4023" s="227" t="s">
        <v>85</v>
      </c>
    </row>
    <row r="4024" spans="1:7">
      <c r="A4024" s="216">
        <v>44621</v>
      </c>
      <c r="B4024" t="s">
        <v>3</v>
      </c>
      <c r="C4024">
        <v>13</v>
      </c>
      <c r="D4024" t="s">
        <v>441</v>
      </c>
      <c r="E4024" s="217">
        <v>44621</v>
      </c>
      <c r="F4024">
        <v>14864.656999999999</v>
      </c>
      <c r="G4024" s="227" t="s">
        <v>129</v>
      </c>
    </row>
    <row r="4025" spans="1:7">
      <c r="A4025" s="216">
        <v>44621</v>
      </c>
      <c r="B4025" t="s">
        <v>3</v>
      </c>
      <c r="C4025">
        <v>13</v>
      </c>
      <c r="D4025" t="s">
        <v>441</v>
      </c>
      <c r="E4025" s="217">
        <v>44621</v>
      </c>
      <c r="F4025">
        <v>14185.879000000001</v>
      </c>
      <c r="G4025" s="227" t="s">
        <v>125</v>
      </c>
    </row>
    <row r="4026" spans="1:7">
      <c r="A4026" s="216">
        <v>44621</v>
      </c>
      <c r="B4026" t="s">
        <v>3</v>
      </c>
      <c r="C4026">
        <v>13</v>
      </c>
      <c r="D4026" t="s">
        <v>441</v>
      </c>
      <c r="E4026" s="217">
        <v>44621</v>
      </c>
      <c r="F4026">
        <v>14059.081</v>
      </c>
      <c r="G4026" s="227" t="s">
        <v>121</v>
      </c>
    </row>
    <row r="4027" spans="1:7">
      <c r="A4027" s="216">
        <v>44621</v>
      </c>
      <c r="B4027" t="s">
        <v>3</v>
      </c>
      <c r="C4027">
        <v>13</v>
      </c>
      <c r="D4027" t="s">
        <v>441</v>
      </c>
      <c r="E4027" s="217">
        <v>44621</v>
      </c>
      <c r="F4027">
        <v>14370.455</v>
      </c>
      <c r="G4027" s="227" t="s">
        <v>90</v>
      </c>
    </row>
    <row r="4028" spans="1:7">
      <c r="A4028" s="216">
        <v>44621</v>
      </c>
      <c r="B4028" t="s">
        <v>3</v>
      </c>
      <c r="C4028">
        <v>13</v>
      </c>
      <c r="D4028" t="s">
        <v>441</v>
      </c>
      <c r="E4028" s="217">
        <v>44621</v>
      </c>
      <c r="F4028">
        <v>14659.778</v>
      </c>
      <c r="G4028" s="227" t="s">
        <v>98</v>
      </c>
    </row>
    <row r="4029" spans="1:7">
      <c r="A4029" s="216">
        <v>44621</v>
      </c>
      <c r="B4029" t="s">
        <v>3</v>
      </c>
      <c r="C4029">
        <v>13</v>
      </c>
      <c r="D4029" t="s">
        <v>441</v>
      </c>
      <c r="E4029" s="217">
        <v>44621</v>
      </c>
      <c r="F4029">
        <v>13033.494000000001</v>
      </c>
      <c r="G4029" s="227" t="s">
        <v>94</v>
      </c>
    </row>
    <row r="4030" spans="1:7">
      <c r="A4030" s="216">
        <v>44621</v>
      </c>
      <c r="B4030" t="s">
        <v>3</v>
      </c>
      <c r="C4030">
        <v>13</v>
      </c>
      <c r="D4030" t="s">
        <v>441</v>
      </c>
      <c r="E4030" s="217">
        <v>44621</v>
      </c>
      <c r="F4030">
        <v>15937.138000000001</v>
      </c>
      <c r="G4030" s="227" t="s">
        <v>112</v>
      </c>
    </row>
    <row r="4031" spans="1:7">
      <c r="A4031" s="216">
        <v>44621</v>
      </c>
      <c r="B4031" t="s">
        <v>3</v>
      </c>
      <c r="C4031">
        <v>13</v>
      </c>
      <c r="D4031" t="s">
        <v>441</v>
      </c>
      <c r="E4031" s="217">
        <v>44621</v>
      </c>
      <c r="F4031">
        <v>170343.02799999999</v>
      </c>
      <c r="G4031" s="227" t="s">
        <v>434</v>
      </c>
    </row>
    <row r="4032" spans="1:7">
      <c r="A4032" s="216">
        <v>44621</v>
      </c>
      <c r="B4032" t="s">
        <v>3</v>
      </c>
      <c r="C4032">
        <v>14</v>
      </c>
      <c r="D4032" t="s">
        <v>447</v>
      </c>
      <c r="E4032" s="217">
        <v>44621</v>
      </c>
      <c r="F4032">
        <v>0</v>
      </c>
      <c r="G4032" s="227" t="s">
        <v>80</v>
      </c>
    </row>
    <row r="4033" spans="1:7">
      <c r="A4033" s="216">
        <v>44621</v>
      </c>
      <c r="B4033" t="s">
        <v>3</v>
      </c>
      <c r="C4033">
        <v>14</v>
      </c>
      <c r="D4033" t="s">
        <v>447</v>
      </c>
      <c r="E4033" s="217">
        <v>44621</v>
      </c>
      <c r="F4033">
        <v>0</v>
      </c>
      <c r="G4033" s="227" t="s">
        <v>116</v>
      </c>
    </row>
    <row r="4034" spans="1:7">
      <c r="A4034" s="216">
        <v>44621</v>
      </c>
      <c r="B4034" t="s">
        <v>3</v>
      </c>
      <c r="C4034">
        <v>14</v>
      </c>
      <c r="D4034" t="s">
        <v>447</v>
      </c>
      <c r="E4034" s="217">
        <v>44621</v>
      </c>
      <c r="F4034">
        <v>0</v>
      </c>
      <c r="G4034" s="227" t="s">
        <v>107</v>
      </c>
    </row>
    <row r="4035" spans="1:7">
      <c r="A4035" s="216">
        <v>44621</v>
      </c>
      <c r="B4035" t="s">
        <v>3</v>
      </c>
      <c r="C4035">
        <v>14</v>
      </c>
      <c r="D4035" t="s">
        <v>447</v>
      </c>
      <c r="E4035" s="217">
        <v>44621</v>
      </c>
      <c r="F4035">
        <v>0</v>
      </c>
      <c r="G4035" s="227" t="s">
        <v>102</v>
      </c>
    </row>
    <row r="4036" spans="1:7">
      <c r="A4036" s="216">
        <v>44621</v>
      </c>
      <c r="B4036" t="s">
        <v>3</v>
      </c>
      <c r="C4036">
        <v>14</v>
      </c>
      <c r="D4036" t="s">
        <v>447</v>
      </c>
      <c r="E4036" s="217">
        <v>44621</v>
      </c>
      <c r="F4036">
        <v>0</v>
      </c>
      <c r="G4036" s="227" t="s">
        <v>85</v>
      </c>
    </row>
    <row r="4037" spans="1:7">
      <c r="A4037" s="216">
        <v>44621</v>
      </c>
      <c r="B4037" t="s">
        <v>3</v>
      </c>
      <c r="C4037">
        <v>14</v>
      </c>
      <c r="D4037" t="s">
        <v>447</v>
      </c>
      <c r="E4037" s="217">
        <v>44621</v>
      </c>
      <c r="F4037">
        <v>0</v>
      </c>
      <c r="G4037" s="227" t="s">
        <v>129</v>
      </c>
    </row>
    <row r="4038" spans="1:7">
      <c r="A4038" s="216">
        <v>44621</v>
      </c>
      <c r="B4038" t="s">
        <v>3</v>
      </c>
      <c r="C4038">
        <v>14</v>
      </c>
      <c r="D4038" t="s">
        <v>447</v>
      </c>
      <c r="E4038" s="217">
        <v>44621</v>
      </c>
      <c r="F4038">
        <v>0</v>
      </c>
      <c r="G4038" s="227" t="s">
        <v>125</v>
      </c>
    </row>
    <row r="4039" spans="1:7">
      <c r="A4039" s="216">
        <v>44621</v>
      </c>
      <c r="B4039" t="s">
        <v>3</v>
      </c>
      <c r="C4039">
        <v>14</v>
      </c>
      <c r="D4039" t="s">
        <v>447</v>
      </c>
      <c r="E4039" s="217">
        <v>44621</v>
      </c>
      <c r="F4039">
        <v>0</v>
      </c>
      <c r="G4039" s="227" t="s">
        <v>121</v>
      </c>
    </row>
    <row r="4040" spans="1:7">
      <c r="A4040" s="216">
        <v>44621</v>
      </c>
      <c r="B4040" t="s">
        <v>3</v>
      </c>
      <c r="C4040">
        <v>14</v>
      </c>
      <c r="D4040" t="s">
        <v>447</v>
      </c>
      <c r="E4040" s="217">
        <v>44621</v>
      </c>
      <c r="F4040">
        <v>0</v>
      </c>
      <c r="G4040" s="227" t="s">
        <v>90</v>
      </c>
    </row>
    <row r="4041" spans="1:7">
      <c r="A4041" s="216">
        <v>44621</v>
      </c>
      <c r="B4041" t="s">
        <v>3</v>
      </c>
      <c r="C4041">
        <v>14</v>
      </c>
      <c r="D4041" t="s">
        <v>447</v>
      </c>
      <c r="E4041" s="217">
        <v>44621</v>
      </c>
      <c r="F4041">
        <v>0</v>
      </c>
      <c r="G4041" s="227" t="s">
        <v>98</v>
      </c>
    </row>
    <row r="4042" spans="1:7">
      <c r="A4042" s="216">
        <v>44621</v>
      </c>
      <c r="B4042" t="s">
        <v>3</v>
      </c>
      <c r="C4042">
        <v>14</v>
      </c>
      <c r="D4042" t="s">
        <v>447</v>
      </c>
      <c r="E4042" s="217">
        <v>44621</v>
      </c>
      <c r="F4042">
        <v>0</v>
      </c>
      <c r="G4042" s="227" t="s">
        <v>94</v>
      </c>
    </row>
    <row r="4043" spans="1:7">
      <c r="A4043" s="216">
        <v>44621</v>
      </c>
      <c r="B4043" t="s">
        <v>3</v>
      </c>
      <c r="C4043">
        <v>14</v>
      </c>
      <c r="D4043" t="s">
        <v>447</v>
      </c>
      <c r="E4043" s="217">
        <v>44621</v>
      </c>
      <c r="F4043">
        <v>0</v>
      </c>
      <c r="G4043" s="227" t="s">
        <v>112</v>
      </c>
    </row>
    <row r="4044" spans="1:7">
      <c r="A4044" s="216">
        <v>44621</v>
      </c>
      <c r="B4044" t="s">
        <v>3</v>
      </c>
      <c r="C4044">
        <v>14</v>
      </c>
      <c r="D4044" t="s">
        <v>447</v>
      </c>
      <c r="E4044" s="217">
        <v>44621</v>
      </c>
      <c r="F4044">
        <v>0</v>
      </c>
      <c r="G4044" s="227" t="s">
        <v>434</v>
      </c>
    </row>
    <row r="4045" spans="1:7">
      <c r="A4045" s="216">
        <v>44621</v>
      </c>
      <c r="B4045" t="s">
        <v>3</v>
      </c>
      <c r="C4045">
        <v>15</v>
      </c>
      <c r="D4045" t="s">
        <v>437</v>
      </c>
      <c r="E4045" s="217">
        <v>44621</v>
      </c>
      <c r="F4045">
        <v>5248.7579999999998</v>
      </c>
      <c r="G4045" s="227" t="s">
        <v>80</v>
      </c>
    </row>
    <row r="4046" spans="1:7">
      <c r="A4046" s="216">
        <v>44621</v>
      </c>
      <c r="B4046" t="s">
        <v>3</v>
      </c>
      <c r="C4046">
        <v>15</v>
      </c>
      <c r="D4046" t="s">
        <v>437</v>
      </c>
      <c r="E4046" s="217">
        <v>44621</v>
      </c>
      <c r="F4046">
        <v>5180.8670000000002</v>
      </c>
      <c r="G4046" s="227" t="s">
        <v>116</v>
      </c>
    </row>
    <row r="4047" spans="1:7">
      <c r="A4047" s="216">
        <v>44621</v>
      </c>
      <c r="B4047" t="s">
        <v>3</v>
      </c>
      <c r="C4047">
        <v>15</v>
      </c>
      <c r="D4047" t="s">
        <v>437</v>
      </c>
      <c r="E4047" s="217">
        <v>44621</v>
      </c>
      <c r="F4047">
        <v>4923.6499999999996</v>
      </c>
      <c r="G4047" s="227" t="s">
        <v>107</v>
      </c>
    </row>
    <row r="4048" spans="1:7">
      <c r="A4048" s="216">
        <v>44621</v>
      </c>
      <c r="B4048" t="s">
        <v>3</v>
      </c>
      <c r="C4048">
        <v>15</v>
      </c>
      <c r="D4048" t="s">
        <v>437</v>
      </c>
      <c r="E4048" s="217">
        <v>44621</v>
      </c>
      <c r="F4048">
        <v>5190.9350000000004</v>
      </c>
      <c r="G4048" s="227" t="s">
        <v>102</v>
      </c>
    </row>
    <row r="4049" spans="1:7">
      <c r="A4049" s="216">
        <v>44621</v>
      </c>
      <c r="B4049" t="s">
        <v>3</v>
      </c>
      <c r="C4049">
        <v>15</v>
      </c>
      <c r="D4049" t="s">
        <v>437</v>
      </c>
      <c r="E4049" s="217">
        <v>44621</v>
      </c>
      <c r="F4049">
        <v>5108.1009999999997</v>
      </c>
      <c r="G4049" s="227" t="s">
        <v>85</v>
      </c>
    </row>
    <row r="4050" spans="1:7">
      <c r="A4050" s="216">
        <v>44621</v>
      </c>
      <c r="B4050" t="s">
        <v>3</v>
      </c>
      <c r="C4050">
        <v>15</v>
      </c>
      <c r="D4050" t="s">
        <v>437</v>
      </c>
      <c r="E4050" s="217">
        <v>44621</v>
      </c>
      <c r="F4050">
        <v>5522.2120000000004</v>
      </c>
      <c r="G4050" s="227" t="s">
        <v>129</v>
      </c>
    </row>
    <row r="4051" spans="1:7">
      <c r="A4051" s="216">
        <v>44621</v>
      </c>
      <c r="B4051" t="s">
        <v>3</v>
      </c>
      <c r="C4051">
        <v>15</v>
      </c>
      <c r="D4051" t="s">
        <v>437</v>
      </c>
      <c r="E4051" s="217">
        <v>44621</v>
      </c>
      <c r="F4051">
        <v>5579.6769999999997</v>
      </c>
      <c r="G4051" s="227" t="s">
        <v>125</v>
      </c>
    </row>
    <row r="4052" spans="1:7">
      <c r="A4052" s="216">
        <v>44621</v>
      </c>
      <c r="B4052" t="s">
        <v>3</v>
      </c>
      <c r="C4052">
        <v>15</v>
      </c>
      <c r="D4052" t="s">
        <v>437</v>
      </c>
      <c r="E4052" s="217">
        <v>44621</v>
      </c>
      <c r="F4052">
        <v>5296.3770000000004</v>
      </c>
      <c r="G4052" s="227" t="s">
        <v>121</v>
      </c>
    </row>
    <row r="4053" spans="1:7">
      <c r="A4053" s="216">
        <v>44621</v>
      </c>
      <c r="B4053" t="s">
        <v>3</v>
      </c>
      <c r="C4053">
        <v>15</v>
      </c>
      <c r="D4053" t="s">
        <v>437</v>
      </c>
      <c r="E4053" s="217">
        <v>44621</v>
      </c>
      <c r="F4053">
        <v>6124.9080000000004</v>
      </c>
      <c r="G4053" s="227" t="s">
        <v>90</v>
      </c>
    </row>
    <row r="4054" spans="1:7">
      <c r="A4054" s="216">
        <v>44621</v>
      </c>
      <c r="B4054" t="s">
        <v>3</v>
      </c>
      <c r="C4054">
        <v>15</v>
      </c>
      <c r="D4054" t="s">
        <v>437</v>
      </c>
      <c r="E4054" s="217">
        <v>44621</v>
      </c>
      <c r="F4054">
        <v>5312.2749999999996</v>
      </c>
      <c r="G4054" s="227" t="s">
        <v>98</v>
      </c>
    </row>
    <row r="4055" spans="1:7">
      <c r="A4055" s="216">
        <v>44621</v>
      </c>
      <c r="B4055" t="s">
        <v>3</v>
      </c>
      <c r="C4055">
        <v>15</v>
      </c>
      <c r="D4055" t="s">
        <v>437</v>
      </c>
      <c r="E4055" s="217">
        <v>44621</v>
      </c>
      <c r="F4055">
        <v>6317.2160000000003</v>
      </c>
      <c r="G4055" s="227" t="s">
        <v>94</v>
      </c>
    </row>
    <row r="4056" spans="1:7">
      <c r="A4056" s="216">
        <v>44621</v>
      </c>
      <c r="B4056" t="s">
        <v>3</v>
      </c>
      <c r="C4056">
        <v>15</v>
      </c>
      <c r="D4056" t="s">
        <v>437</v>
      </c>
      <c r="E4056" s="217">
        <v>44621</v>
      </c>
      <c r="F4056">
        <v>8562.6219999999994</v>
      </c>
      <c r="G4056" s="227" t="s">
        <v>112</v>
      </c>
    </row>
    <row r="4057" spans="1:7">
      <c r="A4057" s="216">
        <v>44621</v>
      </c>
      <c r="B4057" t="s">
        <v>3</v>
      </c>
      <c r="C4057">
        <v>15</v>
      </c>
      <c r="D4057" t="s">
        <v>437</v>
      </c>
      <c r="E4057" s="217">
        <v>44621</v>
      </c>
      <c r="F4057">
        <v>68367.597999999998</v>
      </c>
      <c r="G4057" s="227" t="s">
        <v>434</v>
      </c>
    </row>
    <row r="4058" spans="1:7">
      <c r="A4058" s="216">
        <v>44621</v>
      </c>
      <c r="B4058" t="s">
        <v>49</v>
      </c>
      <c r="C4058">
        <v>7</v>
      </c>
      <c r="D4058" t="s">
        <v>442</v>
      </c>
      <c r="E4058" s="217">
        <v>44621</v>
      </c>
      <c r="F4058">
        <v>12864.0603333333</v>
      </c>
      <c r="G4058" s="227" t="s">
        <v>80</v>
      </c>
    </row>
    <row r="4059" spans="1:7">
      <c r="A4059" s="216">
        <v>44621</v>
      </c>
      <c r="B4059" t="s">
        <v>49</v>
      </c>
      <c r="C4059">
        <v>7</v>
      </c>
      <c r="D4059" t="s">
        <v>442</v>
      </c>
      <c r="E4059" s="217">
        <v>44621</v>
      </c>
      <c r="F4059">
        <v>13539.667173333301</v>
      </c>
      <c r="G4059" s="227" t="s">
        <v>116</v>
      </c>
    </row>
    <row r="4060" spans="1:7">
      <c r="A4060" s="216">
        <v>44621</v>
      </c>
      <c r="B4060" t="s">
        <v>49</v>
      </c>
      <c r="C4060">
        <v>7</v>
      </c>
      <c r="D4060" t="s">
        <v>442</v>
      </c>
      <c r="E4060" s="217">
        <v>44621</v>
      </c>
      <c r="F4060">
        <v>12942.6673333333</v>
      </c>
      <c r="G4060" s="227" t="s">
        <v>107</v>
      </c>
    </row>
    <row r="4061" spans="1:7">
      <c r="A4061" s="216">
        <v>44621</v>
      </c>
      <c r="B4061" t="s">
        <v>49</v>
      </c>
      <c r="C4061">
        <v>7</v>
      </c>
      <c r="D4061" t="s">
        <v>442</v>
      </c>
      <c r="E4061" s="217">
        <v>44621</v>
      </c>
      <c r="F4061">
        <v>12715.658160000001</v>
      </c>
      <c r="G4061" s="227" t="s">
        <v>102</v>
      </c>
    </row>
    <row r="4062" spans="1:7">
      <c r="A4062" s="216">
        <v>44621</v>
      </c>
      <c r="B4062" t="s">
        <v>49</v>
      </c>
      <c r="C4062">
        <v>7</v>
      </c>
      <c r="D4062" t="s">
        <v>442</v>
      </c>
      <c r="E4062" s="217">
        <v>44621</v>
      </c>
      <c r="F4062">
        <v>13947.423000000001</v>
      </c>
      <c r="G4062" s="227" t="s">
        <v>85</v>
      </c>
    </row>
    <row r="4063" spans="1:7">
      <c r="A4063" s="216">
        <v>44621</v>
      </c>
      <c r="B4063" t="s">
        <v>49</v>
      </c>
      <c r="C4063">
        <v>7</v>
      </c>
      <c r="D4063" t="s">
        <v>442</v>
      </c>
      <c r="E4063" s="217">
        <v>44621</v>
      </c>
      <c r="F4063">
        <v>14064.468000000001</v>
      </c>
      <c r="G4063" s="227" t="s">
        <v>129</v>
      </c>
    </row>
    <row r="4064" spans="1:7">
      <c r="A4064" s="216">
        <v>44621</v>
      </c>
      <c r="B4064" t="s">
        <v>49</v>
      </c>
      <c r="C4064">
        <v>7</v>
      </c>
      <c r="D4064" t="s">
        <v>442</v>
      </c>
      <c r="E4064" s="217">
        <v>44621</v>
      </c>
      <c r="F4064">
        <v>13082.546609999999</v>
      </c>
      <c r="G4064" s="227" t="s">
        <v>125</v>
      </c>
    </row>
    <row r="4065" spans="1:7">
      <c r="A4065" s="216">
        <v>44621</v>
      </c>
      <c r="B4065" t="s">
        <v>49</v>
      </c>
      <c r="C4065">
        <v>7</v>
      </c>
      <c r="D4065" t="s">
        <v>442</v>
      </c>
      <c r="E4065" s="217">
        <v>44621</v>
      </c>
      <c r="F4065">
        <v>13802.331</v>
      </c>
      <c r="G4065" s="227" t="s">
        <v>121</v>
      </c>
    </row>
    <row r="4066" spans="1:7">
      <c r="A4066" s="216">
        <v>44621</v>
      </c>
      <c r="B4066" t="s">
        <v>49</v>
      </c>
      <c r="C4066">
        <v>7</v>
      </c>
      <c r="D4066" t="s">
        <v>442</v>
      </c>
      <c r="E4066" s="217">
        <v>44621</v>
      </c>
      <c r="F4066">
        <v>13897.325999999999</v>
      </c>
      <c r="G4066" s="227" t="s">
        <v>90</v>
      </c>
    </row>
    <row r="4067" spans="1:7">
      <c r="A4067" s="216">
        <v>44621</v>
      </c>
      <c r="B4067" t="s">
        <v>49</v>
      </c>
      <c r="C4067">
        <v>7</v>
      </c>
      <c r="D4067" t="s">
        <v>442</v>
      </c>
      <c r="E4067" s="217">
        <v>44621</v>
      </c>
      <c r="F4067">
        <v>13600</v>
      </c>
      <c r="G4067" s="227" t="s">
        <v>98</v>
      </c>
    </row>
    <row r="4068" spans="1:7">
      <c r="A4068" s="216">
        <v>44621</v>
      </c>
      <c r="B4068" t="s">
        <v>49</v>
      </c>
      <c r="C4068">
        <v>7</v>
      </c>
      <c r="D4068" t="s">
        <v>442</v>
      </c>
      <c r="E4068" s="217">
        <v>44621</v>
      </c>
      <c r="F4068">
        <v>14267.10483</v>
      </c>
      <c r="G4068" s="227" t="s">
        <v>94</v>
      </c>
    </row>
    <row r="4069" spans="1:7">
      <c r="A4069" s="216">
        <v>44621</v>
      </c>
      <c r="B4069" t="s">
        <v>49</v>
      </c>
      <c r="C4069">
        <v>7</v>
      </c>
      <c r="D4069" t="s">
        <v>442</v>
      </c>
      <c r="E4069" s="217">
        <v>44621</v>
      </c>
      <c r="F4069">
        <v>22899.280429999999</v>
      </c>
      <c r="G4069" s="227" t="s">
        <v>112</v>
      </c>
    </row>
    <row r="4070" spans="1:7">
      <c r="A4070" s="216">
        <v>44621</v>
      </c>
      <c r="B4070" t="s">
        <v>49</v>
      </c>
      <c r="C4070">
        <v>7</v>
      </c>
      <c r="D4070" t="s">
        <v>442</v>
      </c>
      <c r="E4070" s="217">
        <v>44621</v>
      </c>
      <c r="F4070">
        <v>171622.53287</v>
      </c>
      <c r="G4070" s="227" t="s">
        <v>434</v>
      </c>
    </row>
    <row r="4071" spans="1:7">
      <c r="A4071" s="216">
        <v>44621</v>
      </c>
      <c r="B4071" t="s">
        <v>49</v>
      </c>
      <c r="C4071">
        <v>8</v>
      </c>
      <c r="D4071" t="s">
        <v>451</v>
      </c>
      <c r="E4071" s="217">
        <v>44621</v>
      </c>
      <c r="F4071">
        <v>0</v>
      </c>
      <c r="G4071" s="227" t="s">
        <v>80</v>
      </c>
    </row>
    <row r="4072" spans="1:7">
      <c r="A4072" s="216">
        <v>44621</v>
      </c>
      <c r="B4072" t="s">
        <v>49</v>
      </c>
      <c r="C4072">
        <v>8</v>
      </c>
      <c r="D4072" t="s">
        <v>451</v>
      </c>
      <c r="E4072" s="217">
        <v>44621</v>
      </c>
      <c r="F4072">
        <v>0</v>
      </c>
      <c r="G4072" s="227" t="s">
        <v>116</v>
      </c>
    </row>
    <row r="4073" spans="1:7">
      <c r="A4073" s="216">
        <v>44621</v>
      </c>
      <c r="B4073" t="s">
        <v>49</v>
      </c>
      <c r="C4073">
        <v>8</v>
      </c>
      <c r="D4073" t="s">
        <v>451</v>
      </c>
      <c r="E4073" s="217">
        <v>44621</v>
      </c>
      <c r="F4073">
        <v>0</v>
      </c>
      <c r="G4073" s="227" t="s">
        <v>107</v>
      </c>
    </row>
    <row r="4074" spans="1:7">
      <c r="A4074" s="216">
        <v>44621</v>
      </c>
      <c r="B4074" t="s">
        <v>49</v>
      </c>
      <c r="C4074">
        <v>8</v>
      </c>
      <c r="D4074" t="s">
        <v>451</v>
      </c>
      <c r="E4074" s="217">
        <v>44621</v>
      </c>
      <c r="F4074">
        <v>0</v>
      </c>
      <c r="G4074" s="227" t="s">
        <v>102</v>
      </c>
    </row>
    <row r="4075" spans="1:7">
      <c r="A4075" s="216">
        <v>44621</v>
      </c>
      <c r="B4075" t="s">
        <v>49</v>
      </c>
      <c r="C4075">
        <v>8</v>
      </c>
      <c r="D4075" t="s">
        <v>451</v>
      </c>
      <c r="E4075" s="217">
        <v>44621</v>
      </c>
      <c r="F4075">
        <v>0</v>
      </c>
      <c r="G4075" s="227" t="s">
        <v>85</v>
      </c>
    </row>
    <row r="4076" spans="1:7">
      <c r="A4076" s="216">
        <v>44621</v>
      </c>
      <c r="B4076" t="s">
        <v>49</v>
      </c>
      <c r="C4076">
        <v>8</v>
      </c>
      <c r="D4076" t="s">
        <v>451</v>
      </c>
      <c r="E4076" s="217">
        <v>44621</v>
      </c>
      <c r="F4076">
        <v>0</v>
      </c>
      <c r="G4076" s="227" t="s">
        <v>129</v>
      </c>
    </row>
    <row r="4077" spans="1:7">
      <c r="A4077" s="216">
        <v>44621</v>
      </c>
      <c r="B4077" t="s">
        <v>49</v>
      </c>
      <c r="C4077">
        <v>8</v>
      </c>
      <c r="D4077" t="s">
        <v>451</v>
      </c>
      <c r="E4077" s="217">
        <v>44621</v>
      </c>
      <c r="F4077">
        <v>0</v>
      </c>
      <c r="G4077" s="227" t="s">
        <v>125</v>
      </c>
    </row>
    <row r="4078" spans="1:7">
      <c r="A4078" s="216">
        <v>44621</v>
      </c>
      <c r="B4078" t="s">
        <v>49</v>
      </c>
      <c r="C4078">
        <v>8</v>
      </c>
      <c r="D4078" t="s">
        <v>451</v>
      </c>
      <c r="E4078" s="217">
        <v>44621</v>
      </c>
      <c r="F4078">
        <v>0</v>
      </c>
      <c r="G4078" s="227" t="s">
        <v>121</v>
      </c>
    </row>
    <row r="4079" spans="1:7">
      <c r="A4079" s="216">
        <v>44621</v>
      </c>
      <c r="B4079" t="s">
        <v>49</v>
      </c>
      <c r="C4079">
        <v>8</v>
      </c>
      <c r="D4079" t="s">
        <v>451</v>
      </c>
      <c r="E4079" s="217">
        <v>44621</v>
      </c>
      <c r="F4079">
        <v>0</v>
      </c>
      <c r="G4079" s="227" t="s">
        <v>90</v>
      </c>
    </row>
    <row r="4080" spans="1:7">
      <c r="A4080" s="216">
        <v>44621</v>
      </c>
      <c r="B4080" t="s">
        <v>49</v>
      </c>
      <c r="C4080">
        <v>8</v>
      </c>
      <c r="D4080" t="s">
        <v>451</v>
      </c>
      <c r="E4080" s="217">
        <v>44621</v>
      </c>
      <c r="F4080">
        <v>0</v>
      </c>
      <c r="G4080" s="227" t="s">
        <v>98</v>
      </c>
    </row>
    <row r="4081" spans="1:7">
      <c r="A4081" s="216">
        <v>44621</v>
      </c>
      <c r="B4081" t="s">
        <v>49</v>
      </c>
      <c r="C4081">
        <v>8</v>
      </c>
      <c r="D4081" t="s">
        <v>451</v>
      </c>
      <c r="E4081" s="217">
        <v>44621</v>
      </c>
      <c r="F4081">
        <v>0</v>
      </c>
      <c r="G4081" s="227" t="s">
        <v>94</v>
      </c>
    </row>
    <row r="4082" spans="1:7">
      <c r="A4082" s="216">
        <v>44621</v>
      </c>
      <c r="B4082" t="s">
        <v>49</v>
      </c>
      <c r="C4082">
        <v>8</v>
      </c>
      <c r="D4082" t="s">
        <v>451</v>
      </c>
      <c r="E4082" s="217">
        <v>44621</v>
      </c>
      <c r="F4082">
        <v>0</v>
      </c>
      <c r="G4082" s="227" t="s">
        <v>112</v>
      </c>
    </row>
    <row r="4083" spans="1:7">
      <c r="A4083" s="216">
        <v>44621</v>
      </c>
      <c r="B4083" t="s">
        <v>49</v>
      </c>
      <c r="C4083">
        <v>8</v>
      </c>
      <c r="D4083" t="s">
        <v>451</v>
      </c>
      <c r="E4083" s="217">
        <v>44621</v>
      </c>
      <c r="F4083">
        <v>0</v>
      </c>
      <c r="G4083" s="227" t="s">
        <v>434</v>
      </c>
    </row>
    <row r="4084" spans="1:7">
      <c r="A4084" s="216">
        <v>44621</v>
      </c>
      <c r="B4084" t="s">
        <v>49</v>
      </c>
      <c r="C4084">
        <v>9</v>
      </c>
      <c r="D4084" t="s">
        <v>450</v>
      </c>
      <c r="E4084" s="217">
        <v>44621</v>
      </c>
      <c r="F4084">
        <v>0</v>
      </c>
      <c r="G4084" s="227" t="s">
        <v>80</v>
      </c>
    </row>
    <row r="4085" spans="1:7">
      <c r="A4085" s="216">
        <v>44621</v>
      </c>
      <c r="B4085" t="s">
        <v>49</v>
      </c>
      <c r="C4085">
        <v>9</v>
      </c>
      <c r="D4085" t="s">
        <v>450</v>
      </c>
      <c r="E4085" s="217">
        <v>44621</v>
      </c>
      <c r="F4085">
        <v>0</v>
      </c>
      <c r="G4085" s="227" t="s">
        <v>116</v>
      </c>
    </row>
    <row r="4086" spans="1:7">
      <c r="A4086" s="216">
        <v>44621</v>
      </c>
      <c r="B4086" t="s">
        <v>49</v>
      </c>
      <c r="C4086">
        <v>9</v>
      </c>
      <c r="D4086" t="s">
        <v>450</v>
      </c>
      <c r="E4086" s="217">
        <v>44621</v>
      </c>
      <c r="F4086">
        <v>0</v>
      </c>
      <c r="G4086" s="227" t="s">
        <v>107</v>
      </c>
    </row>
    <row r="4087" spans="1:7">
      <c r="A4087" s="216">
        <v>44621</v>
      </c>
      <c r="B4087" t="s">
        <v>49</v>
      </c>
      <c r="C4087">
        <v>9</v>
      </c>
      <c r="D4087" t="s">
        <v>450</v>
      </c>
      <c r="E4087" s="217">
        <v>44621</v>
      </c>
      <c r="F4087">
        <v>0</v>
      </c>
      <c r="G4087" s="227" t="s">
        <v>102</v>
      </c>
    </row>
    <row r="4088" spans="1:7">
      <c r="A4088" s="216">
        <v>44621</v>
      </c>
      <c r="B4088" t="s">
        <v>49</v>
      </c>
      <c r="C4088">
        <v>9</v>
      </c>
      <c r="D4088" t="s">
        <v>450</v>
      </c>
      <c r="E4088" s="217">
        <v>44621</v>
      </c>
      <c r="F4088">
        <v>0</v>
      </c>
      <c r="G4088" s="227" t="s">
        <v>85</v>
      </c>
    </row>
    <row r="4089" spans="1:7">
      <c r="A4089" s="216">
        <v>44621</v>
      </c>
      <c r="B4089" t="s">
        <v>49</v>
      </c>
      <c r="C4089">
        <v>9</v>
      </c>
      <c r="D4089" t="s">
        <v>450</v>
      </c>
      <c r="E4089" s="217">
        <v>44621</v>
      </c>
      <c r="F4089">
        <v>0</v>
      </c>
      <c r="G4089" s="227" t="s">
        <v>129</v>
      </c>
    </row>
    <row r="4090" spans="1:7">
      <c r="A4090" s="216">
        <v>44621</v>
      </c>
      <c r="B4090" t="s">
        <v>49</v>
      </c>
      <c r="C4090">
        <v>9</v>
      </c>
      <c r="D4090" t="s">
        <v>450</v>
      </c>
      <c r="E4090" s="217">
        <v>44621</v>
      </c>
      <c r="F4090">
        <v>0</v>
      </c>
      <c r="G4090" s="227" t="s">
        <v>125</v>
      </c>
    </row>
    <row r="4091" spans="1:7">
      <c r="A4091" s="216">
        <v>44621</v>
      </c>
      <c r="B4091" t="s">
        <v>49</v>
      </c>
      <c r="C4091">
        <v>9</v>
      </c>
      <c r="D4091" t="s">
        <v>450</v>
      </c>
      <c r="E4091" s="217">
        <v>44621</v>
      </c>
      <c r="F4091">
        <v>0</v>
      </c>
      <c r="G4091" s="227" t="s">
        <v>121</v>
      </c>
    </row>
    <row r="4092" spans="1:7">
      <c r="A4092" s="216">
        <v>44621</v>
      </c>
      <c r="B4092" t="s">
        <v>49</v>
      </c>
      <c r="C4092">
        <v>9</v>
      </c>
      <c r="D4092" t="s">
        <v>450</v>
      </c>
      <c r="E4092" s="217">
        <v>44621</v>
      </c>
      <c r="F4092">
        <v>0</v>
      </c>
      <c r="G4092" s="227" t="s">
        <v>90</v>
      </c>
    </row>
    <row r="4093" spans="1:7">
      <c r="A4093" s="216">
        <v>44621</v>
      </c>
      <c r="B4093" t="s">
        <v>49</v>
      </c>
      <c r="C4093">
        <v>9</v>
      </c>
      <c r="D4093" t="s">
        <v>450</v>
      </c>
      <c r="E4093" s="217">
        <v>44621</v>
      </c>
      <c r="F4093">
        <v>0</v>
      </c>
      <c r="G4093" s="227" t="s">
        <v>98</v>
      </c>
    </row>
    <row r="4094" spans="1:7">
      <c r="A4094" s="216">
        <v>44621</v>
      </c>
      <c r="B4094" t="s">
        <v>49</v>
      </c>
      <c r="C4094">
        <v>9</v>
      </c>
      <c r="D4094" t="s">
        <v>450</v>
      </c>
      <c r="E4094" s="217">
        <v>44621</v>
      </c>
      <c r="F4094">
        <v>0</v>
      </c>
      <c r="G4094" s="227" t="s">
        <v>94</v>
      </c>
    </row>
    <row r="4095" spans="1:7">
      <c r="A4095" s="216">
        <v>44621</v>
      </c>
      <c r="B4095" t="s">
        <v>49</v>
      </c>
      <c r="C4095">
        <v>9</v>
      </c>
      <c r="D4095" t="s">
        <v>450</v>
      </c>
      <c r="E4095" s="217">
        <v>44621</v>
      </c>
      <c r="F4095">
        <v>0</v>
      </c>
      <c r="G4095" s="227" t="s">
        <v>112</v>
      </c>
    </row>
    <row r="4096" spans="1:7">
      <c r="A4096" s="216">
        <v>44621</v>
      </c>
      <c r="B4096" t="s">
        <v>49</v>
      </c>
      <c r="C4096">
        <v>9</v>
      </c>
      <c r="D4096" t="s">
        <v>450</v>
      </c>
      <c r="E4096" s="217">
        <v>44621</v>
      </c>
      <c r="F4096">
        <v>0</v>
      </c>
      <c r="G4096" s="227" t="s">
        <v>434</v>
      </c>
    </row>
    <row r="4097" spans="1:7">
      <c r="A4097" s="216">
        <v>44621</v>
      </c>
      <c r="B4097" t="s">
        <v>49</v>
      </c>
      <c r="C4097">
        <v>10</v>
      </c>
      <c r="D4097" t="s">
        <v>433</v>
      </c>
      <c r="E4097" s="217">
        <v>44621</v>
      </c>
      <c r="F4097">
        <v>5681.482</v>
      </c>
      <c r="G4097" s="227" t="s">
        <v>80</v>
      </c>
    </row>
    <row r="4098" spans="1:7">
      <c r="A4098" s="216">
        <v>44621</v>
      </c>
      <c r="B4098" t="s">
        <v>49</v>
      </c>
      <c r="C4098">
        <v>10</v>
      </c>
      <c r="D4098" t="s">
        <v>433</v>
      </c>
      <c r="E4098" s="217">
        <v>44621</v>
      </c>
      <c r="F4098">
        <v>5760</v>
      </c>
      <c r="G4098" s="227" t="s">
        <v>116</v>
      </c>
    </row>
    <row r="4099" spans="1:7">
      <c r="A4099" s="216">
        <v>44621</v>
      </c>
      <c r="B4099" t="s">
        <v>49</v>
      </c>
      <c r="C4099">
        <v>10</v>
      </c>
      <c r="D4099" t="s">
        <v>433</v>
      </c>
      <c r="E4099" s="217">
        <v>44621</v>
      </c>
      <c r="F4099">
        <v>5749.4080000000004</v>
      </c>
      <c r="G4099" s="227" t="s">
        <v>107</v>
      </c>
    </row>
    <row r="4100" spans="1:7">
      <c r="A4100" s="216">
        <v>44621</v>
      </c>
      <c r="B4100" t="s">
        <v>49</v>
      </c>
      <c r="C4100">
        <v>10</v>
      </c>
      <c r="D4100" t="s">
        <v>433</v>
      </c>
      <c r="E4100" s="217">
        <v>44621</v>
      </c>
      <c r="F4100">
        <v>5585.3578900000002</v>
      </c>
      <c r="G4100" s="227" t="s">
        <v>102</v>
      </c>
    </row>
    <row r="4101" spans="1:7">
      <c r="A4101" s="216">
        <v>44621</v>
      </c>
      <c r="B4101" t="s">
        <v>49</v>
      </c>
      <c r="C4101">
        <v>10</v>
      </c>
      <c r="D4101" t="s">
        <v>433</v>
      </c>
      <c r="E4101" s="217">
        <v>44621</v>
      </c>
      <c r="F4101">
        <v>5965.0128077777799</v>
      </c>
      <c r="G4101" s="227" t="s">
        <v>85</v>
      </c>
    </row>
    <row r="4102" spans="1:7">
      <c r="A4102" s="216">
        <v>44621</v>
      </c>
      <c r="B4102" t="s">
        <v>49</v>
      </c>
      <c r="C4102">
        <v>10</v>
      </c>
      <c r="D4102" t="s">
        <v>433</v>
      </c>
      <c r="E4102" s="217">
        <v>44621</v>
      </c>
      <c r="F4102">
        <v>6770</v>
      </c>
      <c r="G4102" s="227" t="s">
        <v>129</v>
      </c>
    </row>
    <row r="4103" spans="1:7">
      <c r="A4103" s="216">
        <v>44621</v>
      </c>
      <c r="B4103" t="s">
        <v>49</v>
      </c>
      <c r="C4103">
        <v>10</v>
      </c>
      <c r="D4103" t="s">
        <v>433</v>
      </c>
      <c r="E4103" s="217">
        <v>44621</v>
      </c>
      <c r="F4103">
        <v>5960.9709999999995</v>
      </c>
      <c r="G4103" s="227" t="s">
        <v>125</v>
      </c>
    </row>
    <row r="4104" spans="1:7">
      <c r="A4104" s="216">
        <v>44621</v>
      </c>
      <c r="B4104" t="s">
        <v>49</v>
      </c>
      <c r="C4104">
        <v>10</v>
      </c>
      <c r="D4104" t="s">
        <v>433</v>
      </c>
      <c r="E4104" s="217">
        <v>44621</v>
      </c>
      <c r="F4104">
        <v>6026.9560000000001</v>
      </c>
      <c r="G4104" s="227" t="s">
        <v>121</v>
      </c>
    </row>
    <row r="4105" spans="1:7">
      <c r="A4105" s="216">
        <v>44621</v>
      </c>
      <c r="B4105" t="s">
        <v>49</v>
      </c>
      <c r="C4105">
        <v>10</v>
      </c>
      <c r="D4105" t="s">
        <v>433</v>
      </c>
      <c r="E4105" s="217">
        <v>44621</v>
      </c>
      <c r="F4105">
        <v>5755.9369999999999</v>
      </c>
      <c r="G4105" s="227" t="s">
        <v>90</v>
      </c>
    </row>
    <row r="4106" spans="1:7">
      <c r="A4106" s="216">
        <v>44621</v>
      </c>
      <c r="B4106" t="s">
        <v>49</v>
      </c>
      <c r="C4106">
        <v>10</v>
      </c>
      <c r="D4106" t="s">
        <v>433</v>
      </c>
      <c r="E4106" s="217">
        <v>44621</v>
      </c>
      <c r="F4106">
        <v>6191</v>
      </c>
      <c r="G4106" s="227" t="s">
        <v>98</v>
      </c>
    </row>
    <row r="4107" spans="1:7">
      <c r="A4107" s="216">
        <v>44621</v>
      </c>
      <c r="B4107" t="s">
        <v>49</v>
      </c>
      <c r="C4107">
        <v>10</v>
      </c>
      <c r="D4107" t="s">
        <v>433</v>
      </c>
      <c r="E4107" s="217">
        <v>44621</v>
      </c>
      <c r="F4107">
        <v>5889</v>
      </c>
      <c r="G4107" s="227" t="s">
        <v>94</v>
      </c>
    </row>
    <row r="4108" spans="1:7">
      <c r="A4108" s="216">
        <v>44621</v>
      </c>
      <c r="B4108" t="s">
        <v>49</v>
      </c>
      <c r="C4108">
        <v>10</v>
      </c>
      <c r="D4108" t="s">
        <v>433</v>
      </c>
      <c r="E4108" s="217">
        <v>44621</v>
      </c>
      <c r="F4108">
        <v>10257</v>
      </c>
      <c r="G4108" s="227" t="s">
        <v>112</v>
      </c>
    </row>
    <row r="4109" spans="1:7">
      <c r="A4109" s="216">
        <v>44621</v>
      </c>
      <c r="B4109" t="s">
        <v>49</v>
      </c>
      <c r="C4109">
        <v>10</v>
      </c>
      <c r="D4109" t="s">
        <v>433</v>
      </c>
      <c r="E4109" s="217">
        <v>44621</v>
      </c>
      <c r="F4109">
        <v>75592.124697777806</v>
      </c>
      <c r="G4109" s="227" t="s">
        <v>434</v>
      </c>
    </row>
    <row r="4110" spans="1:7">
      <c r="A4110" s="216">
        <v>44621</v>
      </c>
      <c r="B4110" t="s">
        <v>49</v>
      </c>
      <c r="C4110">
        <v>11</v>
      </c>
      <c r="D4110" t="s">
        <v>445</v>
      </c>
      <c r="E4110" s="217">
        <v>44621</v>
      </c>
      <c r="F4110">
        <v>2685</v>
      </c>
      <c r="G4110" s="227" t="s">
        <v>80</v>
      </c>
    </row>
    <row r="4111" spans="1:7">
      <c r="A4111" s="216">
        <v>44621</v>
      </c>
      <c r="B4111" t="s">
        <v>49</v>
      </c>
      <c r="C4111">
        <v>11</v>
      </c>
      <c r="D4111" t="s">
        <v>445</v>
      </c>
      <c r="E4111" s="217">
        <v>44621</v>
      </c>
      <c r="F4111">
        <v>2927.5</v>
      </c>
      <c r="G4111" s="227" t="s">
        <v>116</v>
      </c>
    </row>
    <row r="4112" spans="1:7">
      <c r="A4112" s="216">
        <v>44621</v>
      </c>
      <c r="B4112" t="s">
        <v>49</v>
      </c>
      <c r="C4112">
        <v>11</v>
      </c>
      <c r="D4112" t="s">
        <v>445</v>
      </c>
      <c r="E4112" s="217">
        <v>44621</v>
      </c>
      <c r="F4112">
        <v>3188.5</v>
      </c>
      <c r="G4112" s="227" t="s">
        <v>107</v>
      </c>
    </row>
    <row r="4113" spans="1:7">
      <c r="A4113" s="216">
        <v>44621</v>
      </c>
      <c r="B4113" t="s">
        <v>49</v>
      </c>
      <c r="C4113">
        <v>11</v>
      </c>
      <c r="D4113" t="s">
        <v>445</v>
      </c>
      <c r="E4113" s="217">
        <v>44621</v>
      </c>
      <c r="F4113">
        <v>2864.45</v>
      </c>
      <c r="G4113" s="227" t="s">
        <v>102</v>
      </c>
    </row>
    <row r="4114" spans="1:7">
      <c r="A4114" s="216">
        <v>44621</v>
      </c>
      <c r="B4114" t="s">
        <v>49</v>
      </c>
      <c r="C4114">
        <v>11</v>
      </c>
      <c r="D4114" t="s">
        <v>445</v>
      </c>
      <c r="E4114" s="217">
        <v>44621</v>
      </c>
      <c r="F4114">
        <v>3157.45</v>
      </c>
      <c r="G4114" s="227" t="s">
        <v>85</v>
      </c>
    </row>
    <row r="4115" spans="1:7">
      <c r="A4115" s="216">
        <v>44621</v>
      </c>
      <c r="B4115" t="s">
        <v>49</v>
      </c>
      <c r="C4115">
        <v>11</v>
      </c>
      <c r="D4115" t="s">
        <v>445</v>
      </c>
      <c r="E4115" s="217">
        <v>44621</v>
      </c>
      <c r="F4115">
        <v>3164.8</v>
      </c>
      <c r="G4115" s="227" t="s">
        <v>129</v>
      </c>
    </row>
    <row r="4116" spans="1:7">
      <c r="A4116" s="216">
        <v>44621</v>
      </c>
      <c r="B4116" t="s">
        <v>49</v>
      </c>
      <c r="C4116">
        <v>11</v>
      </c>
      <c r="D4116" t="s">
        <v>445</v>
      </c>
      <c r="E4116" s="217">
        <v>44621</v>
      </c>
      <c r="F4116">
        <v>2966.13</v>
      </c>
      <c r="G4116" s="227" t="s">
        <v>125</v>
      </c>
    </row>
    <row r="4117" spans="1:7">
      <c r="A4117" s="216">
        <v>44621</v>
      </c>
      <c r="B4117" t="s">
        <v>49</v>
      </c>
      <c r="C4117">
        <v>11</v>
      </c>
      <c r="D4117" t="s">
        <v>445</v>
      </c>
      <c r="E4117" s="217">
        <v>44621</v>
      </c>
      <c r="F4117">
        <v>3498.13</v>
      </c>
      <c r="G4117" s="227" t="s">
        <v>121</v>
      </c>
    </row>
    <row r="4118" spans="1:7">
      <c r="A4118" s="216">
        <v>44621</v>
      </c>
      <c r="B4118" t="s">
        <v>49</v>
      </c>
      <c r="C4118">
        <v>11</v>
      </c>
      <c r="D4118" t="s">
        <v>445</v>
      </c>
      <c r="E4118" s="217">
        <v>44621</v>
      </c>
      <c r="F4118">
        <v>2970.13</v>
      </c>
      <c r="G4118" s="227" t="s">
        <v>90</v>
      </c>
    </row>
    <row r="4119" spans="1:7">
      <c r="A4119" s="216">
        <v>44621</v>
      </c>
      <c r="B4119" t="s">
        <v>49</v>
      </c>
      <c r="C4119">
        <v>11</v>
      </c>
      <c r="D4119" t="s">
        <v>445</v>
      </c>
      <c r="E4119" s="217">
        <v>44621</v>
      </c>
      <c r="F4119">
        <v>3390.5</v>
      </c>
      <c r="G4119" s="227" t="s">
        <v>98</v>
      </c>
    </row>
    <row r="4120" spans="1:7">
      <c r="A4120" s="216">
        <v>44621</v>
      </c>
      <c r="B4120" t="s">
        <v>49</v>
      </c>
      <c r="C4120">
        <v>11</v>
      </c>
      <c r="D4120" t="s">
        <v>445</v>
      </c>
      <c r="E4120" s="217">
        <v>44621</v>
      </c>
      <c r="F4120">
        <v>3249.3</v>
      </c>
      <c r="G4120" s="227" t="s">
        <v>94</v>
      </c>
    </row>
    <row r="4121" spans="1:7">
      <c r="A4121" s="216">
        <v>44621</v>
      </c>
      <c r="B4121" t="s">
        <v>49</v>
      </c>
      <c r="C4121">
        <v>11</v>
      </c>
      <c r="D4121" t="s">
        <v>445</v>
      </c>
      <c r="E4121" s="217">
        <v>44621</v>
      </c>
      <c r="F4121">
        <v>6262.3</v>
      </c>
      <c r="G4121" s="227" t="s">
        <v>112</v>
      </c>
    </row>
    <row r="4122" spans="1:7">
      <c r="A4122" s="216">
        <v>44621</v>
      </c>
      <c r="B4122" t="s">
        <v>49</v>
      </c>
      <c r="C4122">
        <v>11</v>
      </c>
      <c r="D4122" t="s">
        <v>445</v>
      </c>
      <c r="E4122" s="217">
        <v>44621</v>
      </c>
      <c r="F4122">
        <v>40324.19</v>
      </c>
      <c r="G4122" s="227" t="s">
        <v>434</v>
      </c>
    </row>
    <row r="4123" spans="1:7">
      <c r="A4123" s="216">
        <v>44621</v>
      </c>
      <c r="B4123" t="s">
        <v>49</v>
      </c>
      <c r="C4123">
        <v>12</v>
      </c>
      <c r="D4123" t="s">
        <v>454</v>
      </c>
      <c r="E4123" s="217">
        <v>44621</v>
      </c>
      <c r="F4123">
        <v>3933</v>
      </c>
      <c r="G4123" s="227" t="s">
        <v>80</v>
      </c>
    </row>
    <row r="4124" spans="1:7">
      <c r="A4124" s="216">
        <v>44621</v>
      </c>
      <c r="B4124" t="s">
        <v>49</v>
      </c>
      <c r="C4124">
        <v>12</v>
      </c>
      <c r="D4124" t="s">
        <v>454</v>
      </c>
      <c r="E4124" s="217">
        <v>44621</v>
      </c>
      <c r="F4124">
        <v>4287</v>
      </c>
      <c r="G4124" s="227" t="s">
        <v>116</v>
      </c>
    </row>
    <row r="4125" spans="1:7">
      <c r="A4125" s="216">
        <v>44621</v>
      </c>
      <c r="B4125" t="s">
        <v>49</v>
      </c>
      <c r="C4125">
        <v>12</v>
      </c>
      <c r="D4125" t="s">
        <v>454</v>
      </c>
      <c r="E4125" s="217">
        <v>44621</v>
      </c>
      <c r="F4125">
        <v>3441</v>
      </c>
      <c r="G4125" s="227" t="s">
        <v>107</v>
      </c>
    </row>
    <row r="4126" spans="1:7">
      <c r="A4126" s="216">
        <v>44621</v>
      </c>
      <c r="B4126" t="s">
        <v>49</v>
      </c>
      <c r="C4126">
        <v>12</v>
      </c>
      <c r="D4126" t="s">
        <v>454</v>
      </c>
      <c r="E4126" s="217">
        <v>44621</v>
      </c>
      <c r="F4126">
        <v>3689</v>
      </c>
      <c r="G4126" s="227" t="s">
        <v>102</v>
      </c>
    </row>
    <row r="4127" spans="1:7">
      <c r="A4127" s="216">
        <v>44621</v>
      </c>
      <c r="B4127" t="s">
        <v>49</v>
      </c>
      <c r="C4127">
        <v>12</v>
      </c>
      <c r="D4127" t="s">
        <v>454</v>
      </c>
      <c r="E4127" s="217">
        <v>44621</v>
      </c>
      <c r="F4127">
        <v>4246</v>
      </c>
      <c r="G4127" s="227" t="s">
        <v>85</v>
      </c>
    </row>
    <row r="4128" spans="1:7">
      <c r="A4128" s="216">
        <v>44621</v>
      </c>
      <c r="B4128" t="s">
        <v>49</v>
      </c>
      <c r="C4128">
        <v>12</v>
      </c>
      <c r="D4128" t="s">
        <v>454</v>
      </c>
      <c r="E4128" s="217">
        <v>44621</v>
      </c>
      <c r="F4128">
        <v>3492</v>
      </c>
      <c r="G4128" s="227" t="s">
        <v>129</v>
      </c>
    </row>
    <row r="4129" spans="1:7">
      <c r="A4129" s="216">
        <v>44621</v>
      </c>
      <c r="B4129" t="s">
        <v>49</v>
      </c>
      <c r="C4129">
        <v>12</v>
      </c>
      <c r="D4129" t="s">
        <v>454</v>
      </c>
      <c r="E4129" s="217">
        <v>44621</v>
      </c>
      <c r="F4129">
        <v>3488</v>
      </c>
      <c r="G4129" s="227" t="s">
        <v>125</v>
      </c>
    </row>
    <row r="4130" spans="1:7">
      <c r="A4130" s="216">
        <v>44621</v>
      </c>
      <c r="B4130" t="s">
        <v>49</v>
      </c>
      <c r="C4130">
        <v>12</v>
      </c>
      <c r="D4130" t="s">
        <v>454</v>
      </c>
      <c r="E4130" s="217">
        <v>44621</v>
      </c>
      <c r="F4130">
        <v>3609</v>
      </c>
      <c r="G4130" s="227" t="s">
        <v>121</v>
      </c>
    </row>
    <row r="4131" spans="1:7">
      <c r="A4131" s="216">
        <v>44621</v>
      </c>
      <c r="B4131" t="s">
        <v>49</v>
      </c>
      <c r="C4131">
        <v>12</v>
      </c>
      <c r="D4131" t="s">
        <v>454</v>
      </c>
      <c r="E4131" s="217">
        <v>44621</v>
      </c>
      <c r="F4131">
        <v>4464</v>
      </c>
      <c r="G4131" s="227" t="s">
        <v>90</v>
      </c>
    </row>
    <row r="4132" spans="1:7">
      <c r="A4132" s="216">
        <v>44621</v>
      </c>
      <c r="B4132" t="s">
        <v>49</v>
      </c>
      <c r="C4132">
        <v>12</v>
      </c>
      <c r="D4132" t="s">
        <v>454</v>
      </c>
      <c r="E4132" s="217">
        <v>44621</v>
      </c>
      <c r="F4132">
        <v>3271</v>
      </c>
      <c r="G4132" s="227" t="s">
        <v>98</v>
      </c>
    </row>
    <row r="4133" spans="1:7">
      <c r="A4133" s="216">
        <v>44621</v>
      </c>
      <c r="B4133" t="s">
        <v>49</v>
      </c>
      <c r="C4133">
        <v>12</v>
      </c>
      <c r="D4133" t="s">
        <v>454</v>
      </c>
      <c r="E4133" s="217">
        <v>44621</v>
      </c>
      <c r="F4133">
        <v>4330</v>
      </c>
      <c r="G4133" s="227" t="s">
        <v>94</v>
      </c>
    </row>
    <row r="4134" spans="1:7">
      <c r="A4134" s="216">
        <v>44621</v>
      </c>
      <c r="B4134" t="s">
        <v>49</v>
      </c>
      <c r="C4134">
        <v>12</v>
      </c>
      <c r="D4134" t="s">
        <v>454</v>
      </c>
      <c r="E4134" s="217">
        <v>44621</v>
      </c>
      <c r="F4134">
        <v>5606</v>
      </c>
      <c r="G4134" s="227" t="s">
        <v>112</v>
      </c>
    </row>
    <row r="4135" spans="1:7">
      <c r="A4135" s="216">
        <v>44621</v>
      </c>
      <c r="B4135" t="s">
        <v>49</v>
      </c>
      <c r="C4135">
        <v>12</v>
      </c>
      <c r="D4135" t="s">
        <v>454</v>
      </c>
      <c r="E4135" s="217">
        <v>44621</v>
      </c>
      <c r="F4135">
        <v>47856</v>
      </c>
      <c r="G4135" s="227" t="s">
        <v>434</v>
      </c>
    </row>
    <row r="4136" spans="1:7">
      <c r="A4136" s="216">
        <v>44621</v>
      </c>
      <c r="B4136" t="s">
        <v>49</v>
      </c>
      <c r="C4136">
        <v>13</v>
      </c>
      <c r="D4136" t="s">
        <v>441</v>
      </c>
      <c r="E4136" s="217">
        <v>44621</v>
      </c>
      <c r="F4136">
        <v>0</v>
      </c>
      <c r="G4136" s="227" t="s">
        <v>80</v>
      </c>
    </row>
    <row r="4137" spans="1:7">
      <c r="A4137" s="216">
        <v>44621</v>
      </c>
      <c r="B4137" t="s">
        <v>49</v>
      </c>
      <c r="C4137">
        <v>13</v>
      </c>
      <c r="D4137" t="s">
        <v>441</v>
      </c>
      <c r="E4137" s="217">
        <v>44621</v>
      </c>
      <c r="F4137">
        <v>0</v>
      </c>
      <c r="G4137" s="227" t="s">
        <v>116</v>
      </c>
    </row>
    <row r="4138" spans="1:7">
      <c r="A4138" s="216">
        <v>44621</v>
      </c>
      <c r="B4138" t="s">
        <v>49</v>
      </c>
      <c r="C4138">
        <v>13</v>
      </c>
      <c r="D4138" t="s">
        <v>441</v>
      </c>
      <c r="E4138" s="217">
        <v>44621</v>
      </c>
      <c r="F4138">
        <v>0</v>
      </c>
      <c r="G4138" s="227" t="s">
        <v>107</v>
      </c>
    </row>
    <row r="4139" spans="1:7">
      <c r="A4139" s="216">
        <v>44621</v>
      </c>
      <c r="B4139" t="s">
        <v>49</v>
      </c>
      <c r="C4139">
        <v>13</v>
      </c>
      <c r="D4139" t="s">
        <v>441</v>
      </c>
      <c r="E4139" s="217">
        <v>44621</v>
      </c>
      <c r="F4139">
        <v>0</v>
      </c>
      <c r="G4139" s="227" t="s">
        <v>102</v>
      </c>
    </row>
    <row r="4140" spans="1:7">
      <c r="A4140" s="216">
        <v>44621</v>
      </c>
      <c r="B4140" t="s">
        <v>49</v>
      </c>
      <c r="C4140">
        <v>13</v>
      </c>
      <c r="D4140" t="s">
        <v>441</v>
      </c>
      <c r="E4140" s="217">
        <v>44621</v>
      </c>
      <c r="F4140">
        <v>0</v>
      </c>
      <c r="G4140" s="227" t="s">
        <v>85</v>
      </c>
    </row>
    <row r="4141" spans="1:7">
      <c r="A4141" s="216">
        <v>44621</v>
      </c>
      <c r="B4141" t="s">
        <v>49</v>
      </c>
      <c r="C4141">
        <v>13</v>
      </c>
      <c r="D4141" t="s">
        <v>441</v>
      </c>
      <c r="E4141" s="217">
        <v>44621</v>
      </c>
      <c r="F4141">
        <v>0</v>
      </c>
      <c r="G4141" s="227" t="s">
        <v>129</v>
      </c>
    </row>
    <row r="4142" spans="1:7">
      <c r="A4142" s="216">
        <v>44621</v>
      </c>
      <c r="B4142" t="s">
        <v>49</v>
      </c>
      <c r="C4142">
        <v>13</v>
      </c>
      <c r="D4142" t="s">
        <v>441</v>
      </c>
      <c r="E4142" s="217">
        <v>44621</v>
      </c>
      <c r="F4142">
        <v>0</v>
      </c>
      <c r="G4142" s="227" t="s">
        <v>125</v>
      </c>
    </row>
    <row r="4143" spans="1:7">
      <c r="A4143" s="216">
        <v>44621</v>
      </c>
      <c r="B4143" t="s">
        <v>49</v>
      </c>
      <c r="C4143">
        <v>13</v>
      </c>
      <c r="D4143" t="s">
        <v>441</v>
      </c>
      <c r="E4143" s="217">
        <v>44621</v>
      </c>
      <c r="F4143">
        <v>0</v>
      </c>
      <c r="G4143" s="227" t="s">
        <v>121</v>
      </c>
    </row>
    <row r="4144" spans="1:7">
      <c r="A4144" s="216">
        <v>44621</v>
      </c>
      <c r="B4144" t="s">
        <v>49</v>
      </c>
      <c r="C4144">
        <v>13</v>
      </c>
      <c r="D4144" t="s">
        <v>441</v>
      </c>
      <c r="E4144" s="217">
        <v>44621</v>
      </c>
      <c r="F4144">
        <v>0</v>
      </c>
      <c r="G4144" s="227" t="s">
        <v>90</v>
      </c>
    </row>
    <row r="4145" spans="1:7">
      <c r="A4145" s="216">
        <v>44621</v>
      </c>
      <c r="B4145" t="s">
        <v>49</v>
      </c>
      <c r="C4145">
        <v>13</v>
      </c>
      <c r="D4145" t="s">
        <v>441</v>
      </c>
      <c r="E4145" s="217">
        <v>44621</v>
      </c>
      <c r="F4145">
        <v>0</v>
      </c>
      <c r="G4145" s="227" t="s">
        <v>98</v>
      </c>
    </row>
    <row r="4146" spans="1:7">
      <c r="A4146" s="216">
        <v>44621</v>
      </c>
      <c r="B4146" t="s">
        <v>49</v>
      </c>
      <c r="C4146">
        <v>13</v>
      </c>
      <c r="D4146" t="s">
        <v>441</v>
      </c>
      <c r="E4146" s="217">
        <v>44621</v>
      </c>
      <c r="F4146">
        <v>0</v>
      </c>
      <c r="G4146" s="227" t="s">
        <v>94</v>
      </c>
    </row>
    <row r="4147" spans="1:7">
      <c r="A4147" s="216">
        <v>44621</v>
      </c>
      <c r="B4147" t="s">
        <v>49</v>
      </c>
      <c r="C4147">
        <v>13</v>
      </c>
      <c r="D4147" t="s">
        <v>441</v>
      </c>
      <c r="E4147" s="217">
        <v>44621</v>
      </c>
      <c r="F4147">
        <v>0</v>
      </c>
      <c r="G4147" s="227" t="s">
        <v>112</v>
      </c>
    </row>
    <row r="4148" spans="1:7">
      <c r="A4148" s="216">
        <v>44621</v>
      </c>
      <c r="B4148" t="s">
        <v>49</v>
      </c>
      <c r="C4148">
        <v>13</v>
      </c>
      <c r="D4148" t="s">
        <v>441</v>
      </c>
      <c r="E4148" s="217">
        <v>44621</v>
      </c>
      <c r="F4148">
        <v>0</v>
      </c>
      <c r="G4148" s="227" t="s">
        <v>434</v>
      </c>
    </row>
    <row r="4149" spans="1:7">
      <c r="A4149" s="216">
        <v>44621</v>
      </c>
      <c r="B4149" t="s">
        <v>49</v>
      </c>
      <c r="C4149">
        <v>14</v>
      </c>
      <c r="D4149" t="s">
        <v>447</v>
      </c>
      <c r="E4149" s="217">
        <v>44621</v>
      </c>
      <c r="F4149">
        <v>0</v>
      </c>
      <c r="G4149" s="227" t="s">
        <v>80</v>
      </c>
    </row>
    <row r="4150" spans="1:7">
      <c r="A4150" s="216">
        <v>44621</v>
      </c>
      <c r="B4150" t="s">
        <v>49</v>
      </c>
      <c r="C4150">
        <v>14</v>
      </c>
      <c r="D4150" t="s">
        <v>447</v>
      </c>
      <c r="E4150" s="217">
        <v>44621</v>
      </c>
      <c r="F4150">
        <v>0</v>
      </c>
      <c r="G4150" s="227" t="s">
        <v>116</v>
      </c>
    </row>
    <row r="4151" spans="1:7">
      <c r="A4151" s="216">
        <v>44621</v>
      </c>
      <c r="B4151" t="s">
        <v>49</v>
      </c>
      <c r="C4151">
        <v>14</v>
      </c>
      <c r="D4151" t="s">
        <v>447</v>
      </c>
      <c r="E4151" s="217">
        <v>44621</v>
      </c>
      <c r="F4151">
        <v>0</v>
      </c>
      <c r="G4151" s="227" t="s">
        <v>107</v>
      </c>
    </row>
    <row r="4152" spans="1:7">
      <c r="A4152" s="216">
        <v>44621</v>
      </c>
      <c r="B4152" t="s">
        <v>49</v>
      </c>
      <c r="C4152">
        <v>14</v>
      </c>
      <c r="D4152" t="s">
        <v>447</v>
      </c>
      <c r="E4152" s="217">
        <v>44621</v>
      </c>
      <c r="F4152">
        <v>0</v>
      </c>
      <c r="G4152" s="227" t="s">
        <v>102</v>
      </c>
    </row>
    <row r="4153" spans="1:7">
      <c r="A4153" s="216">
        <v>44621</v>
      </c>
      <c r="B4153" t="s">
        <v>49</v>
      </c>
      <c r="C4153">
        <v>14</v>
      </c>
      <c r="D4153" t="s">
        <v>447</v>
      </c>
      <c r="E4153" s="217">
        <v>44621</v>
      </c>
      <c r="F4153">
        <v>0</v>
      </c>
      <c r="G4153" s="227" t="s">
        <v>85</v>
      </c>
    </row>
    <row r="4154" spans="1:7">
      <c r="A4154" s="216">
        <v>44621</v>
      </c>
      <c r="B4154" t="s">
        <v>49</v>
      </c>
      <c r="C4154">
        <v>14</v>
      </c>
      <c r="D4154" t="s">
        <v>447</v>
      </c>
      <c r="E4154" s="217">
        <v>44621</v>
      </c>
      <c r="F4154">
        <v>0</v>
      </c>
      <c r="G4154" s="227" t="s">
        <v>129</v>
      </c>
    </row>
    <row r="4155" spans="1:7">
      <c r="A4155" s="216">
        <v>44621</v>
      </c>
      <c r="B4155" t="s">
        <v>49</v>
      </c>
      <c r="C4155">
        <v>14</v>
      </c>
      <c r="D4155" t="s">
        <v>447</v>
      </c>
      <c r="E4155" s="217">
        <v>44621</v>
      </c>
      <c r="F4155">
        <v>0</v>
      </c>
      <c r="G4155" s="227" t="s">
        <v>125</v>
      </c>
    </row>
    <row r="4156" spans="1:7">
      <c r="A4156" s="216">
        <v>44621</v>
      </c>
      <c r="B4156" t="s">
        <v>49</v>
      </c>
      <c r="C4156">
        <v>14</v>
      </c>
      <c r="D4156" t="s">
        <v>447</v>
      </c>
      <c r="E4156" s="217">
        <v>44621</v>
      </c>
      <c r="F4156">
        <v>0</v>
      </c>
      <c r="G4156" s="227" t="s">
        <v>121</v>
      </c>
    </row>
    <row r="4157" spans="1:7">
      <c r="A4157" s="216">
        <v>44621</v>
      </c>
      <c r="B4157" t="s">
        <v>49</v>
      </c>
      <c r="C4157">
        <v>14</v>
      </c>
      <c r="D4157" t="s">
        <v>447</v>
      </c>
      <c r="E4157" s="217">
        <v>44621</v>
      </c>
      <c r="F4157">
        <v>0</v>
      </c>
      <c r="G4157" s="227" t="s">
        <v>90</v>
      </c>
    </row>
    <row r="4158" spans="1:7">
      <c r="A4158" s="216">
        <v>44621</v>
      </c>
      <c r="B4158" t="s">
        <v>49</v>
      </c>
      <c r="C4158">
        <v>14</v>
      </c>
      <c r="D4158" t="s">
        <v>447</v>
      </c>
      <c r="E4158" s="217">
        <v>44621</v>
      </c>
      <c r="F4158">
        <v>0</v>
      </c>
      <c r="G4158" s="227" t="s">
        <v>98</v>
      </c>
    </row>
    <row r="4159" spans="1:7">
      <c r="A4159" s="216">
        <v>44621</v>
      </c>
      <c r="B4159" t="s">
        <v>49</v>
      </c>
      <c r="C4159">
        <v>14</v>
      </c>
      <c r="D4159" t="s">
        <v>447</v>
      </c>
      <c r="E4159" s="217">
        <v>44621</v>
      </c>
      <c r="F4159">
        <v>0</v>
      </c>
      <c r="G4159" s="227" t="s">
        <v>94</v>
      </c>
    </row>
    <row r="4160" spans="1:7">
      <c r="A4160" s="216">
        <v>44621</v>
      </c>
      <c r="B4160" t="s">
        <v>49</v>
      </c>
      <c r="C4160">
        <v>14</v>
      </c>
      <c r="D4160" t="s">
        <v>447</v>
      </c>
      <c r="E4160" s="217">
        <v>44621</v>
      </c>
      <c r="F4160">
        <v>0</v>
      </c>
      <c r="G4160" s="227" t="s">
        <v>112</v>
      </c>
    </row>
    <row r="4161" spans="1:7">
      <c r="A4161" s="216">
        <v>44621</v>
      </c>
      <c r="B4161" t="s">
        <v>49</v>
      </c>
      <c r="C4161">
        <v>14</v>
      </c>
      <c r="D4161" t="s">
        <v>447</v>
      </c>
      <c r="E4161" s="217">
        <v>44621</v>
      </c>
      <c r="F4161">
        <v>0</v>
      </c>
      <c r="G4161" s="227" t="s">
        <v>434</v>
      </c>
    </row>
    <row r="4162" spans="1:7">
      <c r="A4162" s="216">
        <v>44621</v>
      </c>
      <c r="B4162" t="s">
        <v>49</v>
      </c>
      <c r="C4162">
        <v>15</v>
      </c>
      <c r="D4162" t="s">
        <v>437</v>
      </c>
      <c r="E4162" s="217">
        <v>44621</v>
      </c>
      <c r="F4162">
        <v>0</v>
      </c>
      <c r="G4162" s="227" t="s">
        <v>80</v>
      </c>
    </row>
    <row r="4163" spans="1:7">
      <c r="A4163" s="216">
        <v>44621</v>
      </c>
      <c r="B4163" t="s">
        <v>49</v>
      </c>
      <c r="C4163">
        <v>15</v>
      </c>
      <c r="D4163" t="s">
        <v>437</v>
      </c>
      <c r="E4163" s="217">
        <v>44621</v>
      </c>
      <c r="F4163">
        <v>0</v>
      </c>
      <c r="G4163" s="227" t="s">
        <v>116</v>
      </c>
    </row>
    <row r="4164" spans="1:7">
      <c r="A4164" s="216">
        <v>44621</v>
      </c>
      <c r="B4164" t="s">
        <v>49</v>
      </c>
      <c r="C4164">
        <v>15</v>
      </c>
      <c r="D4164" t="s">
        <v>437</v>
      </c>
      <c r="E4164" s="217">
        <v>44621</v>
      </c>
      <c r="F4164">
        <v>0</v>
      </c>
      <c r="G4164" s="227" t="s">
        <v>107</v>
      </c>
    </row>
    <row r="4165" spans="1:7">
      <c r="A4165" s="216">
        <v>44621</v>
      </c>
      <c r="B4165" t="s">
        <v>49</v>
      </c>
      <c r="C4165">
        <v>15</v>
      </c>
      <c r="D4165" t="s">
        <v>437</v>
      </c>
      <c r="E4165" s="217">
        <v>44621</v>
      </c>
      <c r="F4165">
        <v>0</v>
      </c>
      <c r="G4165" s="227" t="s">
        <v>102</v>
      </c>
    </row>
    <row r="4166" spans="1:7">
      <c r="A4166" s="216">
        <v>44621</v>
      </c>
      <c r="B4166" t="s">
        <v>49</v>
      </c>
      <c r="C4166">
        <v>15</v>
      </c>
      <c r="D4166" t="s">
        <v>437</v>
      </c>
      <c r="E4166" s="217">
        <v>44621</v>
      </c>
      <c r="F4166">
        <v>0</v>
      </c>
      <c r="G4166" s="227" t="s">
        <v>85</v>
      </c>
    </row>
    <row r="4167" spans="1:7">
      <c r="A4167" s="216">
        <v>44621</v>
      </c>
      <c r="B4167" t="s">
        <v>49</v>
      </c>
      <c r="C4167">
        <v>15</v>
      </c>
      <c r="D4167" t="s">
        <v>437</v>
      </c>
      <c r="E4167" s="217">
        <v>44621</v>
      </c>
      <c r="F4167">
        <v>0</v>
      </c>
      <c r="G4167" s="227" t="s">
        <v>129</v>
      </c>
    </row>
    <row r="4168" spans="1:7">
      <c r="A4168" s="216">
        <v>44621</v>
      </c>
      <c r="B4168" t="s">
        <v>49</v>
      </c>
      <c r="C4168">
        <v>15</v>
      </c>
      <c r="D4168" t="s">
        <v>437</v>
      </c>
      <c r="E4168" s="217">
        <v>44621</v>
      </c>
      <c r="F4168">
        <v>0</v>
      </c>
      <c r="G4168" s="227" t="s">
        <v>125</v>
      </c>
    </row>
    <row r="4169" spans="1:7">
      <c r="A4169" s="216">
        <v>44621</v>
      </c>
      <c r="B4169" t="s">
        <v>49</v>
      </c>
      <c r="C4169">
        <v>15</v>
      </c>
      <c r="D4169" t="s">
        <v>437</v>
      </c>
      <c r="E4169" s="217">
        <v>44621</v>
      </c>
      <c r="F4169">
        <v>0</v>
      </c>
      <c r="G4169" s="227" t="s">
        <v>121</v>
      </c>
    </row>
    <row r="4170" spans="1:7">
      <c r="A4170" s="216">
        <v>44621</v>
      </c>
      <c r="B4170" t="s">
        <v>49</v>
      </c>
      <c r="C4170">
        <v>15</v>
      </c>
      <c r="D4170" t="s">
        <v>437</v>
      </c>
      <c r="E4170" s="217">
        <v>44621</v>
      </c>
      <c r="F4170">
        <v>0</v>
      </c>
      <c r="G4170" s="227" t="s">
        <v>90</v>
      </c>
    </row>
    <row r="4171" spans="1:7">
      <c r="A4171" s="216">
        <v>44621</v>
      </c>
      <c r="B4171" t="s">
        <v>49</v>
      </c>
      <c r="C4171">
        <v>15</v>
      </c>
      <c r="D4171" t="s">
        <v>437</v>
      </c>
      <c r="E4171" s="217">
        <v>44621</v>
      </c>
      <c r="F4171">
        <v>0</v>
      </c>
      <c r="G4171" s="227" t="s">
        <v>98</v>
      </c>
    </row>
    <row r="4172" spans="1:7">
      <c r="A4172" s="216">
        <v>44621</v>
      </c>
      <c r="B4172" t="s">
        <v>49</v>
      </c>
      <c r="C4172">
        <v>15</v>
      </c>
      <c r="D4172" t="s">
        <v>437</v>
      </c>
      <c r="E4172" s="217">
        <v>44621</v>
      </c>
      <c r="F4172">
        <v>0</v>
      </c>
      <c r="G4172" s="227" t="s">
        <v>94</v>
      </c>
    </row>
    <row r="4173" spans="1:7">
      <c r="A4173" s="216">
        <v>44621</v>
      </c>
      <c r="B4173" t="s">
        <v>49</v>
      </c>
      <c r="C4173">
        <v>15</v>
      </c>
      <c r="D4173" t="s">
        <v>437</v>
      </c>
      <c r="E4173" s="217">
        <v>44621</v>
      </c>
      <c r="F4173">
        <v>0</v>
      </c>
      <c r="G4173" s="227" t="s">
        <v>112</v>
      </c>
    </row>
    <row r="4174" spans="1:7">
      <c r="A4174" s="216">
        <v>44621</v>
      </c>
      <c r="B4174" t="s">
        <v>49</v>
      </c>
      <c r="C4174">
        <v>15</v>
      </c>
      <c r="D4174" t="s">
        <v>437</v>
      </c>
      <c r="E4174" s="217">
        <v>44621</v>
      </c>
      <c r="F4174">
        <v>0</v>
      </c>
      <c r="G4174" s="227" t="s">
        <v>434</v>
      </c>
    </row>
    <row r="4175" spans="1:7">
      <c r="A4175" s="216">
        <v>44621</v>
      </c>
      <c r="B4175" t="s">
        <v>50</v>
      </c>
      <c r="C4175">
        <v>7</v>
      </c>
      <c r="D4175" t="s">
        <v>442</v>
      </c>
      <c r="E4175" s="217">
        <v>44621</v>
      </c>
      <c r="F4175">
        <v>18993</v>
      </c>
      <c r="G4175" s="227" t="s">
        <v>80</v>
      </c>
    </row>
    <row r="4176" spans="1:7">
      <c r="A4176" s="216">
        <v>44621</v>
      </c>
      <c r="B4176" t="s">
        <v>50</v>
      </c>
      <c r="C4176">
        <v>7</v>
      </c>
      <c r="D4176" t="s">
        <v>442</v>
      </c>
      <c r="E4176" s="217">
        <v>44621</v>
      </c>
      <c r="F4176">
        <v>19651</v>
      </c>
      <c r="G4176" s="227" t="s">
        <v>116</v>
      </c>
    </row>
    <row r="4177" spans="1:7">
      <c r="A4177" s="216">
        <v>44621</v>
      </c>
      <c r="B4177" t="s">
        <v>50</v>
      </c>
      <c r="C4177">
        <v>7</v>
      </c>
      <c r="D4177" t="s">
        <v>442</v>
      </c>
      <c r="E4177" s="217">
        <v>44621</v>
      </c>
      <c r="F4177">
        <v>19900</v>
      </c>
      <c r="G4177" s="227" t="s">
        <v>107</v>
      </c>
    </row>
    <row r="4178" spans="1:7">
      <c r="A4178" s="216">
        <v>44621</v>
      </c>
      <c r="B4178" t="s">
        <v>50</v>
      </c>
      <c r="C4178">
        <v>7</v>
      </c>
      <c r="D4178" t="s">
        <v>442</v>
      </c>
      <c r="E4178" s="217">
        <v>44621</v>
      </c>
      <c r="F4178">
        <v>24404</v>
      </c>
      <c r="G4178" s="227" t="s">
        <v>102</v>
      </c>
    </row>
    <row r="4179" spans="1:7">
      <c r="A4179" s="216">
        <v>44621</v>
      </c>
      <c r="B4179" t="s">
        <v>50</v>
      </c>
      <c r="C4179">
        <v>7</v>
      </c>
      <c r="D4179" t="s">
        <v>442</v>
      </c>
      <c r="E4179" s="217">
        <v>44621</v>
      </c>
      <c r="F4179">
        <v>20246</v>
      </c>
      <c r="G4179" s="227" t="s">
        <v>85</v>
      </c>
    </row>
    <row r="4180" spans="1:7">
      <c r="A4180" s="216">
        <v>44621</v>
      </c>
      <c r="B4180" t="s">
        <v>50</v>
      </c>
      <c r="C4180">
        <v>7</v>
      </c>
      <c r="D4180" t="s">
        <v>442</v>
      </c>
      <c r="E4180" s="217">
        <v>44621</v>
      </c>
      <c r="F4180">
        <v>23337</v>
      </c>
      <c r="G4180" s="227" t="s">
        <v>129</v>
      </c>
    </row>
    <row r="4181" spans="1:7">
      <c r="A4181" s="216">
        <v>44621</v>
      </c>
      <c r="B4181" t="s">
        <v>50</v>
      </c>
      <c r="C4181">
        <v>7</v>
      </c>
      <c r="D4181" t="s">
        <v>442</v>
      </c>
      <c r="E4181" s="217">
        <v>44621</v>
      </c>
      <c r="F4181">
        <v>21579</v>
      </c>
      <c r="G4181" s="227" t="s">
        <v>125</v>
      </c>
    </row>
    <row r="4182" spans="1:7">
      <c r="A4182" s="216">
        <v>44621</v>
      </c>
      <c r="B4182" t="s">
        <v>50</v>
      </c>
      <c r="C4182">
        <v>7</v>
      </c>
      <c r="D4182" t="s">
        <v>442</v>
      </c>
      <c r="E4182" s="217">
        <v>44621</v>
      </c>
      <c r="F4182">
        <v>22855</v>
      </c>
      <c r="G4182" s="227" t="s">
        <v>121</v>
      </c>
    </row>
    <row r="4183" spans="1:7">
      <c r="A4183" s="216">
        <v>44621</v>
      </c>
      <c r="B4183" t="s">
        <v>50</v>
      </c>
      <c r="C4183">
        <v>7</v>
      </c>
      <c r="D4183" t="s">
        <v>442</v>
      </c>
      <c r="E4183" s="217">
        <v>44621</v>
      </c>
      <c r="F4183">
        <v>24239</v>
      </c>
      <c r="G4183" s="227" t="s">
        <v>90</v>
      </c>
    </row>
    <row r="4184" spans="1:7">
      <c r="A4184" s="216">
        <v>44621</v>
      </c>
      <c r="B4184" t="s">
        <v>50</v>
      </c>
      <c r="C4184">
        <v>7</v>
      </c>
      <c r="D4184" t="s">
        <v>442</v>
      </c>
      <c r="E4184" s="217">
        <v>44621</v>
      </c>
      <c r="F4184">
        <v>22758</v>
      </c>
      <c r="G4184" s="227" t="s">
        <v>98</v>
      </c>
    </row>
    <row r="4185" spans="1:7">
      <c r="A4185" s="216">
        <v>44621</v>
      </c>
      <c r="B4185" t="s">
        <v>50</v>
      </c>
      <c r="C4185">
        <v>7</v>
      </c>
      <c r="D4185" t="s">
        <v>442</v>
      </c>
      <c r="E4185" s="217">
        <v>44621</v>
      </c>
      <c r="F4185">
        <v>22771</v>
      </c>
      <c r="G4185" s="227" t="s">
        <v>94</v>
      </c>
    </row>
    <row r="4186" spans="1:7">
      <c r="A4186" s="216">
        <v>44621</v>
      </c>
      <c r="B4186" t="s">
        <v>50</v>
      </c>
      <c r="C4186">
        <v>7</v>
      </c>
      <c r="D4186" t="s">
        <v>442</v>
      </c>
      <c r="E4186" s="217">
        <v>44621</v>
      </c>
      <c r="F4186">
        <v>27699</v>
      </c>
      <c r="G4186" s="227" t="s">
        <v>112</v>
      </c>
    </row>
    <row r="4187" spans="1:7">
      <c r="A4187" s="216">
        <v>44621</v>
      </c>
      <c r="B4187" t="s">
        <v>50</v>
      </c>
      <c r="C4187">
        <v>7</v>
      </c>
      <c r="D4187" t="s">
        <v>442</v>
      </c>
      <c r="E4187" s="217">
        <v>44621</v>
      </c>
      <c r="F4187">
        <v>268432</v>
      </c>
      <c r="G4187" s="227" t="s">
        <v>434</v>
      </c>
    </row>
    <row r="4188" spans="1:7">
      <c r="A4188" s="216">
        <v>44621</v>
      </c>
      <c r="B4188" t="s">
        <v>50</v>
      </c>
      <c r="C4188">
        <v>8</v>
      </c>
      <c r="D4188" t="s">
        <v>451</v>
      </c>
      <c r="E4188" s="217">
        <v>44621</v>
      </c>
      <c r="F4188">
        <v>0</v>
      </c>
      <c r="G4188" s="227" t="s">
        <v>80</v>
      </c>
    </row>
    <row r="4189" spans="1:7">
      <c r="A4189" s="216">
        <v>44621</v>
      </c>
      <c r="B4189" t="s">
        <v>50</v>
      </c>
      <c r="C4189">
        <v>8</v>
      </c>
      <c r="D4189" t="s">
        <v>451</v>
      </c>
      <c r="E4189" s="217">
        <v>44621</v>
      </c>
      <c r="F4189">
        <v>0</v>
      </c>
      <c r="G4189" s="227" t="s">
        <v>116</v>
      </c>
    </row>
    <row r="4190" spans="1:7">
      <c r="A4190" s="216">
        <v>44621</v>
      </c>
      <c r="B4190" t="s">
        <v>50</v>
      </c>
      <c r="C4190">
        <v>8</v>
      </c>
      <c r="D4190" t="s">
        <v>451</v>
      </c>
      <c r="E4190" s="217">
        <v>44621</v>
      </c>
      <c r="F4190">
        <v>0</v>
      </c>
      <c r="G4190" s="227" t="s">
        <v>107</v>
      </c>
    </row>
    <row r="4191" spans="1:7">
      <c r="A4191" s="216">
        <v>44621</v>
      </c>
      <c r="B4191" t="s">
        <v>50</v>
      </c>
      <c r="C4191">
        <v>8</v>
      </c>
      <c r="D4191" t="s">
        <v>451</v>
      </c>
      <c r="E4191" s="217">
        <v>44621</v>
      </c>
      <c r="F4191">
        <v>0</v>
      </c>
      <c r="G4191" s="227" t="s">
        <v>102</v>
      </c>
    </row>
    <row r="4192" spans="1:7">
      <c r="A4192" s="216">
        <v>44621</v>
      </c>
      <c r="B4192" t="s">
        <v>50</v>
      </c>
      <c r="C4192">
        <v>8</v>
      </c>
      <c r="D4192" t="s">
        <v>451</v>
      </c>
      <c r="E4192" s="217">
        <v>44621</v>
      </c>
      <c r="F4192">
        <v>0</v>
      </c>
      <c r="G4192" s="227" t="s">
        <v>85</v>
      </c>
    </row>
    <row r="4193" spans="1:7">
      <c r="A4193" s="216">
        <v>44621</v>
      </c>
      <c r="B4193" t="s">
        <v>50</v>
      </c>
      <c r="C4193">
        <v>8</v>
      </c>
      <c r="D4193" t="s">
        <v>451</v>
      </c>
      <c r="E4193" s="217">
        <v>44621</v>
      </c>
      <c r="F4193">
        <v>0</v>
      </c>
      <c r="G4193" s="227" t="s">
        <v>129</v>
      </c>
    </row>
    <row r="4194" spans="1:7">
      <c r="A4194" s="216">
        <v>44621</v>
      </c>
      <c r="B4194" t="s">
        <v>50</v>
      </c>
      <c r="C4194">
        <v>8</v>
      </c>
      <c r="D4194" t="s">
        <v>451</v>
      </c>
      <c r="E4194" s="217">
        <v>44621</v>
      </c>
      <c r="F4194">
        <v>0</v>
      </c>
      <c r="G4194" s="227" t="s">
        <v>125</v>
      </c>
    </row>
    <row r="4195" spans="1:7">
      <c r="A4195" s="216">
        <v>44621</v>
      </c>
      <c r="B4195" t="s">
        <v>50</v>
      </c>
      <c r="C4195">
        <v>8</v>
      </c>
      <c r="D4195" t="s">
        <v>451</v>
      </c>
      <c r="E4195" s="217">
        <v>44621</v>
      </c>
      <c r="F4195">
        <v>0</v>
      </c>
      <c r="G4195" s="227" t="s">
        <v>121</v>
      </c>
    </row>
    <row r="4196" spans="1:7">
      <c r="A4196" s="216">
        <v>44621</v>
      </c>
      <c r="B4196" t="s">
        <v>50</v>
      </c>
      <c r="C4196">
        <v>8</v>
      </c>
      <c r="D4196" t="s">
        <v>451</v>
      </c>
      <c r="E4196" s="217">
        <v>44621</v>
      </c>
      <c r="F4196">
        <v>0</v>
      </c>
      <c r="G4196" s="227" t="s">
        <v>90</v>
      </c>
    </row>
    <row r="4197" spans="1:7">
      <c r="A4197" s="216">
        <v>44621</v>
      </c>
      <c r="B4197" t="s">
        <v>50</v>
      </c>
      <c r="C4197">
        <v>8</v>
      </c>
      <c r="D4197" t="s">
        <v>451</v>
      </c>
      <c r="E4197" s="217">
        <v>44621</v>
      </c>
      <c r="F4197">
        <v>0</v>
      </c>
      <c r="G4197" s="227" t="s">
        <v>98</v>
      </c>
    </row>
    <row r="4198" spans="1:7">
      <c r="A4198" s="216">
        <v>44621</v>
      </c>
      <c r="B4198" t="s">
        <v>50</v>
      </c>
      <c r="C4198">
        <v>8</v>
      </c>
      <c r="D4198" t="s">
        <v>451</v>
      </c>
      <c r="E4198" s="217">
        <v>44621</v>
      </c>
      <c r="F4198">
        <v>0</v>
      </c>
      <c r="G4198" s="227" t="s">
        <v>94</v>
      </c>
    </row>
    <row r="4199" spans="1:7">
      <c r="A4199" s="216">
        <v>44621</v>
      </c>
      <c r="B4199" t="s">
        <v>50</v>
      </c>
      <c r="C4199">
        <v>8</v>
      </c>
      <c r="D4199" t="s">
        <v>451</v>
      </c>
      <c r="E4199" s="217">
        <v>44621</v>
      </c>
      <c r="F4199">
        <v>0</v>
      </c>
      <c r="G4199" s="227" t="s">
        <v>112</v>
      </c>
    </row>
    <row r="4200" spans="1:7">
      <c r="A4200" s="216">
        <v>44621</v>
      </c>
      <c r="B4200" t="s">
        <v>50</v>
      </c>
      <c r="C4200">
        <v>8</v>
      </c>
      <c r="D4200" t="s">
        <v>451</v>
      </c>
      <c r="E4200" s="217">
        <v>44621</v>
      </c>
      <c r="F4200">
        <v>0</v>
      </c>
      <c r="G4200" s="227" t="s">
        <v>434</v>
      </c>
    </row>
    <row r="4201" spans="1:7">
      <c r="A4201" s="216">
        <v>44621</v>
      </c>
      <c r="B4201" t="s">
        <v>50</v>
      </c>
      <c r="C4201">
        <v>9</v>
      </c>
      <c r="D4201" t="s">
        <v>450</v>
      </c>
      <c r="E4201" s="217">
        <v>44621</v>
      </c>
      <c r="F4201">
        <v>0</v>
      </c>
      <c r="G4201" s="227" t="s">
        <v>80</v>
      </c>
    </row>
    <row r="4202" spans="1:7">
      <c r="A4202" s="216">
        <v>44621</v>
      </c>
      <c r="B4202" t="s">
        <v>50</v>
      </c>
      <c r="C4202">
        <v>9</v>
      </c>
      <c r="D4202" t="s">
        <v>450</v>
      </c>
      <c r="E4202" s="217">
        <v>44621</v>
      </c>
      <c r="F4202">
        <v>0</v>
      </c>
      <c r="G4202" s="227" t="s">
        <v>116</v>
      </c>
    </row>
    <row r="4203" spans="1:7">
      <c r="A4203" s="216">
        <v>44621</v>
      </c>
      <c r="B4203" t="s">
        <v>50</v>
      </c>
      <c r="C4203">
        <v>9</v>
      </c>
      <c r="D4203" t="s">
        <v>450</v>
      </c>
      <c r="E4203" s="217">
        <v>44621</v>
      </c>
      <c r="F4203">
        <v>0</v>
      </c>
      <c r="G4203" s="227" t="s">
        <v>107</v>
      </c>
    </row>
    <row r="4204" spans="1:7">
      <c r="A4204" s="216">
        <v>44621</v>
      </c>
      <c r="B4204" t="s">
        <v>50</v>
      </c>
      <c r="C4204">
        <v>9</v>
      </c>
      <c r="D4204" t="s">
        <v>450</v>
      </c>
      <c r="E4204" s="217">
        <v>44621</v>
      </c>
      <c r="F4204">
        <v>0</v>
      </c>
      <c r="G4204" s="227" t="s">
        <v>102</v>
      </c>
    </row>
    <row r="4205" spans="1:7">
      <c r="A4205" s="216">
        <v>44621</v>
      </c>
      <c r="B4205" t="s">
        <v>50</v>
      </c>
      <c r="C4205">
        <v>9</v>
      </c>
      <c r="D4205" t="s">
        <v>450</v>
      </c>
      <c r="E4205" s="217">
        <v>44621</v>
      </c>
      <c r="F4205">
        <v>0</v>
      </c>
      <c r="G4205" s="227" t="s">
        <v>85</v>
      </c>
    </row>
    <row r="4206" spans="1:7">
      <c r="A4206" s="216">
        <v>44621</v>
      </c>
      <c r="B4206" t="s">
        <v>50</v>
      </c>
      <c r="C4206">
        <v>9</v>
      </c>
      <c r="D4206" t="s">
        <v>450</v>
      </c>
      <c r="E4206" s="217">
        <v>44621</v>
      </c>
      <c r="F4206">
        <v>0</v>
      </c>
      <c r="G4206" s="227" t="s">
        <v>129</v>
      </c>
    </row>
    <row r="4207" spans="1:7">
      <c r="A4207" s="216">
        <v>44621</v>
      </c>
      <c r="B4207" t="s">
        <v>50</v>
      </c>
      <c r="C4207">
        <v>9</v>
      </c>
      <c r="D4207" t="s">
        <v>450</v>
      </c>
      <c r="E4207" s="217">
        <v>44621</v>
      </c>
      <c r="F4207">
        <v>0</v>
      </c>
      <c r="G4207" s="227" t="s">
        <v>125</v>
      </c>
    </row>
    <row r="4208" spans="1:7">
      <c r="A4208" s="216">
        <v>44621</v>
      </c>
      <c r="B4208" t="s">
        <v>50</v>
      </c>
      <c r="C4208">
        <v>9</v>
      </c>
      <c r="D4208" t="s">
        <v>450</v>
      </c>
      <c r="E4208" s="217">
        <v>44621</v>
      </c>
      <c r="F4208">
        <v>0</v>
      </c>
      <c r="G4208" s="227" t="s">
        <v>121</v>
      </c>
    </row>
    <row r="4209" spans="1:7">
      <c r="A4209" s="216">
        <v>44621</v>
      </c>
      <c r="B4209" t="s">
        <v>50</v>
      </c>
      <c r="C4209">
        <v>9</v>
      </c>
      <c r="D4209" t="s">
        <v>450</v>
      </c>
      <c r="E4209" s="217">
        <v>44621</v>
      </c>
      <c r="F4209">
        <v>0</v>
      </c>
      <c r="G4209" s="227" t="s">
        <v>90</v>
      </c>
    </row>
    <row r="4210" spans="1:7">
      <c r="A4210" s="216">
        <v>44621</v>
      </c>
      <c r="B4210" t="s">
        <v>50</v>
      </c>
      <c r="C4210">
        <v>9</v>
      </c>
      <c r="D4210" t="s">
        <v>450</v>
      </c>
      <c r="E4210" s="217">
        <v>44621</v>
      </c>
      <c r="F4210">
        <v>0</v>
      </c>
      <c r="G4210" s="227" t="s">
        <v>98</v>
      </c>
    </row>
    <row r="4211" spans="1:7">
      <c r="A4211" s="216">
        <v>44621</v>
      </c>
      <c r="B4211" t="s">
        <v>50</v>
      </c>
      <c r="C4211">
        <v>9</v>
      </c>
      <c r="D4211" t="s">
        <v>450</v>
      </c>
      <c r="E4211" s="217">
        <v>44621</v>
      </c>
      <c r="F4211">
        <v>0</v>
      </c>
      <c r="G4211" s="227" t="s">
        <v>94</v>
      </c>
    </row>
    <row r="4212" spans="1:7">
      <c r="A4212" s="216">
        <v>44621</v>
      </c>
      <c r="B4212" t="s">
        <v>50</v>
      </c>
      <c r="C4212">
        <v>9</v>
      </c>
      <c r="D4212" t="s">
        <v>450</v>
      </c>
      <c r="E4212" s="217">
        <v>44621</v>
      </c>
      <c r="F4212">
        <v>0</v>
      </c>
      <c r="G4212" s="227" t="s">
        <v>112</v>
      </c>
    </row>
    <row r="4213" spans="1:7">
      <c r="A4213" s="216">
        <v>44621</v>
      </c>
      <c r="B4213" t="s">
        <v>50</v>
      </c>
      <c r="C4213">
        <v>9</v>
      </c>
      <c r="D4213" t="s">
        <v>450</v>
      </c>
      <c r="E4213" s="217">
        <v>44621</v>
      </c>
      <c r="F4213">
        <v>0</v>
      </c>
      <c r="G4213" s="227" t="s">
        <v>434</v>
      </c>
    </row>
    <row r="4214" spans="1:7">
      <c r="A4214" s="216">
        <v>44621</v>
      </c>
      <c r="B4214" t="s">
        <v>50</v>
      </c>
      <c r="C4214">
        <v>10</v>
      </c>
      <c r="D4214" t="s">
        <v>433</v>
      </c>
      <c r="E4214" s="217">
        <v>44621</v>
      </c>
      <c r="F4214">
        <v>13760</v>
      </c>
      <c r="G4214" s="227" t="s">
        <v>80</v>
      </c>
    </row>
    <row r="4215" spans="1:7">
      <c r="A4215" s="216">
        <v>44621</v>
      </c>
      <c r="B4215" t="s">
        <v>50</v>
      </c>
      <c r="C4215">
        <v>10</v>
      </c>
      <c r="D4215" t="s">
        <v>433</v>
      </c>
      <c r="E4215" s="217">
        <v>44621</v>
      </c>
      <c r="F4215">
        <v>14358</v>
      </c>
      <c r="G4215" s="227" t="s">
        <v>116</v>
      </c>
    </row>
    <row r="4216" spans="1:7">
      <c r="A4216" s="216">
        <v>44621</v>
      </c>
      <c r="B4216" t="s">
        <v>50</v>
      </c>
      <c r="C4216">
        <v>10</v>
      </c>
      <c r="D4216" t="s">
        <v>433</v>
      </c>
      <c r="E4216" s="217">
        <v>44621</v>
      </c>
      <c r="F4216">
        <v>14500</v>
      </c>
      <c r="G4216" s="227" t="s">
        <v>107</v>
      </c>
    </row>
    <row r="4217" spans="1:7">
      <c r="A4217" s="216">
        <v>44621</v>
      </c>
      <c r="B4217" t="s">
        <v>50</v>
      </c>
      <c r="C4217">
        <v>10</v>
      </c>
      <c r="D4217" t="s">
        <v>433</v>
      </c>
      <c r="E4217" s="217">
        <v>44621</v>
      </c>
      <c r="F4217">
        <v>13986</v>
      </c>
      <c r="G4217" s="227" t="s">
        <v>102</v>
      </c>
    </row>
    <row r="4218" spans="1:7">
      <c r="A4218" s="216">
        <v>44621</v>
      </c>
      <c r="B4218" t="s">
        <v>50</v>
      </c>
      <c r="C4218">
        <v>10</v>
      </c>
      <c r="D4218" t="s">
        <v>433</v>
      </c>
      <c r="E4218" s="217">
        <v>44621</v>
      </c>
      <c r="F4218">
        <v>14298</v>
      </c>
      <c r="G4218" s="227" t="s">
        <v>85</v>
      </c>
    </row>
    <row r="4219" spans="1:7">
      <c r="A4219" s="216">
        <v>44621</v>
      </c>
      <c r="B4219" t="s">
        <v>50</v>
      </c>
      <c r="C4219">
        <v>10</v>
      </c>
      <c r="D4219" t="s">
        <v>433</v>
      </c>
      <c r="E4219" s="217">
        <v>44621</v>
      </c>
      <c r="F4219">
        <v>16784</v>
      </c>
      <c r="G4219" s="227" t="s">
        <v>129</v>
      </c>
    </row>
    <row r="4220" spans="1:7">
      <c r="A4220" s="216">
        <v>44621</v>
      </c>
      <c r="B4220" t="s">
        <v>50</v>
      </c>
      <c r="C4220">
        <v>10</v>
      </c>
      <c r="D4220" t="s">
        <v>433</v>
      </c>
      <c r="E4220" s="217">
        <v>44621</v>
      </c>
      <c r="F4220">
        <v>14402</v>
      </c>
      <c r="G4220" s="227" t="s">
        <v>125</v>
      </c>
    </row>
    <row r="4221" spans="1:7">
      <c r="A4221" s="216">
        <v>44621</v>
      </c>
      <c r="B4221" t="s">
        <v>50</v>
      </c>
      <c r="C4221">
        <v>10</v>
      </c>
      <c r="D4221" t="s">
        <v>433</v>
      </c>
      <c r="E4221" s="217">
        <v>44621</v>
      </c>
      <c r="F4221">
        <v>15041</v>
      </c>
      <c r="G4221" s="227" t="s">
        <v>121</v>
      </c>
    </row>
    <row r="4222" spans="1:7">
      <c r="A4222" s="216">
        <v>44621</v>
      </c>
      <c r="B4222" t="s">
        <v>50</v>
      </c>
      <c r="C4222">
        <v>10</v>
      </c>
      <c r="D4222" t="s">
        <v>433</v>
      </c>
      <c r="E4222" s="217">
        <v>44621</v>
      </c>
      <c r="F4222">
        <v>17260</v>
      </c>
      <c r="G4222" s="227" t="s">
        <v>90</v>
      </c>
    </row>
    <row r="4223" spans="1:7">
      <c r="A4223" s="216">
        <v>44621</v>
      </c>
      <c r="B4223" t="s">
        <v>50</v>
      </c>
      <c r="C4223">
        <v>10</v>
      </c>
      <c r="D4223" t="s">
        <v>433</v>
      </c>
      <c r="E4223" s="217">
        <v>44621</v>
      </c>
      <c r="F4223">
        <v>16284</v>
      </c>
      <c r="G4223" s="227" t="s">
        <v>98</v>
      </c>
    </row>
    <row r="4224" spans="1:7">
      <c r="A4224" s="216">
        <v>44621</v>
      </c>
      <c r="B4224" t="s">
        <v>50</v>
      </c>
      <c r="C4224">
        <v>10</v>
      </c>
      <c r="D4224" t="s">
        <v>433</v>
      </c>
      <c r="E4224" s="217">
        <v>44621</v>
      </c>
      <c r="F4224">
        <v>15643</v>
      </c>
      <c r="G4224" s="227" t="s">
        <v>94</v>
      </c>
    </row>
    <row r="4225" spans="1:7">
      <c r="A4225" s="216">
        <v>44621</v>
      </c>
      <c r="B4225" t="s">
        <v>50</v>
      </c>
      <c r="C4225">
        <v>10</v>
      </c>
      <c r="D4225" t="s">
        <v>433</v>
      </c>
      <c r="E4225" s="217">
        <v>44621</v>
      </c>
      <c r="F4225">
        <v>17498</v>
      </c>
      <c r="G4225" s="227" t="s">
        <v>112</v>
      </c>
    </row>
    <row r="4226" spans="1:7">
      <c r="A4226" s="216">
        <v>44621</v>
      </c>
      <c r="B4226" t="s">
        <v>50</v>
      </c>
      <c r="C4226">
        <v>10</v>
      </c>
      <c r="D4226" t="s">
        <v>433</v>
      </c>
      <c r="E4226" s="217">
        <v>44621</v>
      </c>
      <c r="F4226">
        <v>183814</v>
      </c>
      <c r="G4226" s="227" t="s">
        <v>434</v>
      </c>
    </row>
    <row r="4227" spans="1:7">
      <c r="A4227" s="216">
        <v>44621</v>
      </c>
      <c r="B4227" t="s">
        <v>50</v>
      </c>
      <c r="C4227">
        <v>11</v>
      </c>
      <c r="D4227" t="s">
        <v>445</v>
      </c>
      <c r="E4227" s="217">
        <v>44621</v>
      </c>
      <c r="F4227">
        <v>3109</v>
      </c>
      <c r="G4227" s="227" t="s">
        <v>80</v>
      </c>
    </row>
    <row r="4228" spans="1:7">
      <c r="A4228" s="216">
        <v>44621</v>
      </c>
      <c r="B4228" t="s">
        <v>50</v>
      </c>
      <c r="C4228">
        <v>11</v>
      </c>
      <c r="D4228" t="s">
        <v>445</v>
      </c>
      <c r="E4228" s="217">
        <v>44621</v>
      </c>
      <c r="F4228">
        <v>3334</v>
      </c>
      <c r="G4228" s="227" t="s">
        <v>116</v>
      </c>
    </row>
    <row r="4229" spans="1:7">
      <c r="A4229" s="216">
        <v>44621</v>
      </c>
      <c r="B4229" t="s">
        <v>50</v>
      </c>
      <c r="C4229">
        <v>11</v>
      </c>
      <c r="D4229" t="s">
        <v>445</v>
      </c>
      <c r="E4229" s="217">
        <v>44621</v>
      </c>
      <c r="F4229">
        <v>3310</v>
      </c>
      <c r="G4229" s="227" t="s">
        <v>107</v>
      </c>
    </row>
    <row r="4230" spans="1:7">
      <c r="A4230" s="216">
        <v>44621</v>
      </c>
      <c r="B4230" t="s">
        <v>50</v>
      </c>
      <c r="C4230">
        <v>11</v>
      </c>
      <c r="D4230" t="s">
        <v>445</v>
      </c>
      <c r="E4230" s="217">
        <v>44621</v>
      </c>
      <c r="F4230">
        <v>3463</v>
      </c>
      <c r="G4230" s="227" t="s">
        <v>102</v>
      </c>
    </row>
    <row r="4231" spans="1:7">
      <c r="A4231" s="216">
        <v>44621</v>
      </c>
      <c r="B4231" t="s">
        <v>50</v>
      </c>
      <c r="C4231">
        <v>11</v>
      </c>
      <c r="D4231" t="s">
        <v>445</v>
      </c>
      <c r="E4231" s="217">
        <v>44621</v>
      </c>
      <c r="F4231">
        <v>3474</v>
      </c>
      <c r="G4231" s="227" t="s">
        <v>85</v>
      </c>
    </row>
    <row r="4232" spans="1:7">
      <c r="A4232" s="216">
        <v>44621</v>
      </c>
      <c r="B4232" t="s">
        <v>50</v>
      </c>
      <c r="C4232">
        <v>11</v>
      </c>
      <c r="D4232" t="s">
        <v>445</v>
      </c>
      <c r="E4232" s="217">
        <v>44621</v>
      </c>
      <c r="F4232">
        <v>3704</v>
      </c>
      <c r="G4232" s="227" t="s">
        <v>129</v>
      </c>
    </row>
    <row r="4233" spans="1:7">
      <c r="A4233" s="216">
        <v>44621</v>
      </c>
      <c r="B4233" t="s">
        <v>50</v>
      </c>
      <c r="C4233">
        <v>11</v>
      </c>
      <c r="D4233" t="s">
        <v>445</v>
      </c>
      <c r="E4233" s="217">
        <v>44621</v>
      </c>
      <c r="F4233">
        <v>3094</v>
      </c>
      <c r="G4233" s="227" t="s">
        <v>125</v>
      </c>
    </row>
    <row r="4234" spans="1:7">
      <c r="A4234" s="216">
        <v>44621</v>
      </c>
      <c r="B4234" t="s">
        <v>50</v>
      </c>
      <c r="C4234">
        <v>11</v>
      </c>
      <c r="D4234" t="s">
        <v>445</v>
      </c>
      <c r="E4234" s="217">
        <v>44621</v>
      </c>
      <c r="F4234">
        <v>4274</v>
      </c>
      <c r="G4234" s="227" t="s">
        <v>121</v>
      </c>
    </row>
    <row r="4235" spans="1:7">
      <c r="A4235" s="216">
        <v>44621</v>
      </c>
      <c r="B4235" t="s">
        <v>50</v>
      </c>
      <c r="C4235">
        <v>11</v>
      </c>
      <c r="D4235" t="s">
        <v>445</v>
      </c>
      <c r="E4235" s="217">
        <v>44621</v>
      </c>
      <c r="F4235">
        <v>3667</v>
      </c>
      <c r="G4235" s="227" t="s">
        <v>90</v>
      </c>
    </row>
    <row r="4236" spans="1:7">
      <c r="A4236" s="216">
        <v>44621</v>
      </c>
      <c r="B4236" t="s">
        <v>50</v>
      </c>
      <c r="C4236">
        <v>11</v>
      </c>
      <c r="D4236" t="s">
        <v>445</v>
      </c>
      <c r="E4236" s="217">
        <v>44621</v>
      </c>
      <c r="F4236">
        <v>4462</v>
      </c>
      <c r="G4236" s="227" t="s">
        <v>98</v>
      </c>
    </row>
    <row r="4237" spans="1:7">
      <c r="A4237" s="216">
        <v>44621</v>
      </c>
      <c r="B4237" t="s">
        <v>50</v>
      </c>
      <c r="C4237">
        <v>11</v>
      </c>
      <c r="D4237" t="s">
        <v>445</v>
      </c>
      <c r="E4237" s="217">
        <v>44621</v>
      </c>
      <c r="F4237">
        <v>4514</v>
      </c>
      <c r="G4237" s="227" t="s">
        <v>94</v>
      </c>
    </row>
    <row r="4238" spans="1:7">
      <c r="A4238" s="216">
        <v>44621</v>
      </c>
      <c r="B4238" t="s">
        <v>50</v>
      </c>
      <c r="C4238">
        <v>11</v>
      </c>
      <c r="D4238" t="s">
        <v>445</v>
      </c>
      <c r="E4238" s="217">
        <v>44621</v>
      </c>
      <c r="F4238">
        <v>7265</v>
      </c>
      <c r="G4238" s="227" t="s">
        <v>112</v>
      </c>
    </row>
    <row r="4239" spans="1:7">
      <c r="A4239" s="216">
        <v>44621</v>
      </c>
      <c r="B4239" t="s">
        <v>50</v>
      </c>
      <c r="C4239">
        <v>11</v>
      </c>
      <c r="D4239" t="s">
        <v>445</v>
      </c>
      <c r="E4239" s="217">
        <v>44621</v>
      </c>
      <c r="F4239">
        <v>47670</v>
      </c>
      <c r="G4239" s="227" t="s">
        <v>434</v>
      </c>
    </row>
    <row r="4240" spans="1:7">
      <c r="A4240" s="216">
        <v>44621</v>
      </c>
      <c r="B4240" t="s">
        <v>50</v>
      </c>
      <c r="C4240">
        <v>12</v>
      </c>
      <c r="D4240" t="s">
        <v>454</v>
      </c>
      <c r="E4240" s="217">
        <v>44621</v>
      </c>
      <c r="F4240">
        <v>34</v>
      </c>
      <c r="G4240" s="227" t="s">
        <v>80</v>
      </c>
    </row>
    <row r="4241" spans="1:7">
      <c r="A4241" s="216">
        <v>44621</v>
      </c>
      <c r="B4241" t="s">
        <v>50</v>
      </c>
      <c r="C4241">
        <v>12</v>
      </c>
      <c r="D4241" t="s">
        <v>454</v>
      </c>
      <c r="E4241" s="217">
        <v>44621</v>
      </c>
      <c r="F4241">
        <v>35</v>
      </c>
      <c r="G4241" s="227" t="s">
        <v>116</v>
      </c>
    </row>
    <row r="4242" spans="1:7">
      <c r="A4242" s="216">
        <v>44621</v>
      </c>
      <c r="B4242" t="s">
        <v>50</v>
      </c>
      <c r="C4242">
        <v>12</v>
      </c>
      <c r="D4242" t="s">
        <v>454</v>
      </c>
      <c r="E4242" s="217">
        <v>44621</v>
      </c>
      <c r="F4242">
        <v>35</v>
      </c>
      <c r="G4242" s="227" t="s">
        <v>107</v>
      </c>
    </row>
    <row r="4243" spans="1:7">
      <c r="A4243" s="216">
        <v>44621</v>
      </c>
      <c r="B4243" t="s">
        <v>50</v>
      </c>
      <c r="C4243">
        <v>12</v>
      </c>
      <c r="D4243" t="s">
        <v>454</v>
      </c>
      <c r="E4243" s="217">
        <v>44621</v>
      </c>
      <c r="F4243">
        <v>33</v>
      </c>
      <c r="G4243" s="227" t="s">
        <v>102</v>
      </c>
    </row>
    <row r="4244" spans="1:7">
      <c r="A4244" s="216">
        <v>44621</v>
      </c>
      <c r="B4244" t="s">
        <v>50</v>
      </c>
      <c r="C4244">
        <v>12</v>
      </c>
      <c r="D4244" t="s">
        <v>454</v>
      </c>
      <c r="E4244" s="217">
        <v>44621</v>
      </c>
      <c r="F4244">
        <v>35</v>
      </c>
      <c r="G4244" s="227" t="s">
        <v>85</v>
      </c>
    </row>
    <row r="4245" spans="1:7">
      <c r="A4245" s="216">
        <v>44621</v>
      </c>
      <c r="B4245" t="s">
        <v>50</v>
      </c>
      <c r="C4245">
        <v>12</v>
      </c>
      <c r="D4245" t="s">
        <v>454</v>
      </c>
      <c r="E4245" s="217">
        <v>44621</v>
      </c>
      <c r="F4245">
        <v>35</v>
      </c>
      <c r="G4245" s="227" t="s">
        <v>129</v>
      </c>
    </row>
    <row r="4246" spans="1:7">
      <c r="A4246" s="216">
        <v>44621</v>
      </c>
      <c r="B4246" t="s">
        <v>50</v>
      </c>
      <c r="C4246">
        <v>12</v>
      </c>
      <c r="D4246" t="s">
        <v>454</v>
      </c>
      <c r="E4246" s="217">
        <v>44621</v>
      </c>
      <c r="F4246">
        <v>34</v>
      </c>
      <c r="G4246" s="227" t="s">
        <v>125</v>
      </c>
    </row>
    <row r="4247" spans="1:7">
      <c r="A4247" s="216">
        <v>44621</v>
      </c>
      <c r="B4247" t="s">
        <v>50</v>
      </c>
      <c r="C4247">
        <v>12</v>
      </c>
      <c r="D4247" t="s">
        <v>454</v>
      </c>
      <c r="E4247" s="217">
        <v>44621</v>
      </c>
      <c r="F4247">
        <v>35</v>
      </c>
      <c r="G4247" s="227" t="s">
        <v>121</v>
      </c>
    </row>
    <row r="4248" spans="1:7">
      <c r="A4248" s="216">
        <v>44621</v>
      </c>
      <c r="B4248" t="s">
        <v>50</v>
      </c>
      <c r="C4248">
        <v>12</v>
      </c>
      <c r="D4248" t="s">
        <v>454</v>
      </c>
      <c r="E4248" s="217">
        <v>44621</v>
      </c>
      <c r="F4248">
        <v>33</v>
      </c>
      <c r="G4248" s="227" t="s">
        <v>90</v>
      </c>
    </row>
    <row r="4249" spans="1:7">
      <c r="A4249" s="216">
        <v>44621</v>
      </c>
      <c r="B4249" t="s">
        <v>50</v>
      </c>
      <c r="C4249">
        <v>12</v>
      </c>
      <c r="D4249" t="s">
        <v>454</v>
      </c>
      <c r="E4249" s="217">
        <v>44621</v>
      </c>
      <c r="F4249">
        <v>35</v>
      </c>
      <c r="G4249" s="227" t="s">
        <v>98</v>
      </c>
    </row>
    <row r="4250" spans="1:7">
      <c r="A4250" s="216">
        <v>44621</v>
      </c>
      <c r="B4250" t="s">
        <v>50</v>
      </c>
      <c r="C4250">
        <v>12</v>
      </c>
      <c r="D4250" t="s">
        <v>454</v>
      </c>
      <c r="E4250" s="217">
        <v>44621</v>
      </c>
      <c r="F4250">
        <v>35</v>
      </c>
      <c r="G4250" s="227" t="s">
        <v>94</v>
      </c>
    </row>
    <row r="4251" spans="1:7">
      <c r="A4251" s="216">
        <v>44621</v>
      </c>
      <c r="B4251" t="s">
        <v>50</v>
      </c>
      <c r="C4251">
        <v>12</v>
      </c>
      <c r="D4251" t="s">
        <v>454</v>
      </c>
      <c r="E4251" s="217">
        <v>44621</v>
      </c>
      <c r="F4251">
        <v>-9</v>
      </c>
      <c r="G4251" s="227" t="s">
        <v>112</v>
      </c>
    </row>
    <row r="4252" spans="1:7">
      <c r="A4252" s="216">
        <v>44621</v>
      </c>
      <c r="B4252" t="s">
        <v>50</v>
      </c>
      <c r="C4252">
        <v>12</v>
      </c>
      <c r="D4252" t="s">
        <v>454</v>
      </c>
      <c r="E4252" s="217">
        <v>44621</v>
      </c>
      <c r="F4252">
        <v>370</v>
      </c>
      <c r="G4252" s="227" t="s">
        <v>434</v>
      </c>
    </row>
    <row r="4253" spans="1:7">
      <c r="A4253" s="216">
        <v>44621</v>
      </c>
      <c r="B4253" t="s">
        <v>50</v>
      </c>
      <c r="C4253">
        <v>13</v>
      </c>
      <c r="D4253" t="s">
        <v>441</v>
      </c>
      <c r="E4253" s="217">
        <v>44621</v>
      </c>
      <c r="F4253">
        <v>0</v>
      </c>
      <c r="G4253" s="227" t="s">
        <v>80</v>
      </c>
    </row>
    <row r="4254" spans="1:7">
      <c r="A4254" s="216">
        <v>44621</v>
      </c>
      <c r="B4254" t="s">
        <v>50</v>
      </c>
      <c r="C4254">
        <v>13</v>
      </c>
      <c r="D4254" t="s">
        <v>441</v>
      </c>
      <c r="E4254" s="217">
        <v>44621</v>
      </c>
      <c r="F4254">
        <v>0</v>
      </c>
      <c r="G4254" s="227" t="s">
        <v>116</v>
      </c>
    </row>
    <row r="4255" spans="1:7">
      <c r="A4255" s="216">
        <v>44621</v>
      </c>
      <c r="B4255" t="s">
        <v>50</v>
      </c>
      <c r="C4255">
        <v>13</v>
      </c>
      <c r="D4255" t="s">
        <v>441</v>
      </c>
      <c r="E4255" s="217">
        <v>44621</v>
      </c>
      <c r="F4255">
        <v>0</v>
      </c>
      <c r="G4255" s="227" t="s">
        <v>107</v>
      </c>
    </row>
    <row r="4256" spans="1:7">
      <c r="A4256" s="216">
        <v>44621</v>
      </c>
      <c r="B4256" t="s">
        <v>50</v>
      </c>
      <c r="C4256">
        <v>13</v>
      </c>
      <c r="D4256" t="s">
        <v>441</v>
      </c>
      <c r="E4256" s="217">
        <v>44621</v>
      </c>
      <c r="F4256">
        <v>0</v>
      </c>
      <c r="G4256" s="227" t="s">
        <v>102</v>
      </c>
    </row>
    <row r="4257" spans="1:7">
      <c r="A4257" s="216">
        <v>44621</v>
      </c>
      <c r="B4257" t="s">
        <v>50</v>
      </c>
      <c r="C4257">
        <v>13</v>
      </c>
      <c r="D4257" t="s">
        <v>441</v>
      </c>
      <c r="E4257" s="217">
        <v>44621</v>
      </c>
      <c r="F4257">
        <v>0</v>
      </c>
      <c r="G4257" s="227" t="s">
        <v>85</v>
      </c>
    </row>
    <row r="4258" spans="1:7">
      <c r="A4258" s="216">
        <v>44621</v>
      </c>
      <c r="B4258" t="s">
        <v>50</v>
      </c>
      <c r="C4258">
        <v>13</v>
      </c>
      <c r="D4258" t="s">
        <v>441</v>
      </c>
      <c r="E4258" s="217">
        <v>44621</v>
      </c>
      <c r="F4258">
        <v>0</v>
      </c>
      <c r="G4258" s="227" t="s">
        <v>129</v>
      </c>
    </row>
    <row r="4259" spans="1:7">
      <c r="A4259" s="216">
        <v>44621</v>
      </c>
      <c r="B4259" t="s">
        <v>50</v>
      </c>
      <c r="C4259">
        <v>13</v>
      </c>
      <c r="D4259" t="s">
        <v>441</v>
      </c>
      <c r="E4259" s="217">
        <v>44621</v>
      </c>
      <c r="F4259">
        <v>0</v>
      </c>
      <c r="G4259" s="227" t="s">
        <v>125</v>
      </c>
    </row>
    <row r="4260" spans="1:7">
      <c r="A4260" s="216">
        <v>44621</v>
      </c>
      <c r="B4260" t="s">
        <v>50</v>
      </c>
      <c r="C4260">
        <v>13</v>
      </c>
      <c r="D4260" t="s">
        <v>441</v>
      </c>
      <c r="E4260" s="217">
        <v>44621</v>
      </c>
      <c r="F4260">
        <v>0</v>
      </c>
      <c r="G4260" s="227" t="s">
        <v>121</v>
      </c>
    </row>
    <row r="4261" spans="1:7">
      <c r="A4261" s="216">
        <v>44621</v>
      </c>
      <c r="B4261" t="s">
        <v>50</v>
      </c>
      <c r="C4261">
        <v>13</v>
      </c>
      <c r="D4261" t="s">
        <v>441</v>
      </c>
      <c r="E4261" s="217">
        <v>44621</v>
      </c>
      <c r="F4261">
        <v>0</v>
      </c>
      <c r="G4261" s="227" t="s">
        <v>90</v>
      </c>
    </row>
    <row r="4262" spans="1:7">
      <c r="A4262" s="216">
        <v>44621</v>
      </c>
      <c r="B4262" t="s">
        <v>50</v>
      </c>
      <c r="C4262">
        <v>13</v>
      </c>
      <c r="D4262" t="s">
        <v>441</v>
      </c>
      <c r="E4262" s="217">
        <v>44621</v>
      </c>
      <c r="F4262">
        <v>0</v>
      </c>
      <c r="G4262" s="227" t="s">
        <v>98</v>
      </c>
    </row>
    <row r="4263" spans="1:7">
      <c r="A4263" s="216">
        <v>44621</v>
      </c>
      <c r="B4263" t="s">
        <v>50</v>
      </c>
      <c r="C4263">
        <v>13</v>
      </c>
      <c r="D4263" t="s">
        <v>441</v>
      </c>
      <c r="E4263" s="217">
        <v>44621</v>
      </c>
      <c r="F4263">
        <v>0</v>
      </c>
      <c r="G4263" s="227" t="s">
        <v>94</v>
      </c>
    </row>
    <row r="4264" spans="1:7">
      <c r="A4264" s="216">
        <v>44621</v>
      </c>
      <c r="B4264" t="s">
        <v>50</v>
      </c>
      <c r="C4264">
        <v>13</v>
      </c>
      <c r="D4264" t="s">
        <v>441</v>
      </c>
      <c r="E4264" s="217">
        <v>44621</v>
      </c>
      <c r="F4264">
        <v>0</v>
      </c>
      <c r="G4264" s="227" t="s">
        <v>112</v>
      </c>
    </row>
    <row r="4265" spans="1:7">
      <c r="A4265" s="216">
        <v>44621</v>
      </c>
      <c r="B4265" t="s">
        <v>50</v>
      </c>
      <c r="C4265">
        <v>13</v>
      </c>
      <c r="D4265" t="s">
        <v>441</v>
      </c>
      <c r="E4265" s="217">
        <v>44621</v>
      </c>
      <c r="F4265">
        <v>0</v>
      </c>
      <c r="G4265" s="227" t="s">
        <v>434</v>
      </c>
    </row>
    <row r="4266" spans="1:7">
      <c r="A4266" s="216">
        <v>44621</v>
      </c>
      <c r="B4266" t="s">
        <v>50</v>
      </c>
      <c r="C4266">
        <v>14</v>
      </c>
      <c r="D4266" t="s">
        <v>447</v>
      </c>
      <c r="E4266" s="217">
        <v>44621</v>
      </c>
      <c r="F4266">
        <v>0</v>
      </c>
      <c r="G4266" s="227" t="s">
        <v>80</v>
      </c>
    </row>
    <row r="4267" spans="1:7">
      <c r="A4267" s="216">
        <v>44621</v>
      </c>
      <c r="B4267" t="s">
        <v>50</v>
      </c>
      <c r="C4267">
        <v>14</v>
      </c>
      <c r="D4267" t="s">
        <v>447</v>
      </c>
      <c r="E4267" s="217">
        <v>44621</v>
      </c>
      <c r="F4267">
        <v>0</v>
      </c>
      <c r="G4267" s="227" t="s">
        <v>116</v>
      </c>
    </row>
    <row r="4268" spans="1:7">
      <c r="A4268" s="216">
        <v>44621</v>
      </c>
      <c r="B4268" t="s">
        <v>50</v>
      </c>
      <c r="C4268">
        <v>14</v>
      </c>
      <c r="D4268" t="s">
        <v>447</v>
      </c>
      <c r="E4268" s="217">
        <v>44621</v>
      </c>
      <c r="F4268">
        <v>0</v>
      </c>
      <c r="G4268" s="227" t="s">
        <v>107</v>
      </c>
    </row>
    <row r="4269" spans="1:7">
      <c r="A4269" s="216">
        <v>44621</v>
      </c>
      <c r="B4269" t="s">
        <v>50</v>
      </c>
      <c r="C4269">
        <v>14</v>
      </c>
      <c r="D4269" t="s">
        <v>447</v>
      </c>
      <c r="E4269" s="217">
        <v>44621</v>
      </c>
      <c r="F4269">
        <v>0</v>
      </c>
      <c r="G4269" s="227" t="s">
        <v>102</v>
      </c>
    </row>
    <row r="4270" spans="1:7">
      <c r="A4270" s="216">
        <v>44621</v>
      </c>
      <c r="B4270" t="s">
        <v>50</v>
      </c>
      <c r="C4270">
        <v>14</v>
      </c>
      <c r="D4270" t="s">
        <v>447</v>
      </c>
      <c r="E4270" s="217">
        <v>44621</v>
      </c>
      <c r="F4270">
        <v>0</v>
      </c>
      <c r="G4270" s="227" t="s">
        <v>85</v>
      </c>
    </row>
    <row r="4271" spans="1:7">
      <c r="A4271" s="216">
        <v>44621</v>
      </c>
      <c r="B4271" t="s">
        <v>50</v>
      </c>
      <c r="C4271">
        <v>14</v>
      </c>
      <c r="D4271" t="s">
        <v>447</v>
      </c>
      <c r="E4271" s="217">
        <v>44621</v>
      </c>
      <c r="F4271">
        <v>0</v>
      </c>
      <c r="G4271" s="227" t="s">
        <v>129</v>
      </c>
    </row>
    <row r="4272" spans="1:7">
      <c r="A4272" s="216">
        <v>44621</v>
      </c>
      <c r="B4272" t="s">
        <v>50</v>
      </c>
      <c r="C4272">
        <v>14</v>
      </c>
      <c r="D4272" t="s">
        <v>447</v>
      </c>
      <c r="E4272" s="217">
        <v>44621</v>
      </c>
      <c r="F4272">
        <v>0</v>
      </c>
      <c r="G4272" s="227" t="s">
        <v>125</v>
      </c>
    </row>
    <row r="4273" spans="1:7">
      <c r="A4273" s="216">
        <v>44621</v>
      </c>
      <c r="B4273" t="s">
        <v>50</v>
      </c>
      <c r="C4273">
        <v>14</v>
      </c>
      <c r="D4273" t="s">
        <v>447</v>
      </c>
      <c r="E4273" s="217">
        <v>44621</v>
      </c>
      <c r="F4273">
        <v>0</v>
      </c>
      <c r="G4273" s="227" t="s">
        <v>121</v>
      </c>
    </row>
    <row r="4274" spans="1:7">
      <c r="A4274" s="216">
        <v>44621</v>
      </c>
      <c r="B4274" t="s">
        <v>50</v>
      </c>
      <c r="C4274">
        <v>14</v>
      </c>
      <c r="D4274" t="s">
        <v>447</v>
      </c>
      <c r="E4274" s="217">
        <v>44621</v>
      </c>
      <c r="F4274">
        <v>0</v>
      </c>
      <c r="G4274" s="227" t="s">
        <v>90</v>
      </c>
    </row>
    <row r="4275" spans="1:7">
      <c r="A4275" s="216">
        <v>44621</v>
      </c>
      <c r="B4275" t="s">
        <v>50</v>
      </c>
      <c r="C4275">
        <v>14</v>
      </c>
      <c r="D4275" t="s">
        <v>447</v>
      </c>
      <c r="E4275" s="217">
        <v>44621</v>
      </c>
      <c r="F4275">
        <v>0</v>
      </c>
      <c r="G4275" s="227" t="s">
        <v>98</v>
      </c>
    </row>
    <row r="4276" spans="1:7">
      <c r="A4276" s="216">
        <v>44621</v>
      </c>
      <c r="B4276" t="s">
        <v>50</v>
      </c>
      <c r="C4276">
        <v>14</v>
      </c>
      <c r="D4276" t="s">
        <v>447</v>
      </c>
      <c r="E4276" s="217">
        <v>44621</v>
      </c>
      <c r="F4276">
        <v>0</v>
      </c>
      <c r="G4276" s="227" t="s">
        <v>94</v>
      </c>
    </row>
    <row r="4277" spans="1:7">
      <c r="A4277" s="216">
        <v>44621</v>
      </c>
      <c r="B4277" t="s">
        <v>50</v>
      </c>
      <c r="C4277">
        <v>14</v>
      </c>
      <c r="D4277" t="s">
        <v>447</v>
      </c>
      <c r="E4277" s="217">
        <v>44621</v>
      </c>
      <c r="F4277">
        <v>0</v>
      </c>
      <c r="G4277" s="227" t="s">
        <v>112</v>
      </c>
    </row>
    <row r="4278" spans="1:7">
      <c r="A4278" s="216">
        <v>44621</v>
      </c>
      <c r="B4278" t="s">
        <v>50</v>
      </c>
      <c r="C4278">
        <v>14</v>
      </c>
      <c r="D4278" t="s">
        <v>447</v>
      </c>
      <c r="E4278" s="217">
        <v>44621</v>
      </c>
      <c r="F4278">
        <v>0</v>
      </c>
      <c r="G4278" s="227" t="s">
        <v>434</v>
      </c>
    </row>
    <row r="4279" spans="1:7">
      <c r="A4279" s="216">
        <v>44621</v>
      </c>
      <c r="B4279" t="s">
        <v>50</v>
      </c>
      <c r="C4279">
        <v>15</v>
      </c>
      <c r="D4279" t="s">
        <v>437</v>
      </c>
      <c r="E4279" s="217">
        <v>44621</v>
      </c>
      <c r="F4279">
        <v>0</v>
      </c>
      <c r="G4279" s="227" t="s">
        <v>80</v>
      </c>
    </row>
    <row r="4280" spans="1:7">
      <c r="A4280" s="216">
        <v>44621</v>
      </c>
      <c r="B4280" t="s">
        <v>50</v>
      </c>
      <c r="C4280">
        <v>15</v>
      </c>
      <c r="D4280" t="s">
        <v>437</v>
      </c>
      <c r="E4280" s="217">
        <v>44621</v>
      </c>
      <c r="F4280">
        <v>0</v>
      </c>
      <c r="G4280" s="227" t="s">
        <v>116</v>
      </c>
    </row>
    <row r="4281" spans="1:7">
      <c r="A4281" s="216">
        <v>44621</v>
      </c>
      <c r="B4281" t="s">
        <v>50</v>
      </c>
      <c r="C4281">
        <v>15</v>
      </c>
      <c r="D4281" t="s">
        <v>437</v>
      </c>
      <c r="E4281" s="217">
        <v>44621</v>
      </c>
      <c r="F4281">
        <v>0</v>
      </c>
      <c r="G4281" s="227" t="s">
        <v>107</v>
      </c>
    </row>
    <row r="4282" spans="1:7">
      <c r="A4282" s="216">
        <v>44621</v>
      </c>
      <c r="B4282" t="s">
        <v>50</v>
      </c>
      <c r="C4282">
        <v>15</v>
      </c>
      <c r="D4282" t="s">
        <v>437</v>
      </c>
      <c r="E4282" s="217">
        <v>44621</v>
      </c>
      <c r="F4282">
        <v>0</v>
      </c>
      <c r="G4282" s="227" t="s">
        <v>102</v>
      </c>
    </row>
    <row r="4283" spans="1:7">
      <c r="A4283" s="216">
        <v>44621</v>
      </c>
      <c r="B4283" t="s">
        <v>50</v>
      </c>
      <c r="C4283">
        <v>15</v>
      </c>
      <c r="D4283" t="s">
        <v>437</v>
      </c>
      <c r="E4283" s="217">
        <v>44621</v>
      </c>
      <c r="F4283">
        <v>0</v>
      </c>
      <c r="G4283" s="227" t="s">
        <v>85</v>
      </c>
    </row>
    <row r="4284" spans="1:7">
      <c r="A4284" s="216">
        <v>44621</v>
      </c>
      <c r="B4284" t="s">
        <v>50</v>
      </c>
      <c r="C4284">
        <v>15</v>
      </c>
      <c r="D4284" t="s">
        <v>437</v>
      </c>
      <c r="E4284" s="217">
        <v>44621</v>
      </c>
      <c r="F4284">
        <v>0</v>
      </c>
      <c r="G4284" s="227" t="s">
        <v>129</v>
      </c>
    </row>
    <row r="4285" spans="1:7">
      <c r="A4285" s="216">
        <v>44621</v>
      </c>
      <c r="B4285" t="s">
        <v>50</v>
      </c>
      <c r="C4285">
        <v>15</v>
      </c>
      <c r="D4285" t="s">
        <v>437</v>
      </c>
      <c r="E4285" s="217">
        <v>44621</v>
      </c>
      <c r="F4285">
        <v>0</v>
      </c>
      <c r="G4285" s="227" t="s">
        <v>125</v>
      </c>
    </row>
    <row r="4286" spans="1:7">
      <c r="A4286" s="216">
        <v>44621</v>
      </c>
      <c r="B4286" t="s">
        <v>50</v>
      </c>
      <c r="C4286">
        <v>15</v>
      </c>
      <c r="D4286" t="s">
        <v>437</v>
      </c>
      <c r="E4286" s="217">
        <v>44621</v>
      </c>
      <c r="F4286">
        <v>0</v>
      </c>
      <c r="G4286" s="227" t="s">
        <v>121</v>
      </c>
    </row>
    <row r="4287" spans="1:7">
      <c r="A4287" s="216">
        <v>44621</v>
      </c>
      <c r="B4287" t="s">
        <v>50</v>
      </c>
      <c r="C4287">
        <v>15</v>
      </c>
      <c r="D4287" t="s">
        <v>437</v>
      </c>
      <c r="E4287" s="217">
        <v>44621</v>
      </c>
      <c r="F4287">
        <v>0</v>
      </c>
      <c r="G4287" s="227" t="s">
        <v>90</v>
      </c>
    </row>
    <row r="4288" spans="1:7">
      <c r="A4288" s="216">
        <v>44621</v>
      </c>
      <c r="B4288" t="s">
        <v>50</v>
      </c>
      <c r="C4288">
        <v>15</v>
      </c>
      <c r="D4288" t="s">
        <v>437</v>
      </c>
      <c r="E4288" s="217">
        <v>44621</v>
      </c>
      <c r="F4288">
        <v>0</v>
      </c>
      <c r="G4288" s="227" t="s">
        <v>98</v>
      </c>
    </row>
    <row r="4289" spans="1:7">
      <c r="A4289" s="216">
        <v>44621</v>
      </c>
      <c r="B4289" t="s">
        <v>50</v>
      </c>
      <c r="C4289">
        <v>15</v>
      </c>
      <c r="D4289" t="s">
        <v>437</v>
      </c>
      <c r="E4289" s="217">
        <v>44621</v>
      </c>
      <c r="F4289">
        <v>0</v>
      </c>
      <c r="G4289" s="227" t="s">
        <v>94</v>
      </c>
    </row>
    <row r="4290" spans="1:7">
      <c r="A4290" s="216">
        <v>44621</v>
      </c>
      <c r="B4290" t="s">
        <v>50</v>
      </c>
      <c r="C4290">
        <v>15</v>
      </c>
      <c r="D4290" t="s">
        <v>437</v>
      </c>
      <c r="E4290" s="217">
        <v>44621</v>
      </c>
      <c r="F4290">
        <v>0</v>
      </c>
      <c r="G4290" s="227" t="s">
        <v>112</v>
      </c>
    </row>
    <row r="4291" spans="1:7">
      <c r="A4291" s="216">
        <v>44621</v>
      </c>
      <c r="B4291" t="s">
        <v>50</v>
      </c>
      <c r="C4291">
        <v>15</v>
      </c>
      <c r="D4291" t="s">
        <v>437</v>
      </c>
      <c r="E4291" s="217">
        <v>44621</v>
      </c>
      <c r="F4291">
        <v>0</v>
      </c>
      <c r="G4291" s="227" t="s">
        <v>434</v>
      </c>
    </row>
    <row r="4292" spans="1:7">
      <c r="A4292" s="216">
        <v>44621</v>
      </c>
      <c r="B4292" t="s">
        <v>461</v>
      </c>
      <c r="C4292">
        <v>7</v>
      </c>
      <c r="D4292" t="s">
        <v>442</v>
      </c>
      <c r="E4292" s="217">
        <v>44621</v>
      </c>
      <c r="F4292">
        <v>75388</v>
      </c>
      <c r="G4292" s="227" t="s">
        <v>80</v>
      </c>
    </row>
    <row r="4293" spans="1:7">
      <c r="A4293" s="216">
        <v>44621</v>
      </c>
      <c r="B4293" t="s">
        <v>461</v>
      </c>
      <c r="C4293">
        <v>7</v>
      </c>
      <c r="D4293" t="s">
        <v>442</v>
      </c>
      <c r="E4293" s="217">
        <v>44621</v>
      </c>
      <c r="F4293">
        <v>75669</v>
      </c>
      <c r="G4293" s="227" t="s">
        <v>116</v>
      </c>
    </row>
    <row r="4294" spans="1:7">
      <c r="A4294" s="216">
        <v>44621</v>
      </c>
      <c r="B4294" t="s">
        <v>461</v>
      </c>
      <c r="C4294">
        <v>7</v>
      </c>
      <c r="D4294" t="s">
        <v>442</v>
      </c>
      <c r="E4294" s="217">
        <v>44621</v>
      </c>
      <c r="F4294">
        <v>74727</v>
      </c>
      <c r="G4294" s="227" t="s">
        <v>107</v>
      </c>
    </row>
    <row r="4295" spans="1:7">
      <c r="A4295" s="216">
        <v>44621</v>
      </c>
      <c r="B4295" t="s">
        <v>461</v>
      </c>
      <c r="C4295">
        <v>7</v>
      </c>
      <c r="D4295" t="s">
        <v>442</v>
      </c>
      <c r="E4295" s="217">
        <v>44621</v>
      </c>
      <c r="F4295">
        <v>75931</v>
      </c>
      <c r="G4295" s="227" t="s">
        <v>102</v>
      </c>
    </row>
    <row r="4296" spans="1:7">
      <c r="A4296" s="216">
        <v>44621</v>
      </c>
      <c r="B4296" t="s">
        <v>461</v>
      </c>
      <c r="C4296">
        <v>7</v>
      </c>
      <c r="D4296" t="s">
        <v>442</v>
      </c>
      <c r="E4296" s="217">
        <v>44621</v>
      </c>
      <c r="F4296">
        <v>75908</v>
      </c>
      <c r="G4296" s="227" t="s">
        <v>85</v>
      </c>
    </row>
    <row r="4297" spans="1:7">
      <c r="A4297" s="216">
        <v>44621</v>
      </c>
      <c r="B4297" t="s">
        <v>461</v>
      </c>
      <c r="C4297">
        <v>7</v>
      </c>
      <c r="D4297" t="s">
        <v>442</v>
      </c>
      <c r="E4297" s="217">
        <v>44621</v>
      </c>
      <c r="F4297">
        <v>73873</v>
      </c>
      <c r="G4297" s="227" t="s">
        <v>129</v>
      </c>
    </row>
    <row r="4298" spans="1:7">
      <c r="A4298" s="216">
        <v>44621</v>
      </c>
      <c r="B4298" t="s">
        <v>461</v>
      </c>
      <c r="C4298">
        <v>7</v>
      </c>
      <c r="D4298" t="s">
        <v>442</v>
      </c>
      <c r="E4298" s="217">
        <v>44621</v>
      </c>
      <c r="F4298">
        <v>78657</v>
      </c>
      <c r="G4298" s="227" t="s">
        <v>125</v>
      </c>
    </row>
    <row r="4299" spans="1:7">
      <c r="A4299" s="216">
        <v>44621</v>
      </c>
      <c r="B4299" t="s">
        <v>461</v>
      </c>
      <c r="C4299">
        <v>7</v>
      </c>
      <c r="D4299" t="s">
        <v>442</v>
      </c>
      <c r="E4299" s="217">
        <v>44621</v>
      </c>
      <c r="F4299">
        <v>75735</v>
      </c>
      <c r="G4299" s="227" t="s">
        <v>121</v>
      </c>
    </row>
    <row r="4300" spans="1:7">
      <c r="A4300" s="216">
        <v>44621</v>
      </c>
      <c r="B4300" t="s">
        <v>461</v>
      </c>
      <c r="C4300">
        <v>7</v>
      </c>
      <c r="D4300" t="s">
        <v>442</v>
      </c>
      <c r="E4300" s="217">
        <v>44621</v>
      </c>
      <c r="F4300">
        <v>75818</v>
      </c>
      <c r="G4300" s="227" t="s">
        <v>90</v>
      </c>
    </row>
    <row r="4301" spans="1:7">
      <c r="A4301" s="216">
        <v>44621</v>
      </c>
      <c r="B4301" t="s">
        <v>461</v>
      </c>
      <c r="C4301">
        <v>7</v>
      </c>
      <c r="D4301" t="s">
        <v>442</v>
      </c>
      <c r="E4301" s="217">
        <v>44621</v>
      </c>
      <c r="F4301">
        <v>85829</v>
      </c>
      <c r="G4301" s="227" t="s">
        <v>98</v>
      </c>
    </row>
    <row r="4302" spans="1:7">
      <c r="A4302" s="216">
        <v>44621</v>
      </c>
      <c r="B4302" t="s">
        <v>461</v>
      </c>
      <c r="C4302">
        <v>7</v>
      </c>
      <c r="D4302" t="s">
        <v>442</v>
      </c>
      <c r="E4302" s="217">
        <v>44621</v>
      </c>
      <c r="F4302">
        <v>80700</v>
      </c>
      <c r="G4302" s="227" t="s">
        <v>94</v>
      </c>
    </row>
    <row r="4303" spans="1:7">
      <c r="A4303" s="216">
        <v>44621</v>
      </c>
      <c r="B4303" t="s">
        <v>461</v>
      </c>
      <c r="C4303">
        <v>7</v>
      </c>
      <c r="D4303" t="s">
        <v>442</v>
      </c>
      <c r="E4303" s="217">
        <v>44621</v>
      </c>
      <c r="F4303">
        <v>94847</v>
      </c>
      <c r="G4303" s="227" t="s">
        <v>112</v>
      </c>
    </row>
    <row r="4304" spans="1:7">
      <c r="A4304" s="216">
        <v>44621</v>
      </c>
      <c r="B4304" t="s">
        <v>461</v>
      </c>
      <c r="C4304">
        <v>7</v>
      </c>
      <c r="D4304" t="s">
        <v>442</v>
      </c>
      <c r="E4304" s="217">
        <v>44621</v>
      </c>
      <c r="F4304">
        <v>943082</v>
      </c>
      <c r="G4304" s="227" t="s">
        <v>434</v>
      </c>
    </row>
    <row r="4305" spans="1:7">
      <c r="A4305" s="216">
        <v>44621</v>
      </c>
      <c r="B4305" t="s">
        <v>461</v>
      </c>
      <c r="C4305">
        <v>8</v>
      </c>
      <c r="D4305" t="s">
        <v>451</v>
      </c>
      <c r="E4305" s="217">
        <v>44621</v>
      </c>
      <c r="F4305">
        <v>0</v>
      </c>
      <c r="G4305" s="227" t="s">
        <v>80</v>
      </c>
    </row>
    <row r="4306" spans="1:7">
      <c r="A4306" s="216">
        <v>44621</v>
      </c>
      <c r="B4306" t="s">
        <v>461</v>
      </c>
      <c r="C4306">
        <v>8</v>
      </c>
      <c r="D4306" t="s">
        <v>451</v>
      </c>
      <c r="E4306" s="217">
        <v>44621</v>
      </c>
      <c r="F4306">
        <v>0</v>
      </c>
      <c r="G4306" s="227" t="s">
        <v>116</v>
      </c>
    </row>
    <row r="4307" spans="1:7">
      <c r="A4307" s="216">
        <v>44621</v>
      </c>
      <c r="B4307" t="s">
        <v>461</v>
      </c>
      <c r="C4307">
        <v>8</v>
      </c>
      <c r="D4307" t="s">
        <v>451</v>
      </c>
      <c r="E4307" s="217">
        <v>44621</v>
      </c>
      <c r="F4307">
        <v>0</v>
      </c>
      <c r="G4307" s="227" t="s">
        <v>107</v>
      </c>
    </row>
    <row r="4308" spans="1:7">
      <c r="A4308" s="216">
        <v>44621</v>
      </c>
      <c r="B4308" t="s">
        <v>461</v>
      </c>
      <c r="C4308">
        <v>8</v>
      </c>
      <c r="D4308" t="s">
        <v>451</v>
      </c>
      <c r="E4308" s="217">
        <v>44621</v>
      </c>
      <c r="F4308">
        <v>0</v>
      </c>
      <c r="G4308" s="227" t="s">
        <v>102</v>
      </c>
    </row>
    <row r="4309" spans="1:7">
      <c r="A4309" s="216">
        <v>44621</v>
      </c>
      <c r="B4309" t="s">
        <v>461</v>
      </c>
      <c r="C4309">
        <v>8</v>
      </c>
      <c r="D4309" t="s">
        <v>451</v>
      </c>
      <c r="E4309" s="217">
        <v>44621</v>
      </c>
      <c r="F4309">
        <v>0</v>
      </c>
      <c r="G4309" s="227" t="s">
        <v>85</v>
      </c>
    </row>
    <row r="4310" spans="1:7">
      <c r="A4310" s="216">
        <v>44621</v>
      </c>
      <c r="B4310" t="s">
        <v>461</v>
      </c>
      <c r="C4310">
        <v>8</v>
      </c>
      <c r="D4310" t="s">
        <v>451</v>
      </c>
      <c r="E4310" s="217">
        <v>44621</v>
      </c>
      <c r="F4310">
        <v>0</v>
      </c>
      <c r="G4310" s="227" t="s">
        <v>129</v>
      </c>
    </row>
    <row r="4311" spans="1:7">
      <c r="A4311" s="216">
        <v>44621</v>
      </c>
      <c r="B4311" t="s">
        <v>461</v>
      </c>
      <c r="C4311">
        <v>8</v>
      </c>
      <c r="D4311" t="s">
        <v>451</v>
      </c>
      <c r="E4311" s="217">
        <v>44621</v>
      </c>
      <c r="F4311">
        <v>0</v>
      </c>
      <c r="G4311" s="227" t="s">
        <v>125</v>
      </c>
    </row>
    <row r="4312" spans="1:7">
      <c r="A4312" s="216">
        <v>44621</v>
      </c>
      <c r="B4312" t="s">
        <v>461</v>
      </c>
      <c r="C4312">
        <v>8</v>
      </c>
      <c r="D4312" t="s">
        <v>451</v>
      </c>
      <c r="E4312" s="217">
        <v>44621</v>
      </c>
      <c r="F4312">
        <v>0</v>
      </c>
      <c r="G4312" s="227" t="s">
        <v>121</v>
      </c>
    </row>
    <row r="4313" spans="1:7">
      <c r="A4313" s="216">
        <v>44621</v>
      </c>
      <c r="B4313" t="s">
        <v>461</v>
      </c>
      <c r="C4313">
        <v>8</v>
      </c>
      <c r="D4313" t="s">
        <v>451</v>
      </c>
      <c r="E4313" s="217">
        <v>44621</v>
      </c>
      <c r="F4313">
        <v>0</v>
      </c>
      <c r="G4313" s="227" t="s">
        <v>90</v>
      </c>
    </row>
    <row r="4314" spans="1:7">
      <c r="A4314" s="216">
        <v>44621</v>
      </c>
      <c r="B4314" t="s">
        <v>461</v>
      </c>
      <c r="C4314">
        <v>8</v>
      </c>
      <c r="D4314" t="s">
        <v>451</v>
      </c>
      <c r="E4314" s="217">
        <v>44621</v>
      </c>
      <c r="F4314">
        <v>0</v>
      </c>
      <c r="G4314" s="227" t="s">
        <v>98</v>
      </c>
    </row>
    <row r="4315" spans="1:7">
      <c r="A4315" s="216">
        <v>44621</v>
      </c>
      <c r="B4315" t="s">
        <v>461</v>
      </c>
      <c r="C4315">
        <v>8</v>
      </c>
      <c r="D4315" t="s">
        <v>451</v>
      </c>
      <c r="E4315" s="217">
        <v>44621</v>
      </c>
      <c r="F4315">
        <v>0</v>
      </c>
      <c r="G4315" s="227" t="s">
        <v>94</v>
      </c>
    </row>
    <row r="4316" spans="1:7">
      <c r="A4316" s="216">
        <v>44621</v>
      </c>
      <c r="B4316" t="s">
        <v>461</v>
      </c>
      <c r="C4316">
        <v>8</v>
      </c>
      <c r="D4316" t="s">
        <v>451</v>
      </c>
      <c r="E4316" s="217">
        <v>44621</v>
      </c>
      <c r="F4316">
        <v>0</v>
      </c>
      <c r="G4316" s="227" t="s">
        <v>112</v>
      </c>
    </row>
    <row r="4317" spans="1:7">
      <c r="A4317" s="216">
        <v>44621</v>
      </c>
      <c r="B4317" t="s">
        <v>461</v>
      </c>
      <c r="C4317">
        <v>8</v>
      </c>
      <c r="D4317" t="s">
        <v>451</v>
      </c>
      <c r="E4317" s="217">
        <v>44621</v>
      </c>
      <c r="F4317">
        <v>0</v>
      </c>
      <c r="G4317" s="227" t="s">
        <v>434</v>
      </c>
    </row>
    <row r="4318" spans="1:7">
      <c r="A4318" s="216">
        <v>44621</v>
      </c>
      <c r="B4318" t="s">
        <v>461</v>
      </c>
      <c r="C4318">
        <v>9</v>
      </c>
      <c r="D4318" t="s">
        <v>450</v>
      </c>
      <c r="E4318" s="217">
        <v>44621</v>
      </c>
      <c r="F4318">
        <v>0</v>
      </c>
      <c r="G4318" s="227" t="s">
        <v>80</v>
      </c>
    </row>
    <row r="4319" spans="1:7">
      <c r="A4319" s="216">
        <v>44621</v>
      </c>
      <c r="B4319" t="s">
        <v>461</v>
      </c>
      <c r="C4319">
        <v>9</v>
      </c>
      <c r="D4319" t="s">
        <v>450</v>
      </c>
      <c r="E4319" s="217">
        <v>44621</v>
      </c>
      <c r="F4319">
        <v>0</v>
      </c>
      <c r="G4319" s="227" t="s">
        <v>116</v>
      </c>
    </row>
    <row r="4320" spans="1:7">
      <c r="A4320" s="216">
        <v>44621</v>
      </c>
      <c r="B4320" t="s">
        <v>461</v>
      </c>
      <c r="C4320">
        <v>9</v>
      </c>
      <c r="D4320" t="s">
        <v>450</v>
      </c>
      <c r="E4320" s="217">
        <v>44621</v>
      </c>
      <c r="F4320">
        <v>0</v>
      </c>
      <c r="G4320" s="227" t="s">
        <v>107</v>
      </c>
    </row>
    <row r="4321" spans="1:7">
      <c r="A4321" s="216">
        <v>44621</v>
      </c>
      <c r="B4321" t="s">
        <v>461</v>
      </c>
      <c r="C4321">
        <v>9</v>
      </c>
      <c r="D4321" t="s">
        <v>450</v>
      </c>
      <c r="E4321" s="217">
        <v>44621</v>
      </c>
      <c r="F4321">
        <v>0</v>
      </c>
      <c r="G4321" s="227" t="s">
        <v>102</v>
      </c>
    </row>
    <row r="4322" spans="1:7">
      <c r="A4322" s="216">
        <v>44621</v>
      </c>
      <c r="B4322" t="s">
        <v>461</v>
      </c>
      <c r="C4322">
        <v>9</v>
      </c>
      <c r="D4322" t="s">
        <v>450</v>
      </c>
      <c r="E4322" s="217">
        <v>44621</v>
      </c>
      <c r="F4322">
        <v>0</v>
      </c>
      <c r="G4322" s="227" t="s">
        <v>85</v>
      </c>
    </row>
    <row r="4323" spans="1:7">
      <c r="A4323" s="216">
        <v>44621</v>
      </c>
      <c r="B4323" t="s">
        <v>461</v>
      </c>
      <c r="C4323">
        <v>9</v>
      </c>
      <c r="D4323" t="s">
        <v>450</v>
      </c>
      <c r="E4323" s="217">
        <v>44621</v>
      </c>
      <c r="F4323">
        <v>0</v>
      </c>
      <c r="G4323" s="227" t="s">
        <v>129</v>
      </c>
    </row>
    <row r="4324" spans="1:7">
      <c r="A4324" s="216">
        <v>44621</v>
      </c>
      <c r="B4324" t="s">
        <v>461</v>
      </c>
      <c r="C4324">
        <v>9</v>
      </c>
      <c r="D4324" t="s">
        <v>450</v>
      </c>
      <c r="E4324" s="217">
        <v>44621</v>
      </c>
      <c r="F4324">
        <v>0</v>
      </c>
      <c r="G4324" s="227" t="s">
        <v>125</v>
      </c>
    </row>
    <row r="4325" spans="1:7">
      <c r="A4325" s="216">
        <v>44621</v>
      </c>
      <c r="B4325" t="s">
        <v>461</v>
      </c>
      <c r="C4325">
        <v>9</v>
      </c>
      <c r="D4325" t="s">
        <v>450</v>
      </c>
      <c r="E4325" s="217">
        <v>44621</v>
      </c>
      <c r="F4325">
        <v>0</v>
      </c>
      <c r="G4325" s="227" t="s">
        <v>121</v>
      </c>
    </row>
    <row r="4326" spans="1:7">
      <c r="A4326" s="216">
        <v>44621</v>
      </c>
      <c r="B4326" t="s">
        <v>461</v>
      </c>
      <c r="C4326">
        <v>9</v>
      </c>
      <c r="D4326" t="s">
        <v>450</v>
      </c>
      <c r="E4326" s="217">
        <v>44621</v>
      </c>
      <c r="F4326">
        <v>0</v>
      </c>
      <c r="G4326" s="227" t="s">
        <v>90</v>
      </c>
    </row>
    <row r="4327" spans="1:7">
      <c r="A4327" s="216">
        <v>44621</v>
      </c>
      <c r="B4327" t="s">
        <v>461</v>
      </c>
      <c r="C4327">
        <v>9</v>
      </c>
      <c r="D4327" t="s">
        <v>450</v>
      </c>
      <c r="E4327" s="217">
        <v>44621</v>
      </c>
      <c r="F4327">
        <v>0</v>
      </c>
      <c r="G4327" s="227" t="s">
        <v>98</v>
      </c>
    </row>
    <row r="4328" spans="1:7">
      <c r="A4328" s="216">
        <v>44621</v>
      </c>
      <c r="B4328" t="s">
        <v>461</v>
      </c>
      <c r="C4328">
        <v>9</v>
      </c>
      <c r="D4328" t="s">
        <v>450</v>
      </c>
      <c r="E4328" s="217">
        <v>44621</v>
      </c>
      <c r="F4328">
        <v>0</v>
      </c>
      <c r="G4328" s="227" t="s">
        <v>94</v>
      </c>
    </row>
    <row r="4329" spans="1:7">
      <c r="A4329" s="216">
        <v>44621</v>
      </c>
      <c r="B4329" t="s">
        <v>461</v>
      </c>
      <c r="C4329">
        <v>9</v>
      </c>
      <c r="D4329" t="s">
        <v>450</v>
      </c>
      <c r="E4329" s="217">
        <v>44621</v>
      </c>
      <c r="F4329">
        <v>0</v>
      </c>
      <c r="G4329" s="227" t="s">
        <v>112</v>
      </c>
    </row>
    <row r="4330" spans="1:7">
      <c r="A4330" s="216">
        <v>44621</v>
      </c>
      <c r="B4330" t="s">
        <v>461</v>
      </c>
      <c r="C4330">
        <v>9</v>
      </c>
      <c r="D4330" t="s">
        <v>450</v>
      </c>
      <c r="E4330" s="217">
        <v>44621</v>
      </c>
      <c r="F4330">
        <v>0</v>
      </c>
      <c r="G4330" s="227" t="s">
        <v>434</v>
      </c>
    </row>
    <row r="4331" spans="1:7">
      <c r="A4331" s="216">
        <v>44621</v>
      </c>
      <c r="B4331" t="s">
        <v>461</v>
      </c>
      <c r="C4331">
        <v>10</v>
      </c>
      <c r="D4331" t="s">
        <v>433</v>
      </c>
      <c r="E4331" s="217">
        <v>44621</v>
      </c>
      <c r="F4331">
        <v>533</v>
      </c>
      <c r="G4331" s="227" t="s">
        <v>80</v>
      </c>
    </row>
    <row r="4332" spans="1:7">
      <c r="A4332" s="216">
        <v>44621</v>
      </c>
      <c r="B4332" t="s">
        <v>461</v>
      </c>
      <c r="C4332">
        <v>10</v>
      </c>
      <c r="D4332" t="s">
        <v>433</v>
      </c>
      <c r="E4332" s="217">
        <v>44621</v>
      </c>
      <c r="F4332">
        <v>584</v>
      </c>
      <c r="G4332" s="227" t="s">
        <v>116</v>
      </c>
    </row>
    <row r="4333" spans="1:7">
      <c r="A4333" s="216">
        <v>44621</v>
      </c>
      <c r="B4333" t="s">
        <v>461</v>
      </c>
      <c r="C4333">
        <v>10</v>
      </c>
      <c r="D4333" t="s">
        <v>433</v>
      </c>
      <c r="E4333" s="217">
        <v>44621</v>
      </c>
      <c r="F4333">
        <v>648</v>
      </c>
      <c r="G4333" s="227" t="s">
        <v>107</v>
      </c>
    </row>
    <row r="4334" spans="1:7">
      <c r="A4334" s="216">
        <v>44621</v>
      </c>
      <c r="B4334" t="s">
        <v>461</v>
      </c>
      <c r="C4334">
        <v>10</v>
      </c>
      <c r="D4334" t="s">
        <v>433</v>
      </c>
      <c r="E4334" s="217">
        <v>44621</v>
      </c>
      <c r="F4334">
        <v>562</v>
      </c>
      <c r="G4334" s="227" t="s">
        <v>102</v>
      </c>
    </row>
    <row r="4335" spans="1:7">
      <c r="A4335" s="216">
        <v>44621</v>
      </c>
      <c r="B4335" t="s">
        <v>461</v>
      </c>
      <c r="C4335">
        <v>10</v>
      </c>
      <c r="D4335" t="s">
        <v>433</v>
      </c>
      <c r="E4335" s="217">
        <v>44621</v>
      </c>
      <c r="F4335">
        <v>544</v>
      </c>
      <c r="G4335" s="227" t="s">
        <v>85</v>
      </c>
    </row>
    <row r="4336" spans="1:7">
      <c r="A4336" s="216">
        <v>44621</v>
      </c>
      <c r="B4336" t="s">
        <v>461</v>
      </c>
      <c r="C4336">
        <v>10</v>
      </c>
      <c r="D4336" t="s">
        <v>433</v>
      </c>
      <c r="E4336" s="217">
        <v>44621</v>
      </c>
      <c r="F4336">
        <v>627</v>
      </c>
      <c r="G4336" s="227" t="s">
        <v>129</v>
      </c>
    </row>
    <row r="4337" spans="1:7">
      <c r="A4337" s="216">
        <v>44621</v>
      </c>
      <c r="B4337" t="s">
        <v>461</v>
      </c>
      <c r="C4337">
        <v>10</v>
      </c>
      <c r="D4337" t="s">
        <v>433</v>
      </c>
      <c r="E4337" s="217">
        <v>44621</v>
      </c>
      <c r="F4337">
        <v>531</v>
      </c>
      <c r="G4337" s="227" t="s">
        <v>125</v>
      </c>
    </row>
    <row r="4338" spans="1:7">
      <c r="A4338" s="216">
        <v>44621</v>
      </c>
      <c r="B4338" t="s">
        <v>461</v>
      </c>
      <c r="C4338">
        <v>10</v>
      </c>
      <c r="D4338" t="s">
        <v>433</v>
      </c>
      <c r="E4338" s="217">
        <v>44621</v>
      </c>
      <c r="F4338">
        <v>598</v>
      </c>
      <c r="G4338" s="227" t="s">
        <v>121</v>
      </c>
    </row>
    <row r="4339" spans="1:7">
      <c r="A4339" s="216">
        <v>44621</v>
      </c>
      <c r="B4339" t="s">
        <v>461</v>
      </c>
      <c r="C4339">
        <v>10</v>
      </c>
      <c r="D4339" t="s">
        <v>433</v>
      </c>
      <c r="E4339" s="217">
        <v>44621</v>
      </c>
      <c r="F4339">
        <v>569</v>
      </c>
      <c r="G4339" s="227" t="s">
        <v>90</v>
      </c>
    </row>
    <row r="4340" spans="1:7">
      <c r="A4340" s="216">
        <v>44621</v>
      </c>
      <c r="B4340" t="s">
        <v>461</v>
      </c>
      <c r="C4340">
        <v>10</v>
      </c>
      <c r="D4340" t="s">
        <v>433</v>
      </c>
      <c r="E4340" s="217">
        <v>44621</v>
      </c>
      <c r="F4340">
        <v>621</v>
      </c>
      <c r="G4340" s="227" t="s">
        <v>98</v>
      </c>
    </row>
    <row r="4341" spans="1:7">
      <c r="A4341" s="216">
        <v>44621</v>
      </c>
      <c r="B4341" t="s">
        <v>461</v>
      </c>
      <c r="C4341">
        <v>10</v>
      </c>
      <c r="D4341" t="s">
        <v>433</v>
      </c>
      <c r="E4341" s="217">
        <v>44621</v>
      </c>
      <c r="F4341">
        <v>598</v>
      </c>
      <c r="G4341" s="227" t="s">
        <v>94</v>
      </c>
    </row>
    <row r="4342" spans="1:7">
      <c r="A4342" s="216">
        <v>44621</v>
      </c>
      <c r="B4342" t="s">
        <v>461</v>
      </c>
      <c r="C4342">
        <v>10</v>
      </c>
      <c r="D4342" t="s">
        <v>433</v>
      </c>
      <c r="E4342" s="217">
        <v>44621</v>
      </c>
      <c r="F4342">
        <v>838</v>
      </c>
      <c r="G4342" s="227" t="s">
        <v>112</v>
      </c>
    </row>
    <row r="4343" spans="1:7">
      <c r="A4343" s="216">
        <v>44621</v>
      </c>
      <c r="B4343" t="s">
        <v>461</v>
      </c>
      <c r="C4343">
        <v>10</v>
      </c>
      <c r="D4343" t="s">
        <v>433</v>
      </c>
      <c r="E4343" s="217">
        <v>44621</v>
      </c>
      <c r="F4343">
        <v>7253</v>
      </c>
      <c r="G4343" s="227" t="s">
        <v>434</v>
      </c>
    </row>
    <row r="4344" spans="1:7">
      <c r="A4344" s="216">
        <v>44621</v>
      </c>
      <c r="B4344" t="s">
        <v>461</v>
      </c>
      <c r="C4344">
        <v>11</v>
      </c>
      <c r="D4344" t="s">
        <v>445</v>
      </c>
      <c r="E4344" s="217">
        <v>44621</v>
      </c>
      <c r="F4344">
        <v>119</v>
      </c>
      <c r="G4344" s="227" t="s">
        <v>80</v>
      </c>
    </row>
    <row r="4345" spans="1:7">
      <c r="A4345" s="216">
        <v>44621</v>
      </c>
      <c r="B4345" t="s">
        <v>461</v>
      </c>
      <c r="C4345">
        <v>11</v>
      </c>
      <c r="D4345" t="s">
        <v>445</v>
      </c>
      <c r="E4345" s="217">
        <v>44621</v>
      </c>
      <c r="F4345">
        <v>119</v>
      </c>
      <c r="G4345" s="227" t="s">
        <v>116</v>
      </c>
    </row>
    <row r="4346" spans="1:7">
      <c r="A4346" s="216">
        <v>44621</v>
      </c>
      <c r="B4346" t="s">
        <v>461</v>
      </c>
      <c r="C4346">
        <v>11</v>
      </c>
      <c r="D4346" t="s">
        <v>445</v>
      </c>
      <c r="E4346" s="217">
        <v>44621</v>
      </c>
      <c r="F4346">
        <v>119</v>
      </c>
      <c r="G4346" s="227" t="s">
        <v>107</v>
      </c>
    </row>
    <row r="4347" spans="1:7">
      <c r="A4347" s="216">
        <v>44621</v>
      </c>
      <c r="B4347" t="s">
        <v>461</v>
      </c>
      <c r="C4347">
        <v>11</v>
      </c>
      <c r="D4347" t="s">
        <v>445</v>
      </c>
      <c r="E4347" s="217">
        <v>44621</v>
      </c>
      <c r="F4347">
        <v>119</v>
      </c>
      <c r="G4347" s="227" t="s">
        <v>102</v>
      </c>
    </row>
    <row r="4348" spans="1:7">
      <c r="A4348" s="216">
        <v>44621</v>
      </c>
      <c r="B4348" t="s">
        <v>461</v>
      </c>
      <c r="C4348">
        <v>11</v>
      </c>
      <c r="D4348" t="s">
        <v>445</v>
      </c>
      <c r="E4348" s="217">
        <v>44621</v>
      </c>
      <c r="F4348">
        <v>119</v>
      </c>
      <c r="G4348" s="227" t="s">
        <v>85</v>
      </c>
    </row>
    <row r="4349" spans="1:7">
      <c r="A4349" s="216">
        <v>44621</v>
      </c>
      <c r="B4349" t="s">
        <v>461</v>
      </c>
      <c r="C4349">
        <v>11</v>
      </c>
      <c r="D4349" t="s">
        <v>445</v>
      </c>
      <c r="E4349" s="217">
        <v>44621</v>
      </c>
      <c r="F4349">
        <v>119</v>
      </c>
      <c r="G4349" s="227" t="s">
        <v>129</v>
      </c>
    </row>
    <row r="4350" spans="1:7">
      <c r="A4350" s="216">
        <v>44621</v>
      </c>
      <c r="B4350" t="s">
        <v>461</v>
      </c>
      <c r="C4350">
        <v>11</v>
      </c>
      <c r="D4350" t="s">
        <v>445</v>
      </c>
      <c r="E4350" s="217">
        <v>44621</v>
      </c>
      <c r="F4350">
        <v>119</v>
      </c>
      <c r="G4350" s="227" t="s">
        <v>125</v>
      </c>
    </row>
    <row r="4351" spans="1:7">
      <c r="A4351" s="216">
        <v>44621</v>
      </c>
      <c r="B4351" t="s">
        <v>461</v>
      </c>
      <c r="C4351">
        <v>11</v>
      </c>
      <c r="D4351" t="s">
        <v>445</v>
      </c>
      <c r="E4351" s="217">
        <v>44621</v>
      </c>
      <c r="F4351">
        <v>119</v>
      </c>
      <c r="G4351" s="227" t="s">
        <v>121</v>
      </c>
    </row>
    <row r="4352" spans="1:7">
      <c r="A4352" s="216">
        <v>44621</v>
      </c>
      <c r="B4352" t="s">
        <v>461</v>
      </c>
      <c r="C4352">
        <v>11</v>
      </c>
      <c r="D4352" t="s">
        <v>445</v>
      </c>
      <c r="E4352" s="217">
        <v>44621</v>
      </c>
      <c r="F4352">
        <v>119</v>
      </c>
      <c r="G4352" s="227" t="s">
        <v>90</v>
      </c>
    </row>
    <row r="4353" spans="1:7">
      <c r="A4353" s="216">
        <v>44621</v>
      </c>
      <c r="B4353" t="s">
        <v>461</v>
      </c>
      <c r="C4353">
        <v>11</v>
      </c>
      <c r="D4353" t="s">
        <v>445</v>
      </c>
      <c r="E4353" s="217">
        <v>44621</v>
      </c>
      <c r="F4353">
        <v>119</v>
      </c>
      <c r="G4353" s="227" t="s">
        <v>98</v>
      </c>
    </row>
    <row r="4354" spans="1:7">
      <c r="A4354" s="216">
        <v>44621</v>
      </c>
      <c r="B4354" t="s">
        <v>461</v>
      </c>
      <c r="C4354">
        <v>11</v>
      </c>
      <c r="D4354" t="s">
        <v>445</v>
      </c>
      <c r="E4354" s="217">
        <v>44621</v>
      </c>
      <c r="F4354">
        <v>119</v>
      </c>
      <c r="G4354" s="227" t="s">
        <v>94</v>
      </c>
    </row>
    <row r="4355" spans="1:7">
      <c r="A4355" s="216">
        <v>44621</v>
      </c>
      <c r="B4355" t="s">
        <v>461</v>
      </c>
      <c r="C4355">
        <v>11</v>
      </c>
      <c r="D4355" t="s">
        <v>445</v>
      </c>
      <c r="E4355" s="217">
        <v>44621</v>
      </c>
      <c r="F4355">
        <v>119</v>
      </c>
      <c r="G4355" s="227" t="s">
        <v>112</v>
      </c>
    </row>
    <row r="4356" spans="1:7">
      <c r="A4356" s="216">
        <v>44621</v>
      </c>
      <c r="B4356" t="s">
        <v>461</v>
      </c>
      <c r="C4356">
        <v>11</v>
      </c>
      <c r="D4356" t="s">
        <v>445</v>
      </c>
      <c r="E4356" s="217">
        <v>44621</v>
      </c>
      <c r="F4356">
        <v>1428</v>
      </c>
      <c r="G4356" s="227" t="s">
        <v>434</v>
      </c>
    </row>
    <row r="4357" spans="1:7">
      <c r="A4357" s="216">
        <v>44621</v>
      </c>
      <c r="B4357" t="s">
        <v>461</v>
      </c>
      <c r="C4357">
        <v>12</v>
      </c>
      <c r="D4357" t="s">
        <v>454</v>
      </c>
      <c r="E4357" s="217">
        <v>44621</v>
      </c>
      <c r="F4357">
        <v>0</v>
      </c>
      <c r="G4357" s="227" t="s">
        <v>80</v>
      </c>
    </row>
    <row r="4358" spans="1:7">
      <c r="A4358" s="216">
        <v>44621</v>
      </c>
      <c r="B4358" t="s">
        <v>461</v>
      </c>
      <c r="C4358">
        <v>12</v>
      </c>
      <c r="D4358" t="s">
        <v>454</v>
      </c>
      <c r="E4358" s="217">
        <v>44621</v>
      </c>
      <c r="F4358">
        <v>0</v>
      </c>
      <c r="G4358" s="227" t="s">
        <v>116</v>
      </c>
    </row>
    <row r="4359" spans="1:7">
      <c r="A4359" s="216">
        <v>44621</v>
      </c>
      <c r="B4359" t="s">
        <v>461</v>
      </c>
      <c r="C4359">
        <v>12</v>
      </c>
      <c r="D4359" t="s">
        <v>454</v>
      </c>
      <c r="E4359" s="217">
        <v>44621</v>
      </c>
      <c r="F4359">
        <v>0</v>
      </c>
      <c r="G4359" s="227" t="s">
        <v>107</v>
      </c>
    </row>
    <row r="4360" spans="1:7">
      <c r="A4360" s="216">
        <v>44621</v>
      </c>
      <c r="B4360" t="s">
        <v>461</v>
      </c>
      <c r="C4360">
        <v>12</v>
      </c>
      <c r="D4360" t="s">
        <v>454</v>
      </c>
      <c r="E4360" s="217">
        <v>44621</v>
      </c>
      <c r="F4360">
        <v>0</v>
      </c>
      <c r="G4360" s="227" t="s">
        <v>102</v>
      </c>
    </row>
    <row r="4361" spans="1:7">
      <c r="A4361" s="216">
        <v>44621</v>
      </c>
      <c r="B4361" t="s">
        <v>461</v>
      </c>
      <c r="C4361">
        <v>12</v>
      </c>
      <c r="D4361" t="s">
        <v>454</v>
      </c>
      <c r="E4361" s="217">
        <v>44621</v>
      </c>
      <c r="F4361">
        <v>0</v>
      </c>
      <c r="G4361" s="227" t="s">
        <v>85</v>
      </c>
    </row>
    <row r="4362" spans="1:7">
      <c r="A4362" s="216">
        <v>44621</v>
      </c>
      <c r="B4362" t="s">
        <v>461</v>
      </c>
      <c r="C4362">
        <v>12</v>
      </c>
      <c r="D4362" t="s">
        <v>454</v>
      </c>
      <c r="E4362" s="217">
        <v>44621</v>
      </c>
      <c r="F4362">
        <v>0</v>
      </c>
      <c r="G4362" s="227" t="s">
        <v>129</v>
      </c>
    </row>
    <row r="4363" spans="1:7">
      <c r="A4363" s="216">
        <v>44621</v>
      </c>
      <c r="B4363" t="s">
        <v>461</v>
      </c>
      <c r="C4363">
        <v>12</v>
      </c>
      <c r="D4363" t="s">
        <v>454</v>
      </c>
      <c r="E4363" s="217">
        <v>44621</v>
      </c>
      <c r="F4363">
        <v>0</v>
      </c>
      <c r="G4363" s="227" t="s">
        <v>125</v>
      </c>
    </row>
    <row r="4364" spans="1:7">
      <c r="A4364" s="216">
        <v>44621</v>
      </c>
      <c r="B4364" t="s">
        <v>461</v>
      </c>
      <c r="C4364">
        <v>12</v>
      </c>
      <c r="D4364" t="s">
        <v>454</v>
      </c>
      <c r="E4364" s="217">
        <v>44621</v>
      </c>
      <c r="F4364">
        <v>0</v>
      </c>
      <c r="G4364" s="227" t="s">
        <v>121</v>
      </c>
    </row>
    <row r="4365" spans="1:7">
      <c r="A4365" s="216">
        <v>44621</v>
      </c>
      <c r="B4365" t="s">
        <v>461</v>
      </c>
      <c r="C4365">
        <v>12</v>
      </c>
      <c r="D4365" t="s">
        <v>454</v>
      </c>
      <c r="E4365" s="217">
        <v>44621</v>
      </c>
      <c r="F4365">
        <v>0</v>
      </c>
      <c r="G4365" s="227" t="s">
        <v>90</v>
      </c>
    </row>
    <row r="4366" spans="1:7">
      <c r="A4366" s="216">
        <v>44621</v>
      </c>
      <c r="B4366" t="s">
        <v>461</v>
      </c>
      <c r="C4366">
        <v>12</v>
      </c>
      <c r="D4366" t="s">
        <v>454</v>
      </c>
      <c r="E4366" s="217">
        <v>44621</v>
      </c>
      <c r="F4366">
        <v>0</v>
      </c>
      <c r="G4366" s="227" t="s">
        <v>98</v>
      </c>
    </row>
    <row r="4367" spans="1:7">
      <c r="A4367" s="216">
        <v>44621</v>
      </c>
      <c r="B4367" t="s">
        <v>461</v>
      </c>
      <c r="C4367">
        <v>12</v>
      </c>
      <c r="D4367" t="s">
        <v>454</v>
      </c>
      <c r="E4367" s="217">
        <v>44621</v>
      </c>
      <c r="F4367">
        <v>0</v>
      </c>
      <c r="G4367" s="227" t="s">
        <v>94</v>
      </c>
    </row>
    <row r="4368" spans="1:7">
      <c r="A4368" s="216">
        <v>44621</v>
      </c>
      <c r="B4368" t="s">
        <v>461</v>
      </c>
      <c r="C4368">
        <v>12</v>
      </c>
      <c r="D4368" t="s">
        <v>454</v>
      </c>
      <c r="E4368" s="217">
        <v>44621</v>
      </c>
      <c r="F4368">
        <v>0</v>
      </c>
      <c r="G4368" s="227" t="s">
        <v>112</v>
      </c>
    </row>
    <row r="4369" spans="1:7">
      <c r="A4369" s="216">
        <v>44621</v>
      </c>
      <c r="B4369" t="s">
        <v>461</v>
      </c>
      <c r="C4369">
        <v>12</v>
      </c>
      <c r="D4369" t="s">
        <v>454</v>
      </c>
      <c r="E4369" s="217">
        <v>44621</v>
      </c>
      <c r="F4369">
        <v>0</v>
      </c>
      <c r="G4369" s="227" t="s">
        <v>434</v>
      </c>
    </row>
    <row r="4370" spans="1:7">
      <c r="A4370" s="216">
        <v>44621</v>
      </c>
      <c r="B4370" t="s">
        <v>461</v>
      </c>
      <c r="C4370">
        <v>13</v>
      </c>
      <c r="D4370" t="s">
        <v>441</v>
      </c>
      <c r="E4370" s="217">
        <v>44621</v>
      </c>
      <c r="F4370">
        <v>72491</v>
      </c>
      <c r="G4370" s="227" t="s">
        <v>80</v>
      </c>
    </row>
    <row r="4371" spans="1:7">
      <c r="A4371" s="216">
        <v>44621</v>
      </c>
      <c r="B4371" t="s">
        <v>461</v>
      </c>
      <c r="C4371">
        <v>13</v>
      </c>
      <c r="D4371" t="s">
        <v>441</v>
      </c>
      <c r="E4371" s="217">
        <v>44621</v>
      </c>
      <c r="F4371">
        <v>72721</v>
      </c>
      <c r="G4371" s="227" t="s">
        <v>116</v>
      </c>
    </row>
    <row r="4372" spans="1:7">
      <c r="A4372" s="216">
        <v>44621</v>
      </c>
      <c r="B4372" t="s">
        <v>461</v>
      </c>
      <c r="C4372">
        <v>13</v>
      </c>
      <c r="D4372" t="s">
        <v>441</v>
      </c>
      <c r="E4372" s="217">
        <v>44621</v>
      </c>
      <c r="F4372">
        <v>71715</v>
      </c>
      <c r="G4372" s="227" t="s">
        <v>107</v>
      </c>
    </row>
    <row r="4373" spans="1:7">
      <c r="A4373" s="216">
        <v>44621</v>
      </c>
      <c r="B4373" t="s">
        <v>461</v>
      </c>
      <c r="C4373">
        <v>13</v>
      </c>
      <c r="D4373" t="s">
        <v>441</v>
      </c>
      <c r="E4373" s="217">
        <v>44621</v>
      </c>
      <c r="F4373">
        <v>72405</v>
      </c>
      <c r="G4373" s="227" t="s">
        <v>102</v>
      </c>
    </row>
    <row r="4374" spans="1:7">
      <c r="A4374" s="216">
        <v>44621</v>
      </c>
      <c r="B4374" t="s">
        <v>461</v>
      </c>
      <c r="C4374">
        <v>13</v>
      </c>
      <c r="D4374" t="s">
        <v>441</v>
      </c>
      <c r="E4374" s="217">
        <v>44621</v>
      </c>
      <c r="F4374">
        <v>71400</v>
      </c>
      <c r="G4374" s="227" t="s">
        <v>85</v>
      </c>
    </row>
    <row r="4375" spans="1:7">
      <c r="A4375" s="216">
        <v>44621</v>
      </c>
      <c r="B4375" t="s">
        <v>461</v>
      </c>
      <c r="C4375">
        <v>13</v>
      </c>
      <c r="D4375" t="s">
        <v>441</v>
      </c>
      <c r="E4375" s="217">
        <v>44621</v>
      </c>
      <c r="F4375">
        <v>70182</v>
      </c>
      <c r="G4375" s="227" t="s">
        <v>129</v>
      </c>
    </row>
    <row r="4376" spans="1:7">
      <c r="A4376" s="216">
        <v>44621</v>
      </c>
      <c r="B4376" t="s">
        <v>461</v>
      </c>
      <c r="C4376">
        <v>13</v>
      </c>
      <c r="D4376" t="s">
        <v>441</v>
      </c>
      <c r="E4376" s="217">
        <v>44621</v>
      </c>
      <c r="F4376">
        <v>75279</v>
      </c>
      <c r="G4376" s="227" t="s">
        <v>125</v>
      </c>
    </row>
    <row r="4377" spans="1:7">
      <c r="A4377" s="216">
        <v>44621</v>
      </c>
      <c r="B4377" t="s">
        <v>461</v>
      </c>
      <c r="C4377">
        <v>13</v>
      </c>
      <c r="D4377" t="s">
        <v>441</v>
      </c>
      <c r="E4377" s="217">
        <v>44621</v>
      </c>
      <c r="F4377">
        <v>72860</v>
      </c>
      <c r="G4377" s="227" t="s">
        <v>121</v>
      </c>
    </row>
    <row r="4378" spans="1:7">
      <c r="A4378" s="216">
        <v>44621</v>
      </c>
      <c r="B4378" t="s">
        <v>461</v>
      </c>
      <c r="C4378">
        <v>13</v>
      </c>
      <c r="D4378" t="s">
        <v>441</v>
      </c>
      <c r="E4378" s="217">
        <v>44621</v>
      </c>
      <c r="F4378">
        <v>72985</v>
      </c>
      <c r="G4378" s="227" t="s">
        <v>90</v>
      </c>
    </row>
    <row r="4379" spans="1:7">
      <c r="A4379" s="216">
        <v>44621</v>
      </c>
      <c r="B4379" t="s">
        <v>461</v>
      </c>
      <c r="C4379">
        <v>13</v>
      </c>
      <c r="D4379" t="s">
        <v>441</v>
      </c>
      <c r="E4379" s="217">
        <v>44621</v>
      </c>
      <c r="F4379">
        <v>82369</v>
      </c>
      <c r="G4379" s="227" t="s">
        <v>98</v>
      </c>
    </row>
    <row r="4380" spans="1:7">
      <c r="A4380" s="216">
        <v>44621</v>
      </c>
      <c r="B4380" t="s">
        <v>461</v>
      </c>
      <c r="C4380">
        <v>13</v>
      </c>
      <c r="D4380" t="s">
        <v>441</v>
      </c>
      <c r="E4380" s="217">
        <v>44621</v>
      </c>
      <c r="F4380">
        <v>76420</v>
      </c>
      <c r="G4380" s="227" t="s">
        <v>94</v>
      </c>
    </row>
    <row r="4381" spans="1:7">
      <c r="A4381" s="216">
        <v>44621</v>
      </c>
      <c r="B4381" t="s">
        <v>461</v>
      </c>
      <c r="C4381">
        <v>13</v>
      </c>
      <c r="D4381" t="s">
        <v>441</v>
      </c>
      <c r="E4381" s="217">
        <v>44621</v>
      </c>
      <c r="F4381">
        <v>86803</v>
      </c>
      <c r="G4381" s="227" t="s">
        <v>112</v>
      </c>
    </row>
    <row r="4382" spans="1:7">
      <c r="A4382" s="216">
        <v>44621</v>
      </c>
      <c r="B4382" t="s">
        <v>461</v>
      </c>
      <c r="C4382">
        <v>13</v>
      </c>
      <c r="D4382" t="s">
        <v>441</v>
      </c>
      <c r="E4382" s="217">
        <v>44621</v>
      </c>
      <c r="F4382">
        <v>897630</v>
      </c>
      <c r="G4382" s="227" t="s">
        <v>434</v>
      </c>
    </row>
    <row r="4383" spans="1:7">
      <c r="A4383" s="216">
        <v>44621</v>
      </c>
      <c r="B4383" t="s">
        <v>461</v>
      </c>
      <c r="C4383">
        <v>14</v>
      </c>
      <c r="D4383" t="s">
        <v>447</v>
      </c>
      <c r="E4383" s="217">
        <v>44621</v>
      </c>
      <c r="F4383">
        <v>0</v>
      </c>
      <c r="G4383" s="227" t="s">
        <v>80</v>
      </c>
    </row>
    <row r="4384" spans="1:7">
      <c r="A4384" s="216">
        <v>44621</v>
      </c>
      <c r="B4384" t="s">
        <v>461</v>
      </c>
      <c r="C4384">
        <v>14</v>
      </c>
      <c r="D4384" t="s">
        <v>447</v>
      </c>
      <c r="E4384" s="217">
        <v>44621</v>
      </c>
      <c r="F4384">
        <v>0</v>
      </c>
      <c r="G4384" s="227" t="s">
        <v>116</v>
      </c>
    </row>
    <row r="4385" spans="1:7">
      <c r="A4385" s="216">
        <v>44621</v>
      </c>
      <c r="B4385" t="s">
        <v>461</v>
      </c>
      <c r="C4385">
        <v>14</v>
      </c>
      <c r="D4385" t="s">
        <v>447</v>
      </c>
      <c r="E4385" s="217">
        <v>44621</v>
      </c>
      <c r="F4385">
        <v>0</v>
      </c>
      <c r="G4385" s="227" t="s">
        <v>107</v>
      </c>
    </row>
    <row r="4386" spans="1:7">
      <c r="A4386" s="216">
        <v>44621</v>
      </c>
      <c r="B4386" t="s">
        <v>461</v>
      </c>
      <c r="C4386">
        <v>14</v>
      </c>
      <c r="D4386" t="s">
        <v>447</v>
      </c>
      <c r="E4386" s="217">
        <v>44621</v>
      </c>
      <c r="F4386">
        <v>0</v>
      </c>
      <c r="G4386" s="227" t="s">
        <v>102</v>
      </c>
    </row>
    <row r="4387" spans="1:7">
      <c r="A4387" s="216">
        <v>44621</v>
      </c>
      <c r="B4387" t="s">
        <v>461</v>
      </c>
      <c r="C4387">
        <v>14</v>
      </c>
      <c r="D4387" t="s">
        <v>447</v>
      </c>
      <c r="E4387" s="217">
        <v>44621</v>
      </c>
      <c r="F4387">
        <v>0</v>
      </c>
      <c r="G4387" s="227" t="s">
        <v>85</v>
      </c>
    </row>
    <row r="4388" spans="1:7">
      <c r="A4388" s="216">
        <v>44621</v>
      </c>
      <c r="B4388" t="s">
        <v>461</v>
      </c>
      <c r="C4388">
        <v>14</v>
      </c>
      <c r="D4388" t="s">
        <v>447</v>
      </c>
      <c r="E4388" s="217">
        <v>44621</v>
      </c>
      <c r="F4388">
        <v>0</v>
      </c>
      <c r="G4388" s="227" t="s">
        <v>129</v>
      </c>
    </row>
    <row r="4389" spans="1:7">
      <c r="A4389" s="216">
        <v>44621</v>
      </c>
      <c r="B4389" t="s">
        <v>461</v>
      </c>
      <c r="C4389">
        <v>14</v>
      </c>
      <c r="D4389" t="s">
        <v>447</v>
      </c>
      <c r="E4389" s="217">
        <v>44621</v>
      </c>
      <c r="F4389">
        <v>0</v>
      </c>
      <c r="G4389" s="227" t="s">
        <v>125</v>
      </c>
    </row>
    <row r="4390" spans="1:7">
      <c r="A4390" s="216">
        <v>44621</v>
      </c>
      <c r="B4390" t="s">
        <v>461</v>
      </c>
      <c r="C4390">
        <v>14</v>
      </c>
      <c r="D4390" t="s">
        <v>447</v>
      </c>
      <c r="E4390" s="217">
        <v>44621</v>
      </c>
      <c r="F4390">
        <v>0</v>
      </c>
      <c r="G4390" s="227" t="s">
        <v>121</v>
      </c>
    </row>
    <row r="4391" spans="1:7">
      <c r="A4391" s="216">
        <v>44621</v>
      </c>
      <c r="B4391" t="s">
        <v>461</v>
      </c>
      <c r="C4391">
        <v>14</v>
      </c>
      <c r="D4391" t="s">
        <v>447</v>
      </c>
      <c r="E4391" s="217">
        <v>44621</v>
      </c>
      <c r="F4391">
        <v>0</v>
      </c>
      <c r="G4391" s="227" t="s">
        <v>90</v>
      </c>
    </row>
    <row r="4392" spans="1:7">
      <c r="A4392" s="216">
        <v>44621</v>
      </c>
      <c r="B4392" t="s">
        <v>461</v>
      </c>
      <c r="C4392">
        <v>14</v>
      </c>
      <c r="D4392" t="s">
        <v>447</v>
      </c>
      <c r="E4392" s="217">
        <v>44621</v>
      </c>
      <c r="F4392">
        <v>0</v>
      </c>
      <c r="G4392" s="227" t="s">
        <v>98</v>
      </c>
    </row>
    <row r="4393" spans="1:7">
      <c r="A4393" s="216">
        <v>44621</v>
      </c>
      <c r="B4393" t="s">
        <v>461</v>
      </c>
      <c r="C4393">
        <v>14</v>
      </c>
      <c r="D4393" t="s">
        <v>447</v>
      </c>
      <c r="E4393" s="217">
        <v>44621</v>
      </c>
      <c r="F4393">
        <v>0</v>
      </c>
      <c r="G4393" s="227" t="s">
        <v>94</v>
      </c>
    </row>
    <row r="4394" spans="1:7">
      <c r="A4394" s="216">
        <v>44621</v>
      </c>
      <c r="B4394" t="s">
        <v>461</v>
      </c>
      <c r="C4394">
        <v>14</v>
      </c>
      <c r="D4394" t="s">
        <v>447</v>
      </c>
      <c r="E4394" s="217">
        <v>44621</v>
      </c>
      <c r="F4394">
        <v>0</v>
      </c>
      <c r="G4394" s="227" t="s">
        <v>112</v>
      </c>
    </row>
    <row r="4395" spans="1:7">
      <c r="A4395" s="216">
        <v>44621</v>
      </c>
      <c r="B4395" t="s">
        <v>461</v>
      </c>
      <c r="C4395">
        <v>14</v>
      </c>
      <c r="D4395" t="s">
        <v>447</v>
      </c>
      <c r="E4395" s="217">
        <v>44621</v>
      </c>
      <c r="F4395">
        <v>0</v>
      </c>
      <c r="G4395" s="227" t="s">
        <v>434</v>
      </c>
    </row>
    <row r="4396" spans="1:7">
      <c r="A4396" s="216">
        <v>44621</v>
      </c>
      <c r="B4396" t="s">
        <v>461</v>
      </c>
      <c r="C4396">
        <v>15</v>
      </c>
      <c r="D4396" t="s">
        <v>437</v>
      </c>
      <c r="E4396" s="217">
        <v>44621</v>
      </c>
      <c r="F4396">
        <v>0</v>
      </c>
      <c r="G4396" s="227" t="s">
        <v>80</v>
      </c>
    </row>
    <row r="4397" spans="1:7">
      <c r="A4397" s="216">
        <v>44621</v>
      </c>
      <c r="B4397" t="s">
        <v>461</v>
      </c>
      <c r="C4397">
        <v>15</v>
      </c>
      <c r="D4397" t="s">
        <v>437</v>
      </c>
      <c r="E4397" s="217">
        <v>44621</v>
      </c>
      <c r="F4397">
        <v>0</v>
      </c>
      <c r="G4397" s="227" t="s">
        <v>116</v>
      </c>
    </row>
    <row r="4398" spans="1:7">
      <c r="A4398" s="216">
        <v>44621</v>
      </c>
      <c r="B4398" t="s">
        <v>461</v>
      </c>
      <c r="C4398">
        <v>15</v>
      </c>
      <c r="D4398" t="s">
        <v>437</v>
      </c>
      <c r="E4398" s="217">
        <v>44621</v>
      </c>
      <c r="F4398">
        <v>0</v>
      </c>
      <c r="G4398" s="227" t="s">
        <v>107</v>
      </c>
    </row>
    <row r="4399" spans="1:7">
      <c r="A4399" s="216">
        <v>44621</v>
      </c>
      <c r="B4399" t="s">
        <v>461</v>
      </c>
      <c r="C4399">
        <v>15</v>
      </c>
      <c r="D4399" t="s">
        <v>437</v>
      </c>
      <c r="E4399" s="217">
        <v>44621</v>
      </c>
      <c r="F4399">
        <v>0</v>
      </c>
      <c r="G4399" s="227" t="s">
        <v>102</v>
      </c>
    </row>
    <row r="4400" spans="1:7">
      <c r="A4400" s="216">
        <v>44621</v>
      </c>
      <c r="B4400" t="s">
        <v>461</v>
      </c>
      <c r="C4400">
        <v>15</v>
      </c>
      <c r="D4400" t="s">
        <v>437</v>
      </c>
      <c r="E4400" s="217">
        <v>44621</v>
      </c>
      <c r="F4400">
        <v>0</v>
      </c>
      <c r="G4400" s="227" t="s">
        <v>85</v>
      </c>
    </row>
    <row r="4401" spans="1:7">
      <c r="A4401" s="216">
        <v>44621</v>
      </c>
      <c r="B4401" t="s">
        <v>461</v>
      </c>
      <c r="C4401">
        <v>15</v>
      </c>
      <c r="D4401" t="s">
        <v>437</v>
      </c>
      <c r="E4401" s="217">
        <v>44621</v>
      </c>
      <c r="F4401">
        <v>0</v>
      </c>
      <c r="G4401" s="227" t="s">
        <v>129</v>
      </c>
    </row>
    <row r="4402" spans="1:7">
      <c r="A4402" s="216">
        <v>44621</v>
      </c>
      <c r="B4402" t="s">
        <v>461</v>
      </c>
      <c r="C4402">
        <v>15</v>
      </c>
      <c r="D4402" t="s">
        <v>437</v>
      </c>
      <c r="E4402" s="217">
        <v>44621</v>
      </c>
      <c r="F4402">
        <v>0</v>
      </c>
      <c r="G4402" s="227" t="s">
        <v>125</v>
      </c>
    </row>
    <row r="4403" spans="1:7">
      <c r="A4403" s="216">
        <v>44621</v>
      </c>
      <c r="B4403" t="s">
        <v>461</v>
      </c>
      <c r="C4403">
        <v>15</v>
      </c>
      <c r="D4403" t="s">
        <v>437</v>
      </c>
      <c r="E4403" s="217">
        <v>44621</v>
      </c>
      <c r="F4403">
        <v>0</v>
      </c>
      <c r="G4403" s="227" t="s">
        <v>121</v>
      </c>
    </row>
    <row r="4404" spans="1:7">
      <c r="A4404" s="216">
        <v>44621</v>
      </c>
      <c r="B4404" t="s">
        <v>461</v>
      </c>
      <c r="C4404">
        <v>15</v>
      </c>
      <c r="D4404" t="s">
        <v>437</v>
      </c>
      <c r="E4404" s="217">
        <v>44621</v>
      </c>
      <c r="F4404">
        <v>0</v>
      </c>
      <c r="G4404" s="227" t="s">
        <v>90</v>
      </c>
    </row>
    <row r="4405" spans="1:7">
      <c r="A4405" s="216">
        <v>44621</v>
      </c>
      <c r="B4405" t="s">
        <v>461</v>
      </c>
      <c r="C4405">
        <v>15</v>
      </c>
      <c r="D4405" t="s">
        <v>437</v>
      </c>
      <c r="E4405" s="217">
        <v>44621</v>
      </c>
      <c r="F4405">
        <v>0</v>
      </c>
      <c r="G4405" s="227" t="s">
        <v>98</v>
      </c>
    </row>
    <row r="4406" spans="1:7">
      <c r="A4406" s="216">
        <v>44621</v>
      </c>
      <c r="B4406" t="s">
        <v>461</v>
      </c>
      <c r="C4406">
        <v>15</v>
      </c>
      <c r="D4406" t="s">
        <v>437</v>
      </c>
      <c r="E4406" s="217">
        <v>44621</v>
      </c>
      <c r="F4406">
        <v>0</v>
      </c>
      <c r="G4406" s="227" t="s">
        <v>94</v>
      </c>
    </row>
    <row r="4407" spans="1:7">
      <c r="A4407" s="216">
        <v>44621</v>
      </c>
      <c r="B4407" t="s">
        <v>461</v>
      </c>
      <c r="C4407">
        <v>15</v>
      </c>
      <c r="D4407" t="s">
        <v>437</v>
      </c>
      <c r="E4407" s="217">
        <v>44621</v>
      </c>
      <c r="F4407">
        <v>0</v>
      </c>
      <c r="G4407" s="227" t="s">
        <v>112</v>
      </c>
    </row>
    <row r="4408" spans="1:7">
      <c r="A4408" s="216">
        <v>44621</v>
      </c>
      <c r="B4408" t="s">
        <v>461</v>
      </c>
      <c r="C4408">
        <v>15</v>
      </c>
      <c r="D4408" t="s">
        <v>437</v>
      </c>
      <c r="E4408" s="217">
        <v>44621</v>
      </c>
      <c r="F4408">
        <v>0</v>
      </c>
      <c r="G4408" s="227" t="s">
        <v>434</v>
      </c>
    </row>
    <row r="4409" spans="1:7">
      <c r="A4409" s="216">
        <v>44986</v>
      </c>
      <c r="B4409" t="s">
        <v>42</v>
      </c>
      <c r="C4409">
        <v>7</v>
      </c>
      <c r="D4409" t="s">
        <v>442</v>
      </c>
      <c r="E4409" s="217">
        <v>44986</v>
      </c>
      <c r="F4409">
        <v>137283</v>
      </c>
      <c r="G4409" s="227" t="s">
        <v>81</v>
      </c>
    </row>
    <row r="4410" spans="1:7">
      <c r="A4410" s="216">
        <v>44986</v>
      </c>
      <c r="B4410" t="s">
        <v>42</v>
      </c>
      <c r="C4410">
        <v>7</v>
      </c>
      <c r="D4410" t="s">
        <v>442</v>
      </c>
      <c r="E4410" s="217">
        <v>44986</v>
      </c>
      <c r="F4410">
        <v>138959</v>
      </c>
      <c r="G4410" s="227" t="s">
        <v>117</v>
      </c>
    </row>
    <row r="4411" spans="1:7">
      <c r="A4411" s="216">
        <v>44986</v>
      </c>
      <c r="B4411" t="s">
        <v>42</v>
      </c>
      <c r="C4411">
        <v>7</v>
      </c>
      <c r="D4411" t="s">
        <v>442</v>
      </c>
      <c r="E4411" s="217">
        <v>44986</v>
      </c>
      <c r="F4411">
        <v>137084</v>
      </c>
      <c r="G4411" s="227" t="s">
        <v>108</v>
      </c>
    </row>
    <row r="4412" spans="1:7">
      <c r="A4412" s="216">
        <v>44986</v>
      </c>
      <c r="B4412" t="s">
        <v>42</v>
      </c>
      <c r="C4412">
        <v>7</v>
      </c>
      <c r="D4412" t="s">
        <v>442</v>
      </c>
      <c r="E4412" s="217">
        <v>44986</v>
      </c>
      <c r="F4412">
        <v>132648</v>
      </c>
      <c r="G4412" s="227" t="s">
        <v>103</v>
      </c>
    </row>
    <row r="4413" spans="1:7">
      <c r="A4413" s="216">
        <v>44986</v>
      </c>
      <c r="B4413" t="s">
        <v>42</v>
      </c>
      <c r="C4413">
        <v>7</v>
      </c>
      <c r="D4413" t="s">
        <v>442</v>
      </c>
      <c r="E4413" s="217">
        <v>44986</v>
      </c>
      <c r="F4413">
        <v>136883</v>
      </c>
      <c r="G4413" s="227" t="s">
        <v>86</v>
      </c>
    </row>
    <row r="4414" spans="1:7">
      <c r="A4414" s="216">
        <v>44986</v>
      </c>
      <c r="B4414" t="s">
        <v>42</v>
      </c>
      <c r="C4414">
        <v>7</v>
      </c>
      <c r="D4414" t="s">
        <v>442</v>
      </c>
      <c r="E4414" s="217">
        <v>44986</v>
      </c>
      <c r="F4414">
        <v>150983</v>
      </c>
      <c r="G4414" s="227" t="s">
        <v>130</v>
      </c>
    </row>
    <row r="4415" spans="1:7">
      <c r="A4415" s="216">
        <v>44986</v>
      </c>
      <c r="B4415" t="s">
        <v>42</v>
      </c>
      <c r="C4415">
        <v>7</v>
      </c>
      <c r="D4415" t="s">
        <v>442</v>
      </c>
      <c r="E4415" s="217">
        <v>44986</v>
      </c>
      <c r="F4415">
        <v>129745</v>
      </c>
      <c r="G4415" s="227" t="s">
        <v>126</v>
      </c>
    </row>
    <row r="4416" spans="1:7">
      <c r="A4416" s="216">
        <v>44986</v>
      </c>
      <c r="B4416" t="s">
        <v>42</v>
      </c>
      <c r="C4416">
        <v>7</v>
      </c>
      <c r="D4416" t="s">
        <v>442</v>
      </c>
      <c r="E4416" s="217">
        <v>44986</v>
      </c>
      <c r="F4416">
        <v>143715</v>
      </c>
      <c r="G4416" s="227" t="s">
        <v>122</v>
      </c>
    </row>
    <row r="4417" spans="1:7">
      <c r="A4417" s="216">
        <v>44986</v>
      </c>
      <c r="B4417" t="s">
        <v>42</v>
      </c>
      <c r="C4417">
        <v>7</v>
      </c>
      <c r="D4417" t="s">
        <v>442</v>
      </c>
      <c r="E4417" s="217">
        <v>44986</v>
      </c>
      <c r="F4417">
        <v>147299</v>
      </c>
      <c r="G4417" s="227" t="s">
        <v>91</v>
      </c>
    </row>
    <row r="4418" spans="1:7">
      <c r="A4418" s="216">
        <v>44986</v>
      </c>
      <c r="B4418" t="s">
        <v>42</v>
      </c>
      <c r="C4418">
        <v>7</v>
      </c>
      <c r="D4418" t="s">
        <v>442</v>
      </c>
      <c r="E4418" s="217">
        <v>44986</v>
      </c>
      <c r="F4418">
        <v>145744</v>
      </c>
      <c r="G4418" s="227" t="s">
        <v>99</v>
      </c>
    </row>
    <row r="4419" spans="1:7">
      <c r="A4419" s="216">
        <v>44986</v>
      </c>
      <c r="B4419" t="s">
        <v>42</v>
      </c>
      <c r="C4419">
        <v>7</v>
      </c>
      <c r="D4419" t="s">
        <v>442</v>
      </c>
      <c r="E4419" s="217">
        <v>44986</v>
      </c>
      <c r="F4419">
        <v>151343</v>
      </c>
      <c r="G4419" s="227" t="s">
        <v>95</v>
      </c>
    </row>
    <row r="4420" spans="1:7">
      <c r="A4420" s="216">
        <v>44986</v>
      </c>
      <c r="B4420" t="s">
        <v>42</v>
      </c>
      <c r="C4420">
        <v>7</v>
      </c>
      <c r="D4420" t="s">
        <v>442</v>
      </c>
      <c r="E4420" s="217">
        <v>44986</v>
      </c>
      <c r="F4420">
        <v>195488.88699999999</v>
      </c>
      <c r="G4420" s="227" t="s">
        <v>113</v>
      </c>
    </row>
    <row r="4421" spans="1:7">
      <c r="A4421" s="216">
        <v>44986</v>
      </c>
      <c r="B4421" t="s">
        <v>42</v>
      </c>
      <c r="C4421">
        <v>7</v>
      </c>
      <c r="D4421" t="s">
        <v>442</v>
      </c>
      <c r="E4421" s="217">
        <v>44986</v>
      </c>
      <c r="F4421">
        <v>1747174.8870000001</v>
      </c>
      <c r="G4421" s="227" t="s">
        <v>434</v>
      </c>
    </row>
    <row r="4422" spans="1:7">
      <c r="A4422" s="216">
        <v>44986</v>
      </c>
      <c r="B4422" t="s">
        <v>42</v>
      </c>
      <c r="C4422">
        <v>8</v>
      </c>
      <c r="D4422" t="s">
        <v>451</v>
      </c>
      <c r="E4422" s="217">
        <v>44986</v>
      </c>
      <c r="F4422">
        <v>14731</v>
      </c>
      <c r="G4422" s="227" t="s">
        <v>81</v>
      </c>
    </row>
    <row r="4423" spans="1:7">
      <c r="A4423" s="216">
        <v>44986</v>
      </c>
      <c r="B4423" t="s">
        <v>42</v>
      </c>
      <c r="C4423">
        <v>8</v>
      </c>
      <c r="D4423" t="s">
        <v>451</v>
      </c>
      <c r="E4423" s="217">
        <v>44986</v>
      </c>
      <c r="F4423">
        <v>15648</v>
      </c>
      <c r="G4423" s="227" t="s">
        <v>117</v>
      </c>
    </row>
    <row r="4424" spans="1:7">
      <c r="A4424" s="216">
        <v>44986</v>
      </c>
      <c r="B4424" t="s">
        <v>42</v>
      </c>
      <c r="C4424">
        <v>8</v>
      </c>
      <c r="D4424" t="s">
        <v>451</v>
      </c>
      <c r="E4424" s="217">
        <v>44986</v>
      </c>
      <c r="F4424">
        <v>15694</v>
      </c>
      <c r="G4424" s="227" t="s">
        <v>108</v>
      </c>
    </row>
    <row r="4425" spans="1:7">
      <c r="A4425" s="216">
        <v>44986</v>
      </c>
      <c r="B4425" t="s">
        <v>42</v>
      </c>
      <c r="C4425">
        <v>8</v>
      </c>
      <c r="D4425" t="s">
        <v>451</v>
      </c>
      <c r="E4425" s="217">
        <v>44986</v>
      </c>
      <c r="F4425">
        <v>14239</v>
      </c>
      <c r="G4425" s="227" t="s">
        <v>103</v>
      </c>
    </row>
    <row r="4426" spans="1:7">
      <c r="A4426" s="216">
        <v>44986</v>
      </c>
      <c r="B4426" t="s">
        <v>42</v>
      </c>
      <c r="C4426">
        <v>8</v>
      </c>
      <c r="D4426" t="s">
        <v>451</v>
      </c>
      <c r="E4426" s="217">
        <v>44986</v>
      </c>
      <c r="F4426">
        <v>15588</v>
      </c>
      <c r="G4426" s="227" t="s">
        <v>86</v>
      </c>
    </row>
    <row r="4427" spans="1:7">
      <c r="A4427" s="216">
        <v>44986</v>
      </c>
      <c r="B4427" t="s">
        <v>42</v>
      </c>
      <c r="C4427">
        <v>8</v>
      </c>
      <c r="D4427" t="s">
        <v>451</v>
      </c>
      <c r="E4427" s="217">
        <v>44986</v>
      </c>
      <c r="F4427">
        <v>15962</v>
      </c>
      <c r="G4427" s="227" t="s">
        <v>130</v>
      </c>
    </row>
    <row r="4428" spans="1:7">
      <c r="A4428" s="216">
        <v>44986</v>
      </c>
      <c r="B4428" t="s">
        <v>42</v>
      </c>
      <c r="C4428">
        <v>8</v>
      </c>
      <c r="D4428" t="s">
        <v>451</v>
      </c>
      <c r="E4428" s="217">
        <v>44986</v>
      </c>
      <c r="F4428">
        <v>16067</v>
      </c>
      <c r="G4428" s="227" t="s">
        <v>126</v>
      </c>
    </row>
    <row r="4429" spans="1:7">
      <c r="A4429" s="216">
        <v>44986</v>
      </c>
      <c r="B4429" t="s">
        <v>42</v>
      </c>
      <c r="C4429">
        <v>8</v>
      </c>
      <c r="D4429" t="s">
        <v>451</v>
      </c>
      <c r="E4429" s="217">
        <v>44986</v>
      </c>
      <c r="F4429">
        <v>18213</v>
      </c>
      <c r="G4429" s="227" t="s">
        <v>122</v>
      </c>
    </row>
    <row r="4430" spans="1:7">
      <c r="A4430" s="216">
        <v>44986</v>
      </c>
      <c r="B4430" t="s">
        <v>42</v>
      </c>
      <c r="C4430">
        <v>8</v>
      </c>
      <c r="D4430" t="s">
        <v>451</v>
      </c>
      <c r="E4430" s="217">
        <v>44986</v>
      </c>
      <c r="F4430">
        <v>16120</v>
      </c>
      <c r="G4430" s="227" t="s">
        <v>91</v>
      </c>
    </row>
    <row r="4431" spans="1:7">
      <c r="A4431" s="216">
        <v>44986</v>
      </c>
      <c r="B4431" t="s">
        <v>42</v>
      </c>
      <c r="C4431">
        <v>8</v>
      </c>
      <c r="D4431" t="s">
        <v>451</v>
      </c>
      <c r="E4431" s="217">
        <v>44986</v>
      </c>
      <c r="F4431">
        <v>15644</v>
      </c>
      <c r="G4431" s="227" t="s">
        <v>99</v>
      </c>
    </row>
    <row r="4432" spans="1:7">
      <c r="A4432" s="216">
        <v>44986</v>
      </c>
      <c r="B4432" t="s">
        <v>42</v>
      </c>
      <c r="C4432">
        <v>8</v>
      </c>
      <c r="D4432" t="s">
        <v>451</v>
      </c>
      <c r="E4432" s="217">
        <v>44986</v>
      </c>
      <c r="F4432">
        <v>17331</v>
      </c>
      <c r="G4432" s="227" t="s">
        <v>95</v>
      </c>
    </row>
    <row r="4433" spans="1:7">
      <c r="A4433" s="216">
        <v>44986</v>
      </c>
      <c r="B4433" t="s">
        <v>42</v>
      </c>
      <c r="C4433">
        <v>8</v>
      </c>
      <c r="D4433" t="s">
        <v>451</v>
      </c>
      <c r="E4433" s="217">
        <v>44986</v>
      </c>
      <c r="F4433">
        <v>17454</v>
      </c>
      <c r="G4433" s="227" t="s">
        <v>113</v>
      </c>
    </row>
    <row r="4434" spans="1:7">
      <c r="A4434" s="216">
        <v>44986</v>
      </c>
      <c r="B4434" t="s">
        <v>42</v>
      </c>
      <c r="C4434">
        <v>8</v>
      </c>
      <c r="D4434" t="s">
        <v>451</v>
      </c>
      <c r="E4434" s="217">
        <v>44986</v>
      </c>
      <c r="F4434">
        <v>192691</v>
      </c>
      <c r="G4434" s="227" t="s">
        <v>434</v>
      </c>
    </row>
    <row r="4435" spans="1:7">
      <c r="A4435" s="216">
        <v>44986</v>
      </c>
      <c r="B4435" t="s">
        <v>42</v>
      </c>
      <c r="C4435">
        <v>9</v>
      </c>
      <c r="D4435" t="s">
        <v>450</v>
      </c>
      <c r="E4435" s="217">
        <v>44986</v>
      </c>
      <c r="F4435">
        <v>8733</v>
      </c>
      <c r="G4435" s="227" t="s">
        <v>81</v>
      </c>
    </row>
    <row r="4436" spans="1:7">
      <c r="A4436" s="216">
        <v>44986</v>
      </c>
      <c r="B4436" t="s">
        <v>42</v>
      </c>
      <c r="C4436">
        <v>9</v>
      </c>
      <c r="D4436" t="s">
        <v>450</v>
      </c>
      <c r="E4436" s="217">
        <v>44986</v>
      </c>
      <c r="F4436">
        <v>8767</v>
      </c>
      <c r="G4436" s="227" t="s">
        <v>117</v>
      </c>
    </row>
    <row r="4437" spans="1:7">
      <c r="A4437" s="216">
        <v>44986</v>
      </c>
      <c r="B4437" t="s">
        <v>42</v>
      </c>
      <c r="C4437">
        <v>9</v>
      </c>
      <c r="D4437" t="s">
        <v>450</v>
      </c>
      <c r="E4437" s="217">
        <v>44986</v>
      </c>
      <c r="F4437">
        <v>8845</v>
      </c>
      <c r="G4437" s="227" t="s">
        <v>108</v>
      </c>
    </row>
    <row r="4438" spans="1:7">
      <c r="A4438" s="216">
        <v>44986</v>
      </c>
      <c r="B4438" t="s">
        <v>42</v>
      </c>
      <c r="C4438">
        <v>9</v>
      </c>
      <c r="D4438" t="s">
        <v>450</v>
      </c>
      <c r="E4438" s="217">
        <v>44986</v>
      </c>
      <c r="F4438">
        <v>8783</v>
      </c>
      <c r="G4438" s="227" t="s">
        <v>103</v>
      </c>
    </row>
    <row r="4439" spans="1:7">
      <c r="A4439" s="216">
        <v>44986</v>
      </c>
      <c r="B4439" t="s">
        <v>42</v>
      </c>
      <c r="C4439">
        <v>9</v>
      </c>
      <c r="D4439" t="s">
        <v>450</v>
      </c>
      <c r="E4439" s="217">
        <v>44986</v>
      </c>
      <c r="F4439">
        <v>9320</v>
      </c>
      <c r="G4439" s="227" t="s">
        <v>86</v>
      </c>
    </row>
    <row r="4440" spans="1:7">
      <c r="A4440" s="216">
        <v>44986</v>
      </c>
      <c r="B4440" t="s">
        <v>42</v>
      </c>
      <c r="C4440">
        <v>9</v>
      </c>
      <c r="D4440" t="s">
        <v>450</v>
      </c>
      <c r="E4440" s="217">
        <v>44986</v>
      </c>
      <c r="F4440">
        <v>9332</v>
      </c>
      <c r="G4440" s="227" t="s">
        <v>130</v>
      </c>
    </row>
    <row r="4441" spans="1:7">
      <c r="A4441" s="216">
        <v>44986</v>
      </c>
      <c r="B4441" t="s">
        <v>42</v>
      </c>
      <c r="C4441">
        <v>9</v>
      </c>
      <c r="D4441" t="s">
        <v>450</v>
      </c>
      <c r="E4441" s="217">
        <v>44986</v>
      </c>
      <c r="F4441">
        <v>9552</v>
      </c>
      <c r="G4441" s="227" t="s">
        <v>126</v>
      </c>
    </row>
    <row r="4442" spans="1:7">
      <c r="A4442" s="216">
        <v>44986</v>
      </c>
      <c r="B4442" t="s">
        <v>42</v>
      </c>
      <c r="C4442">
        <v>9</v>
      </c>
      <c r="D4442" t="s">
        <v>450</v>
      </c>
      <c r="E4442" s="217">
        <v>44986</v>
      </c>
      <c r="F4442">
        <v>9535</v>
      </c>
      <c r="G4442" s="227" t="s">
        <v>122</v>
      </c>
    </row>
    <row r="4443" spans="1:7">
      <c r="A4443" s="216">
        <v>44986</v>
      </c>
      <c r="B4443" t="s">
        <v>42</v>
      </c>
      <c r="C4443">
        <v>9</v>
      </c>
      <c r="D4443" t="s">
        <v>450</v>
      </c>
      <c r="E4443" s="217">
        <v>44986</v>
      </c>
      <c r="F4443">
        <v>9732</v>
      </c>
      <c r="G4443" s="227" t="s">
        <v>91</v>
      </c>
    </row>
    <row r="4444" spans="1:7">
      <c r="A4444" s="216">
        <v>44986</v>
      </c>
      <c r="B4444" t="s">
        <v>42</v>
      </c>
      <c r="C4444">
        <v>9</v>
      </c>
      <c r="D4444" t="s">
        <v>450</v>
      </c>
      <c r="E4444" s="217">
        <v>44986</v>
      </c>
      <c r="F4444">
        <v>9804</v>
      </c>
      <c r="G4444" s="227" t="s">
        <v>99</v>
      </c>
    </row>
    <row r="4445" spans="1:7">
      <c r="A4445" s="216">
        <v>44986</v>
      </c>
      <c r="B4445" t="s">
        <v>42</v>
      </c>
      <c r="C4445">
        <v>9</v>
      </c>
      <c r="D4445" t="s">
        <v>450</v>
      </c>
      <c r="E4445" s="217">
        <v>44986</v>
      </c>
      <c r="F4445">
        <v>9912</v>
      </c>
      <c r="G4445" s="227" t="s">
        <v>95</v>
      </c>
    </row>
    <row r="4446" spans="1:7">
      <c r="A4446" s="216">
        <v>44986</v>
      </c>
      <c r="B4446" t="s">
        <v>42</v>
      </c>
      <c r="C4446">
        <v>9</v>
      </c>
      <c r="D4446" t="s">
        <v>450</v>
      </c>
      <c r="E4446" s="217">
        <v>44986</v>
      </c>
      <c r="F4446">
        <v>12016</v>
      </c>
      <c r="G4446" s="227" t="s">
        <v>113</v>
      </c>
    </row>
    <row r="4447" spans="1:7">
      <c r="A4447" s="216">
        <v>44986</v>
      </c>
      <c r="B4447" t="s">
        <v>42</v>
      </c>
      <c r="C4447">
        <v>9</v>
      </c>
      <c r="D4447" t="s">
        <v>450</v>
      </c>
      <c r="E4447" s="217">
        <v>44986</v>
      </c>
      <c r="F4447">
        <v>114331</v>
      </c>
      <c r="G4447" s="227" t="s">
        <v>434</v>
      </c>
    </row>
    <row r="4448" spans="1:7">
      <c r="A4448" s="216">
        <v>44986</v>
      </c>
      <c r="B4448" t="s">
        <v>42</v>
      </c>
      <c r="C4448">
        <v>10</v>
      </c>
      <c r="D4448" t="s">
        <v>433</v>
      </c>
      <c r="E4448" s="217">
        <v>44986</v>
      </c>
      <c r="F4448">
        <v>55828</v>
      </c>
      <c r="G4448" s="227" t="s">
        <v>81</v>
      </c>
    </row>
    <row r="4449" spans="1:7">
      <c r="A4449" s="216">
        <v>44986</v>
      </c>
      <c r="B4449" t="s">
        <v>42</v>
      </c>
      <c r="C4449">
        <v>10</v>
      </c>
      <c r="D4449" t="s">
        <v>433</v>
      </c>
      <c r="E4449" s="217">
        <v>44986</v>
      </c>
      <c r="F4449">
        <v>57512</v>
      </c>
      <c r="G4449" s="227" t="s">
        <v>117</v>
      </c>
    </row>
    <row r="4450" spans="1:7">
      <c r="A4450" s="216">
        <v>44986</v>
      </c>
      <c r="B4450" t="s">
        <v>42</v>
      </c>
      <c r="C4450">
        <v>10</v>
      </c>
      <c r="D4450" t="s">
        <v>433</v>
      </c>
      <c r="E4450" s="217">
        <v>44986</v>
      </c>
      <c r="F4450">
        <v>56156</v>
      </c>
      <c r="G4450" s="227" t="s">
        <v>108</v>
      </c>
    </row>
    <row r="4451" spans="1:7">
      <c r="A4451" s="216">
        <v>44986</v>
      </c>
      <c r="B4451" t="s">
        <v>42</v>
      </c>
      <c r="C4451">
        <v>10</v>
      </c>
      <c r="D4451" t="s">
        <v>433</v>
      </c>
      <c r="E4451" s="217">
        <v>44986</v>
      </c>
      <c r="F4451">
        <v>55972</v>
      </c>
      <c r="G4451" s="227" t="s">
        <v>103</v>
      </c>
    </row>
    <row r="4452" spans="1:7">
      <c r="A4452" s="216">
        <v>44986</v>
      </c>
      <c r="B4452" t="s">
        <v>42</v>
      </c>
      <c r="C4452">
        <v>10</v>
      </c>
      <c r="D4452" t="s">
        <v>433</v>
      </c>
      <c r="E4452" s="217">
        <v>44986</v>
      </c>
      <c r="F4452">
        <v>55212</v>
      </c>
      <c r="G4452" s="227" t="s">
        <v>86</v>
      </c>
    </row>
    <row r="4453" spans="1:7">
      <c r="A4453" s="216">
        <v>44986</v>
      </c>
      <c r="B4453" t="s">
        <v>42</v>
      </c>
      <c r="C4453">
        <v>10</v>
      </c>
      <c r="D4453" t="s">
        <v>433</v>
      </c>
      <c r="E4453" s="217">
        <v>44986</v>
      </c>
      <c r="F4453">
        <v>69059</v>
      </c>
      <c r="G4453" s="227" t="s">
        <v>130</v>
      </c>
    </row>
    <row r="4454" spans="1:7">
      <c r="A4454" s="216">
        <v>44986</v>
      </c>
      <c r="B4454" t="s">
        <v>42</v>
      </c>
      <c r="C4454">
        <v>10</v>
      </c>
      <c r="D4454" t="s">
        <v>433</v>
      </c>
      <c r="E4454" s="217">
        <v>44986</v>
      </c>
      <c r="F4454">
        <v>58701</v>
      </c>
      <c r="G4454" s="227" t="s">
        <v>126</v>
      </c>
    </row>
    <row r="4455" spans="1:7">
      <c r="A4455" s="216">
        <v>44986</v>
      </c>
      <c r="B4455" t="s">
        <v>42</v>
      </c>
      <c r="C4455">
        <v>10</v>
      </c>
      <c r="D4455" t="s">
        <v>433</v>
      </c>
      <c r="E4455" s="217">
        <v>44986</v>
      </c>
      <c r="F4455">
        <v>59267</v>
      </c>
      <c r="G4455" s="227" t="s">
        <v>122</v>
      </c>
    </row>
    <row r="4456" spans="1:7">
      <c r="A4456" s="216">
        <v>44986</v>
      </c>
      <c r="B4456" t="s">
        <v>42</v>
      </c>
      <c r="C4456">
        <v>10</v>
      </c>
      <c r="D4456" t="s">
        <v>433</v>
      </c>
      <c r="E4456" s="217">
        <v>44986</v>
      </c>
      <c r="F4456">
        <v>57246</v>
      </c>
      <c r="G4456" s="227" t="s">
        <v>91</v>
      </c>
    </row>
    <row r="4457" spans="1:7">
      <c r="A4457" s="216">
        <v>44986</v>
      </c>
      <c r="B4457" t="s">
        <v>42</v>
      </c>
      <c r="C4457">
        <v>10</v>
      </c>
      <c r="D4457" t="s">
        <v>433</v>
      </c>
      <c r="E4457" s="217">
        <v>44986</v>
      </c>
      <c r="F4457">
        <v>59571</v>
      </c>
      <c r="G4457" s="227" t="s">
        <v>99</v>
      </c>
    </row>
    <row r="4458" spans="1:7">
      <c r="A4458" s="216">
        <v>44986</v>
      </c>
      <c r="B4458" t="s">
        <v>42</v>
      </c>
      <c r="C4458">
        <v>10</v>
      </c>
      <c r="D4458" t="s">
        <v>433</v>
      </c>
      <c r="E4458" s="217">
        <v>44986</v>
      </c>
      <c r="F4458">
        <v>59138</v>
      </c>
      <c r="G4458" s="227" t="s">
        <v>95</v>
      </c>
    </row>
    <row r="4459" spans="1:7">
      <c r="A4459" s="216">
        <v>44986</v>
      </c>
      <c r="B4459" t="s">
        <v>42</v>
      </c>
      <c r="C4459">
        <v>10</v>
      </c>
      <c r="D4459" t="s">
        <v>433</v>
      </c>
      <c r="E4459" s="217">
        <v>44986</v>
      </c>
      <c r="F4459">
        <v>103343</v>
      </c>
      <c r="G4459" s="227" t="s">
        <v>113</v>
      </c>
    </row>
    <row r="4460" spans="1:7">
      <c r="A4460" s="216">
        <v>44986</v>
      </c>
      <c r="B4460" t="s">
        <v>42</v>
      </c>
      <c r="C4460">
        <v>10</v>
      </c>
      <c r="D4460" t="s">
        <v>433</v>
      </c>
      <c r="E4460" s="217">
        <v>44986</v>
      </c>
      <c r="F4460">
        <v>747005</v>
      </c>
      <c r="G4460" s="227" t="s">
        <v>434</v>
      </c>
    </row>
    <row r="4461" spans="1:7">
      <c r="A4461" s="216">
        <v>44986</v>
      </c>
      <c r="B4461" t="s">
        <v>42</v>
      </c>
      <c r="C4461">
        <v>11</v>
      </c>
      <c r="D4461" t="s">
        <v>445</v>
      </c>
      <c r="E4461" s="217">
        <v>44986</v>
      </c>
      <c r="F4461">
        <v>11736</v>
      </c>
      <c r="G4461" s="227" t="s">
        <v>81</v>
      </c>
    </row>
    <row r="4462" spans="1:7">
      <c r="A4462" s="216">
        <v>44986</v>
      </c>
      <c r="B4462" t="s">
        <v>42</v>
      </c>
      <c r="C4462">
        <v>11</v>
      </c>
      <c r="D4462" t="s">
        <v>445</v>
      </c>
      <c r="E4462" s="217">
        <v>44986</v>
      </c>
      <c r="F4462">
        <v>10949</v>
      </c>
      <c r="G4462" s="227" t="s">
        <v>117</v>
      </c>
    </row>
    <row r="4463" spans="1:7">
      <c r="A4463" s="216">
        <v>44986</v>
      </c>
      <c r="B4463" t="s">
        <v>42</v>
      </c>
      <c r="C4463">
        <v>11</v>
      </c>
      <c r="D4463" t="s">
        <v>445</v>
      </c>
      <c r="E4463" s="217">
        <v>44986</v>
      </c>
      <c r="F4463">
        <v>12076</v>
      </c>
      <c r="G4463" s="227" t="s">
        <v>108</v>
      </c>
    </row>
    <row r="4464" spans="1:7">
      <c r="A4464" s="216">
        <v>44986</v>
      </c>
      <c r="B4464" t="s">
        <v>42</v>
      </c>
      <c r="C4464">
        <v>11</v>
      </c>
      <c r="D4464" t="s">
        <v>445</v>
      </c>
      <c r="E4464" s="217">
        <v>44986</v>
      </c>
      <c r="F4464">
        <v>10090</v>
      </c>
      <c r="G4464" s="227" t="s">
        <v>103</v>
      </c>
    </row>
    <row r="4465" spans="1:7">
      <c r="A4465" s="216">
        <v>44986</v>
      </c>
      <c r="B4465" t="s">
        <v>42</v>
      </c>
      <c r="C4465">
        <v>11</v>
      </c>
      <c r="D4465" t="s">
        <v>445</v>
      </c>
      <c r="E4465" s="217">
        <v>44986</v>
      </c>
      <c r="F4465">
        <v>10968</v>
      </c>
      <c r="G4465" s="227" t="s">
        <v>86</v>
      </c>
    </row>
    <row r="4466" spans="1:7">
      <c r="A4466" s="216">
        <v>44986</v>
      </c>
      <c r="B4466" t="s">
        <v>42</v>
      </c>
      <c r="C4466">
        <v>11</v>
      </c>
      <c r="D4466" t="s">
        <v>445</v>
      </c>
      <c r="E4466" s="217">
        <v>44986</v>
      </c>
      <c r="F4466">
        <v>12663</v>
      </c>
      <c r="G4466" s="227" t="s">
        <v>130</v>
      </c>
    </row>
    <row r="4467" spans="1:7">
      <c r="A4467" s="216">
        <v>44986</v>
      </c>
      <c r="B4467" t="s">
        <v>42</v>
      </c>
      <c r="C4467">
        <v>11</v>
      </c>
      <c r="D4467" t="s">
        <v>445</v>
      </c>
      <c r="E4467" s="217">
        <v>44986</v>
      </c>
      <c r="F4467">
        <v>12973</v>
      </c>
      <c r="G4467" s="227" t="s">
        <v>126</v>
      </c>
    </row>
    <row r="4468" spans="1:7">
      <c r="A4468" s="216">
        <v>44986</v>
      </c>
      <c r="B4468" t="s">
        <v>42</v>
      </c>
      <c r="C4468">
        <v>11</v>
      </c>
      <c r="D4468" t="s">
        <v>445</v>
      </c>
      <c r="E4468" s="217">
        <v>44986</v>
      </c>
      <c r="F4468">
        <v>12136</v>
      </c>
      <c r="G4468" s="227" t="s">
        <v>122</v>
      </c>
    </row>
    <row r="4469" spans="1:7">
      <c r="A4469" s="216">
        <v>44986</v>
      </c>
      <c r="B4469" t="s">
        <v>42</v>
      </c>
      <c r="C4469">
        <v>11</v>
      </c>
      <c r="D4469" t="s">
        <v>445</v>
      </c>
      <c r="E4469" s="217">
        <v>44986</v>
      </c>
      <c r="F4469">
        <v>13341</v>
      </c>
      <c r="G4469" s="227" t="s">
        <v>91</v>
      </c>
    </row>
    <row r="4470" spans="1:7">
      <c r="A4470" s="216">
        <v>44986</v>
      </c>
      <c r="B4470" t="s">
        <v>42</v>
      </c>
      <c r="C4470">
        <v>11</v>
      </c>
      <c r="D4470" t="s">
        <v>445</v>
      </c>
      <c r="E4470" s="217">
        <v>44986</v>
      </c>
      <c r="F4470">
        <v>13891</v>
      </c>
      <c r="G4470" s="227" t="s">
        <v>99</v>
      </c>
    </row>
    <row r="4471" spans="1:7">
      <c r="A4471" s="216">
        <v>44986</v>
      </c>
      <c r="B4471" t="s">
        <v>42</v>
      </c>
      <c r="C4471">
        <v>11</v>
      </c>
      <c r="D4471" t="s">
        <v>445</v>
      </c>
      <c r="E4471" s="217">
        <v>44986</v>
      </c>
      <c r="F4471">
        <v>11929</v>
      </c>
      <c r="G4471" s="227" t="s">
        <v>95</v>
      </c>
    </row>
    <row r="4472" spans="1:7">
      <c r="A4472" s="216">
        <v>44986</v>
      </c>
      <c r="B4472" t="s">
        <v>42</v>
      </c>
      <c r="C4472">
        <v>11</v>
      </c>
      <c r="D4472" t="s">
        <v>445</v>
      </c>
      <c r="E4472" s="217">
        <v>44986</v>
      </c>
      <c r="F4472">
        <v>14875</v>
      </c>
      <c r="G4472" s="227" t="s">
        <v>113</v>
      </c>
    </row>
    <row r="4473" spans="1:7">
      <c r="A4473" s="216">
        <v>44986</v>
      </c>
      <c r="B4473" t="s">
        <v>42</v>
      </c>
      <c r="C4473">
        <v>11</v>
      </c>
      <c r="D4473" t="s">
        <v>445</v>
      </c>
      <c r="E4473" s="217">
        <v>44986</v>
      </c>
      <c r="F4473">
        <v>147627</v>
      </c>
      <c r="G4473" s="227" t="s">
        <v>434</v>
      </c>
    </row>
    <row r="4474" spans="1:7">
      <c r="A4474" s="216">
        <v>44986</v>
      </c>
      <c r="B4474" t="s">
        <v>42</v>
      </c>
      <c r="C4474">
        <v>12</v>
      </c>
      <c r="D4474" t="s">
        <v>454</v>
      </c>
      <c r="E4474" s="217">
        <v>44986</v>
      </c>
      <c r="F4474">
        <v>4527</v>
      </c>
      <c r="G4474" s="227" t="s">
        <v>81</v>
      </c>
    </row>
    <row r="4475" spans="1:7">
      <c r="A4475" s="216">
        <v>44986</v>
      </c>
      <c r="B4475" t="s">
        <v>42</v>
      </c>
      <c r="C4475">
        <v>12</v>
      </c>
      <c r="D4475" t="s">
        <v>454</v>
      </c>
      <c r="E4475" s="217">
        <v>44986</v>
      </c>
      <c r="F4475">
        <v>5283</v>
      </c>
      <c r="G4475" s="227" t="s">
        <v>117</v>
      </c>
    </row>
    <row r="4476" spans="1:7">
      <c r="A4476" s="216">
        <v>44986</v>
      </c>
      <c r="B4476" t="s">
        <v>42</v>
      </c>
      <c r="C4476">
        <v>12</v>
      </c>
      <c r="D4476" t="s">
        <v>454</v>
      </c>
      <c r="E4476" s="217">
        <v>44986</v>
      </c>
      <c r="F4476">
        <v>4943</v>
      </c>
      <c r="G4476" s="227" t="s">
        <v>108</v>
      </c>
    </row>
    <row r="4477" spans="1:7">
      <c r="A4477" s="216">
        <v>44986</v>
      </c>
      <c r="B4477" t="s">
        <v>42</v>
      </c>
      <c r="C4477">
        <v>12</v>
      </c>
      <c r="D4477" t="s">
        <v>454</v>
      </c>
      <c r="E4477" s="217">
        <v>44986</v>
      </c>
      <c r="F4477">
        <v>4937</v>
      </c>
      <c r="G4477" s="227" t="s">
        <v>103</v>
      </c>
    </row>
    <row r="4478" spans="1:7">
      <c r="A4478" s="216">
        <v>44986</v>
      </c>
      <c r="B4478" t="s">
        <v>42</v>
      </c>
      <c r="C4478">
        <v>12</v>
      </c>
      <c r="D4478" t="s">
        <v>454</v>
      </c>
      <c r="E4478" s="217">
        <v>44986</v>
      </c>
      <c r="F4478">
        <v>5196</v>
      </c>
      <c r="G4478" s="227" t="s">
        <v>86</v>
      </c>
    </row>
    <row r="4479" spans="1:7">
      <c r="A4479" s="216">
        <v>44986</v>
      </c>
      <c r="B4479" t="s">
        <v>42</v>
      </c>
      <c r="C4479">
        <v>12</v>
      </c>
      <c r="D4479" t="s">
        <v>454</v>
      </c>
      <c r="E4479" s="217">
        <v>44986</v>
      </c>
      <c r="F4479">
        <v>5390</v>
      </c>
      <c r="G4479" s="227" t="s">
        <v>130</v>
      </c>
    </row>
    <row r="4480" spans="1:7">
      <c r="A4480" s="216">
        <v>44986</v>
      </c>
      <c r="B4480" t="s">
        <v>42</v>
      </c>
      <c r="C4480">
        <v>12</v>
      </c>
      <c r="D4480" t="s">
        <v>454</v>
      </c>
      <c r="E4480" s="217">
        <v>44986</v>
      </c>
      <c r="F4480">
        <v>4742</v>
      </c>
      <c r="G4480" s="227" t="s">
        <v>126</v>
      </c>
    </row>
    <row r="4481" spans="1:7">
      <c r="A4481" s="216">
        <v>44986</v>
      </c>
      <c r="B4481" t="s">
        <v>42</v>
      </c>
      <c r="C4481">
        <v>12</v>
      </c>
      <c r="D4481" t="s">
        <v>454</v>
      </c>
      <c r="E4481" s="217">
        <v>44986</v>
      </c>
      <c r="F4481">
        <v>5147</v>
      </c>
      <c r="G4481" s="227" t="s">
        <v>122</v>
      </c>
    </row>
    <row r="4482" spans="1:7">
      <c r="A4482" s="216">
        <v>44986</v>
      </c>
      <c r="B4482" t="s">
        <v>42</v>
      </c>
      <c r="C4482">
        <v>12</v>
      </c>
      <c r="D4482" t="s">
        <v>454</v>
      </c>
      <c r="E4482" s="217">
        <v>44986</v>
      </c>
      <c r="F4482">
        <v>5365</v>
      </c>
      <c r="G4482" s="227" t="s">
        <v>91</v>
      </c>
    </row>
    <row r="4483" spans="1:7">
      <c r="A4483" s="216">
        <v>44986</v>
      </c>
      <c r="B4483" t="s">
        <v>42</v>
      </c>
      <c r="C4483">
        <v>12</v>
      </c>
      <c r="D4483" t="s">
        <v>454</v>
      </c>
      <c r="E4483" s="217">
        <v>44986</v>
      </c>
      <c r="F4483">
        <v>5641</v>
      </c>
      <c r="G4483" s="227" t="s">
        <v>99</v>
      </c>
    </row>
    <row r="4484" spans="1:7">
      <c r="A4484" s="216">
        <v>44986</v>
      </c>
      <c r="B4484" t="s">
        <v>42</v>
      </c>
      <c r="C4484">
        <v>12</v>
      </c>
      <c r="D4484" t="s">
        <v>454</v>
      </c>
      <c r="E4484" s="217">
        <v>44986</v>
      </c>
      <c r="F4484">
        <v>4845</v>
      </c>
      <c r="G4484" s="227" t="s">
        <v>95</v>
      </c>
    </row>
    <row r="4485" spans="1:7">
      <c r="A4485" s="216">
        <v>44986</v>
      </c>
      <c r="B4485" t="s">
        <v>42</v>
      </c>
      <c r="C4485">
        <v>12</v>
      </c>
      <c r="D4485" t="s">
        <v>454</v>
      </c>
      <c r="E4485" s="217">
        <v>44986</v>
      </c>
      <c r="F4485">
        <v>5648</v>
      </c>
      <c r="G4485" s="227" t="s">
        <v>113</v>
      </c>
    </row>
    <row r="4486" spans="1:7">
      <c r="A4486" s="216">
        <v>44986</v>
      </c>
      <c r="B4486" t="s">
        <v>42</v>
      </c>
      <c r="C4486">
        <v>12</v>
      </c>
      <c r="D4486" t="s">
        <v>454</v>
      </c>
      <c r="E4486" s="217">
        <v>44986</v>
      </c>
      <c r="F4486">
        <v>61664</v>
      </c>
      <c r="G4486" s="227" t="s">
        <v>434</v>
      </c>
    </row>
    <row r="4487" spans="1:7">
      <c r="A4487" s="216">
        <v>44986</v>
      </c>
      <c r="B4487" t="s">
        <v>42</v>
      </c>
      <c r="C4487">
        <v>13</v>
      </c>
      <c r="D4487" t="s">
        <v>441</v>
      </c>
      <c r="E4487" s="217">
        <v>44986</v>
      </c>
      <c r="F4487">
        <v>26003</v>
      </c>
      <c r="G4487" s="227" t="s">
        <v>81</v>
      </c>
    </row>
    <row r="4488" spans="1:7">
      <c r="A4488" s="216">
        <v>44986</v>
      </c>
      <c r="B4488" t="s">
        <v>42</v>
      </c>
      <c r="C4488">
        <v>13</v>
      </c>
      <c r="D4488" t="s">
        <v>441</v>
      </c>
      <c r="E4488" s="217">
        <v>44986</v>
      </c>
      <c r="F4488">
        <v>26107</v>
      </c>
      <c r="G4488" s="227" t="s">
        <v>117</v>
      </c>
    </row>
    <row r="4489" spans="1:7">
      <c r="A4489" s="216">
        <v>44986</v>
      </c>
      <c r="B4489" t="s">
        <v>42</v>
      </c>
      <c r="C4489">
        <v>13</v>
      </c>
      <c r="D4489" t="s">
        <v>441</v>
      </c>
      <c r="E4489" s="217">
        <v>44986</v>
      </c>
      <c r="F4489">
        <v>25764</v>
      </c>
      <c r="G4489" s="227" t="s">
        <v>108</v>
      </c>
    </row>
    <row r="4490" spans="1:7">
      <c r="A4490" s="216">
        <v>44986</v>
      </c>
      <c r="B4490" t="s">
        <v>42</v>
      </c>
      <c r="C4490">
        <v>13</v>
      </c>
      <c r="D4490" t="s">
        <v>441</v>
      </c>
      <c r="E4490" s="217">
        <v>44986</v>
      </c>
      <c r="F4490">
        <v>26588</v>
      </c>
      <c r="G4490" s="227" t="s">
        <v>103</v>
      </c>
    </row>
    <row r="4491" spans="1:7">
      <c r="A4491" s="216">
        <v>44986</v>
      </c>
      <c r="B4491" t="s">
        <v>42</v>
      </c>
      <c r="C4491">
        <v>13</v>
      </c>
      <c r="D4491" t="s">
        <v>441</v>
      </c>
      <c r="E4491" s="217">
        <v>44986</v>
      </c>
      <c r="F4491">
        <v>25129</v>
      </c>
      <c r="G4491" s="227" t="s">
        <v>86</v>
      </c>
    </row>
    <row r="4492" spans="1:7">
      <c r="A4492" s="216">
        <v>44986</v>
      </c>
      <c r="B4492" t="s">
        <v>42</v>
      </c>
      <c r="C4492">
        <v>13</v>
      </c>
      <c r="D4492" t="s">
        <v>441</v>
      </c>
      <c r="E4492" s="217">
        <v>44986</v>
      </c>
      <c r="F4492">
        <v>25421</v>
      </c>
      <c r="G4492" s="227" t="s">
        <v>130</v>
      </c>
    </row>
    <row r="4493" spans="1:7">
      <c r="A4493" s="216">
        <v>44986</v>
      </c>
      <c r="B4493" t="s">
        <v>42</v>
      </c>
      <c r="C4493">
        <v>13</v>
      </c>
      <c r="D4493" t="s">
        <v>441</v>
      </c>
      <c r="E4493" s="217">
        <v>44986</v>
      </c>
      <c r="F4493">
        <v>24869</v>
      </c>
      <c r="G4493" s="227" t="s">
        <v>126</v>
      </c>
    </row>
    <row r="4494" spans="1:7">
      <c r="A4494" s="216">
        <v>44986</v>
      </c>
      <c r="B4494" t="s">
        <v>42</v>
      </c>
      <c r="C4494">
        <v>13</v>
      </c>
      <c r="D4494" t="s">
        <v>441</v>
      </c>
      <c r="E4494" s="217">
        <v>44986</v>
      </c>
      <c r="F4494">
        <v>24413</v>
      </c>
      <c r="G4494" s="227" t="s">
        <v>122</v>
      </c>
    </row>
    <row r="4495" spans="1:7">
      <c r="A4495" s="216">
        <v>44986</v>
      </c>
      <c r="B4495" t="s">
        <v>42</v>
      </c>
      <c r="C4495">
        <v>13</v>
      </c>
      <c r="D4495" t="s">
        <v>441</v>
      </c>
      <c r="E4495" s="217">
        <v>44986</v>
      </c>
      <c r="F4495">
        <v>29058</v>
      </c>
      <c r="G4495" s="227" t="s">
        <v>91</v>
      </c>
    </row>
    <row r="4496" spans="1:7">
      <c r="A4496" s="216">
        <v>44986</v>
      </c>
      <c r="B4496" t="s">
        <v>42</v>
      </c>
      <c r="C4496">
        <v>13</v>
      </c>
      <c r="D4496" t="s">
        <v>441</v>
      </c>
      <c r="E4496" s="217">
        <v>44986</v>
      </c>
      <c r="F4496">
        <v>25720</v>
      </c>
      <c r="G4496" s="227" t="s">
        <v>99</v>
      </c>
    </row>
    <row r="4497" spans="1:7">
      <c r="A4497" s="216">
        <v>44986</v>
      </c>
      <c r="B4497" t="s">
        <v>42</v>
      </c>
      <c r="C4497">
        <v>13</v>
      </c>
      <c r="D4497" t="s">
        <v>441</v>
      </c>
      <c r="E4497" s="217">
        <v>44986</v>
      </c>
      <c r="F4497">
        <v>30349</v>
      </c>
      <c r="G4497" s="227" t="s">
        <v>95</v>
      </c>
    </row>
    <row r="4498" spans="1:7">
      <c r="A4498" s="216">
        <v>44986</v>
      </c>
      <c r="B4498" t="s">
        <v>42</v>
      </c>
      <c r="C4498">
        <v>13</v>
      </c>
      <c r="D4498" t="s">
        <v>441</v>
      </c>
      <c r="E4498" s="217">
        <v>44986</v>
      </c>
      <c r="F4498">
        <v>27629</v>
      </c>
      <c r="G4498" s="227" t="s">
        <v>113</v>
      </c>
    </row>
    <row r="4499" spans="1:7">
      <c r="A4499" s="216">
        <v>44986</v>
      </c>
      <c r="B4499" t="s">
        <v>42</v>
      </c>
      <c r="C4499">
        <v>13</v>
      </c>
      <c r="D4499" t="s">
        <v>441</v>
      </c>
      <c r="E4499" s="217">
        <v>44986</v>
      </c>
      <c r="F4499">
        <v>317050</v>
      </c>
      <c r="G4499" s="227" t="s">
        <v>434</v>
      </c>
    </row>
    <row r="4500" spans="1:7">
      <c r="A4500" s="216">
        <v>44986</v>
      </c>
      <c r="B4500" t="s">
        <v>42</v>
      </c>
      <c r="C4500">
        <v>14</v>
      </c>
      <c r="D4500" t="s">
        <v>447</v>
      </c>
      <c r="E4500" s="217">
        <v>44986</v>
      </c>
      <c r="F4500">
        <v>0</v>
      </c>
      <c r="G4500" s="227" t="s">
        <v>81</v>
      </c>
    </row>
    <row r="4501" spans="1:7">
      <c r="A4501" s="216">
        <v>44986</v>
      </c>
      <c r="B4501" t="s">
        <v>42</v>
      </c>
      <c r="C4501">
        <v>14</v>
      </c>
      <c r="D4501" t="s">
        <v>447</v>
      </c>
      <c r="E4501" s="217">
        <v>44986</v>
      </c>
      <c r="F4501">
        <v>0</v>
      </c>
      <c r="G4501" s="227" t="s">
        <v>117</v>
      </c>
    </row>
    <row r="4502" spans="1:7">
      <c r="A4502" s="216">
        <v>44986</v>
      </c>
      <c r="B4502" t="s">
        <v>42</v>
      </c>
      <c r="C4502">
        <v>14</v>
      </c>
      <c r="D4502" t="s">
        <v>447</v>
      </c>
      <c r="E4502" s="217">
        <v>44986</v>
      </c>
      <c r="F4502">
        <v>0</v>
      </c>
      <c r="G4502" s="227" t="s">
        <v>108</v>
      </c>
    </row>
    <row r="4503" spans="1:7">
      <c r="A4503" s="216">
        <v>44986</v>
      </c>
      <c r="B4503" t="s">
        <v>42</v>
      </c>
      <c r="C4503">
        <v>14</v>
      </c>
      <c r="D4503" t="s">
        <v>447</v>
      </c>
      <c r="E4503" s="217">
        <v>44986</v>
      </c>
      <c r="F4503">
        <v>0</v>
      </c>
      <c r="G4503" s="227" t="s">
        <v>103</v>
      </c>
    </row>
    <row r="4504" spans="1:7">
      <c r="A4504" s="216">
        <v>44986</v>
      </c>
      <c r="B4504" t="s">
        <v>42</v>
      </c>
      <c r="C4504">
        <v>14</v>
      </c>
      <c r="D4504" t="s">
        <v>447</v>
      </c>
      <c r="E4504" s="217">
        <v>44986</v>
      </c>
      <c r="F4504">
        <v>0</v>
      </c>
      <c r="G4504" s="227" t="s">
        <v>86</v>
      </c>
    </row>
    <row r="4505" spans="1:7">
      <c r="A4505" s="216">
        <v>44986</v>
      </c>
      <c r="B4505" t="s">
        <v>42</v>
      </c>
      <c r="C4505">
        <v>14</v>
      </c>
      <c r="D4505" t="s">
        <v>447</v>
      </c>
      <c r="E4505" s="217">
        <v>44986</v>
      </c>
      <c r="F4505">
        <v>0</v>
      </c>
      <c r="G4505" s="227" t="s">
        <v>130</v>
      </c>
    </row>
    <row r="4506" spans="1:7">
      <c r="A4506" s="216">
        <v>44986</v>
      </c>
      <c r="B4506" t="s">
        <v>42</v>
      </c>
      <c r="C4506">
        <v>14</v>
      </c>
      <c r="D4506" t="s">
        <v>447</v>
      </c>
      <c r="E4506" s="217">
        <v>44986</v>
      </c>
      <c r="F4506">
        <v>0</v>
      </c>
      <c r="G4506" s="227" t="s">
        <v>126</v>
      </c>
    </row>
    <row r="4507" spans="1:7">
      <c r="A4507" s="216">
        <v>44986</v>
      </c>
      <c r="B4507" t="s">
        <v>42</v>
      </c>
      <c r="C4507">
        <v>14</v>
      </c>
      <c r="D4507" t="s">
        <v>447</v>
      </c>
      <c r="E4507" s="217">
        <v>44986</v>
      </c>
      <c r="F4507">
        <v>0</v>
      </c>
      <c r="G4507" s="227" t="s">
        <v>122</v>
      </c>
    </row>
    <row r="4508" spans="1:7">
      <c r="A4508" s="216">
        <v>44986</v>
      </c>
      <c r="B4508" t="s">
        <v>42</v>
      </c>
      <c r="C4508">
        <v>14</v>
      </c>
      <c r="D4508" t="s">
        <v>447</v>
      </c>
      <c r="E4508" s="217">
        <v>44986</v>
      </c>
      <c r="F4508">
        <v>0</v>
      </c>
      <c r="G4508" s="227" t="s">
        <v>91</v>
      </c>
    </row>
    <row r="4509" spans="1:7">
      <c r="A4509" s="216">
        <v>44986</v>
      </c>
      <c r="B4509" t="s">
        <v>42</v>
      </c>
      <c r="C4509">
        <v>14</v>
      </c>
      <c r="D4509" t="s">
        <v>447</v>
      </c>
      <c r="E4509" s="217">
        <v>44986</v>
      </c>
      <c r="F4509">
        <v>0</v>
      </c>
      <c r="G4509" s="227" t="s">
        <v>99</v>
      </c>
    </row>
    <row r="4510" spans="1:7">
      <c r="A4510" s="216">
        <v>44986</v>
      </c>
      <c r="B4510" t="s">
        <v>42</v>
      </c>
      <c r="C4510">
        <v>14</v>
      </c>
      <c r="D4510" t="s">
        <v>447</v>
      </c>
      <c r="E4510" s="217">
        <v>44986</v>
      </c>
      <c r="F4510">
        <v>0</v>
      </c>
      <c r="G4510" s="227" t="s">
        <v>95</v>
      </c>
    </row>
    <row r="4511" spans="1:7">
      <c r="A4511" s="216">
        <v>44986</v>
      </c>
      <c r="B4511" t="s">
        <v>42</v>
      </c>
      <c r="C4511">
        <v>14</v>
      </c>
      <c r="D4511" t="s">
        <v>447</v>
      </c>
      <c r="E4511" s="217">
        <v>44986</v>
      </c>
      <c r="F4511">
        <v>0</v>
      </c>
      <c r="G4511" s="227" t="s">
        <v>113</v>
      </c>
    </row>
    <row r="4512" spans="1:7">
      <c r="A4512" s="216">
        <v>44986</v>
      </c>
      <c r="B4512" t="s">
        <v>42</v>
      </c>
      <c r="C4512">
        <v>14</v>
      </c>
      <c r="D4512" t="s">
        <v>447</v>
      </c>
      <c r="E4512" s="217">
        <v>44986</v>
      </c>
      <c r="F4512">
        <v>0</v>
      </c>
      <c r="G4512" s="227" t="s">
        <v>434</v>
      </c>
    </row>
    <row r="4513" spans="1:7">
      <c r="A4513" s="216">
        <v>44986</v>
      </c>
      <c r="B4513" t="s">
        <v>42</v>
      </c>
      <c r="C4513">
        <v>15</v>
      </c>
      <c r="D4513" t="s">
        <v>437</v>
      </c>
      <c r="E4513" s="217">
        <v>44986</v>
      </c>
      <c r="F4513">
        <v>9497</v>
      </c>
      <c r="G4513" s="227" t="s">
        <v>81</v>
      </c>
    </row>
    <row r="4514" spans="1:7">
      <c r="A4514" s="216">
        <v>44986</v>
      </c>
      <c r="B4514" t="s">
        <v>42</v>
      </c>
      <c r="C4514">
        <v>15</v>
      </c>
      <c r="D4514" t="s">
        <v>437</v>
      </c>
      <c r="E4514" s="217">
        <v>44986</v>
      </c>
      <c r="F4514">
        <v>8176</v>
      </c>
      <c r="G4514" s="227" t="s">
        <v>117</v>
      </c>
    </row>
    <row r="4515" spans="1:7">
      <c r="A4515" s="216">
        <v>44986</v>
      </c>
      <c r="B4515" t="s">
        <v>42</v>
      </c>
      <c r="C4515">
        <v>15</v>
      </c>
      <c r="D4515" t="s">
        <v>437</v>
      </c>
      <c r="E4515" s="217">
        <v>44986</v>
      </c>
      <c r="F4515">
        <v>8512</v>
      </c>
      <c r="G4515" s="227" t="s">
        <v>108</v>
      </c>
    </row>
    <row r="4516" spans="1:7">
      <c r="A4516" s="216">
        <v>44986</v>
      </c>
      <c r="B4516" t="s">
        <v>42</v>
      </c>
      <c r="C4516">
        <v>15</v>
      </c>
      <c r="D4516" t="s">
        <v>437</v>
      </c>
      <c r="E4516" s="217">
        <v>44986</v>
      </c>
      <c r="F4516">
        <v>10526</v>
      </c>
      <c r="G4516" s="227" t="s">
        <v>103</v>
      </c>
    </row>
    <row r="4517" spans="1:7">
      <c r="A4517" s="216">
        <v>44986</v>
      </c>
      <c r="B4517" t="s">
        <v>42</v>
      </c>
      <c r="C4517">
        <v>15</v>
      </c>
      <c r="D4517" t="s">
        <v>437</v>
      </c>
      <c r="E4517" s="217">
        <v>44986</v>
      </c>
      <c r="F4517">
        <v>9329</v>
      </c>
      <c r="G4517" s="227" t="s">
        <v>86</v>
      </c>
    </row>
    <row r="4518" spans="1:7">
      <c r="A4518" s="216">
        <v>44986</v>
      </c>
      <c r="B4518" t="s">
        <v>42</v>
      </c>
      <c r="C4518">
        <v>15</v>
      </c>
      <c r="D4518" t="s">
        <v>437</v>
      </c>
      <c r="E4518" s="217">
        <v>44986</v>
      </c>
      <c r="F4518">
        <v>9886</v>
      </c>
      <c r="G4518" s="227" t="s">
        <v>130</v>
      </c>
    </row>
    <row r="4519" spans="1:7">
      <c r="A4519" s="216">
        <v>44986</v>
      </c>
      <c r="B4519" t="s">
        <v>42</v>
      </c>
      <c r="C4519">
        <v>15</v>
      </c>
      <c r="D4519" t="s">
        <v>437</v>
      </c>
      <c r="E4519" s="217">
        <v>44986</v>
      </c>
      <c r="F4519">
        <v>8811</v>
      </c>
      <c r="G4519" s="227" t="s">
        <v>126</v>
      </c>
    </row>
    <row r="4520" spans="1:7">
      <c r="A4520" s="216">
        <v>44986</v>
      </c>
      <c r="B4520" t="s">
        <v>42</v>
      </c>
      <c r="C4520">
        <v>15</v>
      </c>
      <c r="D4520" t="s">
        <v>437</v>
      </c>
      <c r="E4520" s="217">
        <v>44986</v>
      </c>
      <c r="F4520">
        <v>9514</v>
      </c>
      <c r="G4520" s="227" t="s">
        <v>122</v>
      </c>
    </row>
    <row r="4521" spans="1:7">
      <c r="A4521" s="216">
        <v>44986</v>
      </c>
      <c r="B4521" t="s">
        <v>42</v>
      </c>
      <c r="C4521">
        <v>15</v>
      </c>
      <c r="D4521" t="s">
        <v>437</v>
      </c>
      <c r="E4521" s="217">
        <v>44986</v>
      </c>
      <c r="F4521">
        <v>9528</v>
      </c>
      <c r="G4521" s="227" t="s">
        <v>91</v>
      </c>
    </row>
    <row r="4522" spans="1:7">
      <c r="A4522" s="216">
        <v>44986</v>
      </c>
      <c r="B4522" t="s">
        <v>42</v>
      </c>
      <c r="C4522">
        <v>15</v>
      </c>
      <c r="D4522" t="s">
        <v>437</v>
      </c>
      <c r="E4522" s="217">
        <v>44986</v>
      </c>
      <c r="F4522">
        <v>9285</v>
      </c>
      <c r="G4522" s="227" t="s">
        <v>99</v>
      </c>
    </row>
    <row r="4523" spans="1:7">
      <c r="A4523" s="216">
        <v>44986</v>
      </c>
      <c r="B4523" t="s">
        <v>42</v>
      </c>
      <c r="C4523">
        <v>15</v>
      </c>
      <c r="D4523" t="s">
        <v>437</v>
      </c>
      <c r="E4523" s="217">
        <v>44986</v>
      </c>
      <c r="F4523">
        <v>7468</v>
      </c>
      <c r="G4523" s="227" t="s">
        <v>95</v>
      </c>
    </row>
    <row r="4524" spans="1:7">
      <c r="A4524" s="216">
        <v>44986</v>
      </c>
      <c r="B4524" t="s">
        <v>42</v>
      </c>
      <c r="C4524">
        <v>15</v>
      </c>
      <c r="D4524" t="s">
        <v>437</v>
      </c>
      <c r="E4524" s="217">
        <v>44986</v>
      </c>
      <c r="F4524">
        <v>9868</v>
      </c>
      <c r="G4524" s="227" t="s">
        <v>113</v>
      </c>
    </row>
    <row r="4525" spans="1:7">
      <c r="A4525" s="216">
        <v>44986</v>
      </c>
      <c r="B4525" t="s">
        <v>42</v>
      </c>
      <c r="C4525">
        <v>15</v>
      </c>
      <c r="D4525" t="s">
        <v>437</v>
      </c>
      <c r="E4525" s="217">
        <v>44986</v>
      </c>
      <c r="F4525">
        <v>110400</v>
      </c>
      <c r="G4525" s="227" t="s">
        <v>434</v>
      </c>
    </row>
    <row r="4526" spans="1:7">
      <c r="A4526" s="216">
        <v>44986</v>
      </c>
      <c r="B4526" t="s">
        <v>43</v>
      </c>
      <c r="C4526">
        <v>7</v>
      </c>
      <c r="D4526" t="s">
        <v>442</v>
      </c>
      <c r="E4526" s="217">
        <v>44986</v>
      </c>
      <c r="F4526">
        <v>164175</v>
      </c>
      <c r="G4526" s="227" t="s">
        <v>81</v>
      </c>
    </row>
    <row r="4527" spans="1:7">
      <c r="A4527" s="216">
        <v>44986</v>
      </c>
      <c r="B4527" t="s">
        <v>43</v>
      </c>
      <c r="C4527">
        <v>7</v>
      </c>
      <c r="D4527" t="s">
        <v>442</v>
      </c>
      <c r="E4527" s="217">
        <v>44986</v>
      </c>
      <c r="F4527">
        <v>162396</v>
      </c>
      <c r="G4527" s="227" t="s">
        <v>117</v>
      </c>
    </row>
    <row r="4528" spans="1:7">
      <c r="A4528" s="216">
        <v>44986</v>
      </c>
      <c r="B4528" t="s">
        <v>43</v>
      </c>
      <c r="C4528">
        <v>7</v>
      </c>
      <c r="D4528" t="s">
        <v>442</v>
      </c>
      <c r="E4528" s="217">
        <v>44986</v>
      </c>
      <c r="F4528">
        <v>163819</v>
      </c>
      <c r="G4528" s="227" t="s">
        <v>108</v>
      </c>
    </row>
    <row r="4529" spans="1:7">
      <c r="A4529" s="216">
        <v>44986</v>
      </c>
      <c r="B4529" t="s">
        <v>43</v>
      </c>
      <c r="C4529">
        <v>7</v>
      </c>
      <c r="D4529" t="s">
        <v>442</v>
      </c>
      <c r="E4529" s="217">
        <v>44986</v>
      </c>
      <c r="F4529">
        <v>170733</v>
      </c>
      <c r="G4529" s="227" t="s">
        <v>103</v>
      </c>
    </row>
    <row r="4530" spans="1:7">
      <c r="A4530" s="216">
        <v>44986</v>
      </c>
      <c r="B4530" t="s">
        <v>43</v>
      </c>
      <c r="C4530">
        <v>7</v>
      </c>
      <c r="D4530" t="s">
        <v>442</v>
      </c>
      <c r="E4530" s="217">
        <v>44986</v>
      </c>
      <c r="F4530">
        <v>172741</v>
      </c>
      <c r="G4530" s="227" t="s">
        <v>86</v>
      </c>
    </row>
    <row r="4531" spans="1:7">
      <c r="A4531" s="216">
        <v>44986</v>
      </c>
      <c r="B4531" t="s">
        <v>43</v>
      </c>
      <c r="C4531">
        <v>7</v>
      </c>
      <c r="D4531" t="s">
        <v>442</v>
      </c>
      <c r="E4531" s="217">
        <v>44986</v>
      </c>
      <c r="F4531">
        <v>187122</v>
      </c>
      <c r="G4531" s="227" t="s">
        <v>130</v>
      </c>
    </row>
    <row r="4532" spans="1:7">
      <c r="A4532" s="216">
        <v>44986</v>
      </c>
      <c r="B4532" t="s">
        <v>43</v>
      </c>
      <c r="C4532">
        <v>7</v>
      </c>
      <c r="D4532" t="s">
        <v>442</v>
      </c>
      <c r="E4532" s="217">
        <v>44986</v>
      </c>
      <c r="F4532">
        <v>170898</v>
      </c>
      <c r="G4532" s="227" t="s">
        <v>126</v>
      </c>
    </row>
    <row r="4533" spans="1:7">
      <c r="A4533" s="216">
        <v>44986</v>
      </c>
      <c r="B4533" t="s">
        <v>43</v>
      </c>
      <c r="C4533">
        <v>7</v>
      </c>
      <c r="D4533" t="s">
        <v>442</v>
      </c>
      <c r="E4533" s="217">
        <v>44986</v>
      </c>
      <c r="F4533">
        <v>171284</v>
      </c>
      <c r="G4533" s="227" t="s">
        <v>122</v>
      </c>
    </row>
    <row r="4534" spans="1:7">
      <c r="A4534" s="216">
        <v>44986</v>
      </c>
      <c r="B4534" t="s">
        <v>43</v>
      </c>
      <c r="C4534">
        <v>7</v>
      </c>
      <c r="D4534" t="s">
        <v>442</v>
      </c>
      <c r="E4534" s="217">
        <v>44986</v>
      </c>
      <c r="F4534">
        <v>172317</v>
      </c>
      <c r="G4534" s="227" t="s">
        <v>91</v>
      </c>
    </row>
    <row r="4535" spans="1:7">
      <c r="A4535" s="216">
        <v>44986</v>
      </c>
      <c r="B4535" t="s">
        <v>43</v>
      </c>
      <c r="C4535">
        <v>7</v>
      </c>
      <c r="D4535" t="s">
        <v>442</v>
      </c>
      <c r="E4535" s="217">
        <v>44986</v>
      </c>
      <c r="F4535">
        <v>173837</v>
      </c>
      <c r="G4535" s="227" t="s">
        <v>99</v>
      </c>
    </row>
    <row r="4536" spans="1:7">
      <c r="A4536" s="216">
        <v>44986</v>
      </c>
      <c r="B4536" t="s">
        <v>43</v>
      </c>
      <c r="C4536">
        <v>7</v>
      </c>
      <c r="D4536" t="s">
        <v>442</v>
      </c>
      <c r="E4536" s="217">
        <v>44986</v>
      </c>
      <c r="F4536">
        <v>179306</v>
      </c>
      <c r="G4536" s="227" t="s">
        <v>95</v>
      </c>
    </row>
    <row r="4537" spans="1:7">
      <c r="A4537" s="216">
        <v>44986</v>
      </c>
      <c r="B4537" t="s">
        <v>43</v>
      </c>
      <c r="C4537">
        <v>7</v>
      </c>
      <c r="D4537" t="s">
        <v>442</v>
      </c>
      <c r="E4537" s="217">
        <v>44986</v>
      </c>
      <c r="F4537">
        <v>255152</v>
      </c>
      <c r="G4537" s="227" t="s">
        <v>113</v>
      </c>
    </row>
    <row r="4538" spans="1:7">
      <c r="A4538" s="216">
        <v>44986</v>
      </c>
      <c r="B4538" t="s">
        <v>43</v>
      </c>
      <c r="C4538">
        <v>7</v>
      </c>
      <c r="D4538" t="s">
        <v>442</v>
      </c>
      <c r="E4538" s="217">
        <v>44986</v>
      </c>
      <c r="F4538">
        <v>2143780</v>
      </c>
      <c r="G4538" s="227" t="s">
        <v>434</v>
      </c>
    </row>
    <row r="4539" spans="1:7">
      <c r="A4539" s="216">
        <v>44986</v>
      </c>
      <c r="B4539" t="s">
        <v>43</v>
      </c>
      <c r="C4539">
        <v>8</v>
      </c>
      <c r="D4539" t="s">
        <v>451</v>
      </c>
      <c r="E4539" s="217">
        <v>44986</v>
      </c>
      <c r="F4539">
        <v>18117</v>
      </c>
      <c r="G4539" s="227" t="s">
        <v>81</v>
      </c>
    </row>
    <row r="4540" spans="1:7">
      <c r="A4540" s="216">
        <v>44986</v>
      </c>
      <c r="B4540" t="s">
        <v>43</v>
      </c>
      <c r="C4540">
        <v>8</v>
      </c>
      <c r="D4540" t="s">
        <v>451</v>
      </c>
      <c r="E4540" s="217">
        <v>44986</v>
      </c>
      <c r="F4540">
        <v>17906</v>
      </c>
      <c r="G4540" s="227" t="s">
        <v>117</v>
      </c>
    </row>
    <row r="4541" spans="1:7">
      <c r="A4541" s="216">
        <v>44986</v>
      </c>
      <c r="B4541" t="s">
        <v>43</v>
      </c>
      <c r="C4541">
        <v>8</v>
      </c>
      <c r="D4541" t="s">
        <v>451</v>
      </c>
      <c r="E4541" s="217">
        <v>44986</v>
      </c>
      <c r="F4541">
        <v>16529</v>
      </c>
      <c r="G4541" s="227" t="s">
        <v>108</v>
      </c>
    </row>
    <row r="4542" spans="1:7">
      <c r="A4542" s="216">
        <v>44986</v>
      </c>
      <c r="B4542" t="s">
        <v>43</v>
      </c>
      <c r="C4542">
        <v>8</v>
      </c>
      <c r="D4542" t="s">
        <v>451</v>
      </c>
      <c r="E4542" s="217">
        <v>44986</v>
      </c>
      <c r="F4542">
        <v>18135</v>
      </c>
      <c r="G4542" s="227" t="s">
        <v>103</v>
      </c>
    </row>
    <row r="4543" spans="1:7">
      <c r="A4543" s="216">
        <v>44986</v>
      </c>
      <c r="B4543" t="s">
        <v>43</v>
      </c>
      <c r="C4543">
        <v>8</v>
      </c>
      <c r="D4543" t="s">
        <v>451</v>
      </c>
      <c r="E4543" s="217">
        <v>44986</v>
      </c>
      <c r="F4543">
        <v>17415</v>
      </c>
      <c r="G4543" s="227" t="s">
        <v>86</v>
      </c>
    </row>
    <row r="4544" spans="1:7">
      <c r="A4544" s="216">
        <v>44986</v>
      </c>
      <c r="B4544" t="s">
        <v>43</v>
      </c>
      <c r="C4544">
        <v>8</v>
      </c>
      <c r="D4544" t="s">
        <v>451</v>
      </c>
      <c r="E4544" s="217">
        <v>44986</v>
      </c>
      <c r="F4544">
        <v>18117</v>
      </c>
      <c r="G4544" s="227" t="s">
        <v>130</v>
      </c>
    </row>
    <row r="4545" spans="1:7">
      <c r="A4545" s="216">
        <v>44986</v>
      </c>
      <c r="B4545" t="s">
        <v>43</v>
      </c>
      <c r="C4545">
        <v>8</v>
      </c>
      <c r="D4545" t="s">
        <v>451</v>
      </c>
      <c r="E4545" s="217">
        <v>44986</v>
      </c>
      <c r="F4545">
        <v>18719</v>
      </c>
      <c r="G4545" s="227" t="s">
        <v>126</v>
      </c>
    </row>
    <row r="4546" spans="1:7">
      <c r="A4546" s="216">
        <v>44986</v>
      </c>
      <c r="B4546" t="s">
        <v>43</v>
      </c>
      <c r="C4546">
        <v>8</v>
      </c>
      <c r="D4546" t="s">
        <v>451</v>
      </c>
      <c r="E4546" s="217">
        <v>44986</v>
      </c>
      <c r="F4546">
        <v>22109</v>
      </c>
      <c r="G4546" s="227" t="s">
        <v>122</v>
      </c>
    </row>
    <row r="4547" spans="1:7">
      <c r="A4547" s="216">
        <v>44986</v>
      </c>
      <c r="B4547" t="s">
        <v>43</v>
      </c>
      <c r="C4547">
        <v>8</v>
      </c>
      <c r="D4547" t="s">
        <v>451</v>
      </c>
      <c r="E4547" s="217">
        <v>44986</v>
      </c>
      <c r="F4547">
        <v>18909</v>
      </c>
      <c r="G4547" s="227" t="s">
        <v>91</v>
      </c>
    </row>
    <row r="4548" spans="1:7">
      <c r="A4548" s="216">
        <v>44986</v>
      </c>
      <c r="B4548" t="s">
        <v>43</v>
      </c>
      <c r="C4548">
        <v>8</v>
      </c>
      <c r="D4548" t="s">
        <v>451</v>
      </c>
      <c r="E4548" s="217">
        <v>44986</v>
      </c>
      <c r="F4548">
        <v>19628</v>
      </c>
      <c r="G4548" s="227" t="s">
        <v>99</v>
      </c>
    </row>
    <row r="4549" spans="1:7">
      <c r="A4549" s="216">
        <v>44986</v>
      </c>
      <c r="B4549" t="s">
        <v>43</v>
      </c>
      <c r="C4549">
        <v>8</v>
      </c>
      <c r="D4549" t="s">
        <v>451</v>
      </c>
      <c r="E4549" s="217">
        <v>44986</v>
      </c>
      <c r="F4549">
        <v>18988</v>
      </c>
      <c r="G4549" s="227" t="s">
        <v>95</v>
      </c>
    </row>
    <row r="4550" spans="1:7">
      <c r="A4550" s="216">
        <v>44986</v>
      </c>
      <c r="B4550" t="s">
        <v>43</v>
      </c>
      <c r="C4550">
        <v>8</v>
      </c>
      <c r="D4550" t="s">
        <v>451</v>
      </c>
      <c r="E4550" s="217">
        <v>44986</v>
      </c>
      <c r="F4550">
        <v>17541</v>
      </c>
      <c r="G4550" s="227" t="s">
        <v>113</v>
      </c>
    </row>
    <row r="4551" spans="1:7">
      <c r="A4551" s="216">
        <v>44986</v>
      </c>
      <c r="B4551" t="s">
        <v>43</v>
      </c>
      <c r="C4551">
        <v>8</v>
      </c>
      <c r="D4551" t="s">
        <v>451</v>
      </c>
      <c r="E4551" s="217">
        <v>44986</v>
      </c>
      <c r="F4551">
        <v>222113</v>
      </c>
      <c r="G4551" s="227" t="s">
        <v>434</v>
      </c>
    </row>
    <row r="4552" spans="1:7">
      <c r="A4552" s="216">
        <v>44986</v>
      </c>
      <c r="B4552" t="s">
        <v>43</v>
      </c>
      <c r="C4552">
        <v>9</v>
      </c>
      <c r="D4552" t="s">
        <v>450</v>
      </c>
      <c r="E4552" s="217">
        <v>44986</v>
      </c>
      <c r="F4552">
        <v>8696</v>
      </c>
      <c r="G4552" s="227" t="s">
        <v>81</v>
      </c>
    </row>
    <row r="4553" spans="1:7">
      <c r="A4553" s="216">
        <v>44986</v>
      </c>
      <c r="B4553" t="s">
        <v>43</v>
      </c>
      <c r="C4553">
        <v>9</v>
      </c>
      <c r="D4553" t="s">
        <v>450</v>
      </c>
      <c r="E4553" s="217">
        <v>44986</v>
      </c>
      <c r="F4553">
        <v>8772</v>
      </c>
      <c r="G4553" s="227" t="s">
        <v>117</v>
      </c>
    </row>
    <row r="4554" spans="1:7">
      <c r="A4554" s="216">
        <v>44986</v>
      </c>
      <c r="B4554" t="s">
        <v>43</v>
      </c>
      <c r="C4554">
        <v>9</v>
      </c>
      <c r="D4554" t="s">
        <v>450</v>
      </c>
      <c r="E4554" s="217">
        <v>44986</v>
      </c>
      <c r="F4554">
        <v>9930</v>
      </c>
      <c r="G4554" s="227" t="s">
        <v>108</v>
      </c>
    </row>
    <row r="4555" spans="1:7">
      <c r="A4555" s="216">
        <v>44986</v>
      </c>
      <c r="B4555" t="s">
        <v>43</v>
      </c>
      <c r="C4555">
        <v>9</v>
      </c>
      <c r="D4555" t="s">
        <v>450</v>
      </c>
      <c r="E4555" s="217">
        <v>44986</v>
      </c>
      <c r="F4555">
        <v>10087</v>
      </c>
      <c r="G4555" s="227" t="s">
        <v>103</v>
      </c>
    </row>
    <row r="4556" spans="1:7">
      <c r="A4556" s="216">
        <v>44986</v>
      </c>
      <c r="B4556" t="s">
        <v>43</v>
      </c>
      <c r="C4556">
        <v>9</v>
      </c>
      <c r="D4556" t="s">
        <v>450</v>
      </c>
      <c r="E4556" s="217">
        <v>44986</v>
      </c>
      <c r="F4556">
        <v>10344</v>
      </c>
      <c r="G4556" s="227" t="s">
        <v>86</v>
      </c>
    </row>
    <row r="4557" spans="1:7">
      <c r="A4557" s="216">
        <v>44986</v>
      </c>
      <c r="B4557" t="s">
        <v>43</v>
      </c>
      <c r="C4557">
        <v>9</v>
      </c>
      <c r="D4557" t="s">
        <v>450</v>
      </c>
      <c r="E4557" s="217">
        <v>44986</v>
      </c>
      <c r="F4557">
        <v>10503</v>
      </c>
      <c r="G4557" s="227" t="s">
        <v>130</v>
      </c>
    </row>
    <row r="4558" spans="1:7">
      <c r="A4558" s="216">
        <v>44986</v>
      </c>
      <c r="B4558" t="s">
        <v>43</v>
      </c>
      <c r="C4558">
        <v>9</v>
      </c>
      <c r="D4558" t="s">
        <v>450</v>
      </c>
      <c r="E4558" s="217">
        <v>44986</v>
      </c>
      <c r="F4558">
        <v>9917</v>
      </c>
      <c r="G4558" s="227" t="s">
        <v>126</v>
      </c>
    </row>
    <row r="4559" spans="1:7">
      <c r="A4559" s="216">
        <v>44986</v>
      </c>
      <c r="B4559" t="s">
        <v>43</v>
      </c>
      <c r="C4559">
        <v>9</v>
      </c>
      <c r="D4559" t="s">
        <v>450</v>
      </c>
      <c r="E4559" s="217">
        <v>44986</v>
      </c>
      <c r="F4559">
        <v>9936</v>
      </c>
      <c r="G4559" s="227" t="s">
        <v>122</v>
      </c>
    </row>
    <row r="4560" spans="1:7">
      <c r="A4560" s="216">
        <v>44986</v>
      </c>
      <c r="B4560" t="s">
        <v>43</v>
      </c>
      <c r="C4560">
        <v>9</v>
      </c>
      <c r="D4560" t="s">
        <v>450</v>
      </c>
      <c r="E4560" s="217">
        <v>44986</v>
      </c>
      <c r="F4560">
        <v>10197</v>
      </c>
      <c r="G4560" s="227" t="s">
        <v>91</v>
      </c>
    </row>
    <row r="4561" spans="1:7">
      <c r="A4561" s="216">
        <v>44986</v>
      </c>
      <c r="B4561" t="s">
        <v>43</v>
      </c>
      <c r="C4561">
        <v>9</v>
      </c>
      <c r="D4561" t="s">
        <v>450</v>
      </c>
      <c r="E4561" s="217">
        <v>44986</v>
      </c>
      <c r="F4561">
        <v>10353</v>
      </c>
      <c r="G4561" s="227" t="s">
        <v>99</v>
      </c>
    </row>
    <row r="4562" spans="1:7">
      <c r="A4562" s="216">
        <v>44986</v>
      </c>
      <c r="B4562" t="s">
        <v>43</v>
      </c>
      <c r="C4562">
        <v>9</v>
      </c>
      <c r="D4562" t="s">
        <v>450</v>
      </c>
      <c r="E4562" s="217">
        <v>44986</v>
      </c>
      <c r="F4562">
        <v>10266</v>
      </c>
      <c r="G4562" s="227" t="s">
        <v>95</v>
      </c>
    </row>
    <row r="4563" spans="1:7">
      <c r="A4563" s="216">
        <v>44986</v>
      </c>
      <c r="B4563" t="s">
        <v>43</v>
      </c>
      <c r="C4563">
        <v>9</v>
      </c>
      <c r="D4563" t="s">
        <v>450</v>
      </c>
      <c r="E4563" s="217">
        <v>44986</v>
      </c>
      <c r="F4563">
        <v>11818</v>
      </c>
      <c r="G4563" s="227" t="s">
        <v>113</v>
      </c>
    </row>
    <row r="4564" spans="1:7">
      <c r="A4564" s="216">
        <v>44986</v>
      </c>
      <c r="B4564" t="s">
        <v>43</v>
      </c>
      <c r="C4564">
        <v>9</v>
      </c>
      <c r="D4564" t="s">
        <v>450</v>
      </c>
      <c r="E4564" s="217">
        <v>44986</v>
      </c>
      <c r="F4564">
        <v>120819</v>
      </c>
      <c r="G4564" s="227" t="s">
        <v>434</v>
      </c>
    </row>
    <row r="4565" spans="1:7">
      <c r="A4565" s="216">
        <v>44986</v>
      </c>
      <c r="B4565" t="s">
        <v>43</v>
      </c>
      <c r="C4565">
        <v>10</v>
      </c>
      <c r="D4565" t="s">
        <v>433</v>
      </c>
      <c r="E4565" s="217">
        <v>44986</v>
      </c>
      <c r="F4565">
        <v>76620</v>
      </c>
      <c r="G4565" s="227" t="s">
        <v>81</v>
      </c>
    </row>
    <row r="4566" spans="1:7">
      <c r="A4566" s="216">
        <v>44986</v>
      </c>
      <c r="B4566" t="s">
        <v>43</v>
      </c>
      <c r="C4566">
        <v>10</v>
      </c>
      <c r="D4566" t="s">
        <v>433</v>
      </c>
      <c r="E4566" s="217">
        <v>44986</v>
      </c>
      <c r="F4566">
        <v>73442</v>
      </c>
      <c r="G4566" s="227" t="s">
        <v>117</v>
      </c>
    </row>
    <row r="4567" spans="1:7">
      <c r="A4567" s="216">
        <v>44986</v>
      </c>
      <c r="B4567" t="s">
        <v>43</v>
      </c>
      <c r="C4567">
        <v>10</v>
      </c>
      <c r="D4567" t="s">
        <v>433</v>
      </c>
      <c r="E4567" s="217">
        <v>44986</v>
      </c>
      <c r="F4567">
        <v>75384</v>
      </c>
      <c r="G4567" s="227" t="s">
        <v>108</v>
      </c>
    </row>
    <row r="4568" spans="1:7">
      <c r="A4568" s="216">
        <v>44986</v>
      </c>
      <c r="B4568" t="s">
        <v>43</v>
      </c>
      <c r="C4568">
        <v>10</v>
      </c>
      <c r="D4568" t="s">
        <v>433</v>
      </c>
      <c r="E4568" s="217">
        <v>44986</v>
      </c>
      <c r="F4568">
        <v>76336</v>
      </c>
      <c r="G4568" s="227" t="s">
        <v>103</v>
      </c>
    </row>
    <row r="4569" spans="1:7">
      <c r="A4569" s="216">
        <v>44986</v>
      </c>
      <c r="B4569" t="s">
        <v>43</v>
      </c>
      <c r="C4569">
        <v>10</v>
      </c>
      <c r="D4569" t="s">
        <v>433</v>
      </c>
      <c r="E4569" s="217">
        <v>44986</v>
      </c>
      <c r="F4569">
        <v>75084</v>
      </c>
      <c r="G4569" s="227" t="s">
        <v>86</v>
      </c>
    </row>
    <row r="4570" spans="1:7">
      <c r="A4570" s="216">
        <v>44986</v>
      </c>
      <c r="B4570" t="s">
        <v>43</v>
      </c>
      <c r="C4570">
        <v>10</v>
      </c>
      <c r="D4570" t="s">
        <v>433</v>
      </c>
      <c r="E4570" s="217">
        <v>44986</v>
      </c>
      <c r="F4570">
        <v>95804</v>
      </c>
      <c r="G4570" s="227" t="s">
        <v>130</v>
      </c>
    </row>
    <row r="4571" spans="1:7">
      <c r="A4571" s="216">
        <v>44986</v>
      </c>
      <c r="B4571" t="s">
        <v>43</v>
      </c>
      <c r="C4571">
        <v>10</v>
      </c>
      <c r="D4571" t="s">
        <v>433</v>
      </c>
      <c r="E4571" s="217">
        <v>44986</v>
      </c>
      <c r="F4571">
        <v>79428</v>
      </c>
      <c r="G4571" s="227" t="s">
        <v>126</v>
      </c>
    </row>
    <row r="4572" spans="1:7">
      <c r="A4572" s="216">
        <v>44986</v>
      </c>
      <c r="B4572" t="s">
        <v>43</v>
      </c>
      <c r="C4572">
        <v>10</v>
      </c>
      <c r="D4572" t="s">
        <v>433</v>
      </c>
      <c r="E4572" s="217">
        <v>44986</v>
      </c>
      <c r="F4572">
        <v>79684</v>
      </c>
      <c r="G4572" s="227" t="s">
        <v>122</v>
      </c>
    </row>
    <row r="4573" spans="1:7">
      <c r="A4573" s="216">
        <v>44986</v>
      </c>
      <c r="B4573" t="s">
        <v>43</v>
      </c>
      <c r="C4573">
        <v>10</v>
      </c>
      <c r="D4573" t="s">
        <v>433</v>
      </c>
      <c r="E4573" s="217">
        <v>44986</v>
      </c>
      <c r="F4573">
        <v>75126</v>
      </c>
      <c r="G4573" s="227" t="s">
        <v>91</v>
      </c>
    </row>
    <row r="4574" spans="1:7">
      <c r="A4574" s="216">
        <v>44986</v>
      </c>
      <c r="B4574" t="s">
        <v>43</v>
      </c>
      <c r="C4574">
        <v>10</v>
      </c>
      <c r="D4574" t="s">
        <v>433</v>
      </c>
      <c r="E4574" s="217">
        <v>44986</v>
      </c>
      <c r="F4574">
        <v>80774</v>
      </c>
      <c r="G4574" s="227" t="s">
        <v>99</v>
      </c>
    </row>
    <row r="4575" spans="1:7">
      <c r="A4575" s="216">
        <v>44986</v>
      </c>
      <c r="B4575" t="s">
        <v>43</v>
      </c>
      <c r="C4575">
        <v>10</v>
      </c>
      <c r="D4575" t="s">
        <v>433</v>
      </c>
      <c r="E4575" s="217">
        <v>44986</v>
      </c>
      <c r="F4575">
        <v>81475</v>
      </c>
      <c r="G4575" s="227" t="s">
        <v>95</v>
      </c>
    </row>
    <row r="4576" spans="1:7">
      <c r="A4576" s="216">
        <v>44986</v>
      </c>
      <c r="B4576" t="s">
        <v>43</v>
      </c>
      <c r="C4576">
        <v>10</v>
      </c>
      <c r="D4576" t="s">
        <v>433</v>
      </c>
      <c r="E4576" s="217">
        <v>44986</v>
      </c>
      <c r="F4576">
        <v>142445</v>
      </c>
      <c r="G4576" s="227" t="s">
        <v>113</v>
      </c>
    </row>
    <row r="4577" spans="1:7">
      <c r="A4577" s="216">
        <v>44986</v>
      </c>
      <c r="B4577" t="s">
        <v>43</v>
      </c>
      <c r="C4577">
        <v>10</v>
      </c>
      <c r="D4577" t="s">
        <v>433</v>
      </c>
      <c r="E4577" s="217">
        <v>44986</v>
      </c>
      <c r="F4577">
        <v>1011602</v>
      </c>
      <c r="G4577" s="227" t="s">
        <v>434</v>
      </c>
    </row>
    <row r="4578" spans="1:7">
      <c r="A4578" s="216">
        <v>44986</v>
      </c>
      <c r="B4578" t="s">
        <v>43</v>
      </c>
      <c r="C4578">
        <v>11</v>
      </c>
      <c r="D4578" t="s">
        <v>445</v>
      </c>
      <c r="E4578" s="217">
        <v>44986</v>
      </c>
      <c r="F4578">
        <v>15727</v>
      </c>
      <c r="G4578" s="227" t="s">
        <v>81</v>
      </c>
    </row>
    <row r="4579" spans="1:7">
      <c r="A4579" s="216">
        <v>44986</v>
      </c>
      <c r="B4579" t="s">
        <v>43</v>
      </c>
      <c r="C4579">
        <v>11</v>
      </c>
      <c r="D4579" t="s">
        <v>445</v>
      </c>
      <c r="E4579" s="217">
        <v>44986</v>
      </c>
      <c r="F4579">
        <v>15984</v>
      </c>
      <c r="G4579" s="227" t="s">
        <v>117</v>
      </c>
    </row>
    <row r="4580" spans="1:7">
      <c r="A4580" s="216">
        <v>44986</v>
      </c>
      <c r="B4580" t="s">
        <v>43</v>
      </c>
      <c r="C4580">
        <v>11</v>
      </c>
      <c r="D4580" t="s">
        <v>445</v>
      </c>
      <c r="E4580" s="217">
        <v>44986</v>
      </c>
      <c r="F4580">
        <v>17801</v>
      </c>
      <c r="G4580" s="227" t="s">
        <v>108</v>
      </c>
    </row>
    <row r="4581" spans="1:7">
      <c r="A4581" s="216">
        <v>44986</v>
      </c>
      <c r="B4581" t="s">
        <v>43</v>
      </c>
      <c r="C4581">
        <v>11</v>
      </c>
      <c r="D4581" t="s">
        <v>445</v>
      </c>
      <c r="E4581" s="217">
        <v>44986</v>
      </c>
      <c r="F4581">
        <v>13728</v>
      </c>
      <c r="G4581" s="227" t="s">
        <v>103</v>
      </c>
    </row>
    <row r="4582" spans="1:7">
      <c r="A4582" s="216">
        <v>44986</v>
      </c>
      <c r="B4582" t="s">
        <v>43</v>
      </c>
      <c r="C4582">
        <v>11</v>
      </c>
      <c r="D4582" t="s">
        <v>445</v>
      </c>
      <c r="E4582" s="217">
        <v>44986</v>
      </c>
      <c r="F4582">
        <v>19442</v>
      </c>
      <c r="G4582" s="227" t="s">
        <v>86</v>
      </c>
    </row>
    <row r="4583" spans="1:7">
      <c r="A4583" s="216">
        <v>44986</v>
      </c>
      <c r="B4583" t="s">
        <v>43</v>
      </c>
      <c r="C4583">
        <v>11</v>
      </c>
      <c r="D4583" t="s">
        <v>445</v>
      </c>
      <c r="E4583" s="217">
        <v>44986</v>
      </c>
      <c r="F4583">
        <v>19295</v>
      </c>
      <c r="G4583" s="227" t="s">
        <v>130</v>
      </c>
    </row>
    <row r="4584" spans="1:7">
      <c r="A4584" s="216">
        <v>44986</v>
      </c>
      <c r="B4584" t="s">
        <v>43</v>
      </c>
      <c r="C4584">
        <v>11</v>
      </c>
      <c r="D4584" t="s">
        <v>445</v>
      </c>
      <c r="E4584" s="217">
        <v>44986</v>
      </c>
      <c r="F4584">
        <v>17657</v>
      </c>
      <c r="G4584" s="227" t="s">
        <v>126</v>
      </c>
    </row>
    <row r="4585" spans="1:7">
      <c r="A4585" s="216">
        <v>44986</v>
      </c>
      <c r="B4585" t="s">
        <v>43</v>
      </c>
      <c r="C4585">
        <v>11</v>
      </c>
      <c r="D4585" t="s">
        <v>445</v>
      </c>
      <c r="E4585" s="217">
        <v>44986</v>
      </c>
      <c r="F4585">
        <v>15311</v>
      </c>
      <c r="G4585" s="227" t="s">
        <v>122</v>
      </c>
    </row>
    <row r="4586" spans="1:7">
      <c r="A4586" s="216">
        <v>44986</v>
      </c>
      <c r="B4586" t="s">
        <v>43</v>
      </c>
      <c r="C4586">
        <v>11</v>
      </c>
      <c r="D4586" t="s">
        <v>445</v>
      </c>
      <c r="E4586" s="217">
        <v>44986</v>
      </c>
      <c r="F4586">
        <v>19687</v>
      </c>
      <c r="G4586" s="227" t="s">
        <v>91</v>
      </c>
    </row>
    <row r="4587" spans="1:7">
      <c r="A4587" s="216">
        <v>44986</v>
      </c>
      <c r="B4587" t="s">
        <v>43</v>
      </c>
      <c r="C4587">
        <v>11</v>
      </c>
      <c r="D4587" t="s">
        <v>445</v>
      </c>
      <c r="E4587" s="217">
        <v>44986</v>
      </c>
      <c r="F4587">
        <v>16256</v>
      </c>
      <c r="G4587" s="227" t="s">
        <v>99</v>
      </c>
    </row>
    <row r="4588" spans="1:7">
      <c r="A4588" s="216">
        <v>44986</v>
      </c>
      <c r="B4588" t="s">
        <v>43</v>
      </c>
      <c r="C4588">
        <v>11</v>
      </c>
      <c r="D4588" t="s">
        <v>445</v>
      </c>
      <c r="E4588" s="217">
        <v>44986</v>
      </c>
      <c r="F4588">
        <v>17756</v>
      </c>
      <c r="G4588" s="227" t="s">
        <v>95</v>
      </c>
    </row>
    <row r="4589" spans="1:7">
      <c r="A4589" s="216">
        <v>44986</v>
      </c>
      <c r="B4589" t="s">
        <v>43</v>
      </c>
      <c r="C4589">
        <v>11</v>
      </c>
      <c r="D4589" t="s">
        <v>445</v>
      </c>
      <c r="E4589" s="217">
        <v>44986</v>
      </c>
      <c r="F4589">
        <v>21873</v>
      </c>
      <c r="G4589" s="227" t="s">
        <v>113</v>
      </c>
    </row>
    <row r="4590" spans="1:7">
      <c r="A4590" s="216">
        <v>44986</v>
      </c>
      <c r="B4590" t="s">
        <v>43</v>
      </c>
      <c r="C4590">
        <v>11</v>
      </c>
      <c r="D4590" t="s">
        <v>445</v>
      </c>
      <c r="E4590" s="217">
        <v>44986</v>
      </c>
      <c r="F4590">
        <v>210517</v>
      </c>
      <c r="G4590" s="227" t="s">
        <v>434</v>
      </c>
    </row>
    <row r="4591" spans="1:7">
      <c r="A4591" s="216">
        <v>44986</v>
      </c>
      <c r="B4591" t="s">
        <v>43</v>
      </c>
      <c r="C4591">
        <v>12</v>
      </c>
      <c r="D4591" t="s">
        <v>454</v>
      </c>
      <c r="E4591" s="217">
        <v>44986</v>
      </c>
      <c r="F4591">
        <v>6977</v>
      </c>
      <c r="G4591" s="227" t="s">
        <v>81</v>
      </c>
    </row>
    <row r="4592" spans="1:7">
      <c r="A4592" s="216">
        <v>44986</v>
      </c>
      <c r="B4592" t="s">
        <v>43</v>
      </c>
      <c r="C4592">
        <v>12</v>
      </c>
      <c r="D4592" t="s">
        <v>454</v>
      </c>
      <c r="E4592" s="217">
        <v>44986</v>
      </c>
      <c r="F4592">
        <v>7289</v>
      </c>
      <c r="G4592" s="227" t="s">
        <v>117</v>
      </c>
    </row>
    <row r="4593" spans="1:7">
      <c r="A4593" s="216">
        <v>44986</v>
      </c>
      <c r="B4593" t="s">
        <v>43</v>
      </c>
      <c r="C4593">
        <v>12</v>
      </c>
      <c r="D4593" t="s">
        <v>454</v>
      </c>
      <c r="E4593" s="217">
        <v>44986</v>
      </c>
      <c r="F4593">
        <v>5359</v>
      </c>
      <c r="G4593" s="227" t="s">
        <v>108</v>
      </c>
    </row>
    <row r="4594" spans="1:7">
      <c r="A4594" s="216">
        <v>44986</v>
      </c>
      <c r="B4594" t="s">
        <v>43</v>
      </c>
      <c r="C4594">
        <v>12</v>
      </c>
      <c r="D4594" t="s">
        <v>454</v>
      </c>
      <c r="E4594" s="217">
        <v>44986</v>
      </c>
      <c r="F4594">
        <v>6659</v>
      </c>
      <c r="G4594" s="227" t="s">
        <v>103</v>
      </c>
    </row>
    <row r="4595" spans="1:7">
      <c r="A4595" s="216">
        <v>44986</v>
      </c>
      <c r="B4595" t="s">
        <v>43</v>
      </c>
      <c r="C4595">
        <v>12</v>
      </c>
      <c r="D4595" t="s">
        <v>454</v>
      </c>
      <c r="E4595" s="217">
        <v>44986</v>
      </c>
      <c r="F4595">
        <v>7189</v>
      </c>
      <c r="G4595" s="227" t="s">
        <v>86</v>
      </c>
    </row>
    <row r="4596" spans="1:7">
      <c r="A4596" s="216">
        <v>44986</v>
      </c>
      <c r="B4596" t="s">
        <v>43</v>
      </c>
      <c r="C4596">
        <v>12</v>
      </c>
      <c r="D4596" t="s">
        <v>454</v>
      </c>
      <c r="E4596" s="217">
        <v>44986</v>
      </c>
      <c r="F4596">
        <v>7151</v>
      </c>
      <c r="G4596" s="227" t="s">
        <v>130</v>
      </c>
    </row>
    <row r="4597" spans="1:7">
      <c r="A4597" s="216">
        <v>44986</v>
      </c>
      <c r="B4597" t="s">
        <v>43</v>
      </c>
      <c r="C4597">
        <v>12</v>
      </c>
      <c r="D4597" t="s">
        <v>454</v>
      </c>
      <c r="E4597" s="217">
        <v>44986</v>
      </c>
      <c r="F4597">
        <v>7033</v>
      </c>
      <c r="G4597" s="227" t="s">
        <v>126</v>
      </c>
    </row>
    <row r="4598" spans="1:7">
      <c r="A4598" s="216">
        <v>44986</v>
      </c>
      <c r="B4598" t="s">
        <v>43</v>
      </c>
      <c r="C4598">
        <v>12</v>
      </c>
      <c r="D4598" t="s">
        <v>454</v>
      </c>
      <c r="E4598" s="217">
        <v>44986</v>
      </c>
      <c r="F4598">
        <v>7427</v>
      </c>
      <c r="G4598" s="227" t="s">
        <v>122</v>
      </c>
    </row>
    <row r="4599" spans="1:7">
      <c r="A4599" s="216">
        <v>44986</v>
      </c>
      <c r="B4599" t="s">
        <v>43</v>
      </c>
      <c r="C4599">
        <v>12</v>
      </c>
      <c r="D4599" t="s">
        <v>454</v>
      </c>
      <c r="E4599" s="217">
        <v>44986</v>
      </c>
      <c r="F4599">
        <v>7129</v>
      </c>
      <c r="G4599" s="227" t="s">
        <v>91</v>
      </c>
    </row>
    <row r="4600" spans="1:7">
      <c r="A4600" s="216">
        <v>44986</v>
      </c>
      <c r="B4600" t="s">
        <v>43</v>
      </c>
      <c r="C4600">
        <v>12</v>
      </c>
      <c r="D4600" t="s">
        <v>454</v>
      </c>
      <c r="E4600" s="217">
        <v>44986</v>
      </c>
      <c r="F4600">
        <v>7419</v>
      </c>
      <c r="G4600" s="227" t="s">
        <v>99</v>
      </c>
    </row>
    <row r="4601" spans="1:7">
      <c r="A4601" s="216">
        <v>44986</v>
      </c>
      <c r="B4601" t="s">
        <v>43</v>
      </c>
      <c r="C4601">
        <v>12</v>
      </c>
      <c r="D4601" t="s">
        <v>454</v>
      </c>
      <c r="E4601" s="217">
        <v>44986</v>
      </c>
      <c r="F4601">
        <v>7543</v>
      </c>
      <c r="G4601" s="227" t="s">
        <v>95</v>
      </c>
    </row>
    <row r="4602" spans="1:7">
      <c r="A4602" s="216">
        <v>44986</v>
      </c>
      <c r="B4602" t="s">
        <v>43</v>
      </c>
      <c r="C4602">
        <v>12</v>
      </c>
      <c r="D4602" t="s">
        <v>454</v>
      </c>
      <c r="E4602" s="217">
        <v>44986</v>
      </c>
      <c r="F4602">
        <v>5707</v>
      </c>
      <c r="G4602" s="227" t="s">
        <v>113</v>
      </c>
    </row>
    <row r="4603" spans="1:7">
      <c r="A4603" s="216">
        <v>44986</v>
      </c>
      <c r="B4603" t="s">
        <v>43</v>
      </c>
      <c r="C4603">
        <v>12</v>
      </c>
      <c r="D4603" t="s">
        <v>454</v>
      </c>
      <c r="E4603" s="217">
        <v>44986</v>
      </c>
      <c r="F4603">
        <v>82882</v>
      </c>
      <c r="G4603" s="227" t="s">
        <v>434</v>
      </c>
    </row>
    <row r="4604" spans="1:7">
      <c r="A4604" s="216">
        <v>44986</v>
      </c>
      <c r="B4604" t="s">
        <v>43</v>
      </c>
      <c r="C4604">
        <v>13</v>
      </c>
      <c r="D4604" t="s">
        <v>441</v>
      </c>
      <c r="E4604" s="217">
        <v>44986</v>
      </c>
      <c r="F4604">
        <v>25124</v>
      </c>
      <c r="G4604" s="227" t="s">
        <v>81</v>
      </c>
    </row>
    <row r="4605" spans="1:7">
      <c r="A4605" s="216">
        <v>44986</v>
      </c>
      <c r="B4605" t="s">
        <v>43</v>
      </c>
      <c r="C4605">
        <v>13</v>
      </c>
      <c r="D4605" t="s">
        <v>441</v>
      </c>
      <c r="E4605" s="217">
        <v>44986</v>
      </c>
      <c r="F4605">
        <v>25745</v>
      </c>
      <c r="G4605" s="227" t="s">
        <v>117</v>
      </c>
    </row>
    <row r="4606" spans="1:7">
      <c r="A4606" s="216">
        <v>44986</v>
      </c>
      <c r="B4606" t="s">
        <v>43</v>
      </c>
      <c r="C4606">
        <v>13</v>
      </c>
      <c r="D4606" t="s">
        <v>441</v>
      </c>
      <c r="E4606" s="217">
        <v>44986</v>
      </c>
      <c r="F4606">
        <v>24684</v>
      </c>
      <c r="G4606" s="227" t="s">
        <v>108</v>
      </c>
    </row>
    <row r="4607" spans="1:7">
      <c r="A4607" s="216">
        <v>44986</v>
      </c>
      <c r="B4607" t="s">
        <v>43</v>
      </c>
      <c r="C4607">
        <v>13</v>
      </c>
      <c r="D4607" t="s">
        <v>441</v>
      </c>
      <c r="E4607" s="217">
        <v>44986</v>
      </c>
      <c r="F4607">
        <v>27886</v>
      </c>
      <c r="G4607" s="227" t="s">
        <v>103</v>
      </c>
    </row>
    <row r="4608" spans="1:7">
      <c r="A4608" s="216">
        <v>44986</v>
      </c>
      <c r="B4608" t="s">
        <v>43</v>
      </c>
      <c r="C4608">
        <v>13</v>
      </c>
      <c r="D4608" t="s">
        <v>441</v>
      </c>
      <c r="E4608" s="217">
        <v>44986</v>
      </c>
      <c r="F4608">
        <v>24680</v>
      </c>
      <c r="G4608" s="227" t="s">
        <v>86</v>
      </c>
    </row>
    <row r="4609" spans="1:7">
      <c r="A4609" s="216">
        <v>44986</v>
      </c>
      <c r="B4609" t="s">
        <v>43</v>
      </c>
      <c r="C4609">
        <v>13</v>
      </c>
      <c r="D4609" t="s">
        <v>441</v>
      </c>
      <c r="E4609" s="217">
        <v>44986</v>
      </c>
      <c r="F4609">
        <v>25733</v>
      </c>
      <c r="G4609" s="227" t="s">
        <v>130</v>
      </c>
    </row>
    <row r="4610" spans="1:7">
      <c r="A4610" s="216">
        <v>44986</v>
      </c>
      <c r="B4610" t="s">
        <v>43</v>
      </c>
      <c r="C4610">
        <v>13</v>
      </c>
      <c r="D4610" t="s">
        <v>441</v>
      </c>
      <c r="E4610" s="217">
        <v>44986</v>
      </c>
      <c r="F4610">
        <v>24628</v>
      </c>
      <c r="G4610" s="227" t="s">
        <v>126</v>
      </c>
    </row>
    <row r="4611" spans="1:7">
      <c r="A4611" s="216">
        <v>44986</v>
      </c>
      <c r="B4611" t="s">
        <v>43</v>
      </c>
      <c r="C4611">
        <v>13</v>
      </c>
      <c r="D4611" t="s">
        <v>441</v>
      </c>
      <c r="E4611" s="217">
        <v>44986</v>
      </c>
      <c r="F4611">
        <v>21548</v>
      </c>
      <c r="G4611" s="227" t="s">
        <v>122</v>
      </c>
    </row>
    <row r="4612" spans="1:7">
      <c r="A4612" s="216">
        <v>44986</v>
      </c>
      <c r="B4612" t="s">
        <v>43</v>
      </c>
      <c r="C4612">
        <v>13</v>
      </c>
      <c r="D4612" t="s">
        <v>441</v>
      </c>
      <c r="E4612" s="217">
        <v>44986</v>
      </c>
      <c r="F4612">
        <v>27893</v>
      </c>
      <c r="G4612" s="227" t="s">
        <v>91</v>
      </c>
    </row>
    <row r="4613" spans="1:7">
      <c r="A4613" s="216">
        <v>44986</v>
      </c>
      <c r="B4613" t="s">
        <v>43</v>
      </c>
      <c r="C4613">
        <v>13</v>
      </c>
      <c r="D4613" t="s">
        <v>441</v>
      </c>
      <c r="E4613" s="217">
        <v>44986</v>
      </c>
      <c r="F4613">
        <v>27179</v>
      </c>
      <c r="G4613" s="227" t="s">
        <v>99</v>
      </c>
    </row>
    <row r="4614" spans="1:7">
      <c r="A4614" s="216">
        <v>44986</v>
      </c>
      <c r="B4614" t="s">
        <v>43</v>
      </c>
      <c r="C4614">
        <v>13</v>
      </c>
      <c r="D4614" t="s">
        <v>441</v>
      </c>
      <c r="E4614" s="217">
        <v>44986</v>
      </c>
      <c r="F4614">
        <v>31087</v>
      </c>
      <c r="G4614" s="227" t="s">
        <v>95</v>
      </c>
    </row>
    <row r="4615" spans="1:7">
      <c r="A4615" s="216">
        <v>44986</v>
      </c>
      <c r="B4615" t="s">
        <v>43</v>
      </c>
      <c r="C4615">
        <v>13</v>
      </c>
      <c r="D4615" t="s">
        <v>441</v>
      </c>
      <c r="E4615" s="217">
        <v>44986</v>
      </c>
      <c r="F4615">
        <v>26066</v>
      </c>
      <c r="G4615" s="227" t="s">
        <v>113</v>
      </c>
    </row>
    <row r="4616" spans="1:7">
      <c r="A4616" s="216">
        <v>44986</v>
      </c>
      <c r="B4616" t="s">
        <v>43</v>
      </c>
      <c r="C4616">
        <v>13</v>
      </c>
      <c r="D4616" t="s">
        <v>441</v>
      </c>
      <c r="E4616" s="217">
        <v>44986</v>
      </c>
      <c r="F4616">
        <v>312253</v>
      </c>
      <c r="G4616" s="227" t="s">
        <v>434</v>
      </c>
    </row>
    <row r="4617" spans="1:7">
      <c r="A4617" s="216">
        <v>44986</v>
      </c>
      <c r="B4617" t="s">
        <v>43</v>
      </c>
      <c r="C4617">
        <v>14</v>
      </c>
      <c r="D4617" t="s">
        <v>447</v>
      </c>
      <c r="E4617" s="217">
        <v>44986</v>
      </c>
      <c r="F4617">
        <v>0</v>
      </c>
      <c r="G4617" s="227" t="s">
        <v>81</v>
      </c>
    </row>
    <row r="4618" spans="1:7">
      <c r="A4618" s="216">
        <v>44986</v>
      </c>
      <c r="B4618" t="s">
        <v>43</v>
      </c>
      <c r="C4618">
        <v>14</v>
      </c>
      <c r="D4618" t="s">
        <v>447</v>
      </c>
      <c r="E4618" s="217">
        <v>44986</v>
      </c>
      <c r="F4618">
        <v>0</v>
      </c>
      <c r="G4618" s="227" t="s">
        <v>117</v>
      </c>
    </row>
    <row r="4619" spans="1:7">
      <c r="A4619" s="216">
        <v>44986</v>
      </c>
      <c r="B4619" t="s">
        <v>43</v>
      </c>
      <c r="C4619">
        <v>14</v>
      </c>
      <c r="D4619" t="s">
        <v>447</v>
      </c>
      <c r="E4619" s="217">
        <v>44986</v>
      </c>
      <c r="F4619">
        <v>0</v>
      </c>
      <c r="G4619" s="227" t="s">
        <v>108</v>
      </c>
    </row>
    <row r="4620" spans="1:7">
      <c r="A4620" s="216">
        <v>44986</v>
      </c>
      <c r="B4620" t="s">
        <v>43</v>
      </c>
      <c r="C4620">
        <v>14</v>
      </c>
      <c r="D4620" t="s">
        <v>447</v>
      </c>
      <c r="E4620" s="217">
        <v>44986</v>
      </c>
      <c r="F4620">
        <v>0</v>
      </c>
      <c r="G4620" s="227" t="s">
        <v>103</v>
      </c>
    </row>
    <row r="4621" spans="1:7">
      <c r="A4621" s="216">
        <v>44986</v>
      </c>
      <c r="B4621" t="s">
        <v>43</v>
      </c>
      <c r="C4621">
        <v>14</v>
      </c>
      <c r="D4621" t="s">
        <v>447</v>
      </c>
      <c r="E4621" s="217">
        <v>44986</v>
      </c>
      <c r="F4621">
        <v>0</v>
      </c>
      <c r="G4621" s="227" t="s">
        <v>86</v>
      </c>
    </row>
    <row r="4622" spans="1:7">
      <c r="A4622" s="216">
        <v>44986</v>
      </c>
      <c r="B4622" t="s">
        <v>43</v>
      </c>
      <c r="C4622">
        <v>14</v>
      </c>
      <c r="D4622" t="s">
        <v>447</v>
      </c>
      <c r="E4622" s="217">
        <v>44986</v>
      </c>
      <c r="F4622">
        <v>0</v>
      </c>
      <c r="G4622" s="227" t="s">
        <v>130</v>
      </c>
    </row>
    <row r="4623" spans="1:7">
      <c r="A4623" s="216">
        <v>44986</v>
      </c>
      <c r="B4623" t="s">
        <v>43</v>
      </c>
      <c r="C4623">
        <v>14</v>
      </c>
      <c r="D4623" t="s">
        <v>447</v>
      </c>
      <c r="E4623" s="217">
        <v>44986</v>
      </c>
      <c r="F4623">
        <v>0</v>
      </c>
      <c r="G4623" s="227" t="s">
        <v>126</v>
      </c>
    </row>
    <row r="4624" spans="1:7">
      <c r="A4624" s="216">
        <v>44986</v>
      </c>
      <c r="B4624" t="s">
        <v>43</v>
      </c>
      <c r="C4624">
        <v>14</v>
      </c>
      <c r="D4624" t="s">
        <v>447</v>
      </c>
      <c r="E4624" s="217">
        <v>44986</v>
      </c>
      <c r="F4624">
        <v>0</v>
      </c>
      <c r="G4624" s="227" t="s">
        <v>122</v>
      </c>
    </row>
    <row r="4625" spans="1:7">
      <c r="A4625" s="216">
        <v>44986</v>
      </c>
      <c r="B4625" t="s">
        <v>43</v>
      </c>
      <c r="C4625">
        <v>14</v>
      </c>
      <c r="D4625" t="s">
        <v>447</v>
      </c>
      <c r="E4625" s="217">
        <v>44986</v>
      </c>
      <c r="F4625">
        <v>0</v>
      </c>
      <c r="G4625" s="227" t="s">
        <v>91</v>
      </c>
    </row>
    <row r="4626" spans="1:7">
      <c r="A4626" s="216">
        <v>44986</v>
      </c>
      <c r="B4626" t="s">
        <v>43</v>
      </c>
      <c r="C4626">
        <v>14</v>
      </c>
      <c r="D4626" t="s">
        <v>447</v>
      </c>
      <c r="E4626" s="217">
        <v>44986</v>
      </c>
      <c r="F4626">
        <v>0</v>
      </c>
      <c r="G4626" s="227" t="s">
        <v>99</v>
      </c>
    </row>
    <row r="4627" spans="1:7">
      <c r="A4627" s="216">
        <v>44986</v>
      </c>
      <c r="B4627" t="s">
        <v>43</v>
      </c>
      <c r="C4627">
        <v>14</v>
      </c>
      <c r="D4627" t="s">
        <v>447</v>
      </c>
      <c r="E4627" s="217">
        <v>44986</v>
      </c>
      <c r="F4627">
        <v>0</v>
      </c>
      <c r="G4627" s="227" t="s">
        <v>95</v>
      </c>
    </row>
    <row r="4628" spans="1:7">
      <c r="A4628" s="216">
        <v>44986</v>
      </c>
      <c r="B4628" t="s">
        <v>43</v>
      </c>
      <c r="C4628">
        <v>14</v>
      </c>
      <c r="D4628" t="s">
        <v>447</v>
      </c>
      <c r="E4628" s="217">
        <v>44986</v>
      </c>
      <c r="F4628">
        <v>0</v>
      </c>
      <c r="G4628" s="227" t="s">
        <v>113</v>
      </c>
    </row>
    <row r="4629" spans="1:7">
      <c r="A4629" s="216">
        <v>44986</v>
      </c>
      <c r="B4629" t="s">
        <v>43</v>
      </c>
      <c r="C4629">
        <v>14</v>
      </c>
      <c r="D4629" t="s">
        <v>447</v>
      </c>
      <c r="E4629" s="217">
        <v>44986</v>
      </c>
      <c r="F4629">
        <v>0</v>
      </c>
      <c r="G4629" s="227" t="s">
        <v>434</v>
      </c>
    </row>
    <row r="4630" spans="1:7">
      <c r="A4630" s="216">
        <v>44986</v>
      </c>
      <c r="B4630" t="s">
        <v>43</v>
      </c>
      <c r="C4630">
        <v>15</v>
      </c>
      <c r="D4630" t="s">
        <v>437</v>
      </c>
      <c r="E4630" s="217">
        <v>44986</v>
      </c>
      <c r="F4630">
        <v>9380</v>
      </c>
      <c r="G4630" s="227" t="s">
        <v>81</v>
      </c>
    </row>
    <row r="4631" spans="1:7">
      <c r="A4631" s="216">
        <v>44986</v>
      </c>
      <c r="B4631" t="s">
        <v>43</v>
      </c>
      <c r="C4631">
        <v>15</v>
      </c>
      <c r="D4631" t="s">
        <v>437</v>
      </c>
      <c r="E4631" s="217">
        <v>44986</v>
      </c>
      <c r="F4631">
        <v>9423</v>
      </c>
      <c r="G4631" s="227" t="s">
        <v>117</v>
      </c>
    </row>
    <row r="4632" spans="1:7">
      <c r="A4632" s="216">
        <v>44986</v>
      </c>
      <c r="B4632" t="s">
        <v>43</v>
      </c>
      <c r="C4632">
        <v>15</v>
      </c>
      <c r="D4632" t="s">
        <v>437</v>
      </c>
      <c r="E4632" s="217">
        <v>44986</v>
      </c>
      <c r="F4632">
        <v>9396</v>
      </c>
      <c r="G4632" s="227" t="s">
        <v>108</v>
      </c>
    </row>
    <row r="4633" spans="1:7">
      <c r="A4633" s="216">
        <v>44986</v>
      </c>
      <c r="B4633" t="s">
        <v>43</v>
      </c>
      <c r="C4633">
        <v>15</v>
      </c>
      <c r="D4633" t="s">
        <v>437</v>
      </c>
      <c r="E4633" s="217">
        <v>44986</v>
      </c>
      <c r="F4633">
        <v>10233</v>
      </c>
      <c r="G4633" s="227" t="s">
        <v>103</v>
      </c>
    </row>
    <row r="4634" spans="1:7">
      <c r="A4634" s="216">
        <v>44986</v>
      </c>
      <c r="B4634" t="s">
        <v>43</v>
      </c>
      <c r="C4634">
        <v>15</v>
      </c>
      <c r="D4634" t="s">
        <v>437</v>
      </c>
      <c r="E4634" s="217">
        <v>44986</v>
      </c>
      <c r="F4634">
        <v>9604</v>
      </c>
      <c r="G4634" s="227" t="s">
        <v>86</v>
      </c>
    </row>
    <row r="4635" spans="1:7">
      <c r="A4635" s="216">
        <v>44986</v>
      </c>
      <c r="B4635" t="s">
        <v>43</v>
      </c>
      <c r="C4635">
        <v>15</v>
      </c>
      <c r="D4635" t="s">
        <v>437</v>
      </c>
      <c r="E4635" s="217">
        <v>44986</v>
      </c>
      <c r="F4635">
        <v>5472</v>
      </c>
      <c r="G4635" s="227" t="s">
        <v>130</v>
      </c>
    </row>
    <row r="4636" spans="1:7">
      <c r="A4636" s="216">
        <v>44986</v>
      </c>
      <c r="B4636" t="s">
        <v>43</v>
      </c>
      <c r="C4636">
        <v>15</v>
      </c>
      <c r="D4636" t="s">
        <v>437</v>
      </c>
      <c r="E4636" s="217">
        <v>44986</v>
      </c>
      <c r="F4636">
        <v>8685</v>
      </c>
      <c r="G4636" s="227" t="s">
        <v>126</v>
      </c>
    </row>
    <row r="4637" spans="1:7">
      <c r="A4637" s="216">
        <v>44986</v>
      </c>
      <c r="B4637" t="s">
        <v>43</v>
      </c>
      <c r="C4637">
        <v>15</v>
      </c>
      <c r="D4637" t="s">
        <v>437</v>
      </c>
      <c r="E4637" s="217">
        <v>44986</v>
      </c>
      <c r="F4637">
        <v>8833</v>
      </c>
      <c r="G4637" s="227" t="s">
        <v>122</v>
      </c>
    </row>
    <row r="4638" spans="1:7">
      <c r="A4638" s="216">
        <v>44986</v>
      </c>
      <c r="B4638" t="s">
        <v>43</v>
      </c>
      <c r="C4638">
        <v>15</v>
      </c>
      <c r="D4638" t="s">
        <v>437</v>
      </c>
      <c r="E4638" s="217">
        <v>44986</v>
      </c>
      <c r="F4638">
        <v>8864</v>
      </c>
      <c r="G4638" s="227" t="s">
        <v>91</v>
      </c>
    </row>
    <row r="4639" spans="1:7">
      <c r="A4639" s="216">
        <v>44986</v>
      </c>
      <c r="B4639" t="s">
        <v>43</v>
      </c>
      <c r="C4639">
        <v>15</v>
      </c>
      <c r="D4639" t="s">
        <v>437</v>
      </c>
      <c r="E4639" s="217">
        <v>44986</v>
      </c>
      <c r="F4639">
        <v>6966</v>
      </c>
      <c r="G4639" s="227" t="s">
        <v>99</v>
      </c>
    </row>
    <row r="4640" spans="1:7">
      <c r="A4640" s="216">
        <v>44986</v>
      </c>
      <c r="B4640" t="s">
        <v>43</v>
      </c>
      <c r="C4640">
        <v>15</v>
      </c>
      <c r="D4640" t="s">
        <v>437</v>
      </c>
      <c r="E4640" s="217">
        <v>44986</v>
      </c>
      <c r="F4640">
        <v>6929</v>
      </c>
      <c r="G4640" s="227" t="s">
        <v>95</v>
      </c>
    </row>
    <row r="4641" spans="1:7">
      <c r="A4641" s="216">
        <v>44986</v>
      </c>
      <c r="B4641" t="s">
        <v>43</v>
      </c>
      <c r="C4641">
        <v>15</v>
      </c>
      <c r="D4641" t="s">
        <v>437</v>
      </c>
      <c r="E4641" s="217">
        <v>44986</v>
      </c>
      <c r="F4641">
        <v>10295</v>
      </c>
      <c r="G4641" s="227" t="s">
        <v>113</v>
      </c>
    </row>
    <row r="4642" spans="1:7">
      <c r="A4642" s="216">
        <v>44986</v>
      </c>
      <c r="B4642" t="s">
        <v>43</v>
      </c>
      <c r="C4642">
        <v>15</v>
      </c>
      <c r="D4642" t="s">
        <v>437</v>
      </c>
      <c r="E4642" s="217">
        <v>44986</v>
      </c>
      <c r="F4642">
        <v>104080</v>
      </c>
      <c r="G4642" s="227" t="s">
        <v>434</v>
      </c>
    </row>
    <row r="4643" spans="1:7">
      <c r="A4643" s="216">
        <v>44986</v>
      </c>
      <c r="B4643" t="s">
        <v>44</v>
      </c>
      <c r="C4643">
        <v>7</v>
      </c>
      <c r="D4643" t="s">
        <v>442</v>
      </c>
      <c r="E4643" s="217">
        <v>44986</v>
      </c>
      <c r="F4643">
        <v>139167</v>
      </c>
      <c r="G4643" s="227" t="s">
        <v>81</v>
      </c>
    </row>
    <row r="4644" spans="1:7">
      <c r="A4644" s="216">
        <v>44986</v>
      </c>
      <c r="B4644" t="s">
        <v>44</v>
      </c>
      <c r="C4644">
        <v>7</v>
      </c>
      <c r="D4644" t="s">
        <v>442</v>
      </c>
      <c r="E4644" s="217">
        <v>44986</v>
      </c>
      <c r="F4644">
        <v>141633</v>
      </c>
      <c r="G4644" s="227" t="s">
        <v>117</v>
      </c>
    </row>
    <row r="4645" spans="1:7">
      <c r="A4645" s="216">
        <v>44986</v>
      </c>
      <c r="B4645" t="s">
        <v>44</v>
      </c>
      <c r="C4645">
        <v>7</v>
      </c>
      <c r="D4645" t="s">
        <v>442</v>
      </c>
      <c r="E4645" s="217">
        <v>44986</v>
      </c>
      <c r="F4645">
        <v>140362</v>
      </c>
      <c r="G4645" s="227" t="s">
        <v>108</v>
      </c>
    </row>
    <row r="4646" spans="1:7">
      <c r="A4646" s="216">
        <v>44986</v>
      </c>
      <c r="B4646" t="s">
        <v>44</v>
      </c>
      <c r="C4646">
        <v>7</v>
      </c>
      <c r="D4646" t="s">
        <v>442</v>
      </c>
      <c r="E4646" s="217">
        <v>44986</v>
      </c>
      <c r="F4646">
        <v>140267</v>
      </c>
      <c r="G4646" s="227" t="s">
        <v>103</v>
      </c>
    </row>
    <row r="4647" spans="1:7">
      <c r="A4647" s="216">
        <v>44986</v>
      </c>
      <c r="B4647" t="s">
        <v>44</v>
      </c>
      <c r="C4647">
        <v>7</v>
      </c>
      <c r="D4647" t="s">
        <v>442</v>
      </c>
      <c r="E4647" s="217">
        <v>44986</v>
      </c>
      <c r="F4647">
        <v>141762</v>
      </c>
      <c r="G4647" s="227" t="s">
        <v>86</v>
      </c>
    </row>
    <row r="4648" spans="1:7">
      <c r="A4648" s="216">
        <v>44986</v>
      </c>
      <c r="B4648" t="s">
        <v>44</v>
      </c>
      <c r="C4648">
        <v>7</v>
      </c>
      <c r="D4648" t="s">
        <v>442</v>
      </c>
      <c r="E4648" s="217">
        <v>44986</v>
      </c>
      <c r="F4648">
        <v>162462</v>
      </c>
      <c r="G4648" s="227" t="s">
        <v>130</v>
      </c>
    </row>
    <row r="4649" spans="1:7">
      <c r="A4649" s="216">
        <v>44986</v>
      </c>
      <c r="B4649" t="s">
        <v>44</v>
      </c>
      <c r="C4649">
        <v>7</v>
      </c>
      <c r="D4649" t="s">
        <v>442</v>
      </c>
      <c r="E4649" s="217">
        <v>44986</v>
      </c>
      <c r="F4649">
        <v>149518</v>
      </c>
      <c r="G4649" s="227" t="s">
        <v>126</v>
      </c>
    </row>
    <row r="4650" spans="1:7">
      <c r="A4650" s="216">
        <v>44986</v>
      </c>
      <c r="B4650" t="s">
        <v>44</v>
      </c>
      <c r="C4650">
        <v>7</v>
      </c>
      <c r="D4650" t="s">
        <v>442</v>
      </c>
      <c r="E4650" s="217">
        <v>44986</v>
      </c>
      <c r="F4650">
        <v>151654</v>
      </c>
      <c r="G4650" s="227" t="s">
        <v>122</v>
      </c>
    </row>
    <row r="4651" spans="1:7">
      <c r="A4651" s="216">
        <v>44986</v>
      </c>
      <c r="B4651" t="s">
        <v>44</v>
      </c>
      <c r="C4651">
        <v>7</v>
      </c>
      <c r="D4651" t="s">
        <v>442</v>
      </c>
      <c r="E4651" s="217">
        <v>44986</v>
      </c>
      <c r="F4651">
        <v>151606</v>
      </c>
      <c r="G4651" s="227" t="s">
        <v>91</v>
      </c>
    </row>
    <row r="4652" spans="1:7">
      <c r="A4652" s="216">
        <v>44986</v>
      </c>
      <c r="B4652" t="s">
        <v>44</v>
      </c>
      <c r="C4652">
        <v>7</v>
      </c>
      <c r="D4652" t="s">
        <v>442</v>
      </c>
      <c r="E4652" s="217">
        <v>44986</v>
      </c>
      <c r="F4652">
        <v>154408</v>
      </c>
      <c r="G4652" s="227" t="s">
        <v>99</v>
      </c>
    </row>
    <row r="4653" spans="1:7">
      <c r="A4653" s="216">
        <v>44986</v>
      </c>
      <c r="B4653" t="s">
        <v>44</v>
      </c>
      <c r="C4653">
        <v>7</v>
      </c>
      <c r="D4653" t="s">
        <v>442</v>
      </c>
      <c r="E4653" s="217">
        <v>44986</v>
      </c>
      <c r="F4653">
        <v>148694</v>
      </c>
      <c r="G4653" s="227" t="s">
        <v>95</v>
      </c>
    </row>
    <row r="4654" spans="1:7">
      <c r="A4654" s="216">
        <v>44986</v>
      </c>
      <c r="B4654" t="s">
        <v>44</v>
      </c>
      <c r="C4654">
        <v>7</v>
      </c>
      <c r="D4654" t="s">
        <v>442</v>
      </c>
      <c r="E4654" s="217">
        <v>44986</v>
      </c>
      <c r="F4654">
        <v>210239</v>
      </c>
      <c r="G4654" s="227" t="s">
        <v>113</v>
      </c>
    </row>
    <row r="4655" spans="1:7">
      <c r="A4655" s="216">
        <v>44986</v>
      </c>
      <c r="B4655" t="s">
        <v>44</v>
      </c>
      <c r="C4655">
        <v>7</v>
      </c>
      <c r="D4655" t="s">
        <v>442</v>
      </c>
      <c r="E4655" s="217">
        <v>44986</v>
      </c>
      <c r="F4655">
        <v>1831772</v>
      </c>
      <c r="G4655" s="227" t="s">
        <v>434</v>
      </c>
    </row>
    <row r="4656" spans="1:7">
      <c r="A4656" s="216">
        <v>44986</v>
      </c>
      <c r="B4656" t="s">
        <v>44</v>
      </c>
      <c r="C4656">
        <v>8</v>
      </c>
      <c r="D4656" t="s">
        <v>451</v>
      </c>
      <c r="E4656" s="217">
        <v>44986</v>
      </c>
      <c r="F4656">
        <v>13381</v>
      </c>
      <c r="G4656" s="227" t="s">
        <v>81</v>
      </c>
    </row>
    <row r="4657" spans="1:7">
      <c r="A4657" s="216">
        <v>44986</v>
      </c>
      <c r="B4657" t="s">
        <v>44</v>
      </c>
      <c r="C4657">
        <v>8</v>
      </c>
      <c r="D4657" t="s">
        <v>451</v>
      </c>
      <c r="E4657" s="217">
        <v>44986</v>
      </c>
      <c r="F4657">
        <v>12842</v>
      </c>
      <c r="G4657" s="227" t="s">
        <v>117</v>
      </c>
    </row>
    <row r="4658" spans="1:7">
      <c r="A4658" s="216">
        <v>44986</v>
      </c>
      <c r="B4658" t="s">
        <v>44</v>
      </c>
      <c r="C4658">
        <v>8</v>
      </c>
      <c r="D4658" t="s">
        <v>451</v>
      </c>
      <c r="E4658" s="217">
        <v>44986</v>
      </c>
      <c r="F4658">
        <v>13234</v>
      </c>
      <c r="G4658" s="227" t="s">
        <v>108</v>
      </c>
    </row>
    <row r="4659" spans="1:7">
      <c r="A4659" s="216">
        <v>44986</v>
      </c>
      <c r="B4659" t="s">
        <v>44</v>
      </c>
      <c r="C4659">
        <v>8</v>
      </c>
      <c r="D4659" t="s">
        <v>451</v>
      </c>
      <c r="E4659" s="217">
        <v>44986</v>
      </c>
      <c r="F4659">
        <v>14113</v>
      </c>
      <c r="G4659" s="227" t="s">
        <v>103</v>
      </c>
    </row>
    <row r="4660" spans="1:7">
      <c r="A4660" s="216">
        <v>44986</v>
      </c>
      <c r="B4660" t="s">
        <v>44</v>
      </c>
      <c r="C4660">
        <v>8</v>
      </c>
      <c r="D4660" t="s">
        <v>451</v>
      </c>
      <c r="E4660" s="217">
        <v>44986</v>
      </c>
      <c r="F4660">
        <v>13020</v>
      </c>
      <c r="G4660" s="227" t="s">
        <v>86</v>
      </c>
    </row>
    <row r="4661" spans="1:7">
      <c r="A4661" s="216">
        <v>44986</v>
      </c>
      <c r="B4661" t="s">
        <v>44</v>
      </c>
      <c r="C4661">
        <v>8</v>
      </c>
      <c r="D4661" t="s">
        <v>451</v>
      </c>
      <c r="E4661" s="217">
        <v>44986</v>
      </c>
      <c r="F4661">
        <v>14233</v>
      </c>
      <c r="G4661" s="227" t="s">
        <v>130</v>
      </c>
    </row>
    <row r="4662" spans="1:7">
      <c r="A4662" s="216">
        <v>44986</v>
      </c>
      <c r="B4662" t="s">
        <v>44</v>
      </c>
      <c r="C4662">
        <v>8</v>
      </c>
      <c r="D4662" t="s">
        <v>451</v>
      </c>
      <c r="E4662" s="217">
        <v>44986</v>
      </c>
      <c r="F4662">
        <v>14342</v>
      </c>
      <c r="G4662" s="227" t="s">
        <v>126</v>
      </c>
    </row>
    <row r="4663" spans="1:7">
      <c r="A4663" s="216">
        <v>44986</v>
      </c>
      <c r="B4663" t="s">
        <v>44</v>
      </c>
      <c r="C4663">
        <v>8</v>
      </c>
      <c r="D4663" t="s">
        <v>451</v>
      </c>
      <c r="E4663" s="217">
        <v>44986</v>
      </c>
      <c r="F4663">
        <v>16849</v>
      </c>
      <c r="G4663" s="227" t="s">
        <v>122</v>
      </c>
    </row>
    <row r="4664" spans="1:7">
      <c r="A4664" s="216">
        <v>44986</v>
      </c>
      <c r="B4664" t="s">
        <v>44</v>
      </c>
      <c r="C4664">
        <v>8</v>
      </c>
      <c r="D4664" t="s">
        <v>451</v>
      </c>
      <c r="E4664" s="217">
        <v>44986</v>
      </c>
      <c r="F4664">
        <v>15149</v>
      </c>
      <c r="G4664" s="227" t="s">
        <v>91</v>
      </c>
    </row>
    <row r="4665" spans="1:7">
      <c r="A4665" s="216">
        <v>44986</v>
      </c>
      <c r="B4665" t="s">
        <v>44</v>
      </c>
      <c r="C4665">
        <v>8</v>
      </c>
      <c r="D4665" t="s">
        <v>451</v>
      </c>
      <c r="E4665" s="217">
        <v>44986</v>
      </c>
      <c r="F4665">
        <v>14314</v>
      </c>
      <c r="G4665" s="227" t="s">
        <v>99</v>
      </c>
    </row>
    <row r="4666" spans="1:7">
      <c r="A4666" s="216">
        <v>44986</v>
      </c>
      <c r="B4666" t="s">
        <v>44</v>
      </c>
      <c r="C4666">
        <v>8</v>
      </c>
      <c r="D4666" t="s">
        <v>451</v>
      </c>
      <c r="E4666" s="217">
        <v>44986</v>
      </c>
      <c r="F4666">
        <v>13887</v>
      </c>
      <c r="G4666" s="227" t="s">
        <v>95</v>
      </c>
    </row>
    <row r="4667" spans="1:7">
      <c r="A4667" s="216">
        <v>44986</v>
      </c>
      <c r="B4667" t="s">
        <v>44</v>
      </c>
      <c r="C4667">
        <v>8</v>
      </c>
      <c r="D4667" t="s">
        <v>451</v>
      </c>
      <c r="E4667" s="217">
        <v>44986</v>
      </c>
      <c r="F4667">
        <v>14332</v>
      </c>
      <c r="G4667" s="227" t="s">
        <v>113</v>
      </c>
    </row>
    <row r="4668" spans="1:7">
      <c r="A4668" s="216">
        <v>44986</v>
      </c>
      <c r="B4668" t="s">
        <v>44</v>
      </c>
      <c r="C4668">
        <v>8</v>
      </c>
      <c r="D4668" t="s">
        <v>451</v>
      </c>
      <c r="E4668" s="217">
        <v>44986</v>
      </c>
      <c r="F4668">
        <v>169696</v>
      </c>
      <c r="G4668" s="227" t="s">
        <v>434</v>
      </c>
    </row>
    <row r="4669" spans="1:7">
      <c r="A4669" s="216">
        <v>44986</v>
      </c>
      <c r="B4669" t="s">
        <v>44</v>
      </c>
      <c r="C4669">
        <v>9</v>
      </c>
      <c r="D4669" t="s">
        <v>450</v>
      </c>
      <c r="E4669" s="217">
        <v>44986</v>
      </c>
      <c r="F4669">
        <v>6685</v>
      </c>
      <c r="G4669" s="227" t="s">
        <v>81</v>
      </c>
    </row>
    <row r="4670" spans="1:7">
      <c r="A4670" s="216">
        <v>44986</v>
      </c>
      <c r="B4670" t="s">
        <v>44</v>
      </c>
      <c r="C4670">
        <v>9</v>
      </c>
      <c r="D4670" t="s">
        <v>450</v>
      </c>
      <c r="E4670" s="217">
        <v>44986</v>
      </c>
      <c r="F4670">
        <v>6824</v>
      </c>
      <c r="G4670" s="227" t="s">
        <v>117</v>
      </c>
    </row>
    <row r="4671" spans="1:7">
      <c r="A4671" s="216">
        <v>44986</v>
      </c>
      <c r="B4671" t="s">
        <v>44</v>
      </c>
      <c r="C4671">
        <v>9</v>
      </c>
      <c r="D4671" t="s">
        <v>450</v>
      </c>
      <c r="E4671" s="217">
        <v>44986</v>
      </c>
      <c r="F4671">
        <v>6473</v>
      </c>
      <c r="G4671" s="227" t="s">
        <v>108</v>
      </c>
    </row>
    <row r="4672" spans="1:7">
      <c r="A4672" s="216">
        <v>44986</v>
      </c>
      <c r="B4672" t="s">
        <v>44</v>
      </c>
      <c r="C4672">
        <v>9</v>
      </c>
      <c r="D4672" t="s">
        <v>450</v>
      </c>
      <c r="E4672" s="217">
        <v>44986</v>
      </c>
      <c r="F4672">
        <v>7428</v>
      </c>
      <c r="G4672" s="227" t="s">
        <v>103</v>
      </c>
    </row>
    <row r="4673" spans="1:7">
      <c r="A4673" s="216">
        <v>44986</v>
      </c>
      <c r="B4673" t="s">
        <v>44</v>
      </c>
      <c r="C4673">
        <v>9</v>
      </c>
      <c r="D4673" t="s">
        <v>450</v>
      </c>
      <c r="E4673" s="217">
        <v>44986</v>
      </c>
      <c r="F4673">
        <v>7314</v>
      </c>
      <c r="G4673" s="227" t="s">
        <v>86</v>
      </c>
    </row>
    <row r="4674" spans="1:7">
      <c r="A4674" s="216">
        <v>44986</v>
      </c>
      <c r="B4674" t="s">
        <v>44</v>
      </c>
      <c r="C4674">
        <v>9</v>
      </c>
      <c r="D4674" t="s">
        <v>450</v>
      </c>
      <c r="E4674" s="217">
        <v>44986</v>
      </c>
      <c r="F4674">
        <v>7246</v>
      </c>
      <c r="G4674" s="227" t="s">
        <v>130</v>
      </c>
    </row>
    <row r="4675" spans="1:7">
      <c r="A4675" s="216">
        <v>44986</v>
      </c>
      <c r="B4675" t="s">
        <v>44</v>
      </c>
      <c r="C4675">
        <v>9</v>
      </c>
      <c r="D4675" t="s">
        <v>450</v>
      </c>
      <c r="E4675" s="217">
        <v>44986</v>
      </c>
      <c r="F4675">
        <v>6938</v>
      </c>
      <c r="G4675" s="227" t="s">
        <v>126</v>
      </c>
    </row>
    <row r="4676" spans="1:7">
      <c r="A4676" s="216">
        <v>44986</v>
      </c>
      <c r="B4676" t="s">
        <v>44</v>
      </c>
      <c r="C4676">
        <v>9</v>
      </c>
      <c r="D4676" t="s">
        <v>450</v>
      </c>
      <c r="E4676" s="217">
        <v>44986</v>
      </c>
      <c r="F4676">
        <v>7936</v>
      </c>
      <c r="G4676" s="227" t="s">
        <v>122</v>
      </c>
    </row>
    <row r="4677" spans="1:7">
      <c r="A4677" s="216">
        <v>44986</v>
      </c>
      <c r="B4677" t="s">
        <v>44</v>
      </c>
      <c r="C4677">
        <v>9</v>
      </c>
      <c r="D4677" t="s">
        <v>450</v>
      </c>
      <c r="E4677" s="217">
        <v>44986</v>
      </c>
      <c r="F4677">
        <v>8173</v>
      </c>
      <c r="G4677" s="227" t="s">
        <v>91</v>
      </c>
    </row>
    <row r="4678" spans="1:7">
      <c r="A4678" s="216">
        <v>44986</v>
      </c>
      <c r="B4678" t="s">
        <v>44</v>
      </c>
      <c r="C4678">
        <v>9</v>
      </c>
      <c r="D4678" t="s">
        <v>450</v>
      </c>
      <c r="E4678" s="217">
        <v>44986</v>
      </c>
      <c r="F4678">
        <v>7404</v>
      </c>
      <c r="G4678" s="227" t="s">
        <v>99</v>
      </c>
    </row>
    <row r="4679" spans="1:7">
      <c r="A4679" s="216">
        <v>44986</v>
      </c>
      <c r="B4679" t="s">
        <v>44</v>
      </c>
      <c r="C4679">
        <v>9</v>
      </c>
      <c r="D4679" t="s">
        <v>450</v>
      </c>
      <c r="E4679" s="217">
        <v>44986</v>
      </c>
      <c r="F4679">
        <v>6279</v>
      </c>
      <c r="G4679" s="227" t="s">
        <v>95</v>
      </c>
    </row>
    <row r="4680" spans="1:7">
      <c r="A4680" s="216">
        <v>44986</v>
      </c>
      <c r="B4680" t="s">
        <v>44</v>
      </c>
      <c r="C4680">
        <v>9</v>
      </c>
      <c r="D4680" t="s">
        <v>450</v>
      </c>
      <c r="E4680" s="217">
        <v>44986</v>
      </c>
      <c r="F4680">
        <v>9981</v>
      </c>
      <c r="G4680" s="227" t="s">
        <v>113</v>
      </c>
    </row>
    <row r="4681" spans="1:7">
      <c r="A4681" s="216">
        <v>44986</v>
      </c>
      <c r="B4681" t="s">
        <v>44</v>
      </c>
      <c r="C4681">
        <v>9</v>
      </c>
      <c r="D4681" t="s">
        <v>450</v>
      </c>
      <c r="E4681" s="217">
        <v>44986</v>
      </c>
      <c r="F4681">
        <v>88681</v>
      </c>
      <c r="G4681" s="227" t="s">
        <v>434</v>
      </c>
    </row>
    <row r="4682" spans="1:7">
      <c r="A4682" s="216">
        <v>44986</v>
      </c>
      <c r="B4682" t="s">
        <v>44</v>
      </c>
      <c r="C4682">
        <v>10</v>
      </c>
      <c r="D4682" t="s">
        <v>433</v>
      </c>
      <c r="E4682" s="217">
        <v>44986</v>
      </c>
      <c r="F4682">
        <v>63041</v>
      </c>
      <c r="G4682" s="227" t="s">
        <v>81</v>
      </c>
    </row>
    <row r="4683" spans="1:7">
      <c r="A4683" s="216">
        <v>44986</v>
      </c>
      <c r="B4683" t="s">
        <v>44</v>
      </c>
      <c r="C4683">
        <v>10</v>
      </c>
      <c r="D4683" t="s">
        <v>433</v>
      </c>
      <c r="E4683" s="217">
        <v>44986</v>
      </c>
      <c r="F4683">
        <v>63471</v>
      </c>
      <c r="G4683" s="227" t="s">
        <v>117</v>
      </c>
    </row>
    <row r="4684" spans="1:7">
      <c r="A4684" s="216">
        <v>44986</v>
      </c>
      <c r="B4684" t="s">
        <v>44</v>
      </c>
      <c r="C4684">
        <v>10</v>
      </c>
      <c r="D4684" t="s">
        <v>433</v>
      </c>
      <c r="E4684" s="217">
        <v>44986</v>
      </c>
      <c r="F4684">
        <v>63835</v>
      </c>
      <c r="G4684" s="227" t="s">
        <v>108</v>
      </c>
    </row>
    <row r="4685" spans="1:7">
      <c r="A4685" s="216">
        <v>44986</v>
      </c>
      <c r="B4685" t="s">
        <v>44</v>
      </c>
      <c r="C4685">
        <v>10</v>
      </c>
      <c r="D4685" t="s">
        <v>433</v>
      </c>
      <c r="E4685" s="217">
        <v>44986</v>
      </c>
      <c r="F4685">
        <v>63939</v>
      </c>
      <c r="G4685" s="227" t="s">
        <v>103</v>
      </c>
    </row>
    <row r="4686" spans="1:7">
      <c r="A4686" s="216">
        <v>44986</v>
      </c>
      <c r="B4686" t="s">
        <v>44</v>
      </c>
      <c r="C4686">
        <v>10</v>
      </c>
      <c r="D4686" t="s">
        <v>433</v>
      </c>
      <c r="E4686" s="217">
        <v>44986</v>
      </c>
      <c r="F4686">
        <v>63586</v>
      </c>
      <c r="G4686" s="227" t="s">
        <v>86</v>
      </c>
    </row>
    <row r="4687" spans="1:7">
      <c r="A4687" s="216">
        <v>44986</v>
      </c>
      <c r="B4687" t="s">
        <v>44</v>
      </c>
      <c r="C4687">
        <v>10</v>
      </c>
      <c r="D4687" t="s">
        <v>433</v>
      </c>
      <c r="E4687" s="217">
        <v>44986</v>
      </c>
      <c r="F4687">
        <v>81911</v>
      </c>
      <c r="G4687" s="227" t="s">
        <v>130</v>
      </c>
    </row>
    <row r="4688" spans="1:7">
      <c r="A4688" s="216">
        <v>44986</v>
      </c>
      <c r="B4688" t="s">
        <v>44</v>
      </c>
      <c r="C4688">
        <v>10</v>
      </c>
      <c r="D4688" t="s">
        <v>433</v>
      </c>
      <c r="E4688" s="217">
        <v>44986</v>
      </c>
      <c r="F4688">
        <v>67812</v>
      </c>
      <c r="G4688" s="227" t="s">
        <v>126</v>
      </c>
    </row>
    <row r="4689" spans="1:7">
      <c r="A4689" s="216">
        <v>44986</v>
      </c>
      <c r="B4689" t="s">
        <v>44</v>
      </c>
      <c r="C4689">
        <v>10</v>
      </c>
      <c r="D4689" t="s">
        <v>433</v>
      </c>
      <c r="E4689" s="217">
        <v>44986</v>
      </c>
      <c r="F4689">
        <v>68741</v>
      </c>
      <c r="G4689" s="227" t="s">
        <v>122</v>
      </c>
    </row>
    <row r="4690" spans="1:7">
      <c r="A4690" s="216">
        <v>44986</v>
      </c>
      <c r="B4690" t="s">
        <v>44</v>
      </c>
      <c r="C4690">
        <v>10</v>
      </c>
      <c r="D4690" t="s">
        <v>433</v>
      </c>
      <c r="E4690" s="217">
        <v>44986</v>
      </c>
      <c r="F4690">
        <v>67105</v>
      </c>
      <c r="G4690" s="227" t="s">
        <v>91</v>
      </c>
    </row>
    <row r="4691" spans="1:7">
      <c r="A4691" s="216">
        <v>44986</v>
      </c>
      <c r="B4691" t="s">
        <v>44</v>
      </c>
      <c r="C4691">
        <v>10</v>
      </c>
      <c r="D4691" t="s">
        <v>433</v>
      </c>
      <c r="E4691" s="217">
        <v>44986</v>
      </c>
      <c r="F4691">
        <v>68120</v>
      </c>
      <c r="G4691" s="227" t="s">
        <v>99</v>
      </c>
    </row>
    <row r="4692" spans="1:7">
      <c r="A4692" s="216">
        <v>44986</v>
      </c>
      <c r="B4692" t="s">
        <v>44</v>
      </c>
      <c r="C4692">
        <v>10</v>
      </c>
      <c r="D4692" t="s">
        <v>433</v>
      </c>
      <c r="E4692" s="217">
        <v>44986</v>
      </c>
      <c r="F4692">
        <v>68201</v>
      </c>
      <c r="G4692" s="227" t="s">
        <v>95</v>
      </c>
    </row>
    <row r="4693" spans="1:7">
      <c r="A4693" s="216">
        <v>44986</v>
      </c>
      <c r="B4693" t="s">
        <v>44</v>
      </c>
      <c r="C4693">
        <v>10</v>
      </c>
      <c r="D4693" t="s">
        <v>433</v>
      </c>
      <c r="E4693" s="217">
        <v>44986</v>
      </c>
      <c r="F4693">
        <v>120403</v>
      </c>
      <c r="G4693" s="227" t="s">
        <v>113</v>
      </c>
    </row>
    <row r="4694" spans="1:7">
      <c r="A4694" s="216">
        <v>44986</v>
      </c>
      <c r="B4694" t="s">
        <v>44</v>
      </c>
      <c r="C4694">
        <v>10</v>
      </c>
      <c r="D4694" t="s">
        <v>433</v>
      </c>
      <c r="E4694" s="217">
        <v>44986</v>
      </c>
      <c r="F4694">
        <v>860165</v>
      </c>
      <c r="G4694" s="227" t="s">
        <v>434</v>
      </c>
    </row>
    <row r="4695" spans="1:7">
      <c r="A4695" s="216">
        <v>44986</v>
      </c>
      <c r="B4695" t="s">
        <v>44</v>
      </c>
      <c r="C4695">
        <v>11</v>
      </c>
      <c r="D4695" t="s">
        <v>445</v>
      </c>
      <c r="E4695" s="217">
        <v>44986</v>
      </c>
      <c r="F4695">
        <v>17793</v>
      </c>
      <c r="G4695" s="227" t="s">
        <v>81</v>
      </c>
    </row>
    <row r="4696" spans="1:7">
      <c r="A4696" s="216">
        <v>44986</v>
      </c>
      <c r="B4696" t="s">
        <v>44</v>
      </c>
      <c r="C4696">
        <v>11</v>
      </c>
      <c r="D4696" t="s">
        <v>445</v>
      </c>
      <c r="E4696" s="217">
        <v>44986</v>
      </c>
      <c r="F4696">
        <v>18657</v>
      </c>
      <c r="G4696" s="227" t="s">
        <v>117</v>
      </c>
    </row>
    <row r="4697" spans="1:7">
      <c r="A4697" s="216">
        <v>44986</v>
      </c>
      <c r="B4697" t="s">
        <v>44</v>
      </c>
      <c r="C4697">
        <v>11</v>
      </c>
      <c r="D4697" t="s">
        <v>445</v>
      </c>
      <c r="E4697" s="217">
        <v>44986</v>
      </c>
      <c r="F4697">
        <v>17567</v>
      </c>
      <c r="G4697" s="227" t="s">
        <v>108</v>
      </c>
    </row>
    <row r="4698" spans="1:7">
      <c r="A4698" s="216">
        <v>44986</v>
      </c>
      <c r="B4698" t="s">
        <v>44</v>
      </c>
      <c r="C4698">
        <v>11</v>
      </c>
      <c r="D4698" t="s">
        <v>445</v>
      </c>
      <c r="E4698" s="217">
        <v>44986</v>
      </c>
      <c r="F4698">
        <v>16185</v>
      </c>
      <c r="G4698" s="227" t="s">
        <v>103</v>
      </c>
    </row>
    <row r="4699" spans="1:7">
      <c r="A4699" s="216">
        <v>44986</v>
      </c>
      <c r="B4699" t="s">
        <v>44</v>
      </c>
      <c r="C4699">
        <v>11</v>
      </c>
      <c r="D4699" t="s">
        <v>445</v>
      </c>
      <c r="E4699" s="217">
        <v>44986</v>
      </c>
      <c r="F4699">
        <v>17247</v>
      </c>
      <c r="G4699" s="227" t="s">
        <v>86</v>
      </c>
    </row>
    <row r="4700" spans="1:7">
      <c r="A4700" s="216">
        <v>44986</v>
      </c>
      <c r="B4700" t="s">
        <v>44</v>
      </c>
      <c r="C4700">
        <v>11</v>
      </c>
      <c r="D4700" t="s">
        <v>445</v>
      </c>
      <c r="E4700" s="217">
        <v>44986</v>
      </c>
      <c r="F4700">
        <v>17612</v>
      </c>
      <c r="G4700" s="227" t="s">
        <v>130</v>
      </c>
    </row>
    <row r="4701" spans="1:7">
      <c r="A4701" s="216">
        <v>44986</v>
      </c>
      <c r="B4701" t="s">
        <v>44</v>
      </c>
      <c r="C4701">
        <v>11</v>
      </c>
      <c r="D4701" t="s">
        <v>445</v>
      </c>
      <c r="E4701" s="217">
        <v>44986</v>
      </c>
      <c r="F4701">
        <v>18697</v>
      </c>
      <c r="G4701" s="227" t="s">
        <v>126</v>
      </c>
    </row>
    <row r="4702" spans="1:7">
      <c r="A4702" s="216">
        <v>44986</v>
      </c>
      <c r="B4702" t="s">
        <v>44</v>
      </c>
      <c r="C4702">
        <v>11</v>
      </c>
      <c r="D4702" t="s">
        <v>445</v>
      </c>
      <c r="E4702" s="217">
        <v>44986</v>
      </c>
      <c r="F4702">
        <v>19817</v>
      </c>
      <c r="G4702" s="227" t="s">
        <v>122</v>
      </c>
    </row>
    <row r="4703" spans="1:7">
      <c r="A4703" s="216">
        <v>44986</v>
      </c>
      <c r="B4703" t="s">
        <v>44</v>
      </c>
      <c r="C4703">
        <v>11</v>
      </c>
      <c r="D4703" t="s">
        <v>445</v>
      </c>
      <c r="E4703" s="217">
        <v>44986</v>
      </c>
      <c r="F4703">
        <v>18413</v>
      </c>
      <c r="G4703" s="227" t="s">
        <v>91</v>
      </c>
    </row>
    <row r="4704" spans="1:7">
      <c r="A4704" s="216">
        <v>44986</v>
      </c>
      <c r="B4704" t="s">
        <v>44</v>
      </c>
      <c r="C4704">
        <v>11</v>
      </c>
      <c r="D4704" t="s">
        <v>445</v>
      </c>
      <c r="E4704" s="217">
        <v>44986</v>
      </c>
      <c r="F4704">
        <v>19972</v>
      </c>
      <c r="G4704" s="227" t="s">
        <v>99</v>
      </c>
    </row>
    <row r="4705" spans="1:7">
      <c r="A4705" s="216">
        <v>44986</v>
      </c>
      <c r="B4705" t="s">
        <v>44</v>
      </c>
      <c r="C4705">
        <v>11</v>
      </c>
      <c r="D4705" t="s">
        <v>445</v>
      </c>
      <c r="E4705" s="217">
        <v>44986</v>
      </c>
      <c r="F4705">
        <v>16801</v>
      </c>
      <c r="G4705" s="227" t="s">
        <v>95</v>
      </c>
    </row>
    <row r="4706" spans="1:7">
      <c r="A4706" s="216">
        <v>44986</v>
      </c>
      <c r="B4706" t="s">
        <v>44</v>
      </c>
      <c r="C4706">
        <v>11</v>
      </c>
      <c r="D4706" t="s">
        <v>445</v>
      </c>
      <c r="E4706" s="217">
        <v>44986</v>
      </c>
      <c r="F4706">
        <v>34974</v>
      </c>
      <c r="G4706" s="227" t="s">
        <v>113</v>
      </c>
    </row>
    <row r="4707" spans="1:7">
      <c r="A4707" s="216">
        <v>44986</v>
      </c>
      <c r="B4707" t="s">
        <v>44</v>
      </c>
      <c r="C4707">
        <v>11</v>
      </c>
      <c r="D4707" t="s">
        <v>445</v>
      </c>
      <c r="E4707" s="217">
        <v>44986</v>
      </c>
      <c r="F4707">
        <v>233735</v>
      </c>
      <c r="G4707" s="227" t="s">
        <v>434</v>
      </c>
    </row>
    <row r="4708" spans="1:7">
      <c r="A4708" s="216">
        <v>44986</v>
      </c>
      <c r="B4708" t="s">
        <v>44</v>
      </c>
      <c r="C4708">
        <v>12</v>
      </c>
      <c r="D4708" t="s">
        <v>454</v>
      </c>
      <c r="E4708" s="217">
        <v>44986</v>
      </c>
      <c r="F4708">
        <v>10327</v>
      </c>
      <c r="G4708" s="227" t="s">
        <v>81</v>
      </c>
    </row>
    <row r="4709" spans="1:7">
      <c r="A4709" s="216">
        <v>44986</v>
      </c>
      <c r="B4709" t="s">
        <v>44</v>
      </c>
      <c r="C4709">
        <v>12</v>
      </c>
      <c r="D4709" t="s">
        <v>454</v>
      </c>
      <c r="E4709" s="217">
        <v>44986</v>
      </c>
      <c r="F4709">
        <v>12549</v>
      </c>
      <c r="G4709" s="227" t="s">
        <v>117</v>
      </c>
    </row>
    <row r="4710" spans="1:7">
      <c r="A4710" s="216">
        <v>44986</v>
      </c>
      <c r="B4710" t="s">
        <v>44</v>
      </c>
      <c r="C4710">
        <v>12</v>
      </c>
      <c r="D4710" t="s">
        <v>454</v>
      </c>
      <c r="E4710" s="217">
        <v>44986</v>
      </c>
      <c r="F4710">
        <v>10511</v>
      </c>
      <c r="G4710" s="227" t="s">
        <v>108</v>
      </c>
    </row>
    <row r="4711" spans="1:7">
      <c r="A4711" s="216">
        <v>44986</v>
      </c>
      <c r="B4711" t="s">
        <v>44</v>
      </c>
      <c r="C4711">
        <v>12</v>
      </c>
      <c r="D4711" t="s">
        <v>454</v>
      </c>
      <c r="E4711" s="217">
        <v>44986</v>
      </c>
      <c r="F4711">
        <v>10343</v>
      </c>
      <c r="G4711" s="227" t="s">
        <v>103</v>
      </c>
    </row>
    <row r="4712" spans="1:7">
      <c r="A4712" s="216">
        <v>44986</v>
      </c>
      <c r="B4712" t="s">
        <v>44</v>
      </c>
      <c r="C4712">
        <v>12</v>
      </c>
      <c r="D4712" t="s">
        <v>454</v>
      </c>
      <c r="E4712" s="217">
        <v>44986</v>
      </c>
      <c r="F4712">
        <v>11708</v>
      </c>
      <c r="G4712" s="227" t="s">
        <v>86</v>
      </c>
    </row>
    <row r="4713" spans="1:7">
      <c r="A4713" s="216">
        <v>44986</v>
      </c>
      <c r="B4713" t="s">
        <v>44</v>
      </c>
      <c r="C4713">
        <v>12</v>
      </c>
      <c r="D4713" t="s">
        <v>454</v>
      </c>
      <c r="E4713" s="217">
        <v>44986</v>
      </c>
      <c r="F4713">
        <v>11260</v>
      </c>
      <c r="G4713" s="227" t="s">
        <v>130</v>
      </c>
    </row>
    <row r="4714" spans="1:7">
      <c r="A4714" s="216">
        <v>44986</v>
      </c>
      <c r="B4714" t="s">
        <v>44</v>
      </c>
      <c r="C4714">
        <v>12</v>
      </c>
      <c r="D4714" t="s">
        <v>454</v>
      </c>
      <c r="E4714" s="217">
        <v>44986</v>
      </c>
      <c r="F4714">
        <v>10435</v>
      </c>
      <c r="G4714" s="227" t="s">
        <v>126</v>
      </c>
    </row>
    <row r="4715" spans="1:7">
      <c r="A4715" s="216">
        <v>44986</v>
      </c>
      <c r="B4715" t="s">
        <v>44</v>
      </c>
      <c r="C4715">
        <v>12</v>
      </c>
      <c r="D4715" t="s">
        <v>454</v>
      </c>
      <c r="E4715" s="217">
        <v>44986</v>
      </c>
      <c r="F4715">
        <v>9401</v>
      </c>
      <c r="G4715" s="227" t="s">
        <v>122</v>
      </c>
    </row>
    <row r="4716" spans="1:7">
      <c r="A4716" s="216">
        <v>44986</v>
      </c>
      <c r="B4716" t="s">
        <v>44</v>
      </c>
      <c r="C4716">
        <v>12</v>
      </c>
      <c r="D4716" t="s">
        <v>454</v>
      </c>
      <c r="E4716" s="217">
        <v>44986</v>
      </c>
      <c r="F4716">
        <v>12013</v>
      </c>
      <c r="G4716" s="227" t="s">
        <v>91</v>
      </c>
    </row>
    <row r="4717" spans="1:7">
      <c r="A4717" s="216">
        <v>44986</v>
      </c>
      <c r="B4717" t="s">
        <v>44</v>
      </c>
      <c r="C4717">
        <v>12</v>
      </c>
      <c r="D4717" t="s">
        <v>454</v>
      </c>
      <c r="E4717" s="217">
        <v>44986</v>
      </c>
      <c r="F4717">
        <v>13121</v>
      </c>
      <c r="G4717" s="227" t="s">
        <v>99</v>
      </c>
    </row>
    <row r="4718" spans="1:7">
      <c r="A4718" s="216">
        <v>44986</v>
      </c>
      <c r="B4718" t="s">
        <v>44</v>
      </c>
      <c r="C4718">
        <v>12</v>
      </c>
      <c r="D4718" t="s">
        <v>454</v>
      </c>
      <c r="E4718" s="217">
        <v>44986</v>
      </c>
      <c r="F4718">
        <v>10810</v>
      </c>
      <c r="G4718" s="227" t="s">
        <v>95</v>
      </c>
    </row>
    <row r="4719" spans="1:7">
      <c r="A4719" s="216">
        <v>44986</v>
      </c>
      <c r="B4719" t="s">
        <v>44</v>
      </c>
      <c r="C4719">
        <v>12</v>
      </c>
      <c r="D4719" t="s">
        <v>454</v>
      </c>
      <c r="E4719" s="217">
        <v>44986</v>
      </c>
      <c r="F4719">
        <v>12437</v>
      </c>
      <c r="G4719" s="227" t="s">
        <v>113</v>
      </c>
    </row>
    <row r="4720" spans="1:7">
      <c r="A4720" s="216">
        <v>44986</v>
      </c>
      <c r="B4720" t="s">
        <v>44</v>
      </c>
      <c r="C4720">
        <v>12</v>
      </c>
      <c r="D4720" t="s">
        <v>454</v>
      </c>
      <c r="E4720" s="217">
        <v>44986</v>
      </c>
      <c r="F4720">
        <v>134915</v>
      </c>
      <c r="G4720" s="227" t="s">
        <v>434</v>
      </c>
    </row>
    <row r="4721" spans="1:7">
      <c r="A4721" s="216">
        <v>44986</v>
      </c>
      <c r="B4721" t="s">
        <v>44</v>
      </c>
      <c r="C4721">
        <v>13</v>
      </c>
      <c r="D4721" t="s">
        <v>441</v>
      </c>
      <c r="E4721" s="217">
        <v>44986</v>
      </c>
      <c r="F4721">
        <v>17895</v>
      </c>
      <c r="G4721" s="227" t="s">
        <v>81</v>
      </c>
    </row>
    <row r="4722" spans="1:7">
      <c r="A4722" s="216">
        <v>44986</v>
      </c>
      <c r="B4722" t="s">
        <v>44</v>
      </c>
      <c r="C4722">
        <v>13</v>
      </c>
      <c r="D4722" t="s">
        <v>441</v>
      </c>
      <c r="E4722" s="217">
        <v>44986</v>
      </c>
      <c r="F4722">
        <v>17290</v>
      </c>
      <c r="G4722" s="227" t="s">
        <v>117</v>
      </c>
    </row>
    <row r="4723" spans="1:7">
      <c r="A4723" s="216">
        <v>44986</v>
      </c>
      <c r="B4723" t="s">
        <v>44</v>
      </c>
      <c r="C4723">
        <v>13</v>
      </c>
      <c r="D4723" t="s">
        <v>441</v>
      </c>
      <c r="E4723" s="217">
        <v>44986</v>
      </c>
      <c r="F4723">
        <v>18439</v>
      </c>
      <c r="G4723" s="227" t="s">
        <v>108</v>
      </c>
    </row>
    <row r="4724" spans="1:7">
      <c r="A4724" s="216">
        <v>44986</v>
      </c>
      <c r="B4724" t="s">
        <v>44</v>
      </c>
      <c r="C4724">
        <v>13</v>
      </c>
      <c r="D4724" t="s">
        <v>441</v>
      </c>
      <c r="E4724" s="217">
        <v>44986</v>
      </c>
      <c r="F4724">
        <v>17776</v>
      </c>
      <c r="G4724" s="227" t="s">
        <v>103</v>
      </c>
    </row>
    <row r="4725" spans="1:7">
      <c r="A4725" s="216">
        <v>44986</v>
      </c>
      <c r="B4725" t="s">
        <v>44</v>
      </c>
      <c r="C4725">
        <v>13</v>
      </c>
      <c r="D4725" t="s">
        <v>441</v>
      </c>
      <c r="E4725" s="217">
        <v>44986</v>
      </c>
      <c r="F4725">
        <v>18374</v>
      </c>
      <c r="G4725" s="227" t="s">
        <v>86</v>
      </c>
    </row>
    <row r="4726" spans="1:7">
      <c r="A4726" s="216">
        <v>44986</v>
      </c>
      <c r="B4726" t="s">
        <v>44</v>
      </c>
      <c r="C4726">
        <v>13</v>
      </c>
      <c r="D4726" t="s">
        <v>441</v>
      </c>
      <c r="E4726" s="217">
        <v>44986</v>
      </c>
      <c r="F4726">
        <v>21155</v>
      </c>
      <c r="G4726" s="227" t="s">
        <v>130</v>
      </c>
    </row>
    <row r="4727" spans="1:7">
      <c r="A4727" s="216">
        <v>44986</v>
      </c>
      <c r="B4727" t="s">
        <v>44</v>
      </c>
      <c r="C4727">
        <v>13</v>
      </c>
      <c r="D4727" t="s">
        <v>441</v>
      </c>
      <c r="E4727" s="217">
        <v>44986</v>
      </c>
      <c r="F4727">
        <v>18925</v>
      </c>
      <c r="G4727" s="227" t="s">
        <v>126</v>
      </c>
    </row>
    <row r="4728" spans="1:7">
      <c r="A4728" s="216">
        <v>44986</v>
      </c>
      <c r="B4728" t="s">
        <v>44</v>
      </c>
      <c r="C4728">
        <v>13</v>
      </c>
      <c r="D4728" t="s">
        <v>441</v>
      </c>
      <c r="E4728" s="217">
        <v>44986</v>
      </c>
      <c r="F4728">
        <v>17759</v>
      </c>
      <c r="G4728" s="227" t="s">
        <v>122</v>
      </c>
    </row>
    <row r="4729" spans="1:7">
      <c r="A4729" s="216">
        <v>44986</v>
      </c>
      <c r="B4729" t="s">
        <v>44</v>
      </c>
      <c r="C4729">
        <v>13</v>
      </c>
      <c r="D4729" t="s">
        <v>441</v>
      </c>
      <c r="E4729" s="217">
        <v>44986</v>
      </c>
      <c r="F4729">
        <v>20443</v>
      </c>
      <c r="G4729" s="227" t="s">
        <v>91</v>
      </c>
    </row>
    <row r="4730" spans="1:7">
      <c r="A4730" s="216">
        <v>44986</v>
      </c>
      <c r="B4730" t="s">
        <v>44</v>
      </c>
      <c r="C4730">
        <v>13</v>
      </c>
      <c r="D4730" t="s">
        <v>441</v>
      </c>
      <c r="E4730" s="217">
        <v>44986</v>
      </c>
      <c r="F4730">
        <v>19463</v>
      </c>
      <c r="G4730" s="227" t="s">
        <v>99</v>
      </c>
    </row>
    <row r="4731" spans="1:7">
      <c r="A4731" s="216">
        <v>44986</v>
      </c>
      <c r="B4731" t="s">
        <v>44</v>
      </c>
      <c r="C4731">
        <v>13</v>
      </c>
      <c r="D4731" t="s">
        <v>441</v>
      </c>
      <c r="E4731" s="217">
        <v>44986</v>
      </c>
      <c r="F4731">
        <v>22245</v>
      </c>
      <c r="G4731" s="227" t="s">
        <v>95</v>
      </c>
    </row>
    <row r="4732" spans="1:7">
      <c r="A4732" s="216">
        <v>44986</v>
      </c>
      <c r="B4732" t="s">
        <v>44</v>
      </c>
      <c r="C4732">
        <v>13</v>
      </c>
      <c r="D4732" t="s">
        <v>441</v>
      </c>
      <c r="E4732" s="217">
        <v>44986</v>
      </c>
      <c r="F4732">
        <v>20984</v>
      </c>
      <c r="G4732" s="227" t="s">
        <v>113</v>
      </c>
    </row>
    <row r="4733" spans="1:7">
      <c r="A4733" s="216">
        <v>44986</v>
      </c>
      <c r="B4733" t="s">
        <v>44</v>
      </c>
      <c r="C4733">
        <v>13</v>
      </c>
      <c r="D4733" t="s">
        <v>441</v>
      </c>
      <c r="E4733" s="217">
        <v>44986</v>
      </c>
      <c r="F4733">
        <v>230748</v>
      </c>
      <c r="G4733" s="227" t="s">
        <v>434</v>
      </c>
    </row>
    <row r="4734" spans="1:7">
      <c r="A4734" s="216">
        <v>44986</v>
      </c>
      <c r="B4734" t="s">
        <v>44</v>
      </c>
      <c r="C4734">
        <v>14</v>
      </c>
      <c r="D4734" t="s">
        <v>447</v>
      </c>
      <c r="E4734" s="217">
        <v>44986</v>
      </c>
      <c r="F4734">
        <v>0</v>
      </c>
      <c r="G4734" s="227" t="s">
        <v>81</v>
      </c>
    </row>
    <row r="4735" spans="1:7">
      <c r="A4735" s="216">
        <v>44986</v>
      </c>
      <c r="B4735" t="s">
        <v>44</v>
      </c>
      <c r="C4735">
        <v>14</v>
      </c>
      <c r="D4735" t="s">
        <v>447</v>
      </c>
      <c r="E4735" s="217">
        <v>44986</v>
      </c>
      <c r="F4735">
        <v>0</v>
      </c>
      <c r="G4735" s="227" t="s">
        <v>117</v>
      </c>
    </row>
    <row r="4736" spans="1:7">
      <c r="A4736" s="216">
        <v>44986</v>
      </c>
      <c r="B4736" t="s">
        <v>44</v>
      </c>
      <c r="C4736">
        <v>14</v>
      </c>
      <c r="D4736" t="s">
        <v>447</v>
      </c>
      <c r="E4736" s="217">
        <v>44986</v>
      </c>
      <c r="F4736">
        <v>0</v>
      </c>
      <c r="G4736" s="227" t="s">
        <v>108</v>
      </c>
    </row>
    <row r="4737" spans="1:7">
      <c r="A4737" s="216">
        <v>44986</v>
      </c>
      <c r="B4737" t="s">
        <v>44</v>
      </c>
      <c r="C4737">
        <v>14</v>
      </c>
      <c r="D4737" t="s">
        <v>447</v>
      </c>
      <c r="E4737" s="217">
        <v>44986</v>
      </c>
      <c r="F4737">
        <v>0</v>
      </c>
      <c r="G4737" s="227" t="s">
        <v>103</v>
      </c>
    </row>
    <row r="4738" spans="1:7">
      <c r="A4738" s="216">
        <v>44986</v>
      </c>
      <c r="B4738" t="s">
        <v>44</v>
      </c>
      <c r="C4738">
        <v>14</v>
      </c>
      <c r="D4738" t="s">
        <v>447</v>
      </c>
      <c r="E4738" s="217">
        <v>44986</v>
      </c>
      <c r="F4738">
        <v>0</v>
      </c>
      <c r="G4738" s="227" t="s">
        <v>86</v>
      </c>
    </row>
    <row r="4739" spans="1:7">
      <c r="A4739" s="216">
        <v>44986</v>
      </c>
      <c r="B4739" t="s">
        <v>44</v>
      </c>
      <c r="C4739">
        <v>14</v>
      </c>
      <c r="D4739" t="s">
        <v>447</v>
      </c>
      <c r="E4739" s="217">
        <v>44986</v>
      </c>
      <c r="F4739">
        <v>0</v>
      </c>
      <c r="G4739" s="227" t="s">
        <v>130</v>
      </c>
    </row>
    <row r="4740" spans="1:7">
      <c r="A4740" s="216">
        <v>44986</v>
      </c>
      <c r="B4740" t="s">
        <v>44</v>
      </c>
      <c r="C4740">
        <v>14</v>
      </c>
      <c r="D4740" t="s">
        <v>447</v>
      </c>
      <c r="E4740" s="217">
        <v>44986</v>
      </c>
      <c r="F4740">
        <v>0</v>
      </c>
      <c r="G4740" s="227" t="s">
        <v>126</v>
      </c>
    </row>
    <row r="4741" spans="1:7">
      <c r="A4741" s="216">
        <v>44986</v>
      </c>
      <c r="B4741" t="s">
        <v>44</v>
      </c>
      <c r="C4741">
        <v>14</v>
      </c>
      <c r="D4741" t="s">
        <v>447</v>
      </c>
      <c r="E4741" s="217">
        <v>44986</v>
      </c>
      <c r="F4741">
        <v>0</v>
      </c>
      <c r="G4741" s="227" t="s">
        <v>122</v>
      </c>
    </row>
    <row r="4742" spans="1:7">
      <c r="A4742" s="216">
        <v>44986</v>
      </c>
      <c r="B4742" t="s">
        <v>44</v>
      </c>
      <c r="C4742">
        <v>14</v>
      </c>
      <c r="D4742" t="s">
        <v>447</v>
      </c>
      <c r="E4742" s="217">
        <v>44986</v>
      </c>
      <c r="F4742">
        <v>0</v>
      </c>
      <c r="G4742" s="227" t="s">
        <v>91</v>
      </c>
    </row>
    <row r="4743" spans="1:7">
      <c r="A4743" s="216">
        <v>44986</v>
      </c>
      <c r="B4743" t="s">
        <v>44</v>
      </c>
      <c r="C4743">
        <v>14</v>
      </c>
      <c r="D4743" t="s">
        <v>447</v>
      </c>
      <c r="E4743" s="217">
        <v>44986</v>
      </c>
      <c r="F4743">
        <v>0</v>
      </c>
      <c r="G4743" s="227" t="s">
        <v>99</v>
      </c>
    </row>
    <row r="4744" spans="1:7">
      <c r="A4744" s="216">
        <v>44986</v>
      </c>
      <c r="B4744" t="s">
        <v>44</v>
      </c>
      <c r="C4744">
        <v>14</v>
      </c>
      <c r="D4744" t="s">
        <v>447</v>
      </c>
      <c r="E4744" s="217">
        <v>44986</v>
      </c>
      <c r="F4744">
        <v>0</v>
      </c>
      <c r="G4744" s="227" t="s">
        <v>95</v>
      </c>
    </row>
    <row r="4745" spans="1:7">
      <c r="A4745" s="216">
        <v>44986</v>
      </c>
      <c r="B4745" t="s">
        <v>44</v>
      </c>
      <c r="C4745">
        <v>14</v>
      </c>
      <c r="D4745" t="s">
        <v>447</v>
      </c>
      <c r="E4745" s="217">
        <v>44986</v>
      </c>
      <c r="F4745">
        <v>0</v>
      </c>
      <c r="G4745" s="227" t="s">
        <v>113</v>
      </c>
    </row>
    <row r="4746" spans="1:7">
      <c r="A4746" s="216">
        <v>44986</v>
      </c>
      <c r="B4746" t="s">
        <v>44</v>
      </c>
      <c r="C4746">
        <v>14</v>
      </c>
      <c r="D4746" t="s">
        <v>447</v>
      </c>
      <c r="E4746" s="217">
        <v>44986</v>
      </c>
      <c r="F4746">
        <v>0</v>
      </c>
      <c r="G4746" s="227" t="s">
        <v>434</v>
      </c>
    </row>
    <row r="4747" spans="1:7">
      <c r="A4747" s="216">
        <v>44986</v>
      </c>
      <c r="B4747" t="s">
        <v>44</v>
      </c>
      <c r="C4747">
        <v>15</v>
      </c>
      <c r="D4747" t="s">
        <v>437</v>
      </c>
      <c r="E4747" s="217">
        <v>44986</v>
      </c>
      <c r="F4747">
        <v>6450</v>
      </c>
      <c r="G4747" s="227" t="s">
        <v>81</v>
      </c>
    </row>
    <row r="4748" spans="1:7">
      <c r="A4748" s="216">
        <v>44986</v>
      </c>
      <c r="B4748" t="s">
        <v>44</v>
      </c>
      <c r="C4748">
        <v>15</v>
      </c>
      <c r="D4748" t="s">
        <v>437</v>
      </c>
      <c r="E4748" s="217">
        <v>44986</v>
      </c>
      <c r="F4748">
        <v>6538</v>
      </c>
      <c r="G4748" s="227" t="s">
        <v>117</v>
      </c>
    </row>
    <row r="4749" spans="1:7">
      <c r="A4749" s="216">
        <v>44986</v>
      </c>
      <c r="B4749" t="s">
        <v>44</v>
      </c>
      <c r="C4749">
        <v>15</v>
      </c>
      <c r="D4749" t="s">
        <v>437</v>
      </c>
      <c r="E4749" s="217">
        <v>44986</v>
      </c>
      <c r="F4749">
        <v>6567</v>
      </c>
      <c r="G4749" s="227" t="s">
        <v>108</v>
      </c>
    </row>
    <row r="4750" spans="1:7">
      <c r="A4750" s="216">
        <v>44986</v>
      </c>
      <c r="B4750" t="s">
        <v>44</v>
      </c>
      <c r="C4750">
        <v>15</v>
      </c>
      <c r="D4750" t="s">
        <v>437</v>
      </c>
      <c r="E4750" s="217">
        <v>44986</v>
      </c>
      <c r="F4750">
        <v>6651</v>
      </c>
      <c r="G4750" s="227" t="s">
        <v>103</v>
      </c>
    </row>
    <row r="4751" spans="1:7">
      <c r="A4751" s="216">
        <v>44986</v>
      </c>
      <c r="B4751" t="s">
        <v>44</v>
      </c>
      <c r="C4751">
        <v>15</v>
      </c>
      <c r="D4751" t="s">
        <v>437</v>
      </c>
      <c r="E4751" s="217">
        <v>44986</v>
      </c>
      <c r="F4751">
        <v>6663</v>
      </c>
      <c r="G4751" s="227" t="s">
        <v>86</v>
      </c>
    </row>
    <row r="4752" spans="1:7">
      <c r="A4752" s="216">
        <v>44986</v>
      </c>
      <c r="B4752" t="s">
        <v>44</v>
      </c>
      <c r="C4752">
        <v>15</v>
      </c>
      <c r="D4752" t="s">
        <v>437</v>
      </c>
      <c r="E4752" s="217">
        <v>44986</v>
      </c>
      <c r="F4752">
        <v>6547</v>
      </c>
      <c r="G4752" s="227" t="s">
        <v>130</v>
      </c>
    </row>
    <row r="4753" spans="1:7">
      <c r="A4753" s="216">
        <v>44986</v>
      </c>
      <c r="B4753" t="s">
        <v>44</v>
      </c>
      <c r="C4753">
        <v>15</v>
      </c>
      <c r="D4753" t="s">
        <v>437</v>
      </c>
      <c r="E4753" s="217">
        <v>44986</v>
      </c>
      <c r="F4753">
        <v>7272</v>
      </c>
      <c r="G4753" s="227" t="s">
        <v>126</v>
      </c>
    </row>
    <row r="4754" spans="1:7">
      <c r="A4754" s="216">
        <v>44986</v>
      </c>
      <c r="B4754" t="s">
        <v>44</v>
      </c>
      <c r="C4754">
        <v>15</v>
      </c>
      <c r="D4754" t="s">
        <v>437</v>
      </c>
      <c r="E4754" s="217">
        <v>44986</v>
      </c>
      <c r="F4754">
        <v>7580</v>
      </c>
      <c r="G4754" s="227" t="s">
        <v>122</v>
      </c>
    </row>
    <row r="4755" spans="1:7">
      <c r="A4755" s="216">
        <v>44986</v>
      </c>
      <c r="B4755" t="s">
        <v>44</v>
      </c>
      <c r="C4755">
        <v>15</v>
      </c>
      <c r="D4755" t="s">
        <v>437</v>
      </c>
      <c r="E4755" s="217">
        <v>44986</v>
      </c>
      <c r="F4755">
        <v>6877</v>
      </c>
      <c r="G4755" s="227" t="s">
        <v>91</v>
      </c>
    </row>
    <row r="4756" spans="1:7">
      <c r="A4756" s="216">
        <v>44986</v>
      </c>
      <c r="B4756" t="s">
        <v>44</v>
      </c>
      <c r="C4756">
        <v>15</v>
      </c>
      <c r="D4756" t="s">
        <v>437</v>
      </c>
      <c r="E4756" s="217">
        <v>44986</v>
      </c>
      <c r="F4756">
        <v>7115</v>
      </c>
      <c r="G4756" s="227" t="s">
        <v>99</v>
      </c>
    </row>
    <row r="4757" spans="1:7">
      <c r="A4757" s="216">
        <v>44986</v>
      </c>
      <c r="B4757" t="s">
        <v>44</v>
      </c>
      <c r="C4757">
        <v>15</v>
      </c>
      <c r="D4757" t="s">
        <v>437</v>
      </c>
      <c r="E4757" s="217">
        <v>44986</v>
      </c>
      <c r="F4757">
        <v>6924</v>
      </c>
      <c r="G4757" s="227" t="s">
        <v>95</v>
      </c>
    </row>
    <row r="4758" spans="1:7">
      <c r="A4758" s="216">
        <v>44986</v>
      </c>
      <c r="B4758" t="s">
        <v>44</v>
      </c>
      <c r="C4758">
        <v>15</v>
      </c>
      <c r="D4758" t="s">
        <v>437</v>
      </c>
      <c r="E4758" s="217">
        <v>44986</v>
      </c>
      <c r="F4758">
        <v>7892</v>
      </c>
      <c r="G4758" s="227" t="s">
        <v>113</v>
      </c>
    </row>
    <row r="4759" spans="1:7">
      <c r="A4759" s="216">
        <v>44986</v>
      </c>
      <c r="B4759" t="s">
        <v>44</v>
      </c>
      <c r="C4759">
        <v>15</v>
      </c>
      <c r="D4759" t="s">
        <v>437</v>
      </c>
      <c r="E4759" s="217">
        <v>44986</v>
      </c>
      <c r="F4759">
        <v>83076</v>
      </c>
      <c r="G4759" s="227" t="s">
        <v>434</v>
      </c>
    </row>
    <row r="4760" spans="1:7">
      <c r="A4760" s="216">
        <v>44986</v>
      </c>
      <c r="B4760" t="s">
        <v>45</v>
      </c>
      <c r="C4760">
        <v>7</v>
      </c>
      <c r="D4760" t="s">
        <v>442</v>
      </c>
      <c r="E4760" s="217">
        <v>44986</v>
      </c>
      <c r="F4760">
        <v>109304.79902000001</v>
      </c>
      <c r="G4760" s="227" t="s">
        <v>81</v>
      </c>
    </row>
    <row r="4761" spans="1:7">
      <c r="A4761" s="216">
        <v>44986</v>
      </c>
      <c r="B4761" t="s">
        <v>45</v>
      </c>
      <c r="C4761">
        <v>7</v>
      </c>
      <c r="D4761" t="s">
        <v>442</v>
      </c>
      <c r="E4761" s="217">
        <v>44986</v>
      </c>
      <c r="F4761">
        <v>108992.78268999999</v>
      </c>
      <c r="G4761" s="227" t="s">
        <v>117</v>
      </c>
    </row>
    <row r="4762" spans="1:7">
      <c r="A4762" s="216">
        <v>44986</v>
      </c>
      <c r="B4762" t="s">
        <v>45</v>
      </c>
      <c r="C4762">
        <v>7</v>
      </c>
      <c r="D4762" t="s">
        <v>442</v>
      </c>
      <c r="E4762" s="217">
        <v>44986</v>
      </c>
      <c r="F4762">
        <v>112509.36</v>
      </c>
      <c r="G4762" s="227" t="s">
        <v>108</v>
      </c>
    </row>
    <row r="4763" spans="1:7">
      <c r="A4763" s="216">
        <v>44986</v>
      </c>
      <c r="B4763" t="s">
        <v>45</v>
      </c>
      <c r="C4763">
        <v>7</v>
      </c>
      <c r="D4763" t="s">
        <v>442</v>
      </c>
      <c r="E4763" s="217">
        <v>44986</v>
      </c>
      <c r="F4763">
        <v>111442.36</v>
      </c>
      <c r="G4763" s="227" t="s">
        <v>103</v>
      </c>
    </row>
    <row r="4764" spans="1:7">
      <c r="A4764" s="216">
        <v>44986</v>
      </c>
      <c r="B4764" t="s">
        <v>45</v>
      </c>
      <c r="C4764">
        <v>7</v>
      </c>
      <c r="D4764" t="s">
        <v>442</v>
      </c>
      <c r="E4764" s="217">
        <v>44986</v>
      </c>
      <c r="F4764">
        <v>111511.26</v>
      </c>
      <c r="G4764" s="227" t="s">
        <v>86</v>
      </c>
    </row>
    <row r="4765" spans="1:7">
      <c r="A4765" s="216">
        <v>44986</v>
      </c>
      <c r="B4765" t="s">
        <v>45</v>
      </c>
      <c r="C4765">
        <v>7</v>
      </c>
      <c r="D4765" t="s">
        <v>442</v>
      </c>
      <c r="E4765" s="217">
        <v>44986</v>
      </c>
      <c r="F4765">
        <v>121213.26</v>
      </c>
      <c r="G4765" s="227" t="s">
        <v>130</v>
      </c>
    </row>
    <row r="4766" spans="1:7">
      <c r="A4766" s="216">
        <v>44986</v>
      </c>
      <c r="B4766" t="s">
        <v>45</v>
      </c>
      <c r="C4766">
        <v>7</v>
      </c>
      <c r="D4766" t="s">
        <v>442</v>
      </c>
      <c r="E4766" s="217">
        <v>44986</v>
      </c>
      <c r="F4766">
        <v>117481.47</v>
      </c>
      <c r="G4766" s="227" t="s">
        <v>126</v>
      </c>
    </row>
    <row r="4767" spans="1:7">
      <c r="A4767" s="216">
        <v>44986</v>
      </c>
      <c r="B4767" t="s">
        <v>45</v>
      </c>
      <c r="C4767">
        <v>7</v>
      </c>
      <c r="D4767" t="s">
        <v>442</v>
      </c>
      <c r="E4767" s="217">
        <v>44986</v>
      </c>
      <c r="F4767">
        <v>116736.92</v>
      </c>
      <c r="G4767" s="227" t="s">
        <v>122</v>
      </c>
    </row>
    <row r="4768" spans="1:7">
      <c r="A4768" s="216">
        <v>44986</v>
      </c>
      <c r="B4768" t="s">
        <v>45</v>
      </c>
      <c r="C4768">
        <v>7</v>
      </c>
      <c r="D4768" t="s">
        <v>442</v>
      </c>
      <c r="E4768" s="217">
        <v>44986</v>
      </c>
      <c r="F4768">
        <v>123129.88</v>
      </c>
      <c r="G4768" s="227" t="s">
        <v>91</v>
      </c>
    </row>
    <row r="4769" spans="1:7">
      <c r="A4769" s="216">
        <v>44986</v>
      </c>
      <c r="B4769" t="s">
        <v>45</v>
      </c>
      <c r="C4769">
        <v>7</v>
      </c>
      <c r="D4769" t="s">
        <v>442</v>
      </c>
      <c r="E4769" s="217">
        <v>44986</v>
      </c>
      <c r="F4769">
        <v>114933.99</v>
      </c>
      <c r="G4769" s="227" t="s">
        <v>99</v>
      </c>
    </row>
    <row r="4770" spans="1:7">
      <c r="A4770" s="216">
        <v>44986</v>
      </c>
      <c r="B4770" t="s">
        <v>45</v>
      </c>
      <c r="C4770">
        <v>7</v>
      </c>
      <c r="D4770" t="s">
        <v>442</v>
      </c>
      <c r="E4770" s="217">
        <v>44986</v>
      </c>
      <c r="F4770">
        <v>123583.87</v>
      </c>
      <c r="G4770" s="227" t="s">
        <v>95</v>
      </c>
    </row>
    <row r="4771" spans="1:7">
      <c r="A4771" s="216">
        <v>44986</v>
      </c>
      <c r="B4771" t="s">
        <v>45</v>
      </c>
      <c r="C4771">
        <v>7</v>
      </c>
      <c r="D4771" t="s">
        <v>442</v>
      </c>
      <c r="E4771" s="217">
        <v>44986</v>
      </c>
      <c r="F4771">
        <v>213661.04829000001</v>
      </c>
      <c r="G4771" s="227" t="s">
        <v>113</v>
      </c>
    </row>
    <row r="4772" spans="1:7">
      <c r="A4772" s="216">
        <v>44986</v>
      </c>
      <c r="B4772" t="s">
        <v>45</v>
      </c>
      <c r="C4772">
        <v>7</v>
      </c>
      <c r="D4772" t="s">
        <v>442</v>
      </c>
      <c r="E4772" s="217">
        <v>44986</v>
      </c>
      <c r="F4772">
        <v>1484501</v>
      </c>
      <c r="G4772" s="227" t="s">
        <v>434</v>
      </c>
    </row>
    <row r="4773" spans="1:7">
      <c r="A4773" s="216">
        <v>44986</v>
      </c>
      <c r="B4773" t="s">
        <v>45</v>
      </c>
      <c r="C4773">
        <v>8</v>
      </c>
      <c r="D4773" t="s">
        <v>451</v>
      </c>
      <c r="E4773" s="217">
        <v>44986</v>
      </c>
      <c r="F4773">
        <v>11317.823420000001</v>
      </c>
      <c r="G4773" s="227" t="s">
        <v>81</v>
      </c>
    </row>
    <row r="4774" spans="1:7">
      <c r="A4774" s="216">
        <v>44986</v>
      </c>
      <c r="B4774" t="s">
        <v>45</v>
      </c>
      <c r="C4774">
        <v>8</v>
      </c>
      <c r="D4774" t="s">
        <v>451</v>
      </c>
      <c r="E4774" s="217">
        <v>44986</v>
      </c>
      <c r="F4774">
        <v>12360.58812</v>
      </c>
      <c r="G4774" s="227" t="s">
        <v>117</v>
      </c>
    </row>
    <row r="4775" spans="1:7">
      <c r="A4775" s="216">
        <v>44986</v>
      </c>
      <c r="B4775" t="s">
        <v>45</v>
      </c>
      <c r="C4775">
        <v>8</v>
      </c>
      <c r="D4775" t="s">
        <v>451</v>
      </c>
      <c r="E4775" s="217">
        <v>44986</v>
      </c>
      <c r="F4775">
        <v>12251.86</v>
      </c>
      <c r="G4775" s="227" t="s">
        <v>108</v>
      </c>
    </row>
    <row r="4776" spans="1:7">
      <c r="A4776" s="216">
        <v>44986</v>
      </c>
      <c r="B4776" t="s">
        <v>45</v>
      </c>
      <c r="C4776">
        <v>8</v>
      </c>
      <c r="D4776" t="s">
        <v>451</v>
      </c>
      <c r="E4776" s="217">
        <v>44986</v>
      </c>
      <c r="F4776">
        <v>13075.485699999999</v>
      </c>
      <c r="G4776" s="227" t="s">
        <v>103</v>
      </c>
    </row>
    <row r="4777" spans="1:7">
      <c r="A4777" s="216">
        <v>44986</v>
      </c>
      <c r="B4777" t="s">
        <v>45</v>
      </c>
      <c r="C4777">
        <v>8</v>
      </c>
      <c r="D4777" t="s">
        <v>451</v>
      </c>
      <c r="E4777" s="217">
        <v>44986</v>
      </c>
      <c r="F4777">
        <v>11518.38</v>
      </c>
      <c r="G4777" s="227" t="s">
        <v>86</v>
      </c>
    </row>
    <row r="4778" spans="1:7">
      <c r="A4778" s="216">
        <v>44986</v>
      </c>
      <c r="B4778" t="s">
        <v>45</v>
      </c>
      <c r="C4778">
        <v>8</v>
      </c>
      <c r="D4778" t="s">
        <v>451</v>
      </c>
      <c r="E4778" s="217">
        <v>44986</v>
      </c>
      <c r="F4778">
        <v>12759.98</v>
      </c>
      <c r="G4778" s="227" t="s">
        <v>130</v>
      </c>
    </row>
    <row r="4779" spans="1:7">
      <c r="A4779" s="216">
        <v>44986</v>
      </c>
      <c r="B4779" t="s">
        <v>45</v>
      </c>
      <c r="C4779">
        <v>8</v>
      </c>
      <c r="D4779" t="s">
        <v>451</v>
      </c>
      <c r="E4779" s="217">
        <v>44986</v>
      </c>
      <c r="F4779">
        <v>12647.09</v>
      </c>
      <c r="G4779" s="227" t="s">
        <v>126</v>
      </c>
    </row>
    <row r="4780" spans="1:7">
      <c r="A4780" s="216">
        <v>44986</v>
      </c>
      <c r="B4780" t="s">
        <v>45</v>
      </c>
      <c r="C4780">
        <v>8</v>
      </c>
      <c r="D4780" t="s">
        <v>451</v>
      </c>
      <c r="E4780" s="217">
        <v>44986</v>
      </c>
      <c r="F4780">
        <v>11987.37</v>
      </c>
      <c r="G4780" s="227" t="s">
        <v>122</v>
      </c>
    </row>
    <row r="4781" spans="1:7">
      <c r="A4781" s="216">
        <v>44986</v>
      </c>
      <c r="B4781" t="s">
        <v>45</v>
      </c>
      <c r="C4781">
        <v>8</v>
      </c>
      <c r="D4781" t="s">
        <v>451</v>
      </c>
      <c r="E4781" s="217">
        <v>44986</v>
      </c>
      <c r="F4781">
        <v>14920.98</v>
      </c>
      <c r="G4781" s="227" t="s">
        <v>91</v>
      </c>
    </row>
    <row r="4782" spans="1:7">
      <c r="A4782" s="216">
        <v>44986</v>
      </c>
      <c r="B4782" t="s">
        <v>45</v>
      </c>
      <c r="C4782">
        <v>8</v>
      </c>
      <c r="D4782" t="s">
        <v>451</v>
      </c>
      <c r="E4782" s="217">
        <v>44986</v>
      </c>
      <c r="F4782">
        <v>12610.92</v>
      </c>
      <c r="G4782" s="227" t="s">
        <v>99</v>
      </c>
    </row>
    <row r="4783" spans="1:7">
      <c r="A4783" s="216">
        <v>44986</v>
      </c>
      <c r="B4783" t="s">
        <v>45</v>
      </c>
      <c r="C4783">
        <v>8</v>
      </c>
      <c r="D4783" t="s">
        <v>451</v>
      </c>
      <c r="E4783" s="217">
        <v>44986</v>
      </c>
      <c r="F4783">
        <v>12507.2</v>
      </c>
      <c r="G4783" s="227" t="s">
        <v>95</v>
      </c>
    </row>
    <row r="4784" spans="1:7">
      <c r="A4784" s="216">
        <v>44986</v>
      </c>
      <c r="B4784" t="s">
        <v>45</v>
      </c>
      <c r="C4784">
        <v>8</v>
      </c>
      <c r="D4784" t="s">
        <v>451</v>
      </c>
      <c r="E4784" s="217">
        <v>44986</v>
      </c>
      <c r="F4784">
        <v>12824.322759999999</v>
      </c>
      <c r="G4784" s="227" t="s">
        <v>113</v>
      </c>
    </row>
    <row r="4785" spans="1:7">
      <c r="A4785" s="216">
        <v>44986</v>
      </c>
      <c r="B4785" t="s">
        <v>45</v>
      </c>
      <c r="C4785">
        <v>8</v>
      </c>
      <c r="D4785" t="s">
        <v>451</v>
      </c>
      <c r="E4785" s="217">
        <v>44986</v>
      </c>
      <c r="F4785">
        <v>150782</v>
      </c>
      <c r="G4785" s="227" t="s">
        <v>434</v>
      </c>
    </row>
    <row r="4786" spans="1:7">
      <c r="A4786" s="216">
        <v>44986</v>
      </c>
      <c r="B4786" t="s">
        <v>45</v>
      </c>
      <c r="C4786">
        <v>9</v>
      </c>
      <c r="D4786" t="s">
        <v>450</v>
      </c>
      <c r="E4786" s="217">
        <v>44986</v>
      </c>
      <c r="F4786">
        <v>7731.24161</v>
      </c>
      <c r="G4786" s="227" t="s">
        <v>81</v>
      </c>
    </row>
    <row r="4787" spans="1:7">
      <c r="A4787" s="216">
        <v>44986</v>
      </c>
      <c r="B4787" t="s">
        <v>45</v>
      </c>
      <c r="C4787">
        <v>9</v>
      </c>
      <c r="D4787" t="s">
        <v>450</v>
      </c>
      <c r="E4787" s="217">
        <v>44986</v>
      </c>
      <c r="F4787">
        <v>7506.5236599999998</v>
      </c>
      <c r="G4787" s="227" t="s">
        <v>117</v>
      </c>
    </row>
    <row r="4788" spans="1:7">
      <c r="A4788" s="216">
        <v>44986</v>
      </c>
      <c r="B4788" t="s">
        <v>45</v>
      </c>
      <c r="C4788">
        <v>9</v>
      </c>
      <c r="D4788" t="s">
        <v>450</v>
      </c>
      <c r="E4788" s="217">
        <v>44986</v>
      </c>
      <c r="F4788">
        <v>7271.22</v>
      </c>
      <c r="G4788" s="227" t="s">
        <v>108</v>
      </c>
    </row>
    <row r="4789" spans="1:7">
      <c r="A4789" s="216">
        <v>44986</v>
      </c>
      <c r="B4789" t="s">
        <v>45</v>
      </c>
      <c r="C4789">
        <v>9</v>
      </c>
      <c r="D4789" t="s">
        <v>450</v>
      </c>
      <c r="E4789" s="217">
        <v>44986</v>
      </c>
      <c r="F4789">
        <v>7964.2404699999997</v>
      </c>
      <c r="G4789" s="227" t="s">
        <v>103</v>
      </c>
    </row>
    <row r="4790" spans="1:7">
      <c r="A4790" s="216">
        <v>44986</v>
      </c>
      <c r="B4790" t="s">
        <v>45</v>
      </c>
      <c r="C4790">
        <v>9</v>
      </c>
      <c r="D4790" t="s">
        <v>450</v>
      </c>
      <c r="E4790" s="217">
        <v>44986</v>
      </c>
      <c r="F4790">
        <v>7568.72</v>
      </c>
      <c r="G4790" s="227" t="s">
        <v>86</v>
      </c>
    </row>
    <row r="4791" spans="1:7">
      <c r="A4791" s="216">
        <v>44986</v>
      </c>
      <c r="B4791" t="s">
        <v>45</v>
      </c>
      <c r="C4791">
        <v>9</v>
      </c>
      <c r="D4791" t="s">
        <v>450</v>
      </c>
      <c r="E4791" s="217">
        <v>44986</v>
      </c>
      <c r="F4791">
        <v>7649.19</v>
      </c>
      <c r="G4791" s="227" t="s">
        <v>130</v>
      </c>
    </row>
    <row r="4792" spans="1:7">
      <c r="A4792" s="216">
        <v>44986</v>
      </c>
      <c r="B4792" t="s">
        <v>45</v>
      </c>
      <c r="C4792">
        <v>9</v>
      </c>
      <c r="D4792" t="s">
        <v>450</v>
      </c>
      <c r="E4792" s="217">
        <v>44986</v>
      </c>
      <c r="F4792">
        <v>8814.4699999999993</v>
      </c>
      <c r="G4792" s="227" t="s">
        <v>126</v>
      </c>
    </row>
    <row r="4793" spans="1:7">
      <c r="A4793" s="216">
        <v>44986</v>
      </c>
      <c r="B4793" t="s">
        <v>45</v>
      </c>
      <c r="C4793">
        <v>9</v>
      </c>
      <c r="D4793" t="s">
        <v>450</v>
      </c>
      <c r="E4793" s="217">
        <v>44986</v>
      </c>
      <c r="F4793">
        <v>8893.3799999999992</v>
      </c>
      <c r="G4793" s="227" t="s">
        <v>122</v>
      </c>
    </row>
    <row r="4794" spans="1:7">
      <c r="A4794" s="216">
        <v>44986</v>
      </c>
      <c r="B4794" t="s">
        <v>45</v>
      </c>
      <c r="C4794">
        <v>9</v>
      </c>
      <c r="D4794" t="s">
        <v>450</v>
      </c>
      <c r="E4794" s="217">
        <v>44986</v>
      </c>
      <c r="F4794">
        <v>11447.68</v>
      </c>
      <c r="G4794" s="227" t="s">
        <v>91</v>
      </c>
    </row>
    <row r="4795" spans="1:7">
      <c r="A4795" s="216">
        <v>44986</v>
      </c>
      <c r="B4795" t="s">
        <v>45</v>
      </c>
      <c r="C4795">
        <v>9</v>
      </c>
      <c r="D4795" t="s">
        <v>450</v>
      </c>
      <c r="E4795" s="217">
        <v>44986</v>
      </c>
      <c r="F4795">
        <v>7467.96</v>
      </c>
      <c r="G4795" s="227" t="s">
        <v>99</v>
      </c>
    </row>
    <row r="4796" spans="1:7">
      <c r="A4796" s="216">
        <v>44986</v>
      </c>
      <c r="B4796" t="s">
        <v>45</v>
      </c>
      <c r="C4796">
        <v>9</v>
      </c>
      <c r="D4796" t="s">
        <v>450</v>
      </c>
      <c r="E4796" s="217">
        <v>44986</v>
      </c>
      <c r="F4796">
        <v>6999.75</v>
      </c>
      <c r="G4796" s="227" t="s">
        <v>95</v>
      </c>
    </row>
    <row r="4797" spans="1:7">
      <c r="A4797" s="216">
        <v>44986</v>
      </c>
      <c r="B4797" t="s">
        <v>45</v>
      </c>
      <c r="C4797">
        <v>9</v>
      </c>
      <c r="D4797" t="s">
        <v>450</v>
      </c>
      <c r="E4797" s="217">
        <v>44986</v>
      </c>
      <c r="F4797">
        <v>8439.6242600000096</v>
      </c>
      <c r="G4797" s="227" t="s">
        <v>113</v>
      </c>
    </row>
    <row r="4798" spans="1:7">
      <c r="A4798" s="216">
        <v>44986</v>
      </c>
      <c r="B4798" t="s">
        <v>45</v>
      </c>
      <c r="C4798">
        <v>9</v>
      </c>
      <c r="D4798" t="s">
        <v>450</v>
      </c>
      <c r="E4798" s="217">
        <v>44986</v>
      </c>
      <c r="F4798">
        <v>97754</v>
      </c>
      <c r="G4798" s="227" t="s">
        <v>434</v>
      </c>
    </row>
    <row r="4799" spans="1:7">
      <c r="A4799" s="216">
        <v>44986</v>
      </c>
      <c r="B4799" t="s">
        <v>45</v>
      </c>
      <c r="C4799">
        <v>10</v>
      </c>
      <c r="D4799" t="s">
        <v>433</v>
      </c>
      <c r="E4799" s="217">
        <v>44986</v>
      </c>
      <c r="F4799">
        <v>50860.746679999698</v>
      </c>
      <c r="G4799" s="227" t="s">
        <v>81</v>
      </c>
    </row>
    <row r="4800" spans="1:7">
      <c r="A4800" s="216">
        <v>44986</v>
      </c>
      <c r="B4800" t="s">
        <v>45</v>
      </c>
      <c r="C4800">
        <v>10</v>
      </c>
      <c r="D4800" t="s">
        <v>433</v>
      </c>
      <c r="E4800" s="217">
        <v>44986</v>
      </c>
      <c r="F4800">
        <v>49530.882879999903</v>
      </c>
      <c r="G4800" s="227" t="s">
        <v>117</v>
      </c>
    </row>
    <row r="4801" spans="1:7">
      <c r="A4801" s="216">
        <v>44986</v>
      </c>
      <c r="B4801" t="s">
        <v>45</v>
      </c>
      <c r="C4801">
        <v>10</v>
      </c>
      <c r="D4801" t="s">
        <v>433</v>
      </c>
      <c r="E4801" s="217">
        <v>44986</v>
      </c>
      <c r="F4801">
        <v>50460.06</v>
      </c>
      <c r="G4801" s="227" t="s">
        <v>108</v>
      </c>
    </row>
    <row r="4802" spans="1:7">
      <c r="A4802" s="216">
        <v>44986</v>
      </c>
      <c r="B4802" t="s">
        <v>45</v>
      </c>
      <c r="C4802">
        <v>10</v>
      </c>
      <c r="D4802" t="s">
        <v>433</v>
      </c>
      <c r="E4802" s="217">
        <v>44986</v>
      </c>
      <c r="F4802">
        <v>49350.02</v>
      </c>
      <c r="G4802" s="227" t="s">
        <v>103</v>
      </c>
    </row>
    <row r="4803" spans="1:7">
      <c r="A4803" s="216">
        <v>44986</v>
      </c>
      <c r="B4803" t="s">
        <v>45</v>
      </c>
      <c r="C4803">
        <v>10</v>
      </c>
      <c r="D4803" t="s">
        <v>433</v>
      </c>
      <c r="E4803" s="217">
        <v>44986</v>
      </c>
      <c r="F4803">
        <v>48994.95</v>
      </c>
      <c r="G4803" s="227" t="s">
        <v>86</v>
      </c>
    </row>
    <row r="4804" spans="1:7">
      <c r="A4804" s="216">
        <v>44986</v>
      </c>
      <c r="B4804" t="s">
        <v>45</v>
      </c>
      <c r="C4804">
        <v>10</v>
      </c>
      <c r="D4804" t="s">
        <v>433</v>
      </c>
      <c r="E4804" s="217">
        <v>44986</v>
      </c>
      <c r="F4804">
        <v>62397.78</v>
      </c>
      <c r="G4804" s="227" t="s">
        <v>130</v>
      </c>
    </row>
    <row r="4805" spans="1:7">
      <c r="A4805" s="216">
        <v>44986</v>
      </c>
      <c r="B4805" t="s">
        <v>45</v>
      </c>
      <c r="C4805">
        <v>10</v>
      </c>
      <c r="D4805" t="s">
        <v>433</v>
      </c>
      <c r="E4805" s="217">
        <v>44986</v>
      </c>
      <c r="F4805">
        <v>52462.8</v>
      </c>
      <c r="G4805" s="227" t="s">
        <v>126</v>
      </c>
    </row>
    <row r="4806" spans="1:7">
      <c r="A4806" s="216">
        <v>44986</v>
      </c>
      <c r="B4806" t="s">
        <v>45</v>
      </c>
      <c r="C4806">
        <v>10</v>
      </c>
      <c r="D4806" t="s">
        <v>433</v>
      </c>
      <c r="E4806" s="217">
        <v>44986</v>
      </c>
      <c r="F4806">
        <v>52407.51</v>
      </c>
      <c r="G4806" s="227" t="s">
        <v>122</v>
      </c>
    </row>
    <row r="4807" spans="1:7">
      <c r="A4807" s="216">
        <v>44986</v>
      </c>
      <c r="B4807" t="s">
        <v>45</v>
      </c>
      <c r="C4807">
        <v>10</v>
      </c>
      <c r="D4807" t="s">
        <v>433</v>
      </c>
      <c r="E4807" s="217">
        <v>44986</v>
      </c>
      <c r="F4807">
        <v>52408.99</v>
      </c>
      <c r="G4807" s="227" t="s">
        <v>91</v>
      </c>
    </row>
    <row r="4808" spans="1:7">
      <c r="A4808" s="216">
        <v>44986</v>
      </c>
      <c r="B4808" t="s">
        <v>45</v>
      </c>
      <c r="C4808">
        <v>10</v>
      </c>
      <c r="D4808" t="s">
        <v>433</v>
      </c>
      <c r="E4808" s="217">
        <v>44986</v>
      </c>
      <c r="F4808">
        <v>52657.91</v>
      </c>
      <c r="G4808" s="227" t="s">
        <v>99</v>
      </c>
    </row>
    <row r="4809" spans="1:7">
      <c r="A4809" s="216">
        <v>44986</v>
      </c>
      <c r="B4809" t="s">
        <v>45</v>
      </c>
      <c r="C4809">
        <v>10</v>
      </c>
      <c r="D4809" t="s">
        <v>433</v>
      </c>
      <c r="E4809" s="217">
        <v>44986</v>
      </c>
      <c r="F4809">
        <v>52172.69</v>
      </c>
      <c r="G4809" s="227" t="s">
        <v>95</v>
      </c>
    </row>
    <row r="4810" spans="1:7">
      <c r="A4810" s="216">
        <v>44986</v>
      </c>
      <c r="B4810" t="s">
        <v>45</v>
      </c>
      <c r="C4810">
        <v>10</v>
      </c>
      <c r="D4810" t="s">
        <v>433</v>
      </c>
      <c r="E4810" s="217">
        <v>44986</v>
      </c>
      <c r="F4810">
        <v>91310.660440000502</v>
      </c>
      <c r="G4810" s="227" t="s">
        <v>113</v>
      </c>
    </row>
    <row r="4811" spans="1:7">
      <c r="A4811" s="216">
        <v>44986</v>
      </c>
      <c r="B4811" t="s">
        <v>45</v>
      </c>
      <c r="C4811">
        <v>10</v>
      </c>
      <c r="D4811" t="s">
        <v>433</v>
      </c>
      <c r="E4811" s="217">
        <v>44986</v>
      </c>
      <c r="F4811">
        <v>665015</v>
      </c>
      <c r="G4811" s="227" t="s">
        <v>434</v>
      </c>
    </row>
    <row r="4812" spans="1:7">
      <c r="A4812" s="216">
        <v>44986</v>
      </c>
      <c r="B4812" t="s">
        <v>45</v>
      </c>
      <c r="C4812">
        <v>11</v>
      </c>
      <c r="D4812" t="s">
        <v>445</v>
      </c>
      <c r="E4812" s="217">
        <v>44986</v>
      </c>
      <c r="F4812">
        <v>8437.5106099610002</v>
      </c>
      <c r="G4812" s="227" t="s">
        <v>81</v>
      </c>
    </row>
    <row r="4813" spans="1:7">
      <c r="A4813" s="216">
        <v>44986</v>
      </c>
      <c r="B4813" t="s">
        <v>45</v>
      </c>
      <c r="C4813">
        <v>11</v>
      </c>
      <c r="D4813" t="s">
        <v>445</v>
      </c>
      <c r="E4813" s="217">
        <v>44986</v>
      </c>
      <c r="F4813">
        <v>8801.9457400000902</v>
      </c>
      <c r="G4813" s="227" t="s">
        <v>117</v>
      </c>
    </row>
    <row r="4814" spans="1:7">
      <c r="A4814" s="216">
        <v>44986</v>
      </c>
      <c r="B4814" t="s">
        <v>45</v>
      </c>
      <c r="C4814">
        <v>11</v>
      </c>
      <c r="D4814" t="s">
        <v>445</v>
      </c>
      <c r="E4814" s="217">
        <v>44986</v>
      </c>
      <c r="F4814">
        <v>9565.84</v>
      </c>
      <c r="G4814" s="227" t="s">
        <v>108</v>
      </c>
    </row>
    <row r="4815" spans="1:7">
      <c r="A4815" s="216">
        <v>44986</v>
      </c>
      <c r="B4815" t="s">
        <v>45</v>
      </c>
      <c r="C4815">
        <v>11</v>
      </c>
      <c r="D4815" t="s">
        <v>445</v>
      </c>
      <c r="E4815" s="217">
        <v>44986</v>
      </c>
      <c r="F4815">
        <v>9237.8700000000008</v>
      </c>
      <c r="G4815" s="227" t="s">
        <v>103</v>
      </c>
    </row>
    <row r="4816" spans="1:7">
      <c r="A4816" s="216">
        <v>44986</v>
      </c>
      <c r="B4816" t="s">
        <v>45</v>
      </c>
      <c r="C4816">
        <v>11</v>
      </c>
      <c r="D4816" t="s">
        <v>445</v>
      </c>
      <c r="E4816" s="217">
        <v>44986</v>
      </c>
      <c r="F4816">
        <v>11800.63</v>
      </c>
      <c r="G4816" s="227" t="s">
        <v>86</v>
      </c>
    </row>
    <row r="4817" spans="1:7">
      <c r="A4817" s="216">
        <v>44986</v>
      </c>
      <c r="B4817" t="s">
        <v>45</v>
      </c>
      <c r="C4817">
        <v>11</v>
      </c>
      <c r="D4817" t="s">
        <v>445</v>
      </c>
      <c r="E4817" s="217">
        <v>44986</v>
      </c>
      <c r="F4817">
        <v>8260.66</v>
      </c>
      <c r="G4817" s="227" t="s">
        <v>130</v>
      </c>
    </row>
    <row r="4818" spans="1:7">
      <c r="A4818" s="216">
        <v>44986</v>
      </c>
      <c r="B4818" t="s">
        <v>45</v>
      </c>
      <c r="C4818">
        <v>11</v>
      </c>
      <c r="D4818" t="s">
        <v>445</v>
      </c>
      <c r="E4818" s="217">
        <v>44986</v>
      </c>
      <c r="F4818">
        <v>9767.6200000000008</v>
      </c>
      <c r="G4818" s="227" t="s">
        <v>126</v>
      </c>
    </row>
    <row r="4819" spans="1:7">
      <c r="A4819" s="216">
        <v>44986</v>
      </c>
      <c r="B4819" t="s">
        <v>45</v>
      </c>
      <c r="C4819">
        <v>11</v>
      </c>
      <c r="D4819" t="s">
        <v>445</v>
      </c>
      <c r="E4819" s="217">
        <v>44986</v>
      </c>
      <c r="F4819">
        <v>9823.3700000000008</v>
      </c>
      <c r="G4819" s="227" t="s">
        <v>122</v>
      </c>
    </row>
    <row r="4820" spans="1:7">
      <c r="A4820" s="216">
        <v>44986</v>
      </c>
      <c r="B4820" t="s">
        <v>45</v>
      </c>
      <c r="C4820">
        <v>11</v>
      </c>
      <c r="D4820" t="s">
        <v>445</v>
      </c>
      <c r="E4820" s="217">
        <v>44986</v>
      </c>
      <c r="F4820">
        <v>10062.98</v>
      </c>
      <c r="G4820" s="227" t="s">
        <v>91</v>
      </c>
    </row>
    <row r="4821" spans="1:7">
      <c r="A4821" s="216">
        <v>44986</v>
      </c>
      <c r="B4821" t="s">
        <v>45</v>
      </c>
      <c r="C4821">
        <v>11</v>
      </c>
      <c r="D4821" t="s">
        <v>445</v>
      </c>
      <c r="E4821" s="217">
        <v>44986</v>
      </c>
      <c r="F4821">
        <v>11106.56</v>
      </c>
      <c r="G4821" s="227" t="s">
        <v>99</v>
      </c>
    </row>
    <row r="4822" spans="1:7">
      <c r="A4822" s="216">
        <v>44986</v>
      </c>
      <c r="B4822" t="s">
        <v>45</v>
      </c>
      <c r="C4822">
        <v>11</v>
      </c>
      <c r="D4822" t="s">
        <v>445</v>
      </c>
      <c r="E4822" s="217">
        <v>44986</v>
      </c>
      <c r="F4822">
        <v>10184.379999999999</v>
      </c>
      <c r="G4822" s="227" t="s">
        <v>95</v>
      </c>
    </row>
    <row r="4823" spans="1:7">
      <c r="A4823" s="216">
        <v>44986</v>
      </c>
      <c r="B4823" t="s">
        <v>45</v>
      </c>
      <c r="C4823">
        <v>11</v>
      </c>
      <c r="D4823" t="s">
        <v>445</v>
      </c>
      <c r="E4823" s="217">
        <v>44986</v>
      </c>
      <c r="F4823">
        <v>16834.633650038901</v>
      </c>
      <c r="G4823" s="227" t="s">
        <v>113</v>
      </c>
    </row>
    <row r="4824" spans="1:7">
      <c r="A4824" s="216">
        <v>44986</v>
      </c>
      <c r="B4824" t="s">
        <v>45</v>
      </c>
      <c r="C4824">
        <v>11</v>
      </c>
      <c r="D4824" t="s">
        <v>445</v>
      </c>
      <c r="E4824" s="217">
        <v>44986</v>
      </c>
      <c r="F4824">
        <v>123884</v>
      </c>
      <c r="G4824" s="227" t="s">
        <v>434</v>
      </c>
    </row>
    <row r="4825" spans="1:7">
      <c r="A4825" s="216">
        <v>44986</v>
      </c>
      <c r="B4825" t="s">
        <v>45</v>
      </c>
      <c r="C4825">
        <v>12</v>
      </c>
      <c r="D4825" t="s">
        <v>454</v>
      </c>
      <c r="E4825" s="217">
        <v>44986</v>
      </c>
      <c r="F4825">
        <v>3272.81196</v>
      </c>
      <c r="G4825" s="227" t="s">
        <v>81</v>
      </c>
    </row>
    <row r="4826" spans="1:7">
      <c r="A4826" s="216">
        <v>44986</v>
      </c>
      <c r="B4826" t="s">
        <v>45</v>
      </c>
      <c r="C4826">
        <v>12</v>
      </c>
      <c r="D4826" t="s">
        <v>454</v>
      </c>
      <c r="E4826" s="217">
        <v>44986</v>
      </c>
      <c r="F4826">
        <v>3664.5612999999998</v>
      </c>
      <c r="G4826" s="227" t="s">
        <v>117</v>
      </c>
    </row>
    <row r="4827" spans="1:7">
      <c r="A4827" s="216">
        <v>44986</v>
      </c>
      <c r="B4827" t="s">
        <v>45</v>
      </c>
      <c r="C4827">
        <v>12</v>
      </c>
      <c r="D4827" t="s">
        <v>454</v>
      </c>
      <c r="E4827" s="217">
        <v>44986</v>
      </c>
      <c r="F4827">
        <v>3376.54</v>
      </c>
      <c r="G4827" s="227" t="s">
        <v>108</v>
      </c>
    </row>
    <row r="4828" spans="1:7">
      <c r="A4828" s="216">
        <v>44986</v>
      </c>
      <c r="B4828" t="s">
        <v>45</v>
      </c>
      <c r="C4828">
        <v>12</v>
      </c>
      <c r="D4828" t="s">
        <v>454</v>
      </c>
      <c r="E4828" s="217">
        <v>44986</v>
      </c>
      <c r="F4828">
        <v>3679.15</v>
      </c>
      <c r="G4828" s="227" t="s">
        <v>103</v>
      </c>
    </row>
    <row r="4829" spans="1:7">
      <c r="A4829" s="216">
        <v>44986</v>
      </c>
      <c r="B4829" t="s">
        <v>45</v>
      </c>
      <c r="C4829">
        <v>12</v>
      </c>
      <c r="D4829" t="s">
        <v>454</v>
      </c>
      <c r="E4829" s="217">
        <v>44986</v>
      </c>
      <c r="F4829">
        <v>3627.73</v>
      </c>
      <c r="G4829" s="227" t="s">
        <v>86</v>
      </c>
    </row>
    <row r="4830" spans="1:7">
      <c r="A4830" s="216">
        <v>44986</v>
      </c>
      <c r="B4830" t="s">
        <v>45</v>
      </c>
      <c r="C4830">
        <v>12</v>
      </c>
      <c r="D4830" t="s">
        <v>454</v>
      </c>
      <c r="E4830" s="217">
        <v>44986</v>
      </c>
      <c r="F4830">
        <v>3979.55</v>
      </c>
      <c r="G4830" s="227" t="s">
        <v>130</v>
      </c>
    </row>
    <row r="4831" spans="1:7">
      <c r="A4831" s="216">
        <v>44986</v>
      </c>
      <c r="B4831" t="s">
        <v>45</v>
      </c>
      <c r="C4831">
        <v>12</v>
      </c>
      <c r="D4831" t="s">
        <v>454</v>
      </c>
      <c r="E4831" s="217">
        <v>44986</v>
      </c>
      <c r="F4831">
        <v>4329.3</v>
      </c>
      <c r="G4831" s="227" t="s">
        <v>126</v>
      </c>
    </row>
    <row r="4832" spans="1:7">
      <c r="A4832" s="216">
        <v>44986</v>
      </c>
      <c r="B4832" t="s">
        <v>45</v>
      </c>
      <c r="C4832">
        <v>12</v>
      </c>
      <c r="D4832" t="s">
        <v>454</v>
      </c>
      <c r="E4832" s="217">
        <v>44986</v>
      </c>
      <c r="F4832">
        <v>4552.38</v>
      </c>
      <c r="G4832" s="227" t="s">
        <v>122</v>
      </c>
    </row>
    <row r="4833" spans="1:7">
      <c r="A4833" s="216">
        <v>44986</v>
      </c>
      <c r="B4833" t="s">
        <v>45</v>
      </c>
      <c r="C4833">
        <v>12</v>
      </c>
      <c r="D4833" t="s">
        <v>454</v>
      </c>
      <c r="E4833" s="217">
        <v>44986</v>
      </c>
      <c r="F4833">
        <v>4813.03</v>
      </c>
      <c r="G4833" s="227" t="s">
        <v>91</v>
      </c>
    </row>
    <row r="4834" spans="1:7">
      <c r="A4834" s="216">
        <v>44986</v>
      </c>
      <c r="B4834" t="s">
        <v>45</v>
      </c>
      <c r="C4834">
        <v>12</v>
      </c>
      <c r="D4834" t="s">
        <v>454</v>
      </c>
      <c r="E4834" s="217">
        <v>44986</v>
      </c>
      <c r="F4834">
        <v>3960.65</v>
      </c>
      <c r="G4834" s="227" t="s">
        <v>99</v>
      </c>
    </row>
    <row r="4835" spans="1:7">
      <c r="A4835" s="216">
        <v>44986</v>
      </c>
      <c r="B4835" t="s">
        <v>45</v>
      </c>
      <c r="C4835">
        <v>12</v>
      </c>
      <c r="D4835" t="s">
        <v>454</v>
      </c>
      <c r="E4835" s="217">
        <v>44986</v>
      </c>
      <c r="F4835">
        <v>4397.04</v>
      </c>
      <c r="G4835" s="227" t="s">
        <v>95</v>
      </c>
    </row>
    <row r="4836" spans="1:7">
      <c r="A4836" s="216">
        <v>44986</v>
      </c>
      <c r="B4836" t="s">
        <v>45</v>
      </c>
      <c r="C4836">
        <v>12</v>
      </c>
      <c r="D4836" t="s">
        <v>454</v>
      </c>
      <c r="E4836" s="217">
        <v>44986</v>
      </c>
      <c r="F4836">
        <v>4627.2567399999998</v>
      </c>
      <c r="G4836" s="227" t="s">
        <v>113</v>
      </c>
    </row>
    <row r="4837" spans="1:7">
      <c r="A4837" s="216">
        <v>44986</v>
      </c>
      <c r="B4837" t="s">
        <v>45</v>
      </c>
      <c r="C4837">
        <v>12</v>
      </c>
      <c r="D4837" t="s">
        <v>454</v>
      </c>
      <c r="E4837" s="217">
        <v>44986</v>
      </c>
      <c r="F4837">
        <v>48280</v>
      </c>
      <c r="G4837" s="227" t="s">
        <v>434</v>
      </c>
    </row>
    <row r="4838" spans="1:7">
      <c r="A4838" s="216">
        <v>44986</v>
      </c>
      <c r="B4838" t="s">
        <v>45</v>
      </c>
      <c r="C4838">
        <v>13</v>
      </c>
      <c r="D4838" t="s">
        <v>441</v>
      </c>
      <c r="E4838" s="217">
        <v>44986</v>
      </c>
      <c r="F4838">
        <v>20664.935880000001</v>
      </c>
      <c r="G4838" s="227" t="s">
        <v>81</v>
      </c>
    </row>
    <row r="4839" spans="1:7">
      <c r="A4839" s="216">
        <v>44986</v>
      </c>
      <c r="B4839" t="s">
        <v>45</v>
      </c>
      <c r="C4839">
        <v>13</v>
      </c>
      <c r="D4839" t="s">
        <v>441</v>
      </c>
      <c r="E4839" s="217">
        <v>44986</v>
      </c>
      <c r="F4839">
        <v>21017.05471</v>
      </c>
      <c r="G4839" s="227" t="s">
        <v>117</v>
      </c>
    </row>
    <row r="4840" spans="1:7">
      <c r="A4840" s="216">
        <v>44986</v>
      </c>
      <c r="B4840" t="s">
        <v>45</v>
      </c>
      <c r="C4840">
        <v>13</v>
      </c>
      <c r="D4840" t="s">
        <v>441</v>
      </c>
      <c r="E4840" s="217">
        <v>44986</v>
      </c>
      <c r="F4840">
        <v>21517.46</v>
      </c>
      <c r="G4840" s="227" t="s">
        <v>108</v>
      </c>
    </row>
    <row r="4841" spans="1:7">
      <c r="A4841" s="216">
        <v>44986</v>
      </c>
      <c r="B4841" t="s">
        <v>45</v>
      </c>
      <c r="C4841">
        <v>13</v>
      </c>
      <c r="D4841" t="s">
        <v>441</v>
      </c>
      <c r="E4841" s="217">
        <v>44986</v>
      </c>
      <c r="F4841">
        <v>20447.05</v>
      </c>
      <c r="G4841" s="227" t="s">
        <v>103</v>
      </c>
    </row>
    <row r="4842" spans="1:7">
      <c r="A4842" s="216">
        <v>44986</v>
      </c>
      <c r="B4842" t="s">
        <v>45</v>
      </c>
      <c r="C4842">
        <v>13</v>
      </c>
      <c r="D4842" t="s">
        <v>441</v>
      </c>
      <c r="E4842" s="217">
        <v>44986</v>
      </c>
      <c r="F4842">
        <v>20890.93</v>
      </c>
      <c r="G4842" s="227" t="s">
        <v>86</v>
      </c>
    </row>
    <row r="4843" spans="1:7">
      <c r="A4843" s="216">
        <v>44986</v>
      </c>
      <c r="B4843" t="s">
        <v>45</v>
      </c>
      <c r="C4843">
        <v>13</v>
      </c>
      <c r="D4843" t="s">
        <v>441</v>
      </c>
      <c r="E4843" s="217">
        <v>44986</v>
      </c>
      <c r="F4843">
        <v>19724.7</v>
      </c>
      <c r="G4843" s="227" t="s">
        <v>130</v>
      </c>
    </row>
    <row r="4844" spans="1:7">
      <c r="A4844" s="216">
        <v>44986</v>
      </c>
      <c r="B4844" t="s">
        <v>45</v>
      </c>
      <c r="C4844">
        <v>13</v>
      </c>
      <c r="D4844" t="s">
        <v>441</v>
      </c>
      <c r="E4844" s="217">
        <v>44986</v>
      </c>
      <c r="F4844">
        <v>21875.3</v>
      </c>
      <c r="G4844" s="227" t="s">
        <v>126</v>
      </c>
    </row>
    <row r="4845" spans="1:7">
      <c r="A4845" s="216">
        <v>44986</v>
      </c>
      <c r="B4845" t="s">
        <v>45</v>
      </c>
      <c r="C4845">
        <v>13</v>
      </c>
      <c r="D4845" t="s">
        <v>441</v>
      </c>
      <c r="E4845" s="217">
        <v>44986</v>
      </c>
      <c r="F4845">
        <v>19557.91</v>
      </c>
      <c r="G4845" s="227" t="s">
        <v>122</v>
      </c>
    </row>
    <row r="4846" spans="1:7">
      <c r="A4846" s="216">
        <v>44986</v>
      </c>
      <c r="B4846" t="s">
        <v>45</v>
      </c>
      <c r="C4846">
        <v>13</v>
      </c>
      <c r="D4846" t="s">
        <v>441</v>
      </c>
      <c r="E4846" s="217">
        <v>44986</v>
      </c>
      <c r="F4846">
        <v>23168.81</v>
      </c>
      <c r="G4846" s="227" t="s">
        <v>91</v>
      </c>
    </row>
    <row r="4847" spans="1:7">
      <c r="A4847" s="216">
        <v>44986</v>
      </c>
      <c r="B4847" t="s">
        <v>45</v>
      </c>
      <c r="C4847">
        <v>13</v>
      </c>
      <c r="D4847" t="s">
        <v>441</v>
      </c>
      <c r="E4847" s="217">
        <v>44986</v>
      </c>
      <c r="F4847">
        <v>19379.330000000002</v>
      </c>
      <c r="G4847" s="227" t="s">
        <v>99</v>
      </c>
    </row>
    <row r="4848" spans="1:7">
      <c r="A4848" s="216">
        <v>44986</v>
      </c>
      <c r="B4848" t="s">
        <v>45</v>
      </c>
      <c r="C4848">
        <v>13</v>
      </c>
      <c r="D4848" t="s">
        <v>441</v>
      </c>
      <c r="E4848" s="217">
        <v>44986</v>
      </c>
      <c r="F4848">
        <v>28190.49</v>
      </c>
      <c r="G4848" s="227" t="s">
        <v>95</v>
      </c>
    </row>
    <row r="4849" spans="1:7">
      <c r="A4849" s="216">
        <v>44986</v>
      </c>
      <c r="B4849" t="s">
        <v>45</v>
      </c>
      <c r="C4849">
        <v>13</v>
      </c>
      <c r="D4849" t="s">
        <v>441</v>
      </c>
      <c r="E4849" s="217">
        <v>44986</v>
      </c>
      <c r="F4849">
        <v>22738.029409999999</v>
      </c>
      <c r="G4849" s="227" t="s">
        <v>113</v>
      </c>
    </row>
    <row r="4850" spans="1:7">
      <c r="A4850" s="216">
        <v>44986</v>
      </c>
      <c r="B4850" t="s">
        <v>45</v>
      </c>
      <c r="C4850">
        <v>13</v>
      </c>
      <c r="D4850" t="s">
        <v>441</v>
      </c>
      <c r="E4850" s="217">
        <v>44986</v>
      </c>
      <c r="F4850">
        <v>259172</v>
      </c>
      <c r="G4850" s="227" t="s">
        <v>434</v>
      </c>
    </row>
    <row r="4851" spans="1:7">
      <c r="A4851" s="216">
        <v>44986</v>
      </c>
      <c r="B4851" t="s">
        <v>45</v>
      </c>
      <c r="C4851">
        <v>14</v>
      </c>
      <c r="D4851" t="s">
        <v>447</v>
      </c>
      <c r="E4851" s="217">
        <v>44986</v>
      </c>
      <c r="F4851">
        <v>6.2249999999999996</v>
      </c>
      <c r="G4851" s="227" t="s">
        <v>81</v>
      </c>
    </row>
    <row r="4852" spans="1:7">
      <c r="A4852" s="216">
        <v>44986</v>
      </c>
      <c r="B4852" t="s">
        <v>45</v>
      </c>
      <c r="C4852">
        <v>14</v>
      </c>
      <c r="D4852" t="s">
        <v>447</v>
      </c>
      <c r="E4852" s="217">
        <v>44986</v>
      </c>
      <c r="F4852">
        <v>582.24400000000003</v>
      </c>
      <c r="G4852" s="227" t="s">
        <v>117</v>
      </c>
    </row>
    <row r="4853" spans="1:7">
      <c r="A4853" s="216">
        <v>44986</v>
      </c>
      <c r="B4853" t="s">
        <v>45</v>
      </c>
      <c r="C4853">
        <v>14</v>
      </c>
      <c r="D4853" t="s">
        <v>447</v>
      </c>
      <c r="E4853" s="217">
        <v>44986</v>
      </c>
      <c r="F4853">
        <v>292.99</v>
      </c>
      <c r="G4853" s="227" t="s">
        <v>108</v>
      </c>
    </row>
    <row r="4854" spans="1:7">
      <c r="A4854" s="216">
        <v>44986</v>
      </c>
      <c r="B4854" t="s">
        <v>45</v>
      </c>
      <c r="C4854">
        <v>14</v>
      </c>
      <c r="D4854" t="s">
        <v>447</v>
      </c>
      <c r="E4854" s="217">
        <v>44986</v>
      </c>
      <c r="F4854">
        <v>293.82</v>
      </c>
      <c r="G4854" s="227" t="s">
        <v>103</v>
      </c>
    </row>
    <row r="4855" spans="1:7">
      <c r="A4855" s="216">
        <v>44986</v>
      </c>
      <c r="B4855" t="s">
        <v>45</v>
      </c>
      <c r="C4855">
        <v>14</v>
      </c>
      <c r="D4855" t="s">
        <v>447</v>
      </c>
      <c r="E4855" s="217">
        <v>44986</v>
      </c>
      <c r="F4855">
        <v>293.82</v>
      </c>
      <c r="G4855" s="227" t="s">
        <v>86</v>
      </c>
    </row>
    <row r="4856" spans="1:7">
      <c r="A4856" s="216">
        <v>44986</v>
      </c>
      <c r="B4856" t="s">
        <v>45</v>
      </c>
      <c r="C4856">
        <v>14</v>
      </c>
      <c r="D4856" t="s">
        <v>447</v>
      </c>
      <c r="E4856" s="217">
        <v>44986</v>
      </c>
      <c r="F4856">
        <v>293.82</v>
      </c>
      <c r="G4856" s="227" t="s">
        <v>130</v>
      </c>
    </row>
    <row r="4857" spans="1:7">
      <c r="A4857" s="216">
        <v>44986</v>
      </c>
      <c r="B4857" t="s">
        <v>45</v>
      </c>
      <c r="C4857">
        <v>14</v>
      </c>
      <c r="D4857" t="s">
        <v>447</v>
      </c>
      <c r="E4857" s="217">
        <v>44986</v>
      </c>
      <c r="F4857">
        <v>293.82</v>
      </c>
      <c r="G4857" s="227" t="s">
        <v>126</v>
      </c>
    </row>
    <row r="4858" spans="1:7">
      <c r="A4858" s="216">
        <v>44986</v>
      </c>
      <c r="B4858" t="s">
        <v>45</v>
      </c>
      <c r="C4858">
        <v>14</v>
      </c>
      <c r="D4858" t="s">
        <v>447</v>
      </c>
      <c r="E4858" s="217">
        <v>44986</v>
      </c>
      <c r="F4858">
        <v>250.64</v>
      </c>
      <c r="G4858" s="227" t="s">
        <v>122</v>
      </c>
    </row>
    <row r="4859" spans="1:7">
      <c r="A4859" s="216">
        <v>44986</v>
      </c>
      <c r="B4859" t="s">
        <v>45</v>
      </c>
      <c r="C4859">
        <v>14</v>
      </c>
      <c r="D4859" t="s">
        <v>447</v>
      </c>
      <c r="E4859" s="217">
        <v>44986</v>
      </c>
      <c r="F4859">
        <v>288.42</v>
      </c>
      <c r="G4859" s="227" t="s">
        <v>91</v>
      </c>
    </row>
    <row r="4860" spans="1:7">
      <c r="A4860" s="216">
        <v>44986</v>
      </c>
      <c r="B4860" t="s">
        <v>45</v>
      </c>
      <c r="C4860">
        <v>14</v>
      </c>
      <c r="D4860" t="s">
        <v>447</v>
      </c>
      <c r="E4860" s="217">
        <v>44986</v>
      </c>
      <c r="F4860">
        <v>288.42</v>
      </c>
      <c r="G4860" s="227" t="s">
        <v>99</v>
      </c>
    </row>
    <row r="4861" spans="1:7">
      <c r="A4861" s="216">
        <v>44986</v>
      </c>
      <c r="B4861" t="s">
        <v>45</v>
      </c>
      <c r="C4861">
        <v>14</v>
      </c>
      <c r="D4861" t="s">
        <v>447</v>
      </c>
      <c r="E4861" s="217">
        <v>44986</v>
      </c>
      <c r="F4861">
        <v>288.42</v>
      </c>
      <c r="G4861" s="227" t="s">
        <v>95</v>
      </c>
    </row>
    <row r="4862" spans="1:7">
      <c r="A4862" s="216">
        <v>44986</v>
      </c>
      <c r="B4862" t="s">
        <v>45</v>
      </c>
      <c r="C4862">
        <v>14</v>
      </c>
      <c r="D4862" t="s">
        <v>447</v>
      </c>
      <c r="E4862" s="217">
        <v>44986</v>
      </c>
      <c r="F4862">
        <v>343.36099999999999</v>
      </c>
      <c r="G4862" s="227" t="s">
        <v>113</v>
      </c>
    </row>
    <row r="4863" spans="1:7">
      <c r="A4863" s="216">
        <v>44986</v>
      </c>
      <c r="B4863" t="s">
        <v>45</v>
      </c>
      <c r="C4863">
        <v>14</v>
      </c>
      <c r="D4863" t="s">
        <v>447</v>
      </c>
      <c r="E4863" s="217">
        <v>44986</v>
      </c>
      <c r="F4863">
        <v>3516</v>
      </c>
      <c r="G4863" s="227" t="s">
        <v>434</v>
      </c>
    </row>
    <row r="4864" spans="1:7">
      <c r="A4864" s="216">
        <v>44986</v>
      </c>
      <c r="B4864" t="s">
        <v>45</v>
      </c>
      <c r="C4864">
        <v>15</v>
      </c>
      <c r="D4864" t="s">
        <v>437</v>
      </c>
      <c r="E4864" s="217">
        <v>44986</v>
      </c>
      <c r="F4864">
        <v>5065.7678800000003</v>
      </c>
      <c r="G4864" s="227" t="s">
        <v>81</v>
      </c>
    </row>
    <row r="4865" spans="1:7">
      <c r="A4865" s="216">
        <v>44986</v>
      </c>
      <c r="B4865" t="s">
        <v>45</v>
      </c>
      <c r="C4865">
        <v>15</v>
      </c>
      <c r="D4865" t="s">
        <v>437</v>
      </c>
      <c r="E4865" s="217">
        <v>44986</v>
      </c>
      <c r="F4865">
        <v>4727.8933200000001</v>
      </c>
      <c r="G4865" s="227" t="s">
        <v>117</v>
      </c>
    </row>
    <row r="4866" spans="1:7">
      <c r="A4866" s="216">
        <v>44986</v>
      </c>
      <c r="B4866" t="s">
        <v>45</v>
      </c>
      <c r="C4866">
        <v>15</v>
      </c>
      <c r="D4866" t="s">
        <v>437</v>
      </c>
      <c r="E4866" s="217">
        <v>44986</v>
      </c>
      <c r="F4866">
        <v>4955.6400000000003</v>
      </c>
      <c r="G4866" s="227" t="s">
        <v>108</v>
      </c>
    </row>
    <row r="4867" spans="1:7">
      <c r="A4867" s="216">
        <v>44986</v>
      </c>
      <c r="B4867" t="s">
        <v>45</v>
      </c>
      <c r="C4867">
        <v>15</v>
      </c>
      <c r="D4867" t="s">
        <v>437</v>
      </c>
      <c r="E4867" s="217">
        <v>44986</v>
      </c>
      <c r="F4867">
        <v>5415.1350499999999</v>
      </c>
      <c r="G4867" s="227" t="s">
        <v>103</v>
      </c>
    </row>
    <row r="4868" spans="1:7">
      <c r="A4868" s="216">
        <v>44986</v>
      </c>
      <c r="B4868" t="s">
        <v>45</v>
      </c>
      <c r="C4868">
        <v>15</v>
      </c>
      <c r="D4868" t="s">
        <v>437</v>
      </c>
      <c r="E4868" s="217">
        <v>44986</v>
      </c>
      <c r="F4868">
        <v>5622.2</v>
      </c>
      <c r="G4868" s="227" t="s">
        <v>86</v>
      </c>
    </row>
    <row r="4869" spans="1:7">
      <c r="A4869" s="216">
        <v>44986</v>
      </c>
      <c r="B4869" t="s">
        <v>45</v>
      </c>
      <c r="C4869">
        <v>15</v>
      </c>
      <c r="D4869" t="s">
        <v>437</v>
      </c>
      <c r="E4869" s="217">
        <v>44986</v>
      </c>
      <c r="F4869">
        <v>2749.82</v>
      </c>
      <c r="G4869" s="227" t="s">
        <v>130</v>
      </c>
    </row>
    <row r="4870" spans="1:7">
      <c r="A4870" s="216">
        <v>44986</v>
      </c>
      <c r="B4870" t="s">
        <v>45</v>
      </c>
      <c r="C4870">
        <v>15</v>
      </c>
      <c r="D4870" t="s">
        <v>437</v>
      </c>
      <c r="E4870" s="217">
        <v>44986</v>
      </c>
      <c r="F4870">
        <v>5346.85</v>
      </c>
      <c r="G4870" s="227" t="s">
        <v>126</v>
      </c>
    </row>
    <row r="4871" spans="1:7">
      <c r="A4871" s="216">
        <v>44986</v>
      </c>
      <c r="B4871" t="s">
        <v>45</v>
      </c>
      <c r="C4871">
        <v>15</v>
      </c>
      <c r="D4871" t="s">
        <v>437</v>
      </c>
      <c r="E4871" s="217">
        <v>44986</v>
      </c>
      <c r="F4871">
        <v>5244.25</v>
      </c>
      <c r="G4871" s="227" t="s">
        <v>122</v>
      </c>
    </row>
    <row r="4872" spans="1:7">
      <c r="A4872" s="216">
        <v>44986</v>
      </c>
      <c r="B4872" t="s">
        <v>45</v>
      </c>
      <c r="C4872">
        <v>15</v>
      </c>
      <c r="D4872" t="s">
        <v>437</v>
      </c>
      <c r="E4872" s="217">
        <v>44986</v>
      </c>
      <c r="F4872">
        <v>5190.79</v>
      </c>
      <c r="G4872" s="227" t="s">
        <v>91</v>
      </c>
    </row>
    <row r="4873" spans="1:7">
      <c r="A4873" s="216">
        <v>44986</v>
      </c>
      <c r="B4873" t="s">
        <v>45</v>
      </c>
      <c r="C4873">
        <v>15</v>
      </c>
      <c r="D4873" t="s">
        <v>437</v>
      </c>
      <c r="E4873" s="217">
        <v>44986</v>
      </c>
      <c r="F4873">
        <v>4987.25</v>
      </c>
      <c r="G4873" s="227" t="s">
        <v>99</v>
      </c>
    </row>
    <row r="4874" spans="1:7">
      <c r="A4874" s="216">
        <v>44986</v>
      </c>
      <c r="B4874" t="s">
        <v>45</v>
      </c>
      <c r="C4874">
        <v>15</v>
      </c>
      <c r="D4874" t="s">
        <v>437</v>
      </c>
      <c r="E4874" s="217">
        <v>44986</v>
      </c>
      <c r="F4874">
        <v>4793.34</v>
      </c>
      <c r="G4874" s="227" t="s">
        <v>95</v>
      </c>
    </row>
    <row r="4875" spans="1:7">
      <c r="A4875" s="216">
        <v>44986</v>
      </c>
      <c r="B4875" t="s">
        <v>45</v>
      </c>
      <c r="C4875">
        <v>15</v>
      </c>
      <c r="D4875" t="s">
        <v>437</v>
      </c>
      <c r="E4875" s="217">
        <v>44986</v>
      </c>
      <c r="F4875">
        <v>4983.0637500000003</v>
      </c>
      <c r="G4875" s="227" t="s">
        <v>113</v>
      </c>
    </row>
    <row r="4876" spans="1:7">
      <c r="A4876" s="216">
        <v>44986</v>
      </c>
      <c r="B4876" t="s">
        <v>45</v>
      </c>
      <c r="C4876">
        <v>15</v>
      </c>
      <c r="D4876" t="s">
        <v>437</v>
      </c>
      <c r="E4876" s="217">
        <v>44986</v>
      </c>
      <c r="F4876">
        <v>59082</v>
      </c>
      <c r="G4876" s="227" t="s">
        <v>434</v>
      </c>
    </row>
    <row r="4877" spans="1:7">
      <c r="A4877" s="216">
        <v>44986</v>
      </c>
      <c r="B4877" t="s">
        <v>53</v>
      </c>
      <c r="C4877">
        <v>7</v>
      </c>
      <c r="D4877" t="s">
        <v>442</v>
      </c>
      <c r="E4877" s="217">
        <v>44986</v>
      </c>
      <c r="F4877">
        <v>37085.4</v>
      </c>
      <c r="G4877" s="227" t="s">
        <v>81</v>
      </c>
    </row>
    <row r="4878" spans="1:7">
      <c r="A4878" s="216">
        <v>44986</v>
      </c>
      <c r="B4878" t="s">
        <v>53</v>
      </c>
      <c r="C4878">
        <v>7</v>
      </c>
      <c r="D4878" t="s">
        <v>442</v>
      </c>
      <c r="E4878" s="217">
        <v>44986</v>
      </c>
      <c r="F4878">
        <v>40048</v>
      </c>
      <c r="G4878" s="227" t="s">
        <v>117</v>
      </c>
    </row>
    <row r="4879" spans="1:7">
      <c r="A4879" s="216">
        <v>44986</v>
      </c>
      <c r="B4879" t="s">
        <v>53</v>
      </c>
      <c r="C4879">
        <v>7</v>
      </c>
      <c r="D4879" t="s">
        <v>442</v>
      </c>
      <c r="E4879" s="217">
        <v>44986</v>
      </c>
      <c r="F4879">
        <v>45889</v>
      </c>
      <c r="G4879" s="227" t="s">
        <v>108</v>
      </c>
    </row>
    <row r="4880" spans="1:7">
      <c r="A4880" s="216">
        <v>44986</v>
      </c>
      <c r="B4880" t="s">
        <v>53</v>
      </c>
      <c r="C4880">
        <v>7</v>
      </c>
      <c r="D4880" t="s">
        <v>442</v>
      </c>
      <c r="E4880" s="217">
        <v>44986</v>
      </c>
      <c r="F4880">
        <v>46129</v>
      </c>
      <c r="G4880" s="227" t="s">
        <v>103</v>
      </c>
    </row>
    <row r="4881" spans="1:7">
      <c r="A4881" s="216">
        <v>44986</v>
      </c>
      <c r="B4881" t="s">
        <v>53</v>
      </c>
      <c r="C4881">
        <v>7</v>
      </c>
      <c r="D4881" t="s">
        <v>442</v>
      </c>
      <c r="E4881" s="217">
        <v>44986</v>
      </c>
      <c r="F4881">
        <v>44727</v>
      </c>
      <c r="G4881" s="227" t="s">
        <v>86</v>
      </c>
    </row>
    <row r="4882" spans="1:7">
      <c r="A4882" s="216">
        <v>44986</v>
      </c>
      <c r="B4882" t="s">
        <v>53</v>
      </c>
      <c r="C4882">
        <v>7</v>
      </c>
      <c r="D4882" t="s">
        <v>442</v>
      </c>
      <c r="E4882" s="217">
        <v>44986</v>
      </c>
      <c r="F4882">
        <v>56327</v>
      </c>
      <c r="G4882" s="227" t="s">
        <v>130</v>
      </c>
    </row>
    <row r="4883" spans="1:7">
      <c r="A4883" s="216">
        <v>44986</v>
      </c>
      <c r="B4883" t="s">
        <v>53</v>
      </c>
      <c r="C4883">
        <v>7</v>
      </c>
      <c r="D4883" t="s">
        <v>442</v>
      </c>
      <c r="E4883" s="217">
        <v>44986</v>
      </c>
      <c r="F4883">
        <v>78315</v>
      </c>
      <c r="G4883" s="227" t="s">
        <v>126</v>
      </c>
    </row>
    <row r="4884" spans="1:7">
      <c r="A4884" s="216">
        <v>44986</v>
      </c>
      <c r="B4884" t="s">
        <v>53</v>
      </c>
      <c r="C4884">
        <v>7</v>
      </c>
      <c r="D4884" t="s">
        <v>442</v>
      </c>
      <c r="E4884" s="217">
        <v>44986</v>
      </c>
      <c r="F4884">
        <v>60835</v>
      </c>
      <c r="G4884" s="227" t="s">
        <v>122</v>
      </c>
    </row>
    <row r="4885" spans="1:7">
      <c r="A4885" s="216">
        <v>44986</v>
      </c>
      <c r="B4885" t="s">
        <v>53</v>
      </c>
      <c r="C4885">
        <v>7</v>
      </c>
      <c r="D4885" t="s">
        <v>442</v>
      </c>
      <c r="E4885" s="217">
        <v>44986</v>
      </c>
      <c r="F4885">
        <v>68383</v>
      </c>
      <c r="G4885" s="227" t="s">
        <v>91</v>
      </c>
    </row>
    <row r="4886" spans="1:7">
      <c r="A4886" s="216">
        <v>44986</v>
      </c>
      <c r="B4886" t="s">
        <v>53</v>
      </c>
      <c r="C4886">
        <v>7</v>
      </c>
      <c r="D4886" t="s">
        <v>442</v>
      </c>
      <c r="E4886" s="217">
        <v>44986</v>
      </c>
      <c r="F4886">
        <v>46669</v>
      </c>
      <c r="G4886" s="227" t="s">
        <v>99</v>
      </c>
    </row>
    <row r="4887" spans="1:7">
      <c r="A4887" s="216">
        <v>44986</v>
      </c>
      <c r="B4887" t="s">
        <v>53</v>
      </c>
      <c r="C4887">
        <v>7</v>
      </c>
      <c r="D4887" t="s">
        <v>442</v>
      </c>
      <c r="E4887" s="217">
        <v>44986</v>
      </c>
      <c r="F4887">
        <v>48139</v>
      </c>
      <c r="G4887" s="227" t="s">
        <v>95</v>
      </c>
    </row>
    <row r="4888" spans="1:7">
      <c r="A4888" s="216">
        <v>44986</v>
      </c>
      <c r="B4888" t="s">
        <v>53</v>
      </c>
      <c r="C4888">
        <v>7</v>
      </c>
      <c r="D4888" t="s">
        <v>442</v>
      </c>
      <c r="E4888" s="217">
        <v>44986</v>
      </c>
      <c r="F4888">
        <v>136205</v>
      </c>
      <c r="G4888" s="227" t="s">
        <v>113</v>
      </c>
    </row>
    <row r="4889" spans="1:7">
      <c r="A4889" s="216">
        <v>44986</v>
      </c>
      <c r="B4889" t="s">
        <v>53</v>
      </c>
      <c r="C4889">
        <v>7</v>
      </c>
      <c r="D4889" t="s">
        <v>442</v>
      </c>
      <c r="E4889" s="217">
        <v>44986</v>
      </c>
      <c r="F4889">
        <v>708751.4</v>
      </c>
      <c r="G4889" s="227" t="s">
        <v>434</v>
      </c>
    </row>
    <row r="4890" spans="1:7">
      <c r="A4890" s="216">
        <v>44986</v>
      </c>
      <c r="B4890" t="s">
        <v>53</v>
      </c>
      <c r="C4890">
        <v>13</v>
      </c>
      <c r="D4890" t="s">
        <v>441</v>
      </c>
      <c r="E4890" s="217">
        <v>44986</v>
      </c>
      <c r="F4890">
        <v>0</v>
      </c>
      <c r="G4890" s="227" t="s">
        <v>81</v>
      </c>
    </row>
    <row r="4891" spans="1:7">
      <c r="A4891" s="216">
        <v>44986</v>
      </c>
      <c r="B4891" t="s">
        <v>53</v>
      </c>
      <c r="C4891">
        <v>13</v>
      </c>
      <c r="D4891" t="s">
        <v>441</v>
      </c>
      <c r="E4891" s="217">
        <v>44986</v>
      </c>
      <c r="F4891">
        <v>0</v>
      </c>
      <c r="G4891" s="227" t="s">
        <v>117</v>
      </c>
    </row>
    <row r="4892" spans="1:7">
      <c r="A4892" s="216">
        <v>44986</v>
      </c>
      <c r="B4892" t="s">
        <v>53</v>
      </c>
      <c r="C4892">
        <v>13</v>
      </c>
      <c r="D4892" t="s">
        <v>441</v>
      </c>
      <c r="E4892" s="217">
        <v>44986</v>
      </c>
      <c r="F4892">
        <v>0</v>
      </c>
      <c r="G4892" s="227" t="s">
        <v>108</v>
      </c>
    </row>
    <row r="4893" spans="1:7">
      <c r="A4893" s="216">
        <v>44986</v>
      </c>
      <c r="B4893" t="s">
        <v>53</v>
      </c>
      <c r="C4893">
        <v>13</v>
      </c>
      <c r="D4893" t="s">
        <v>441</v>
      </c>
      <c r="E4893" s="217">
        <v>44986</v>
      </c>
      <c r="F4893">
        <v>0</v>
      </c>
      <c r="G4893" s="227" t="s">
        <v>103</v>
      </c>
    </row>
    <row r="4894" spans="1:7">
      <c r="A4894" s="216">
        <v>44986</v>
      </c>
      <c r="B4894" t="s">
        <v>53</v>
      </c>
      <c r="C4894">
        <v>13</v>
      </c>
      <c r="D4894" t="s">
        <v>441</v>
      </c>
      <c r="E4894" s="217">
        <v>44986</v>
      </c>
      <c r="F4894">
        <v>0</v>
      </c>
      <c r="G4894" s="227" t="s">
        <v>86</v>
      </c>
    </row>
    <row r="4895" spans="1:7">
      <c r="A4895" s="216">
        <v>44986</v>
      </c>
      <c r="B4895" t="s">
        <v>53</v>
      </c>
      <c r="C4895">
        <v>13</v>
      </c>
      <c r="D4895" t="s">
        <v>441</v>
      </c>
      <c r="E4895" s="217">
        <v>44986</v>
      </c>
      <c r="F4895">
        <v>0</v>
      </c>
      <c r="G4895" s="227" t="s">
        <v>130</v>
      </c>
    </row>
    <row r="4896" spans="1:7">
      <c r="A4896" s="216">
        <v>44986</v>
      </c>
      <c r="B4896" t="s">
        <v>53</v>
      </c>
      <c r="C4896">
        <v>13</v>
      </c>
      <c r="D4896" t="s">
        <v>441</v>
      </c>
      <c r="E4896" s="217">
        <v>44986</v>
      </c>
      <c r="F4896">
        <v>0</v>
      </c>
      <c r="G4896" s="227" t="s">
        <v>126</v>
      </c>
    </row>
    <row r="4897" spans="1:7">
      <c r="A4897" s="216">
        <v>44986</v>
      </c>
      <c r="B4897" t="s">
        <v>53</v>
      </c>
      <c r="C4897">
        <v>13</v>
      </c>
      <c r="D4897" t="s">
        <v>441</v>
      </c>
      <c r="E4897" s="217">
        <v>44986</v>
      </c>
      <c r="F4897">
        <v>0</v>
      </c>
      <c r="G4897" s="227" t="s">
        <v>122</v>
      </c>
    </row>
    <row r="4898" spans="1:7">
      <c r="A4898" s="216">
        <v>44986</v>
      </c>
      <c r="B4898" t="s">
        <v>53</v>
      </c>
      <c r="C4898">
        <v>13</v>
      </c>
      <c r="D4898" t="s">
        <v>441</v>
      </c>
      <c r="E4898" s="217">
        <v>44986</v>
      </c>
      <c r="F4898">
        <v>0</v>
      </c>
      <c r="G4898" s="227" t="s">
        <v>91</v>
      </c>
    </row>
    <row r="4899" spans="1:7">
      <c r="A4899" s="216">
        <v>44986</v>
      </c>
      <c r="B4899" t="s">
        <v>53</v>
      </c>
      <c r="C4899">
        <v>13</v>
      </c>
      <c r="D4899" t="s">
        <v>441</v>
      </c>
      <c r="E4899" s="217">
        <v>44986</v>
      </c>
      <c r="F4899">
        <v>0</v>
      </c>
      <c r="G4899" s="227" t="s">
        <v>99</v>
      </c>
    </row>
    <row r="4900" spans="1:7">
      <c r="A4900" s="216">
        <v>44986</v>
      </c>
      <c r="B4900" t="s">
        <v>53</v>
      </c>
      <c r="C4900">
        <v>13</v>
      </c>
      <c r="D4900" t="s">
        <v>441</v>
      </c>
      <c r="E4900" s="217">
        <v>44986</v>
      </c>
      <c r="F4900">
        <v>0</v>
      </c>
      <c r="G4900" s="227" t="s">
        <v>95</v>
      </c>
    </row>
    <row r="4901" spans="1:7">
      <c r="A4901" s="216">
        <v>44986</v>
      </c>
      <c r="B4901" t="s">
        <v>53</v>
      </c>
      <c r="C4901">
        <v>13</v>
      </c>
      <c r="D4901" t="s">
        <v>441</v>
      </c>
      <c r="E4901" s="217">
        <v>44986</v>
      </c>
      <c r="F4901">
        <v>0</v>
      </c>
      <c r="G4901" s="227" t="s">
        <v>113</v>
      </c>
    </row>
    <row r="4902" spans="1:7">
      <c r="A4902" s="216">
        <v>44986</v>
      </c>
      <c r="B4902" t="s">
        <v>53</v>
      </c>
      <c r="C4902">
        <v>13</v>
      </c>
      <c r="D4902" t="s">
        <v>441</v>
      </c>
      <c r="E4902" s="217">
        <v>44986</v>
      </c>
      <c r="F4902">
        <v>0</v>
      </c>
      <c r="G4902" s="227" t="s">
        <v>434</v>
      </c>
    </row>
    <row r="4903" spans="1:7">
      <c r="A4903" s="216">
        <v>44986</v>
      </c>
      <c r="B4903" t="s">
        <v>53</v>
      </c>
      <c r="C4903">
        <v>14</v>
      </c>
      <c r="D4903" t="s">
        <v>447</v>
      </c>
      <c r="E4903" s="217">
        <v>44986</v>
      </c>
      <c r="F4903">
        <v>0</v>
      </c>
      <c r="G4903" s="227" t="s">
        <v>81</v>
      </c>
    </row>
    <row r="4904" spans="1:7">
      <c r="A4904" s="216">
        <v>44986</v>
      </c>
      <c r="B4904" t="s">
        <v>53</v>
      </c>
      <c r="C4904">
        <v>14</v>
      </c>
      <c r="D4904" t="s">
        <v>447</v>
      </c>
      <c r="E4904" s="217">
        <v>44986</v>
      </c>
      <c r="F4904">
        <v>0</v>
      </c>
      <c r="G4904" s="227" t="s">
        <v>117</v>
      </c>
    </row>
    <row r="4905" spans="1:7">
      <c r="A4905" s="216">
        <v>44986</v>
      </c>
      <c r="B4905" t="s">
        <v>53</v>
      </c>
      <c r="C4905">
        <v>14</v>
      </c>
      <c r="D4905" t="s">
        <v>447</v>
      </c>
      <c r="E4905" s="217">
        <v>44986</v>
      </c>
      <c r="F4905">
        <v>0</v>
      </c>
      <c r="G4905" s="227" t="s">
        <v>108</v>
      </c>
    </row>
    <row r="4906" spans="1:7">
      <c r="A4906" s="216">
        <v>44986</v>
      </c>
      <c r="B4906" t="s">
        <v>53</v>
      </c>
      <c r="C4906">
        <v>14</v>
      </c>
      <c r="D4906" t="s">
        <v>447</v>
      </c>
      <c r="E4906" s="217">
        <v>44986</v>
      </c>
      <c r="F4906">
        <v>0</v>
      </c>
      <c r="G4906" s="227" t="s">
        <v>103</v>
      </c>
    </row>
    <row r="4907" spans="1:7">
      <c r="A4907" s="216">
        <v>44986</v>
      </c>
      <c r="B4907" t="s">
        <v>53</v>
      </c>
      <c r="C4907">
        <v>14</v>
      </c>
      <c r="D4907" t="s">
        <v>447</v>
      </c>
      <c r="E4907" s="217">
        <v>44986</v>
      </c>
      <c r="F4907">
        <v>0</v>
      </c>
      <c r="G4907" s="227" t="s">
        <v>86</v>
      </c>
    </row>
    <row r="4908" spans="1:7">
      <c r="A4908" s="216">
        <v>44986</v>
      </c>
      <c r="B4908" t="s">
        <v>53</v>
      </c>
      <c r="C4908">
        <v>14</v>
      </c>
      <c r="D4908" t="s">
        <v>447</v>
      </c>
      <c r="E4908" s="217">
        <v>44986</v>
      </c>
      <c r="F4908">
        <v>0</v>
      </c>
      <c r="G4908" s="227" t="s">
        <v>130</v>
      </c>
    </row>
    <row r="4909" spans="1:7">
      <c r="A4909" s="216">
        <v>44986</v>
      </c>
      <c r="B4909" t="s">
        <v>53</v>
      </c>
      <c r="C4909">
        <v>14</v>
      </c>
      <c r="D4909" t="s">
        <v>447</v>
      </c>
      <c r="E4909" s="217">
        <v>44986</v>
      </c>
      <c r="F4909">
        <v>0</v>
      </c>
      <c r="G4909" s="227" t="s">
        <v>126</v>
      </c>
    </row>
    <row r="4910" spans="1:7">
      <c r="A4910" s="216">
        <v>44986</v>
      </c>
      <c r="B4910" t="s">
        <v>53</v>
      </c>
      <c r="C4910">
        <v>14</v>
      </c>
      <c r="D4910" t="s">
        <v>447</v>
      </c>
      <c r="E4910" s="217">
        <v>44986</v>
      </c>
      <c r="F4910">
        <v>0</v>
      </c>
      <c r="G4910" s="227" t="s">
        <v>122</v>
      </c>
    </row>
    <row r="4911" spans="1:7">
      <c r="A4911" s="216">
        <v>44986</v>
      </c>
      <c r="B4911" t="s">
        <v>53</v>
      </c>
      <c r="C4911">
        <v>14</v>
      </c>
      <c r="D4911" t="s">
        <v>447</v>
      </c>
      <c r="E4911" s="217">
        <v>44986</v>
      </c>
      <c r="F4911">
        <v>0</v>
      </c>
      <c r="G4911" s="227" t="s">
        <v>91</v>
      </c>
    </row>
    <row r="4912" spans="1:7">
      <c r="A4912" s="216">
        <v>44986</v>
      </c>
      <c r="B4912" t="s">
        <v>53</v>
      </c>
      <c r="C4912">
        <v>14</v>
      </c>
      <c r="D4912" t="s">
        <v>447</v>
      </c>
      <c r="E4912" s="217">
        <v>44986</v>
      </c>
      <c r="F4912">
        <v>0</v>
      </c>
      <c r="G4912" s="227" t="s">
        <v>99</v>
      </c>
    </row>
    <row r="4913" spans="1:7">
      <c r="A4913" s="216">
        <v>44986</v>
      </c>
      <c r="B4913" t="s">
        <v>53</v>
      </c>
      <c r="C4913">
        <v>14</v>
      </c>
      <c r="D4913" t="s">
        <v>447</v>
      </c>
      <c r="E4913" s="217">
        <v>44986</v>
      </c>
      <c r="F4913">
        <v>0</v>
      </c>
      <c r="G4913" s="227" t="s">
        <v>95</v>
      </c>
    </row>
    <row r="4914" spans="1:7">
      <c r="A4914" s="216">
        <v>44986</v>
      </c>
      <c r="B4914" t="s">
        <v>53</v>
      </c>
      <c r="C4914">
        <v>14</v>
      </c>
      <c r="D4914" t="s">
        <v>447</v>
      </c>
      <c r="E4914" s="217">
        <v>44986</v>
      </c>
      <c r="F4914">
        <v>0</v>
      </c>
      <c r="G4914" s="227" t="s">
        <v>113</v>
      </c>
    </row>
    <row r="4915" spans="1:7">
      <c r="A4915" s="216">
        <v>44986</v>
      </c>
      <c r="B4915" t="s">
        <v>53</v>
      </c>
      <c r="C4915">
        <v>14</v>
      </c>
      <c r="D4915" t="s">
        <v>447</v>
      </c>
      <c r="E4915" s="217">
        <v>44986</v>
      </c>
      <c r="F4915">
        <v>0</v>
      </c>
      <c r="G4915" s="227" t="s">
        <v>434</v>
      </c>
    </row>
    <row r="4916" spans="1:7">
      <c r="A4916" s="216">
        <v>44986</v>
      </c>
      <c r="B4916" t="s">
        <v>53</v>
      </c>
      <c r="C4916">
        <v>15</v>
      </c>
      <c r="D4916" t="s">
        <v>437</v>
      </c>
      <c r="E4916" s="217">
        <v>44986</v>
      </c>
      <c r="F4916">
        <v>0</v>
      </c>
      <c r="G4916" s="227" t="s">
        <v>81</v>
      </c>
    </row>
    <row r="4917" spans="1:7">
      <c r="A4917" s="216">
        <v>44986</v>
      </c>
      <c r="B4917" t="s">
        <v>53</v>
      </c>
      <c r="C4917">
        <v>15</v>
      </c>
      <c r="D4917" t="s">
        <v>437</v>
      </c>
      <c r="E4917" s="217">
        <v>44986</v>
      </c>
      <c r="F4917">
        <v>0</v>
      </c>
      <c r="G4917" s="227" t="s">
        <v>117</v>
      </c>
    </row>
    <row r="4918" spans="1:7">
      <c r="A4918" s="216">
        <v>44986</v>
      </c>
      <c r="B4918" t="s">
        <v>53</v>
      </c>
      <c r="C4918">
        <v>15</v>
      </c>
      <c r="D4918" t="s">
        <v>437</v>
      </c>
      <c r="E4918" s="217">
        <v>44986</v>
      </c>
      <c r="F4918">
        <v>0</v>
      </c>
      <c r="G4918" s="227" t="s">
        <v>108</v>
      </c>
    </row>
    <row r="4919" spans="1:7">
      <c r="A4919" s="216">
        <v>44986</v>
      </c>
      <c r="B4919" t="s">
        <v>53</v>
      </c>
      <c r="C4919">
        <v>15</v>
      </c>
      <c r="D4919" t="s">
        <v>437</v>
      </c>
      <c r="E4919" s="217">
        <v>44986</v>
      </c>
      <c r="F4919">
        <v>0</v>
      </c>
      <c r="G4919" s="227" t="s">
        <v>103</v>
      </c>
    </row>
    <row r="4920" spans="1:7">
      <c r="A4920" s="216">
        <v>44986</v>
      </c>
      <c r="B4920" t="s">
        <v>53</v>
      </c>
      <c r="C4920">
        <v>15</v>
      </c>
      <c r="D4920" t="s">
        <v>437</v>
      </c>
      <c r="E4920" s="217">
        <v>44986</v>
      </c>
      <c r="F4920">
        <v>0</v>
      </c>
      <c r="G4920" s="227" t="s">
        <v>86</v>
      </c>
    </row>
    <row r="4921" spans="1:7">
      <c r="A4921" s="216">
        <v>44986</v>
      </c>
      <c r="B4921" t="s">
        <v>53</v>
      </c>
      <c r="C4921">
        <v>15</v>
      </c>
      <c r="D4921" t="s">
        <v>437</v>
      </c>
      <c r="E4921" s="217">
        <v>44986</v>
      </c>
      <c r="F4921">
        <v>0</v>
      </c>
      <c r="G4921" s="227" t="s">
        <v>130</v>
      </c>
    </row>
    <row r="4922" spans="1:7">
      <c r="A4922" s="216">
        <v>44986</v>
      </c>
      <c r="B4922" t="s">
        <v>53</v>
      </c>
      <c r="C4922">
        <v>15</v>
      </c>
      <c r="D4922" t="s">
        <v>437</v>
      </c>
      <c r="E4922" s="217">
        <v>44986</v>
      </c>
      <c r="F4922">
        <v>0</v>
      </c>
      <c r="G4922" s="227" t="s">
        <v>126</v>
      </c>
    </row>
    <row r="4923" spans="1:7">
      <c r="A4923" s="216">
        <v>44986</v>
      </c>
      <c r="B4923" t="s">
        <v>53</v>
      </c>
      <c r="C4923">
        <v>15</v>
      </c>
      <c r="D4923" t="s">
        <v>437</v>
      </c>
      <c r="E4923" s="217">
        <v>44986</v>
      </c>
      <c r="F4923">
        <v>0</v>
      </c>
      <c r="G4923" s="227" t="s">
        <v>122</v>
      </c>
    </row>
    <row r="4924" spans="1:7">
      <c r="A4924" s="216">
        <v>44986</v>
      </c>
      <c r="B4924" t="s">
        <v>53</v>
      </c>
      <c r="C4924">
        <v>15</v>
      </c>
      <c r="D4924" t="s">
        <v>437</v>
      </c>
      <c r="E4924" s="217">
        <v>44986</v>
      </c>
      <c r="F4924">
        <v>0</v>
      </c>
      <c r="G4924" s="227" t="s">
        <v>91</v>
      </c>
    </row>
    <row r="4925" spans="1:7">
      <c r="A4925" s="216">
        <v>44986</v>
      </c>
      <c r="B4925" t="s">
        <v>53</v>
      </c>
      <c r="C4925">
        <v>15</v>
      </c>
      <c r="D4925" t="s">
        <v>437</v>
      </c>
      <c r="E4925" s="217">
        <v>44986</v>
      </c>
      <c r="F4925">
        <v>0</v>
      </c>
      <c r="G4925" s="227" t="s">
        <v>99</v>
      </c>
    </row>
    <row r="4926" spans="1:7">
      <c r="A4926" s="216">
        <v>44986</v>
      </c>
      <c r="B4926" t="s">
        <v>53</v>
      </c>
      <c r="C4926">
        <v>15</v>
      </c>
      <c r="D4926" t="s">
        <v>437</v>
      </c>
      <c r="E4926" s="217">
        <v>44986</v>
      </c>
      <c r="F4926">
        <v>0</v>
      </c>
      <c r="G4926" s="227" t="s">
        <v>95</v>
      </c>
    </row>
    <row r="4927" spans="1:7">
      <c r="A4927" s="216">
        <v>44986</v>
      </c>
      <c r="B4927" t="s">
        <v>53</v>
      </c>
      <c r="C4927">
        <v>15</v>
      </c>
      <c r="D4927" t="s">
        <v>437</v>
      </c>
      <c r="E4927" s="217">
        <v>44986</v>
      </c>
      <c r="F4927">
        <v>0</v>
      </c>
      <c r="G4927" s="227" t="s">
        <v>113</v>
      </c>
    </row>
    <row r="4928" spans="1:7">
      <c r="A4928" s="216">
        <v>44986</v>
      </c>
      <c r="B4928" t="s">
        <v>53</v>
      </c>
      <c r="C4928">
        <v>15</v>
      </c>
      <c r="D4928" t="s">
        <v>437</v>
      </c>
      <c r="E4928" s="217">
        <v>44986</v>
      </c>
      <c r="F4928">
        <v>0</v>
      </c>
      <c r="G4928" s="227" t="s">
        <v>434</v>
      </c>
    </row>
    <row r="4929" spans="1:7">
      <c r="A4929" s="216">
        <v>44986</v>
      </c>
      <c r="B4929" t="s">
        <v>53</v>
      </c>
      <c r="C4929">
        <v>9</v>
      </c>
      <c r="D4929" t="s">
        <v>450</v>
      </c>
      <c r="E4929" s="217">
        <v>44986</v>
      </c>
      <c r="F4929">
        <v>0</v>
      </c>
      <c r="G4929" s="227" t="s">
        <v>81</v>
      </c>
    </row>
    <row r="4930" spans="1:7">
      <c r="A4930" s="216">
        <v>44986</v>
      </c>
      <c r="B4930" t="s">
        <v>53</v>
      </c>
      <c r="C4930">
        <v>9</v>
      </c>
      <c r="D4930" t="s">
        <v>450</v>
      </c>
      <c r="E4930" s="217">
        <v>44986</v>
      </c>
      <c r="F4930">
        <v>0</v>
      </c>
      <c r="G4930" s="227" t="s">
        <v>117</v>
      </c>
    </row>
    <row r="4931" spans="1:7">
      <c r="A4931" s="216">
        <v>44986</v>
      </c>
      <c r="B4931" t="s">
        <v>53</v>
      </c>
      <c r="C4931">
        <v>9</v>
      </c>
      <c r="D4931" t="s">
        <v>450</v>
      </c>
      <c r="E4931" s="217">
        <v>44986</v>
      </c>
      <c r="F4931">
        <v>0</v>
      </c>
      <c r="G4931" s="227" t="s">
        <v>108</v>
      </c>
    </row>
    <row r="4932" spans="1:7">
      <c r="A4932" s="216">
        <v>44986</v>
      </c>
      <c r="B4932" t="s">
        <v>53</v>
      </c>
      <c r="C4932">
        <v>9</v>
      </c>
      <c r="D4932" t="s">
        <v>450</v>
      </c>
      <c r="E4932" s="217">
        <v>44986</v>
      </c>
      <c r="F4932">
        <v>0</v>
      </c>
      <c r="G4932" s="227" t="s">
        <v>103</v>
      </c>
    </row>
    <row r="4933" spans="1:7">
      <c r="A4933" s="216">
        <v>44986</v>
      </c>
      <c r="B4933" t="s">
        <v>53</v>
      </c>
      <c r="C4933">
        <v>9</v>
      </c>
      <c r="D4933" t="s">
        <v>450</v>
      </c>
      <c r="E4933" s="217">
        <v>44986</v>
      </c>
      <c r="F4933">
        <v>0</v>
      </c>
      <c r="G4933" s="227" t="s">
        <v>86</v>
      </c>
    </row>
    <row r="4934" spans="1:7">
      <c r="A4934" s="216">
        <v>44986</v>
      </c>
      <c r="B4934" t="s">
        <v>53</v>
      </c>
      <c r="C4934">
        <v>9</v>
      </c>
      <c r="D4934" t="s">
        <v>450</v>
      </c>
      <c r="E4934" s="217">
        <v>44986</v>
      </c>
      <c r="F4934">
        <v>0</v>
      </c>
      <c r="G4934" s="227" t="s">
        <v>130</v>
      </c>
    </row>
    <row r="4935" spans="1:7">
      <c r="A4935" s="216">
        <v>44986</v>
      </c>
      <c r="B4935" t="s">
        <v>53</v>
      </c>
      <c r="C4935">
        <v>9</v>
      </c>
      <c r="D4935" t="s">
        <v>450</v>
      </c>
      <c r="E4935" s="217">
        <v>44986</v>
      </c>
      <c r="F4935">
        <v>0</v>
      </c>
      <c r="G4935" s="227" t="s">
        <v>126</v>
      </c>
    </row>
    <row r="4936" spans="1:7">
      <c r="A4936" s="216">
        <v>44986</v>
      </c>
      <c r="B4936" t="s">
        <v>53</v>
      </c>
      <c r="C4936">
        <v>9</v>
      </c>
      <c r="D4936" t="s">
        <v>450</v>
      </c>
      <c r="E4936" s="217">
        <v>44986</v>
      </c>
      <c r="F4936">
        <v>0</v>
      </c>
      <c r="G4936" s="227" t="s">
        <v>122</v>
      </c>
    </row>
    <row r="4937" spans="1:7">
      <c r="A4937" s="216">
        <v>44986</v>
      </c>
      <c r="B4937" t="s">
        <v>53</v>
      </c>
      <c r="C4937">
        <v>9</v>
      </c>
      <c r="D4937" t="s">
        <v>450</v>
      </c>
      <c r="E4937" s="217">
        <v>44986</v>
      </c>
      <c r="F4937">
        <v>0</v>
      </c>
      <c r="G4937" s="227" t="s">
        <v>91</v>
      </c>
    </row>
    <row r="4938" spans="1:7">
      <c r="A4938" s="216">
        <v>44986</v>
      </c>
      <c r="B4938" t="s">
        <v>53</v>
      </c>
      <c r="C4938">
        <v>9</v>
      </c>
      <c r="D4938" t="s">
        <v>450</v>
      </c>
      <c r="E4938" s="217">
        <v>44986</v>
      </c>
      <c r="F4938">
        <v>0</v>
      </c>
      <c r="G4938" s="227" t="s">
        <v>99</v>
      </c>
    </row>
    <row r="4939" spans="1:7">
      <c r="A4939" s="216">
        <v>44986</v>
      </c>
      <c r="B4939" t="s">
        <v>53</v>
      </c>
      <c r="C4939">
        <v>9</v>
      </c>
      <c r="D4939" t="s">
        <v>450</v>
      </c>
      <c r="E4939" s="217">
        <v>44986</v>
      </c>
      <c r="F4939">
        <v>0</v>
      </c>
      <c r="G4939" s="227" t="s">
        <v>95</v>
      </c>
    </row>
    <row r="4940" spans="1:7">
      <c r="A4940" s="216">
        <v>44986</v>
      </c>
      <c r="B4940" t="s">
        <v>53</v>
      </c>
      <c r="C4940">
        <v>9</v>
      </c>
      <c r="D4940" t="s">
        <v>450</v>
      </c>
      <c r="E4940" s="217">
        <v>44986</v>
      </c>
      <c r="F4940">
        <v>0</v>
      </c>
      <c r="G4940" s="227" t="s">
        <v>113</v>
      </c>
    </row>
    <row r="4941" spans="1:7">
      <c r="A4941" s="216">
        <v>44986</v>
      </c>
      <c r="B4941" t="s">
        <v>53</v>
      </c>
      <c r="C4941">
        <v>9</v>
      </c>
      <c r="D4941" t="s">
        <v>450</v>
      </c>
      <c r="E4941" s="217">
        <v>44986</v>
      </c>
      <c r="F4941">
        <v>0</v>
      </c>
      <c r="G4941" s="227" t="s">
        <v>434</v>
      </c>
    </row>
    <row r="4942" spans="1:7">
      <c r="A4942" s="216">
        <v>44986</v>
      </c>
      <c r="B4942" t="s">
        <v>53</v>
      </c>
      <c r="C4942">
        <v>10</v>
      </c>
      <c r="D4942" t="s">
        <v>433</v>
      </c>
      <c r="E4942" s="217">
        <v>44986</v>
      </c>
      <c r="F4942">
        <v>22503.984840000001</v>
      </c>
      <c r="G4942" s="227" t="s">
        <v>81</v>
      </c>
    </row>
    <row r="4943" spans="1:7">
      <c r="A4943" s="216">
        <v>44986</v>
      </c>
      <c r="B4943" t="s">
        <v>53</v>
      </c>
      <c r="C4943">
        <v>10</v>
      </c>
      <c r="D4943" t="s">
        <v>433</v>
      </c>
      <c r="E4943" s="217">
        <v>44986</v>
      </c>
      <c r="F4943">
        <v>23128.663240000002</v>
      </c>
      <c r="G4943" s="227" t="s">
        <v>117</v>
      </c>
    </row>
    <row r="4944" spans="1:7">
      <c r="A4944" s="216">
        <v>44986</v>
      </c>
      <c r="B4944" t="s">
        <v>53</v>
      </c>
      <c r="C4944">
        <v>10</v>
      </c>
      <c r="D4944" t="s">
        <v>433</v>
      </c>
      <c r="E4944" s="217">
        <v>44986</v>
      </c>
      <c r="F4944">
        <v>23261.765810000001</v>
      </c>
      <c r="G4944" s="227" t="s">
        <v>108</v>
      </c>
    </row>
    <row r="4945" spans="1:7">
      <c r="A4945" s="216">
        <v>44986</v>
      </c>
      <c r="B4945" t="s">
        <v>53</v>
      </c>
      <c r="C4945">
        <v>10</v>
      </c>
      <c r="D4945" t="s">
        <v>433</v>
      </c>
      <c r="E4945" s="217">
        <v>44986</v>
      </c>
      <c r="F4945">
        <v>23290.870800000001</v>
      </c>
      <c r="G4945" s="227" t="s">
        <v>103</v>
      </c>
    </row>
    <row r="4946" spans="1:7">
      <c r="A4946" s="216">
        <v>44986</v>
      </c>
      <c r="B4946" t="s">
        <v>53</v>
      </c>
      <c r="C4946">
        <v>10</v>
      </c>
      <c r="D4946" t="s">
        <v>433</v>
      </c>
      <c r="E4946" s="217">
        <v>44986</v>
      </c>
      <c r="F4946">
        <v>25205.69325</v>
      </c>
      <c r="G4946" s="227" t="s">
        <v>86</v>
      </c>
    </row>
    <row r="4947" spans="1:7">
      <c r="A4947" s="216">
        <v>44986</v>
      </c>
      <c r="B4947" t="s">
        <v>53</v>
      </c>
      <c r="C4947">
        <v>10</v>
      </c>
      <c r="D4947" t="s">
        <v>433</v>
      </c>
      <c r="E4947" s="217">
        <v>44986</v>
      </c>
      <c r="F4947">
        <v>32060</v>
      </c>
      <c r="G4947" s="227" t="s">
        <v>130</v>
      </c>
    </row>
    <row r="4948" spans="1:7">
      <c r="A4948" s="216">
        <v>44986</v>
      </c>
      <c r="B4948" t="s">
        <v>53</v>
      </c>
      <c r="C4948">
        <v>10</v>
      </c>
      <c r="D4948" t="s">
        <v>433</v>
      </c>
      <c r="E4948" s="217">
        <v>44986</v>
      </c>
      <c r="F4948">
        <v>26430.53397</v>
      </c>
      <c r="G4948" s="227" t="s">
        <v>126</v>
      </c>
    </row>
    <row r="4949" spans="1:7">
      <c r="A4949" s="216">
        <v>44986</v>
      </c>
      <c r="B4949" t="s">
        <v>53</v>
      </c>
      <c r="C4949">
        <v>10</v>
      </c>
      <c r="D4949" t="s">
        <v>433</v>
      </c>
      <c r="E4949" s="217">
        <v>44986</v>
      </c>
      <c r="F4949">
        <v>25684.29578</v>
      </c>
      <c r="G4949" s="227" t="s">
        <v>122</v>
      </c>
    </row>
    <row r="4950" spans="1:7">
      <c r="A4950" s="216">
        <v>44986</v>
      </c>
      <c r="B4950" t="s">
        <v>53</v>
      </c>
      <c r="C4950">
        <v>10</v>
      </c>
      <c r="D4950" t="s">
        <v>433</v>
      </c>
      <c r="E4950" s="217">
        <v>44986</v>
      </c>
      <c r="F4950">
        <v>25585.445029999999</v>
      </c>
      <c r="G4950" s="227" t="s">
        <v>91</v>
      </c>
    </row>
    <row r="4951" spans="1:7">
      <c r="A4951" s="216">
        <v>44986</v>
      </c>
      <c r="B4951" t="s">
        <v>53</v>
      </c>
      <c r="C4951">
        <v>10</v>
      </c>
      <c r="D4951" t="s">
        <v>433</v>
      </c>
      <c r="E4951" s="217">
        <v>44986</v>
      </c>
      <c r="F4951">
        <v>25199.729039999998</v>
      </c>
      <c r="G4951" s="227" t="s">
        <v>99</v>
      </c>
    </row>
    <row r="4952" spans="1:7">
      <c r="A4952" s="216">
        <v>44986</v>
      </c>
      <c r="B4952" t="s">
        <v>53</v>
      </c>
      <c r="C4952">
        <v>10</v>
      </c>
      <c r="D4952" t="s">
        <v>433</v>
      </c>
      <c r="E4952" s="217">
        <v>44986</v>
      </c>
      <c r="F4952">
        <v>25630.09807</v>
      </c>
      <c r="G4952" s="227" t="s">
        <v>95</v>
      </c>
    </row>
    <row r="4953" spans="1:7">
      <c r="A4953" s="216">
        <v>44986</v>
      </c>
      <c r="B4953" t="s">
        <v>53</v>
      </c>
      <c r="C4953">
        <v>10</v>
      </c>
      <c r="D4953" t="s">
        <v>433</v>
      </c>
      <c r="E4953" s="217">
        <v>44986</v>
      </c>
      <c r="F4953">
        <v>44878.5</v>
      </c>
      <c r="G4953" s="227" t="s">
        <v>113</v>
      </c>
    </row>
    <row r="4954" spans="1:7">
      <c r="A4954" s="216">
        <v>44986</v>
      </c>
      <c r="B4954" t="s">
        <v>53</v>
      </c>
      <c r="C4954">
        <v>10</v>
      </c>
      <c r="D4954" t="s">
        <v>433</v>
      </c>
      <c r="E4954" s="217">
        <v>44986</v>
      </c>
      <c r="F4954">
        <v>322859.57983</v>
      </c>
      <c r="G4954" s="227" t="s">
        <v>434</v>
      </c>
    </row>
    <row r="4955" spans="1:7">
      <c r="A4955" s="216">
        <v>44986</v>
      </c>
      <c r="B4955" t="s">
        <v>53</v>
      </c>
      <c r="C4955">
        <v>12</v>
      </c>
      <c r="D4955" t="s">
        <v>454</v>
      </c>
      <c r="E4955" s="217">
        <v>44986</v>
      </c>
      <c r="F4955">
        <v>0</v>
      </c>
      <c r="G4955" s="227" t="s">
        <v>81</v>
      </c>
    </row>
    <row r="4956" spans="1:7">
      <c r="A4956" s="216">
        <v>44986</v>
      </c>
      <c r="B4956" t="s">
        <v>53</v>
      </c>
      <c r="C4956">
        <v>12</v>
      </c>
      <c r="D4956" t="s">
        <v>454</v>
      </c>
      <c r="E4956" s="217">
        <v>44986</v>
      </c>
      <c r="F4956">
        <v>0</v>
      </c>
      <c r="G4956" s="227" t="s">
        <v>117</v>
      </c>
    </row>
    <row r="4957" spans="1:7">
      <c r="A4957" s="216">
        <v>44986</v>
      </c>
      <c r="B4957" t="s">
        <v>53</v>
      </c>
      <c r="C4957">
        <v>12</v>
      </c>
      <c r="D4957" t="s">
        <v>454</v>
      </c>
      <c r="E4957" s="217">
        <v>44986</v>
      </c>
      <c r="F4957">
        <v>0</v>
      </c>
      <c r="G4957" s="227" t="s">
        <v>108</v>
      </c>
    </row>
    <row r="4958" spans="1:7">
      <c r="A4958" s="216">
        <v>44986</v>
      </c>
      <c r="B4958" t="s">
        <v>53</v>
      </c>
      <c r="C4958">
        <v>12</v>
      </c>
      <c r="D4958" t="s">
        <v>454</v>
      </c>
      <c r="E4958" s="217">
        <v>44986</v>
      </c>
      <c r="F4958">
        <v>0</v>
      </c>
      <c r="G4958" s="227" t="s">
        <v>103</v>
      </c>
    </row>
    <row r="4959" spans="1:7">
      <c r="A4959" s="216">
        <v>44986</v>
      </c>
      <c r="B4959" t="s">
        <v>53</v>
      </c>
      <c r="C4959">
        <v>12</v>
      </c>
      <c r="D4959" t="s">
        <v>454</v>
      </c>
      <c r="E4959" s="217">
        <v>44986</v>
      </c>
      <c r="F4959">
        <v>0</v>
      </c>
      <c r="G4959" s="227" t="s">
        <v>86</v>
      </c>
    </row>
    <row r="4960" spans="1:7">
      <c r="A4960" s="216">
        <v>44986</v>
      </c>
      <c r="B4960" t="s">
        <v>53</v>
      </c>
      <c r="C4960">
        <v>12</v>
      </c>
      <c r="D4960" t="s">
        <v>454</v>
      </c>
      <c r="E4960" s="217">
        <v>44986</v>
      </c>
      <c r="F4960">
        <v>0</v>
      </c>
      <c r="G4960" s="227" t="s">
        <v>130</v>
      </c>
    </row>
    <row r="4961" spans="1:7">
      <c r="A4961" s="216">
        <v>44986</v>
      </c>
      <c r="B4961" t="s">
        <v>53</v>
      </c>
      <c r="C4961">
        <v>12</v>
      </c>
      <c r="D4961" t="s">
        <v>454</v>
      </c>
      <c r="E4961" s="217">
        <v>44986</v>
      </c>
      <c r="F4961">
        <v>0</v>
      </c>
      <c r="G4961" s="227" t="s">
        <v>126</v>
      </c>
    </row>
    <row r="4962" spans="1:7">
      <c r="A4962" s="216">
        <v>44986</v>
      </c>
      <c r="B4962" t="s">
        <v>53</v>
      </c>
      <c r="C4962">
        <v>12</v>
      </c>
      <c r="D4962" t="s">
        <v>454</v>
      </c>
      <c r="E4962" s="217">
        <v>44986</v>
      </c>
      <c r="F4962">
        <v>0</v>
      </c>
      <c r="G4962" s="227" t="s">
        <v>122</v>
      </c>
    </row>
    <row r="4963" spans="1:7">
      <c r="A4963" s="216">
        <v>44986</v>
      </c>
      <c r="B4963" t="s">
        <v>53</v>
      </c>
      <c r="C4963">
        <v>12</v>
      </c>
      <c r="D4963" t="s">
        <v>454</v>
      </c>
      <c r="E4963" s="217">
        <v>44986</v>
      </c>
      <c r="F4963">
        <v>0</v>
      </c>
      <c r="G4963" s="227" t="s">
        <v>91</v>
      </c>
    </row>
    <row r="4964" spans="1:7">
      <c r="A4964" s="216">
        <v>44986</v>
      </c>
      <c r="B4964" t="s">
        <v>53</v>
      </c>
      <c r="C4964">
        <v>12</v>
      </c>
      <c r="D4964" t="s">
        <v>454</v>
      </c>
      <c r="E4964" s="217">
        <v>44986</v>
      </c>
      <c r="F4964">
        <v>0</v>
      </c>
      <c r="G4964" s="227" t="s">
        <v>99</v>
      </c>
    </row>
    <row r="4965" spans="1:7">
      <c r="A4965" s="216">
        <v>44986</v>
      </c>
      <c r="B4965" t="s">
        <v>53</v>
      </c>
      <c r="C4965">
        <v>12</v>
      </c>
      <c r="D4965" t="s">
        <v>454</v>
      </c>
      <c r="E4965" s="217">
        <v>44986</v>
      </c>
      <c r="F4965">
        <v>0</v>
      </c>
      <c r="G4965" s="227" t="s">
        <v>95</v>
      </c>
    </row>
    <row r="4966" spans="1:7">
      <c r="A4966" s="216">
        <v>44986</v>
      </c>
      <c r="B4966" t="s">
        <v>53</v>
      </c>
      <c r="C4966">
        <v>12</v>
      </c>
      <c r="D4966" t="s">
        <v>454</v>
      </c>
      <c r="E4966" s="217">
        <v>44986</v>
      </c>
      <c r="F4966">
        <v>0</v>
      </c>
      <c r="G4966" s="227" t="s">
        <v>113</v>
      </c>
    </row>
    <row r="4967" spans="1:7">
      <c r="A4967" s="216">
        <v>44986</v>
      </c>
      <c r="B4967" t="s">
        <v>53</v>
      </c>
      <c r="C4967">
        <v>12</v>
      </c>
      <c r="D4967" t="s">
        <v>454</v>
      </c>
      <c r="E4967" s="217">
        <v>44986</v>
      </c>
      <c r="F4967">
        <v>0</v>
      </c>
      <c r="G4967" s="227" t="s">
        <v>434</v>
      </c>
    </row>
    <row r="4968" spans="1:7">
      <c r="A4968" s="216">
        <v>44986</v>
      </c>
      <c r="B4968" t="s">
        <v>52</v>
      </c>
      <c r="C4968">
        <v>7</v>
      </c>
      <c r="D4968" t="s">
        <v>442</v>
      </c>
      <c r="E4968" s="217">
        <v>44986</v>
      </c>
      <c r="F4968">
        <v>10389</v>
      </c>
      <c r="G4968" s="227" t="s">
        <v>81</v>
      </c>
    </row>
    <row r="4969" spans="1:7">
      <c r="A4969" s="216">
        <v>44986</v>
      </c>
      <c r="B4969" t="s">
        <v>52</v>
      </c>
      <c r="C4969">
        <v>7</v>
      </c>
      <c r="D4969" t="s">
        <v>442</v>
      </c>
      <c r="E4969" s="217">
        <v>44986</v>
      </c>
      <c r="F4969">
        <v>10269</v>
      </c>
      <c r="G4969" s="227" t="s">
        <v>117</v>
      </c>
    </row>
    <row r="4970" spans="1:7">
      <c r="A4970" s="216">
        <v>44986</v>
      </c>
      <c r="B4970" t="s">
        <v>52</v>
      </c>
      <c r="C4970">
        <v>7</v>
      </c>
      <c r="D4970" t="s">
        <v>442</v>
      </c>
      <c r="E4970" s="217">
        <v>44986</v>
      </c>
      <c r="F4970">
        <v>10619</v>
      </c>
      <c r="G4970" s="227" t="s">
        <v>108</v>
      </c>
    </row>
    <row r="4971" spans="1:7">
      <c r="A4971" s="216">
        <v>44986</v>
      </c>
      <c r="B4971" t="s">
        <v>52</v>
      </c>
      <c r="C4971">
        <v>7</v>
      </c>
      <c r="D4971" t="s">
        <v>442</v>
      </c>
      <c r="E4971" s="217">
        <v>44986</v>
      </c>
      <c r="F4971">
        <v>10562</v>
      </c>
      <c r="G4971" s="227" t="s">
        <v>103</v>
      </c>
    </row>
    <row r="4972" spans="1:7">
      <c r="A4972" s="216">
        <v>44986</v>
      </c>
      <c r="B4972" t="s">
        <v>52</v>
      </c>
      <c r="C4972">
        <v>7</v>
      </c>
      <c r="D4972" t="s">
        <v>442</v>
      </c>
      <c r="E4972" s="217">
        <v>44986</v>
      </c>
      <c r="F4972">
        <v>11885</v>
      </c>
      <c r="G4972" s="227" t="s">
        <v>86</v>
      </c>
    </row>
    <row r="4973" spans="1:7">
      <c r="A4973" s="216">
        <v>44986</v>
      </c>
      <c r="B4973" t="s">
        <v>52</v>
      </c>
      <c r="C4973">
        <v>7</v>
      </c>
      <c r="D4973" t="s">
        <v>442</v>
      </c>
      <c r="E4973" s="217">
        <v>44986</v>
      </c>
      <c r="F4973">
        <v>12028</v>
      </c>
      <c r="G4973" s="227" t="s">
        <v>130</v>
      </c>
    </row>
    <row r="4974" spans="1:7">
      <c r="A4974" s="216">
        <v>44986</v>
      </c>
      <c r="B4974" t="s">
        <v>52</v>
      </c>
      <c r="C4974">
        <v>7</v>
      </c>
      <c r="D4974" t="s">
        <v>442</v>
      </c>
      <c r="E4974" s="217">
        <v>44986</v>
      </c>
      <c r="F4974">
        <v>13306</v>
      </c>
      <c r="G4974" s="227" t="s">
        <v>126</v>
      </c>
    </row>
    <row r="4975" spans="1:7">
      <c r="A4975" s="216">
        <v>44986</v>
      </c>
      <c r="B4975" t="s">
        <v>52</v>
      </c>
      <c r="C4975">
        <v>7</v>
      </c>
      <c r="D4975" t="s">
        <v>442</v>
      </c>
      <c r="E4975" s="217">
        <v>44986</v>
      </c>
      <c r="F4975">
        <v>12643</v>
      </c>
      <c r="G4975" s="227" t="s">
        <v>122</v>
      </c>
    </row>
    <row r="4976" spans="1:7">
      <c r="A4976" s="216">
        <v>44986</v>
      </c>
      <c r="B4976" t="s">
        <v>52</v>
      </c>
      <c r="C4976">
        <v>7</v>
      </c>
      <c r="D4976" t="s">
        <v>442</v>
      </c>
      <c r="E4976" s="217">
        <v>44986</v>
      </c>
      <c r="F4976">
        <v>12622</v>
      </c>
      <c r="G4976" s="227" t="s">
        <v>91</v>
      </c>
    </row>
    <row r="4977" spans="1:7">
      <c r="A4977" s="216">
        <v>44986</v>
      </c>
      <c r="B4977" t="s">
        <v>52</v>
      </c>
      <c r="C4977">
        <v>7</v>
      </c>
      <c r="D4977" t="s">
        <v>442</v>
      </c>
      <c r="E4977" s="217">
        <v>44986</v>
      </c>
      <c r="F4977">
        <v>12285</v>
      </c>
      <c r="G4977" s="227" t="s">
        <v>99</v>
      </c>
    </row>
    <row r="4978" spans="1:7">
      <c r="A4978" s="216">
        <v>44986</v>
      </c>
      <c r="B4978" t="s">
        <v>52</v>
      </c>
      <c r="C4978">
        <v>7</v>
      </c>
      <c r="D4978" t="s">
        <v>442</v>
      </c>
      <c r="E4978" s="217">
        <v>44986</v>
      </c>
      <c r="F4978">
        <v>15351</v>
      </c>
      <c r="G4978" s="227" t="s">
        <v>95</v>
      </c>
    </row>
    <row r="4979" spans="1:7">
      <c r="A4979" s="216">
        <v>44986</v>
      </c>
      <c r="B4979" t="s">
        <v>52</v>
      </c>
      <c r="C4979">
        <v>7</v>
      </c>
      <c r="D4979" t="s">
        <v>442</v>
      </c>
      <c r="E4979" s="217">
        <v>44986</v>
      </c>
      <c r="F4979">
        <v>19185</v>
      </c>
      <c r="G4979" s="227" t="s">
        <v>113</v>
      </c>
    </row>
    <row r="4980" spans="1:7">
      <c r="A4980" s="216">
        <v>44986</v>
      </c>
      <c r="B4980" t="s">
        <v>52</v>
      </c>
      <c r="C4980">
        <v>7</v>
      </c>
      <c r="D4980" t="s">
        <v>442</v>
      </c>
      <c r="E4980" s="217">
        <v>44986</v>
      </c>
      <c r="F4980">
        <v>151144</v>
      </c>
      <c r="G4980" s="227" t="s">
        <v>434</v>
      </c>
    </row>
    <row r="4981" spans="1:7">
      <c r="A4981" s="216">
        <v>44986</v>
      </c>
      <c r="B4981" t="s">
        <v>52</v>
      </c>
      <c r="C4981">
        <v>8</v>
      </c>
      <c r="D4981" t="s">
        <v>451</v>
      </c>
      <c r="E4981" s="217">
        <v>44986</v>
      </c>
      <c r="F4981">
        <v>0</v>
      </c>
      <c r="G4981" s="227" t="s">
        <v>81</v>
      </c>
    </row>
    <row r="4982" spans="1:7">
      <c r="A4982" s="216">
        <v>44986</v>
      </c>
      <c r="B4982" t="s">
        <v>52</v>
      </c>
      <c r="C4982">
        <v>8</v>
      </c>
      <c r="D4982" t="s">
        <v>451</v>
      </c>
      <c r="E4982" s="217">
        <v>44986</v>
      </c>
      <c r="F4982">
        <v>0</v>
      </c>
      <c r="G4982" s="227" t="s">
        <v>117</v>
      </c>
    </row>
    <row r="4983" spans="1:7">
      <c r="A4983" s="216">
        <v>44986</v>
      </c>
      <c r="B4983" t="s">
        <v>52</v>
      </c>
      <c r="C4983">
        <v>8</v>
      </c>
      <c r="D4983" t="s">
        <v>451</v>
      </c>
      <c r="E4983" s="217">
        <v>44986</v>
      </c>
      <c r="F4983">
        <v>0</v>
      </c>
      <c r="G4983" s="227" t="s">
        <v>108</v>
      </c>
    </row>
    <row r="4984" spans="1:7">
      <c r="A4984" s="216">
        <v>44986</v>
      </c>
      <c r="B4984" t="s">
        <v>52</v>
      </c>
      <c r="C4984">
        <v>8</v>
      </c>
      <c r="D4984" t="s">
        <v>451</v>
      </c>
      <c r="E4984" s="217">
        <v>44986</v>
      </c>
      <c r="F4984">
        <v>0</v>
      </c>
      <c r="G4984" s="227" t="s">
        <v>103</v>
      </c>
    </row>
    <row r="4985" spans="1:7">
      <c r="A4985" s="216">
        <v>44986</v>
      </c>
      <c r="B4985" t="s">
        <v>52</v>
      </c>
      <c r="C4985">
        <v>8</v>
      </c>
      <c r="D4985" t="s">
        <v>451</v>
      </c>
      <c r="E4985" s="217">
        <v>44986</v>
      </c>
      <c r="F4985">
        <v>0</v>
      </c>
      <c r="G4985" s="227" t="s">
        <v>86</v>
      </c>
    </row>
    <row r="4986" spans="1:7">
      <c r="A4986" s="216">
        <v>44986</v>
      </c>
      <c r="B4986" t="s">
        <v>52</v>
      </c>
      <c r="C4986">
        <v>8</v>
      </c>
      <c r="D4986" t="s">
        <v>451</v>
      </c>
      <c r="E4986" s="217">
        <v>44986</v>
      </c>
      <c r="F4986">
        <v>0</v>
      </c>
      <c r="G4986" s="227" t="s">
        <v>130</v>
      </c>
    </row>
    <row r="4987" spans="1:7">
      <c r="A4987" s="216">
        <v>44986</v>
      </c>
      <c r="B4987" t="s">
        <v>52</v>
      </c>
      <c r="C4987">
        <v>8</v>
      </c>
      <c r="D4987" t="s">
        <v>451</v>
      </c>
      <c r="E4987" s="217">
        <v>44986</v>
      </c>
      <c r="F4987">
        <v>0</v>
      </c>
      <c r="G4987" s="227" t="s">
        <v>126</v>
      </c>
    </row>
    <row r="4988" spans="1:7">
      <c r="A4988" s="216">
        <v>44986</v>
      </c>
      <c r="B4988" t="s">
        <v>52</v>
      </c>
      <c r="C4988">
        <v>8</v>
      </c>
      <c r="D4988" t="s">
        <v>451</v>
      </c>
      <c r="E4988" s="217">
        <v>44986</v>
      </c>
      <c r="F4988">
        <v>0</v>
      </c>
      <c r="G4988" s="227" t="s">
        <v>122</v>
      </c>
    </row>
    <row r="4989" spans="1:7">
      <c r="A4989" s="216">
        <v>44986</v>
      </c>
      <c r="B4989" t="s">
        <v>52</v>
      </c>
      <c r="C4989">
        <v>8</v>
      </c>
      <c r="D4989" t="s">
        <v>451</v>
      </c>
      <c r="E4989" s="217">
        <v>44986</v>
      </c>
      <c r="F4989">
        <v>0</v>
      </c>
      <c r="G4989" s="227" t="s">
        <v>91</v>
      </c>
    </row>
    <row r="4990" spans="1:7">
      <c r="A4990" s="216">
        <v>44986</v>
      </c>
      <c r="B4990" t="s">
        <v>52</v>
      </c>
      <c r="C4990">
        <v>8</v>
      </c>
      <c r="D4990" t="s">
        <v>451</v>
      </c>
      <c r="E4990" s="217">
        <v>44986</v>
      </c>
      <c r="F4990">
        <v>0</v>
      </c>
      <c r="G4990" s="227" t="s">
        <v>99</v>
      </c>
    </row>
    <row r="4991" spans="1:7">
      <c r="A4991" s="216">
        <v>44986</v>
      </c>
      <c r="B4991" t="s">
        <v>52</v>
      </c>
      <c r="C4991">
        <v>8</v>
      </c>
      <c r="D4991" t="s">
        <v>451</v>
      </c>
      <c r="E4991" s="217">
        <v>44986</v>
      </c>
      <c r="F4991">
        <v>0</v>
      </c>
      <c r="G4991" s="227" t="s">
        <v>95</v>
      </c>
    </row>
    <row r="4992" spans="1:7">
      <c r="A4992" s="216">
        <v>44986</v>
      </c>
      <c r="B4992" t="s">
        <v>52</v>
      </c>
      <c r="C4992">
        <v>8</v>
      </c>
      <c r="D4992" t="s">
        <v>451</v>
      </c>
      <c r="E4992" s="217">
        <v>44986</v>
      </c>
      <c r="F4992">
        <v>0</v>
      </c>
      <c r="G4992" s="227" t="s">
        <v>113</v>
      </c>
    </row>
    <row r="4993" spans="1:7">
      <c r="A4993" s="216">
        <v>44986</v>
      </c>
      <c r="B4993" t="s">
        <v>52</v>
      </c>
      <c r="C4993">
        <v>8</v>
      </c>
      <c r="D4993" t="s">
        <v>451</v>
      </c>
      <c r="E4993" s="217">
        <v>44986</v>
      </c>
      <c r="F4993">
        <v>0</v>
      </c>
      <c r="G4993" s="227" t="s">
        <v>434</v>
      </c>
    </row>
    <row r="4994" spans="1:7">
      <c r="A4994" s="216">
        <v>44986</v>
      </c>
      <c r="B4994" t="s">
        <v>52</v>
      </c>
      <c r="C4994">
        <v>9</v>
      </c>
      <c r="D4994" t="s">
        <v>450</v>
      </c>
      <c r="E4994" s="217">
        <v>44986</v>
      </c>
      <c r="F4994">
        <v>0</v>
      </c>
      <c r="G4994" s="227" t="s">
        <v>81</v>
      </c>
    </row>
    <row r="4995" spans="1:7">
      <c r="A4995" s="216">
        <v>44986</v>
      </c>
      <c r="B4995" t="s">
        <v>52</v>
      </c>
      <c r="C4995">
        <v>9</v>
      </c>
      <c r="D4995" t="s">
        <v>450</v>
      </c>
      <c r="E4995" s="217">
        <v>44986</v>
      </c>
      <c r="F4995">
        <v>0</v>
      </c>
      <c r="G4995" s="227" t="s">
        <v>117</v>
      </c>
    </row>
    <row r="4996" spans="1:7">
      <c r="A4996" s="216">
        <v>44986</v>
      </c>
      <c r="B4996" t="s">
        <v>52</v>
      </c>
      <c r="C4996">
        <v>9</v>
      </c>
      <c r="D4996" t="s">
        <v>450</v>
      </c>
      <c r="E4996" s="217">
        <v>44986</v>
      </c>
      <c r="F4996">
        <v>0</v>
      </c>
      <c r="G4996" s="227" t="s">
        <v>108</v>
      </c>
    </row>
    <row r="4997" spans="1:7">
      <c r="A4997" s="216">
        <v>44986</v>
      </c>
      <c r="B4997" t="s">
        <v>52</v>
      </c>
      <c r="C4997">
        <v>9</v>
      </c>
      <c r="D4997" t="s">
        <v>450</v>
      </c>
      <c r="E4997" s="217">
        <v>44986</v>
      </c>
      <c r="F4997">
        <v>0</v>
      </c>
      <c r="G4997" s="227" t="s">
        <v>103</v>
      </c>
    </row>
    <row r="4998" spans="1:7">
      <c r="A4998" s="216">
        <v>44986</v>
      </c>
      <c r="B4998" t="s">
        <v>52</v>
      </c>
      <c r="C4998">
        <v>9</v>
      </c>
      <c r="D4998" t="s">
        <v>450</v>
      </c>
      <c r="E4998" s="217">
        <v>44986</v>
      </c>
      <c r="F4998">
        <v>0</v>
      </c>
      <c r="G4998" s="227" t="s">
        <v>86</v>
      </c>
    </row>
    <row r="4999" spans="1:7">
      <c r="A4999" s="216">
        <v>44986</v>
      </c>
      <c r="B4999" t="s">
        <v>52</v>
      </c>
      <c r="C4999">
        <v>9</v>
      </c>
      <c r="D4999" t="s">
        <v>450</v>
      </c>
      <c r="E4999" s="217">
        <v>44986</v>
      </c>
      <c r="F4999">
        <v>0</v>
      </c>
      <c r="G4999" s="227" t="s">
        <v>130</v>
      </c>
    </row>
    <row r="5000" spans="1:7">
      <c r="A5000" s="216">
        <v>44986</v>
      </c>
      <c r="B5000" t="s">
        <v>52</v>
      </c>
      <c r="C5000">
        <v>9</v>
      </c>
      <c r="D5000" t="s">
        <v>450</v>
      </c>
      <c r="E5000" s="217">
        <v>44986</v>
      </c>
      <c r="F5000">
        <v>0</v>
      </c>
      <c r="G5000" s="227" t="s">
        <v>126</v>
      </c>
    </row>
    <row r="5001" spans="1:7">
      <c r="A5001" s="216">
        <v>44986</v>
      </c>
      <c r="B5001" t="s">
        <v>52</v>
      </c>
      <c r="C5001">
        <v>9</v>
      </c>
      <c r="D5001" t="s">
        <v>450</v>
      </c>
      <c r="E5001" s="217">
        <v>44986</v>
      </c>
      <c r="F5001">
        <v>0</v>
      </c>
      <c r="G5001" s="227" t="s">
        <v>122</v>
      </c>
    </row>
    <row r="5002" spans="1:7">
      <c r="A5002" s="216">
        <v>44986</v>
      </c>
      <c r="B5002" t="s">
        <v>52</v>
      </c>
      <c r="C5002">
        <v>9</v>
      </c>
      <c r="D5002" t="s">
        <v>450</v>
      </c>
      <c r="E5002" s="217">
        <v>44986</v>
      </c>
      <c r="F5002">
        <v>0</v>
      </c>
      <c r="G5002" s="227" t="s">
        <v>91</v>
      </c>
    </row>
    <row r="5003" spans="1:7">
      <c r="A5003" s="216">
        <v>44986</v>
      </c>
      <c r="B5003" t="s">
        <v>52</v>
      </c>
      <c r="C5003">
        <v>9</v>
      </c>
      <c r="D5003" t="s">
        <v>450</v>
      </c>
      <c r="E5003" s="217">
        <v>44986</v>
      </c>
      <c r="F5003">
        <v>0</v>
      </c>
      <c r="G5003" s="227" t="s">
        <v>99</v>
      </c>
    </row>
    <row r="5004" spans="1:7">
      <c r="A5004" s="216">
        <v>44986</v>
      </c>
      <c r="B5004" t="s">
        <v>52</v>
      </c>
      <c r="C5004">
        <v>9</v>
      </c>
      <c r="D5004" t="s">
        <v>450</v>
      </c>
      <c r="E5004" s="217">
        <v>44986</v>
      </c>
      <c r="F5004">
        <v>0</v>
      </c>
      <c r="G5004" s="227" t="s">
        <v>95</v>
      </c>
    </row>
    <row r="5005" spans="1:7">
      <c r="A5005" s="216">
        <v>44986</v>
      </c>
      <c r="B5005" t="s">
        <v>52</v>
      </c>
      <c r="C5005">
        <v>9</v>
      </c>
      <c r="D5005" t="s">
        <v>450</v>
      </c>
      <c r="E5005" s="217">
        <v>44986</v>
      </c>
      <c r="F5005">
        <v>0</v>
      </c>
      <c r="G5005" s="227" t="s">
        <v>113</v>
      </c>
    </row>
    <row r="5006" spans="1:7">
      <c r="A5006" s="216">
        <v>44986</v>
      </c>
      <c r="B5006" t="s">
        <v>52</v>
      </c>
      <c r="C5006">
        <v>9</v>
      </c>
      <c r="D5006" t="s">
        <v>450</v>
      </c>
      <c r="E5006" s="217">
        <v>44986</v>
      </c>
      <c r="F5006">
        <v>0</v>
      </c>
      <c r="G5006" s="227" t="s">
        <v>434</v>
      </c>
    </row>
    <row r="5007" spans="1:7">
      <c r="A5007" s="216">
        <v>44986</v>
      </c>
      <c r="B5007" t="s">
        <v>52</v>
      </c>
      <c r="C5007">
        <v>10</v>
      </c>
      <c r="D5007" t="s">
        <v>433</v>
      </c>
      <c r="E5007" s="217">
        <v>44986</v>
      </c>
      <c r="F5007">
        <v>3897</v>
      </c>
      <c r="G5007" s="227" t="s">
        <v>81</v>
      </c>
    </row>
    <row r="5008" spans="1:7">
      <c r="A5008" s="216">
        <v>44986</v>
      </c>
      <c r="B5008" t="s">
        <v>52</v>
      </c>
      <c r="C5008">
        <v>10</v>
      </c>
      <c r="D5008" t="s">
        <v>433</v>
      </c>
      <c r="E5008" s="217">
        <v>44986</v>
      </c>
      <c r="F5008">
        <v>4176</v>
      </c>
      <c r="G5008" s="227" t="s">
        <v>117</v>
      </c>
    </row>
    <row r="5009" spans="1:7">
      <c r="A5009" s="216">
        <v>44986</v>
      </c>
      <c r="B5009" t="s">
        <v>52</v>
      </c>
      <c r="C5009">
        <v>10</v>
      </c>
      <c r="D5009" t="s">
        <v>433</v>
      </c>
      <c r="E5009" s="217">
        <v>44986</v>
      </c>
      <c r="F5009">
        <v>3583</v>
      </c>
      <c r="G5009" s="227" t="s">
        <v>108</v>
      </c>
    </row>
    <row r="5010" spans="1:7">
      <c r="A5010" s="216">
        <v>44986</v>
      </c>
      <c r="B5010" t="s">
        <v>52</v>
      </c>
      <c r="C5010">
        <v>10</v>
      </c>
      <c r="D5010" t="s">
        <v>433</v>
      </c>
      <c r="E5010" s="217">
        <v>44986</v>
      </c>
      <c r="F5010">
        <v>3921</v>
      </c>
      <c r="G5010" s="227" t="s">
        <v>103</v>
      </c>
    </row>
    <row r="5011" spans="1:7">
      <c r="A5011" s="216">
        <v>44986</v>
      </c>
      <c r="B5011" t="s">
        <v>52</v>
      </c>
      <c r="C5011">
        <v>10</v>
      </c>
      <c r="D5011" t="s">
        <v>433</v>
      </c>
      <c r="E5011" s="217">
        <v>44986</v>
      </c>
      <c r="F5011">
        <v>3939</v>
      </c>
      <c r="G5011" s="227" t="s">
        <v>86</v>
      </c>
    </row>
    <row r="5012" spans="1:7">
      <c r="A5012" s="216">
        <v>44986</v>
      </c>
      <c r="B5012" t="s">
        <v>52</v>
      </c>
      <c r="C5012">
        <v>10</v>
      </c>
      <c r="D5012" t="s">
        <v>433</v>
      </c>
      <c r="E5012" s="217">
        <v>44986</v>
      </c>
      <c r="F5012">
        <v>4960</v>
      </c>
      <c r="G5012" s="227" t="s">
        <v>130</v>
      </c>
    </row>
    <row r="5013" spans="1:7">
      <c r="A5013" s="216">
        <v>44986</v>
      </c>
      <c r="B5013" t="s">
        <v>52</v>
      </c>
      <c r="C5013">
        <v>10</v>
      </c>
      <c r="D5013" t="s">
        <v>433</v>
      </c>
      <c r="E5013" s="217">
        <v>44986</v>
      </c>
      <c r="F5013">
        <v>4208</v>
      </c>
      <c r="G5013" s="227" t="s">
        <v>126</v>
      </c>
    </row>
    <row r="5014" spans="1:7">
      <c r="A5014" s="216">
        <v>44986</v>
      </c>
      <c r="B5014" t="s">
        <v>52</v>
      </c>
      <c r="C5014">
        <v>10</v>
      </c>
      <c r="D5014" t="s">
        <v>433</v>
      </c>
      <c r="E5014" s="217">
        <v>44986</v>
      </c>
      <c r="F5014">
        <v>4354</v>
      </c>
      <c r="G5014" s="227" t="s">
        <v>122</v>
      </c>
    </row>
    <row r="5015" spans="1:7">
      <c r="A5015" s="216">
        <v>44986</v>
      </c>
      <c r="B5015" t="s">
        <v>52</v>
      </c>
      <c r="C5015">
        <v>10</v>
      </c>
      <c r="D5015" t="s">
        <v>433</v>
      </c>
      <c r="E5015" s="217">
        <v>44986</v>
      </c>
      <c r="F5015">
        <v>4508</v>
      </c>
      <c r="G5015" s="227" t="s">
        <v>91</v>
      </c>
    </row>
    <row r="5016" spans="1:7">
      <c r="A5016" s="216">
        <v>44986</v>
      </c>
      <c r="B5016" t="s">
        <v>52</v>
      </c>
      <c r="C5016">
        <v>10</v>
      </c>
      <c r="D5016" t="s">
        <v>433</v>
      </c>
      <c r="E5016" s="217">
        <v>44986</v>
      </c>
      <c r="F5016">
        <v>4516</v>
      </c>
      <c r="G5016" s="227" t="s">
        <v>99</v>
      </c>
    </row>
    <row r="5017" spans="1:7">
      <c r="A5017" s="216">
        <v>44986</v>
      </c>
      <c r="B5017" t="s">
        <v>52</v>
      </c>
      <c r="C5017">
        <v>10</v>
      </c>
      <c r="D5017" t="s">
        <v>433</v>
      </c>
      <c r="E5017" s="217">
        <v>44986</v>
      </c>
      <c r="F5017">
        <v>4567</v>
      </c>
      <c r="G5017" s="227" t="s">
        <v>95</v>
      </c>
    </row>
    <row r="5018" spans="1:7">
      <c r="A5018" s="216">
        <v>44986</v>
      </c>
      <c r="B5018" t="s">
        <v>52</v>
      </c>
      <c r="C5018">
        <v>10</v>
      </c>
      <c r="D5018" t="s">
        <v>433</v>
      </c>
      <c r="E5018" s="217">
        <v>44986</v>
      </c>
      <c r="F5018">
        <v>8219</v>
      </c>
      <c r="G5018" s="227" t="s">
        <v>113</v>
      </c>
    </row>
    <row r="5019" spans="1:7">
      <c r="A5019" s="216">
        <v>44986</v>
      </c>
      <c r="B5019" t="s">
        <v>52</v>
      </c>
      <c r="C5019">
        <v>10</v>
      </c>
      <c r="D5019" t="s">
        <v>433</v>
      </c>
      <c r="E5019" s="217">
        <v>44986</v>
      </c>
      <c r="F5019">
        <v>54848</v>
      </c>
      <c r="G5019" s="227" t="s">
        <v>434</v>
      </c>
    </row>
    <row r="5020" spans="1:7">
      <c r="A5020" s="216">
        <v>44986</v>
      </c>
      <c r="B5020" t="s">
        <v>52</v>
      </c>
      <c r="C5020">
        <v>11</v>
      </c>
      <c r="D5020" t="s">
        <v>445</v>
      </c>
      <c r="E5020" s="217">
        <v>44986</v>
      </c>
      <c r="F5020">
        <v>5687</v>
      </c>
      <c r="G5020" s="227" t="s">
        <v>81</v>
      </c>
    </row>
    <row r="5021" spans="1:7">
      <c r="A5021" s="216">
        <v>44986</v>
      </c>
      <c r="B5021" t="s">
        <v>52</v>
      </c>
      <c r="C5021">
        <v>11</v>
      </c>
      <c r="D5021" t="s">
        <v>445</v>
      </c>
      <c r="E5021" s="217">
        <v>44986</v>
      </c>
      <c r="F5021">
        <v>5253</v>
      </c>
      <c r="G5021" s="227" t="s">
        <v>117</v>
      </c>
    </row>
    <row r="5022" spans="1:7">
      <c r="A5022" s="216">
        <v>44986</v>
      </c>
      <c r="B5022" t="s">
        <v>52</v>
      </c>
      <c r="C5022">
        <v>11</v>
      </c>
      <c r="D5022" t="s">
        <v>445</v>
      </c>
      <c r="E5022" s="217">
        <v>44986</v>
      </c>
      <c r="F5022">
        <v>6326</v>
      </c>
      <c r="G5022" s="227" t="s">
        <v>108</v>
      </c>
    </row>
    <row r="5023" spans="1:7">
      <c r="A5023" s="216">
        <v>44986</v>
      </c>
      <c r="B5023" t="s">
        <v>52</v>
      </c>
      <c r="C5023">
        <v>11</v>
      </c>
      <c r="D5023" t="s">
        <v>445</v>
      </c>
      <c r="E5023" s="217">
        <v>44986</v>
      </c>
      <c r="F5023">
        <v>5369</v>
      </c>
      <c r="G5023" s="227" t="s">
        <v>103</v>
      </c>
    </row>
    <row r="5024" spans="1:7">
      <c r="A5024" s="216">
        <v>44986</v>
      </c>
      <c r="B5024" t="s">
        <v>52</v>
      </c>
      <c r="C5024">
        <v>11</v>
      </c>
      <c r="D5024" t="s">
        <v>445</v>
      </c>
      <c r="E5024" s="217">
        <v>44986</v>
      </c>
      <c r="F5024">
        <v>7004</v>
      </c>
      <c r="G5024" s="227" t="s">
        <v>86</v>
      </c>
    </row>
    <row r="5025" spans="1:7">
      <c r="A5025" s="216">
        <v>44986</v>
      </c>
      <c r="B5025" t="s">
        <v>52</v>
      </c>
      <c r="C5025">
        <v>11</v>
      </c>
      <c r="D5025" t="s">
        <v>445</v>
      </c>
      <c r="E5025" s="217">
        <v>44986</v>
      </c>
      <c r="F5025">
        <v>5975</v>
      </c>
      <c r="G5025" s="227" t="s">
        <v>130</v>
      </c>
    </row>
    <row r="5026" spans="1:7">
      <c r="A5026" s="216">
        <v>44986</v>
      </c>
      <c r="B5026" t="s">
        <v>52</v>
      </c>
      <c r="C5026">
        <v>11</v>
      </c>
      <c r="D5026" t="s">
        <v>445</v>
      </c>
      <c r="E5026" s="217">
        <v>44986</v>
      </c>
      <c r="F5026">
        <v>8256</v>
      </c>
      <c r="G5026" s="227" t="s">
        <v>126</v>
      </c>
    </row>
    <row r="5027" spans="1:7">
      <c r="A5027" s="216">
        <v>44986</v>
      </c>
      <c r="B5027" t="s">
        <v>52</v>
      </c>
      <c r="C5027">
        <v>11</v>
      </c>
      <c r="D5027" t="s">
        <v>445</v>
      </c>
      <c r="E5027" s="217">
        <v>44986</v>
      </c>
      <c r="F5027">
        <v>7437</v>
      </c>
      <c r="G5027" s="227" t="s">
        <v>122</v>
      </c>
    </row>
    <row r="5028" spans="1:7">
      <c r="A5028" s="216">
        <v>44986</v>
      </c>
      <c r="B5028" t="s">
        <v>52</v>
      </c>
      <c r="C5028">
        <v>11</v>
      </c>
      <c r="D5028" t="s">
        <v>445</v>
      </c>
      <c r="E5028" s="217">
        <v>44986</v>
      </c>
      <c r="F5028">
        <v>7414</v>
      </c>
      <c r="G5028" s="227" t="s">
        <v>91</v>
      </c>
    </row>
    <row r="5029" spans="1:7">
      <c r="A5029" s="216">
        <v>44986</v>
      </c>
      <c r="B5029" t="s">
        <v>52</v>
      </c>
      <c r="C5029">
        <v>11</v>
      </c>
      <c r="D5029" t="s">
        <v>445</v>
      </c>
      <c r="E5029" s="217">
        <v>44986</v>
      </c>
      <c r="F5029">
        <v>7030</v>
      </c>
      <c r="G5029" s="227" t="s">
        <v>99</v>
      </c>
    </row>
    <row r="5030" spans="1:7">
      <c r="A5030" s="216">
        <v>44986</v>
      </c>
      <c r="B5030" t="s">
        <v>52</v>
      </c>
      <c r="C5030">
        <v>11</v>
      </c>
      <c r="D5030" t="s">
        <v>445</v>
      </c>
      <c r="E5030" s="217">
        <v>44986</v>
      </c>
      <c r="F5030">
        <v>10139</v>
      </c>
      <c r="G5030" s="227" t="s">
        <v>95</v>
      </c>
    </row>
    <row r="5031" spans="1:7">
      <c r="A5031" s="216">
        <v>44986</v>
      </c>
      <c r="B5031" t="s">
        <v>52</v>
      </c>
      <c r="C5031">
        <v>11</v>
      </c>
      <c r="D5031" t="s">
        <v>445</v>
      </c>
      <c r="E5031" s="217">
        <v>44986</v>
      </c>
      <c r="F5031">
        <v>9871</v>
      </c>
      <c r="G5031" s="227" t="s">
        <v>113</v>
      </c>
    </row>
    <row r="5032" spans="1:7">
      <c r="A5032" s="216">
        <v>44986</v>
      </c>
      <c r="B5032" t="s">
        <v>52</v>
      </c>
      <c r="C5032">
        <v>11</v>
      </c>
      <c r="D5032" t="s">
        <v>445</v>
      </c>
      <c r="E5032" s="217">
        <v>44986</v>
      </c>
      <c r="F5032">
        <v>85761</v>
      </c>
      <c r="G5032" s="227" t="s">
        <v>434</v>
      </c>
    </row>
    <row r="5033" spans="1:7">
      <c r="A5033" s="216">
        <v>44986</v>
      </c>
      <c r="B5033" t="s">
        <v>52</v>
      </c>
      <c r="C5033">
        <v>12</v>
      </c>
      <c r="D5033" t="s">
        <v>454</v>
      </c>
      <c r="E5033" s="217">
        <v>44986</v>
      </c>
      <c r="F5033">
        <v>0</v>
      </c>
      <c r="G5033" s="227" t="s">
        <v>81</v>
      </c>
    </row>
    <row r="5034" spans="1:7">
      <c r="A5034" s="216">
        <v>44986</v>
      </c>
      <c r="B5034" t="s">
        <v>52</v>
      </c>
      <c r="C5034">
        <v>12</v>
      </c>
      <c r="D5034" t="s">
        <v>454</v>
      </c>
      <c r="E5034" s="217">
        <v>44986</v>
      </c>
      <c r="F5034">
        <v>0</v>
      </c>
      <c r="G5034" s="227" t="s">
        <v>117</v>
      </c>
    </row>
    <row r="5035" spans="1:7">
      <c r="A5035" s="216">
        <v>44986</v>
      </c>
      <c r="B5035" t="s">
        <v>52</v>
      </c>
      <c r="C5035">
        <v>12</v>
      </c>
      <c r="D5035" t="s">
        <v>454</v>
      </c>
      <c r="E5035" s="217">
        <v>44986</v>
      </c>
      <c r="F5035">
        <v>0</v>
      </c>
      <c r="G5035" s="227" t="s">
        <v>108</v>
      </c>
    </row>
    <row r="5036" spans="1:7">
      <c r="A5036" s="216">
        <v>44986</v>
      </c>
      <c r="B5036" t="s">
        <v>52</v>
      </c>
      <c r="C5036">
        <v>12</v>
      </c>
      <c r="D5036" t="s">
        <v>454</v>
      </c>
      <c r="E5036" s="217">
        <v>44986</v>
      </c>
      <c r="F5036">
        <v>0</v>
      </c>
      <c r="G5036" s="227" t="s">
        <v>103</v>
      </c>
    </row>
    <row r="5037" spans="1:7">
      <c r="A5037" s="216">
        <v>44986</v>
      </c>
      <c r="B5037" t="s">
        <v>52</v>
      </c>
      <c r="C5037">
        <v>12</v>
      </c>
      <c r="D5037" t="s">
        <v>454</v>
      </c>
      <c r="E5037" s="217">
        <v>44986</v>
      </c>
      <c r="F5037">
        <v>0</v>
      </c>
      <c r="G5037" s="227" t="s">
        <v>86</v>
      </c>
    </row>
    <row r="5038" spans="1:7">
      <c r="A5038" s="216">
        <v>44986</v>
      </c>
      <c r="B5038" t="s">
        <v>52</v>
      </c>
      <c r="C5038">
        <v>12</v>
      </c>
      <c r="D5038" t="s">
        <v>454</v>
      </c>
      <c r="E5038" s="217">
        <v>44986</v>
      </c>
      <c r="F5038">
        <v>0</v>
      </c>
      <c r="G5038" s="227" t="s">
        <v>130</v>
      </c>
    </row>
    <row r="5039" spans="1:7">
      <c r="A5039" s="216">
        <v>44986</v>
      </c>
      <c r="B5039" t="s">
        <v>52</v>
      </c>
      <c r="C5039">
        <v>12</v>
      </c>
      <c r="D5039" t="s">
        <v>454</v>
      </c>
      <c r="E5039" s="217">
        <v>44986</v>
      </c>
      <c r="F5039">
        <v>0</v>
      </c>
      <c r="G5039" s="227" t="s">
        <v>126</v>
      </c>
    </row>
    <row r="5040" spans="1:7">
      <c r="A5040" s="216">
        <v>44986</v>
      </c>
      <c r="B5040" t="s">
        <v>52</v>
      </c>
      <c r="C5040">
        <v>12</v>
      </c>
      <c r="D5040" t="s">
        <v>454</v>
      </c>
      <c r="E5040" s="217">
        <v>44986</v>
      </c>
      <c r="F5040">
        <v>0</v>
      </c>
      <c r="G5040" s="227" t="s">
        <v>122</v>
      </c>
    </row>
    <row r="5041" spans="1:7">
      <c r="A5041" s="216">
        <v>44986</v>
      </c>
      <c r="B5041" t="s">
        <v>52</v>
      </c>
      <c r="C5041">
        <v>12</v>
      </c>
      <c r="D5041" t="s">
        <v>454</v>
      </c>
      <c r="E5041" s="217">
        <v>44986</v>
      </c>
      <c r="F5041">
        <v>0</v>
      </c>
      <c r="G5041" s="227" t="s">
        <v>91</v>
      </c>
    </row>
    <row r="5042" spans="1:7">
      <c r="A5042" s="216">
        <v>44986</v>
      </c>
      <c r="B5042" t="s">
        <v>52</v>
      </c>
      <c r="C5042">
        <v>12</v>
      </c>
      <c r="D5042" t="s">
        <v>454</v>
      </c>
      <c r="E5042" s="217">
        <v>44986</v>
      </c>
      <c r="F5042">
        <v>0</v>
      </c>
      <c r="G5042" s="227" t="s">
        <v>99</v>
      </c>
    </row>
    <row r="5043" spans="1:7">
      <c r="A5043" s="216">
        <v>44986</v>
      </c>
      <c r="B5043" t="s">
        <v>52</v>
      </c>
      <c r="C5043">
        <v>12</v>
      </c>
      <c r="D5043" t="s">
        <v>454</v>
      </c>
      <c r="E5043" s="217">
        <v>44986</v>
      </c>
      <c r="F5043">
        <v>0</v>
      </c>
      <c r="G5043" s="227" t="s">
        <v>95</v>
      </c>
    </row>
    <row r="5044" spans="1:7">
      <c r="A5044" s="216">
        <v>44986</v>
      </c>
      <c r="B5044" t="s">
        <v>52</v>
      </c>
      <c r="C5044">
        <v>12</v>
      </c>
      <c r="D5044" t="s">
        <v>454</v>
      </c>
      <c r="E5044" s="217">
        <v>44986</v>
      </c>
      <c r="F5044">
        <v>0</v>
      </c>
      <c r="G5044" s="227" t="s">
        <v>113</v>
      </c>
    </row>
    <row r="5045" spans="1:7">
      <c r="A5045" s="216">
        <v>44986</v>
      </c>
      <c r="B5045" t="s">
        <v>52</v>
      </c>
      <c r="C5045">
        <v>12</v>
      </c>
      <c r="D5045" t="s">
        <v>454</v>
      </c>
      <c r="E5045" s="217">
        <v>44986</v>
      </c>
      <c r="F5045">
        <v>0</v>
      </c>
      <c r="G5045" s="227" t="s">
        <v>434</v>
      </c>
    </row>
    <row r="5046" spans="1:7">
      <c r="A5046" s="216">
        <v>44986</v>
      </c>
      <c r="B5046" t="s">
        <v>52</v>
      </c>
      <c r="C5046">
        <v>13</v>
      </c>
      <c r="D5046" t="s">
        <v>441</v>
      </c>
      <c r="E5046" s="217">
        <v>44986</v>
      </c>
      <c r="F5046">
        <v>0</v>
      </c>
      <c r="G5046" s="227" t="s">
        <v>81</v>
      </c>
    </row>
    <row r="5047" spans="1:7">
      <c r="A5047" s="216">
        <v>44986</v>
      </c>
      <c r="B5047" t="s">
        <v>52</v>
      </c>
      <c r="C5047">
        <v>13</v>
      </c>
      <c r="D5047" t="s">
        <v>441</v>
      </c>
      <c r="E5047" s="217">
        <v>44986</v>
      </c>
      <c r="F5047">
        <v>0</v>
      </c>
      <c r="G5047" s="227" t="s">
        <v>117</v>
      </c>
    </row>
    <row r="5048" spans="1:7">
      <c r="A5048" s="216">
        <v>44986</v>
      </c>
      <c r="B5048" t="s">
        <v>52</v>
      </c>
      <c r="C5048">
        <v>13</v>
      </c>
      <c r="D5048" t="s">
        <v>441</v>
      </c>
      <c r="E5048" s="217">
        <v>44986</v>
      </c>
      <c r="F5048">
        <v>0</v>
      </c>
      <c r="G5048" s="227" t="s">
        <v>108</v>
      </c>
    </row>
    <row r="5049" spans="1:7">
      <c r="A5049" s="216">
        <v>44986</v>
      </c>
      <c r="B5049" t="s">
        <v>52</v>
      </c>
      <c r="C5049">
        <v>13</v>
      </c>
      <c r="D5049" t="s">
        <v>441</v>
      </c>
      <c r="E5049" s="217">
        <v>44986</v>
      </c>
      <c r="F5049">
        <v>0</v>
      </c>
      <c r="G5049" s="227" t="s">
        <v>103</v>
      </c>
    </row>
    <row r="5050" spans="1:7">
      <c r="A5050" s="216">
        <v>44986</v>
      </c>
      <c r="B5050" t="s">
        <v>52</v>
      </c>
      <c r="C5050">
        <v>13</v>
      </c>
      <c r="D5050" t="s">
        <v>441</v>
      </c>
      <c r="E5050" s="217">
        <v>44986</v>
      </c>
      <c r="F5050">
        <v>0</v>
      </c>
      <c r="G5050" s="227" t="s">
        <v>86</v>
      </c>
    </row>
    <row r="5051" spans="1:7">
      <c r="A5051" s="216">
        <v>44986</v>
      </c>
      <c r="B5051" t="s">
        <v>52</v>
      </c>
      <c r="C5051">
        <v>13</v>
      </c>
      <c r="D5051" t="s">
        <v>441</v>
      </c>
      <c r="E5051" s="217">
        <v>44986</v>
      </c>
      <c r="F5051">
        <v>0</v>
      </c>
      <c r="G5051" s="227" t="s">
        <v>130</v>
      </c>
    </row>
    <row r="5052" spans="1:7">
      <c r="A5052" s="216">
        <v>44986</v>
      </c>
      <c r="B5052" t="s">
        <v>52</v>
      </c>
      <c r="C5052">
        <v>13</v>
      </c>
      <c r="D5052" t="s">
        <v>441</v>
      </c>
      <c r="E5052" s="217">
        <v>44986</v>
      </c>
      <c r="F5052">
        <v>0</v>
      </c>
      <c r="G5052" s="227" t="s">
        <v>126</v>
      </c>
    </row>
    <row r="5053" spans="1:7">
      <c r="A5053" s="216">
        <v>44986</v>
      </c>
      <c r="B5053" t="s">
        <v>52</v>
      </c>
      <c r="C5053">
        <v>13</v>
      </c>
      <c r="D5053" t="s">
        <v>441</v>
      </c>
      <c r="E5053" s="217">
        <v>44986</v>
      </c>
      <c r="F5053">
        <v>0</v>
      </c>
      <c r="G5053" s="227" t="s">
        <v>122</v>
      </c>
    </row>
    <row r="5054" spans="1:7">
      <c r="A5054" s="216">
        <v>44986</v>
      </c>
      <c r="B5054" t="s">
        <v>52</v>
      </c>
      <c r="C5054">
        <v>13</v>
      </c>
      <c r="D5054" t="s">
        <v>441</v>
      </c>
      <c r="E5054" s="217">
        <v>44986</v>
      </c>
      <c r="F5054">
        <v>0</v>
      </c>
      <c r="G5054" s="227" t="s">
        <v>91</v>
      </c>
    </row>
    <row r="5055" spans="1:7">
      <c r="A5055" s="216">
        <v>44986</v>
      </c>
      <c r="B5055" t="s">
        <v>52</v>
      </c>
      <c r="C5055">
        <v>13</v>
      </c>
      <c r="D5055" t="s">
        <v>441</v>
      </c>
      <c r="E5055" s="217">
        <v>44986</v>
      </c>
      <c r="F5055">
        <v>0</v>
      </c>
      <c r="G5055" s="227" t="s">
        <v>99</v>
      </c>
    </row>
    <row r="5056" spans="1:7">
      <c r="A5056" s="216">
        <v>44986</v>
      </c>
      <c r="B5056" t="s">
        <v>52</v>
      </c>
      <c r="C5056">
        <v>13</v>
      </c>
      <c r="D5056" t="s">
        <v>441</v>
      </c>
      <c r="E5056" s="217">
        <v>44986</v>
      </c>
      <c r="F5056">
        <v>0</v>
      </c>
      <c r="G5056" s="227" t="s">
        <v>95</v>
      </c>
    </row>
    <row r="5057" spans="1:7">
      <c r="A5057" s="216">
        <v>44986</v>
      </c>
      <c r="B5057" t="s">
        <v>52</v>
      </c>
      <c r="C5057">
        <v>13</v>
      </c>
      <c r="D5057" t="s">
        <v>441</v>
      </c>
      <c r="E5057" s="217">
        <v>44986</v>
      </c>
      <c r="F5057">
        <v>0</v>
      </c>
      <c r="G5057" s="227" t="s">
        <v>113</v>
      </c>
    </row>
    <row r="5058" spans="1:7">
      <c r="A5058" s="216">
        <v>44986</v>
      </c>
      <c r="B5058" t="s">
        <v>52</v>
      </c>
      <c r="C5058">
        <v>13</v>
      </c>
      <c r="D5058" t="s">
        <v>441</v>
      </c>
      <c r="E5058" s="217">
        <v>44986</v>
      </c>
      <c r="F5058">
        <v>0</v>
      </c>
      <c r="G5058" s="227" t="s">
        <v>434</v>
      </c>
    </row>
    <row r="5059" spans="1:7">
      <c r="A5059" s="216">
        <v>44986</v>
      </c>
      <c r="B5059" t="s">
        <v>52</v>
      </c>
      <c r="C5059">
        <v>14</v>
      </c>
      <c r="D5059" t="s">
        <v>447</v>
      </c>
      <c r="E5059" s="217">
        <v>44986</v>
      </c>
      <c r="F5059">
        <v>0</v>
      </c>
      <c r="G5059" s="227" t="s">
        <v>81</v>
      </c>
    </row>
    <row r="5060" spans="1:7">
      <c r="A5060" s="216">
        <v>44986</v>
      </c>
      <c r="B5060" t="s">
        <v>52</v>
      </c>
      <c r="C5060">
        <v>14</v>
      </c>
      <c r="D5060" t="s">
        <v>447</v>
      </c>
      <c r="E5060" s="217">
        <v>44986</v>
      </c>
      <c r="F5060">
        <v>0</v>
      </c>
      <c r="G5060" s="227" t="s">
        <v>117</v>
      </c>
    </row>
    <row r="5061" spans="1:7">
      <c r="A5061" s="216">
        <v>44986</v>
      </c>
      <c r="B5061" t="s">
        <v>52</v>
      </c>
      <c r="C5061">
        <v>14</v>
      </c>
      <c r="D5061" t="s">
        <v>447</v>
      </c>
      <c r="E5061" s="217">
        <v>44986</v>
      </c>
      <c r="F5061">
        <v>0</v>
      </c>
      <c r="G5061" s="227" t="s">
        <v>108</v>
      </c>
    </row>
    <row r="5062" spans="1:7">
      <c r="A5062" s="216">
        <v>44986</v>
      </c>
      <c r="B5062" t="s">
        <v>52</v>
      </c>
      <c r="C5062">
        <v>14</v>
      </c>
      <c r="D5062" t="s">
        <v>447</v>
      </c>
      <c r="E5062" s="217">
        <v>44986</v>
      </c>
      <c r="F5062">
        <v>0</v>
      </c>
      <c r="G5062" s="227" t="s">
        <v>103</v>
      </c>
    </row>
    <row r="5063" spans="1:7">
      <c r="A5063" s="216">
        <v>44986</v>
      </c>
      <c r="B5063" t="s">
        <v>52</v>
      </c>
      <c r="C5063">
        <v>14</v>
      </c>
      <c r="D5063" t="s">
        <v>447</v>
      </c>
      <c r="E5063" s="217">
        <v>44986</v>
      </c>
      <c r="F5063">
        <v>0</v>
      </c>
      <c r="G5063" s="227" t="s">
        <v>86</v>
      </c>
    </row>
    <row r="5064" spans="1:7">
      <c r="A5064" s="216">
        <v>44986</v>
      </c>
      <c r="B5064" t="s">
        <v>52</v>
      </c>
      <c r="C5064">
        <v>14</v>
      </c>
      <c r="D5064" t="s">
        <v>447</v>
      </c>
      <c r="E5064" s="217">
        <v>44986</v>
      </c>
      <c r="F5064">
        <v>0</v>
      </c>
      <c r="G5064" s="227" t="s">
        <v>130</v>
      </c>
    </row>
    <row r="5065" spans="1:7">
      <c r="A5065" s="216">
        <v>44986</v>
      </c>
      <c r="B5065" t="s">
        <v>52</v>
      </c>
      <c r="C5065">
        <v>14</v>
      </c>
      <c r="D5065" t="s">
        <v>447</v>
      </c>
      <c r="E5065" s="217">
        <v>44986</v>
      </c>
      <c r="F5065">
        <v>0</v>
      </c>
      <c r="G5065" s="227" t="s">
        <v>126</v>
      </c>
    </row>
    <row r="5066" spans="1:7">
      <c r="A5066" s="216">
        <v>44986</v>
      </c>
      <c r="B5066" t="s">
        <v>52</v>
      </c>
      <c r="C5066">
        <v>14</v>
      </c>
      <c r="D5066" t="s">
        <v>447</v>
      </c>
      <c r="E5066" s="217">
        <v>44986</v>
      </c>
      <c r="F5066">
        <v>0</v>
      </c>
      <c r="G5066" s="227" t="s">
        <v>122</v>
      </c>
    </row>
    <row r="5067" spans="1:7">
      <c r="A5067" s="216">
        <v>44986</v>
      </c>
      <c r="B5067" t="s">
        <v>52</v>
      </c>
      <c r="C5067">
        <v>14</v>
      </c>
      <c r="D5067" t="s">
        <v>447</v>
      </c>
      <c r="E5067" s="217">
        <v>44986</v>
      </c>
      <c r="F5067">
        <v>0</v>
      </c>
      <c r="G5067" s="227" t="s">
        <v>91</v>
      </c>
    </row>
    <row r="5068" spans="1:7">
      <c r="A5068" s="216">
        <v>44986</v>
      </c>
      <c r="B5068" t="s">
        <v>52</v>
      </c>
      <c r="C5068">
        <v>14</v>
      </c>
      <c r="D5068" t="s">
        <v>447</v>
      </c>
      <c r="E5068" s="217">
        <v>44986</v>
      </c>
      <c r="F5068">
        <v>0</v>
      </c>
      <c r="G5068" s="227" t="s">
        <v>99</v>
      </c>
    </row>
    <row r="5069" spans="1:7">
      <c r="A5069" s="216">
        <v>44986</v>
      </c>
      <c r="B5069" t="s">
        <v>52</v>
      </c>
      <c r="C5069">
        <v>14</v>
      </c>
      <c r="D5069" t="s">
        <v>447</v>
      </c>
      <c r="E5069" s="217">
        <v>44986</v>
      </c>
      <c r="F5069">
        <v>0</v>
      </c>
      <c r="G5069" s="227" t="s">
        <v>95</v>
      </c>
    </row>
    <row r="5070" spans="1:7">
      <c r="A5070" s="216">
        <v>44986</v>
      </c>
      <c r="B5070" t="s">
        <v>52</v>
      </c>
      <c r="C5070">
        <v>14</v>
      </c>
      <c r="D5070" t="s">
        <v>447</v>
      </c>
      <c r="E5070" s="217">
        <v>44986</v>
      </c>
      <c r="F5070">
        <v>0</v>
      </c>
      <c r="G5070" s="227" t="s">
        <v>113</v>
      </c>
    </row>
    <row r="5071" spans="1:7">
      <c r="A5071" s="216">
        <v>44986</v>
      </c>
      <c r="B5071" t="s">
        <v>52</v>
      </c>
      <c r="C5071">
        <v>14</v>
      </c>
      <c r="D5071" t="s">
        <v>447</v>
      </c>
      <c r="E5071" s="217">
        <v>44986</v>
      </c>
      <c r="F5071">
        <v>0</v>
      </c>
      <c r="G5071" s="227" t="s">
        <v>434</v>
      </c>
    </row>
    <row r="5072" spans="1:7">
      <c r="A5072" s="216">
        <v>44986</v>
      </c>
      <c r="B5072" t="s">
        <v>52</v>
      </c>
      <c r="C5072">
        <v>15</v>
      </c>
      <c r="D5072" t="s">
        <v>437</v>
      </c>
      <c r="E5072" s="217">
        <v>44986</v>
      </c>
      <c r="F5072">
        <v>0</v>
      </c>
      <c r="G5072" s="227" t="s">
        <v>81</v>
      </c>
    </row>
    <row r="5073" spans="1:7">
      <c r="A5073" s="216">
        <v>44986</v>
      </c>
      <c r="B5073" t="s">
        <v>52</v>
      </c>
      <c r="C5073">
        <v>15</v>
      </c>
      <c r="D5073" t="s">
        <v>437</v>
      </c>
      <c r="E5073" s="217">
        <v>44986</v>
      </c>
      <c r="F5073">
        <v>0</v>
      </c>
      <c r="G5073" s="227" t="s">
        <v>117</v>
      </c>
    </row>
    <row r="5074" spans="1:7">
      <c r="A5074" s="216">
        <v>44986</v>
      </c>
      <c r="B5074" t="s">
        <v>52</v>
      </c>
      <c r="C5074">
        <v>15</v>
      </c>
      <c r="D5074" t="s">
        <v>437</v>
      </c>
      <c r="E5074" s="217">
        <v>44986</v>
      </c>
      <c r="F5074">
        <v>0</v>
      </c>
      <c r="G5074" s="227" t="s">
        <v>108</v>
      </c>
    </row>
    <row r="5075" spans="1:7">
      <c r="A5075" s="216">
        <v>44986</v>
      </c>
      <c r="B5075" t="s">
        <v>52</v>
      </c>
      <c r="C5075">
        <v>15</v>
      </c>
      <c r="D5075" t="s">
        <v>437</v>
      </c>
      <c r="E5075" s="217">
        <v>44986</v>
      </c>
      <c r="F5075">
        <v>0</v>
      </c>
      <c r="G5075" s="227" t="s">
        <v>103</v>
      </c>
    </row>
    <row r="5076" spans="1:7">
      <c r="A5076" s="216">
        <v>44986</v>
      </c>
      <c r="B5076" t="s">
        <v>52</v>
      </c>
      <c r="C5076">
        <v>15</v>
      </c>
      <c r="D5076" t="s">
        <v>437</v>
      </c>
      <c r="E5076" s="217">
        <v>44986</v>
      </c>
      <c r="F5076">
        <v>0</v>
      </c>
      <c r="G5076" s="227" t="s">
        <v>86</v>
      </c>
    </row>
    <row r="5077" spans="1:7">
      <c r="A5077" s="216">
        <v>44986</v>
      </c>
      <c r="B5077" t="s">
        <v>52</v>
      </c>
      <c r="C5077">
        <v>15</v>
      </c>
      <c r="D5077" t="s">
        <v>437</v>
      </c>
      <c r="E5077" s="217">
        <v>44986</v>
      </c>
      <c r="F5077">
        <v>0</v>
      </c>
      <c r="G5077" s="227" t="s">
        <v>130</v>
      </c>
    </row>
    <row r="5078" spans="1:7">
      <c r="A5078" s="216">
        <v>44986</v>
      </c>
      <c r="B5078" t="s">
        <v>52</v>
      </c>
      <c r="C5078">
        <v>15</v>
      </c>
      <c r="D5078" t="s">
        <v>437</v>
      </c>
      <c r="E5078" s="217">
        <v>44986</v>
      </c>
      <c r="F5078">
        <v>0</v>
      </c>
      <c r="G5078" s="227" t="s">
        <v>126</v>
      </c>
    </row>
    <row r="5079" spans="1:7">
      <c r="A5079" s="216">
        <v>44986</v>
      </c>
      <c r="B5079" t="s">
        <v>52</v>
      </c>
      <c r="C5079">
        <v>15</v>
      </c>
      <c r="D5079" t="s">
        <v>437</v>
      </c>
      <c r="E5079" s="217">
        <v>44986</v>
      </c>
      <c r="F5079">
        <v>0</v>
      </c>
      <c r="G5079" s="227" t="s">
        <v>122</v>
      </c>
    </row>
    <row r="5080" spans="1:7">
      <c r="A5080" s="216">
        <v>44986</v>
      </c>
      <c r="B5080" t="s">
        <v>52</v>
      </c>
      <c r="C5080">
        <v>15</v>
      </c>
      <c r="D5080" t="s">
        <v>437</v>
      </c>
      <c r="E5080" s="217">
        <v>44986</v>
      </c>
      <c r="F5080">
        <v>0</v>
      </c>
      <c r="G5080" s="227" t="s">
        <v>91</v>
      </c>
    </row>
    <row r="5081" spans="1:7">
      <c r="A5081" s="216">
        <v>44986</v>
      </c>
      <c r="B5081" t="s">
        <v>52</v>
      </c>
      <c r="C5081">
        <v>15</v>
      </c>
      <c r="D5081" t="s">
        <v>437</v>
      </c>
      <c r="E5081" s="217">
        <v>44986</v>
      </c>
      <c r="F5081">
        <v>0</v>
      </c>
      <c r="G5081" s="227" t="s">
        <v>99</v>
      </c>
    </row>
    <row r="5082" spans="1:7">
      <c r="A5082" s="216">
        <v>44986</v>
      </c>
      <c r="B5082" t="s">
        <v>52</v>
      </c>
      <c r="C5082">
        <v>15</v>
      </c>
      <c r="D5082" t="s">
        <v>437</v>
      </c>
      <c r="E5082" s="217">
        <v>44986</v>
      </c>
      <c r="F5082">
        <v>0</v>
      </c>
      <c r="G5082" s="227" t="s">
        <v>95</v>
      </c>
    </row>
    <row r="5083" spans="1:7">
      <c r="A5083" s="216">
        <v>44986</v>
      </c>
      <c r="B5083" t="s">
        <v>52</v>
      </c>
      <c r="C5083">
        <v>15</v>
      </c>
      <c r="D5083" t="s">
        <v>437</v>
      </c>
      <c r="E5083" s="217">
        <v>44986</v>
      </c>
      <c r="F5083">
        <v>0</v>
      </c>
      <c r="G5083" s="227" t="s">
        <v>113</v>
      </c>
    </row>
    <row r="5084" spans="1:7">
      <c r="A5084" s="216">
        <v>44986</v>
      </c>
      <c r="B5084" t="s">
        <v>52</v>
      </c>
      <c r="C5084">
        <v>15</v>
      </c>
      <c r="D5084" t="s">
        <v>437</v>
      </c>
      <c r="E5084" s="217">
        <v>44986</v>
      </c>
      <c r="F5084">
        <v>0</v>
      </c>
      <c r="G5084" s="227" t="s">
        <v>434</v>
      </c>
    </row>
    <row r="5085" spans="1:7">
      <c r="A5085" s="216">
        <v>44986</v>
      </c>
      <c r="B5085" t="s">
        <v>46</v>
      </c>
      <c r="C5085">
        <v>7</v>
      </c>
      <c r="D5085" t="s">
        <v>442</v>
      </c>
      <c r="E5085" s="217">
        <v>44986</v>
      </c>
      <c r="F5085">
        <v>89041</v>
      </c>
      <c r="G5085" s="227" t="s">
        <v>81</v>
      </c>
    </row>
    <row r="5086" spans="1:7">
      <c r="A5086" s="216">
        <v>44986</v>
      </c>
      <c r="B5086" t="s">
        <v>46</v>
      </c>
      <c r="C5086">
        <v>7</v>
      </c>
      <c r="D5086" t="s">
        <v>442</v>
      </c>
      <c r="E5086" s="217">
        <v>44986</v>
      </c>
      <c r="F5086">
        <v>89467</v>
      </c>
      <c r="G5086" s="227" t="s">
        <v>117</v>
      </c>
    </row>
    <row r="5087" spans="1:7">
      <c r="A5087" s="216">
        <v>44986</v>
      </c>
      <c r="B5087" t="s">
        <v>46</v>
      </c>
      <c r="C5087">
        <v>7</v>
      </c>
      <c r="D5087" t="s">
        <v>442</v>
      </c>
      <c r="E5087" s="217">
        <v>44986</v>
      </c>
      <c r="F5087">
        <v>89976</v>
      </c>
      <c r="G5087" s="227" t="s">
        <v>108</v>
      </c>
    </row>
    <row r="5088" spans="1:7">
      <c r="A5088" s="216">
        <v>44986</v>
      </c>
      <c r="B5088" t="s">
        <v>46</v>
      </c>
      <c r="C5088">
        <v>7</v>
      </c>
      <c r="D5088" t="s">
        <v>442</v>
      </c>
      <c r="E5088" s="217">
        <v>44986</v>
      </c>
      <c r="F5088">
        <v>89042</v>
      </c>
      <c r="G5088" s="227" t="s">
        <v>103</v>
      </c>
    </row>
    <row r="5089" spans="1:7">
      <c r="A5089" s="216">
        <v>44986</v>
      </c>
      <c r="B5089" t="s">
        <v>46</v>
      </c>
      <c r="C5089">
        <v>7</v>
      </c>
      <c r="D5089" t="s">
        <v>442</v>
      </c>
      <c r="E5089" s="217">
        <v>44986</v>
      </c>
      <c r="F5089">
        <v>89698</v>
      </c>
      <c r="G5089" s="227" t="s">
        <v>86</v>
      </c>
    </row>
    <row r="5090" spans="1:7">
      <c r="A5090" s="216">
        <v>44986</v>
      </c>
      <c r="B5090" t="s">
        <v>46</v>
      </c>
      <c r="C5090">
        <v>7</v>
      </c>
      <c r="D5090" t="s">
        <v>442</v>
      </c>
      <c r="E5090" s="217">
        <v>44986</v>
      </c>
      <c r="F5090">
        <v>102375</v>
      </c>
      <c r="G5090" s="227" t="s">
        <v>130</v>
      </c>
    </row>
    <row r="5091" spans="1:7">
      <c r="A5091" s="216">
        <v>44986</v>
      </c>
      <c r="B5091" t="s">
        <v>46</v>
      </c>
      <c r="C5091">
        <v>7</v>
      </c>
      <c r="D5091" t="s">
        <v>442</v>
      </c>
      <c r="E5091" s="217">
        <v>44986</v>
      </c>
      <c r="F5091">
        <v>97874</v>
      </c>
      <c r="G5091" s="227" t="s">
        <v>126</v>
      </c>
    </row>
    <row r="5092" spans="1:7">
      <c r="A5092" s="216">
        <v>44986</v>
      </c>
      <c r="B5092" t="s">
        <v>46</v>
      </c>
      <c r="C5092">
        <v>7</v>
      </c>
      <c r="D5092" t="s">
        <v>442</v>
      </c>
      <c r="E5092" s="217">
        <v>44986</v>
      </c>
      <c r="F5092">
        <v>87940</v>
      </c>
      <c r="G5092" s="227" t="s">
        <v>122</v>
      </c>
    </row>
    <row r="5093" spans="1:7">
      <c r="A5093" s="216">
        <v>44986</v>
      </c>
      <c r="B5093" t="s">
        <v>46</v>
      </c>
      <c r="C5093">
        <v>7</v>
      </c>
      <c r="D5093" t="s">
        <v>442</v>
      </c>
      <c r="E5093" s="217">
        <v>44986</v>
      </c>
      <c r="F5093">
        <v>97175</v>
      </c>
      <c r="G5093" s="227" t="s">
        <v>91</v>
      </c>
    </row>
    <row r="5094" spans="1:7">
      <c r="A5094" s="216">
        <v>44986</v>
      </c>
      <c r="B5094" t="s">
        <v>46</v>
      </c>
      <c r="C5094">
        <v>7</v>
      </c>
      <c r="D5094" t="s">
        <v>442</v>
      </c>
      <c r="E5094" s="217">
        <v>44986</v>
      </c>
      <c r="F5094">
        <v>93951</v>
      </c>
      <c r="G5094" s="227" t="s">
        <v>99</v>
      </c>
    </row>
    <row r="5095" spans="1:7">
      <c r="A5095" s="216">
        <v>44986</v>
      </c>
      <c r="B5095" t="s">
        <v>46</v>
      </c>
      <c r="C5095">
        <v>7</v>
      </c>
      <c r="D5095" t="s">
        <v>442</v>
      </c>
      <c r="E5095" s="217">
        <v>44986</v>
      </c>
      <c r="F5095">
        <v>95006</v>
      </c>
      <c r="G5095" s="227" t="s">
        <v>95</v>
      </c>
    </row>
    <row r="5096" spans="1:7">
      <c r="A5096" s="216">
        <v>44986</v>
      </c>
      <c r="B5096" t="s">
        <v>46</v>
      </c>
      <c r="C5096">
        <v>7</v>
      </c>
      <c r="D5096" t="s">
        <v>442</v>
      </c>
      <c r="E5096" s="217">
        <v>44986</v>
      </c>
      <c r="F5096">
        <v>148048</v>
      </c>
      <c r="G5096" s="227" t="s">
        <v>113</v>
      </c>
    </row>
    <row r="5097" spans="1:7">
      <c r="A5097" s="216">
        <v>44986</v>
      </c>
      <c r="B5097" t="s">
        <v>46</v>
      </c>
      <c r="C5097">
        <v>7</v>
      </c>
      <c r="D5097" t="s">
        <v>442</v>
      </c>
      <c r="E5097" s="217">
        <v>44986</v>
      </c>
      <c r="F5097">
        <v>1169593</v>
      </c>
      <c r="G5097" s="227" t="s">
        <v>434</v>
      </c>
    </row>
    <row r="5098" spans="1:7">
      <c r="A5098" s="216">
        <v>44986</v>
      </c>
      <c r="B5098" t="s">
        <v>46</v>
      </c>
      <c r="C5098">
        <v>8</v>
      </c>
      <c r="D5098" t="s">
        <v>451</v>
      </c>
      <c r="E5098" s="217">
        <v>44986</v>
      </c>
      <c r="F5098">
        <v>10710</v>
      </c>
      <c r="G5098" s="227" t="s">
        <v>81</v>
      </c>
    </row>
    <row r="5099" spans="1:7">
      <c r="A5099" s="216">
        <v>44986</v>
      </c>
      <c r="B5099" t="s">
        <v>46</v>
      </c>
      <c r="C5099">
        <v>8</v>
      </c>
      <c r="D5099" t="s">
        <v>451</v>
      </c>
      <c r="E5099" s="217">
        <v>44986</v>
      </c>
      <c r="F5099">
        <v>10285</v>
      </c>
      <c r="G5099" s="227" t="s">
        <v>117</v>
      </c>
    </row>
    <row r="5100" spans="1:7">
      <c r="A5100" s="216">
        <v>44986</v>
      </c>
      <c r="B5100" t="s">
        <v>46</v>
      </c>
      <c r="C5100">
        <v>8</v>
      </c>
      <c r="D5100" t="s">
        <v>451</v>
      </c>
      <c r="E5100" s="217">
        <v>44986</v>
      </c>
      <c r="F5100">
        <v>10294</v>
      </c>
      <c r="G5100" s="227" t="s">
        <v>108</v>
      </c>
    </row>
    <row r="5101" spans="1:7">
      <c r="A5101" s="216">
        <v>44986</v>
      </c>
      <c r="B5101" t="s">
        <v>46</v>
      </c>
      <c r="C5101">
        <v>8</v>
      </c>
      <c r="D5101" t="s">
        <v>451</v>
      </c>
      <c r="E5101" s="217">
        <v>44986</v>
      </c>
      <c r="F5101">
        <v>10225</v>
      </c>
      <c r="G5101" s="227" t="s">
        <v>103</v>
      </c>
    </row>
    <row r="5102" spans="1:7">
      <c r="A5102" s="216">
        <v>44986</v>
      </c>
      <c r="B5102" t="s">
        <v>46</v>
      </c>
      <c r="C5102">
        <v>8</v>
      </c>
      <c r="D5102" t="s">
        <v>451</v>
      </c>
      <c r="E5102" s="217">
        <v>44986</v>
      </c>
      <c r="F5102">
        <v>10156</v>
      </c>
      <c r="G5102" s="227" t="s">
        <v>86</v>
      </c>
    </row>
    <row r="5103" spans="1:7">
      <c r="A5103" s="216">
        <v>44986</v>
      </c>
      <c r="B5103" t="s">
        <v>46</v>
      </c>
      <c r="C5103">
        <v>8</v>
      </c>
      <c r="D5103" t="s">
        <v>451</v>
      </c>
      <c r="E5103" s="217">
        <v>44986</v>
      </c>
      <c r="F5103">
        <v>11058</v>
      </c>
      <c r="G5103" s="227" t="s">
        <v>130</v>
      </c>
    </row>
    <row r="5104" spans="1:7">
      <c r="A5104" s="216">
        <v>44986</v>
      </c>
      <c r="B5104" t="s">
        <v>46</v>
      </c>
      <c r="C5104">
        <v>8</v>
      </c>
      <c r="D5104" t="s">
        <v>451</v>
      </c>
      <c r="E5104" s="217">
        <v>44986</v>
      </c>
      <c r="F5104">
        <v>10916</v>
      </c>
      <c r="G5104" s="227" t="s">
        <v>126</v>
      </c>
    </row>
    <row r="5105" spans="1:7">
      <c r="A5105" s="216">
        <v>44986</v>
      </c>
      <c r="B5105" t="s">
        <v>46</v>
      </c>
      <c r="C5105">
        <v>8</v>
      </c>
      <c r="D5105" t="s">
        <v>451</v>
      </c>
      <c r="E5105" s="217">
        <v>44986</v>
      </c>
      <c r="F5105">
        <v>10404</v>
      </c>
      <c r="G5105" s="227" t="s">
        <v>122</v>
      </c>
    </row>
    <row r="5106" spans="1:7">
      <c r="A5106" s="216">
        <v>44986</v>
      </c>
      <c r="B5106" t="s">
        <v>46</v>
      </c>
      <c r="C5106">
        <v>8</v>
      </c>
      <c r="D5106" t="s">
        <v>451</v>
      </c>
      <c r="E5106" s="217">
        <v>44986</v>
      </c>
      <c r="F5106">
        <v>17078</v>
      </c>
      <c r="G5106" s="227" t="s">
        <v>91</v>
      </c>
    </row>
    <row r="5107" spans="1:7">
      <c r="A5107" s="216">
        <v>44986</v>
      </c>
      <c r="B5107" t="s">
        <v>46</v>
      </c>
      <c r="C5107">
        <v>8</v>
      </c>
      <c r="D5107" t="s">
        <v>451</v>
      </c>
      <c r="E5107" s="217">
        <v>44986</v>
      </c>
      <c r="F5107">
        <v>11553</v>
      </c>
      <c r="G5107" s="227" t="s">
        <v>99</v>
      </c>
    </row>
    <row r="5108" spans="1:7">
      <c r="A5108" s="216">
        <v>44986</v>
      </c>
      <c r="B5108" t="s">
        <v>46</v>
      </c>
      <c r="C5108">
        <v>8</v>
      </c>
      <c r="D5108" t="s">
        <v>451</v>
      </c>
      <c r="E5108" s="217">
        <v>44986</v>
      </c>
      <c r="F5108">
        <v>11083</v>
      </c>
      <c r="G5108" s="227" t="s">
        <v>95</v>
      </c>
    </row>
    <row r="5109" spans="1:7">
      <c r="A5109" s="216">
        <v>44986</v>
      </c>
      <c r="B5109" t="s">
        <v>46</v>
      </c>
      <c r="C5109">
        <v>8</v>
      </c>
      <c r="D5109" t="s">
        <v>451</v>
      </c>
      <c r="E5109" s="217">
        <v>44986</v>
      </c>
      <c r="F5109">
        <v>13213</v>
      </c>
      <c r="G5109" s="227" t="s">
        <v>113</v>
      </c>
    </row>
    <row r="5110" spans="1:7">
      <c r="A5110" s="216">
        <v>44986</v>
      </c>
      <c r="B5110" t="s">
        <v>46</v>
      </c>
      <c r="C5110">
        <v>8</v>
      </c>
      <c r="D5110" t="s">
        <v>451</v>
      </c>
      <c r="E5110" s="217">
        <v>44986</v>
      </c>
      <c r="F5110">
        <v>136975</v>
      </c>
      <c r="G5110" s="227" t="s">
        <v>434</v>
      </c>
    </row>
    <row r="5111" spans="1:7">
      <c r="A5111" s="216">
        <v>44986</v>
      </c>
      <c r="B5111" t="s">
        <v>46</v>
      </c>
      <c r="C5111">
        <v>9</v>
      </c>
      <c r="D5111" t="s">
        <v>450</v>
      </c>
      <c r="E5111" s="217">
        <v>44986</v>
      </c>
      <c r="F5111">
        <v>6936</v>
      </c>
      <c r="G5111" s="227" t="s">
        <v>81</v>
      </c>
    </row>
    <row r="5112" spans="1:7">
      <c r="A5112" s="216">
        <v>44986</v>
      </c>
      <c r="B5112" t="s">
        <v>46</v>
      </c>
      <c r="C5112">
        <v>9</v>
      </c>
      <c r="D5112" t="s">
        <v>450</v>
      </c>
      <c r="E5112" s="217">
        <v>44986</v>
      </c>
      <c r="F5112">
        <v>6744</v>
      </c>
      <c r="G5112" s="227" t="s">
        <v>117</v>
      </c>
    </row>
    <row r="5113" spans="1:7">
      <c r="A5113" s="216">
        <v>44986</v>
      </c>
      <c r="B5113" t="s">
        <v>46</v>
      </c>
      <c r="C5113">
        <v>9</v>
      </c>
      <c r="D5113" t="s">
        <v>450</v>
      </c>
      <c r="E5113" s="217">
        <v>44986</v>
      </c>
      <c r="F5113">
        <v>6589</v>
      </c>
      <c r="G5113" s="227" t="s">
        <v>108</v>
      </c>
    </row>
    <row r="5114" spans="1:7">
      <c r="A5114" s="216">
        <v>44986</v>
      </c>
      <c r="B5114" t="s">
        <v>46</v>
      </c>
      <c r="C5114">
        <v>9</v>
      </c>
      <c r="D5114" t="s">
        <v>450</v>
      </c>
      <c r="E5114" s="217">
        <v>44986</v>
      </c>
      <c r="F5114">
        <v>6792</v>
      </c>
      <c r="G5114" s="227" t="s">
        <v>103</v>
      </c>
    </row>
    <row r="5115" spans="1:7">
      <c r="A5115" s="216">
        <v>44986</v>
      </c>
      <c r="B5115" t="s">
        <v>46</v>
      </c>
      <c r="C5115">
        <v>9</v>
      </c>
      <c r="D5115" t="s">
        <v>450</v>
      </c>
      <c r="E5115" s="217">
        <v>44986</v>
      </c>
      <c r="F5115">
        <v>7376</v>
      </c>
      <c r="G5115" s="227" t="s">
        <v>86</v>
      </c>
    </row>
    <row r="5116" spans="1:7">
      <c r="A5116" s="216">
        <v>44986</v>
      </c>
      <c r="B5116" t="s">
        <v>46</v>
      </c>
      <c r="C5116">
        <v>9</v>
      </c>
      <c r="D5116" t="s">
        <v>450</v>
      </c>
      <c r="E5116" s="217">
        <v>44986</v>
      </c>
      <c r="F5116">
        <v>7728</v>
      </c>
      <c r="G5116" s="227" t="s">
        <v>130</v>
      </c>
    </row>
    <row r="5117" spans="1:7">
      <c r="A5117" s="216">
        <v>44986</v>
      </c>
      <c r="B5117" t="s">
        <v>46</v>
      </c>
      <c r="C5117">
        <v>9</v>
      </c>
      <c r="D5117" t="s">
        <v>450</v>
      </c>
      <c r="E5117" s="217">
        <v>44986</v>
      </c>
      <c r="F5117">
        <v>7176</v>
      </c>
      <c r="G5117" s="227" t="s">
        <v>126</v>
      </c>
    </row>
    <row r="5118" spans="1:7">
      <c r="A5118" s="216">
        <v>44986</v>
      </c>
      <c r="B5118" t="s">
        <v>46</v>
      </c>
      <c r="C5118">
        <v>9</v>
      </c>
      <c r="D5118" t="s">
        <v>450</v>
      </c>
      <c r="E5118" s="217">
        <v>44986</v>
      </c>
      <c r="F5118">
        <v>7530</v>
      </c>
      <c r="G5118" s="227" t="s">
        <v>122</v>
      </c>
    </row>
    <row r="5119" spans="1:7">
      <c r="A5119" s="216">
        <v>44986</v>
      </c>
      <c r="B5119" t="s">
        <v>46</v>
      </c>
      <c r="C5119">
        <v>9</v>
      </c>
      <c r="D5119" t="s">
        <v>450</v>
      </c>
      <c r="E5119" s="217">
        <v>44986</v>
      </c>
      <c r="F5119">
        <v>8445</v>
      </c>
      <c r="G5119" s="227" t="s">
        <v>91</v>
      </c>
    </row>
    <row r="5120" spans="1:7">
      <c r="A5120" s="216">
        <v>44986</v>
      </c>
      <c r="B5120" t="s">
        <v>46</v>
      </c>
      <c r="C5120">
        <v>9</v>
      </c>
      <c r="D5120" t="s">
        <v>450</v>
      </c>
      <c r="E5120" s="217">
        <v>44986</v>
      </c>
      <c r="F5120">
        <v>7461</v>
      </c>
      <c r="G5120" s="227" t="s">
        <v>99</v>
      </c>
    </row>
    <row r="5121" spans="1:7">
      <c r="A5121" s="216">
        <v>44986</v>
      </c>
      <c r="B5121" t="s">
        <v>46</v>
      </c>
      <c r="C5121">
        <v>9</v>
      </c>
      <c r="D5121" t="s">
        <v>450</v>
      </c>
      <c r="E5121" s="217">
        <v>44986</v>
      </c>
      <c r="F5121">
        <v>6790</v>
      </c>
      <c r="G5121" s="227" t="s">
        <v>95</v>
      </c>
    </row>
    <row r="5122" spans="1:7">
      <c r="A5122" s="216">
        <v>44986</v>
      </c>
      <c r="B5122" t="s">
        <v>46</v>
      </c>
      <c r="C5122">
        <v>9</v>
      </c>
      <c r="D5122" t="s">
        <v>450</v>
      </c>
      <c r="E5122" s="217">
        <v>44986</v>
      </c>
      <c r="F5122">
        <v>8032</v>
      </c>
      <c r="G5122" s="227" t="s">
        <v>113</v>
      </c>
    </row>
    <row r="5123" spans="1:7">
      <c r="A5123" s="216">
        <v>44986</v>
      </c>
      <c r="B5123" t="s">
        <v>46</v>
      </c>
      <c r="C5123">
        <v>9</v>
      </c>
      <c r="D5123" t="s">
        <v>450</v>
      </c>
      <c r="E5123" s="217">
        <v>44986</v>
      </c>
      <c r="F5123">
        <v>87599</v>
      </c>
      <c r="G5123" s="227" t="s">
        <v>434</v>
      </c>
    </row>
    <row r="5124" spans="1:7">
      <c r="A5124" s="216">
        <v>44986</v>
      </c>
      <c r="B5124" t="s">
        <v>46</v>
      </c>
      <c r="C5124">
        <v>10</v>
      </c>
      <c r="D5124" t="s">
        <v>433</v>
      </c>
      <c r="E5124" s="217">
        <v>44986</v>
      </c>
      <c r="F5124">
        <v>42671</v>
      </c>
      <c r="G5124" s="227" t="s">
        <v>81</v>
      </c>
    </row>
    <row r="5125" spans="1:7">
      <c r="A5125" s="216">
        <v>44986</v>
      </c>
      <c r="B5125" t="s">
        <v>46</v>
      </c>
      <c r="C5125">
        <v>10</v>
      </c>
      <c r="D5125" t="s">
        <v>433</v>
      </c>
      <c r="E5125" s="217">
        <v>44986</v>
      </c>
      <c r="F5125">
        <v>42155</v>
      </c>
      <c r="G5125" s="227" t="s">
        <v>117</v>
      </c>
    </row>
    <row r="5126" spans="1:7">
      <c r="A5126" s="216">
        <v>44986</v>
      </c>
      <c r="B5126" t="s">
        <v>46</v>
      </c>
      <c r="C5126">
        <v>10</v>
      </c>
      <c r="D5126" t="s">
        <v>433</v>
      </c>
      <c r="E5126" s="217">
        <v>44986</v>
      </c>
      <c r="F5126">
        <v>42827</v>
      </c>
      <c r="G5126" s="227" t="s">
        <v>108</v>
      </c>
    </row>
    <row r="5127" spans="1:7">
      <c r="A5127" s="216">
        <v>44986</v>
      </c>
      <c r="B5127" t="s">
        <v>46</v>
      </c>
      <c r="C5127">
        <v>10</v>
      </c>
      <c r="D5127" t="s">
        <v>433</v>
      </c>
      <c r="E5127" s="217">
        <v>44986</v>
      </c>
      <c r="F5127">
        <v>42851</v>
      </c>
      <c r="G5127" s="227" t="s">
        <v>103</v>
      </c>
    </row>
    <row r="5128" spans="1:7">
      <c r="A5128" s="216">
        <v>44986</v>
      </c>
      <c r="B5128" t="s">
        <v>46</v>
      </c>
      <c r="C5128">
        <v>10</v>
      </c>
      <c r="D5128" t="s">
        <v>433</v>
      </c>
      <c r="E5128" s="217">
        <v>44986</v>
      </c>
      <c r="F5128">
        <v>42439</v>
      </c>
      <c r="G5128" s="227" t="s">
        <v>86</v>
      </c>
    </row>
    <row r="5129" spans="1:7">
      <c r="A5129" s="216">
        <v>44986</v>
      </c>
      <c r="B5129" t="s">
        <v>46</v>
      </c>
      <c r="C5129">
        <v>10</v>
      </c>
      <c r="D5129" t="s">
        <v>433</v>
      </c>
      <c r="E5129" s="217">
        <v>44986</v>
      </c>
      <c r="F5129">
        <v>53901</v>
      </c>
      <c r="G5129" s="227" t="s">
        <v>130</v>
      </c>
    </row>
    <row r="5130" spans="1:7">
      <c r="A5130" s="216">
        <v>44986</v>
      </c>
      <c r="B5130" t="s">
        <v>46</v>
      </c>
      <c r="C5130">
        <v>10</v>
      </c>
      <c r="D5130" t="s">
        <v>433</v>
      </c>
      <c r="E5130" s="217">
        <v>44986</v>
      </c>
      <c r="F5130">
        <v>45345</v>
      </c>
      <c r="G5130" s="227" t="s">
        <v>126</v>
      </c>
    </row>
    <row r="5131" spans="1:7">
      <c r="A5131" s="216">
        <v>44986</v>
      </c>
      <c r="B5131" t="s">
        <v>46</v>
      </c>
      <c r="C5131">
        <v>10</v>
      </c>
      <c r="D5131" t="s">
        <v>433</v>
      </c>
      <c r="E5131" s="217">
        <v>44986</v>
      </c>
      <c r="F5131">
        <v>37592</v>
      </c>
      <c r="G5131" s="227" t="s">
        <v>122</v>
      </c>
    </row>
    <row r="5132" spans="1:7">
      <c r="A5132" s="216">
        <v>44986</v>
      </c>
      <c r="B5132" t="s">
        <v>46</v>
      </c>
      <c r="C5132">
        <v>10</v>
      </c>
      <c r="D5132" t="s">
        <v>433</v>
      </c>
      <c r="E5132" s="217">
        <v>44986</v>
      </c>
      <c r="F5132">
        <v>45347</v>
      </c>
      <c r="G5132" s="227" t="s">
        <v>91</v>
      </c>
    </row>
    <row r="5133" spans="1:7">
      <c r="A5133" s="216">
        <v>44986</v>
      </c>
      <c r="B5133" t="s">
        <v>46</v>
      </c>
      <c r="C5133">
        <v>10</v>
      </c>
      <c r="D5133" t="s">
        <v>433</v>
      </c>
      <c r="E5133" s="217">
        <v>44986</v>
      </c>
      <c r="F5133">
        <v>45838</v>
      </c>
      <c r="G5133" s="227" t="s">
        <v>99</v>
      </c>
    </row>
    <row r="5134" spans="1:7">
      <c r="A5134" s="216">
        <v>44986</v>
      </c>
      <c r="B5134" t="s">
        <v>46</v>
      </c>
      <c r="C5134">
        <v>10</v>
      </c>
      <c r="D5134" t="s">
        <v>433</v>
      </c>
      <c r="E5134" s="217">
        <v>44986</v>
      </c>
      <c r="F5134">
        <v>46081</v>
      </c>
      <c r="G5134" s="227" t="s">
        <v>95</v>
      </c>
    </row>
    <row r="5135" spans="1:7">
      <c r="A5135" s="216">
        <v>44986</v>
      </c>
      <c r="B5135" t="s">
        <v>46</v>
      </c>
      <c r="C5135">
        <v>10</v>
      </c>
      <c r="D5135" t="s">
        <v>433</v>
      </c>
      <c r="E5135" s="217">
        <v>44986</v>
      </c>
      <c r="F5135">
        <v>80561</v>
      </c>
      <c r="G5135" s="227" t="s">
        <v>113</v>
      </c>
    </row>
    <row r="5136" spans="1:7">
      <c r="A5136" s="216">
        <v>44986</v>
      </c>
      <c r="B5136" t="s">
        <v>46</v>
      </c>
      <c r="C5136">
        <v>10</v>
      </c>
      <c r="D5136" t="s">
        <v>433</v>
      </c>
      <c r="E5136" s="217">
        <v>44986</v>
      </c>
      <c r="F5136">
        <v>567608</v>
      </c>
      <c r="G5136" s="227" t="s">
        <v>434</v>
      </c>
    </row>
    <row r="5137" spans="1:7">
      <c r="A5137" s="216">
        <v>44986</v>
      </c>
      <c r="B5137" t="s">
        <v>46</v>
      </c>
      <c r="C5137">
        <v>11</v>
      </c>
      <c r="D5137" t="s">
        <v>445</v>
      </c>
      <c r="E5137" s="217">
        <v>44986</v>
      </c>
      <c r="F5137">
        <v>8474</v>
      </c>
      <c r="G5137" s="227" t="s">
        <v>81</v>
      </c>
    </row>
    <row r="5138" spans="1:7">
      <c r="A5138" s="216">
        <v>44986</v>
      </c>
      <c r="B5138" t="s">
        <v>46</v>
      </c>
      <c r="C5138">
        <v>11</v>
      </c>
      <c r="D5138" t="s">
        <v>445</v>
      </c>
      <c r="E5138" s="217">
        <v>44986</v>
      </c>
      <c r="F5138">
        <v>8532</v>
      </c>
      <c r="G5138" s="227" t="s">
        <v>117</v>
      </c>
    </row>
    <row r="5139" spans="1:7">
      <c r="A5139" s="216">
        <v>44986</v>
      </c>
      <c r="B5139" t="s">
        <v>46</v>
      </c>
      <c r="C5139">
        <v>11</v>
      </c>
      <c r="D5139" t="s">
        <v>445</v>
      </c>
      <c r="E5139" s="217">
        <v>44986</v>
      </c>
      <c r="F5139">
        <v>7264</v>
      </c>
      <c r="G5139" s="227" t="s">
        <v>108</v>
      </c>
    </row>
    <row r="5140" spans="1:7">
      <c r="A5140" s="216">
        <v>44986</v>
      </c>
      <c r="B5140" t="s">
        <v>46</v>
      </c>
      <c r="C5140">
        <v>11</v>
      </c>
      <c r="D5140" t="s">
        <v>445</v>
      </c>
      <c r="E5140" s="217">
        <v>44986</v>
      </c>
      <c r="F5140">
        <v>7806</v>
      </c>
      <c r="G5140" s="227" t="s">
        <v>103</v>
      </c>
    </row>
    <row r="5141" spans="1:7">
      <c r="A5141" s="216">
        <v>44986</v>
      </c>
      <c r="B5141" t="s">
        <v>46</v>
      </c>
      <c r="C5141">
        <v>11</v>
      </c>
      <c r="D5141" t="s">
        <v>445</v>
      </c>
      <c r="E5141" s="217">
        <v>44986</v>
      </c>
      <c r="F5141">
        <v>8797</v>
      </c>
      <c r="G5141" s="227" t="s">
        <v>86</v>
      </c>
    </row>
    <row r="5142" spans="1:7">
      <c r="A5142" s="216">
        <v>44986</v>
      </c>
      <c r="B5142" t="s">
        <v>46</v>
      </c>
      <c r="C5142">
        <v>11</v>
      </c>
      <c r="D5142" t="s">
        <v>445</v>
      </c>
      <c r="E5142" s="217">
        <v>44986</v>
      </c>
      <c r="F5142">
        <v>8974</v>
      </c>
      <c r="G5142" s="227" t="s">
        <v>130</v>
      </c>
    </row>
    <row r="5143" spans="1:7">
      <c r="A5143" s="216">
        <v>44986</v>
      </c>
      <c r="B5143" t="s">
        <v>46</v>
      </c>
      <c r="C5143">
        <v>11</v>
      </c>
      <c r="D5143" t="s">
        <v>445</v>
      </c>
      <c r="E5143" s="217">
        <v>44986</v>
      </c>
      <c r="F5143">
        <v>7476.5</v>
      </c>
      <c r="G5143" s="227" t="s">
        <v>126</v>
      </c>
    </row>
    <row r="5144" spans="1:7">
      <c r="A5144" s="216">
        <v>44986</v>
      </c>
      <c r="B5144" t="s">
        <v>46</v>
      </c>
      <c r="C5144">
        <v>11</v>
      </c>
      <c r="D5144" t="s">
        <v>445</v>
      </c>
      <c r="E5144" s="217">
        <v>44986</v>
      </c>
      <c r="F5144">
        <v>7124</v>
      </c>
      <c r="G5144" s="227" t="s">
        <v>122</v>
      </c>
    </row>
    <row r="5145" spans="1:7">
      <c r="A5145" s="216">
        <v>44986</v>
      </c>
      <c r="B5145" t="s">
        <v>46</v>
      </c>
      <c r="C5145">
        <v>11</v>
      </c>
      <c r="D5145" t="s">
        <v>445</v>
      </c>
      <c r="E5145" s="217">
        <v>44986</v>
      </c>
      <c r="F5145">
        <v>9048</v>
      </c>
      <c r="G5145" s="227" t="s">
        <v>91</v>
      </c>
    </row>
    <row r="5146" spans="1:7">
      <c r="A5146" s="216">
        <v>44986</v>
      </c>
      <c r="B5146" t="s">
        <v>46</v>
      </c>
      <c r="C5146">
        <v>11</v>
      </c>
      <c r="D5146" t="s">
        <v>445</v>
      </c>
      <c r="E5146" s="217">
        <v>44986</v>
      </c>
      <c r="F5146">
        <v>6977</v>
      </c>
      <c r="G5146" s="227" t="s">
        <v>99</v>
      </c>
    </row>
    <row r="5147" spans="1:7">
      <c r="A5147" s="216">
        <v>44986</v>
      </c>
      <c r="B5147" t="s">
        <v>46</v>
      </c>
      <c r="C5147">
        <v>11</v>
      </c>
      <c r="D5147" t="s">
        <v>445</v>
      </c>
      <c r="E5147" s="217">
        <v>44986</v>
      </c>
      <c r="F5147">
        <v>8375</v>
      </c>
      <c r="G5147" s="227" t="s">
        <v>95</v>
      </c>
    </row>
    <row r="5148" spans="1:7">
      <c r="A5148" s="216">
        <v>44986</v>
      </c>
      <c r="B5148" t="s">
        <v>46</v>
      </c>
      <c r="C5148">
        <v>11</v>
      </c>
      <c r="D5148" t="s">
        <v>445</v>
      </c>
      <c r="E5148" s="217">
        <v>44986</v>
      </c>
      <c r="F5148">
        <v>16499</v>
      </c>
      <c r="G5148" s="227" t="s">
        <v>113</v>
      </c>
    </row>
    <row r="5149" spans="1:7">
      <c r="A5149" s="216">
        <v>44986</v>
      </c>
      <c r="B5149" t="s">
        <v>46</v>
      </c>
      <c r="C5149">
        <v>11</v>
      </c>
      <c r="D5149" t="s">
        <v>445</v>
      </c>
      <c r="E5149" s="217">
        <v>44986</v>
      </c>
      <c r="F5149">
        <v>105346.5</v>
      </c>
      <c r="G5149" s="227" t="s">
        <v>434</v>
      </c>
    </row>
    <row r="5150" spans="1:7">
      <c r="A5150" s="216">
        <v>44986</v>
      </c>
      <c r="B5150" t="s">
        <v>46</v>
      </c>
      <c r="C5150">
        <v>12</v>
      </c>
      <c r="D5150" t="s">
        <v>454</v>
      </c>
      <c r="E5150" s="217">
        <v>44986</v>
      </c>
      <c r="F5150">
        <v>3976</v>
      </c>
      <c r="G5150" s="227" t="s">
        <v>81</v>
      </c>
    </row>
    <row r="5151" spans="1:7">
      <c r="A5151" s="216">
        <v>44986</v>
      </c>
      <c r="B5151" t="s">
        <v>46</v>
      </c>
      <c r="C5151">
        <v>12</v>
      </c>
      <c r="D5151" t="s">
        <v>454</v>
      </c>
      <c r="E5151" s="217">
        <v>44986</v>
      </c>
      <c r="F5151">
        <v>4604</v>
      </c>
      <c r="G5151" s="227" t="s">
        <v>117</v>
      </c>
    </row>
    <row r="5152" spans="1:7">
      <c r="A5152" s="216">
        <v>44986</v>
      </c>
      <c r="B5152" t="s">
        <v>46</v>
      </c>
      <c r="C5152">
        <v>12</v>
      </c>
      <c r="D5152" t="s">
        <v>454</v>
      </c>
      <c r="E5152" s="217">
        <v>44986</v>
      </c>
      <c r="F5152">
        <v>4229</v>
      </c>
      <c r="G5152" s="227" t="s">
        <v>108</v>
      </c>
    </row>
    <row r="5153" spans="1:7">
      <c r="A5153" s="216">
        <v>44986</v>
      </c>
      <c r="B5153" t="s">
        <v>46</v>
      </c>
      <c r="C5153">
        <v>12</v>
      </c>
      <c r="D5153" t="s">
        <v>454</v>
      </c>
      <c r="E5153" s="217">
        <v>44986</v>
      </c>
      <c r="F5153">
        <v>4024</v>
      </c>
      <c r="G5153" s="227" t="s">
        <v>103</v>
      </c>
    </row>
    <row r="5154" spans="1:7">
      <c r="A5154" s="216">
        <v>44986</v>
      </c>
      <c r="B5154" t="s">
        <v>46</v>
      </c>
      <c r="C5154">
        <v>12</v>
      </c>
      <c r="D5154" t="s">
        <v>454</v>
      </c>
      <c r="E5154" s="217">
        <v>44986</v>
      </c>
      <c r="F5154">
        <v>4674</v>
      </c>
      <c r="G5154" s="227" t="s">
        <v>86</v>
      </c>
    </row>
    <row r="5155" spans="1:7">
      <c r="A5155" s="216">
        <v>44986</v>
      </c>
      <c r="B5155" t="s">
        <v>46</v>
      </c>
      <c r="C5155">
        <v>12</v>
      </c>
      <c r="D5155" t="s">
        <v>454</v>
      </c>
      <c r="E5155" s="217">
        <v>44986</v>
      </c>
      <c r="F5155">
        <v>4961</v>
      </c>
      <c r="G5155" s="227" t="s">
        <v>130</v>
      </c>
    </row>
    <row r="5156" spans="1:7">
      <c r="A5156" s="216">
        <v>44986</v>
      </c>
      <c r="B5156" t="s">
        <v>46</v>
      </c>
      <c r="C5156">
        <v>12</v>
      </c>
      <c r="D5156" t="s">
        <v>454</v>
      </c>
      <c r="E5156" s="217">
        <v>44986</v>
      </c>
      <c r="F5156">
        <v>5231.5</v>
      </c>
      <c r="G5156" s="227" t="s">
        <v>126</v>
      </c>
    </row>
    <row r="5157" spans="1:7">
      <c r="A5157" s="216">
        <v>44986</v>
      </c>
      <c r="B5157" t="s">
        <v>46</v>
      </c>
      <c r="C5157">
        <v>12</v>
      </c>
      <c r="D5157" t="s">
        <v>454</v>
      </c>
      <c r="E5157" s="217">
        <v>44986</v>
      </c>
      <c r="F5157">
        <v>5313</v>
      </c>
      <c r="G5157" s="227" t="s">
        <v>122</v>
      </c>
    </row>
    <row r="5158" spans="1:7">
      <c r="A5158" s="216">
        <v>44986</v>
      </c>
      <c r="B5158" t="s">
        <v>46</v>
      </c>
      <c r="C5158">
        <v>12</v>
      </c>
      <c r="D5158" t="s">
        <v>454</v>
      </c>
      <c r="E5158" s="217">
        <v>44986</v>
      </c>
      <c r="F5158">
        <v>3375</v>
      </c>
      <c r="G5158" s="227" t="s">
        <v>91</v>
      </c>
    </row>
    <row r="5159" spans="1:7">
      <c r="A5159" s="216">
        <v>44986</v>
      </c>
      <c r="B5159" t="s">
        <v>46</v>
      </c>
      <c r="C5159">
        <v>12</v>
      </c>
      <c r="D5159" t="s">
        <v>454</v>
      </c>
      <c r="E5159" s="217">
        <v>44986</v>
      </c>
      <c r="F5159">
        <v>5137</v>
      </c>
      <c r="G5159" s="227" t="s">
        <v>99</v>
      </c>
    </row>
    <row r="5160" spans="1:7">
      <c r="A5160" s="216">
        <v>44986</v>
      </c>
      <c r="B5160" t="s">
        <v>46</v>
      </c>
      <c r="C5160">
        <v>12</v>
      </c>
      <c r="D5160" t="s">
        <v>454</v>
      </c>
      <c r="E5160" s="217">
        <v>44986</v>
      </c>
      <c r="F5160">
        <v>4560</v>
      </c>
      <c r="G5160" s="227" t="s">
        <v>95</v>
      </c>
    </row>
    <row r="5161" spans="1:7">
      <c r="A5161" s="216">
        <v>44986</v>
      </c>
      <c r="B5161" t="s">
        <v>46</v>
      </c>
      <c r="C5161">
        <v>12</v>
      </c>
      <c r="D5161" t="s">
        <v>454</v>
      </c>
      <c r="E5161" s="217">
        <v>44986</v>
      </c>
      <c r="F5161">
        <v>4861</v>
      </c>
      <c r="G5161" s="227" t="s">
        <v>113</v>
      </c>
    </row>
    <row r="5162" spans="1:7">
      <c r="A5162" s="216">
        <v>44986</v>
      </c>
      <c r="B5162" t="s">
        <v>46</v>
      </c>
      <c r="C5162">
        <v>12</v>
      </c>
      <c r="D5162" t="s">
        <v>454</v>
      </c>
      <c r="E5162" s="217">
        <v>44986</v>
      </c>
      <c r="F5162">
        <v>54945.5</v>
      </c>
      <c r="G5162" s="227" t="s">
        <v>434</v>
      </c>
    </row>
    <row r="5163" spans="1:7">
      <c r="A5163" s="216">
        <v>44986</v>
      </c>
      <c r="B5163" t="s">
        <v>46</v>
      </c>
      <c r="C5163">
        <v>13</v>
      </c>
      <c r="D5163" t="s">
        <v>441</v>
      </c>
      <c r="E5163" s="217">
        <v>44986</v>
      </c>
      <c r="F5163">
        <v>14138</v>
      </c>
      <c r="G5163" s="227" t="s">
        <v>81</v>
      </c>
    </row>
    <row r="5164" spans="1:7">
      <c r="A5164" s="216">
        <v>44986</v>
      </c>
      <c r="B5164" t="s">
        <v>46</v>
      </c>
      <c r="C5164">
        <v>13</v>
      </c>
      <c r="D5164" t="s">
        <v>441</v>
      </c>
      <c r="E5164" s="217">
        <v>44986</v>
      </c>
      <c r="F5164">
        <v>14233</v>
      </c>
      <c r="G5164" s="227" t="s">
        <v>117</v>
      </c>
    </row>
    <row r="5165" spans="1:7">
      <c r="A5165" s="216">
        <v>44986</v>
      </c>
      <c r="B5165" t="s">
        <v>46</v>
      </c>
      <c r="C5165">
        <v>13</v>
      </c>
      <c r="D5165" t="s">
        <v>441</v>
      </c>
      <c r="E5165" s="217">
        <v>44986</v>
      </c>
      <c r="F5165">
        <v>15035</v>
      </c>
      <c r="G5165" s="227" t="s">
        <v>108</v>
      </c>
    </row>
    <row r="5166" spans="1:7">
      <c r="A5166" s="216">
        <v>44986</v>
      </c>
      <c r="B5166" t="s">
        <v>46</v>
      </c>
      <c r="C5166">
        <v>13</v>
      </c>
      <c r="D5166" t="s">
        <v>441</v>
      </c>
      <c r="E5166" s="217">
        <v>44986</v>
      </c>
      <c r="F5166">
        <v>14964</v>
      </c>
      <c r="G5166" s="227" t="s">
        <v>103</v>
      </c>
    </row>
    <row r="5167" spans="1:7">
      <c r="A5167" s="216">
        <v>44986</v>
      </c>
      <c r="B5167" t="s">
        <v>46</v>
      </c>
      <c r="C5167">
        <v>13</v>
      </c>
      <c r="D5167" t="s">
        <v>441</v>
      </c>
      <c r="E5167" s="217">
        <v>44986</v>
      </c>
      <c r="F5167">
        <v>14414</v>
      </c>
      <c r="G5167" s="227" t="s">
        <v>86</v>
      </c>
    </row>
    <row r="5168" spans="1:7">
      <c r="A5168" s="216">
        <v>44986</v>
      </c>
      <c r="B5168" t="s">
        <v>46</v>
      </c>
      <c r="C5168">
        <v>13</v>
      </c>
      <c r="D5168" t="s">
        <v>441</v>
      </c>
      <c r="E5168" s="217">
        <v>44986</v>
      </c>
      <c r="F5168">
        <v>14617</v>
      </c>
      <c r="G5168" s="227" t="s">
        <v>130</v>
      </c>
    </row>
    <row r="5169" spans="1:7">
      <c r="A5169" s="216">
        <v>44986</v>
      </c>
      <c r="B5169" t="s">
        <v>46</v>
      </c>
      <c r="C5169">
        <v>13</v>
      </c>
      <c r="D5169" t="s">
        <v>441</v>
      </c>
      <c r="E5169" s="217">
        <v>44986</v>
      </c>
      <c r="F5169">
        <v>14357</v>
      </c>
      <c r="G5169" s="227" t="s">
        <v>126</v>
      </c>
    </row>
    <row r="5170" spans="1:7">
      <c r="A5170" s="216">
        <v>44986</v>
      </c>
      <c r="B5170" t="s">
        <v>46</v>
      </c>
      <c r="C5170">
        <v>13</v>
      </c>
      <c r="D5170" t="s">
        <v>441</v>
      </c>
      <c r="E5170" s="217">
        <v>44986</v>
      </c>
      <c r="F5170">
        <v>14474</v>
      </c>
      <c r="G5170" s="227" t="s">
        <v>122</v>
      </c>
    </row>
    <row r="5171" spans="1:7">
      <c r="A5171" s="216">
        <v>44986</v>
      </c>
      <c r="B5171" t="s">
        <v>46</v>
      </c>
      <c r="C5171">
        <v>13</v>
      </c>
      <c r="D5171" t="s">
        <v>441</v>
      </c>
      <c r="E5171" s="217">
        <v>44986</v>
      </c>
      <c r="F5171">
        <v>14699</v>
      </c>
      <c r="G5171" s="227" t="s">
        <v>91</v>
      </c>
    </row>
    <row r="5172" spans="1:7">
      <c r="A5172" s="216">
        <v>44986</v>
      </c>
      <c r="B5172" t="s">
        <v>46</v>
      </c>
      <c r="C5172">
        <v>13</v>
      </c>
      <c r="D5172" t="s">
        <v>441</v>
      </c>
      <c r="E5172" s="217">
        <v>44986</v>
      </c>
      <c r="F5172">
        <v>16079</v>
      </c>
      <c r="G5172" s="227" t="s">
        <v>99</v>
      </c>
    </row>
    <row r="5173" spans="1:7">
      <c r="A5173" s="216">
        <v>44986</v>
      </c>
      <c r="B5173" t="s">
        <v>46</v>
      </c>
      <c r="C5173">
        <v>13</v>
      </c>
      <c r="D5173" t="s">
        <v>441</v>
      </c>
      <c r="E5173" s="217">
        <v>44986</v>
      </c>
      <c r="F5173">
        <v>17690</v>
      </c>
      <c r="G5173" s="227" t="s">
        <v>95</v>
      </c>
    </row>
    <row r="5174" spans="1:7">
      <c r="A5174" s="216">
        <v>44986</v>
      </c>
      <c r="B5174" t="s">
        <v>46</v>
      </c>
      <c r="C5174">
        <v>13</v>
      </c>
      <c r="D5174" t="s">
        <v>441</v>
      </c>
      <c r="E5174" s="217">
        <v>44986</v>
      </c>
      <c r="F5174">
        <v>15042</v>
      </c>
      <c r="G5174" s="227" t="s">
        <v>113</v>
      </c>
    </row>
    <row r="5175" spans="1:7">
      <c r="A5175" s="216">
        <v>44986</v>
      </c>
      <c r="B5175" t="s">
        <v>46</v>
      </c>
      <c r="C5175">
        <v>13</v>
      </c>
      <c r="D5175" t="s">
        <v>441</v>
      </c>
      <c r="E5175" s="217">
        <v>44986</v>
      </c>
      <c r="F5175">
        <v>179742</v>
      </c>
      <c r="G5175" s="227" t="s">
        <v>434</v>
      </c>
    </row>
    <row r="5176" spans="1:7">
      <c r="A5176" s="216">
        <v>44986</v>
      </c>
      <c r="B5176" t="s">
        <v>46</v>
      </c>
      <c r="C5176">
        <v>14</v>
      </c>
      <c r="D5176" t="s">
        <v>447</v>
      </c>
      <c r="E5176" s="217">
        <v>44986</v>
      </c>
      <c r="F5176">
        <v>0</v>
      </c>
      <c r="G5176" s="227" t="s">
        <v>81</v>
      </c>
    </row>
    <row r="5177" spans="1:7">
      <c r="A5177" s="216">
        <v>44986</v>
      </c>
      <c r="B5177" t="s">
        <v>46</v>
      </c>
      <c r="C5177">
        <v>14</v>
      </c>
      <c r="D5177" t="s">
        <v>447</v>
      </c>
      <c r="E5177" s="217">
        <v>44986</v>
      </c>
      <c r="F5177">
        <v>0</v>
      </c>
      <c r="G5177" s="227" t="s">
        <v>117</v>
      </c>
    </row>
    <row r="5178" spans="1:7">
      <c r="A5178" s="216">
        <v>44986</v>
      </c>
      <c r="B5178" t="s">
        <v>46</v>
      </c>
      <c r="C5178">
        <v>14</v>
      </c>
      <c r="D5178" t="s">
        <v>447</v>
      </c>
      <c r="E5178" s="217">
        <v>44986</v>
      </c>
      <c r="F5178">
        <v>0</v>
      </c>
      <c r="G5178" s="227" t="s">
        <v>108</v>
      </c>
    </row>
    <row r="5179" spans="1:7">
      <c r="A5179" s="216">
        <v>44986</v>
      </c>
      <c r="B5179" t="s">
        <v>46</v>
      </c>
      <c r="C5179">
        <v>14</v>
      </c>
      <c r="D5179" t="s">
        <v>447</v>
      </c>
      <c r="E5179" s="217">
        <v>44986</v>
      </c>
      <c r="F5179">
        <v>0</v>
      </c>
      <c r="G5179" s="227" t="s">
        <v>103</v>
      </c>
    </row>
    <row r="5180" spans="1:7">
      <c r="A5180" s="216">
        <v>44986</v>
      </c>
      <c r="B5180" t="s">
        <v>46</v>
      </c>
      <c r="C5180">
        <v>14</v>
      </c>
      <c r="D5180" t="s">
        <v>447</v>
      </c>
      <c r="E5180" s="217">
        <v>44986</v>
      </c>
      <c r="F5180">
        <v>0</v>
      </c>
      <c r="G5180" s="227" t="s">
        <v>86</v>
      </c>
    </row>
    <row r="5181" spans="1:7">
      <c r="A5181" s="216">
        <v>44986</v>
      </c>
      <c r="B5181" t="s">
        <v>46</v>
      </c>
      <c r="C5181">
        <v>14</v>
      </c>
      <c r="D5181" t="s">
        <v>447</v>
      </c>
      <c r="E5181" s="217">
        <v>44986</v>
      </c>
      <c r="F5181">
        <v>0</v>
      </c>
      <c r="G5181" s="227" t="s">
        <v>130</v>
      </c>
    </row>
    <row r="5182" spans="1:7">
      <c r="A5182" s="216">
        <v>44986</v>
      </c>
      <c r="B5182" t="s">
        <v>46</v>
      </c>
      <c r="C5182">
        <v>14</v>
      </c>
      <c r="D5182" t="s">
        <v>447</v>
      </c>
      <c r="E5182" s="217">
        <v>44986</v>
      </c>
      <c r="F5182">
        <v>0</v>
      </c>
      <c r="G5182" s="227" t="s">
        <v>126</v>
      </c>
    </row>
    <row r="5183" spans="1:7">
      <c r="A5183" s="216">
        <v>44986</v>
      </c>
      <c r="B5183" t="s">
        <v>46</v>
      </c>
      <c r="C5183">
        <v>14</v>
      </c>
      <c r="D5183" t="s">
        <v>447</v>
      </c>
      <c r="E5183" s="217">
        <v>44986</v>
      </c>
      <c r="F5183">
        <v>0</v>
      </c>
      <c r="G5183" s="227" t="s">
        <v>122</v>
      </c>
    </row>
    <row r="5184" spans="1:7">
      <c r="A5184" s="216">
        <v>44986</v>
      </c>
      <c r="B5184" t="s">
        <v>46</v>
      </c>
      <c r="C5184">
        <v>14</v>
      </c>
      <c r="D5184" t="s">
        <v>447</v>
      </c>
      <c r="E5184" s="217">
        <v>44986</v>
      </c>
      <c r="F5184">
        <v>0</v>
      </c>
      <c r="G5184" s="227" t="s">
        <v>91</v>
      </c>
    </row>
    <row r="5185" spans="1:7">
      <c r="A5185" s="216">
        <v>44986</v>
      </c>
      <c r="B5185" t="s">
        <v>46</v>
      </c>
      <c r="C5185">
        <v>14</v>
      </c>
      <c r="D5185" t="s">
        <v>447</v>
      </c>
      <c r="E5185" s="217">
        <v>44986</v>
      </c>
      <c r="F5185">
        <v>0</v>
      </c>
      <c r="G5185" s="227" t="s">
        <v>99</v>
      </c>
    </row>
    <row r="5186" spans="1:7">
      <c r="A5186" s="216">
        <v>44986</v>
      </c>
      <c r="B5186" t="s">
        <v>46</v>
      </c>
      <c r="C5186">
        <v>14</v>
      </c>
      <c r="D5186" t="s">
        <v>447</v>
      </c>
      <c r="E5186" s="217">
        <v>44986</v>
      </c>
      <c r="F5186">
        <v>0</v>
      </c>
      <c r="G5186" s="227" t="s">
        <v>95</v>
      </c>
    </row>
    <row r="5187" spans="1:7">
      <c r="A5187" s="216">
        <v>44986</v>
      </c>
      <c r="B5187" t="s">
        <v>46</v>
      </c>
      <c r="C5187">
        <v>14</v>
      </c>
      <c r="D5187" t="s">
        <v>447</v>
      </c>
      <c r="E5187" s="217">
        <v>44986</v>
      </c>
      <c r="F5187">
        <v>0</v>
      </c>
      <c r="G5187" s="227" t="s">
        <v>113</v>
      </c>
    </row>
    <row r="5188" spans="1:7">
      <c r="A5188" s="216">
        <v>44986</v>
      </c>
      <c r="B5188" t="s">
        <v>46</v>
      </c>
      <c r="C5188">
        <v>14</v>
      </c>
      <c r="D5188" t="s">
        <v>447</v>
      </c>
      <c r="E5188" s="217">
        <v>44986</v>
      </c>
      <c r="F5188">
        <v>0</v>
      </c>
      <c r="G5188" s="227" t="s">
        <v>434</v>
      </c>
    </row>
    <row r="5189" spans="1:7">
      <c r="A5189" s="216">
        <v>44986</v>
      </c>
      <c r="B5189" t="s">
        <v>46</v>
      </c>
      <c r="C5189">
        <v>15</v>
      </c>
      <c r="D5189" t="s">
        <v>437</v>
      </c>
      <c r="E5189" s="217">
        <v>44986</v>
      </c>
      <c r="F5189">
        <v>4182</v>
      </c>
      <c r="G5189" s="227" t="s">
        <v>81</v>
      </c>
    </row>
    <row r="5190" spans="1:7">
      <c r="A5190" s="216">
        <v>44986</v>
      </c>
      <c r="B5190" t="s">
        <v>46</v>
      </c>
      <c r="C5190">
        <v>15</v>
      </c>
      <c r="D5190" t="s">
        <v>437</v>
      </c>
      <c r="E5190" s="217">
        <v>44986</v>
      </c>
      <c r="F5190">
        <v>4327</v>
      </c>
      <c r="G5190" s="227" t="s">
        <v>117</v>
      </c>
    </row>
    <row r="5191" spans="1:7">
      <c r="A5191" s="216">
        <v>44986</v>
      </c>
      <c r="B5191" t="s">
        <v>46</v>
      </c>
      <c r="C5191">
        <v>15</v>
      </c>
      <c r="D5191" t="s">
        <v>437</v>
      </c>
      <c r="E5191" s="217">
        <v>44986</v>
      </c>
      <c r="F5191">
        <v>4186</v>
      </c>
      <c r="G5191" s="227" t="s">
        <v>108</v>
      </c>
    </row>
    <row r="5192" spans="1:7">
      <c r="A5192" s="216">
        <v>44986</v>
      </c>
      <c r="B5192" t="s">
        <v>46</v>
      </c>
      <c r="C5192">
        <v>15</v>
      </c>
      <c r="D5192" t="s">
        <v>437</v>
      </c>
      <c r="E5192" s="217">
        <v>44986</v>
      </c>
      <c r="F5192">
        <v>4227</v>
      </c>
      <c r="G5192" s="227" t="s">
        <v>103</v>
      </c>
    </row>
    <row r="5193" spans="1:7">
      <c r="A5193" s="216">
        <v>44986</v>
      </c>
      <c r="B5193" t="s">
        <v>46</v>
      </c>
      <c r="C5193">
        <v>15</v>
      </c>
      <c r="D5193" t="s">
        <v>437</v>
      </c>
      <c r="E5193" s="217">
        <v>44986</v>
      </c>
      <c r="F5193">
        <v>5493</v>
      </c>
      <c r="G5193" s="227" t="s">
        <v>86</v>
      </c>
    </row>
    <row r="5194" spans="1:7">
      <c r="A5194" s="216">
        <v>44986</v>
      </c>
      <c r="B5194" t="s">
        <v>46</v>
      </c>
      <c r="C5194">
        <v>15</v>
      </c>
      <c r="D5194" t="s">
        <v>437</v>
      </c>
      <c r="E5194" s="217">
        <v>44986</v>
      </c>
      <c r="F5194">
        <v>4518</v>
      </c>
      <c r="G5194" s="227" t="s">
        <v>130</v>
      </c>
    </row>
    <row r="5195" spans="1:7">
      <c r="A5195" s="216">
        <v>44986</v>
      </c>
      <c r="B5195" t="s">
        <v>46</v>
      </c>
      <c r="C5195">
        <v>15</v>
      </c>
      <c r="D5195" t="s">
        <v>437</v>
      </c>
      <c r="E5195" s="217">
        <v>44986</v>
      </c>
      <c r="F5195">
        <v>4566</v>
      </c>
      <c r="G5195" s="227" t="s">
        <v>126</v>
      </c>
    </row>
    <row r="5196" spans="1:7">
      <c r="A5196" s="216">
        <v>44986</v>
      </c>
      <c r="B5196" t="s">
        <v>46</v>
      </c>
      <c r="C5196">
        <v>15</v>
      </c>
      <c r="D5196" t="s">
        <v>437</v>
      </c>
      <c r="E5196" s="217">
        <v>44986</v>
      </c>
      <c r="F5196">
        <v>4292</v>
      </c>
      <c r="G5196" s="227" t="s">
        <v>122</v>
      </c>
    </row>
    <row r="5197" spans="1:7">
      <c r="A5197" s="216">
        <v>44986</v>
      </c>
      <c r="B5197" t="s">
        <v>46</v>
      </c>
      <c r="C5197">
        <v>15</v>
      </c>
      <c r="D5197" t="s">
        <v>437</v>
      </c>
      <c r="E5197" s="217">
        <v>44986</v>
      </c>
      <c r="F5197">
        <v>4130</v>
      </c>
      <c r="G5197" s="227" t="s">
        <v>91</v>
      </c>
    </row>
    <row r="5198" spans="1:7">
      <c r="A5198" s="216">
        <v>44986</v>
      </c>
      <c r="B5198" t="s">
        <v>46</v>
      </c>
      <c r="C5198">
        <v>15</v>
      </c>
      <c r="D5198" t="s">
        <v>437</v>
      </c>
      <c r="E5198" s="217">
        <v>44986</v>
      </c>
      <c r="F5198">
        <v>4430</v>
      </c>
      <c r="G5198" s="227" t="s">
        <v>99</v>
      </c>
    </row>
    <row r="5199" spans="1:7">
      <c r="A5199" s="216">
        <v>44986</v>
      </c>
      <c r="B5199" t="s">
        <v>46</v>
      </c>
      <c r="C5199">
        <v>15</v>
      </c>
      <c r="D5199" t="s">
        <v>437</v>
      </c>
      <c r="E5199" s="217">
        <v>44986</v>
      </c>
      <c r="F5199">
        <v>4288</v>
      </c>
      <c r="G5199" s="227" t="s">
        <v>95</v>
      </c>
    </row>
    <row r="5200" spans="1:7">
      <c r="A5200" s="216">
        <v>44986</v>
      </c>
      <c r="B5200" t="s">
        <v>46</v>
      </c>
      <c r="C5200">
        <v>15</v>
      </c>
      <c r="D5200" t="s">
        <v>437</v>
      </c>
      <c r="E5200" s="217">
        <v>44986</v>
      </c>
      <c r="F5200">
        <v>4558</v>
      </c>
      <c r="G5200" s="227" t="s">
        <v>113</v>
      </c>
    </row>
    <row r="5201" spans="1:7">
      <c r="A5201" s="216">
        <v>44986</v>
      </c>
      <c r="B5201" t="s">
        <v>46</v>
      </c>
      <c r="C5201">
        <v>15</v>
      </c>
      <c r="D5201" t="s">
        <v>437</v>
      </c>
      <c r="E5201" s="217">
        <v>44986</v>
      </c>
      <c r="F5201">
        <v>53197</v>
      </c>
      <c r="G5201" s="227" t="s">
        <v>434</v>
      </c>
    </row>
    <row r="5202" spans="1:7">
      <c r="A5202" s="216">
        <v>44986</v>
      </c>
      <c r="B5202" t="s">
        <v>51</v>
      </c>
      <c r="C5202">
        <v>7</v>
      </c>
      <c r="D5202" t="s">
        <v>442</v>
      </c>
      <c r="E5202" s="217">
        <v>44986</v>
      </c>
      <c r="F5202">
        <v>21574</v>
      </c>
      <c r="G5202" s="227" t="s">
        <v>81</v>
      </c>
    </row>
    <row r="5203" spans="1:7">
      <c r="A5203" s="216">
        <v>44986</v>
      </c>
      <c r="B5203" t="s">
        <v>51</v>
      </c>
      <c r="C5203">
        <v>7</v>
      </c>
      <c r="D5203" t="s">
        <v>442</v>
      </c>
      <c r="E5203" s="217">
        <v>44986</v>
      </c>
      <c r="F5203">
        <v>22651</v>
      </c>
      <c r="G5203" s="227" t="s">
        <v>117</v>
      </c>
    </row>
    <row r="5204" spans="1:7">
      <c r="A5204" s="216">
        <v>44986</v>
      </c>
      <c r="B5204" t="s">
        <v>51</v>
      </c>
      <c r="C5204">
        <v>7</v>
      </c>
      <c r="D5204" t="s">
        <v>442</v>
      </c>
      <c r="E5204" s="217">
        <v>44986</v>
      </c>
      <c r="F5204">
        <v>21891</v>
      </c>
      <c r="G5204" s="227" t="s">
        <v>108</v>
      </c>
    </row>
    <row r="5205" spans="1:7">
      <c r="A5205" s="216">
        <v>44986</v>
      </c>
      <c r="B5205" t="s">
        <v>51</v>
      </c>
      <c r="C5205">
        <v>7</v>
      </c>
      <c r="D5205" t="s">
        <v>442</v>
      </c>
      <c r="E5205" s="217">
        <v>44986</v>
      </c>
      <c r="F5205">
        <v>20012</v>
      </c>
      <c r="G5205" s="227" t="s">
        <v>103</v>
      </c>
    </row>
    <row r="5206" spans="1:7">
      <c r="A5206" s="216">
        <v>44986</v>
      </c>
      <c r="B5206" t="s">
        <v>51</v>
      </c>
      <c r="C5206">
        <v>7</v>
      </c>
      <c r="D5206" t="s">
        <v>442</v>
      </c>
      <c r="E5206" s="217">
        <v>44986</v>
      </c>
      <c r="F5206">
        <v>23372</v>
      </c>
      <c r="G5206" s="227" t="s">
        <v>86</v>
      </c>
    </row>
    <row r="5207" spans="1:7">
      <c r="A5207" s="216">
        <v>44986</v>
      </c>
      <c r="B5207" t="s">
        <v>51</v>
      </c>
      <c r="C5207">
        <v>7</v>
      </c>
      <c r="D5207" t="s">
        <v>442</v>
      </c>
      <c r="E5207" s="217">
        <v>44986</v>
      </c>
      <c r="F5207">
        <v>25257</v>
      </c>
      <c r="G5207" s="227" t="s">
        <v>130</v>
      </c>
    </row>
    <row r="5208" spans="1:7">
      <c r="A5208" s="216">
        <v>44986</v>
      </c>
      <c r="B5208" t="s">
        <v>51</v>
      </c>
      <c r="C5208">
        <v>7</v>
      </c>
      <c r="D5208" t="s">
        <v>442</v>
      </c>
      <c r="E5208" s="217">
        <v>44986</v>
      </c>
      <c r="F5208">
        <v>24865</v>
      </c>
      <c r="G5208" s="227" t="s">
        <v>126</v>
      </c>
    </row>
    <row r="5209" spans="1:7">
      <c r="A5209" s="216">
        <v>44986</v>
      </c>
      <c r="B5209" t="s">
        <v>51</v>
      </c>
      <c r="C5209">
        <v>7</v>
      </c>
      <c r="D5209" t="s">
        <v>442</v>
      </c>
      <c r="E5209" s="217">
        <v>44986</v>
      </c>
      <c r="F5209">
        <v>22695</v>
      </c>
      <c r="G5209" s="227" t="s">
        <v>122</v>
      </c>
    </row>
    <row r="5210" spans="1:7">
      <c r="A5210" s="216">
        <v>44986</v>
      </c>
      <c r="B5210" t="s">
        <v>51</v>
      </c>
      <c r="C5210">
        <v>7</v>
      </c>
      <c r="D5210" t="s">
        <v>442</v>
      </c>
      <c r="E5210" s="217">
        <v>44986</v>
      </c>
      <c r="F5210">
        <v>24462</v>
      </c>
      <c r="G5210" s="227" t="s">
        <v>91</v>
      </c>
    </row>
    <row r="5211" spans="1:7">
      <c r="A5211" s="216">
        <v>44986</v>
      </c>
      <c r="B5211" t="s">
        <v>51</v>
      </c>
      <c r="C5211">
        <v>7</v>
      </c>
      <c r="D5211" t="s">
        <v>442</v>
      </c>
      <c r="E5211" s="217">
        <v>44986</v>
      </c>
      <c r="F5211">
        <v>25410</v>
      </c>
      <c r="G5211" s="227" t="s">
        <v>99</v>
      </c>
    </row>
    <row r="5212" spans="1:7">
      <c r="A5212" s="216">
        <v>44986</v>
      </c>
      <c r="B5212" t="s">
        <v>51</v>
      </c>
      <c r="C5212">
        <v>7</v>
      </c>
      <c r="D5212" t="s">
        <v>442</v>
      </c>
      <c r="E5212" s="217">
        <v>44986</v>
      </c>
      <c r="F5212">
        <v>24342</v>
      </c>
      <c r="G5212" s="227" t="s">
        <v>95</v>
      </c>
    </row>
    <row r="5213" spans="1:7">
      <c r="A5213" s="216">
        <v>44986</v>
      </c>
      <c r="B5213" t="s">
        <v>51</v>
      </c>
      <c r="C5213">
        <v>7</v>
      </c>
      <c r="D5213" t="s">
        <v>442</v>
      </c>
      <c r="E5213" s="217">
        <v>44986</v>
      </c>
      <c r="F5213">
        <v>33521</v>
      </c>
      <c r="G5213" s="227" t="s">
        <v>113</v>
      </c>
    </row>
    <row r="5214" spans="1:7">
      <c r="A5214" s="216">
        <v>44986</v>
      </c>
      <c r="B5214" t="s">
        <v>51</v>
      </c>
      <c r="C5214">
        <v>7</v>
      </c>
      <c r="D5214" t="s">
        <v>442</v>
      </c>
      <c r="E5214" s="217">
        <v>44986</v>
      </c>
      <c r="F5214">
        <v>290052</v>
      </c>
      <c r="G5214" s="227" t="s">
        <v>434</v>
      </c>
    </row>
    <row r="5215" spans="1:7">
      <c r="A5215" s="216">
        <v>44986</v>
      </c>
      <c r="B5215" t="s">
        <v>51</v>
      </c>
      <c r="C5215">
        <v>8</v>
      </c>
      <c r="D5215" t="s">
        <v>451</v>
      </c>
      <c r="E5215" s="217">
        <v>44986</v>
      </c>
      <c r="F5215">
        <v>0</v>
      </c>
      <c r="G5215" s="227" t="s">
        <v>81</v>
      </c>
    </row>
    <row r="5216" spans="1:7">
      <c r="A5216" s="216">
        <v>44986</v>
      </c>
      <c r="B5216" t="s">
        <v>51</v>
      </c>
      <c r="C5216">
        <v>8</v>
      </c>
      <c r="D5216" t="s">
        <v>451</v>
      </c>
      <c r="E5216" s="217">
        <v>44986</v>
      </c>
      <c r="F5216">
        <v>0</v>
      </c>
      <c r="G5216" s="227" t="s">
        <v>117</v>
      </c>
    </row>
    <row r="5217" spans="1:7">
      <c r="A5217" s="216">
        <v>44986</v>
      </c>
      <c r="B5217" t="s">
        <v>51</v>
      </c>
      <c r="C5217">
        <v>8</v>
      </c>
      <c r="D5217" t="s">
        <v>451</v>
      </c>
      <c r="E5217" s="217">
        <v>44986</v>
      </c>
      <c r="F5217">
        <v>0</v>
      </c>
      <c r="G5217" s="227" t="s">
        <v>108</v>
      </c>
    </row>
    <row r="5218" spans="1:7">
      <c r="A5218" s="216">
        <v>44986</v>
      </c>
      <c r="B5218" t="s">
        <v>51</v>
      </c>
      <c r="C5218">
        <v>8</v>
      </c>
      <c r="D5218" t="s">
        <v>451</v>
      </c>
      <c r="E5218" s="217">
        <v>44986</v>
      </c>
      <c r="F5218">
        <v>0</v>
      </c>
      <c r="G5218" s="227" t="s">
        <v>103</v>
      </c>
    </row>
    <row r="5219" spans="1:7">
      <c r="A5219" s="216">
        <v>44986</v>
      </c>
      <c r="B5219" t="s">
        <v>51</v>
      </c>
      <c r="C5219">
        <v>8</v>
      </c>
      <c r="D5219" t="s">
        <v>451</v>
      </c>
      <c r="E5219" s="217">
        <v>44986</v>
      </c>
      <c r="F5219">
        <v>0</v>
      </c>
      <c r="G5219" s="227" t="s">
        <v>86</v>
      </c>
    </row>
    <row r="5220" spans="1:7">
      <c r="A5220" s="216">
        <v>44986</v>
      </c>
      <c r="B5220" t="s">
        <v>51</v>
      </c>
      <c r="C5220">
        <v>8</v>
      </c>
      <c r="D5220" t="s">
        <v>451</v>
      </c>
      <c r="E5220" s="217">
        <v>44986</v>
      </c>
      <c r="F5220">
        <v>0</v>
      </c>
      <c r="G5220" s="227" t="s">
        <v>130</v>
      </c>
    </row>
    <row r="5221" spans="1:7">
      <c r="A5221" s="216">
        <v>44986</v>
      </c>
      <c r="B5221" t="s">
        <v>51</v>
      </c>
      <c r="C5221">
        <v>8</v>
      </c>
      <c r="D5221" t="s">
        <v>451</v>
      </c>
      <c r="E5221" s="217">
        <v>44986</v>
      </c>
      <c r="F5221">
        <v>0</v>
      </c>
      <c r="G5221" s="227" t="s">
        <v>126</v>
      </c>
    </row>
    <row r="5222" spans="1:7">
      <c r="A5222" s="216">
        <v>44986</v>
      </c>
      <c r="B5222" t="s">
        <v>51</v>
      </c>
      <c r="C5222">
        <v>8</v>
      </c>
      <c r="D5222" t="s">
        <v>451</v>
      </c>
      <c r="E5222" s="217">
        <v>44986</v>
      </c>
      <c r="F5222">
        <v>0</v>
      </c>
      <c r="G5222" s="227" t="s">
        <v>122</v>
      </c>
    </row>
    <row r="5223" spans="1:7">
      <c r="A5223" s="216">
        <v>44986</v>
      </c>
      <c r="B5223" t="s">
        <v>51</v>
      </c>
      <c r="C5223">
        <v>8</v>
      </c>
      <c r="D5223" t="s">
        <v>451</v>
      </c>
      <c r="E5223" s="217">
        <v>44986</v>
      </c>
      <c r="F5223">
        <v>0</v>
      </c>
      <c r="G5223" s="227" t="s">
        <v>91</v>
      </c>
    </row>
    <row r="5224" spans="1:7">
      <c r="A5224" s="216">
        <v>44986</v>
      </c>
      <c r="B5224" t="s">
        <v>51</v>
      </c>
      <c r="C5224">
        <v>8</v>
      </c>
      <c r="D5224" t="s">
        <v>451</v>
      </c>
      <c r="E5224" s="217">
        <v>44986</v>
      </c>
      <c r="F5224">
        <v>0</v>
      </c>
      <c r="G5224" s="227" t="s">
        <v>99</v>
      </c>
    </row>
    <row r="5225" spans="1:7">
      <c r="A5225" s="216">
        <v>44986</v>
      </c>
      <c r="B5225" t="s">
        <v>51</v>
      </c>
      <c r="C5225">
        <v>8</v>
      </c>
      <c r="D5225" t="s">
        <v>451</v>
      </c>
      <c r="E5225" s="217">
        <v>44986</v>
      </c>
      <c r="F5225">
        <v>0</v>
      </c>
      <c r="G5225" s="227" t="s">
        <v>95</v>
      </c>
    </row>
    <row r="5226" spans="1:7">
      <c r="A5226" s="216">
        <v>44986</v>
      </c>
      <c r="B5226" t="s">
        <v>51</v>
      </c>
      <c r="C5226">
        <v>8</v>
      </c>
      <c r="D5226" t="s">
        <v>451</v>
      </c>
      <c r="E5226" s="217">
        <v>44986</v>
      </c>
      <c r="F5226">
        <v>0</v>
      </c>
      <c r="G5226" s="227" t="s">
        <v>113</v>
      </c>
    </row>
    <row r="5227" spans="1:7">
      <c r="A5227" s="216">
        <v>44986</v>
      </c>
      <c r="B5227" t="s">
        <v>51</v>
      </c>
      <c r="C5227">
        <v>8</v>
      </c>
      <c r="D5227" t="s">
        <v>451</v>
      </c>
      <c r="E5227" s="217">
        <v>44986</v>
      </c>
      <c r="F5227">
        <v>0</v>
      </c>
      <c r="G5227" s="227" t="s">
        <v>434</v>
      </c>
    </row>
    <row r="5228" spans="1:7">
      <c r="A5228" s="216">
        <v>44986</v>
      </c>
      <c r="B5228" t="s">
        <v>51</v>
      </c>
      <c r="C5228">
        <v>9</v>
      </c>
      <c r="D5228" t="s">
        <v>450</v>
      </c>
      <c r="E5228" s="217">
        <v>44986</v>
      </c>
      <c r="F5228">
        <v>0</v>
      </c>
      <c r="G5228" s="227" t="s">
        <v>81</v>
      </c>
    </row>
    <row r="5229" spans="1:7">
      <c r="A5229" s="216">
        <v>44986</v>
      </c>
      <c r="B5229" t="s">
        <v>51</v>
      </c>
      <c r="C5229">
        <v>9</v>
      </c>
      <c r="D5229" t="s">
        <v>450</v>
      </c>
      <c r="E5229" s="217">
        <v>44986</v>
      </c>
      <c r="F5229">
        <v>0</v>
      </c>
      <c r="G5229" s="227" t="s">
        <v>117</v>
      </c>
    </row>
    <row r="5230" spans="1:7">
      <c r="A5230" s="216">
        <v>44986</v>
      </c>
      <c r="B5230" t="s">
        <v>51</v>
      </c>
      <c r="C5230">
        <v>9</v>
      </c>
      <c r="D5230" t="s">
        <v>450</v>
      </c>
      <c r="E5230" s="217">
        <v>44986</v>
      </c>
      <c r="F5230">
        <v>0</v>
      </c>
      <c r="G5230" s="227" t="s">
        <v>108</v>
      </c>
    </row>
    <row r="5231" spans="1:7">
      <c r="A5231" s="216">
        <v>44986</v>
      </c>
      <c r="B5231" t="s">
        <v>51</v>
      </c>
      <c r="C5231">
        <v>9</v>
      </c>
      <c r="D5231" t="s">
        <v>450</v>
      </c>
      <c r="E5231" s="217">
        <v>44986</v>
      </c>
      <c r="F5231">
        <v>0</v>
      </c>
      <c r="G5231" s="227" t="s">
        <v>103</v>
      </c>
    </row>
    <row r="5232" spans="1:7">
      <c r="A5232" s="216">
        <v>44986</v>
      </c>
      <c r="B5232" t="s">
        <v>51</v>
      </c>
      <c r="C5232">
        <v>9</v>
      </c>
      <c r="D5232" t="s">
        <v>450</v>
      </c>
      <c r="E5232" s="217">
        <v>44986</v>
      </c>
      <c r="F5232">
        <v>0</v>
      </c>
      <c r="G5232" s="227" t="s">
        <v>86</v>
      </c>
    </row>
    <row r="5233" spans="1:7">
      <c r="A5233" s="216">
        <v>44986</v>
      </c>
      <c r="B5233" t="s">
        <v>51</v>
      </c>
      <c r="C5233">
        <v>9</v>
      </c>
      <c r="D5233" t="s">
        <v>450</v>
      </c>
      <c r="E5233" s="217">
        <v>44986</v>
      </c>
      <c r="F5233">
        <v>0</v>
      </c>
      <c r="G5233" s="227" t="s">
        <v>130</v>
      </c>
    </row>
    <row r="5234" spans="1:7">
      <c r="A5234" s="216">
        <v>44986</v>
      </c>
      <c r="B5234" t="s">
        <v>51</v>
      </c>
      <c r="C5234">
        <v>9</v>
      </c>
      <c r="D5234" t="s">
        <v>450</v>
      </c>
      <c r="E5234" s="217">
        <v>44986</v>
      </c>
      <c r="F5234">
        <v>0</v>
      </c>
      <c r="G5234" s="227" t="s">
        <v>126</v>
      </c>
    </row>
    <row r="5235" spans="1:7">
      <c r="A5235" s="216">
        <v>44986</v>
      </c>
      <c r="B5235" t="s">
        <v>51</v>
      </c>
      <c r="C5235">
        <v>9</v>
      </c>
      <c r="D5235" t="s">
        <v>450</v>
      </c>
      <c r="E5235" s="217">
        <v>44986</v>
      </c>
      <c r="F5235">
        <v>0</v>
      </c>
      <c r="G5235" s="227" t="s">
        <v>122</v>
      </c>
    </row>
    <row r="5236" spans="1:7">
      <c r="A5236" s="216">
        <v>44986</v>
      </c>
      <c r="B5236" t="s">
        <v>51</v>
      </c>
      <c r="C5236">
        <v>9</v>
      </c>
      <c r="D5236" t="s">
        <v>450</v>
      </c>
      <c r="E5236" s="217">
        <v>44986</v>
      </c>
      <c r="F5236">
        <v>0</v>
      </c>
      <c r="G5236" s="227" t="s">
        <v>91</v>
      </c>
    </row>
    <row r="5237" spans="1:7">
      <c r="A5237" s="216">
        <v>44986</v>
      </c>
      <c r="B5237" t="s">
        <v>51</v>
      </c>
      <c r="C5237">
        <v>9</v>
      </c>
      <c r="D5237" t="s">
        <v>450</v>
      </c>
      <c r="E5237" s="217">
        <v>44986</v>
      </c>
      <c r="F5237">
        <v>0</v>
      </c>
      <c r="G5237" s="227" t="s">
        <v>99</v>
      </c>
    </row>
    <row r="5238" spans="1:7">
      <c r="A5238" s="216">
        <v>44986</v>
      </c>
      <c r="B5238" t="s">
        <v>51</v>
      </c>
      <c r="C5238">
        <v>9</v>
      </c>
      <c r="D5238" t="s">
        <v>450</v>
      </c>
      <c r="E5238" s="217">
        <v>44986</v>
      </c>
      <c r="F5238">
        <v>0</v>
      </c>
      <c r="G5238" s="227" t="s">
        <v>95</v>
      </c>
    </row>
    <row r="5239" spans="1:7">
      <c r="A5239" s="216">
        <v>44986</v>
      </c>
      <c r="B5239" t="s">
        <v>51</v>
      </c>
      <c r="C5239">
        <v>9</v>
      </c>
      <c r="D5239" t="s">
        <v>450</v>
      </c>
      <c r="E5239" s="217">
        <v>44986</v>
      </c>
      <c r="F5239">
        <v>0</v>
      </c>
      <c r="G5239" s="227" t="s">
        <v>113</v>
      </c>
    </row>
    <row r="5240" spans="1:7">
      <c r="A5240" s="216">
        <v>44986</v>
      </c>
      <c r="B5240" t="s">
        <v>51</v>
      </c>
      <c r="C5240">
        <v>9</v>
      </c>
      <c r="D5240" t="s">
        <v>450</v>
      </c>
      <c r="E5240" s="217">
        <v>44986</v>
      </c>
      <c r="F5240">
        <v>0</v>
      </c>
      <c r="G5240" s="227" t="s">
        <v>434</v>
      </c>
    </row>
    <row r="5241" spans="1:7">
      <c r="A5241" s="216">
        <v>44986</v>
      </c>
      <c r="B5241" t="s">
        <v>51</v>
      </c>
      <c r="C5241">
        <v>10</v>
      </c>
      <c r="D5241" t="s">
        <v>433</v>
      </c>
      <c r="E5241" s="217">
        <v>44986</v>
      </c>
      <c r="F5241">
        <v>1841</v>
      </c>
      <c r="G5241" s="227" t="s">
        <v>81</v>
      </c>
    </row>
    <row r="5242" spans="1:7">
      <c r="A5242" s="216">
        <v>44986</v>
      </c>
      <c r="B5242" t="s">
        <v>51</v>
      </c>
      <c r="C5242">
        <v>10</v>
      </c>
      <c r="D5242" t="s">
        <v>433</v>
      </c>
      <c r="E5242" s="217">
        <v>44986</v>
      </c>
      <c r="F5242">
        <v>1902</v>
      </c>
      <c r="G5242" s="227" t="s">
        <v>117</v>
      </c>
    </row>
    <row r="5243" spans="1:7">
      <c r="A5243" s="216">
        <v>44986</v>
      </c>
      <c r="B5243" t="s">
        <v>51</v>
      </c>
      <c r="C5243">
        <v>10</v>
      </c>
      <c r="D5243" t="s">
        <v>433</v>
      </c>
      <c r="E5243" s="217">
        <v>44986</v>
      </c>
      <c r="F5243">
        <v>1844</v>
      </c>
      <c r="G5243" s="227" t="s">
        <v>108</v>
      </c>
    </row>
    <row r="5244" spans="1:7">
      <c r="A5244" s="216">
        <v>44986</v>
      </c>
      <c r="B5244" t="s">
        <v>51</v>
      </c>
      <c r="C5244">
        <v>10</v>
      </c>
      <c r="D5244" t="s">
        <v>433</v>
      </c>
      <c r="E5244" s="217">
        <v>44986</v>
      </c>
      <c r="F5244">
        <v>1897</v>
      </c>
      <c r="G5244" s="227" t="s">
        <v>103</v>
      </c>
    </row>
    <row r="5245" spans="1:7">
      <c r="A5245" s="216">
        <v>44986</v>
      </c>
      <c r="B5245" t="s">
        <v>51</v>
      </c>
      <c r="C5245">
        <v>10</v>
      </c>
      <c r="D5245" t="s">
        <v>433</v>
      </c>
      <c r="E5245" s="217">
        <v>44986</v>
      </c>
      <c r="F5245">
        <v>1922</v>
      </c>
      <c r="G5245" s="227" t="s">
        <v>86</v>
      </c>
    </row>
    <row r="5246" spans="1:7">
      <c r="A5246" s="216">
        <v>44986</v>
      </c>
      <c r="B5246" t="s">
        <v>51</v>
      </c>
      <c r="C5246">
        <v>10</v>
      </c>
      <c r="D5246" t="s">
        <v>433</v>
      </c>
      <c r="E5246" s="217">
        <v>44986</v>
      </c>
      <c r="F5246">
        <v>2264</v>
      </c>
      <c r="G5246" s="227" t="s">
        <v>130</v>
      </c>
    </row>
    <row r="5247" spans="1:7">
      <c r="A5247" s="216">
        <v>44986</v>
      </c>
      <c r="B5247" t="s">
        <v>51</v>
      </c>
      <c r="C5247">
        <v>10</v>
      </c>
      <c r="D5247" t="s">
        <v>433</v>
      </c>
      <c r="E5247" s="217">
        <v>44986</v>
      </c>
      <c r="F5247">
        <v>2053</v>
      </c>
      <c r="G5247" s="227" t="s">
        <v>126</v>
      </c>
    </row>
    <row r="5248" spans="1:7">
      <c r="A5248" s="216">
        <v>44986</v>
      </c>
      <c r="B5248" t="s">
        <v>51</v>
      </c>
      <c r="C5248">
        <v>10</v>
      </c>
      <c r="D5248" t="s">
        <v>433</v>
      </c>
      <c r="E5248" s="217">
        <v>44986</v>
      </c>
      <c r="F5248">
        <v>2015</v>
      </c>
      <c r="G5248" s="227" t="s">
        <v>122</v>
      </c>
    </row>
    <row r="5249" spans="1:7">
      <c r="A5249" s="216">
        <v>44986</v>
      </c>
      <c r="B5249" t="s">
        <v>51</v>
      </c>
      <c r="C5249">
        <v>10</v>
      </c>
      <c r="D5249" t="s">
        <v>433</v>
      </c>
      <c r="E5249" s="217">
        <v>44986</v>
      </c>
      <c r="F5249">
        <v>2110</v>
      </c>
      <c r="G5249" s="227" t="s">
        <v>91</v>
      </c>
    </row>
    <row r="5250" spans="1:7">
      <c r="A5250" s="216">
        <v>44986</v>
      </c>
      <c r="B5250" t="s">
        <v>51</v>
      </c>
      <c r="C5250">
        <v>10</v>
      </c>
      <c r="D5250" t="s">
        <v>433</v>
      </c>
      <c r="E5250" s="217">
        <v>44986</v>
      </c>
      <c r="F5250">
        <v>2103</v>
      </c>
      <c r="G5250" s="227" t="s">
        <v>99</v>
      </c>
    </row>
    <row r="5251" spans="1:7">
      <c r="A5251" s="216">
        <v>44986</v>
      </c>
      <c r="B5251" t="s">
        <v>51</v>
      </c>
      <c r="C5251">
        <v>10</v>
      </c>
      <c r="D5251" t="s">
        <v>433</v>
      </c>
      <c r="E5251" s="217">
        <v>44986</v>
      </c>
      <c r="F5251">
        <v>2173</v>
      </c>
      <c r="G5251" s="227" t="s">
        <v>95</v>
      </c>
    </row>
    <row r="5252" spans="1:7">
      <c r="A5252" s="216">
        <v>44986</v>
      </c>
      <c r="B5252" t="s">
        <v>51</v>
      </c>
      <c r="C5252">
        <v>10</v>
      </c>
      <c r="D5252" t="s">
        <v>433</v>
      </c>
      <c r="E5252" s="217">
        <v>44986</v>
      </c>
      <c r="F5252">
        <v>3439</v>
      </c>
      <c r="G5252" s="227" t="s">
        <v>113</v>
      </c>
    </row>
    <row r="5253" spans="1:7">
      <c r="A5253" s="216">
        <v>44986</v>
      </c>
      <c r="B5253" t="s">
        <v>51</v>
      </c>
      <c r="C5253">
        <v>10</v>
      </c>
      <c r="D5253" t="s">
        <v>433</v>
      </c>
      <c r="E5253" s="217">
        <v>44986</v>
      </c>
      <c r="F5253">
        <v>25563</v>
      </c>
      <c r="G5253" s="227" t="s">
        <v>434</v>
      </c>
    </row>
    <row r="5254" spans="1:7">
      <c r="A5254" s="216">
        <v>44986</v>
      </c>
      <c r="B5254" t="s">
        <v>51</v>
      </c>
      <c r="C5254">
        <v>11</v>
      </c>
      <c r="D5254" t="s">
        <v>445</v>
      </c>
      <c r="E5254" s="217">
        <v>44986</v>
      </c>
      <c r="F5254">
        <v>584</v>
      </c>
      <c r="G5254" s="227" t="s">
        <v>81</v>
      </c>
    </row>
    <row r="5255" spans="1:7">
      <c r="A5255" s="216">
        <v>44986</v>
      </c>
      <c r="B5255" t="s">
        <v>51</v>
      </c>
      <c r="C5255">
        <v>11</v>
      </c>
      <c r="D5255" t="s">
        <v>445</v>
      </c>
      <c r="E5255" s="217">
        <v>44986</v>
      </c>
      <c r="F5255">
        <v>767</v>
      </c>
      <c r="G5255" s="227" t="s">
        <v>117</v>
      </c>
    </row>
    <row r="5256" spans="1:7">
      <c r="A5256" s="216">
        <v>44986</v>
      </c>
      <c r="B5256" t="s">
        <v>51</v>
      </c>
      <c r="C5256">
        <v>11</v>
      </c>
      <c r="D5256" t="s">
        <v>445</v>
      </c>
      <c r="E5256" s="217">
        <v>44986</v>
      </c>
      <c r="F5256">
        <v>832</v>
      </c>
      <c r="G5256" s="227" t="s">
        <v>108</v>
      </c>
    </row>
    <row r="5257" spans="1:7">
      <c r="A5257" s="216">
        <v>44986</v>
      </c>
      <c r="B5257" t="s">
        <v>51</v>
      </c>
      <c r="C5257">
        <v>11</v>
      </c>
      <c r="D5257" t="s">
        <v>445</v>
      </c>
      <c r="E5257" s="217">
        <v>44986</v>
      </c>
      <c r="F5257">
        <v>850</v>
      </c>
      <c r="G5257" s="227" t="s">
        <v>103</v>
      </c>
    </row>
    <row r="5258" spans="1:7">
      <c r="A5258" s="216">
        <v>44986</v>
      </c>
      <c r="B5258" t="s">
        <v>51</v>
      </c>
      <c r="C5258">
        <v>11</v>
      </c>
      <c r="D5258" t="s">
        <v>445</v>
      </c>
      <c r="E5258" s="217">
        <v>44986</v>
      </c>
      <c r="F5258">
        <v>842</v>
      </c>
      <c r="G5258" s="227" t="s">
        <v>86</v>
      </c>
    </row>
    <row r="5259" spans="1:7">
      <c r="A5259" s="216">
        <v>44986</v>
      </c>
      <c r="B5259" t="s">
        <v>51</v>
      </c>
      <c r="C5259">
        <v>11</v>
      </c>
      <c r="D5259" t="s">
        <v>445</v>
      </c>
      <c r="E5259" s="217">
        <v>44986</v>
      </c>
      <c r="F5259">
        <v>868</v>
      </c>
      <c r="G5259" s="227" t="s">
        <v>130</v>
      </c>
    </row>
    <row r="5260" spans="1:7">
      <c r="A5260" s="216">
        <v>44986</v>
      </c>
      <c r="B5260" t="s">
        <v>51</v>
      </c>
      <c r="C5260">
        <v>11</v>
      </c>
      <c r="D5260" t="s">
        <v>445</v>
      </c>
      <c r="E5260" s="217">
        <v>44986</v>
      </c>
      <c r="F5260">
        <v>850</v>
      </c>
      <c r="G5260" s="227" t="s">
        <v>126</v>
      </c>
    </row>
    <row r="5261" spans="1:7">
      <c r="A5261" s="216">
        <v>44986</v>
      </c>
      <c r="B5261" t="s">
        <v>51</v>
      </c>
      <c r="C5261">
        <v>11</v>
      </c>
      <c r="D5261" t="s">
        <v>445</v>
      </c>
      <c r="E5261" s="217">
        <v>44986</v>
      </c>
      <c r="F5261">
        <v>869</v>
      </c>
      <c r="G5261" s="227" t="s">
        <v>122</v>
      </c>
    </row>
    <row r="5262" spans="1:7">
      <c r="A5262" s="216">
        <v>44986</v>
      </c>
      <c r="B5262" t="s">
        <v>51</v>
      </c>
      <c r="C5262">
        <v>11</v>
      </c>
      <c r="D5262" t="s">
        <v>445</v>
      </c>
      <c r="E5262" s="217">
        <v>44986</v>
      </c>
      <c r="F5262">
        <v>1042</v>
      </c>
      <c r="G5262" s="227" t="s">
        <v>91</v>
      </c>
    </row>
    <row r="5263" spans="1:7">
      <c r="A5263" s="216">
        <v>44986</v>
      </c>
      <c r="B5263" t="s">
        <v>51</v>
      </c>
      <c r="C5263">
        <v>11</v>
      </c>
      <c r="D5263" t="s">
        <v>445</v>
      </c>
      <c r="E5263" s="217">
        <v>44986</v>
      </c>
      <c r="F5263">
        <v>1930</v>
      </c>
      <c r="G5263" s="227" t="s">
        <v>99</v>
      </c>
    </row>
    <row r="5264" spans="1:7">
      <c r="A5264" s="216">
        <v>44986</v>
      </c>
      <c r="B5264" t="s">
        <v>51</v>
      </c>
      <c r="C5264">
        <v>11</v>
      </c>
      <c r="D5264" t="s">
        <v>445</v>
      </c>
      <c r="E5264" s="217">
        <v>44986</v>
      </c>
      <c r="F5264">
        <v>1067</v>
      </c>
      <c r="G5264" s="227" t="s">
        <v>95</v>
      </c>
    </row>
    <row r="5265" spans="1:7">
      <c r="A5265" s="216">
        <v>44986</v>
      </c>
      <c r="B5265" t="s">
        <v>51</v>
      </c>
      <c r="C5265">
        <v>11</v>
      </c>
      <c r="D5265" t="s">
        <v>445</v>
      </c>
      <c r="E5265" s="217">
        <v>44986</v>
      </c>
      <c r="F5265">
        <v>2488</v>
      </c>
      <c r="G5265" s="227" t="s">
        <v>113</v>
      </c>
    </row>
    <row r="5266" spans="1:7">
      <c r="A5266" s="216">
        <v>44986</v>
      </c>
      <c r="B5266" t="s">
        <v>51</v>
      </c>
      <c r="C5266">
        <v>11</v>
      </c>
      <c r="D5266" t="s">
        <v>445</v>
      </c>
      <c r="E5266" s="217">
        <v>44986</v>
      </c>
      <c r="F5266">
        <v>12989</v>
      </c>
      <c r="G5266" s="227" t="s">
        <v>434</v>
      </c>
    </row>
    <row r="5267" spans="1:7">
      <c r="A5267" s="216">
        <v>44986</v>
      </c>
      <c r="B5267" t="s">
        <v>51</v>
      </c>
      <c r="C5267">
        <v>12</v>
      </c>
      <c r="D5267" t="s">
        <v>454</v>
      </c>
      <c r="E5267" s="217">
        <v>44986</v>
      </c>
      <c r="F5267">
        <v>0</v>
      </c>
      <c r="G5267" s="227" t="s">
        <v>81</v>
      </c>
    </row>
    <row r="5268" spans="1:7">
      <c r="A5268" s="216">
        <v>44986</v>
      </c>
      <c r="B5268" t="s">
        <v>51</v>
      </c>
      <c r="C5268">
        <v>12</v>
      </c>
      <c r="D5268" t="s">
        <v>454</v>
      </c>
      <c r="E5268" s="217">
        <v>44986</v>
      </c>
      <c r="F5268">
        <v>0</v>
      </c>
      <c r="G5268" s="227" t="s">
        <v>117</v>
      </c>
    </row>
    <row r="5269" spans="1:7">
      <c r="A5269" s="216">
        <v>44986</v>
      </c>
      <c r="B5269" t="s">
        <v>51</v>
      </c>
      <c r="C5269">
        <v>12</v>
      </c>
      <c r="D5269" t="s">
        <v>454</v>
      </c>
      <c r="E5269" s="217">
        <v>44986</v>
      </c>
      <c r="F5269">
        <v>0</v>
      </c>
      <c r="G5269" s="227" t="s">
        <v>108</v>
      </c>
    </row>
    <row r="5270" spans="1:7">
      <c r="A5270" s="216">
        <v>44986</v>
      </c>
      <c r="B5270" t="s">
        <v>51</v>
      </c>
      <c r="C5270">
        <v>12</v>
      </c>
      <c r="D5270" t="s">
        <v>454</v>
      </c>
      <c r="E5270" s="217">
        <v>44986</v>
      </c>
      <c r="F5270">
        <v>0</v>
      </c>
      <c r="G5270" s="227" t="s">
        <v>103</v>
      </c>
    </row>
    <row r="5271" spans="1:7">
      <c r="A5271" s="216">
        <v>44986</v>
      </c>
      <c r="B5271" t="s">
        <v>51</v>
      </c>
      <c r="C5271">
        <v>12</v>
      </c>
      <c r="D5271" t="s">
        <v>454</v>
      </c>
      <c r="E5271" s="217">
        <v>44986</v>
      </c>
      <c r="F5271">
        <v>0</v>
      </c>
      <c r="G5271" s="227" t="s">
        <v>86</v>
      </c>
    </row>
    <row r="5272" spans="1:7">
      <c r="A5272" s="216">
        <v>44986</v>
      </c>
      <c r="B5272" t="s">
        <v>51</v>
      </c>
      <c r="C5272">
        <v>12</v>
      </c>
      <c r="D5272" t="s">
        <v>454</v>
      </c>
      <c r="E5272" s="217">
        <v>44986</v>
      </c>
      <c r="F5272">
        <v>0</v>
      </c>
      <c r="G5272" s="227" t="s">
        <v>130</v>
      </c>
    </row>
    <row r="5273" spans="1:7">
      <c r="A5273" s="216">
        <v>44986</v>
      </c>
      <c r="B5273" t="s">
        <v>51</v>
      </c>
      <c r="C5273">
        <v>12</v>
      </c>
      <c r="D5273" t="s">
        <v>454</v>
      </c>
      <c r="E5273" s="217">
        <v>44986</v>
      </c>
      <c r="F5273">
        <v>0</v>
      </c>
      <c r="G5273" s="227" t="s">
        <v>126</v>
      </c>
    </row>
    <row r="5274" spans="1:7">
      <c r="A5274" s="216">
        <v>44986</v>
      </c>
      <c r="B5274" t="s">
        <v>51</v>
      </c>
      <c r="C5274">
        <v>12</v>
      </c>
      <c r="D5274" t="s">
        <v>454</v>
      </c>
      <c r="E5274" s="217">
        <v>44986</v>
      </c>
      <c r="F5274">
        <v>0</v>
      </c>
      <c r="G5274" s="227" t="s">
        <v>122</v>
      </c>
    </row>
    <row r="5275" spans="1:7">
      <c r="A5275" s="216">
        <v>44986</v>
      </c>
      <c r="B5275" t="s">
        <v>51</v>
      </c>
      <c r="C5275">
        <v>12</v>
      </c>
      <c r="D5275" t="s">
        <v>454</v>
      </c>
      <c r="E5275" s="217">
        <v>44986</v>
      </c>
      <c r="F5275">
        <v>0</v>
      </c>
      <c r="G5275" s="227" t="s">
        <v>91</v>
      </c>
    </row>
    <row r="5276" spans="1:7">
      <c r="A5276" s="216">
        <v>44986</v>
      </c>
      <c r="B5276" t="s">
        <v>51</v>
      </c>
      <c r="C5276">
        <v>12</v>
      </c>
      <c r="D5276" t="s">
        <v>454</v>
      </c>
      <c r="E5276" s="217">
        <v>44986</v>
      </c>
      <c r="F5276">
        <v>0</v>
      </c>
      <c r="G5276" s="227" t="s">
        <v>99</v>
      </c>
    </row>
    <row r="5277" spans="1:7">
      <c r="A5277" s="216">
        <v>44986</v>
      </c>
      <c r="B5277" t="s">
        <v>51</v>
      </c>
      <c r="C5277">
        <v>12</v>
      </c>
      <c r="D5277" t="s">
        <v>454</v>
      </c>
      <c r="E5277" s="217">
        <v>44986</v>
      </c>
      <c r="F5277">
        <v>0</v>
      </c>
      <c r="G5277" s="227" t="s">
        <v>95</v>
      </c>
    </row>
    <row r="5278" spans="1:7">
      <c r="A5278" s="216">
        <v>44986</v>
      </c>
      <c r="B5278" t="s">
        <v>51</v>
      </c>
      <c r="C5278">
        <v>12</v>
      </c>
      <c r="D5278" t="s">
        <v>454</v>
      </c>
      <c r="E5278" s="217">
        <v>44986</v>
      </c>
      <c r="F5278">
        <v>0</v>
      </c>
      <c r="G5278" s="227" t="s">
        <v>113</v>
      </c>
    </row>
    <row r="5279" spans="1:7">
      <c r="A5279" s="216">
        <v>44986</v>
      </c>
      <c r="B5279" t="s">
        <v>51</v>
      </c>
      <c r="C5279">
        <v>12</v>
      </c>
      <c r="D5279" t="s">
        <v>454</v>
      </c>
      <c r="E5279" s="217">
        <v>44986</v>
      </c>
      <c r="F5279">
        <v>0</v>
      </c>
      <c r="G5279" s="227" t="s">
        <v>434</v>
      </c>
    </row>
    <row r="5280" spans="1:7">
      <c r="A5280" s="216">
        <v>44986</v>
      </c>
      <c r="B5280" t="s">
        <v>51</v>
      </c>
      <c r="C5280">
        <v>13</v>
      </c>
      <c r="D5280" t="s">
        <v>441</v>
      </c>
      <c r="E5280" s="217">
        <v>44986</v>
      </c>
      <c r="F5280">
        <v>0</v>
      </c>
      <c r="G5280" s="227" t="s">
        <v>81</v>
      </c>
    </row>
    <row r="5281" spans="1:7">
      <c r="A5281" s="216">
        <v>44986</v>
      </c>
      <c r="B5281" t="s">
        <v>51</v>
      </c>
      <c r="C5281">
        <v>13</v>
      </c>
      <c r="D5281" t="s">
        <v>441</v>
      </c>
      <c r="E5281" s="217">
        <v>44986</v>
      </c>
      <c r="F5281">
        <v>0</v>
      </c>
      <c r="G5281" s="227" t="s">
        <v>117</v>
      </c>
    </row>
    <row r="5282" spans="1:7">
      <c r="A5282" s="216">
        <v>44986</v>
      </c>
      <c r="B5282" t="s">
        <v>51</v>
      </c>
      <c r="C5282">
        <v>13</v>
      </c>
      <c r="D5282" t="s">
        <v>441</v>
      </c>
      <c r="E5282" s="217">
        <v>44986</v>
      </c>
      <c r="F5282">
        <v>0</v>
      </c>
      <c r="G5282" s="227" t="s">
        <v>108</v>
      </c>
    </row>
    <row r="5283" spans="1:7">
      <c r="A5283" s="216">
        <v>44986</v>
      </c>
      <c r="B5283" t="s">
        <v>51</v>
      </c>
      <c r="C5283">
        <v>13</v>
      </c>
      <c r="D5283" t="s">
        <v>441</v>
      </c>
      <c r="E5283" s="217">
        <v>44986</v>
      </c>
      <c r="F5283">
        <v>0</v>
      </c>
      <c r="G5283" s="227" t="s">
        <v>103</v>
      </c>
    </row>
    <row r="5284" spans="1:7">
      <c r="A5284" s="216">
        <v>44986</v>
      </c>
      <c r="B5284" t="s">
        <v>51</v>
      </c>
      <c r="C5284">
        <v>13</v>
      </c>
      <c r="D5284" t="s">
        <v>441</v>
      </c>
      <c r="E5284" s="217">
        <v>44986</v>
      </c>
      <c r="F5284">
        <v>0</v>
      </c>
      <c r="G5284" s="227" t="s">
        <v>86</v>
      </c>
    </row>
    <row r="5285" spans="1:7">
      <c r="A5285" s="216">
        <v>44986</v>
      </c>
      <c r="B5285" t="s">
        <v>51</v>
      </c>
      <c r="C5285">
        <v>13</v>
      </c>
      <c r="D5285" t="s">
        <v>441</v>
      </c>
      <c r="E5285" s="217">
        <v>44986</v>
      </c>
      <c r="F5285">
        <v>0</v>
      </c>
      <c r="G5285" s="227" t="s">
        <v>130</v>
      </c>
    </row>
    <row r="5286" spans="1:7">
      <c r="A5286" s="216">
        <v>44986</v>
      </c>
      <c r="B5286" t="s">
        <v>51</v>
      </c>
      <c r="C5286">
        <v>13</v>
      </c>
      <c r="D5286" t="s">
        <v>441</v>
      </c>
      <c r="E5286" s="217">
        <v>44986</v>
      </c>
      <c r="F5286">
        <v>0</v>
      </c>
      <c r="G5286" s="227" t="s">
        <v>126</v>
      </c>
    </row>
    <row r="5287" spans="1:7">
      <c r="A5287" s="216">
        <v>44986</v>
      </c>
      <c r="B5287" t="s">
        <v>51</v>
      </c>
      <c r="C5287">
        <v>13</v>
      </c>
      <c r="D5287" t="s">
        <v>441</v>
      </c>
      <c r="E5287" s="217">
        <v>44986</v>
      </c>
      <c r="F5287">
        <v>0</v>
      </c>
      <c r="G5287" s="227" t="s">
        <v>122</v>
      </c>
    </row>
    <row r="5288" spans="1:7">
      <c r="A5288" s="216">
        <v>44986</v>
      </c>
      <c r="B5288" t="s">
        <v>51</v>
      </c>
      <c r="C5288">
        <v>13</v>
      </c>
      <c r="D5288" t="s">
        <v>441</v>
      </c>
      <c r="E5288" s="217">
        <v>44986</v>
      </c>
      <c r="F5288">
        <v>0</v>
      </c>
      <c r="G5288" s="227" t="s">
        <v>91</v>
      </c>
    </row>
    <row r="5289" spans="1:7">
      <c r="A5289" s="216">
        <v>44986</v>
      </c>
      <c r="B5289" t="s">
        <v>51</v>
      </c>
      <c r="C5289">
        <v>13</v>
      </c>
      <c r="D5289" t="s">
        <v>441</v>
      </c>
      <c r="E5289" s="217">
        <v>44986</v>
      </c>
      <c r="F5289">
        <v>0</v>
      </c>
      <c r="G5289" s="227" t="s">
        <v>99</v>
      </c>
    </row>
    <row r="5290" spans="1:7">
      <c r="A5290" s="216">
        <v>44986</v>
      </c>
      <c r="B5290" t="s">
        <v>51</v>
      </c>
      <c r="C5290">
        <v>13</v>
      </c>
      <c r="D5290" t="s">
        <v>441</v>
      </c>
      <c r="E5290" s="217">
        <v>44986</v>
      </c>
      <c r="F5290">
        <v>0</v>
      </c>
      <c r="G5290" s="227" t="s">
        <v>95</v>
      </c>
    </row>
    <row r="5291" spans="1:7">
      <c r="A5291" s="216">
        <v>44986</v>
      </c>
      <c r="B5291" t="s">
        <v>51</v>
      </c>
      <c r="C5291">
        <v>13</v>
      </c>
      <c r="D5291" t="s">
        <v>441</v>
      </c>
      <c r="E5291" s="217">
        <v>44986</v>
      </c>
      <c r="F5291">
        <v>0</v>
      </c>
      <c r="G5291" s="227" t="s">
        <v>113</v>
      </c>
    </row>
    <row r="5292" spans="1:7">
      <c r="A5292" s="216">
        <v>44986</v>
      </c>
      <c r="B5292" t="s">
        <v>51</v>
      </c>
      <c r="C5292">
        <v>13</v>
      </c>
      <c r="D5292" t="s">
        <v>441</v>
      </c>
      <c r="E5292" s="217">
        <v>44986</v>
      </c>
      <c r="F5292">
        <v>0</v>
      </c>
      <c r="G5292" s="227" t="s">
        <v>434</v>
      </c>
    </row>
    <row r="5293" spans="1:7">
      <c r="A5293" s="216">
        <v>44986</v>
      </c>
      <c r="B5293" t="s">
        <v>51</v>
      </c>
      <c r="C5293">
        <v>14</v>
      </c>
      <c r="D5293" t="s">
        <v>447</v>
      </c>
      <c r="E5293" s="217">
        <v>44986</v>
      </c>
      <c r="F5293">
        <v>0</v>
      </c>
      <c r="G5293" s="227" t="s">
        <v>81</v>
      </c>
    </row>
    <row r="5294" spans="1:7">
      <c r="A5294" s="216">
        <v>44986</v>
      </c>
      <c r="B5294" t="s">
        <v>51</v>
      </c>
      <c r="C5294">
        <v>14</v>
      </c>
      <c r="D5294" t="s">
        <v>447</v>
      </c>
      <c r="E5294" s="217">
        <v>44986</v>
      </c>
      <c r="F5294">
        <v>0</v>
      </c>
      <c r="G5294" s="227" t="s">
        <v>117</v>
      </c>
    </row>
    <row r="5295" spans="1:7">
      <c r="A5295" s="216">
        <v>44986</v>
      </c>
      <c r="B5295" t="s">
        <v>51</v>
      </c>
      <c r="C5295">
        <v>14</v>
      </c>
      <c r="D5295" t="s">
        <v>447</v>
      </c>
      <c r="E5295" s="217">
        <v>44986</v>
      </c>
      <c r="F5295">
        <v>0</v>
      </c>
      <c r="G5295" s="227" t="s">
        <v>108</v>
      </c>
    </row>
    <row r="5296" spans="1:7">
      <c r="A5296" s="216">
        <v>44986</v>
      </c>
      <c r="B5296" t="s">
        <v>51</v>
      </c>
      <c r="C5296">
        <v>14</v>
      </c>
      <c r="D5296" t="s">
        <v>447</v>
      </c>
      <c r="E5296" s="217">
        <v>44986</v>
      </c>
      <c r="F5296">
        <v>0</v>
      </c>
      <c r="G5296" s="227" t="s">
        <v>103</v>
      </c>
    </row>
    <row r="5297" spans="1:7">
      <c r="A5297" s="216">
        <v>44986</v>
      </c>
      <c r="B5297" t="s">
        <v>51</v>
      </c>
      <c r="C5297">
        <v>14</v>
      </c>
      <c r="D5297" t="s">
        <v>447</v>
      </c>
      <c r="E5297" s="217">
        <v>44986</v>
      </c>
      <c r="F5297">
        <v>0</v>
      </c>
      <c r="G5297" s="227" t="s">
        <v>86</v>
      </c>
    </row>
    <row r="5298" spans="1:7">
      <c r="A5298" s="216">
        <v>44986</v>
      </c>
      <c r="B5298" t="s">
        <v>51</v>
      </c>
      <c r="C5298">
        <v>14</v>
      </c>
      <c r="D5298" t="s">
        <v>447</v>
      </c>
      <c r="E5298" s="217">
        <v>44986</v>
      </c>
      <c r="F5298">
        <v>0</v>
      </c>
      <c r="G5298" s="227" t="s">
        <v>130</v>
      </c>
    </row>
    <row r="5299" spans="1:7">
      <c r="A5299" s="216">
        <v>44986</v>
      </c>
      <c r="B5299" t="s">
        <v>51</v>
      </c>
      <c r="C5299">
        <v>14</v>
      </c>
      <c r="D5299" t="s">
        <v>447</v>
      </c>
      <c r="E5299" s="217">
        <v>44986</v>
      </c>
      <c r="F5299">
        <v>0</v>
      </c>
      <c r="G5299" s="227" t="s">
        <v>126</v>
      </c>
    </row>
    <row r="5300" spans="1:7">
      <c r="A5300" s="216">
        <v>44986</v>
      </c>
      <c r="B5300" t="s">
        <v>51</v>
      </c>
      <c r="C5300">
        <v>14</v>
      </c>
      <c r="D5300" t="s">
        <v>447</v>
      </c>
      <c r="E5300" s="217">
        <v>44986</v>
      </c>
      <c r="F5300">
        <v>0</v>
      </c>
      <c r="G5300" s="227" t="s">
        <v>122</v>
      </c>
    </row>
    <row r="5301" spans="1:7">
      <c r="A5301" s="216">
        <v>44986</v>
      </c>
      <c r="B5301" t="s">
        <v>51</v>
      </c>
      <c r="C5301">
        <v>14</v>
      </c>
      <c r="D5301" t="s">
        <v>447</v>
      </c>
      <c r="E5301" s="217">
        <v>44986</v>
      </c>
      <c r="F5301">
        <v>0</v>
      </c>
      <c r="G5301" s="227" t="s">
        <v>91</v>
      </c>
    </row>
    <row r="5302" spans="1:7">
      <c r="A5302" s="216">
        <v>44986</v>
      </c>
      <c r="B5302" t="s">
        <v>51</v>
      </c>
      <c r="C5302">
        <v>14</v>
      </c>
      <c r="D5302" t="s">
        <v>447</v>
      </c>
      <c r="E5302" s="217">
        <v>44986</v>
      </c>
      <c r="F5302">
        <v>0</v>
      </c>
      <c r="G5302" s="227" t="s">
        <v>99</v>
      </c>
    </row>
    <row r="5303" spans="1:7">
      <c r="A5303" s="216">
        <v>44986</v>
      </c>
      <c r="B5303" t="s">
        <v>51</v>
      </c>
      <c r="C5303">
        <v>14</v>
      </c>
      <c r="D5303" t="s">
        <v>447</v>
      </c>
      <c r="E5303" s="217">
        <v>44986</v>
      </c>
      <c r="F5303">
        <v>0</v>
      </c>
      <c r="G5303" s="227" t="s">
        <v>95</v>
      </c>
    </row>
    <row r="5304" spans="1:7">
      <c r="A5304" s="216">
        <v>44986</v>
      </c>
      <c r="B5304" t="s">
        <v>51</v>
      </c>
      <c r="C5304">
        <v>14</v>
      </c>
      <c r="D5304" t="s">
        <v>447</v>
      </c>
      <c r="E5304" s="217">
        <v>44986</v>
      </c>
      <c r="F5304">
        <v>0</v>
      </c>
      <c r="G5304" s="227" t="s">
        <v>113</v>
      </c>
    </row>
    <row r="5305" spans="1:7">
      <c r="A5305" s="216">
        <v>44986</v>
      </c>
      <c r="B5305" t="s">
        <v>51</v>
      </c>
      <c r="C5305">
        <v>14</v>
      </c>
      <c r="D5305" t="s">
        <v>447</v>
      </c>
      <c r="E5305" s="217">
        <v>44986</v>
      </c>
      <c r="F5305">
        <v>0</v>
      </c>
      <c r="G5305" s="227" t="s">
        <v>434</v>
      </c>
    </row>
    <row r="5306" spans="1:7">
      <c r="A5306" s="216">
        <v>44986</v>
      </c>
      <c r="B5306" t="s">
        <v>51</v>
      </c>
      <c r="C5306">
        <v>15</v>
      </c>
      <c r="D5306" t="s">
        <v>437</v>
      </c>
      <c r="E5306" s="217">
        <v>44986</v>
      </c>
      <c r="F5306">
        <v>0</v>
      </c>
      <c r="G5306" s="227" t="s">
        <v>81</v>
      </c>
    </row>
    <row r="5307" spans="1:7">
      <c r="A5307" s="216">
        <v>44986</v>
      </c>
      <c r="B5307" t="s">
        <v>51</v>
      </c>
      <c r="C5307">
        <v>15</v>
      </c>
      <c r="D5307" t="s">
        <v>437</v>
      </c>
      <c r="E5307" s="217">
        <v>44986</v>
      </c>
      <c r="F5307">
        <v>0</v>
      </c>
      <c r="G5307" s="227" t="s">
        <v>117</v>
      </c>
    </row>
    <row r="5308" spans="1:7">
      <c r="A5308" s="216">
        <v>44986</v>
      </c>
      <c r="B5308" t="s">
        <v>51</v>
      </c>
      <c r="C5308">
        <v>15</v>
      </c>
      <c r="D5308" t="s">
        <v>437</v>
      </c>
      <c r="E5308" s="217">
        <v>44986</v>
      </c>
      <c r="F5308">
        <v>0</v>
      </c>
      <c r="G5308" s="227" t="s">
        <v>108</v>
      </c>
    </row>
    <row r="5309" spans="1:7">
      <c r="A5309" s="216">
        <v>44986</v>
      </c>
      <c r="B5309" t="s">
        <v>51</v>
      </c>
      <c r="C5309">
        <v>15</v>
      </c>
      <c r="D5309" t="s">
        <v>437</v>
      </c>
      <c r="E5309" s="217">
        <v>44986</v>
      </c>
      <c r="F5309">
        <v>0</v>
      </c>
      <c r="G5309" s="227" t="s">
        <v>103</v>
      </c>
    </row>
    <row r="5310" spans="1:7">
      <c r="A5310" s="216">
        <v>44986</v>
      </c>
      <c r="B5310" t="s">
        <v>51</v>
      </c>
      <c r="C5310">
        <v>15</v>
      </c>
      <c r="D5310" t="s">
        <v>437</v>
      </c>
      <c r="E5310" s="217">
        <v>44986</v>
      </c>
      <c r="F5310">
        <v>0</v>
      </c>
      <c r="G5310" s="227" t="s">
        <v>86</v>
      </c>
    </row>
    <row r="5311" spans="1:7">
      <c r="A5311" s="216">
        <v>44986</v>
      </c>
      <c r="B5311" t="s">
        <v>51</v>
      </c>
      <c r="C5311">
        <v>15</v>
      </c>
      <c r="D5311" t="s">
        <v>437</v>
      </c>
      <c r="E5311" s="217">
        <v>44986</v>
      </c>
      <c r="F5311">
        <v>0</v>
      </c>
      <c r="G5311" s="227" t="s">
        <v>130</v>
      </c>
    </row>
    <row r="5312" spans="1:7">
      <c r="A5312" s="216">
        <v>44986</v>
      </c>
      <c r="B5312" t="s">
        <v>51</v>
      </c>
      <c r="C5312">
        <v>15</v>
      </c>
      <c r="D5312" t="s">
        <v>437</v>
      </c>
      <c r="E5312" s="217">
        <v>44986</v>
      </c>
      <c r="F5312">
        <v>0</v>
      </c>
      <c r="G5312" s="227" t="s">
        <v>126</v>
      </c>
    </row>
    <row r="5313" spans="1:7">
      <c r="A5313" s="216">
        <v>44986</v>
      </c>
      <c r="B5313" t="s">
        <v>51</v>
      </c>
      <c r="C5313">
        <v>15</v>
      </c>
      <c r="D5313" t="s">
        <v>437</v>
      </c>
      <c r="E5313" s="217">
        <v>44986</v>
      </c>
      <c r="F5313">
        <v>0</v>
      </c>
      <c r="G5313" s="227" t="s">
        <v>122</v>
      </c>
    </row>
    <row r="5314" spans="1:7">
      <c r="A5314" s="216">
        <v>44986</v>
      </c>
      <c r="B5314" t="s">
        <v>51</v>
      </c>
      <c r="C5314">
        <v>15</v>
      </c>
      <c r="D5314" t="s">
        <v>437</v>
      </c>
      <c r="E5314" s="217">
        <v>44986</v>
      </c>
      <c r="F5314">
        <v>0</v>
      </c>
      <c r="G5314" s="227" t="s">
        <v>91</v>
      </c>
    </row>
    <row r="5315" spans="1:7">
      <c r="A5315" s="216">
        <v>44986</v>
      </c>
      <c r="B5315" t="s">
        <v>51</v>
      </c>
      <c r="C5315">
        <v>15</v>
      </c>
      <c r="D5315" t="s">
        <v>437</v>
      </c>
      <c r="E5315" s="217">
        <v>44986</v>
      </c>
      <c r="F5315">
        <v>0</v>
      </c>
      <c r="G5315" s="227" t="s">
        <v>99</v>
      </c>
    </row>
    <row r="5316" spans="1:7">
      <c r="A5316" s="216">
        <v>44986</v>
      </c>
      <c r="B5316" t="s">
        <v>51</v>
      </c>
      <c r="C5316">
        <v>15</v>
      </c>
      <c r="D5316" t="s">
        <v>437</v>
      </c>
      <c r="E5316" s="217">
        <v>44986</v>
      </c>
      <c r="F5316">
        <v>0</v>
      </c>
      <c r="G5316" s="227" t="s">
        <v>95</v>
      </c>
    </row>
    <row r="5317" spans="1:7">
      <c r="A5317" s="216">
        <v>44986</v>
      </c>
      <c r="B5317" t="s">
        <v>51</v>
      </c>
      <c r="C5317">
        <v>15</v>
      </c>
      <c r="D5317" t="s">
        <v>437</v>
      </c>
      <c r="E5317" s="217">
        <v>44986</v>
      </c>
      <c r="F5317">
        <v>0</v>
      </c>
      <c r="G5317" s="227" t="s">
        <v>113</v>
      </c>
    </row>
    <row r="5318" spans="1:7">
      <c r="A5318" s="216">
        <v>44986</v>
      </c>
      <c r="B5318" t="s">
        <v>51</v>
      </c>
      <c r="C5318">
        <v>15</v>
      </c>
      <c r="D5318" t="s">
        <v>437</v>
      </c>
      <c r="E5318" s="217">
        <v>44986</v>
      </c>
      <c r="F5318">
        <v>0</v>
      </c>
      <c r="G5318" s="227" t="s">
        <v>434</v>
      </c>
    </row>
    <row r="5319" spans="1:7">
      <c r="A5319" s="216">
        <v>44986</v>
      </c>
      <c r="B5319" t="s">
        <v>53</v>
      </c>
      <c r="C5319">
        <v>8</v>
      </c>
      <c r="D5319" t="s">
        <v>451</v>
      </c>
      <c r="E5319" s="217">
        <v>44986</v>
      </c>
      <c r="F5319">
        <v>0</v>
      </c>
      <c r="G5319" s="227" t="s">
        <v>81</v>
      </c>
    </row>
    <row r="5320" spans="1:7">
      <c r="A5320" s="216">
        <v>44986</v>
      </c>
      <c r="B5320" t="s">
        <v>53</v>
      </c>
      <c r="C5320">
        <v>8</v>
      </c>
      <c r="D5320" t="s">
        <v>451</v>
      </c>
      <c r="E5320" s="217">
        <v>44986</v>
      </c>
      <c r="F5320">
        <v>0</v>
      </c>
      <c r="G5320" s="227" t="s">
        <v>117</v>
      </c>
    </row>
    <row r="5321" spans="1:7">
      <c r="A5321" s="216">
        <v>44986</v>
      </c>
      <c r="B5321" t="s">
        <v>53</v>
      </c>
      <c r="C5321">
        <v>8</v>
      </c>
      <c r="D5321" t="s">
        <v>451</v>
      </c>
      <c r="E5321" s="217">
        <v>44986</v>
      </c>
      <c r="F5321">
        <v>0</v>
      </c>
      <c r="G5321" s="227" t="s">
        <v>108</v>
      </c>
    </row>
    <row r="5322" spans="1:7">
      <c r="A5322" s="216">
        <v>44986</v>
      </c>
      <c r="B5322" t="s">
        <v>53</v>
      </c>
      <c r="C5322">
        <v>8</v>
      </c>
      <c r="D5322" t="s">
        <v>451</v>
      </c>
      <c r="E5322" s="217">
        <v>44986</v>
      </c>
      <c r="F5322">
        <v>0</v>
      </c>
      <c r="G5322" s="227" t="s">
        <v>103</v>
      </c>
    </row>
    <row r="5323" spans="1:7">
      <c r="A5323" s="216">
        <v>44986</v>
      </c>
      <c r="B5323" t="s">
        <v>53</v>
      </c>
      <c r="C5323">
        <v>8</v>
      </c>
      <c r="D5323" t="s">
        <v>451</v>
      </c>
      <c r="E5323" s="217">
        <v>44986</v>
      </c>
      <c r="F5323">
        <v>0</v>
      </c>
      <c r="G5323" s="227" t="s">
        <v>86</v>
      </c>
    </row>
    <row r="5324" spans="1:7">
      <c r="A5324" s="216">
        <v>44986</v>
      </c>
      <c r="B5324" t="s">
        <v>53</v>
      </c>
      <c r="C5324">
        <v>8</v>
      </c>
      <c r="D5324" t="s">
        <v>451</v>
      </c>
      <c r="E5324" s="217">
        <v>44986</v>
      </c>
      <c r="F5324">
        <v>0</v>
      </c>
      <c r="G5324" s="227" t="s">
        <v>130</v>
      </c>
    </row>
    <row r="5325" spans="1:7">
      <c r="A5325" s="216">
        <v>44986</v>
      </c>
      <c r="B5325" t="s">
        <v>53</v>
      </c>
      <c r="C5325">
        <v>8</v>
      </c>
      <c r="D5325" t="s">
        <v>451</v>
      </c>
      <c r="E5325" s="217">
        <v>44986</v>
      </c>
      <c r="F5325">
        <v>0</v>
      </c>
      <c r="G5325" s="227" t="s">
        <v>126</v>
      </c>
    </row>
    <row r="5326" spans="1:7">
      <c r="A5326" s="216">
        <v>44986</v>
      </c>
      <c r="B5326" t="s">
        <v>53</v>
      </c>
      <c r="C5326">
        <v>8</v>
      </c>
      <c r="D5326" t="s">
        <v>451</v>
      </c>
      <c r="E5326" s="217">
        <v>44986</v>
      </c>
      <c r="F5326">
        <v>0</v>
      </c>
      <c r="G5326" s="227" t="s">
        <v>122</v>
      </c>
    </row>
    <row r="5327" spans="1:7">
      <c r="A5327" s="216">
        <v>44986</v>
      </c>
      <c r="B5327" t="s">
        <v>53</v>
      </c>
      <c r="C5327">
        <v>8</v>
      </c>
      <c r="D5327" t="s">
        <v>451</v>
      </c>
      <c r="E5327" s="217">
        <v>44986</v>
      </c>
      <c r="F5327">
        <v>0</v>
      </c>
      <c r="G5327" s="227" t="s">
        <v>91</v>
      </c>
    </row>
    <row r="5328" spans="1:7">
      <c r="A5328" s="216">
        <v>44986</v>
      </c>
      <c r="B5328" t="s">
        <v>53</v>
      </c>
      <c r="C5328">
        <v>8</v>
      </c>
      <c r="D5328" t="s">
        <v>451</v>
      </c>
      <c r="E5328" s="217">
        <v>44986</v>
      </c>
      <c r="F5328">
        <v>0</v>
      </c>
      <c r="G5328" s="227" t="s">
        <v>99</v>
      </c>
    </row>
    <row r="5329" spans="1:7">
      <c r="A5329" s="216">
        <v>44986</v>
      </c>
      <c r="B5329" t="s">
        <v>53</v>
      </c>
      <c r="C5329">
        <v>8</v>
      </c>
      <c r="D5329" t="s">
        <v>451</v>
      </c>
      <c r="E5329" s="217">
        <v>44986</v>
      </c>
      <c r="F5329">
        <v>0</v>
      </c>
      <c r="G5329" s="227" t="s">
        <v>95</v>
      </c>
    </row>
    <row r="5330" spans="1:7">
      <c r="A5330" s="216">
        <v>44986</v>
      </c>
      <c r="B5330" t="s">
        <v>53</v>
      </c>
      <c r="C5330">
        <v>8</v>
      </c>
      <c r="D5330" t="s">
        <v>451</v>
      </c>
      <c r="E5330" s="217">
        <v>44986</v>
      </c>
      <c r="F5330">
        <v>0</v>
      </c>
      <c r="G5330" s="227" t="s">
        <v>113</v>
      </c>
    </row>
    <row r="5331" spans="1:7">
      <c r="A5331" s="216">
        <v>44986</v>
      </c>
      <c r="B5331" t="s">
        <v>53</v>
      </c>
      <c r="C5331">
        <v>8</v>
      </c>
      <c r="D5331" t="s">
        <v>451</v>
      </c>
      <c r="E5331" s="217">
        <v>44986</v>
      </c>
      <c r="F5331">
        <v>0</v>
      </c>
      <c r="G5331" s="227" t="s">
        <v>434</v>
      </c>
    </row>
    <row r="5332" spans="1:7">
      <c r="A5332" s="216">
        <v>44986</v>
      </c>
      <c r="B5332" t="s">
        <v>53</v>
      </c>
      <c r="C5332">
        <v>11</v>
      </c>
      <c r="D5332" t="s">
        <v>445</v>
      </c>
      <c r="E5332" s="217">
        <v>44986</v>
      </c>
      <c r="F5332">
        <v>13455.06</v>
      </c>
      <c r="G5332" s="227" t="s">
        <v>81</v>
      </c>
    </row>
    <row r="5333" spans="1:7">
      <c r="A5333" s="216">
        <v>44986</v>
      </c>
      <c r="B5333" t="s">
        <v>53</v>
      </c>
      <c r="C5333">
        <v>11</v>
      </c>
      <c r="D5333" t="s">
        <v>445</v>
      </c>
      <c r="E5333" s="217">
        <v>44986</v>
      </c>
      <c r="F5333">
        <v>14206.8</v>
      </c>
      <c r="G5333" s="227" t="s">
        <v>117</v>
      </c>
    </row>
    <row r="5334" spans="1:7">
      <c r="A5334" s="216">
        <v>44986</v>
      </c>
      <c r="B5334" t="s">
        <v>53</v>
      </c>
      <c r="C5334">
        <v>11</v>
      </c>
      <c r="D5334" t="s">
        <v>445</v>
      </c>
      <c r="E5334" s="217">
        <v>44986</v>
      </c>
      <c r="F5334">
        <v>14801.5</v>
      </c>
      <c r="G5334" s="227" t="s">
        <v>108</v>
      </c>
    </row>
    <row r="5335" spans="1:7">
      <c r="A5335" s="216">
        <v>44986</v>
      </c>
      <c r="B5335" t="s">
        <v>53</v>
      </c>
      <c r="C5335">
        <v>11</v>
      </c>
      <c r="D5335" t="s">
        <v>445</v>
      </c>
      <c r="E5335" s="217">
        <v>44986</v>
      </c>
      <c r="F5335">
        <v>16846.5</v>
      </c>
      <c r="G5335" s="227" t="s">
        <v>103</v>
      </c>
    </row>
    <row r="5336" spans="1:7">
      <c r="A5336" s="216">
        <v>44986</v>
      </c>
      <c r="B5336" t="s">
        <v>53</v>
      </c>
      <c r="C5336">
        <v>11</v>
      </c>
      <c r="D5336" t="s">
        <v>445</v>
      </c>
      <c r="E5336" s="217">
        <v>44986</v>
      </c>
      <c r="F5336">
        <v>13894.5</v>
      </c>
      <c r="G5336" s="227" t="s">
        <v>86</v>
      </c>
    </row>
    <row r="5337" spans="1:7">
      <c r="A5337" s="216">
        <v>44986</v>
      </c>
      <c r="B5337" t="s">
        <v>53</v>
      </c>
      <c r="C5337">
        <v>11</v>
      </c>
      <c r="D5337" t="s">
        <v>445</v>
      </c>
      <c r="E5337" s="217">
        <v>44986</v>
      </c>
      <c r="F5337">
        <v>17068</v>
      </c>
      <c r="G5337" s="227" t="s">
        <v>130</v>
      </c>
    </row>
    <row r="5338" spans="1:7">
      <c r="A5338" s="216">
        <v>44986</v>
      </c>
      <c r="B5338" t="s">
        <v>53</v>
      </c>
      <c r="C5338">
        <v>11</v>
      </c>
      <c r="D5338" t="s">
        <v>445</v>
      </c>
      <c r="E5338" s="217">
        <v>44986</v>
      </c>
      <c r="F5338">
        <v>37863</v>
      </c>
      <c r="G5338" s="227" t="s">
        <v>126</v>
      </c>
    </row>
    <row r="5339" spans="1:7">
      <c r="A5339" s="216">
        <v>44986</v>
      </c>
      <c r="B5339" t="s">
        <v>53</v>
      </c>
      <c r="C5339">
        <v>11</v>
      </c>
      <c r="D5339" t="s">
        <v>445</v>
      </c>
      <c r="E5339" s="217">
        <v>44986</v>
      </c>
      <c r="F5339">
        <v>22994</v>
      </c>
      <c r="G5339" s="227" t="s">
        <v>122</v>
      </c>
    </row>
    <row r="5340" spans="1:7">
      <c r="A5340" s="216">
        <v>44986</v>
      </c>
      <c r="B5340" t="s">
        <v>53</v>
      </c>
      <c r="C5340">
        <v>11</v>
      </c>
      <c r="D5340" t="s">
        <v>445</v>
      </c>
      <c r="E5340" s="217">
        <v>44986</v>
      </c>
      <c r="F5340">
        <v>19313</v>
      </c>
      <c r="G5340" s="227" t="s">
        <v>91</v>
      </c>
    </row>
    <row r="5341" spans="1:7">
      <c r="A5341" s="216">
        <v>44986</v>
      </c>
      <c r="B5341" t="s">
        <v>53</v>
      </c>
      <c r="C5341">
        <v>11</v>
      </c>
      <c r="D5341" t="s">
        <v>445</v>
      </c>
      <c r="E5341" s="217">
        <v>44986</v>
      </c>
      <c r="F5341">
        <v>15489</v>
      </c>
      <c r="G5341" s="227" t="s">
        <v>99</v>
      </c>
    </row>
    <row r="5342" spans="1:7">
      <c r="A5342" s="216">
        <v>44986</v>
      </c>
      <c r="B5342" t="s">
        <v>53</v>
      </c>
      <c r="C5342">
        <v>11</v>
      </c>
      <c r="D5342" t="s">
        <v>445</v>
      </c>
      <c r="E5342" s="217">
        <v>44986</v>
      </c>
      <c r="F5342">
        <v>15011</v>
      </c>
      <c r="G5342" s="227" t="s">
        <v>95</v>
      </c>
    </row>
    <row r="5343" spans="1:7">
      <c r="A5343" s="216">
        <v>44986</v>
      </c>
      <c r="B5343" t="s">
        <v>53</v>
      </c>
      <c r="C5343">
        <v>11</v>
      </c>
      <c r="D5343" t="s">
        <v>445</v>
      </c>
      <c r="E5343" s="217">
        <v>44986</v>
      </c>
      <c r="F5343">
        <v>39463.5</v>
      </c>
      <c r="G5343" s="227" t="s">
        <v>113</v>
      </c>
    </row>
    <row r="5344" spans="1:7">
      <c r="A5344" s="216">
        <v>44986</v>
      </c>
      <c r="B5344" t="s">
        <v>53</v>
      </c>
      <c r="C5344">
        <v>11</v>
      </c>
      <c r="D5344" t="s">
        <v>445</v>
      </c>
      <c r="E5344" s="217">
        <v>44986</v>
      </c>
      <c r="F5344">
        <v>240405.86</v>
      </c>
      <c r="G5344" s="227" t="s">
        <v>434</v>
      </c>
    </row>
    <row r="5345" spans="1:7">
      <c r="A5345" s="216">
        <v>44986</v>
      </c>
      <c r="B5345" t="s">
        <v>48</v>
      </c>
      <c r="C5345">
        <v>7</v>
      </c>
      <c r="D5345" t="s">
        <v>442</v>
      </c>
      <c r="E5345" s="217">
        <v>44986</v>
      </c>
      <c r="F5345">
        <v>17660</v>
      </c>
      <c r="G5345" s="227" t="s">
        <v>81</v>
      </c>
    </row>
    <row r="5346" spans="1:7">
      <c r="A5346" s="216">
        <v>44986</v>
      </c>
      <c r="B5346" t="s">
        <v>48</v>
      </c>
      <c r="C5346">
        <v>7</v>
      </c>
      <c r="D5346" t="s">
        <v>442</v>
      </c>
      <c r="E5346" s="217">
        <v>44986</v>
      </c>
      <c r="F5346">
        <v>17489</v>
      </c>
      <c r="G5346" s="227" t="s">
        <v>117</v>
      </c>
    </row>
    <row r="5347" spans="1:7">
      <c r="A5347" s="216">
        <v>44986</v>
      </c>
      <c r="B5347" t="s">
        <v>48</v>
      </c>
      <c r="C5347">
        <v>7</v>
      </c>
      <c r="D5347" t="s">
        <v>442</v>
      </c>
      <c r="E5347" s="217">
        <v>44986</v>
      </c>
      <c r="F5347">
        <v>17586</v>
      </c>
      <c r="G5347" s="227" t="s">
        <v>108</v>
      </c>
    </row>
    <row r="5348" spans="1:7">
      <c r="A5348" s="216">
        <v>44986</v>
      </c>
      <c r="B5348" t="s">
        <v>48</v>
      </c>
      <c r="C5348">
        <v>7</v>
      </c>
      <c r="D5348" t="s">
        <v>442</v>
      </c>
      <c r="E5348" s="217">
        <v>44986</v>
      </c>
      <c r="F5348">
        <v>20556</v>
      </c>
      <c r="G5348" s="227" t="s">
        <v>103</v>
      </c>
    </row>
    <row r="5349" spans="1:7">
      <c r="A5349" s="216">
        <v>44986</v>
      </c>
      <c r="B5349" t="s">
        <v>48</v>
      </c>
      <c r="C5349">
        <v>7</v>
      </c>
      <c r="D5349" t="s">
        <v>442</v>
      </c>
      <c r="E5349" s="217">
        <v>44986</v>
      </c>
      <c r="F5349">
        <v>18905</v>
      </c>
      <c r="G5349" s="227" t="s">
        <v>86</v>
      </c>
    </row>
    <row r="5350" spans="1:7">
      <c r="A5350" s="216">
        <v>44986</v>
      </c>
      <c r="B5350" t="s">
        <v>48</v>
      </c>
      <c r="C5350">
        <v>7</v>
      </c>
      <c r="D5350" t="s">
        <v>442</v>
      </c>
      <c r="E5350" s="217">
        <v>44986</v>
      </c>
      <c r="F5350">
        <v>19402</v>
      </c>
      <c r="G5350" s="227" t="s">
        <v>130</v>
      </c>
    </row>
    <row r="5351" spans="1:7">
      <c r="A5351" s="216">
        <v>44986</v>
      </c>
      <c r="B5351" t="s">
        <v>48</v>
      </c>
      <c r="C5351">
        <v>7</v>
      </c>
      <c r="D5351" t="s">
        <v>442</v>
      </c>
      <c r="E5351" s="217">
        <v>44986</v>
      </c>
      <c r="F5351">
        <v>18681</v>
      </c>
      <c r="G5351" s="227" t="s">
        <v>126</v>
      </c>
    </row>
    <row r="5352" spans="1:7">
      <c r="A5352" s="216">
        <v>44986</v>
      </c>
      <c r="B5352" t="s">
        <v>48</v>
      </c>
      <c r="C5352">
        <v>7</v>
      </c>
      <c r="D5352" t="s">
        <v>442</v>
      </c>
      <c r="E5352" s="217">
        <v>44986</v>
      </c>
      <c r="F5352">
        <v>17382</v>
      </c>
      <c r="G5352" s="227" t="s">
        <v>122</v>
      </c>
    </row>
    <row r="5353" spans="1:7">
      <c r="A5353" s="216">
        <v>44986</v>
      </c>
      <c r="B5353" t="s">
        <v>48</v>
      </c>
      <c r="C5353">
        <v>7</v>
      </c>
      <c r="D5353" t="s">
        <v>442</v>
      </c>
      <c r="E5353" s="217">
        <v>44986</v>
      </c>
      <c r="F5353">
        <v>18898</v>
      </c>
      <c r="G5353" s="227" t="s">
        <v>91</v>
      </c>
    </row>
    <row r="5354" spans="1:7">
      <c r="A5354" s="216">
        <v>44986</v>
      </c>
      <c r="B5354" t="s">
        <v>48</v>
      </c>
      <c r="C5354">
        <v>7</v>
      </c>
      <c r="D5354" t="s">
        <v>442</v>
      </c>
      <c r="E5354" s="217">
        <v>44986</v>
      </c>
      <c r="F5354">
        <v>17364</v>
      </c>
      <c r="G5354" s="227" t="s">
        <v>99</v>
      </c>
    </row>
    <row r="5355" spans="1:7">
      <c r="A5355" s="216">
        <v>44986</v>
      </c>
      <c r="B5355" t="s">
        <v>48</v>
      </c>
      <c r="C5355">
        <v>7</v>
      </c>
      <c r="D5355" t="s">
        <v>442</v>
      </c>
      <c r="E5355" s="217">
        <v>44986</v>
      </c>
      <c r="F5355">
        <v>18372</v>
      </c>
      <c r="G5355" s="227" t="s">
        <v>95</v>
      </c>
    </row>
    <row r="5356" spans="1:7">
      <c r="A5356" s="216">
        <v>44986</v>
      </c>
      <c r="B5356" t="s">
        <v>48</v>
      </c>
      <c r="C5356">
        <v>7</v>
      </c>
      <c r="D5356" t="s">
        <v>442</v>
      </c>
      <c r="E5356" s="217">
        <v>44986</v>
      </c>
      <c r="F5356">
        <v>31063</v>
      </c>
      <c r="G5356" s="227" t="s">
        <v>113</v>
      </c>
    </row>
    <row r="5357" spans="1:7">
      <c r="A5357" s="216">
        <v>44986</v>
      </c>
      <c r="B5357" t="s">
        <v>48</v>
      </c>
      <c r="C5357">
        <v>7</v>
      </c>
      <c r="D5357" t="s">
        <v>442</v>
      </c>
      <c r="E5357" s="217">
        <v>44986</v>
      </c>
      <c r="F5357">
        <v>233358</v>
      </c>
      <c r="G5357" s="227" t="s">
        <v>434</v>
      </c>
    </row>
    <row r="5358" spans="1:7">
      <c r="A5358" s="216">
        <v>44986</v>
      </c>
      <c r="B5358" t="s">
        <v>48</v>
      </c>
      <c r="C5358">
        <v>8</v>
      </c>
      <c r="D5358" t="s">
        <v>451</v>
      </c>
      <c r="E5358" s="217">
        <v>44986</v>
      </c>
      <c r="F5358">
        <v>0</v>
      </c>
      <c r="G5358" s="227" t="s">
        <v>81</v>
      </c>
    </row>
    <row r="5359" spans="1:7">
      <c r="A5359" s="216">
        <v>44986</v>
      </c>
      <c r="B5359" t="s">
        <v>48</v>
      </c>
      <c r="C5359">
        <v>8</v>
      </c>
      <c r="D5359" t="s">
        <v>451</v>
      </c>
      <c r="E5359" s="217">
        <v>44986</v>
      </c>
      <c r="F5359">
        <v>0</v>
      </c>
      <c r="G5359" s="227" t="s">
        <v>117</v>
      </c>
    </row>
    <row r="5360" spans="1:7">
      <c r="A5360" s="216">
        <v>44986</v>
      </c>
      <c r="B5360" t="s">
        <v>48</v>
      </c>
      <c r="C5360">
        <v>8</v>
      </c>
      <c r="D5360" t="s">
        <v>451</v>
      </c>
      <c r="E5360" s="217">
        <v>44986</v>
      </c>
      <c r="F5360">
        <v>0</v>
      </c>
      <c r="G5360" s="227" t="s">
        <v>108</v>
      </c>
    </row>
    <row r="5361" spans="1:7">
      <c r="A5361" s="216">
        <v>44986</v>
      </c>
      <c r="B5361" t="s">
        <v>48</v>
      </c>
      <c r="C5361">
        <v>8</v>
      </c>
      <c r="D5361" t="s">
        <v>451</v>
      </c>
      <c r="E5361" s="217">
        <v>44986</v>
      </c>
      <c r="F5361">
        <v>0</v>
      </c>
      <c r="G5361" s="227" t="s">
        <v>103</v>
      </c>
    </row>
    <row r="5362" spans="1:7">
      <c r="A5362" s="216">
        <v>44986</v>
      </c>
      <c r="B5362" t="s">
        <v>48</v>
      </c>
      <c r="C5362">
        <v>8</v>
      </c>
      <c r="D5362" t="s">
        <v>451</v>
      </c>
      <c r="E5362" s="217">
        <v>44986</v>
      </c>
      <c r="F5362">
        <v>0</v>
      </c>
      <c r="G5362" s="227" t="s">
        <v>86</v>
      </c>
    </row>
    <row r="5363" spans="1:7">
      <c r="A5363" s="216">
        <v>44986</v>
      </c>
      <c r="B5363" t="s">
        <v>48</v>
      </c>
      <c r="C5363">
        <v>8</v>
      </c>
      <c r="D5363" t="s">
        <v>451</v>
      </c>
      <c r="E5363" s="217">
        <v>44986</v>
      </c>
      <c r="F5363">
        <v>0</v>
      </c>
      <c r="G5363" s="227" t="s">
        <v>130</v>
      </c>
    </row>
    <row r="5364" spans="1:7">
      <c r="A5364" s="216">
        <v>44986</v>
      </c>
      <c r="B5364" t="s">
        <v>48</v>
      </c>
      <c r="C5364">
        <v>8</v>
      </c>
      <c r="D5364" t="s">
        <v>451</v>
      </c>
      <c r="E5364" s="217">
        <v>44986</v>
      </c>
      <c r="F5364">
        <v>0</v>
      </c>
      <c r="G5364" s="227" t="s">
        <v>126</v>
      </c>
    </row>
    <row r="5365" spans="1:7">
      <c r="A5365" s="216">
        <v>44986</v>
      </c>
      <c r="B5365" t="s">
        <v>48</v>
      </c>
      <c r="C5365">
        <v>8</v>
      </c>
      <c r="D5365" t="s">
        <v>451</v>
      </c>
      <c r="E5365" s="217">
        <v>44986</v>
      </c>
      <c r="F5365">
        <v>0</v>
      </c>
      <c r="G5365" s="227" t="s">
        <v>122</v>
      </c>
    </row>
    <row r="5366" spans="1:7">
      <c r="A5366" s="216">
        <v>44986</v>
      </c>
      <c r="B5366" t="s">
        <v>48</v>
      </c>
      <c r="C5366">
        <v>8</v>
      </c>
      <c r="D5366" t="s">
        <v>451</v>
      </c>
      <c r="E5366" s="217">
        <v>44986</v>
      </c>
      <c r="F5366">
        <v>0</v>
      </c>
      <c r="G5366" s="227" t="s">
        <v>91</v>
      </c>
    </row>
    <row r="5367" spans="1:7">
      <c r="A5367" s="216">
        <v>44986</v>
      </c>
      <c r="B5367" t="s">
        <v>48</v>
      </c>
      <c r="C5367">
        <v>8</v>
      </c>
      <c r="D5367" t="s">
        <v>451</v>
      </c>
      <c r="E5367" s="217">
        <v>44986</v>
      </c>
      <c r="F5367">
        <v>0</v>
      </c>
      <c r="G5367" s="227" t="s">
        <v>99</v>
      </c>
    </row>
    <row r="5368" spans="1:7">
      <c r="A5368" s="216">
        <v>44986</v>
      </c>
      <c r="B5368" t="s">
        <v>48</v>
      </c>
      <c r="C5368">
        <v>8</v>
      </c>
      <c r="D5368" t="s">
        <v>451</v>
      </c>
      <c r="E5368" s="217">
        <v>44986</v>
      </c>
      <c r="F5368">
        <v>0</v>
      </c>
      <c r="G5368" s="227" t="s">
        <v>95</v>
      </c>
    </row>
    <row r="5369" spans="1:7">
      <c r="A5369" s="216">
        <v>44986</v>
      </c>
      <c r="B5369" t="s">
        <v>48</v>
      </c>
      <c r="C5369">
        <v>8</v>
      </c>
      <c r="D5369" t="s">
        <v>451</v>
      </c>
      <c r="E5369" s="217">
        <v>44986</v>
      </c>
      <c r="F5369">
        <v>0</v>
      </c>
      <c r="G5369" s="227" t="s">
        <v>113</v>
      </c>
    </row>
    <row r="5370" spans="1:7">
      <c r="A5370" s="216">
        <v>44986</v>
      </c>
      <c r="B5370" t="s">
        <v>48</v>
      </c>
      <c r="C5370">
        <v>8</v>
      </c>
      <c r="D5370" t="s">
        <v>451</v>
      </c>
      <c r="E5370" s="217">
        <v>44986</v>
      </c>
      <c r="F5370">
        <v>0</v>
      </c>
      <c r="G5370" s="227" t="s">
        <v>434</v>
      </c>
    </row>
    <row r="5371" spans="1:7">
      <c r="A5371" s="216">
        <v>44986</v>
      </c>
      <c r="B5371" t="s">
        <v>48</v>
      </c>
      <c r="C5371">
        <v>9</v>
      </c>
      <c r="D5371" t="s">
        <v>450</v>
      </c>
      <c r="E5371" s="217">
        <v>44986</v>
      </c>
      <c r="F5371">
        <v>0</v>
      </c>
      <c r="G5371" s="227" t="s">
        <v>81</v>
      </c>
    </row>
    <row r="5372" spans="1:7">
      <c r="A5372" s="216">
        <v>44986</v>
      </c>
      <c r="B5372" t="s">
        <v>48</v>
      </c>
      <c r="C5372">
        <v>9</v>
      </c>
      <c r="D5372" t="s">
        <v>450</v>
      </c>
      <c r="E5372" s="217">
        <v>44986</v>
      </c>
      <c r="F5372">
        <v>0</v>
      </c>
      <c r="G5372" s="227" t="s">
        <v>117</v>
      </c>
    </row>
    <row r="5373" spans="1:7">
      <c r="A5373" s="216">
        <v>44986</v>
      </c>
      <c r="B5373" t="s">
        <v>48</v>
      </c>
      <c r="C5373">
        <v>9</v>
      </c>
      <c r="D5373" t="s">
        <v>450</v>
      </c>
      <c r="E5373" s="217">
        <v>44986</v>
      </c>
      <c r="F5373">
        <v>0</v>
      </c>
      <c r="G5373" s="227" t="s">
        <v>108</v>
      </c>
    </row>
    <row r="5374" spans="1:7">
      <c r="A5374" s="216">
        <v>44986</v>
      </c>
      <c r="B5374" t="s">
        <v>48</v>
      </c>
      <c r="C5374">
        <v>9</v>
      </c>
      <c r="D5374" t="s">
        <v>450</v>
      </c>
      <c r="E5374" s="217">
        <v>44986</v>
      </c>
      <c r="F5374">
        <v>0</v>
      </c>
      <c r="G5374" s="227" t="s">
        <v>103</v>
      </c>
    </row>
    <row r="5375" spans="1:7">
      <c r="A5375" s="216">
        <v>44986</v>
      </c>
      <c r="B5375" t="s">
        <v>48</v>
      </c>
      <c r="C5375">
        <v>9</v>
      </c>
      <c r="D5375" t="s">
        <v>450</v>
      </c>
      <c r="E5375" s="217">
        <v>44986</v>
      </c>
      <c r="F5375">
        <v>0</v>
      </c>
      <c r="G5375" s="227" t="s">
        <v>86</v>
      </c>
    </row>
    <row r="5376" spans="1:7">
      <c r="A5376" s="216">
        <v>44986</v>
      </c>
      <c r="B5376" t="s">
        <v>48</v>
      </c>
      <c r="C5376">
        <v>9</v>
      </c>
      <c r="D5376" t="s">
        <v>450</v>
      </c>
      <c r="E5376" s="217">
        <v>44986</v>
      </c>
      <c r="F5376">
        <v>0</v>
      </c>
      <c r="G5376" s="227" t="s">
        <v>130</v>
      </c>
    </row>
    <row r="5377" spans="1:7">
      <c r="A5377" s="216">
        <v>44986</v>
      </c>
      <c r="B5377" t="s">
        <v>48</v>
      </c>
      <c r="C5377">
        <v>9</v>
      </c>
      <c r="D5377" t="s">
        <v>450</v>
      </c>
      <c r="E5377" s="217">
        <v>44986</v>
      </c>
      <c r="F5377">
        <v>0</v>
      </c>
      <c r="G5377" s="227" t="s">
        <v>126</v>
      </c>
    </row>
    <row r="5378" spans="1:7">
      <c r="A5378" s="216">
        <v>44986</v>
      </c>
      <c r="B5378" t="s">
        <v>48</v>
      </c>
      <c r="C5378">
        <v>9</v>
      </c>
      <c r="D5378" t="s">
        <v>450</v>
      </c>
      <c r="E5378" s="217">
        <v>44986</v>
      </c>
      <c r="F5378">
        <v>0</v>
      </c>
      <c r="G5378" s="227" t="s">
        <v>122</v>
      </c>
    </row>
    <row r="5379" spans="1:7">
      <c r="A5379" s="216">
        <v>44986</v>
      </c>
      <c r="B5379" t="s">
        <v>48</v>
      </c>
      <c r="C5379">
        <v>9</v>
      </c>
      <c r="D5379" t="s">
        <v>450</v>
      </c>
      <c r="E5379" s="217">
        <v>44986</v>
      </c>
      <c r="F5379">
        <v>0</v>
      </c>
      <c r="G5379" s="227" t="s">
        <v>91</v>
      </c>
    </row>
    <row r="5380" spans="1:7">
      <c r="A5380" s="216">
        <v>44986</v>
      </c>
      <c r="B5380" t="s">
        <v>48</v>
      </c>
      <c r="C5380">
        <v>9</v>
      </c>
      <c r="D5380" t="s">
        <v>450</v>
      </c>
      <c r="E5380" s="217">
        <v>44986</v>
      </c>
      <c r="F5380">
        <v>0</v>
      </c>
      <c r="G5380" s="227" t="s">
        <v>99</v>
      </c>
    </row>
    <row r="5381" spans="1:7">
      <c r="A5381" s="216">
        <v>44986</v>
      </c>
      <c r="B5381" t="s">
        <v>48</v>
      </c>
      <c r="C5381">
        <v>9</v>
      </c>
      <c r="D5381" t="s">
        <v>450</v>
      </c>
      <c r="E5381" s="217">
        <v>44986</v>
      </c>
      <c r="F5381">
        <v>0</v>
      </c>
      <c r="G5381" s="227" t="s">
        <v>95</v>
      </c>
    </row>
    <row r="5382" spans="1:7">
      <c r="A5382" s="216">
        <v>44986</v>
      </c>
      <c r="B5382" t="s">
        <v>48</v>
      </c>
      <c r="C5382">
        <v>9</v>
      </c>
      <c r="D5382" t="s">
        <v>450</v>
      </c>
      <c r="E5382" s="217">
        <v>44986</v>
      </c>
      <c r="F5382">
        <v>0</v>
      </c>
      <c r="G5382" s="227" t="s">
        <v>113</v>
      </c>
    </row>
    <row r="5383" spans="1:7">
      <c r="A5383" s="216">
        <v>44986</v>
      </c>
      <c r="B5383" t="s">
        <v>48</v>
      </c>
      <c r="C5383">
        <v>9</v>
      </c>
      <c r="D5383" t="s">
        <v>450</v>
      </c>
      <c r="E5383" s="217">
        <v>44986</v>
      </c>
      <c r="F5383">
        <v>0</v>
      </c>
      <c r="G5383" s="227" t="s">
        <v>434</v>
      </c>
    </row>
    <row r="5384" spans="1:7">
      <c r="A5384" s="216">
        <v>44986</v>
      </c>
      <c r="B5384" t="s">
        <v>48</v>
      </c>
      <c r="C5384">
        <v>10</v>
      </c>
      <c r="D5384" t="s">
        <v>433</v>
      </c>
      <c r="E5384" s="217">
        <v>44986</v>
      </c>
      <c r="F5384">
        <v>10578</v>
      </c>
      <c r="G5384" s="227" t="s">
        <v>81</v>
      </c>
    </row>
    <row r="5385" spans="1:7">
      <c r="A5385" s="216">
        <v>44986</v>
      </c>
      <c r="B5385" t="s">
        <v>48</v>
      </c>
      <c r="C5385">
        <v>10</v>
      </c>
      <c r="D5385" t="s">
        <v>433</v>
      </c>
      <c r="E5385" s="217">
        <v>44986</v>
      </c>
      <c r="F5385">
        <v>10789</v>
      </c>
      <c r="G5385" s="227" t="s">
        <v>117</v>
      </c>
    </row>
    <row r="5386" spans="1:7">
      <c r="A5386" s="216">
        <v>44986</v>
      </c>
      <c r="B5386" t="s">
        <v>48</v>
      </c>
      <c r="C5386">
        <v>10</v>
      </c>
      <c r="D5386" t="s">
        <v>433</v>
      </c>
      <c r="E5386" s="217">
        <v>44986</v>
      </c>
      <c r="F5386">
        <v>10488</v>
      </c>
      <c r="G5386" s="227" t="s">
        <v>108</v>
      </c>
    </row>
    <row r="5387" spans="1:7">
      <c r="A5387" s="216">
        <v>44986</v>
      </c>
      <c r="B5387" t="s">
        <v>48</v>
      </c>
      <c r="C5387">
        <v>10</v>
      </c>
      <c r="D5387" t="s">
        <v>433</v>
      </c>
      <c r="E5387" s="217">
        <v>44986</v>
      </c>
      <c r="F5387">
        <v>10346</v>
      </c>
      <c r="G5387" s="227" t="s">
        <v>103</v>
      </c>
    </row>
    <row r="5388" spans="1:7">
      <c r="A5388" s="216">
        <v>44986</v>
      </c>
      <c r="B5388" t="s">
        <v>48</v>
      </c>
      <c r="C5388">
        <v>10</v>
      </c>
      <c r="D5388" t="s">
        <v>433</v>
      </c>
      <c r="E5388" s="217">
        <v>44986</v>
      </c>
      <c r="F5388">
        <v>10059</v>
      </c>
      <c r="G5388" s="227" t="s">
        <v>86</v>
      </c>
    </row>
    <row r="5389" spans="1:7">
      <c r="A5389" s="216">
        <v>44986</v>
      </c>
      <c r="B5389" t="s">
        <v>48</v>
      </c>
      <c r="C5389">
        <v>10</v>
      </c>
      <c r="D5389" t="s">
        <v>433</v>
      </c>
      <c r="E5389" s="217">
        <v>44986</v>
      </c>
      <c r="F5389">
        <v>12135</v>
      </c>
      <c r="G5389" s="227" t="s">
        <v>130</v>
      </c>
    </row>
    <row r="5390" spans="1:7">
      <c r="A5390" s="216">
        <v>44986</v>
      </c>
      <c r="B5390" t="s">
        <v>48</v>
      </c>
      <c r="C5390">
        <v>10</v>
      </c>
      <c r="D5390" t="s">
        <v>433</v>
      </c>
      <c r="E5390" s="217">
        <v>44986</v>
      </c>
      <c r="F5390">
        <v>9858</v>
      </c>
      <c r="G5390" s="227" t="s">
        <v>126</v>
      </c>
    </row>
    <row r="5391" spans="1:7">
      <c r="A5391" s="216">
        <v>44986</v>
      </c>
      <c r="B5391" t="s">
        <v>48</v>
      </c>
      <c r="C5391">
        <v>10</v>
      </c>
      <c r="D5391" t="s">
        <v>433</v>
      </c>
      <c r="E5391" s="217">
        <v>44986</v>
      </c>
      <c r="F5391">
        <v>9957</v>
      </c>
      <c r="G5391" s="227" t="s">
        <v>122</v>
      </c>
    </row>
    <row r="5392" spans="1:7">
      <c r="A5392" s="216">
        <v>44986</v>
      </c>
      <c r="B5392" t="s">
        <v>48</v>
      </c>
      <c r="C5392">
        <v>10</v>
      </c>
      <c r="D5392" t="s">
        <v>433</v>
      </c>
      <c r="E5392" s="217">
        <v>44986</v>
      </c>
      <c r="F5392">
        <v>9361</v>
      </c>
      <c r="G5392" s="227" t="s">
        <v>91</v>
      </c>
    </row>
    <row r="5393" spans="1:7">
      <c r="A5393" s="216">
        <v>44986</v>
      </c>
      <c r="B5393" t="s">
        <v>48</v>
      </c>
      <c r="C5393">
        <v>10</v>
      </c>
      <c r="D5393" t="s">
        <v>433</v>
      </c>
      <c r="E5393" s="217">
        <v>44986</v>
      </c>
      <c r="F5393">
        <v>9479</v>
      </c>
      <c r="G5393" s="227" t="s">
        <v>99</v>
      </c>
    </row>
    <row r="5394" spans="1:7">
      <c r="A5394" s="216">
        <v>44986</v>
      </c>
      <c r="B5394" t="s">
        <v>48</v>
      </c>
      <c r="C5394">
        <v>10</v>
      </c>
      <c r="D5394" t="s">
        <v>433</v>
      </c>
      <c r="E5394" s="217">
        <v>44986</v>
      </c>
      <c r="F5394">
        <v>9839</v>
      </c>
      <c r="G5394" s="227" t="s">
        <v>95</v>
      </c>
    </row>
    <row r="5395" spans="1:7">
      <c r="A5395" s="216">
        <v>44986</v>
      </c>
      <c r="B5395" t="s">
        <v>48</v>
      </c>
      <c r="C5395">
        <v>10</v>
      </c>
      <c r="D5395" t="s">
        <v>433</v>
      </c>
      <c r="E5395" s="217">
        <v>44986</v>
      </c>
      <c r="F5395">
        <v>15999</v>
      </c>
      <c r="G5395" s="227" t="s">
        <v>113</v>
      </c>
    </row>
    <row r="5396" spans="1:7">
      <c r="A5396" s="216">
        <v>44986</v>
      </c>
      <c r="B5396" t="s">
        <v>48</v>
      </c>
      <c r="C5396">
        <v>10</v>
      </c>
      <c r="D5396" t="s">
        <v>433</v>
      </c>
      <c r="E5396" s="217">
        <v>44986</v>
      </c>
      <c r="F5396">
        <v>128888</v>
      </c>
      <c r="G5396" s="227" t="s">
        <v>434</v>
      </c>
    </row>
    <row r="5397" spans="1:7">
      <c r="A5397" s="216">
        <v>44986</v>
      </c>
      <c r="B5397" t="s">
        <v>48</v>
      </c>
      <c r="C5397">
        <v>11</v>
      </c>
      <c r="D5397" t="s">
        <v>445</v>
      </c>
      <c r="E5397" s="217">
        <v>44986</v>
      </c>
      <c r="F5397">
        <v>6759</v>
      </c>
      <c r="G5397" s="227" t="s">
        <v>81</v>
      </c>
    </row>
    <row r="5398" spans="1:7">
      <c r="A5398" s="216">
        <v>44986</v>
      </c>
      <c r="B5398" t="s">
        <v>48</v>
      </c>
      <c r="C5398">
        <v>11</v>
      </c>
      <c r="D5398" t="s">
        <v>445</v>
      </c>
      <c r="E5398" s="217">
        <v>44986</v>
      </c>
      <c r="F5398">
        <v>6416</v>
      </c>
      <c r="G5398" s="227" t="s">
        <v>117</v>
      </c>
    </row>
    <row r="5399" spans="1:7">
      <c r="A5399" s="216">
        <v>44986</v>
      </c>
      <c r="B5399" t="s">
        <v>48</v>
      </c>
      <c r="C5399">
        <v>11</v>
      </c>
      <c r="D5399" t="s">
        <v>445</v>
      </c>
      <c r="E5399" s="217">
        <v>44986</v>
      </c>
      <c r="F5399">
        <v>6232.05</v>
      </c>
      <c r="G5399" s="227" t="s">
        <v>108</v>
      </c>
    </row>
    <row r="5400" spans="1:7">
      <c r="A5400" s="216">
        <v>44986</v>
      </c>
      <c r="B5400" t="s">
        <v>48</v>
      </c>
      <c r="C5400">
        <v>11</v>
      </c>
      <c r="D5400" t="s">
        <v>445</v>
      </c>
      <c r="E5400" s="217">
        <v>44986</v>
      </c>
      <c r="F5400">
        <v>9718.9</v>
      </c>
      <c r="G5400" s="227" t="s">
        <v>103</v>
      </c>
    </row>
    <row r="5401" spans="1:7">
      <c r="A5401" s="216">
        <v>44986</v>
      </c>
      <c r="B5401" t="s">
        <v>48</v>
      </c>
      <c r="C5401">
        <v>11</v>
      </c>
      <c r="D5401" t="s">
        <v>445</v>
      </c>
      <c r="E5401" s="217">
        <v>44986</v>
      </c>
      <c r="F5401">
        <v>7799.9</v>
      </c>
      <c r="G5401" s="227" t="s">
        <v>86</v>
      </c>
    </row>
    <row r="5402" spans="1:7">
      <c r="A5402" s="216">
        <v>44986</v>
      </c>
      <c r="B5402" t="s">
        <v>48</v>
      </c>
      <c r="C5402">
        <v>11</v>
      </c>
      <c r="D5402" t="s">
        <v>445</v>
      </c>
      <c r="E5402" s="217">
        <v>44986</v>
      </c>
      <c r="F5402">
        <v>7396.9</v>
      </c>
      <c r="G5402" s="227" t="s">
        <v>130</v>
      </c>
    </row>
    <row r="5403" spans="1:7">
      <c r="A5403" s="216">
        <v>44986</v>
      </c>
      <c r="B5403" t="s">
        <v>48</v>
      </c>
      <c r="C5403">
        <v>11</v>
      </c>
      <c r="D5403" t="s">
        <v>445</v>
      </c>
      <c r="E5403" s="217">
        <v>44986</v>
      </c>
      <c r="F5403">
        <v>7157.1750000000002</v>
      </c>
      <c r="G5403" s="227" t="s">
        <v>126</v>
      </c>
    </row>
    <row r="5404" spans="1:7">
      <c r="A5404" s="216">
        <v>44986</v>
      </c>
      <c r="B5404" t="s">
        <v>48</v>
      </c>
      <c r="C5404">
        <v>11</v>
      </c>
      <c r="D5404" t="s">
        <v>445</v>
      </c>
      <c r="E5404" s="217">
        <v>44986</v>
      </c>
      <c r="F5404">
        <v>7531</v>
      </c>
      <c r="G5404" s="227" t="s">
        <v>122</v>
      </c>
    </row>
    <row r="5405" spans="1:7">
      <c r="A5405" s="216">
        <v>44986</v>
      </c>
      <c r="B5405" t="s">
        <v>48</v>
      </c>
      <c r="C5405">
        <v>11</v>
      </c>
      <c r="D5405" t="s">
        <v>445</v>
      </c>
      <c r="E5405" s="217">
        <v>44986</v>
      </c>
      <c r="F5405">
        <v>9111</v>
      </c>
      <c r="G5405" s="227" t="s">
        <v>91</v>
      </c>
    </row>
    <row r="5406" spans="1:7">
      <c r="A5406" s="216">
        <v>44986</v>
      </c>
      <c r="B5406" t="s">
        <v>48</v>
      </c>
      <c r="C5406">
        <v>11</v>
      </c>
      <c r="D5406" t="s">
        <v>445</v>
      </c>
      <c r="E5406" s="217">
        <v>44986</v>
      </c>
      <c r="F5406">
        <v>7441</v>
      </c>
      <c r="G5406" s="227" t="s">
        <v>99</v>
      </c>
    </row>
    <row r="5407" spans="1:7">
      <c r="A5407" s="216">
        <v>44986</v>
      </c>
      <c r="B5407" t="s">
        <v>48</v>
      </c>
      <c r="C5407">
        <v>11</v>
      </c>
      <c r="D5407" t="s">
        <v>445</v>
      </c>
      <c r="E5407" s="217">
        <v>44986</v>
      </c>
      <c r="F5407">
        <v>8242</v>
      </c>
      <c r="G5407" s="227" t="s">
        <v>95</v>
      </c>
    </row>
    <row r="5408" spans="1:7">
      <c r="A5408" s="216">
        <v>44986</v>
      </c>
      <c r="B5408" t="s">
        <v>48</v>
      </c>
      <c r="C5408">
        <v>11</v>
      </c>
      <c r="D5408" t="s">
        <v>445</v>
      </c>
      <c r="E5408" s="217">
        <v>44986</v>
      </c>
      <c r="F5408">
        <v>12941</v>
      </c>
      <c r="G5408" s="227" t="s">
        <v>113</v>
      </c>
    </row>
    <row r="5409" spans="1:7">
      <c r="A5409" s="216">
        <v>44986</v>
      </c>
      <c r="B5409" t="s">
        <v>48</v>
      </c>
      <c r="C5409">
        <v>11</v>
      </c>
      <c r="D5409" t="s">
        <v>445</v>
      </c>
      <c r="E5409" s="217">
        <v>44986</v>
      </c>
      <c r="F5409">
        <v>96745.925000000003</v>
      </c>
      <c r="G5409" s="227" t="s">
        <v>434</v>
      </c>
    </row>
    <row r="5410" spans="1:7">
      <c r="A5410" s="216">
        <v>44986</v>
      </c>
      <c r="B5410" t="s">
        <v>48</v>
      </c>
      <c r="C5410">
        <v>12</v>
      </c>
      <c r="D5410" t="s">
        <v>454</v>
      </c>
      <c r="E5410" s="217">
        <v>44986</v>
      </c>
      <c r="F5410">
        <v>0</v>
      </c>
      <c r="G5410" s="227" t="s">
        <v>81</v>
      </c>
    </row>
    <row r="5411" spans="1:7">
      <c r="A5411" s="216">
        <v>44986</v>
      </c>
      <c r="B5411" t="s">
        <v>48</v>
      </c>
      <c r="C5411">
        <v>12</v>
      </c>
      <c r="D5411" t="s">
        <v>454</v>
      </c>
      <c r="E5411" s="217">
        <v>44986</v>
      </c>
      <c r="F5411">
        <v>0</v>
      </c>
      <c r="G5411" s="227" t="s">
        <v>117</v>
      </c>
    </row>
    <row r="5412" spans="1:7">
      <c r="A5412" s="216">
        <v>44986</v>
      </c>
      <c r="B5412" t="s">
        <v>48</v>
      </c>
      <c r="C5412">
        <v>12</v>
      </c>
      <c r="D5412" t="s">
        <v>454</v>
      </c>
      <c r="E5412" s="217">
        <v>44986</v>
      </c>
      <c r="F5412">
        <v>0</v>
      </c>
      <c r="G5412" s="227" t="s">
        <v>108</v>
      </c>
    </row>
    <row r="5413" spans="1:7">
      <c r="A5413" s="216">
        <v>44986</v>
      </c>
      <c r="B5413" t="s">
        <v>48</v>
      </c>
      <c r="C5413">
        <v>12</v>
      </c>
      <c r="D5413" t="s">
        <v>454</v>
      </c>
      <c r="E5413" s="217">
        <v>44986</v>
      </c>
      <c r="F5413">
        <v>0</v>
      </c>
      <c r="G5413" s="227" t="s">
        <v>103</v>
      </c>
    </row>
    <row r="5414" spans="1:7">
      <c r="A5414" s="216">
        <v>44986</v>
      </c>
      <c r="B5414" t="s">
        <v>48</v>
      </c>
      <c r="C5414">
        <v>12</v>
      </c>
      <c r="D5414" t="s">
        <v>454</v>
      </c>
      <c r="E5414" s="217">
        <v>44986</v>
      </c>
      <c r="F5414">
        <v>0</v>
      </c>
      <c r="G5414" s="227" t="s">
        <v>86</v>
      </c>
    </row>
    <row r="5415" spans="1:7">
      <c r="A5415" s="216">
        <v>44986</v>
      </c>
      <c r="B5415" t="s">
        <v>48</v>
      </c>
      <c r="C5415">
        <v>12</v>
      </c>
      <c r="D5415" t="s">
        <v>454</v>
      </c>
      <c r="E5415" s="217">
        <v>44986</v>
      </c>
      <c r="F5415">
        <v>0</v>
      </c>
      <c r="G5415" s="227" t="s">
        <v>130</v>
      </c>
    </row>
    <row r="5416" spans="1:7">
      <c r="A5416" s="216">
        <v>44986</v>
      </c>
      <c r="B5416" t="s">
        <v>48</v>
      </c>
      <c r="C5416">
        <v>12</v>
      </c>
      <c r="D5416" t="s">
        <v>454</v>
      </c>
      <c r="E5416" s="217">
        <v>44986</v>
      </c>
      <c r="F5416">
        <v>0</v>
      </c>
      <c r="G5416" s="227" t="s">
        <v>126</v>
      </c>
    </row>
    <row r="5417" spans="1:7">
      <c r="A5417" s="216">
        <v>44986</v>
      </c>
      <c r="B5417" t="s">
        <v>48</v>
      </c>
      <c r="C5417">
        <v>12</v>
      </c>
      <c r="D5417" t="s">
        <v>454</v>
      </c>
      <c r="E5417" s="217">
        <v>44986</v>
      </c>
      <c r="F5417">
        <v>0</v>
      </c>
      <c r="G5417" s="227" t="s">
        <v>122</v>
      </c>
    </row>
    <row r="5418" spans="1:7">
      <c r="A5418" s="216">
        <v>44986</v>
      </c>
      <c r="B5418" t="s">
        <v>48</v>
      </c>
      <c r="C5418">
        <v>12</v>
      </c>
      <c r="D5418" t="s">
        <v>454</v>
      </c>
      <c r="E5418" s="217">
        <v>44986</v>
      </c>
      <c r="F5418">
        <v>0</v>
      </c>
      <c r="G5418" s="227" t="s">
        <v>91</v>
      </c>
    </row>
    <row r="5419" spans="1:7">
      <c r="A5419" s="216">
        <v>44986</v>
      </c>
      <c r="B5419" t="s">
        <v>48</v>
      </c>
      <c r="C5419">
        <v>12</v>
      </c>
      <c r="D5419" t="s">
        <v>454</v>
      </c>
      <c r="E5419" s="217">
        <v>44986</v>
      </c>
      <c r="F5419">
        <v>0</v>
      </c>
      <c r="G5419" s="227" t="s">
        <v>99</v>
      </c>
    </row>
    <row r="5420" spans="1:7">
      <c r="A5420" s="216">
        <v>44986</v>
      </c>
      <c r="B5420" t="s">
        <v>48</v>
      </c>
      <c r="C5420">
        <v>12</v>
      </c>
      <c r="D5420" t="s">
        <v>454</v>
      </c>
      <c r="E5420" s="217">
        <v>44986</v>
      </c>
      <c r="F5420">
        <v>0</v>
      </c>
      <c r="G5420" s="227" t="s">
        <v>95</v>
      </c>
    </row>
    <row r="5421" spans="1:7">
      <c r="A5421" s="216">
        <v>44986</v>
      </c>
      <c r="B5421" t="s">
        <v>48</v>
      </c>
      <c r="C5421">
        <v>12</v>
      </c>
      <c r="D5421" t="s">
        <v>454</v>
      </c>
      <c r="E5421" s="217">
        <v>44986</v>
      </c>
      <c r="F5421">
        <v>0</v>
      </c>
      <c r="G5421" s="227" t="s">
        <v>113</v>
      </c>
    </row>
    <row r="5422" spans="1:7">
      <c r="A5422" s="216">
        <v>44986</v>
      </c>
      <c r="B5422" t="s">
        <v>48</v>
      </c>
      <c r="C5422">
        <v>12</v>
      </c>
      <c r="D5422" t="s">
        <v>454</v>
      </c>
      <c r="E5422" s="217">
        <v>44986</v>
      </c>
      <c r="F5422">
        <v>0</v>
      </c>
      <c r="G5422" s="227" t="s">
        <v>434</v>
      </c>
    </row>
    <row r="5423" spans="1:7">
      <c r="A5423" s="216">
        <v>44986</v>
      </c>
      <c r="B5423" t="s">
        <v>48</v>
      </c>
      <c r="C5423">
        <v>13</v>
      </c>
      <c r="D5423" t="s">
        <v>441</v>
      </c>
      <c r="E5423" s="217">
        <v>44986</v>
      </c>
      <c r="F5423">
        <v>0</v>
      </c>
      <c r="G5423" s="227" t="s">
        <v>81</v>
      </c>
    </row>
    <row r="5424" spans="1:7">
      <c r="A5424" s="216">
        <v>44986</v>
      </c>
      <c r="B5424" t="s">
        <v>48</v>
      </c>
      <c r="C5424">
        <v>13</v>
      </c>
      <c r="D5424" t="s">
        <v>441</v>
      </c>
      <c r="E5424" s="217">
        <v>44986</v>
      </c>
      <c r="F5424">
        <v>0</v>
      </c>
      <c r="G5424" s="227" t="s">
        <v>117</v>
      </c>
    </row>
    <row r="5425" spans="1:7">
      <c r="A5425" s="216">
        <v>44986</v>
      </c>
      <c r="B5425" t="s">
        <v>48</v>
      </c>
      <c r="C5425">
        <v>13</v>
      </c>
      <c r="D5425" t="s">
        <v>441</v>
      </c>
      <c r="E5425" s="217">
        <v>44986</v>
      </c>
      <c r="F5425">
        <v>0</v>
      </c>
      <c r="G5425" s="227" t="s">
        <v>108</v>
      </c>
    </row>
    <row r="5426" spans="1:7">
      <c r="A5426" s="216">
        <v>44986</v>
      </c>
      <c r="B5426" t="s">
        <v>48</v>
      </c>
      <c r="C5426">
        <v>13</v>
      </c>
      <c r="D5426" t="s">
        <v>441</v>
      </c>
      <c r="E5426" s="217">
        <v>44986</v>
      </c>
      <c r="F5426">
        <v>0</v>
      </c>
      <c r="G5426" s="227" t="s">
        <v>103</v>
      </c>
    </row>
    <row r="5427" spans="1:7">
      <c r="A5427" s="216">
        <v>44986</v>
      </c>
      <c r="B5427" t="s">
        <v>48</v>
      </c>
      <c r="C5427">
        <v>13</v>
      </c>
      <c r="D5427" t="s">
        <v>441</v>
      </c>
      <c r="E5427" s="217">
        <v>44986</v>
      </c>
      <c r="F5427">
        <v>0</v>
      </c>
      <c r="G5427" s="227" t="s">
        <v>86</v>
      </c>
    </row>
    <row r="5428" spans="1:7">
      <c r="A5428" s="216">
        <v>44986</v>
      </c>
      <c r="B5428" t="s">
        <v>48</v>
      </c>
      <c r="C5428">
        <v>13</v>
      </c>
      <c r="D5428" t="s">
        <v>441</v>
      </c>
      <c r="E5428" s="217">
        <v>44986</v>
      </c>
      <c r="F5428">
        <v>0</v>
      </c>
      <c r="G5428" s="227" t="s">
        <v>130</v>
      </c>
    </row>
    <row r="5429" spans="1:7">
      <c r="A5429" s="216">
        <v>44986</v>
      </c>
      <c r="B5429" t="s">
        <v>48</v>
      </c>
      <c r="C5429">
        <v>13</v>
      </c>
      <c r="D5429" t="s">
        <v>441</v>
      </c>
      <c r="E5429" s="217">
        <v>44986</v>
      </c>
      <c r="F5429">
        <v>0</v>
      </c>
      <c r="G5429" s="227" t="s">
        <v>126</v>
      </c>
    </row>
    <row r="5430" spans="1:7">
      <c r="A5430" s="216">
        <v>44986</v>
      </c>
      <c r="B5430" t="s">
        <v>48</v>
      </c>
      <c r="C5430">
        <v>13</v>
      </c>
      <c r="D5430" t="s">
        <v>441</v>
      </c>
      <c r="E5430" s="217">
        <v>44986</v>
      </c>
      <c r="F5430">
        <v>0</v>
      </c>
      <c r="G5430" s="227" t="s">
        <v>122</v>
      </c>
    </row>
    <row r="5431" spans="1:7">
      <c r="A5431" s="216">
        <v>44986</v>
      </c>
      <c r="B5431" t="s">
        <v>48</v>
      </c>
      <c r="C5431">
        <v>13</v>
      </c>
      <c r="D5431" t="s">
        <v>441</v>
      </c>
      <c r="E5431" s="217">
        <v>44986</v>
      </c>
      <c r="F5431">
        <v>0</v>
      </c>
      <c r="G5431" s="227" t="s">
        <v>91</v>
      </c>
    </row>
    <row r="5432" spans="1:7">
      <c r="A5432" s="216">
        <v>44986</v>
      </c>
      <c r="B5432" t="s">
        <v>48</v>
      </c>
      <c r="C5432">
        <v>13</v>
      </c>
      <c r="D5432" t="s">
        <v>441</v>
      </c>
      <c r="E5432" s="217">
        <v>44986</v>
      </c>
      <c r="F5432">
        <v>0</v>
      </c>
      <c r="G5432" s="227" t="s">
        <v>99</v>
      </c>
    </row>
    <row r="5433" spans="1:7">
      <c r="A5433" s="216">
        <v>44986</v>
      </c>
      <c r="B5433" t="s">
        <v>48</v>
      </c>
      <c r="C5433">
        <v>13</v>
      </c>
      <c r="D5433" t="s">
        <v>441</v>
      </c>
      <c r="E5433" s="217">
        <v>44986</v>
      </c>
      <c r="F5433">
        <v>0</v>
      </c>
      <c r="G5433" s="227" t="s">
        <v>95</v>
      </c>
    </row>
    <row r="5434" spans="1:7">
      <c r="A5434" s="216">
        <v>44986</v>
      </c>
      <c r="B5434" t="s">
        <v>48</v>
      </c>
      <c r="C5434">
        <v>13</v>
      </c>
      <c r="D5434" t="s">
        <v>441</v>
      </c>
      <c r="E5434" s="217">
        <v>44986</v>
      </c>
      <c r="F5434">
        <v>0</v>
      </c>
      <c r="G5434" s="227" t="s">
        <v>113</v>
      </c>
    </row>
    <row r="5435" spans="1:7">
      <c r="A5435" s="216">
        <v>44986</v>
      </c>
      <c r="B5435" t="s">
        <v>48</v>
      </c>
      <c r="C5435">
        <v>13</v>
      </c>
      <c r="D5435" t="s">
        <v>441</v>
      </c>
      <c r="E5435" s="217">
        <v>44986</v>
      </c>
      <c r="F5435">
        <v>0</v>
      </c>
      <c r="G5435" s="227" t="s">
        <v>434</v>
      </c>
    </row>
    <row r="5436" spans="1:7">
      <c r="A5436" s="216">
        <v>44986</v>
      </c>
      <c r="B5436" t="s">
        <v>48</v>
      </c>
      <c r="C5436">
        <v>14</v>
      </c>
      <c r="D5436" t="s">
        <v>447</v>
      </c>
      <c r="E5436" s="217">
        <v>44986</v>
      </c>
      <c r="F5436">
        <v>0</v>
      </c>
      <c r="G5436" s="227" t="s">
        <v>81</v>
      </c>
    </row>
    <row r="5437" spans="1:7">
      <c r="A5437" s="216">
        <v>44986</v>
      </c>
      <c r="B5437" t="s">
        <v>48</v>
      </c>
      <c r="C5437">
        <v>14</v>
      </c>
      <c r="D5437" t="s">
        <v>447</v>
      </c>
      <c r="E5437" s="217">
        <v>44986</v>
      </c>
      <c r="F5437">
        <v>0</v>
      </c>
      <c r="G5437" s="227" t="s">
        <v>117</v>
      </c>
    </row>
    <row r="5438" spans="1:7">
      <c r="A5438" s="216">
        <v>44986</v>
      </c>
      <c r="B5438" t="s">
        <v>48</v>
      </c>
      <c r="C5438">
        <v>14</v>
      </c>
      <c r="D5438" t="s">
        <v>447</v>
      </c>
      <c r="E5438" s="217">
        <v>44986</v>
      </c>
      <c r="F5438">
        <v>0</v>
      </c>
      <c r="G5438" s="227" t="s">
        <v>108</v>
      </c>
    </row>
    <row r="5439" spans="1:7">
      <c r="A5439" s="216">
        <v>44986</v>
      </c>
      <c r="B5439" t="s">
        <v>48</v>
      </c>
      <c r="C5439">
        <v>14</v>
      </c>
      <c r="D5439" t="s">
        <v>447</v>
      </c>
      <c r="E5439" s="217">
        <v>44986</v>
      </c>
      <c r="F5439">
        <v>0</v>
      </c>
      <c r="G5439" s="227" t="s">
        <v>103</v>
      </c>
    </row>
    <row r="5440" spans="1:7">
      <c r="A5440" s="216">
        <v>44986</v>
      </c>
      <c r="B5440" t="s">
        <v>48</v>
      </c>
      <c r="C5440">
        <v>14</v>
      </c>
      <c r="D5440" t="s">
        <v>447</v>
      </c>
      <c r="E5440" s="217">
        <v>44986</v>
      </c>
      <c r="F5440">
        <v>0</v>
      </c>
      <c r="G5440" s="227" t="s">
        <v>86</v>
      </c>
    </row>
    <row r="5441" spans="1:7">
      <c r="A5441" s="216">
        <v>44986</v>
      </c>
      <c r="B5441" t="s">
        <v>48</v>
      </c>
      <c r="C5441">
        <v>14</v>
      </c>
      <c r="D5441" t="s">
        <v>447</v>
      </c>
      <c r="E5441" s="217">
        <v>44986</v>
      </c>
      <c r="F5441">
        <v>0</v>
      </c>
      <c r="G5441" s="227" t="s">
        <v>130</v>
      </c>
    </row>
    <row r="5442" spans="1:7">
      <c r="A5442" s="216">
        <v>44986</v>
      </c>
      <c r="B5442" t="s">
        <v>48</v>
      </c>
      <c r="C5442">
        <v>14</v>
      </c>
      <c r="D5442" t="s">
        <v>447</v>
      </c>
      <c r="E5442" s="217">
        <v>44986</v>
      </c>
      <c r="F5442">
        <v>0</v>
      </c>
      <c r="G5442" s="227" t="s">
        <v>126</v>
      </c>
    </row>
    <row r="5443" spans="1:7">
      <c r="A5443" s="216">
        <v>44986</v>
      </c>
      <c r="B5443" t="s">
        <v>48</v>
      </c>
      <c r="C5443">
        <v>14</v>
      </c>
      <c r="D5443" t="s">
        <v>447</v>
      </c>
      <c r="E5443" s="217">
        <v>44986</v>
      </c>
      <c r="F5443">
        <v>0</v>
      </c>
      <c r="G5443" s="227" t="s">
        <v>122</v>
      </c>
    </row>
    <row r="5444" spans="1:7">
      <c r="A5444" s="216">
        <v>44986</v>
      </c>
      <c r="B5444" t="s">
        <v>48</v>
      </c>
      <c r="C5444">
        <v>14</v>
      </c>
      <c r="D5444" t="s">
        <v>447</v>
      </c>
      <c r="E5444" s="217">
        <v>44986</v>
      </c>
      <c r="F5444">
        <v>0</v>
      </c>
      <c r="G5444" s="227" t="s">
        <v>91</v>
      </c>
    </row>
    <row r="5445" spans="1:7">
      <c r="A5445" s="216">
        <v>44986</v>
      </c>
      <c r="B5445" t="s">
        <v>48</v>
      </c>
      <c r="C5445">
        <v>14</v>
      </c>
      <c r="D5445" t="s">
        <v>447</v>
      </c>
      <c r="E5445" s="217">
        <v>44986</v>
      </c>
      <c r="F5445">
        <v>0</v>
      </c>
      <c r="G5445" s="227" t="s">
        <v>99</v>
      </c>
    </row>
    <row r="5446" spans="1:7">
      <c r="A5446" s="216">
        <v>44986</v>
      </c>
      <c r="B5446" t="s">
        <v>48</v>
      </c>
      <c r="C5446">
        <v>14</v>
      </c>
      <c r="D5446" t="s">
        <v>447</v>
      </c>
      <c r="E5446" s="217">
        <v>44986</v>
      </c>
      <c r="F5446">
        <v>0</v>
      </c>
      <c r="G5446" s="227" t="s">
        <v>95</v>
      </c>
    </row>
    <row r="5447" spans="1:7">
      <c r="A5447" s="216">
        <v>44986</v>
      </c>
      <c r="B5447" t="s">
        <v>48</v>
      </c>
      <c r="C5447">
        <v>14</v>
      </c>
      <c r="D5447" t="s">
        <v>447</v>
      </c>
      <c r="E5447" s="217">
        <v>44986</v>
      </c>
      <c r="F5447">
        <v>0</v>
      </c>
      <c r="G5447" s="227" t="s">
        <v>113</v>
      </c>
    </row>
    <row r="5448" spans="1:7">
      <c r="A5448" s="216">
        <v>44986</v>
      </c>
      <c r="B5448" t="s">
        <v>48</v>
      </c>
      <c r="C5448">
        <v>14</v>
      </c>
      <c r="D5448" t="s">
        <v>447</v>
      </c>
      <c r="E5448" s="217">
        <v>44986</v>
      </c>
      <c r="F5448">
        <v>0</v>
      </c>
      <c r="G5448" s="227" t="s">
        <v>434</v>
      </c>
    </row>
    <row r="5449" spans="1:7">
      <c r="A5449" s="216">
        <v>44986</v>
      </c>
      <c r="B5449" t="s">
        <v>48</v>
      </c>
      <c r="C5449">
        <v>15</v>
      </c>
      <c r="D5449" t="s">
        <v>437</v>
      </c>
      <c r="E5449" s="217">
        <v>44986</v>
      </c>
      <c r="F5449">
        <v>0</v>
      </c>
      <c r="G5449" s="227" t="s">
        <v>81</v>
      </c>
    </row>
    <row r="5450" spans="1:7">
      <c r="A5450" s="216">
        <v>44986</v>
      </c>
      <c r="B5450" t="s">
        <v>48</v>
      </c>
      <c r="C5450">
        <v>15</v>
      </c>
      <c r="D5450" t="s">
        <v>437</v>
      </c>
      <c r="E5450" s="217">
        <v>44986</v>
      </c>
      <c r="F5450">
        <v>0</v>
      </c>
      <c r="G5450" s="227" t="s">
        <v>117</v>
      </c>
    </row>
    <row r="5451" spans="1:7">
      <c r="A5451" s="216">
        <v>44986</v>
      </c>
      <c r="B5451" t="s">
        <v>48</v>
      </c>
      <c r="C5451">
        <v>15</v>
      </c>
      <c r="D5451" t="s">
        <v>437</v>
      </c>
      <c r="E5451" s="217">
        <v>44986</v>
      </c>
      <c r="F5451">
        <v>0</v>
      </c>
      <c r="G5451" s="227" t="s">
        <v>108</v>
      </c>
    </row>
    <row r="5452" spans="1:7">
      <c r="A5452" s="216">
        <v>44986</v>
      </c>
      <c r="B5452" t="s">
        <v>48</v>
      </c>
      <c r="C5452">
        <v>15</v>
      </c>
      <c r="D5452" t="s">
        <v>437</v>
      </c>
      <c r="E5452" s="217">
        <v>44986</v>
      </c>
      <c r="F5452">
        <v>0</v>
      </c>
      <c r="G5452" s="227" t="s">
        <v>103</v>
      </c>
    </row>
    <row r="5453" spans="1:7">
      <c r="A5453" s="216">
        <v>44986</v>
      </c>
      <c r="B5453" t="s">
        <v>48</v>
      </c>
      <c r="C5453">
        <v>15</v>
      </c>
      <c r="D5453" t="s">
        <v>437</v>
      </c>
      <c r="E5453" s="217">
        <v>44986</v>
      </c>
      <c r="F5453">
        <v>0</v>
      </c>
      <c r="G5453" s="227" t="s">
        <v>86</v>
      </c>
    </row>
    <row r="5454" spans="1:7">
      <c r="A5454" s="216">
        <v>44986</v>
      </c>
      <c r="B5454" t="s">
        <v>48</v>
      </c>
      <c r="C5454">
        <v>15</v>
      </c>
      <c r="D5454" t="s">
        <v>437</v>
      </c>
      <c r="E5454" s="217">
        <v>44986</v>
      </c>
      <c r="F5454">
        <v>0</v>
      </c>
      <c r="G5454" s="227" t="s">
        <v>130</v>
      </c>
    </row>
    <row r="5455" spans="1:7">
      <c r="A5455" s="216">
        <v>44986</v>
      </c>
      <c r="B5455" t="s">
        <v>48</v>
      </c>
      <c r="C5455">
        <v>15</v>
      </c>
      <c r="D5455" t="s">
        <v>437</v>
      </c>
      <c r="E5455" s="217">
        <v>44986</v>
      </c>
      <c r="F5455">
        <v>0</v>
      </c>
      <c r="G5455" s="227" t="s">
        <v>126</v>
      </c>
    </row>
    <row r="5456" spans="1:7">
      <c r="A5456" s="216">
        <v>44986</v>
      </c>
      <c r="B5456" t="s">
        <v>48</v>
      </c>
      <c r="C5456">
        <v>15</v>
      </c>
      <c r="D5456" t="s">
        <v>437</v>
      </c>
      <c r="E5456" s="217">
        <v>44986</v>
      </c>
      <c r="F5456">
        <v>0</v>
      </c>
      <c r="G5456" s="227" t="s">
        <v>122</v>
      </c>
    </row>
    <row r="5457" spans="1:7">
      <c r="A5457" s="216">
        <v>44986</v>
      </c>
      <c r="B5457" t="s">
        <v>48</v>
      </c>
      <c r="C5457">
        <v>15</v>
      </c>
      <c r="D5457" t="s">
        <v>437</v>
      </c>
      <c r="E5457" s="217">
        <v>44986</v>
      </c>
      <c r="F5457">
        <v>0</v>
      </c>
      <c r="G5457" s="227" t="s">
        <v>91</v>
      </c>
    </row>
    <row r="5458" spans="1:7">
      <c r="A5458" s="216">
        <v>44986</v>
      </c>
      <c r="B5458" t="s">
        <v>48</v>
      </c>
      <c r="C5458">
        <v>15</v>
      </c>
      <c r="D5458" t="s">
        <v>437</v>
      </c>
      <c r="E5458" s="217">
        <v>44986</v>
      </c>
      <c r="F5458">
        <v>0</v>
      </c>
      <c r="G5458" s="227" t="s">
        <v>99</v>
      </c>
    </row>
    <row r="5459" spans="1:7">
      <c r="A5459" s="216">
        <v>44986</v>
      </c>
      <c r="B5459" t="s">
        <v>48</v>
      </c>
      <c r="C5459">
        <v>15</v>
      </c>
      <c r="D5459" t="s">
        <v>437</v>
      </c>
      <c r="E5459" s="217">
        <v>44986</v>
      </c>
      <c r="F5459">
        <v>0</v>
      </c>
      <c r="G5459" s="227" t="s">
        <v>95</v>
      </c>
    </row>
    <row r="5460" spans="1:7">
      <c r="A5460" s="216">
        <v>44986</v>
      </c>
      <c r="B5460" t="s">
        <v>48</v>
      </c>
      <c r="C5460">
        <v>15</v>
      </c>
      <c r="D5460" t="s">
        <v>437</v>
      </c>
      <c r="E5460" s="217">
        <v>44986</v>
      </c>
      <c r="F5460">
        <v>0</v>
      </c>
      <c r="G5460" s="227" t="s">
        <v>113</v>
      </c>
    </row>
    <row r="5461" spans="1:7">
      <c r="A5461" s="216">
        <v>44986</v>
      </c>
      <c r="B5461" t="s">
        <v>48</v>
      </c>
      <c r="C5461">
        <v>15</v>
      </c>
      <c r="D5461" t="s">
        <v>437</v>
      </c>
      <c r="E5461" s="217">
        <v>44986</v>
      </c>
      <c r="F5461">
        <v>0</v>
      </c>
      <c r="G5461" s="227" t="s">
        <v>434</v>
      </c>
    </row>
    <row r="5462" spans="1:7">
      <c r="A5462" s="216">
        <v>44986</v>
      </c>
      <c r="B5462" t="s">
        <v>47</v>
      </c>
      <c r="C5462">
        <v>7</v>
      </c>
      <c r="D5462" t="s">
        <v>442</v>
      </c>
      <c r="E5462" s="217">
        <v>44986</v>
      </c>
      <c r="F5462">
        <v>32505.57</v>
      </c>
      <c r="G5462" s="227" t="s">
        <v>81</v>
      </c>
    </row>
    <row r="5463" spans="1:7">
      <c r="A5463" s="216">
        <v>44986</v>
      </c>
      <c r="B5463" t="s">
        <v>47</v>
      </c>
      <c r="C5463">
        <v>7</v>
      </c>
      <c r="D5463" t="s">
        <v>442</v>
      </c>
      <c r="E5463" s="217">
        <v>44986</v>
      </c>
      <c r="F5463">
        <v>32055.32</v>
      </c>
      <c r="G5463" s="227" t="s">
        <v>117</v>
      </c>
    </row>
    <row r="5464" spans="1:7">
      <c r="A5464" s="216">
        <v>44986</v>
      </c>
      <c r="B5464" t="s">
        <v>47</v>
      </c>
      <c r="C5464">
        <v>7</v>
      </c>
      <c r="D5464" t="s">
        <v>442</v>
      </c>
      <c r="E5464" s="217">
        <v>44986</v>
      </c>
      <c r="F5464">
        <v>34033.75</v>
      </c>
      <c r="G5464" s="227" t="s">
        <v>108</v>
      </c>
    </row>
    <row r="5465" spans="1:7">
      <c r="A5465" s="216">
        <v>44986</v>
      </c>
      <c r="B5465" t="s">
        <v>47</v>
      </c>
      <c r="C5465">
        <v>7</v>
      </c>
      <c r="D5465" t="s">
        <v>442</v>
      </c>
      <c r="E5465" s="217">
        <v>44986</v>
      </c>
      <c r="F5465">
        <v>31713.66</v>
      </c>
      <c r="G5465" s="227" t="s">
        <v>103</v>
      </c>
    </row>
    <row r="5466" spans="1:7">
      <c r="A5466" s="216">
        <v>44986</v>
      </c>
      <c r="B5466" t="s">
        <v>47</v>
      </c>
      <c r="C5466">
        <v>7</v>
      </c>
      <c r="D5466" t="s">
        <v>442</v>
      </c>
      <c r="E5466" s="217">
        <v>44986</v>
      </c>
      <c r="F5466">
        <v>32518.93</v>
      </c>
      <c r="G5466" s="227" t="s">
        <v>86</v>
      </c>
    </row>
    <row r="5467" spans="1:7">
      <c r="A5467" s="216">
        <v>44986</v>
      </c>
      <c r="B5467" t="s">
        <v>47</v>
      </c>
      <c r="C5467">
        <v>7</v>
      </c>
      <c r="D5467" t="s">
        <v>442</v>
      </c>
      <c r="E5467" s="217">
        <v>44986</v>
      </c>
      <c r="F5467">
        <v>33987.47</v>
      </c>
      <c r="G5467" s="227" t="s">
        <v>130</v>
      </c>
    </row>
    <row r="5468" spans="1:7">
      <c r="A5468" s="216">
        <v>44986</v>
      </c>
      <c r="B5468" t="s">
        <v>47</v>
      </c>
      <c r="C5468">
        <v>7</v>
      </c>
      <c r="D5468" t="s">
        <v>442</v>
      </c>
      <c r="E5468" s="217">
        <v>44986</v>
      </c>
      <c r="F5468">
        <v>30298.25</v>
      </c>
      <c r="G5468" s="227" t="s">
        <v>126</v>
      </c>
    </row>
    <row r="5469" spans="1:7">
      <c r="A5469" s="216">
        <v>44986</v>
      </c>
      <c r="B5469" t="s">
        <v>47</v>
      </c>
      <c r="C5469">
        <v>7</v>
      </c>
      <c r="D5469" t="s">
        <v>442</v>
      </c>
      <c r="E5469" s="217">
        <v>44986</v>
      </c>
      <c r="F5469">
        <v>32560.400000000001</v>
      </c>
      <c r="G5469" s="227" t="s">
        <v>122</v>
      </c>
    </row>
    <row r="5470" spans="1:7">
      <c r="A5470" s="216">
        <v>44986</v>
      </c>
      <c r="B5470" t="s">
        <v>47</v>
      </c>
      <c r="C5470">
        <v>7</v>
      </c>
      <c r="D5470" t="s">
        <v>442</v>
      </c>
      <c r="E5470" s="217">
        <v>44986</v>
      </c>
      <c r="F5470">
        <v>33007.370000000003</v>
      </c>
      <c r="G5470" s="227" t="s">
        <v>91</v>
      </c>
    </row>
    <row r="5471" spans="1:7">
      <c r="A5471" s="216">
        <v>44986</v>
      </c>
      <c r="B5471" t="s">
        <v>47</v>
      </c>
      <c r="C5471">
        <v>7</v>
      </c>
      <c r="D5471" t="s">
        <v>442</v>
      </c>
      <c r="E5471" s="217">
        <v>44986</v>
      </c>
      <c r="F5471">
        <v>33152.629999999997</v>
      </c>
      <c r="G5471" s="227" t="s">
        <v>99</v>
      </c>
    </row>
    <row r="5472" spans="1:7">
      <c r="A5472" s="216">
        <v>44986</v>
      </c>
      <c r="B5472" t="s">
        <v>47</v>
      </c>
      <c r="C5472">
        <v>7</v>
      </c>
      <c r="D5472" t="s">
        <v>442</v>
      </c>
      <c r="E5472" s="217">
        <v>44986</v>
      </c>
      <c r="F5472">
        <v>34125.15</v>
      </c>
      <c r="G5472" s="227" t="s">
        <v>95</v>
      </c>
    </row>
    <row r="5473" spans="1:7">
      <c r="A5473" s="216">
        <v>44986</v>
      </c>
      <c r="B5473" t="s">
        <v>47</v>
      </c>
      <c r="C5473">
        <v>7</v>
      </c>
      <c r="D5473" t="s">
        <v>442</v>
      </c>
      <c r="E5473" s="217">
        <v>44986</v>
      </c>
      <c r="F5473">
        <v>38386.79</v>
      </c>
      <c r="G5473" s="227" t="s">
        <v>113</v>
      </c>
    </row>
    <row r="5474" spans="1:7">
      <c r="A5474" s="216">
        <v>44986</v>
      </c>
      <c r="B5474" t="s">
        <v>47</v>
      </c>
      <c r="C5474">
        <v>7</v>
      </c>
      <c r="D5474" t="s">
        <v>442</v>
      </c>
      <c r="E5474" s="217">
        <v>44986</v>
      </c>
      <c r="F5474">
        <v>398345.29</v>
      </c>
      <c r="G5474" s="227" t="s">
        <v>434</v>
      </c>
    </row>
    <row r="5475" spans="1:7">
      <c r="A5475" s="216">
        <v>44986</v>
      </c>
      <c r="B5475" t="s">
        <v>47</v>
      </c>
      <c r="C5475">
        <v>8</v>
      </c>
      <c r="D5475" t="s">
        <v>451</v>
      </c>
      <c r="E5475" s="217">
        <v>44986</v>
      </c>
      <c r="F5475">
        <v>3449.35</v>
      </c>
      <c r="G5475" s="227" t="s">
        <v>81</v>
      </c>
    </row>
    <row r="5476" spans="1:7">
      <c r="A5476" s="216">
        <v>44986</v>
      </c>
      <c r="B5476" t="s">
        <v>47</v>
      </c>
      <c r="C5476">
        <v>8</v>
      </c>
      <c r="D5476" t="s">
        <v>451</v>
      </c>
      <c r="E5476" s="217">
        <v>44986</v>
      </c>
      <c r="F5476">
        <v>3454.87</v>
      </c>
      <c r="G5476" s="227" t="s">
        <v>117</v>
      </c>
    </row>
    <row r="5477" spans="1:7">
      <c r="A5477" s="216">
        <v>44986</v>
      </c>
      <c r="B5477" t="s">
        <v>47</v>
      </c>
      <c r="C5477">
        <v>8</v>
      </c>
      <c r="D5477" t="s">
        <v>451</v>
      </c>
      <c r="E5477" s="217">
        <v>44986</v>
      </c>
      <c r="F5477">
        <v>3459.4</v>
      </c>
      <c r="G5477" s="227" t="s">
        <v>108</v>
      </c>
    </row>
    <row r="5478" spans="1:7">
      <c r="A5478" s="216">
        <v>44986</v>
      </c>
      <c r="B5478" t="s">
        <v>47</v>
      </c>
      <c r="C5478">
        <v>8</v>
      </c>
      <c r="D5478" t="s">
        <v>451</v>
      </c>
      <c r="E5478" s="217">
        <v>44986</v>
      </c>
      <c r="F5478">
        <v>3519.69</v>
      </c>
      <c r="G5478" s="227" t="s">
        <v>103</v>
      </c>
    </row>
    <row r="5479" spans="1:7">
      <c r="A5479" s="216">
        <v>44986</v>
      </c>
      <c r="B5479" t="s">
        <v>47</v>
      </c>
      <c r="C5479">
        <v>8</v>
      </c>
      <c r="D5479" t="s">
        <v>451</v>
      </c>
      <c r="E5479" s="217">
        <v>44986</v>
      </c>
      <c r="F5479">
        <v>3455.56</v>
      </c>
      <c r="G5479" s="227" t="s">
        <v>86</v>
      </c>
    </row>
    <row r="5480" spans="1:7">
      <c r="A5480" s="216">
        <v>44986</v>
      </c>
      <c r="B5480" t="s">
        <v>47</v>
      </c>
      <c r="C5480">
        <v>8</v>
      </c>
      <c r="D5480" t="s">
        <v>451</v>
      </c>
      <c r="E5480" s="217">
        <v>44986</v>
      </c>
      <c r="F5480">
        <v>3468.42</v>
      </c>
      <c r="G5480" s="227" t="s">
        <v>130</v>
      </c>
    </row>
    <row r="5481" spans="1:7">
      <c r="A5481" s="216">
        <v>44986</v>
      </c>
      <c r="B5481" t="s">
        <v>47</v>
      </c>
      <c r="C5481">
        <v>8</v>
      </c>
      <c r="D5481" t="s">
        <v>451</v>
      </c>
      <c r="E5481" s="217">
        <v>44986</v>
      </c>
      <c r="F5481">
        <v>3562.14</v>
      </c>
      <c r="G5481" s="227" t="s">
        <v>126</v>
      </c>
    </row>
    <row r="5482" spans="1:7">
      <c r="A5482" s="216">
        <v>44986</v>
      </c>
      <c r="B5482" t="s">
        <v>47</v>
      </c>
      <c r="C5482">
        <v>8</v>
      </c>
      <c r="D5482" t="s">
        <v>451</v>
      </c>
      <c r="E5482" s="217">
        <v>44986</v>
      </c>
      <c r="F5482">
        <v>4311.7</v>
      </c>
      <c r="G5482" s="227" t="s">
        <v>122</v>
      </c>
    </row>
    <row r="5483" spans="1:7">
      <c r="A5483" s="216">
        <v>44986</v>
      </c>
      <c r="B5483" t="s">
        <v>47</v>
      </c>
      <c r="C5483">
        <v>8</v>
      </c>
      <c r="D5483" t="s">
        <v>451</v>
      </c>
      <c r="E5483" s="217">
        <v>44986</v>
      </c>
      <c r="F5483">
        <v>3850.28</v>
      </c>
      <c r="G5483" s="227" t="s">
        <v>91</v>
      </c>
    </row>
    <row r="5484" spans="1:7">
      <c r="A5484" s="216">
        <v>44986</v>
      </c>
      <c r="B5484" t="s">
        <v>47</v>
      </c>
      <c r="C5484">
        <v>8</v>
      </c>
      <c r="D5484" t="s">
        <v>451</v>
      </c>
      <c r="E5484" s="217">
        <v>44986</v>
      </c>
      <c r="F5484">
        <v>3728.87</v>
      </c>
      <c r="G5484" s="227" t="s">
        <v>99</v>
      </c>
    </row>
    <row r="5485" spans="1:7">
      <c r="A5485" s="216">
        <v>44986</v>
      </c>
      <c r="B5485" t="s">
        <v>47</v>
      </c>
      <c r="C5485">
        <v>8</v>
      </c>
      <c r="D5485" t="s">
        <v>451</v>
      </c>
      <c r="E5485" s="217">
        <v>44986</v>
      </c>
      <c r="F5485">
        <v>3357.27</v>
      </c>
      <c r="G5485" s="227" t="s">
        <v>95</v>
      </c>
    </row>
    <row r="5486" spans="1:7">
      <c r="A5486" s="216">
        <v>44986</v>
      </c>
      <c r="B5486" t="s">
        <v>47</v>
      </c>
      <c r="C5486">
        <v>8</v>
      </c>
      <c r="D5486" t="s">
        <v>451</v>
      </c>
      <c r="E5486" s="217">
        <v>44986</v>
      </c>
      <c r="F5486">
        <v>3555.04</v>
      </c>
      <c r="G5486" s="227" t="s">
        <v>113</v>
      </c>
    </row>
    <row r="5487" spans="1:7">
      <c r="A5487" s="216">
        <v>44986</v>
      </c>
      <c r="B5487" t="s">
        <v>47</v>
      </c>
      <c r="C5487">
        <v>8</v>
      </c>
      <c r="D5487" t="s">
        <v>451</v>
      </c>
      <c r="E5487" s="217">
        <v>44986</v>
      </c>
      <c r="F5487">
        <v>43172.59</v>
      </c>
      <c r="G5487" s="227" t="s">
        <v>434</v>
      </c>
    </row>
    <row r="5488" spans="1:7">
      <c r="A5488" s="216">
        <v>44986</v>
      </c>
      <c r="B5488" t="s">
        <v>47</v>
      </c>
      <c r="C5488">
        <v>9</v>
      </c>
      <c r="D5488" t="s">
        <v>450</v>
      </c>
      <c r="E5488" s="217">
        <v>44986</v>
      </c>
      <c r="F5488">
        <v>2563.94</v>
      </c>
      <c r="G5488" s="227" t="s">
        <v>81</v>
      </c>
    </row>
    <row r="5489" spans="1:7">
      <c r="A5489" s="216">
        <v>44986</v>
      </c>
      <c r="B5489" t="s">
        <v>47</v>
      </c>
      <c r="C5489">
        <v>9</v>
      </c>
      <c r="D5489" t="s">
        <v>450</v>
      </c>
      <c r="E5489" s="217">
        <v>44986</v>
      </c>
      <c r="F5489">
        <v>2563.94</v>
      </c>
      <c r="G5489" s="227" t="s">
        <v>117</v>
      </c>
    </row>
    <row r="5490" spans="1:7">
      <c r="A5490" s="216">
        <v>44986</v>
      </c>
      <c r="B5490" t="s">
        <v>47</v>
      </c>
      <c r="C5490">
        <v>9</v>
      </c>
      <c r="D5490" t="s">
        <v>450</v>
      </c>
      <c r="E5490" s="217">
        <v>44986</v>
      </c>
      <c r="F5490">
        <v>2602.79</v>
      </c>
      <c r="G5490" s="227" t="s">
        <v>108</v>
      </c>
    </row>
    <row r="5491" spans="1:7">
      <c r="A5491" s="216">
        <v>44986</v>
      </c>
      <c r="B5491" t="s">
        <v>47</v>
      </c>
      <c r="C5491">
        <v>9</v>
      </c>
      <c r="D5491" t="s">
        <v>450</v>
      </c>
      <c r="E5491" s="217">
        <v>44986</v>
      </c>
      <c r="F5491">
        <v>2568.87</v>
      </c>
      <c r="G5491" s="227" t="s">
        <v>103</v>
      </c>
    </row>
    <row r="5492" spans="1:7">
      <c r="A5492" s="216">
        <v>44986</v>
      </c>
      <c r="B5492" t="s">
        <v>47</v>
      </c>
      <c r="C5492">
        <v>9</v>
      </c>
      <c r="D5492" t="s">
        <v>450</v>
      </c>
      <c r="E5492" s="217">
        <v>44986</v>
      </c>
      <c r="F5492">
        <v>2644.91</v>
      </c>
      <c r="G5492" s="227" t="s">
        <v>86</v>
      </c>
    </row>
    <row r="5493" spans="1:7">
      <c r="A5493" s="216">
        <v>44986</v>
      </c>
      <c r="B5493" t="s">
        <v>47</v>
      </c>
      <c r="C5493">
        <v>9</v>
      </c>
      <c r="D5493" t="s">
        <v>450</v>
      </c>
      <c r="E5493" s="217">
        <v>44986</v>
      </c>
      <c r="F5493">
        <v>2507.41</v>
      </c>
      <c r="G5493" s="227" t="s">
        <v>130</v>
      </c>
    </row>
    <row r="5494" spans="1:7">
      <c r="A5494" s="216">
        <v>44986</v>
      </c>
      <c r="B5494" t="s">
        <v>47</v>
      </c>
      <c r="C5494">
        <v>9</v>
      </c>
      <c r="D5494" t="s">
        <v>450</v>
      </c>
      <c r="E5494" s="217">
        <v>44986</v>
      </c>
      <c r="F5494">
        <v>2840.59</v>
      </c>
      <c r="G5494" s="227" t="s">
        <v>126</v>
      </c>
    </row>
    <row r="5495" spans="1:7">
      <c r="A5495" s="216">
        <v>44986</v>
      </c>
      <c r="B5495" t="s">
        <v>47</v>
      </c>
      <c r="C5495">
        <v>9</v>
      </c>
      <c r="D5495" t="s">
        <v>450</v>
      </c>
      <c r="E5495" s="217">
        <v>44986</v>
      </c>
      <c r="F5495">
        <v>2763.69</v>
      </c>
      <c r="G5495" s="227" t="s">
        <v>122</v>
      </c>
    </row>
    <row r="5496" spans="1:7">
      <c r="A5496" s="216">
        <v>44986</v>
      </c>
      <c r="B5496" t="s">
        <v>47</v>
      </c>
      <c r="C5496">
        <v>9</v>
      </c>
      <c r="D5496" t="s">
        <v>450</v>
      </c>
      <c r="E5496" s="217">
        <v>44986</v>
      </c>
      <c r="F5496">
        <v>3393.75</v>
      </c>
      <c r="G5496" s="227" t="s">
        <v>91</v>
      </c>
    </row>
    <row r="5497" spans="1:7">
      <c r="A5497" s="216">
        <v>44986</v>
      </c>
      <c r="B5497" t="s">
        <v>47</v>
      </c>
      <c r="C5497">
        <v>9</v>
      </c>
      <c r="D5497" t="s">
        <v>450</v>
      </c>
      <c r="E5497" s="217">
        <v>44986</v>
      </c>
      <c r="F5497">
        <v>2742.5</v>
      </c>
      <c r="G5497" s="227" t="s">
        <v>99</v>
      </c>
    </row>
    <row r="5498" spans="1:7">
      <c r="A5498" s="216">
        <v>44986</v>
      </c>
      <c r="B5498" t="s">
        <v>47</v>
      </c>
      <c r="C5498">
        <v>9</v>
      </c>
      <c r="D5498" t="s">
        <v>450</v>
      </c>
      <c r="E5498" s="217">
        <v>44986</v>
      </c>
      <c r="F5498">
        <v>3488.19</v>
      </c>
      <c r="G5498" s="227" t="s">
        <v>95</v>
      </c>
    </row>
    <row r="5499" spans="1:7">
      <c r="A5499" s="216">
        <v>44986</v>
      </c>
      <c r="B5499" t="s">
        <v>47</v>
      </c>
      <c r="C5499">
        <v>9</v>
      </c>
      <c r="D5499" t="s">
        <v>450</v>
      </c>
      <c r="E5499" s="217">
        <v>44986</v>
      </c>
      <c r="F5499">
        <v>2774.08</v>
      </c>
      <c r="G5499" s="227" t="s">
        <v>113</v>
      </c>
    </row>
    <row r="5500" spans="1:7">
      <c r="A5500" s="216">
        <v>44986</v>
      </c>
      <c r="B5500" t="s">
        <v>47</v>
      </c>
      <c r="C5500">
        <v>9</v>
      </c>
      <c r="D5500" t="s">
        <v>450</v>
      </c>
      <c r="E5500" s="217">
        <v>44986</v>
      </c>
      <c r="F5500">
        <v>33454.660000000003</v>
      </c>
      <c r="G5500" s="227" t="s">
        <v>434</v>
      </c>
    </row>
    <row r="5501" spans="1:7">
      <c r="A5501" s="216">
        <v>44986</v>
      </c>
      <c r="B5501" t="s">
        <v>47</v>
      </c>
      <c r="C5501">
        <v>10</v>
      </c>
      <c r="D5501" t="s">
        <v>433</v>
      </c>
      <c r="E5501" s="217">
        <v>44986</v>
      </c>
      <c r="F5501">
        <v>7584.47</v>
      </c>
      <c r="G5501" s="227" t="s">
        <v>81</v>
      </c>
    </row>
    <row r="5502" spans="1:7">
      <c r="A5502" s="216">
        <v>44986</v>
      </c>
      <c r="B5502" t="s">
        <v>47</v>
      </c>
      <c r="C5502">
        <v>10</v>
      </c>
      <c r="D5502" t="s">
        <v>433</v>
      </c>
      <c r="E5502" s="217">
        <v>44986</v>
      </c>
      <c r="F5502">
        <v>7723.23</v>
      </c>
      <c r="G5502" s="227" t="s">
        <v>117</v>
      </c>
    </row>
    <row r="5503" spans="1:7">
      <c r="A5503" s="216">
        <v>44986</v>
      </c>
      <c r="B5503" t="s">
        <v>47</v>
      </c>
      <c r="C5503">
        <v>10</v>
      </c>
      <c r="D5503" t="s">
        <v>433</v>
      </c>
      <c r="E5503" s="217">
        <v>44986</v>
      </c>
      <c r="F5503">
        <v>7680.26</v>
      </c>
      <c r="G5503" s="227" t="s">
        <v>108</v>
      </c>
    </row>
    <row r="5504" spans="1:7">
      <c r="A5504" s="216">
        <v>44986</v>
      </c>
      <c r="B5504" t="s">
        <v>47</v>
      </c>
      <c r="C5504">
        <v>10</v>
      </c>
      <c r="D5504" t="s">
        <v>433</v>
      </c>
      <c r="E5504" s="217">
        <v>44986</v>
      </c>
      <c r="F5504">
        <v>7720.13</v>
      </c>
      <c r="G5504" s="227" t="s">
        <v>103</v>
      </c>
    </row>
    <row r="5505" spans="1:7">
      <c r="A5505" s="216">
        <v>44986</v>
      </c>
      <c r="B5505" t="s">
        <v>47</v>
      </c>
      <c r="C5505">
        <v>10</v>
      </c>
      <c r="D5505" t="s">
        <v>433</v>
      </c>
      <c r="E5505" s="217">
        <v>44986</v>
      </c>
      <c r="F5505">
        <v>7636.8</v>
      </c>
      <c r="G5505" s="227" t="s">
        <v>86</v>
      </c>
    </row>
    <row r="5506" spans="1:7">
      <c r="A5506" s="216">
        <v>44986</v>
      </c>
      <c r="B5506" t="s">
        <v>47</v>
      </c>
      <c r="C5506">
        <v>10</v>
      </c>
      <c r="D5506" t="s">
        <v>433</v>
      </c>
      <c r="E5506" s="217">
        <v>44986</v>
      </c>
      <c r="F5506">
        <v>9433.98</v>
      </c>
      <c r="G5506" s="227" t="s">
        <v>130</v>
      </c>
    </row>
    <row r="5507" spans="1:7">
      <c r="A5507" s="216">
        <v>44986</v>
      </c>
      <c r="B5507" t="s">
        <v>47</v>
      </c>
      <c r="C5507">
        <v>10</v>
      </c>
      <c r="D5507" t="s">
        <v>433</v>
      </c>
      <c r="E5507" s="217">
        <v>44986</v>
      </c>
      <c r="F5507">
        <v>8008.1</v>
      </c>
      <c r="G5507" s="227" t="s">
        <v>126</v>
      </c>
    </row>
    <row r="5508" spans="1:7">
      <c r="A5508" s="216">
        <v>44986</v>
      </c>
      <c r="B5508" t="s">
        <v>47</v>
      </c>
      <c r="C5508">
        <v>10</v>
      </c>
      <c r="D5508" t="s">
        <v>433</v>
      </c>
      <c r="E5508" s="217">
        <v>44986</v>
      </c>
      <c r="F5508">
        <v>8082.04</v>
      </c>
      <c r="G5508" s="227" t="s">
        <v>122</v>
      </c>
    </row>
    <row r="5509" spans="1:7">
      <c r="A5509" s="216">
        <v>44986</v>
      </c>
      <c r="B5509" t="s">
        <v>47</v>
      </c>
      <c r="C5509">
        <v>10</v>
      </c>
      <c r="D5509" t="s">
        <v>433</v>
      </c>
      <c r="E5509" s="217">
        <v>44986</v>
      </c>
      <c r="F5509">
        <v>7532.53</v>
      </c>
      <c r="G5509" s="227" t="s">
        <v>91</v>
      </c>
    </row>
    <row r="5510" spans="1:7">
      <c r="A5510" s="216">
        <v>44986</v>
      </c>
      <c r="B5510" t="s">
        <v>47</v>
      </c>
      <c r="C5510">
        <v>10</v>
      </c>
      <c r="D5510" t="s">
        <v>433</v>
      </c>
      <c r="E5510" s="217">
        <v>44986</v>
      </c>
      <c r="F5510">
        <v>8077.7</v>
      </c>
      <c r="G5510" s="227" t="s">
        <v>99</v>
      </c>
    </row>
    <row r="5511" spans="1:7">
      <c r="A5511" s="216">
        <v>44986</v>
      </c>
      <c r="B5511" t="s">
        <v>47</v>
      </c>
      <c r="C5511">
        <v>10</v>
      </c>
      <c r="D5511" t="s">
        <v>433</v>
      </c>
      <c r="E5511" s="217">
        <v>44986</v>
      </c>
      <c r="F5511">
        <v>8742.59</v>
      </c>
      <c r="G5511" s="227" t="s">
        <v>95</v>
      </c>
    </row>
    <row r="5512" spans="1:7">
      <c r="A5512" s="216">
        <v>44986</v>
      </c>
      <c r="B5512" t="s">
        <v>47</v>
      </c>
      <c r="C5512">
        <v>10</v>
      </c>
      <c r="D5512" t="s">
        <v>433</v>
      </c>
      <c r="E5512" s="217">
        <v>44986</v>
      </c>
      <c r="F5512">
        <v>14760.49</v>
      </c>
      <c r="G5512" s="227" t="s">
        <v>113</v>
      </c>
    </row>
    <row r="5513" spans="1:7">
      <c r="A5513" s="216">
        <v>44986</v>
      </c>
      <c r="B5513" t="s">
        <v>47</v>
      </c>
      <c r="C5513">
        <v>10</v>
      </c>
      <c r="D5513" t="s">
        <v>433</v>
      </c>
      <c r="E5513" s="217">
        <v>44986</v>
      </c>
      <c r="F5513">
        <v>102982.32</v>
      </c>
      <c r="G5513" s="227" t="s">
        <v>434</v>
      </c>
    </row>
    <row r="5514" spans="1:7">
      <c r="A5514" s="216">
        <v>44986</v>
      </c>
      <c r="B5514" t="s">
        <v>47</v>
      </c>
      <c r="C5514">
        <v>11</v>
      </c>
      <c r="D5514" t="s">
        <v>445</v>
      </c>
      <c r="E5514" s="217">
        <v>44986</v>
      </c>
      <c r="F5514">
        <v>2470.09</v>
      </c>
      <c r="G5514" s="227" t="s">
        <v>81</v>
      </c>
    </row>
    <row r="5515" spans="1:7">
      <c r="A5515" s="216">
        <v>44986</v>
      </c>
      <c r="B5515" t="s">
        <v>47</v>
      </c>
      <c r="C5515">
        <v>11</v>
      </c>
      <c r="D5515" t="s">
        <v>445</v>
      </c>
      <c r="E5515" s="217">
        <v>44986</v>
      </c>
      <c r="F5515">
        <v>1853.23</v>
      </c>
      <c r="G5515" s="227" t="s">
        <v>117</v>
      </c>
    </row>
    <row r="5516" spans="1:7">
      <c r="A5516" s="216">
        <v>44986</v>
      </c>
      <c r="B5516" t="s">
        <v>47</v>
      </c>
      <c r="C5516">
        <v>11</v>
      </c>
      <c r="D5516" t="s">
        <v>445</v>
      </c>
      <c r="E5516" s="217">
        <v>44986</v>
      </c>
      <c r="F5516">
        <v>2565.0300000000002</v>
      </c>
      <c r="G5516" s="227" t="s">
        <v>108</v>
      </c>
    </row>
    <row r="5517" spans="1:7">
      <c r="A5517" s="216">
        <v>44986</v>
      </c>
      <c r="B5517" t="s">
        <v>47</v>
      </c>
      <c r="C5517">
        <v>11</v>
      </c>
      <c r="D5517" t="s">
        <v>445</v>
      </c>
      <c r="E5517" s="217">
        <v>44986</v>
      </c>
      <c r="F5517">
        <v>2129.77</v>
      </c>
      <c r="G5517" s="227" t="s">
        <v>103</v>
      </c>
    </row>
    <row r="5518" spans="1:7">
      <c r="A5518" s="216">
        <v>44986</v>
      </c>
      <c r="B5518" t="s">
        <v>47</v>
      </c>
      <c r="C5518">
        <v>11</v>
      </c>
      <c r="D5518" t="s">
        <v>445</v>
      </c>
      <c r="E5518" s="217">
        <v>44986</v>
      </c>
      <c r="F5518">
        <v>2285.0300000000002</v>
      </c>
      <c r="G5518" s="227" t="s">
        <v>86</v>
      </c>
    </row>
    <row r="5519" spans="1:7">
      <c r="A5519" s="216">
        <v>44986</v>
      </c>
      <c r="B5519" t="s">
        <v>47</v>
      </c>
      <c r="C5519">
        <v>11</v>
      </c>
      <c r="D5519" t="s">
        <v>445</v>
      </c>
      <c r="E5519" s="217">
        <v>44986</v>
      </c>
      <c r="F5519">
        <v>2048.65</v>
      </c>
      <c r="G5519" s="227" t="s">
        <v>130</v>
      </c>
    </row>
    <row r="5520" spans="1:7">
      <c r="A5520" s="216">
        <v>44986</v>
      </c>
      <c r="B5520" t="s">
        <v>47</v>
      </c>
      <c r="C5520">
        <v>11</v>
      </c>
      <c r="D5520" t="s">
        <v>445</v>
      </c>
      <c r="E5520" s="217">
        <v>44986</v>
      </c>
      <c r="F5520">
        <v>323.39999999999998</v>
      </c>
      <c r="G5520" s="227" t="s">
        <v>126</v>
      </c>
    </row>
    <row r="5521" spans="1:7">
      <c r="A5521" s="216">
        <v>44986</v>
      </c>
      <c r="B5521" t="s">
        <v>47</v>
      </c>
      <c r="C5521">
        <v>11</v>
      </c>
      <c r="D5521" t="s">
        <v>445</v>
      </c>
      <c r="E5521" s="217">
        <v>44986</v>
      </c>
      <c r="F5521">
        <v>1865.52</v>
      </c>
      <c r="G5521" s="227" t="s">
        <v>122</v>
      </c>
    </row>
    <row r="5522" spans="1:7">
      <c r="A5522" s="216">
        <v>44986</v>
      </c>
      <c r="B5522" t="s">
        <v>47</v>
      </c>
      <c r="C5522">
        <v>11</v>
      </c>
      <c r="D5522" t="s">
        <v>445</v>
      </c>
      <c r="E5522" s="217">
        <v>44986</v>
      </c>
      <c r="F5522">
        <v>-1010.3</v>
      </c>
      <c r="G5522" s="227" t="s">
        <v>91</v>
      </c>
    </row>
    <row r="5523" spans="1:7">
      <c r="A5523" s="216">
        <v>44986</v>
      </c>
      <c r="B5523" t="s">
        <v>47</v>
      </c>
      <c r="C5523">
        <v>11</v>
      </c>
      <c r="D5523" t="s">
        <v>445</v>
      </c>
      <c r="E5523" s="217">
        <v>44986</v>
      </c>
      <c r="F5523">
        <v>2206.86</v>
      </c>
      <c r="G5523" s="227" t="s">
        <v>99</v>
      </c>
    </row>
    <row r="5524" spans="1:7">
      <c r="A5524" s="216">
        <v>44986</v>
      </c>
      <c r="B5524" t="s">
        <v>47</v>
      </c>
      <c r="C5524">
        <v>11</v>
      </c>
      <c r="D5524" t="s">
        <v>445</v>
      </c>
      <c r="E5524" s="217">
        <v>44986</v>
      </c>
      <c r="F5524">
        <v>290.75</v>
      </c>
      <c r="G5524" s="227" t="s">
        <v>95</v>
      </c>
    </row>
    <row r="5525" spans="1:7">
      <c r="A5525" s="216">
        <v>44986</v>
      </c>
      <c r="B5525" t="s">
        <v>47</v>
      </c>
      <c r="C5525">
        <v>11</v>
      </c>
      <c r="D5525" t="s">
        <v>445</v>
      </c>
      <c r="E5525" s="217">
        <v>44986</v>
      </c>
      <c r="F5525">
        <v>-534.6</v>
      </c>
      <c r="G5525" s="227" t="s">
        <v>113</v>
      </c>
    </row>
    <row r="5526" spans="1:7">
      <c r="A5526" s="216">
        <v>44986</v>
      </c>
      <c r="B5526" t="s">
        <v>47</v>
      </c>
      <c r="C5526">
        <v>11</v>
      </c>
      <c r="D5526" t="s">
        <v>445</v>
      </c>
      <c r="E5526" s="217">
        <v>44986</v>
      </c>
      <c r="F5526">
        <v>16493.43</v>
      </c>
      <c r="G5526" s="227" t="s">
        <v>434</v>
      </c>
    </row>
    <row r="5527" spans="1:7">
      <c r="A5527" s="216">
        <v>44986</v>
      </c>
      <c r="B5527" t="s">
        <v>47</v>
      </c>
      <c r="C5527">
        <v>12</v>
      </c>
      <c r="D5527" t="s">
        <v>454</v>
      </c>
      <c r="E5527" s="217">
        <v>44986</v>
      </c>
      <c r="F5527">
        <v>118.07</v>
      </c>
      <c r="G5527" s="227" t="s">
        <v>81</v>
      </c>
    </row>
    <row r="5528" spans="1:7">
      <c r="A5528" s="216">
        <v>44986</v>
      </c>
      <c r="B5528" t="s">
        <v>47</v>
      </c>
      <c r="C5528">
        <v>12</v>
      </c>
      <c r="D5528" t="s">
        <v>454</v>
      </c>
      <c r="E5528" s="217">
        <v>44986</v>
      </c>
      <c r="F5528">
        <v>126.98</v>
      </c>
      <c r="G5528" s="227" t="s">
        <v>117</v>
      </c>
    </row>
    <row r="5529" spans="1:7">
      <c r="A5529" s="216">
        <v>44986</v>
      </c>
      <c r="B5529" t="s">
        <v>47</v>
      </c>
      <c r="C5529">
        <v>12</v>
      </c>
      <c r="D5529" t="s">
        <v>454</v>
      </c>
      <c r="E5529" s="217">
        <v>44986</v>
      </c>
      <c r="F5529">
        <v>88.86</v>
      </c>
      <c r="G5529" s="227" t="s">
        <v>108</v>
      </c>
    </row>
    <row r="5530" spans="1:7">
      <c r="A5530" s="216">
        <v>44986</v>
      </c>
      <c r="B5530" t="s">
        <v>47</v>
      </c>
      <c r="C5530">
        <v>12</v>
      </c>
      <c r="D5530" t="s">
        <v>454</v>
      </c>
      <c r="E5530" s="217">
        <v>44986</v>
      </c>
      <c r="F5530">
        <v>116.33</v>
      </c>
      <c r="G5530" s="227" t="s">
        <v>103</v>
      </c>
    </row>
    <row r="5531" spans="1:7">
      <c r="A5531" s="216">
        <v>44986</v>
      </c>
      <c r="B5531" t="s">
        <v>47</v>
      </c>
      <c r="C5531">
        <v>12</v>
      </c>
      <c r="D5531" t="s">
        <v>454</v>
      </c>
      <c r="E5531" s="217">
        <v>44986</v>
      </c>
      <c r="F5531">
        <v>116.63</v>
      </c>
      <c r="G5531" s="227" t="s">
        <v>86</v>
      </c>
    </row>
    <row r="5532" spans="1:7">
      <c r="A5532" s="216">
        <v>44986</v>
      </c>
      <c r="B5532" t="s">
        <v>47</v>
      </c>
      <c r="C5532">
        <v>12</v>
      </c>
      <c r="D5532" t="s">
        <v>454</v>
      </c>
      <c r="E5532" s="217">
        <v>44986</v>
      </c>
      <c r="F5532">
        <v>147.91</v>
      </c>
      <c r="G5532" s="227" t="s">
        <v>130</v>
      </c>
    </row>
    <row r="5533" spans="1:7">
      <c r="A5533" s="216">
        <v>44986</v>
      </c>
      <c r="B5533" t="s">
        <v>47</v>
      </c>
      <c r="C5533">
        <v>12</v>
      </c>
      <c r="D5533" t="s">
        <v>454</v>
      </c>
      <c r="E5533" s="217">
        <v>44986</v>
      </c>
      <c r="F5533">
        <v>89.9</v>
      </c>
      <c r="G5533" s="227" t="s">
        <v>126</v>
      </c>
    </row>
    <row r="5534" spans="1:7">
      <c r="A5534" s="216">
        <v>44986</v>
      </c>
      <c r="B5534" t="s">
        <v>47</v>
      </c>
      <c r="C5534">
        <v>12</v>
      </c>
      <c r="D5534" t="s">
        <v>454</v>
      </c>
      <c r="E5534" s="217">
        <v>44986</v>
      </c>
      <c r="F5534">
        <v>117.24</v>
      </c>
      <c r="G5534" s="227" t="s">
        <v>122</v>
      </c>
    </row>
    <row r="5535" spans="1:7">
      <c r="A5535" s="216">
        <v>44986</v>
      </c>
      <c r="B5535" t="s">
        <v>47</v>
      </c>
      <c r="C5535">
        <v>12</v>
      </c>
      <c r="D5535" t="s">
        <v>454</v>
      </c>
      <c r="E5535" s="217">
        <v>44986</v>
      </c>
      <c r="F5535">
        <v>155.1</v>
      </c>
      <c r="G5535" s="227" t="s">
        <v>91</v>
      </c>
    </row>
    <row r="5536" spans="1:7">
      <c r="A5536" s="216">
        <v>44986</v>
      </c>
      <c r="B5536" t="s">
        <v>47</v>
      </c>
      <c r="C5536">
        <v>12</v>
      </c>
      <c r="D5536" t="s">
        <v>454</v>
      </c>
      <c r="E5536" s="217">
        <v>44986</v>
      </c>
      <c r="F5536">
        <v>107.17</v>
      </c>
      <c r="G5536" s="227" t="s">
        <v>99</v>
      </c>
    </row>
    <row r="5537" spans="1:7">
      <c r="A5537" s="216">
        <v>44986</v>
      </c>
      <c r="B5537" t="s">
        <v>47</v>
      </c>
      <c r="C5537">
        <v>12</v>
      </c>
      <c r="D5537" t="s">
        <v>454</v>
      </c>
      <c r="E5537" s="217">
        <v>44986</v>
      </c>
      <c r="F5537">
        <v>134.07</v>
      </c>
      <c r="G5537" s="227" t="s">
        <v>95</v>
      </c>
    </row>
    <row r="5538" spans="1:7">
      <c r="A5538" s="216">
        <v>44986</v>
      </c>
      <c r="B5538" t="s">
        <v>47</v>
      </c>
      <c r="C5538">
        <v>12</v>
      </c>
      <c r="D5538" t="s">
        <v>454</v>
      </c>
      <c r="E5538" s="217">
        <v>44986</v>
      </c>
      <c r="F5538">
        <v>91.74</v>
      </c>
      <c r="G5538" s="227" t="s">
        <v>113</v>
      </c>
    </row>
    <row r="5539" spans="1:7">
      <c r="A5539" s="216">
        <v>44986</v>
      </c>
      <c r="B5539" t="s">
        <v>47</v>
      </c>
      <c r="C5539">
        <v>12</v>
      </c>
      <c r="D5539" t="s">
        <v>454</v>
      </c>
      <c r="E5539" s="217">
        <v>44986</v>
      </c>
      <c r="F5539">
        <v>1410</v>
      </c>
      <c r="G5539" s="227" t="s">
        <v>434</v>
      </c>
    </row>
    <row r="5540" spans="1:7">
      <c r="A5540" s="216">
        <v>44986</v>
      </c>
      <c r="B5540" t="s">
        <v>47</v>
      </c>
      <c r="C5540">
        <v>13</v>
      </c>
      <c r="D5540" t="s">
        <v>441</v>
      </c>
      <c r="E5540" s="217">
        <v>44986</v>
      </c>
      <c r="F5540">
        <v>12531.23</v>
      </c>
      <c r="G5540" s="227" t="s">
        <v>81</v>
      </c>
    </row>
    <row r="5541" spans="1:7">
      <c r="A5541" s="216">
        <v>44986</v>
      </c>
      <c r="B5541" t="s">
        <v>47</v>
      </c>
      <c r="C5541">
        <v>13</v>
      </c>
      <c r="D5541" t="s">
        <v>441</v>
      </c>
      <c r="E5541" s="217">
        <v>44986</v>
      </c>
      <c r="F5541">
        <v>12440.71</v>
      </c>
      <c r="G5541" s="227" t="s">
        <v>117</v>
      </c>
    </row>
    <row r="5542" spans="1:7">
      <c r="A5542" s="216">
        <v>44986</v>
      </c>
      <c r="B5542" t="s">
        <v>47</v>
      </c>
      <c r="C5542">
        <v>13</v>
      </c>
      <c r="D5542" t="s">
        <v>441</v>
      </c>
      <c r="E5542" s="217">
        <v>44986</v>
      </c>
      <c r="F5542">
        <v>12603.38</v>
      </c>
      <c r="G5542" s="227" t="s">
        <v>108</v>
      </c>
    </row>
    <row r="5543" spans="1:7">
      <c r="A5543" s="216">
        <v>44986</v>
      </c>
      <c r="B5543" t="s">
        <v>47</v>
      </c>
      <c r="C5543">
        <v>13</v>
      </c>
      <c r="D5543" t="s">
        <v>441</v>
      </c>
      <c r="E5543" s="217">
        <v>44986</v>
      </c>
      <c r="F5543">
        <v>12393.87</v>
      </c>
      <c r="G5543" s="227" t="s">
        <v>103</v>
      </c>
    </row>
    <row r="5544" spans="1:7">
      <c r="A5544" s="216">
        <v>44986</v>
      </c>
      <c r="B5544" t="s">
        <v>47</v>
      </c>
      <c r="C5544">
        <v>13</v>
      </c>
      <c r="D5544" t="s">
        <v>441</v>
      </c>
      <c r="E5544" s="217">
        <v>44986</v>
      </c>
      <c r="F5544">
        <v>12599</v>
      </c>
      <c r="G5544" s="227" t="s">
        <v>86</v>
      </c>
    </row>
    <row r="5545" spans="1:7">
      <c r="A5545" s="216">
        <v>44986</v>
      </c>
      <c r="B5545" t="s">
        <v>47</v>
      </c>
      <c r="C5545">
        <v>13</v>
      </c>
      <c r="D5545" t="s">
        <v>441</v>
      </c>
      <c r="E5545" s="217">
        <v>44986</v>
      </c>
      <c r="F5545">
        <v>12733.93</v>
      </c>
      <c r="G5545" s="227" t="s">
        <v>130</v>
      </c>
    </row>
    <row r="5546" spans="1:7">
      <c r="A5546" s="216">
        <v>44986</v>
      </c>
      <c r="B5546" t="s">
        <v>47</v>
      </c>
      <c r="C5546">
        <v>13</v>
      </c>
      <c r="D5546" t="s">
        <v>441</v>
      </c>
      <c r="E5546" s="217">
        <v>44986</v>
      </c>
      <c r="F5546">
        <v>12262</v>
      </c>
      <c r="G5546" s="227" t="s">
        <v>126</v>
      </c>
    </row>
    <row r="5547" spans="1:7">
      <c r="A5547" s="216">
        <v>44986</v>
      </c>
      <c r="B5547" t="s">
        <v>47</v>
      </c>
      <c r="C5547">
        <v>13</v>
      </c>
      <c r="D5547" t="s">
        <v>441</v>
      </c>
      <c r="E5547" s="217">
        <v>44986</v>
      </c>
      <c r="F5547">
        <v>12411.92</v>
      </c>
      <c r="G5547" s="227" t="s">
        <v>122</v>
      </c>
    </row>
    <row r="5548" spans="1:7">
      <c r="A5548" s="216">
        <v>44986</v>
      </c>
      <c r="B5548" t="s">
        <v>47</v>
      </c>
      <c r="C5548">
        <v>13</v>
      </c>
      <c r="D5548" t="s">
        <v>441</v>
      </c>
      <c r="E5548" s="217">
        <v>44986</v>
      </c>
      <c r="F5548">
        <v>15207.04</v>
      </c>
      <c r="G5548" s="227" t="s">
        <v>91</v>
      </c>
    </row>
    <row r="5549" spans="1:7">
      <c r="A5549" s="216">
        <v>44986</v>
      </c>
      <c r="B5549" t="s">
        <v>47</v>
      </c>
      <c r="C5549">
        <v>13</v>
      </c>
      <c r="D5549" t="s">
        <v>441</v>
      </c>
      <c r="E5549" s="217">
        <v>44986</v>
      </c>
      <c r="F5549">
        <v>13146.01</v>
      </c>
      <c r="G5549" s="227" t="s">
        <v>99</v>
      </c>
    </row>
    <row r="5550" spans="1:7">
      <c r="A5550" s="216">
        <v>44986</v>
      </c>
      <c r="B5550" t="s">
        <v>47</v>
      </c>
      <c r="C5550">
        <v>13</v>
      </c>
      <c r="D5550" t="s">
        <v>441</v>
      </c>
      <c r="E5550" s="217">
        <v>44986</v>
      </c>
      <c r="F5550">
        <v>13831.74</v>
      </c>
      <c r="G5550" s="227" t="s">
        <v>95</v>
      </c>
    </row>
    <row r="5551" spans="1:7">
      <c r="A5551" s="216">
        <v>44986</v>
      </c>
      <c r="B5551" t="s">
        <v>47</v>
      </c>
      <c r="C5551">
        <v>13</v>
      </c>
      <c r="D5551" t="s">
        <v>441</v>
      </c>
      <c r="E5551" s="217">
        <v>44986</v>
      </c>
      <c r="F5551">
        <v>14670.9</v>
      </c>
      <c r="G5551" s="227" t="s">
        <v>113</v>
      </c>
    </row>
    <row r="5552" spans="1:7">
      <c r="A5552" s="216">
        <v>44986</v>
      </c>
      <c r="B5552" t="s">
        <v>47</v>
      </c>
      <c r="C5552">
        <v>13</v>
      </c>
      <c r="D5552" t="s">
        <v>441</v>
      </c>
      <c r="E5552" s="217">
        <v>44986</v>
      </c>
      <c r="F5552">
        <v>156831.73000000001</v>
      </c>
      <c r="G5552" s="227" t="s">
        <v>434</v>
      </c>
    </row>
    <row r="5553" spans="1:7">
      <c r="A5553" s="216">
        <v>44986</v>
      </c>
      <c r="B5553" t="s">
        <v>47</v>
      </c>
      <c r="C5553">
        <v>14</v>
      </c>
      <c r="D5553" t="s">
        <v>447</v>
      </c>
      <c r="E5553" s="217">
        <v>44986</v>
      </c>
      <c r="F5553">
        <v>0</v>
      </c>
      <c r="G5553" s="227" t="s">
        <v>81</v>
      </c>
    </row>
    <row r="5554" spans="1:7">
      <c r="A5554" s="216">
        <v>44986</v>
      </c>
      <c r="B5554" t="s">
        <v>47</v>
      </c>
      <c r="C5554">
        <v>14</v>
      </c>
      <c r="D5554" t="s">
        <v>447</v>
      </c>
      <c r="E5554" s="217">
        <v>44986</v>
      </c>
      <c r="F5554">
        <v>0</v>
      </c>
      <c r="G5554" s="227" t="s">
        <v>117</v>
      </c>
    </row>
    <row r="5555" spans="1:7">
      <c r="A5555" s="216">
        <v>44986</v>
      </c>
      <c r="B5555" t="s">
        <v>47</v>
      </c>
      <c r="C5555">
        <v>14</v>
      </c>
      <c r="D5555" t="s">
        <v>447</v>
      </c>
      <c r="E5555" s="217">
        <v>44986</v>
      </c>
      <c r="F5555">
        <v>0</v>
      </c>
      <c r="G5555" s="227" t="s">
        <v>108</v>
      </c>
    </row>
    <row r="5556" spans="1:7">
      <c r="A5556" s="216">
        <v>44986</v>
      </c>
      <c r="B5556" t="s">
        <v>47</v>
      </c>
      <c r="C5556">
        <v>14</v>
      </c>
      <c r="D5556" t="s">
        <v>447</v>
      </c>
      <c r="E5556" s="217">
        <v>44986</v>
      </c>
      <c r="F5556">
        <v>0</v>
      </c>
      <c r="G5556" s="227" t="s">
        <v>103</v>
      </c>
    </row>
    <row r="5557" spans="1:7">
      <c r="A5557" s="216">
        <v>44986</v>
      </c>
      <c r="B5557" t="s">
        <v>47</v>
      </c>
      <c r="C5557">
        <v>14</v>
      </c>
      <c r="D5557" t="s">
        <v>447</v>
      </c>
      <c r="E5557" s="217">
        <v>44986</v>
      </c>
      <c r="F5557">
        <v>0</v>
      </c>
      <c r="G5557" s="227" t="s">
        <v>86</v>
      </c>
    </row>
    <row r="5558" spans="1:7">
      <c r="A5558" s="216">
        <v>44986</v>
      </c>
      <c r="B5558" t="s">
        <v>47</v>
      </c>
      <c r="C5558">
        <v>14</v>
      </c>
      <c r="D5558" t="s">
        <v>447</v>
      </c>
      <c r="E5558" s="217">
        <v>44986</v>
      </c>
      <c r="F5558">
        <v>0</v>
      </c>
      <c r="G5558" s="227" t="s">
        <v>130</v>
      </c>
    </row>
    <row r="5559" spans="1:7">
      <c r="A5559" s="216">
        <v>44986</v>
      </c>
      <c r="B5559" t="s">
        <v>47</v>
      </c>
      <c r="C5559">
        <v>14</v>
      </c>
      <c r="D5559" t="s">
        <v>447</v>
      </c>
      <c r="E5559" s="217">
        <v>44986</v>
      </c>
      <c r="F5559">
        <v>0</v>
      </c>
      <c r="G5559" s="227" t="s">
        <v>126</v>
      </c>
    </row>
    <row r="5560" spans="1:7">
      <c r="A5560" s="216">
        <v>44986</v>
      </c>
      <c r="B5560" t="s">
        <v>47</v>
      </c>
      <c r="C5560">
        <v>14</v>
      </c>
      <c r="D5560" t="s">
        <v>447</v>
      </c>
      <c r="E5560" s="217">
        <v>44986</v>
      </c>
      <c r="F5560">
        <v>0</v>
      </c>
      <c r="G5560" s="227" t="s">
        <v>122</v>
      </c>
    </row>
    <row r="5561" spans="1:7">
      <c r="A5561" s="216">
        <v>44986</v>
      </c>
      <c r="B5561" t="s">
        <v>47</v>
      </c>
      <c r="C5561">
        <v>14</v>
      </c>
      <c r="D5561" t="s">
        <v>447</v>
      </c>
      <c r="E5561" s="217">
        <v>44986</v>
      </c>
      <c r="F5561">
        <v>0</v>
      </c>
      <c r="G5561" s="227" t="s">
        <v>91</v>
      </c>
    </row>
    <row r="5562" spans="1:7">
      <c r="A5562" s="216">
        <v>44986</v>
      </c>
      <c r="B5562" t="s">
        <v>47</v>
      </c>
      <c r="C5562">
        <v>14</v>
      </c>
      <c r="D5562" t="s">
        <v>447</v>
      </c>
      <c r="E5562" s="217">
        <v>44986</v>
      </c>
      <c r="F5562">
        <v>0</v>
      </c>
      <c r="G5562" s="227" t="s">
        <v>99</v>
      </c>
    </row>
    <row r="5563" spans="1:7">
      <c r="A5563" s="216">
        <v>44986</v>
      </c>
      <c r="B5563" t="s">
        <v>47</v>
      </c>
      <c r="C5563">
        <v>14</v>
      </c>
      <c r="D5563" t="s">
        <v>447</v>
      </c>
      <c r="E5563" s="217">
        <v>44986</v>
      </c>
      <c r="F5563">
        <v>0</v>
      </c>
      <c r="G5563" s="227" t="s">
        <v>95</v>
      </c>
    </row>
    <row r="5564" spans="1:7">
      <c r="A5564" s="216">
        <v>44986</v>
      </c>
      <c r="B5564" t="s">
        <v>47</v>
      </c>
      <c r="C5564">
        <v>14</v>
      </c>
      <c r="D5564" t="s">
        <v>447</v>
      </c>
      <c r="E5564" s="217">
        <v>44986</v>
      </c>
      <c r="F5564">
        <v>0</v>
      </c>
      <c r="G5564" s="227" t="s">
        <v>113</v>
      </c>
    </row>
    <row r="5565" spans="1:7">
      <c r="A5565" s="216">
        <v>44986</v>
      </c>
      <c r="B5565" t="s">
        <v>47</v>
      </c>
      <c r="C5565">
        <v>14</v>
      </c>
      <c r="D5565" t="s">
        <v>447</v>
      </c>
      <c r="E5565" s="217">
        <v>44986</v>
      </c>
      <c r="F5565">
        <v>0</v>
      </c>
      <c r="G5565" s="227" t="s">
        <v>434</v>
      </c>
    </row>
    <row r="5566" spans="1:7">
      <c r="A5566" s="216">
        <v>44986</v>
      </c>
      <c r="B5566" t="s">
        <v>47</v>
      </c>
      <c r="C5566">
        <v>15</v>
      </c>
      <c r="D5566" t="s">
        <v>437</v>
      </c>
      <c r="E5566" s="217">
        <v>44986</v>
      </c>
      <c r="F5566">
        <v>1851.6</v>
      </c>
      <c r="G5566" s="227" t="s">
        <v>81</v>
      </c>
    </row>
    <row r="5567" spans="1:7">
      <c r="A5567" s="216">
        <v>44986</v>
      </c>
      <c r="B5567" t="s">
        <v>47</v>
      </c>
      <c r="C5567">
        <v>15</v>
      </c>
      <c r="D5567" t="s">
        <v>437</v>
      </c>
      <c r="E5567" s="217">
        <v>44986</v>
      </c>
      <c r="F5567">
        <v>2078.5100000000002</v>
      </c>
      <c r="G5567" s="227" t="s">
        <v>117</v>
      </c>
    </row>
    <row r="5568" spans="1:7">
      <c r="A5568" s="216">
        <v>44986</v>
      </c>
      <c r="B5568" t="s">
        <v>47</v>
      </c>
      <c r="C5568">
        <v>15</v>
      </c>
      <c r="D5568" t="s">
        <v>437</v>
      </c>
      <c r="E5568" s="217">
        <v>44986</v>
      </c>
      <c r="F5568">
        <v>2107.58</v>
      </c>
      <c r="G5568" s="227" t="s">
        <v>108</v>
      </c>
    </row>
    <row r="5569" spans="1:7">
      <c r="A5569" s="216">
        <v>44986</v>
      </c>
      <c r="B5569" t="s">
        <v>47</v>
      </c>
      <c r="C5569">
        <v>15</v>
      </c>
      <c r="D5569" t="s">
        <v>437</v>
      </c>
      <c r="E5569" s="217">
        <v>44986</v>
      </c>
      <c r="F5569">
        <v>2412.58</v>
      </c>
      <c r="G5569" s="227" t="s">
        <v>103</v>
      </c>
    </row>
    <row r="5570" spans="1:7">
      <c r="A5570" s="216">
        <v>44986</v>
      </c>
      <c r="B5570" t="s">
        <v>47</v>
      </c>
      <c r="C5570">
        <v>15</v>
      </c>
      <c r="D5570" t="s">
        <v>437</v>
      </c>
      <c r="E5570" s="217">
        <v>44986</v>
      </c>
      <c r="F5570">
        <v>2416.27</v>
      </c>
      <c r="G5570" s="227" t="s">
        <v>86</v>
      </c>
    </row>
    <row r="5571" spans="1:7">
      <c r="A5571" s="216">
        <v>44986</v>
      </c>
      <c r="B5571" t="s">
        <v>47</v>
      </c>
      <c r="C5571">
        <v>15</v>
      </c>
      <c r="D5571" t="s">
        <v>437</v>
      </c>
      <c r="E5571" s="217">
        <v>44986</v>
      </c>
      <c r="F5571">
        <v>2180.35</v>
      </c>
      <c r="G5571" s="227" t="s">
        <v>130</v>
      </c>
    </row>
    <row r="5572" spans="1:7">
      <c r="A5572" s="216">
        <v>44986</v>
      </c>
      <c r="B5572" t="s">
        <v>47</v>
      </c>
      <c r="C5572">
        <v>15</v>
      </c>
      <c r="D5572" t="s">
        <v>437</v>
      </c>
      <c r="E5572" s="217">
        <v>44986</v>
      </c>
      <c r="F5572">
        <v>2293.8000000000002</v>
      </c>
      <c r="G5572" s="227" t="s">
        <v>126</v>
      </c>
    </row>
    <row r="5573" spans="1:7">
      <c r="A5573" s="216">
        <v>44986</v>
      </c>
      <c r="B5573" t="s">
        <v>47</v>
      </c>
      <c r="C5573">
        <v>15</v>
      </c>
      <c r="D5573" t="s">
        <v>437</v>
      </c>
      <c r="E5573" s="217">
        <v>44986</v>
      </c>
      <c r="F5573">
        <v>2232.69</v>
      </c>
      <c r="G5573" s="227" t="s">
        <v>122</v>
      </c>
    </row>
    <row r="5574" spans="1:7">
      <c r="A5574" s="216">
        <v>44986</v>
      </c>
      <c r="B5574" t="s">
        <v>47</v>
      </c>
      <c r="C5574">
        <v>15</v>
      </c>
      <c r="D5574" t="s">
        <v>437</v>
      </c>
      <c r="E5574" s="217">
        <v>44986</v>
      </c>
      <c r="F5574">
        <v>2034.14</v>
      </c>
      <c r="G5574" s="227" t="s">
        <v>91</v>
      </c>
    </row>
    <row r="5575" spans="1:7">
      <c r="A5575" s="216">
        <v>44986</v>
      </c>
      <c r="B5575" t="s">
        <v>47</v>
      </c>
      <c r="C5575">
        <v>15</v>
      </c>
      <c r="D5575" t="s">
        <v>437</v>
      </c>
      <c r="E5575" s="217">
        <v>44986</v>
      </c>
      <c r="F5575">
        <v>1928.43</v>
      </c>
      <c r="G5575" s="227" t="s">
        <v>99</v>
      </c>
    </row>
    <row r="5576" spans="1:7">
      <c r="A5576" s="216">
        <v>44986</v>
      </c>
      <c r="B5576" t="s">
        <v>47</v>
      </c>
      <c r="C5576">
        <v>15</v>
      </c>
      <c r="D5576" t="s">
        <v>437</v>
      </c>
      <c r="E5576" s="217">
        <v>44986</v>
      </c>
      <c r="F5576">
        <v>1864.91</v>
      </c>
      <c r="G5576" s="227" t="s">
        <v>95</v>
      </c>
    </row>
    <row r="5577" spans="1:7">
      <c r="A5577" s="216">
        <v>44986</v>
      </c>
      <c r="B5577" t="s">
        <v>47</v>
      </c>
      <c r="C5577">
        <v>15</v>
      </c>
      <c r="D5577" t="s">
        <v>437</v>
      </c>
      <c r="E5577" s="217">
        <v>44986</v>
      </c>
      <c r="F5577">
        <v>3343.53</v>
      </c>
      <c r="G5577" s="227" t="s">
        <v>113</v>
      </c>
    </row>
    <row r="5578" spans="1:7">
      <c r="A5578" s="216">
        <v>44986</v>
      </c>
      <c r="B5578" t="s">
        <v>47</v>
      </c>
      <c r="C5578">
        <v>15</v>
      </c>
      <c r="D5578" t="s">
        <v>437</v>
      </c>
      <c r="E5578" s="217">
        <v>44986</v>
      </c>
      <c r="F5578">
        <v>26744.39</v>
      </c>
      <c r="G5578" s="227" t="s">
        <v>434</v>
      </c>
    </row>
    <row r="5579" spans="1:7">
      <c r="A5579" s="216">
        <v>44986</v>
      </c>
      <c r="B5579" t="s">
        <v>3</v>
      </c>
      <c r="C5579">
        <v>7</v>
      </c>
      <c r="D5579" t="s">
        <v>442</v>
      </c>
      <c r="E5579" s="217">
        <v>44986</v>
      </c>
      <c r="F5579">
        <v>100674.02099999999</v>
      </c>
      <c r="G5579" s="227" t="s">
        <v>81</v>
      </c>
    </row>
    <row r="5580" spans="1:7">
      <c r="A5580" s="216">
        <v>44986</v>
      </c>
      <c r="B5580" t="s">
        <v>3</v>
      </c>
      <c r="C5580">
        <v>7</v>
      </c>
      <c r="D5580" t="s">
        <v>442</v>
      </c>
      <c r="E5580" s="217">
        <v>44986</v>
      </c>
      <c r="F5580">
        <v>113088.36199999999</v>
      </c>
      <c r="G5580" s="227" t="s">
        <v>117</v>
      </c>
    </row>
    <row r="5581" spans="1:7">
      <c r="A5581" s="216">
        <v>44986</v>
      </c>
      <c r="B5581" t="s">
        <v>3</v>
      </c>
      <c r="C5581">
        <v>7</v>
      </c>
      <c r="D5581" t="s">
        <v>442</v>
      </c>
      <c r="E5581" s="217">
        <v>44986</v>
      </c>
      <c r="F5581">
        <v>111954.19100000001</v>
      </c>
      <c r="G5581" s="227" t="s">
        <v>108</v>
      </c>
    </row>
    <row r="5582" spans="1:7">
      <c r="A5582" s="216">
        <v>44986</v>
      </c>
      <c r="B5582" t="s">
        <v>3</v>
      </c>
      <c r="C5582">
        <v>7</v>
      </c>
      <c r="D5582" t="s">
        <v>442</v>
      </c>
      <c r="E5582" s="217">
        <v>44986</v>
      </c>
      <c r="F5582">
        <v>119781.27</v>
      </c>
      <c r="G5582" s="227" t="s">
        <v>103</v>
      </c>
    </row>
    <row r="5583" spans="1:7">
      <c r="A5583" s="216">
        <v>44986</v>
      </c>
      <c r="B5583" t="s">
        <v>3</v>
      </c>
      <c r="C5583">
        <v>7</v>
      </c>
      <c r="D5583" t="s">
        <v>442</v>
      </c>
      <c r="E5583" s="217">
        <v>44986</v>
      </c>
      <c r="F5583">
        <v>115410.946</v>
      </c>
      <c r="G5583" s="227" t="s">
        <v>86</v>
      </c>
    </row>
    <row r="5584" spans="1:7">
      <c r="A5584" s="216">
        <v>44986</v>
      </c>
      <c r="B5584" t="s">
        <v>3</v>
      </c>
      <c r="C5584">
        <v>7</v>
      </c>
      <c r="D5584" t="s">
        <v>442</v>
      </c>
      <c r="E5584" s="217">
        <v>44986</v>
      </c>
      <c r="F5584">
        <v>130184.072</v>
      </c>
      <c r="G5584" s="227" t="s">
        <v>130</v>
      </c>
    </row>
    <row r="5585" spans="1:7">
      <c r="A5585" s="216">
        <v>44986</v>
      </c>
      <c r="B5585" t="s">
        <v>3</v>
      </c>
      <c r="C5585">
        <v>7</v>
      </c>
      <c r="D5585" t="s">
        <v>442</v>
      </c>
      <c r="E5585" s="217">
        <v>44986</v>
      </c>
      <c r="F5585">
        <v>119703.929</v>
      </c>
      <c r="G5585" s="227" t="s">
        <v>126</v>
      </c>
    </row>
    <row r="5586" spans="1:7">
      <c r="A5586" s="216">
        <v>44986</v>
      </c>
      <c r="B5586" t="s">
        <v>3</v>
      </c>
      <c r="C5586">
        <v>7</v>
      </c>
      <c r="D5586" t="s">
        <v>442</v>
      </c>
      <c r="E5586" s="217">
        <v>44986</v>
      </c>
      <c r="F5586">
        <v>119662.30899999999</v>
      </c>
      <c r="G5586" s="227" t="s">
        <v>122</v>
      </c>
    </row>
    <row r="5587" spans="1:7">
      <c r="A5587" s="216">
        <v>44986</v>
      </c>
      <c r="B5587" t="s">
        <v>3</v>
      </c>
      <c r="C5587">
        <v>7</v>
      </c>
      <c r="D5587" t="s">
        <v>442</v>
      </c>
      <c r="E5587" s="217">
        <v>44986</v>
      </c>
      <c r="F5587">
        <v>111028.818</v>
      </c>
      <c r="G5587" s="227" t="s">
        <v>91</v>
      </c>
    </row>
    <row r="5588" spans="1:7">
      <c r="A5588" s="216">
        <v>44986</v>
      </c>
      <c r="B5588" t="s">
        <v>3</v>
      </c>
      <c r="C5588">
        <v>7</v>
      </c>
      <c r="D5588" t="s">
        <v>442</v>
      </c>
      <c r="E5588" s="217">
        <v>44986</v>
      </c>
      <c r="F5588">
        <v>119133.118</v>
      </c>
      <c r="G5588" s="227" t="s">
        <v>99</v>
      </c>
    </row>
    <row r="5589" spans="1:7">
      <c r="A5589" s="216">
        <v>44986</v>
      </c>
      <c r="B5589" t="s">
        <v>3</v>
      </c>
      <c r="C5589">
        <v>7</v>
      </c>
      <c r="D5589" t="s">
        <v>442</v>
      </c>
      <c r="E5589" s="217">
        <v>44986</v>
      </c>
      <c r="F5589">
        <v>122193.465</v>
      </c>
      <c r="G5589" s="227" t="s">
        <v>95</v>
      </c>
    </row>
    <row r="5590" spans="1:7">
      <c r="A5590" s="216">
        <v>44986</v>
      </c>
      <c r="B5590" t="s">
        <v>3</v>
      </c>
      <c r="C5590">
        <v>7</v>
      </c>
      <c r="D5590" t="s">
        <v>442</v>
      </c>
      <c r="E5590" s="217">
        <v>44986</v>
      </c>
      <c r="F5590">
        <v>174367.85699999999</v>
      </c>
      <c r="G5590" s="227" t="s">
        <v>113</v>
      </c>
    </row>
    <row r="5591" spans="1:7">
      <c r="A5591" s="216">
        <v>44986</v>
      </c>
      <c r="B5591" t="s">
        <v>3</v>
      </c>
      <c r="C5591">
        <v>7</v>
      </c>
      <c r="D5591" t="s">
        <v>442</v>
      </c>
      <c r="E5591" s="217">
        <v>44986</v>
      </c>
      <c r="F5591">
        <v>1457182.358</v>
      </c>
      <c r="G5591" s="227" t="s">
        <v>434</v>
      </c>
    </row>
    <row r="5592" spans="1:7">
      <c r="A5592" s="216">
        <v>44986</v>
      </c>
      <c r="B5592" t="s">
        <v>3</v>
      </c>
      <c r="C5592">
        <v>8</v>
      </c>
      <c r="D5592" t="s">
        <v>451</v>
      </c>
      <c r="E5592" s="217">
        <v>44986</v>
      </c>
      <c r="F5592">
        <v>10042.727999999999</v>
      </c>
      <c r="G5592" s="227" t="s">
        <v>81</v>
      </c>
    </row>
    <row r="5593" spans="1:7">
      <c r="A5593" s="216">
        <v>44986</v>
      </c>
      <c r="B5593" t="s">
        <v>3</v>
      </c>
      <c r="C5593">
        <v>8</v>
      </c>
      <c r="D5593" t="s">
        <v>451</v>
      </c>
      <c r="E5593" s="217">
        <v>44986</v>
      </c>
      <c r="F5593">
        <v>10033.941999999999</v>
      </c>
      <c r="G5593" s="227" t="s">
        <v>117</v>
      </c>
    </row>
    <row r="5594" spans="1:7">
      <c r="A5594" s="216">
        <v>44986</v>
      </c>
      <c r="B5594" t="s">
        <v>3</v>
      </c>
      <c r="C5594">
        <v>8</v>
      </c>
      <c r="D5594" t="s">
        <v>451</v>
      </c>
      <c r="E5594" s="217">
        <v>44986</v>
      </c>
      <c r="F5594">
        <v>10014.053</v>
      </c>
      <c r="G5594" s="227" t="s">
        <v>108</v>
      </c>
    </row>
    <row r="5595" spans="1:7">
      <c r="A5595" s="216">
        <v>44986</v>
      </c>
      <c r="B5595" t="s">
        <v>3</v>
      </c>
      <c r="C5595">
        <v>8</v>
      </c>
      <c r="D5595" t="s">
        <v>451</v>
      </c>
      <c r="E5595" s="217">
        <v>44986</v>
      </c>
      <c r="F5595">
        <v>9365.1080000000002</v>
      </c>
      <c r="G5595" s="227" t="s">
        <v>103</v>
      </c>
    </row>
    <row r="5596" spans="1:7">
      <c r="A5596" s="216">
        <v>44986</v>
      </c>
      <c r="B5596" t="s">
        <v>3</v>
      </c>
      <c r="C5596">
        <v>8</v>
      </c>
      <c r="D5596" t="s">
        <v>451</v>
      </c>
      <c r="E5596" s="217">
        <v>44986</v>
      </c>
      <c r="F5596">
        <v>10048.280000000001</v>
      </c>
      <c r="G5596" s="227" t="s">
        <v>86</v>
      </c>
    </row>
    <row r="5597" spans="1:7">
      <c r="A5597" s="216">
        <v>44986</v>
      </c>
      <c r="B5597" t="s">
        <v>3</v>
      </c>
      <c r="C5597">
        <v>8</v>
      </c>
      <c r="D5597" t="s">
        <v>451</v>
      </c>
      <c r="E5597" s="217">
        <v>44986</v>
      </c>
      <c r="F5597">
        <v>10550.938</v>
      </c>
      <c r="G5597" s="227" t="s">
        <v>130</v>
      </c>
    </row>
    <row r="5598" spans="1:7">
      <c r="A5598" s="216">
        <v>44986</v>
      </c>
      <c r="B5598" t="s">
        <v>3</v>
      </c>
      <c r="C5598">
        <v>8</v>
      </c>
      <c r="D5598" t="s">
        <v>451</v>
      </c>
      <c r="E5598" s="217">
        <v>44986</v>
      </c>
      <c r="F5598">
        <v>9420.0130000000099</v>
      </c>
      <c r="G5598" s="227" t="s">
        <v>126</v>
      </c>
    </row>
    <row r="5599" spans="1:7">
      <c r="A5599" s="216">
        <v>44986</v>
      </c>
      <c r="B5599" t="s">
        <v>3</v>
      </c>
      <c r="C5599">
        <v>8</v>
      </c>
      <c r="D5599" t="s">
        <v>451</v>
      </c>
      <c r="E5599" s="217">
        <v>44986</v>
      </c>
      <c r="F5599">
        <v>9818.3769999999895</v>
      </c>
      <c r="G5599" s="227" t="s">
        <v>122</v>
      </c>
    </row>
    <row r="5600" spans="1:7">
      <c r="A5600" s="216">
        <v>44986</v>
      </c>
      <c r="B5600" t="s">
        <v>3</v>
      </c>
      <c r="C5600">
        <v>8</v>
      </c>
      <c r="D5600" t="s">
        <v>451</v>
      </c>
      <c r="E5600" s="217">
        <v>44986</v>
      </c>
      <c r="F5600">
        <v>11071.933999999999</v>
      </c>
      <c r="G5600" s="227" t="s">
        <v>91</v>
      </c>
    </row>
    <row r="5601" spans="1:7">
      <c r="A5601" s="216">
        <v>44986</v>
      </c>
      <c r="B5601" t="s">
        <v>3</v>
      </c>
      <c r="C5601">
        <v>8</v>
      </c>
      <c r="D5601" t="s">
        <v>451</v>
      </c>
      <c r="E5601" s="217">
        <v>44986</v>
      </c>
      <c r="F5601">
        <v>8959.0609999999906</v>
      </c>
      <c r="G5601" s="227" t="s">
        <v>99</v>
      </c>
    </row>
    <row r="5602" spans="1:7">
      <c r="A5602" s="216">
        <v>44986</v>
      </c>
      <c r="B5602" t="s">
        <v>3</v>
      </c>
      <c r="C5602">
        <v>8</v>
      </c>
      <c r="D5602" t="s">
        <v>451</v>
      </c>
      <c r="E5602" s="217">
        <v>44986</v>
      </c>
      <c r="F5602">
        <v>8891.3940000000002</v>
      </c>
      <c r="G5602" s="227" t="s">
        <v>95</v>
      </c>
    </row>
    <row r="5603" spans="1:7">
      <c r="A5603" s="216">
        <v>44986</v>
      </c>
      <c r="B5603" t="s">
        <v>3</v>
      </c>
      <c r="C5603">
        <v>8</v>
      </c>
      <c r="D5603" t="s">
        <v>451</v>
      </c>
      <c r="E5603" s="217">
        <v>44986</v>
      </c>
      <c r="F5603">
        <v>8210.6990000000096</v>
      </c>
      <c r="G5603" s="227" t="s">
        <v>113</v>
      </c>
    </row>
    <row r="5604" spans="1:7">
      <c r="A5604" s="216">
        <v>44986</v>
      </c>
      <c r="B5604" t="s">
        <v>3</v>
      </c>
      <c r="C5604">
        <v>8</v>
      </c>
      <c r="D5604" t="s">
        <v>451</v>
      </c>
      <c r="E5604" s="217">
        <v>44986</v>
      </c>
      <c r="F5604">
        <v>116426.527</v>
      </c>
      <c r="G5604" s="227" t="s">
        <v>434</v>
      </c>
    </row>
    <row r="5605" spans="1:7">
      <c r="A5605" s="216">
        <v>44986</v>
      </c>
      <c r="B5605" t="s">
        <v>3</v>
      </c>
      <c r="C5605">
        <v>9</v>
      </c>
      <c r="D5605" t="s">
        <v>450</v>
      </c>
      <c r="E5605" s="217">
        <v>44986</v>
      </c>
      <c r="F5605">
        <v>6117.5379999999996</v>
      </c>
      <c r="G5605" s="227" t="s">
        <v>81</v>
      </c>
    </row>
    <row r="5606" spans="1:7">
      <c r="A5606" s="216">
        <v>44986</v>
      </c>
      <c r="B5606" t="s">
        <v>3</v>
      </c>
      <c r="C5606">
        <v>9</v>
      </c>
      <c r="D5606" t="s">
        <v>450</v>
      </c>
      <c r="E5606" s="217">
        <v>44986</v>
      </c>
      <c r="F5606">
        <v>6491.4780000000001</v>
      </c>
      <c r="G5606" s="227" t="s">
        <v>117</v>
      </c>
    </row>
    <row r="5607" spans="1:7">
      <c r="A5607" s="216">
        <v>44986</v>
      </c>
      <c r="B5607" t="s">
        <v>3</v>
      </c>
      <c r="C5607">
        <v>9</v>
      </c>
      <c r="D5607" t="s">
        <v>450</v>
      </c>
      <c r="E5607" s="217">
        <v>44986</v>
      </c>
      <c r="F5607">
        <v>6364.5950000000003</v>
      </c>
      <c r="G5607" s="227" t="s">
        <v>108</v>
      </c>
    </row>
    <row r="5608" spans="1:7">
      <c r="A5608" s="216">
        <v>44986</v>
      </c>
      <c r="B5608" t="s">
        <v>3</v>
      </c>
      <c r="C5608">
        <v>9</v>
      </c>
      <c r="D5608" t="s">
        <v>450</v>
      </c>
      <c r="E5608" s="217">
        <v>44986</v>
      </c>
      <c r="F5608">
        <v>6797.7979999999998</v>
      </c>
      <c r="G5608" s="227" t="s">
        <v>103</v>
      </c>
    </row>
    <row r="5609" spans="1:7">
      <c r="A5609" s="216">
        <v>44986</v>
      </c>
      <c r="B5609" t="s">
        <v>3</v>
      </c>
      <c r="C5609">
        <v>9</v>
      </c>
      <c r="D5609" t="s">
        <v>450</v>
      </c>
      <c r="E5609" s="217">
        <v>44986</v>
      </c>
      <c r="F5609">
        <v>6797.0249999999996</v>
      </c>
      <c r="G5609" s="227" t="s">
        <v>86</v>
      </c>
    </row>
    <row r="5610" spans="1:7">
      <c r="A5610" s="216">
        <v>44986</v>
      </c>
      <c r="B5610" t="s">
        <v>3</v>
      </c>
      <c r="C5610">
        <v>9</v>
      </c>
      <c r="D5610" t="s">
        <v>450</v>
      </c>
      <c r="E5610" s="217">
        <v>44986</v>
      </c>
      <c r="F5610">
        <v>6903.11</v>
      </c>
      <c r="G5610" s="227" t="s">
        <v>130</v>
      </c>
    </row>
    <row r="5611" spans="1:7">
      <c r="A5611" s="216">
        <v>44986</v>
      </c>
      <c r="B5611" t="s">
        <v>3</v>
      </c>
      <c r="C5611">
        <v>9</v>
      </c>
      <c r="D5611" t="s">
        <v>450</v>
      </c>
      <c r="E5611" s="217">
        <v>44986</v>
      </c>
      <c r="F5611">
        <v>7482.2969999999996</v>
      </c>
      <c r="G5611" s="227" t="s">
        <v>126</v>
      </c>
    </row>
    <row r="5612" spans="1:7">
      <c r="A5612" s="216">
        <v>44986</v>
      </c>
      <c r="B5612" t="s">
        <v>3</v>
      </c>
      <c r="C5612">
        <v>9</v>
      </c>
      <c r="D5612" t="s">
        <v>450</v>
      </c>
      <c r="E5612" s="217">
        <v>44986</v>
      </c>
      <c r="F5612">
        <v>7094.8329999999996</v>
      </c>
      <c r="G5612" s="227" t="s">
        <v>122</v>
      </c>
    </row>
    <row r="5613" spans="1:7">
      <c r="A5613" s="216">
        <v>44986</v>
      </c>
      <c r="B5613" t="s">
        <v>3</v>
      </c>
      <c r="C5613">
        <v>9</v>
      </c>
      <c r="D5613" t="s">
        <v>450</v>
      </c>
      <c r="E5613" s="217">
        <v>44986</v>
      </c>
      <c r="F5613">
        <v>7194.1819999999998</v>
      </c>
      <c r="G5613" s="227" t="s">
        <v>91</v>
      </c>
    </row>
    <row r="5614" spans="1:7">
      <c r="A5614" s="216">
        <v>44986</v>
      </c>
      <c r="B5614" t="s">
        <v>3</v>
      </c>
      <c r="C5614">
        <v>9</v>
      </c>
      <c r="D5614" t="s">
        <v>450</v>
      </c>
      <c r="E5614" s="217">
        <v>44986</v>
      </c>
      <c r="F5614">
        <v>7183.6950000000097</v>
      </c>
      <c r="G5614" s="227" t="s">
        <v>99</v>
      </c>
    </row>
    <row r="5615" spans="1:7">
      <c r="A5615" s="216">
        <v>44986</v>
      </c>
      <c r="B5615" t="s">
        <v>3</v>
      </c>
      <c r="C5615">
        <v>9</v>
      </c>
      <c r="D5615" t="s">
        <v>450</v>
      </c>
      <c r="E5615" s="217">
        <v>44986</v>
      </c>
      <c r="F5615">
        <v>7174.0919999999896</v>
      </c>
      <c r="G5615" s="227" t="s">
        <v>95</v>
      </c>
    </row>
    <row r="5616" spans="1:7">
      <c r="A5616" s="216">
        <v>44986</v>
      </c>
      <c r="B5616" t="s">
        <v>3</v>
      </c>
      <c r="C5616">
        <v>9</v>
      </c>
      <c r="D5616" t="s">
        <v>450</v>
      </c>
      <c r="E5616" s="217">
        <v>44986</v>
      </c>
      <c r="F5616">
        <v>8064.7839999999997</v>
      </c>
      <c r="G5616" s="227" t="s">
        <v>113</v>
      </c>
    </row>
    <row r="5617" spans="1:7">
      <c r="A5617" s="216">
        <v>44986</v>
      </c>
      <c r="B5617" t="s">
        <v>3</v>
      </c>
      <c r="C5617">
        <v>9</v>
      </c>
      <c r="D5617" t="s">
        <v>450</v>
      </c>
      <c r="E5617" s="217">
        <v>44986</v>
      </c>
      <c r="F5617">
        <v>83665.426999999996</v>
      </c>
      <c r="G5617" s="227" t="s">
        <v>434</v>
      </c>
    </row>
    <row r="5618" spans="1:7">
      <c r="A5618" s="216">
        <v>44986</v>
      </c>
      <c r="B5618" t="s">
        <v>3</v>
      </c>
      <c r="C5618">
        <v>10</v>
      </c>
      <c r="D5618" t="s">
        <v>433</v>
      </c>
      <c r="E5618" s="217">
        <v>44986</v>
      </c>
      <c r="F5618">
        <v>48209.665000000001</v>
      </c>
      <c r="G5618" s="227" t="s">
        <v>81</v>
      </c>
    </row>
    <row r="5619" spans="1:7">
      <c r="A5619" s="216">
        <v>44986</v>
      </c>
      <c r="B5619" t="s">
        <v>3</v>
      </c>
      <c r="C5619">
        <v>10</v>
      </c>
      <c r="D5619" t="s">
        <v>433</v>
      </c>
      <c r="E5619" s="217">
        <v>44986</v>
      </c>
      <c r="F5619">
        <v>53948.307999999997</v>
      </c>
      <c r="G5619" s="227" t="s">
        <v>117</v>
      </c>
    </row>
    <row r="5620" spans="1:7">
      <c r="A5620" s="216">
        <v>44986</v>
      </c>
      <c r="B5620" t="s">
        <v>3</v>
      </c>
      <c r="C5620">
        <v>10</v>
      </c>
      <c r="D5620" t="s">
        <v>433</v>
      </c>
      <c r="E5620" s="217">
        <v>44986</v>
      </c>
      <c r="F5620">
        <v>52408.711000000003</v>
      </c>
      <c r="G5620" s="227" t="s">
        <v>108</v>
      </c>
    </row>
    <row r="5621" spans="1:7">
      <c r="A5621" s="216">
        <v>44986</v>
      </c>
      <c r="B5621" t="s">
        <v>3</v>
      </c>
      <c r="C5621">
        <v>10</v>
      </c>
      <c r="D5621" t="s">
        <v>433</v>
      </c>
      <c r="E5621" s="217">
        <v>44986</v>
      </c>
      <c r="F5621">
        <v>54695.156999999999</v>
      </c>
      <c r="G5621" s="227" t="s">
        <v>103</v>
      </c>
    </row>
    <row r="5622" spans="1:7">
      <c r="A5622" s="216">
        <v>44986</v>
      </c>
      <c r="B5622" t="s">
        <v>3</v>
      </c>
      <c r="C5622">
        <v>10</v>
      </c>
      <c r="D5622" t="s">
        <v>433</v>
      </c>
      <c r="E5622" s="217">
        <v>44986</v>
      </c>
      <c r="F5622">
        <v>54327.529000000002</v>
      </c>
      <c r="G5622" s="227" t="s">
        <v>86</v>
      </c>
    </row>
    <row r="5623" spans="1:7">
      <c r="A5623" s="216">
        <v>44986</v>
      </c>
      <c r="B5623" t="s">
        <v>3</v>
      </c>
      <c r="C5623">
        <v>10</v>
      </c>
      <c r="D5623" t="s">
        <v>433</v>
      </c>
      <c r="E5623" s="217">
        <v>44986</v>
      </c>
      <c r="F5623">
        <v>67324.932000000001</v>
      </c>
      <c r="G5623" s="227" t="s">
        <v>130</v>
      </c>
    </row>
    <row r="5624" spans="1:7">
      <c r="A5624" s="216">
        <v>44986</v>
      </c>
      <c r="B5624" t="s">
        <v>3</v>
      </c>
      <c r="C5624">
        <v>10</v>
      </c>
      <c r="D5624" t="s">
        <v>433</v>
      </c>
      <c r="E5624" s="217">
        <v>44986</v>
      </c>
      <c r="F5624">
        <v>56578.864999999998</v>
      </c>
      <c r="G5624" s="227" t="s">
        <v>126</v>
      </c>
    </row>
    <row r="5625" spans="1:7">
      <c r="A5625" s="216">
        <v>44986</v>
      </c>
      <c r="B5625" t="s">
        <v>3</v>
      </c>
      <c r="C5625">
        <v>10</v>
      </c>
      <c r="D5625" t="s">
        <v>433</v>
      </c>
      <c r="E5625" s="217">
        <v>44986</v>
      </c>
      <c r="F5625">
        <v>58703.39</v>
      </c>
      <c r="G5625" s="227" t="s">
        <v>122</v>
      </c>
    </row>
    <row r="5626" spans="1:7">
      <c r="A5626" s="216">
        <v>44986</v>
      </c>
      <c r="B5626" t="s">
        <v>3</v>
      </c>
      <c r="C5626">
        <v>10</v>
      </c>
      <c r="D5626" t="s">
        <v>433</v>
      </c>
      <c r="E5626" s="217">
        <v>44986</v>
      </c>
      <c r="F5626">
        <v>46512.389000000003</v>
      </c>
      <c r="G5626" s="227" t="s">
        <v>91</v>
      </c>
    </row>
    <row r="5627" spans="1:7">
      <c r="A5627" s="216">
        <v>44986</v>
      </c>
      <c r="B5627" t="s">
        <v>3</v>
      </c>
      <c r="C5627">
        <v>10</v>
      </c>
      <c r="D5627" t="s">
        <v>433</v>
      </c>
      <c r="E5627" s="217">
        <v>44986</v>
      </c>
      <c r="F5627">
        <v>56068.531000000003</v>
      </c>
      <c r="G5627" s="227" t="s">
        <v>99</v>
      </c>
    </row>
    <row r="5628" spans="1:7">
      <c r="A5628" s="216">
        <v>44986</v>
      </c>
      <c r="B5628" t="s">
        <v>3</v>
      </c>
      <c r="C5628">
        <v>10</v>
      </c>
      <c r="D5628" t="s">
        <v>433</v>
      </c>
      <c r="E5628" s="217">
        <v>44986</v>
      </c>
      <c r="F5628">
        <v>57246.319000000003</v>
      </c>
      <c r="G5628" s="227" t="s">
        <v>95</v>
      </c>
    </row>
    <row r="5629" spans="1:7">
      <c r="A5629" s="216">
        <v>44986</v>
      </c>
      <c r="B5629" t="s">
        <v>3</v>
      </c>
      <c r="C5629">
        <v>10</v>
      </c>
      <c r="D5629" t="s">
        <v>433</v>
      </c>
      <c r="E5629" s="217">
        <v>44986</v>
      </c>
      <c r="F5629">
        <v>112236.7</v>
      </c>
      <c r="G5629" s="227" t="s">
        <v>113</v>
      </c>
    </row>
    <row r="5630" spans="1:7">
      <c r="A5630" s="216">
        <v>44986</v>
      </c>
      <c r="B5630" t="s">
        <v>3</v>
      </c>
      <c r="C5630">
        <v>10</v>
      </c>
      <c r="D5630" t="s">
        <v>433</v>
      </c>
      <c r="E5630" s="217">
        <v>44986</v>
      </c>
      <c r="F5630">
        <v>718260.49600000004</v>
      </c>
      <c r="G5630" s="227" t="s">
        <v>434</v>
      </c>
    </row>
    <row r="5631" spans="1:7">
      <c r="A5631" s="216">
        <v>44986</v>
      </c>
      <c r="B5631" t="s">
        <v>3</v>
      </c>
      <c r="C5631">
        <v>11</v>
      </c>
      <c r="D5631" t="s">
        <v>445</v>
      </c>
      <c r="E5631" s="217">
        <v>44986</v>
      </c>
      <c r="F5631">
        <v>11423.199000000001</v>
      </c>
      <c r="G5631" s="227" t="s">
        <v>81</v>
      </c>
    </row>
    <row r="5632" spans="1:7">
      <c r="A5632" s="216">
        <v>44986</v>
      </c>
      <c r="B5632" t="s">
        <v>3</v>
      </c>
      <c r="C5632">
        <v>11</v>
      </c>
      <c r="D5632" t="s">
        <v>445</v>
      </c>
      <c r="E5632" s="217">
        <v>44986</v>
      </c>
      <c r="F5632">
        <v>12473.735000000001</v>
      </c>
      <c r="G5632" s="227" t="s">
        <v>117</v>
      </c>
    </row>
    <row r="5633" spans="1:7">
      <c r="A5633" s="216">
        <v>44986</v>
      </c>
      <c r="B5633" t="s">
        <v>3</v>
      </c>
      <c r="C5633">
        <v>11</v>
      </c>
      <c r="D5633" t="s">
        <v>445</v>
      </c>
      <c r="E5633" s="217">
        <v>44986</v>
      </c>
      <c r="F5633">
        <v>11315.875</v>
      </c>
      <c r="G5633" s="227" t="s">
        <v>108</v>
      </c>
    </row>
    <row r="5634" spans="1:7">
      <c r="A5634" s="216">
        <v>44986</v>
      </c>
      <c r="B5634" t="s">
        <v>3</v>
      </c>
      <c r="C5634">
        <v>11</v>
      </c>
      <c r="D5634" t="s">
        <v>445</v>
      </c>
      <c r="E5634" s="217">
        <v>44986</v>
      </c>
      <c r="F5634">
        <v>11101.58</v>
      </c>
      <c r="G5634" s="227" t="s">
        <v>103</v>
      </c>
    </row>
    <row r="5635" spans="1:7">
      <c r="A5635" s="216">
        <v>44986</v>
      </c>
      <c r="B5635" t="s">
        <v>3</v>
      </c>
      <c r="C5635">
        <v>11</v>
      </c>
      <c r="D5635" t="s">
        <v>445</v>
      </c>
      <c r="E5635" s="217">
        <v>44986</v>
      </c>
      <c r="F5635">
        <v>12317.021000000001</v>
      </c>
      <c r="G5635" s="227" t="s">
        <v>86</v>
      </c>
    </row>
    <row r="5636" spans="1:7">
      <c r="A5636" s="216">
        <v>44986</v>
      </c>
      <c r="B5636" t="s">
        <v>3</v>
      </c>
      <c r="C5636">
        <v>11</v>
      </c>
      <c r="D5636" t="s">
        <v>445</v>
      </c>
      <c r="E5636" s="217">
        <v>44986</v>
      </c>
      <c r="F5636">
        <v>13018.234</v>
      </c>
      <c r="G5636" s="227" t="s">
        <v>130</v>
      </c>
    </row>
    <row r="5637" spans="1:7">
      <c r="A5637" s="216">
        <v>44986</v>
      </c>
      <c r="B5637" t="s">
        <v>3</v>
      </c>
      <c r="C5637">
        <v>11</v>
      </c>
      <c r="D5637" t="s">
        <v>445</v>
      </c>
      <c r="E5637" s="217">
        <v>44986</v>
      </c>
      <c r="F5637">
        <v>14511.834999999999</v>
      </c>
      <c r="G5637" s="227" t="s">
        <v>126</v>
      </c>
    </row>
    <row r="5638" spans="1:7">
      <c r="A5638" s="216">
        <v>44986</v>
      </c>
      <c r="B5638" t="s">
        <v>3</v>
      </c>
      <c r="C5638">
        <v>11</v>
      </c>
      <c r="D5638" t="s">
        <v>445</v>
      </c>
      <c r="E5638" s="217">
        <v>44986</v>
      </c>
      <c r="F5638">
        <v>11986.706</v>
      </c>
      <c r="G5638" s="227" t="s">
        <v>122</v>
      </c>
    </row>
    <row r="5639" spans="1:7">
      <c r="A5639" s="216">
        <v>44986</v>
      </c>
      <c r="B5639" t="s">
        <v>3</v>
      </c>
      <c r="C5639">
        <v>11</v>
      </c>
      <c r="D5639" t="s">
        <v>445</v>
      </c>
      <c r="E5639" s="217">
        <v>44986</v>
      </c>
      <c r="F5639">
        <v>12033.463</v>
      </c>
      <c r="G5639" s="227" t="s">
        <v>91</v>
      </c>
    </row>
    <row r="5640" spans="1:7">
      <c r="A5640" s="216">
        <v>44986</v>
      </c>
      <c r="B5640" t="s">
        <v>3</v>
      </c>
      <c r="C5640">
        <v>11</v>
      </c>
      <c r="D5640" t="s">
        <v>445</v>
      </c>
      <c r="E5640" s="217">
        <v>44986</v>
      </c>
      <c r="F5640">
        <v>11465.636</v>
      </c>
      <c r="G5640" s="227" t="s">
        <v>99</v>
      </c>
    </row>
    <row r="5641" spans="1:7">
      <c r="A5641" s="216">
        <v>44986</v>
      </c>
      <c r="B5641" t="s">
        <v>3</v>
      </c>
      <c r="C5641">
        <v>11</v>
      </c>
      <c r="D5641" t="s">
        <v>445</v>
      </c>
      <c r="E5641" s="217">
        <v>44986</v>
      </c>
      <c r="F5641">
        <v>11982.66</v>
      </c>
      <c r="G5641" s="227" t="s">
        <v>95</v>
      </c>
    </row>
    <row r="5642" spans="1:7">
      <c r="A5642" s="216">
        <v>44986</v>
      </c>
      <c r="B5642" t="s">
        <v>3</v>
      </c>
      <c r="C5642">
        <v>11</v>
      </c>
      <c r="D5642" t="s">
        <v>445</v>
      </c>
      <c r="E5642" s="217">
        <v>44986</v>
      </c>
      <c r="F5642">
        <v>7973.6109999999999</v>
      </c>
      <c r="G5642" s="227" t="s">
        <v>113</v>
      </c>
    </row>
    <row r="5643" spans="1:7">
      <c r="A5643" s="216">
        <v>44986</v>
      </c>
      <c r="B5643" t="s">
        <v>3</v>
      </c>
      <c r="C5643">
        <v>11</v>
      </c>
      <c r="D5643" t="s">
        <v>445</v>
      </c>
      <c r="E5643" s="217">
        <v>44986</v>
      </c>
      <c r="F5643">
        <v>141603.55499999999</v>
      </c>
      <c r="G5643" s="227" t="s">
        <v>434</v>
      </c>
    </row>
    <row r="5644" spans="1:7">
      <c r="A5644" s="216">
        <v>44986</v>
      </c>
      <c r="B5644" t="s">
        <v>3</v>
      </c>
      <c r="C5644">
        <v>12</v>
      </c>
      <c r="D5644" t="s">
        <v>454</v>
      </c>
      <c r="E5644" s="217">
        <v>44986</v>
      </c>
      <c r="F5644">
        <v>5047.9690000000001</v>
      </c>
      <c r="G5644" s="227" t="s">
        <v>81</v>
      </c>
    </row>
    <row r="5645" spans="1:7">
      <c r="A5645" s="216">
        <v>44986</v>
      </c>
      <c r="B5645" t="s">
        <v>3</v>
      </c>
      <c r="C5645">
        <v>12</v>
      </c>
      <c r="D5645" t="s">
        <v>454</v>
      </c>
      <c r="E5645" s="217">
        <v>44986</v>
      </c>
      <c r="F5645">
        <v>6924.3410000000003</v>
      </c>
      <c r="G5645" s="227" t="s">
        <v>117</v>
      </c>
    </row>
    <row r="5646" spans="1:7">
      <c r="A5646" s="216">
        <v>44986</v>
      </c>
      <c r="B5646" t="s">
        <v>3</v>
      </c>
      <c r="C5646">
        <v>12</v>
      </c>
      <c r="D5646" t="s">
        <v>454</v>
      </c>
      <c r="E5646" s="217">
        <v>44986</v>
      </c>
      <c r="F5646">
        <v>6901.5219999999999</v>
      </c>
      <c r="G5646" s="227" t="s">
        <v>108</v>
      </c>
    </row>
    <row r="5647" spans="1:7">
      <c r="A5647" s="216">
        <v>44986</v>
      </c>
      <c r="B5647" t="s">
        <v>3</v>
      </c>
      <c r="C5647">
        <v>12</v>
      </c>
      <c r="D5647" t="s">
        <v>454</v>
      </c>
      <c r="E5647" s="217">
        <v>44986</v>
      </c>
      <c r="F5647">
        <v>6462.9880000000003</v>
      </c>
      <c r="G5647" s="227" t="s">
        <v>103</v>
      </c>
    </row>
    <row r="5648" spans="1:7">
      <c r="A5648" s="216">
        <v>44986</v>
      </c>
      <c r="B5648" t="s">
        <v>3</v>
      </c>
      <c r="C5648">
        <v>12</v>
      </c>
      <c r="D5648" t="s">
        <v>454</v>
      </c>
      <c r="E5648" s="217">
        <v>44986</v>
      </c>
      <c r="F5648">
        <v>7372.2150000000001</v>
      </c>
      <c r="G5648" s="227" t="s">
        <v>86</v>
      </c>
    </row>
    <row r="5649" spans="1:7">
      <c r="A5649" s="216">
        <v>44986</v>
      </c>
      <c r="B5649" t="s">
        <v>3</v>
      </c>
      <c r="C5649">
        <v>12</v>
      </c>
      <c r="D5649" t="s">
        <v>454</v>
      </c>
      <c r="E5649" s="217">
        <v>44986</v>
      </c>
      <c r="F5649">
        <v>6968.0720000000001</v>
      </c>
      <c r="G5649" s="227" t="s">
        <v>130</v>
      </c>
    </row>
    <row r="5650" spans="1:7">
      <c r="A5650" s="216">
        <v>44986</v>
      </c>
      <c r="B5650" t="s">
        <v>3</v>
      </c>
      <c r="C5650">
        <v>12</v>
      </c>
      <c r="D5650" t="s">
        <v>454</v>
      </c>
      <c r="E5650" s="217">
        <v>44986</v>
      </c>
      <c r="F5650">
        <v>5927.2759999999998</v>
      </c>
      <c r="G5650" s="227" t="s">
        <v>126</v>
      </c>
    </row>
    <row r="5651" spans="1:7">
      <c r="A5651" s="216">
        <v>44986</v>
      </c>
      <c r="B5651" t="s">
        <v>3</v>
      </c>
      <c r="C5651">
        <v>12</v>
      </c>
      <c r="D5651" t="s">
        <v>454</v>
      </c>
      <c r="E5651" s="217">
        <v>44986</v>
      </c>
      <c r="F5651">
        <v>7154.4030000000002</v>
      </c>
      <c r="G5651" s="227" t="s">
        <v>122</v>
      </c>
    </row>
    <row r="5652" spans="1:7">
      <c r="A5652" s="216">
        <v>44986</v>
      </c>
      <c r="B5652" t="s">
        <v>3</v>
      </c>
      <c r="C5652">
        <v>12</v>
      </c>
      <c r="D5652" t="s">
        <v>454</v>
      </c>
      <c r="E5652" s="217">
        <v>44986</v>
      </c>
      <c r="F5652">
        <v>6636.8519999999999</v>
      </c>
      <c r="G5652" s="227" t="s">
        <v>91</v>
      </c>
    </row>
    <row r="5653" spans="1:7">
      <c r="A5653" s="216">
        <v>44986</v>
      </c>
      <c r="B5653" t="s">
        <v>3</v>
      </c>
      <c r="C5653">
        <v>12</v>
      </c>
      <c r="D5653" t="s">
        <v>454</v>
      </c>
      <c r="E5653" s="217">
        <v>44986</v>
      </c>
      <c r="F5653">
        <v>6549.4160000000002</v>
      </c>
      <c r="G5653" s="227" t="s">
        <v>99</v>
      </c>
    </row>
    <row r="5654" spans="1:7">
      <c r="A5654" s="216">
        <v>44986</v>
      </c>
      <c r="B5654" t="s">
        <v>3</v>
      </c>
      <c r="C5654">
        <v>12</v>
      </c>
      <c r="D5654" t="s">
        <v>454</v>
      </c>
      <c r="E5654" s="217">
        <v>44986</v>
      </c>
      <c r="F5654">
        <v>6374.0950000000003</v>
      </c>
      <c r="G5654" s="227" t="s">
        <v>95</v>
      </c>
    </row>
    <row r="5655" spans="1:7">
      <c r="A5655" s="216">
        <v>44986</v>
      </c>
      <c r="B5655" t="s">
        <v>3</v>
      </c>
      <c r="C5655">
        <v>12</v>
      </c>
      <c r="D5655" t="s">
        <v>454</v>
      </c>
      <c r="E5655" s="217">
        <v>44986</v>
      </c>
      <c r="F5655">
        <v>6467.5079999999998</v>
      </c>
      <c r="G5655" s="227" t="s">
        <v>113</v>
      </c>
    </row>
    <row r="5656" spans="1:7">
      <c r="A5656" s="216">
        <v>44986</v>
      </c>
      <c r="B5656" t="s">
        <v>3</v>
      </c>
      <c r="C5656">
        <v>12</v>
      </c>
      <c r="D5656" t="s">
        <v>454</v>
      </c>
      <c r="E5656" s="217">
        <v>44986</v>
      </c>
      <c r="F5656">
        <v>78786.657000000007</v>
      </c>
      <c r="G5656" s="227" t="s">
        <v>434</v>
      </c>
    </row>
    <row r="5657" spans="1:7">
      <c r="A5657" s="216">
        <v>44986</v>
      </c>
      <c r="B5657" t="s">
        <v>3</v>
      </c>
      <c r="C5657">
        <v>13</v>
      </c>
      <c r="D5657" t="s">
        <v>441</v>
      </c>
      <c r="E5657" s="217">
        <v>44986</v>
      </c>
      <c r="F5657">
        <v>14045.763000000001</v>
      </c>
      <c r="G5657" s="227" t="s">
        <v>81</v>
      </c>
    </row>
    <row r="5658" spans="1:7">
      <c r="A5658" s="216">
        <v>44986</v>
      </c>
      <c r="B5658" t="s">
        <v>3</v>
      </c>
      <c r="C5658">
        <v>13</v>
      </c>
      <c r="D5658" t="s">
        <v>441</v>
      </c>
      <c r="E5658" s="217">
        <v>44986</v>
      </c>
      <c r="F5658">
        <v>14180.563</v>
      </c>
      <c r="G5658" s="227" t="s">
        <v>117</v>
      </c>
    </row>
    <row r="5659" spans="1:7">
      <c r="A5659" s="216">
        <v>44986</v>
      </c>
      <c r="B5659" t="s">
        <v>3</v>
      </c>
      <c r="C5659">
        <v>13</v>
      </c>
      <c r="D5659" t="s">
        <v>441</v>
      </c>
      <c r="E5659" s="217">
        <v>44986</v>
      </c>
      <c r="F5659">
        <v>15453.987999999999</v>
      </c>
      <c r="G5659" s="227" t="s">
        <v>108</v>
      </c>
    </row>
    <row r="5660" spans="1:7">
      <c r="A5660" s="216">
        <v>44986</v>
      </c>
      <c r="B5660" t="s">
        <v>3</v>
      </c>
      <c r="C5660">
        <v>13</v>
      </c>
      <c r="D5660" t="s">
        <v>441</v>
      </c>
      <c r="E5660" s="217">
        <v>44986</v>
      </c>
      <c r="F5660">
        <v>14686.644</v>
      </c>
      <c r="G5660" s="227" t="s">
        <v>103</v>
      </c>
    </row>
    <row r="5661" spans="1:7">
      <c r="A5661" s="216">
        <v>44986</v>
      </c>
      <c r="B5661" t="s">
        <v>3</v>
      </c>
      <c r="C5661">
        <v>13</v>
      </c>
      <c r="D5661" t="s">
        <v>441</v>
      </c>
      <c r="E5661" s="217">
        <v>44986</v>
      </c>
      <c r="F5661">
        <v>14239.078</v>
      </c>
      <c r="G5661" s="227" t="s">
        <v>86</v>
      </c>
    </row>
    <row r="5662" spans="1:7">
      <c r="A5662" s="216">
        <v>44986</v>
      </c>
      <c r="B5662" t="s">
        <v>3</v>
      </c>
      <c r="C5662">
        <v>13</v>
      </c>
      <c r="D5662" t="s">
        <v>441</v>
      </c>
      <c r="E5662" s="217">
        <v>44986</v>
      </c>
      <c r="F5662">
        <v>15172.777</v>
      </c>
      <c r="G5662" s="227" t="s">
        <v>130</v>
      </c>
    </row>
    <row r="5663" spans="1:7">
      <c r="A5663" s="216">
        <v>44986</v>
      </c>
      <c r="B5663" t="s">
        <v>3</v>
      </c>
      <c r="C5663">
        <v>13</v>
      </c>
      <c r="D5663" t="s">
        <v>441</v>
      </c>
      <c r="E5663" s="217">
        <v>44986</v>
      </c>
      <c r="F5663">
        <v>14755.236000000001</v>
      </c>
      <c r="G5663" s="227" t="s">
        <v>126</v>
      </c>
    </row>
    <row r="5664" spans="1:7">
      <c r="A5664" s="216">
        <v>44986</v>
      </c>
      <c r="B5664" t="s">
        <v>3</v>
      </c>
      <c r="C5664">
        <v>13</v>
      </c>
      <c r="D5664" t="s">
        <v>441</v>
      </c>
      <c r="E5664" s="217">
        <v>44986</v>
      </c>
      <c r="F5664">
        <v>14869.981</v>
      </c>
      <c r="G5664" s="227" t="s">
        <v>122</v>
      </c>
    </row>
    <row r="5665" spans="1:7">
      <c r="A5665" s="216">
        <v>44986</v>
      </c>
      <c r="B5665" t="s">
        <v>3</v>
      </c>
      <c r="C5665">
        <v>13</v>
      </c>
      <c r="D5665" t="s">
        <v>441</v>
      </c>
      <c r="E5665" s="217">
        <v>44986</v>
      </c>
      <c r="F5665">
        <v>16164.199000000001</v>
      </c>
      <c r="G5665" s="227" t="s">
        <v>91</v>
      </c>
    </row>
    <row r="5666" spans="1:7">
      <c r="A5666" s="216">
        <v>44986</v>
      </c>
      <c r="B5666" t="s">
        <v>3</v>
      </c>
      <c r="C5666">
        <v>13</v>
      </c>
      <c r="D5666" t="s">
        <v>441</v>
      </c>
      <c r="E5666" s="217">
        <v>44986</v>
      </c>
      <c r="F5666">
        <v>14430.161</v>
      </c>
      <c r="G5666" s="227" t="s">
        <v>99</v>
      </c>
    </row>
    <row r="5667" spans="1:7">
      <c r="A5667" s="216">
        <v>44986</v>
      </c>
      <c r="B5667" t="s">
        <v>3</v>
      </c>
      <c r="C5667">
        <v>13</v>
      </c>
      <c r="D5667" t="s">
        <v>441</v>
      </c>
      <c r="E5667" s="217">
        <v>44986</v>
      </c>
      <c r="F5667">
        <v>17233.815999999999</v>
      </c>
      <c r="G5667" s="227" t="s">
        <v>95</v>
      </c>
    </row>
    <row r="5668" spans="1:7">
      <c r="A5668" s="216">
        <v>44986</v>
      </c>
      <c r="B5668" t="s">
        <v>3</v>
      </c>
      <c r="C5668">
        <v>13</v>
      </c>
      <c r="D5668" t="s">
        <v>441</v>
      </c>
      <c r="E5668" s="217">
        <v>44986</v>
      </c>
      <c r="F5668">
        <v>14918.01</v>
      </c>
      <c r="G5668" s="227" t="s">
        <v>113</v>
      </c>
    </row>
    <row r="5669" spans="1:7">
      <c r="A5669" s="216">
        <v>44986</v>
      </c>
      <c r="B5669" t="s">
        <v>3</v>
      </c>
      <c r="C5669">
        <v>13</v>
      </c>
      <c r="D5669" t="s">
        <v>441</v>
      </c>
      <c r="E5669" s="217">
        <v>44986</v>
      </c>
      <c r="F5669">
        <v>180150.21599999999</v>
      </c>
      <c r="G5669" s="227" t="s">
        <v>434</v>
      </c>
    </row>
    <row r="5670" spans="1:7">
      <c r="A5670" s="216">
        <v>44986</v>
      </c>
      <c r="B5670" t="s">
        <v>3</v>
      </c>
      <c r="C5670">
        <v>14</v>
      </c>
      <c r="D5670" t="s">
        <v>447</v>
      </c>
      <c r="E5670" s="217">
        <v>44986</v>
      </c>
      <c r="F5670">
        <v>0</v>
      </c>
      <c r="G5670" s="227" t="s">
        <v>81</v>
      </c>
    </row>
    <row r="5671" spans="1:7">
      <c r="A5671" s="216">
        <v>44986</v>
      </c>
      <c r="B5671" t="s">
        <v>3</v>
      </c>
      <c r="C5671">
        <v>14</v>
      </c>
      <c r="D5671" t="s">
        <v>447</v>
      </c>
      <c r="E5671" s="217">
        <v>44986</v>
      </c>
      <c r="F5671">
        <v>0</v>
      </c>
      <c r="G5671" s="227" t="s">
        <v>117</v>
      </c>
    </row>
    <row r="5672" spans="1:7">
      <c r="A5672" s="216">
        <v>44986</v>
      </c>
      <c r="B5672" t="s">
        <v>3</v>
      </c>
      <c r="C5672">
        <v>14</v>
      </c>
      <c r="D5672" t="s">
        <v>447</v>
      </c>
      <c r="E5672" s="217">
        <v>44986</v>
      </c>
      <c r="F5672">
        <v>0</v>
      </c>
      <c r="G5672" s="227" t="s">
        <v>108</v>
      </c>
    </row>
    <row r="5673" spans="1:7">
      <c r="A5673" s="216">
        <v>44986</v>
      </c>
      <c r="B5673" t="s">
        <v>3</v>
      </c>
      <c r="C5673">
        <v>14</v>
      </c>
      <c r="D5673" t="s">
        <v>447</v>
      </c>
      <c r="E5673" s="217">
        <v>44986</v>
      </c>
      <c r="F5673">
        <v>0</v>
      </c>
      <c r="G5673" s="227" t="s">
        <v>103</v>
      </c>
    </row>
    <row r="5674" spans="1:7">
      <c r="A5674" s="216">
        <v>44986</v>
      </c>
      <c r="B5674" t="s">
        <v>3</v>
      </c>
      <c r="C5674">
        <v>14</v>
      </c>
      <c r="D5674" t="s">
        <v>447</v>
      </c>
      <c r="E5674" s="217">
        <v>44986</v>
      </c>
      <c r="F5674">
        <v>0</v>
      </c>
      <c r="G5674" s="227" t="s">
        <v>86</v>
      </c>
    </row>
    <row r="5675" spans="1:7">
      <c r="A5675" s="216">
        <v>44986</v>
      </c>
      <c r="B5675" t="s">
        <v>3</v>
      </c>
      <c r="C5675">
        <v>14</v>
      </c>
      <c r="D5675" t="s">
        <v>447</v>
      </c>
      <c r="E5675" s="217">
        <v>44986</v>
      </c>
      <c r="F5675">
        <v>0</v>
      </c>
      <c r="G5675" s="227" t="s">
        <v>130</v>
      </c>
    </row>
    <row r="5676" spans="1:7">
      <c r="A5676" s="216">
        <v>44986</v>
      </c>
      <c r="B5676" t="s">
        <v>3</v>
      </c>
      <c r="C5676">
        <v>14</v>
      </c>
      <c r="D5676" t="s">
        <v>447</v>
      </c>
      <c r="E5676" s="217">
        <v>44986</v>
      </c>
      <c r="F5676">
        <v>0</v>
      </c>
      <c r="G5676" s="227" t="s">
        <v>126</v>
      </c>
    </row>
    <row r="5677" spans="1:7">
      <c r="A5677" s="216">
        <v>44986</v>
      </c>
      <c r="B5677" t="s">
        <v>3</v>
      </c>
      <c r="C5677">
        <v>14</v>
      </c>
      <c r="D5677" t="s">
        <v>447</v>
      </c>
      <c r="E5677" s="217">
        <v>44986</v>
      </c>
      <c r="F5677">
        <v>0</v>
      </c>
      <c r="G5677" s="227" t="s">
        <v>122</v>
      </c>
    </row>
    <row r="5678" spans="1:7">
      <c r="A5678" s="216">
        <v>44986</v>
      </c>
      <c r="B5678" t="s">
        <v>3</v>
      </c>
      <c r="C5678">
        <v>14</v>
      </c>
      <c r="D5678" t="s">
        <v>447</v>
      </c>
      <c r="E5678" s="217">
        <v>44986</v>
      </c>
      <c r="F5678">
        <v>0</v>
      </c>
      <c r="G5678" s="227" t="s">
        <v>91</v>
      </c>
    </row>
    <row r="5679" spans="1:7">
      <c r="A5679" s="216">
        <v>44986</v>
      </c>
      <c r="B5679" t="s">
        <v>3</v>
      </c>
      <c r="C5679">
        <v>14</v>
      </c>
      <c r="D5679" t="s">
        <v>447</v>
      </c>
      <c r="E5679" s="217">
        <v>44986</v>
      </c>
      <c r="F5679">
        <v>0</v>
      </c>
      <c r="G5679" s="227" t="s">
        <v>99</v>
      </c>
    </row>
    <row r="5680" spans="1:7">
      <c r="A5680" s="216">
        <v>44986</v>
      </c>
      <c r="B5680" t="s">
        <v>3</v>
      </c>
      <c r="C5680">
        <v>14</v>
      </c>
      <c r="D5680" t="s">
        <v>447</v>
      </c>
      <c r="E5680" s="217">
        <v>44986</v>
      </c>
      <c r="F5680">
        <v>0</v>
      </c>
      <c r="G5680" s="227" t="s">
        <v>95</v>
      </c>
    </row>
    <row r="5681" spans="1:7">
      <c r="A5681" s="216">
        <v>44986</v>
      </c>
      <c r="B5681" t="s">
        <v>3</v>
      </c>
      <c r="C5681">
        <v>14</v>
      </c>
      <c r="D5681" t="s">
        <v>447</v>
      </c>
      <c r="E5681" s="217">
        <v>44986</v>
      </c>
      <c r="F5681">
        <v>0</v>
      </c>
      <c r="G5681" s="227" t="s">
        <v>113</v>
      </c>
    </row>
    <row r="5682" spans="1:7">
      <c r="A5682" s="216">
        <v>44986</v>
      </c>
      <c r="B5682" t="s">
        <v>3</v>
      </c>
      <c r="C5682">
        <v>14</v>
      </c>
      <c r="D5682" t="s">
        <v>447</v>
      </c>
      <c r="E5682" s="217">
        <v>44986</v>
      </c>
      <c r="F5682">
        <v>0</v>
      </c>
      <c r="G5682" s="227" t="s">
        <v>434</v>
      </c>
    </row>
    <row r="5683" spans="1:7">
      <c r="A5683" s="216">
        <v>44986</v>
      </c>
      <c r="B5683" t="s">
        <v>3</v>
      </c>
      <c r="C5683">
        <v>15</v>
      </c>
      <c r="D5683" t="s">
        <v>437</v>
      </c>
      <c r="E5683" s="217">
        <v>44986</v>
      </c>
      <c r="F5683">
        <v>5541.5119999999997</v>
      </c>
      <c r="G5683" s="227" t="s">
        <v>81</v>
      </c>
    </row>
    <row r="5684" spans="1:7">
      <c r="A5684" s="216">
        <v>44986</v>
      </c>
      <c r="B5684" t="s">
        <v>3</v>
      </c>
      <c r="C5684">
        <v>15</v>
      </c>
      <c r="D5684" t="s">
        <v>437</v>
      </c>
      <c r="E5684" s="217">
        <v>44986</v>
      </c>
      <c r="F5684">
        <v>5886.0119999999997</v>
      </c>
      <c r="G5684" s="227" t="s">
        <v>117</v>
      </c>
    </row>
    <row r="5685" spans="1:7">
      <c r="A5685" s="216">
        <v>44986</v>
      </c>
      <c r="B5685" t="s">
        <v>3</v>
      </c>
      <c r="C5685">
        <v>15</v>
      </c>
      <c r="D5685" t="s">
        <v>437</v>
      </c>
      <c r="E5685" s="217">
        <v>44986</v>
      </c>
      <c r="F5685">
        <v>5639.8739999999998</v>
      </c>
      <c r="G5685" s="227" t="s">
        <v>108</v>
      </c>
    </row>
    <row r="5686" spans="1:7">
      <c r="A5686" s="216">
        <v>44986</v>
      </c>
      <c r="B5686" t="s">
        <v>3</v>
      </c>
      <c r="C5686">
        <v>15</v>
      </c>
      <c r="D5686" t="s">
        <v>437</v>
      </c>
      <c r="E5686" s="217">
        <v>44986</v>
      </c>
      <c r="F5686">
        <v>5347.4189999999999</v>
      </c>
      <c r="G5686" s="227" t="s">
        <v>103</v>
      </c>
    </row>
    <row r="5687" spans="1:7">
      <c r="A5687" s="216">
        <v>44986</v>
      </c>
      <c r="B5687" t="s">
        <v>3</v>
      </c>
      <c r="C5687">
        <v>15</v>
      </c>
      <c r="D5687" t="s">
        <v>437</v>
      </c>
      <c r="E5687" s="217">
        <v>44986</v>
      </c>
      <c r="F5687">
        <v>6043.6580000000004</v>
      </c>
      <c r="G5687" s="227" t="s">
        <v>86</v>
      </c>
    </row>
    <row r="5688" spans="1:7">
      <c r="A5688" s="216">
        <v>44986</v>
      </c>
      <c r="B5688" t="s">
        <v>3</v>
      </c>
      <c r="C5688">
        <v>15</v>
      </c>
      <c r="D5688" t="s">
        <v>437</v>
      </c>
      <c r="E5688" s="217">
        <v>44986</v>
      </c>
      <c r="F5688">
        <v>6155.4350000000004</v>
      </c>
      <c r="G5688" s="227" t="s">
        <v>130</v>
      </c>
    </row>
    <row r="5689" spans="1:7">
      <c r="A5689" s="216">
        <v>44986</v>
      </c>
      <c r="B5689" t="s">
        <v>3</v>
      </c>
      <c r="C5689">
        <v>15</v>
      </c>
      <c r="D5689" t="s">
        <v>437</v>
      </c>
      <c r="E5689" s="217">
        <v>44986</v>
      </c>
      <c r="F5689">
        <v>6014.9269999999997</v>
      </c>
      <c r="G5689" s="227" t="s">
        <v>126</v>
      </c>
    </row>
    <row r="5690" spans="1:7">
      <c r="A5690" s="216">
        <v>44986</v>
      </c>
      <c r="B5690" t="s">
        <v>3</v>
      </c>
      <c r="C5690">
        <v>15</v>
      </c>
      <c r="D5690" t="s">
        <v>437</v>
      </c>
      <c r="E5690" s="217">
        <v>44986</v>
      </c>
      <c r="F5690">
        <v>6114.1509999999998</v>
      </c>
      <c r="G5690" s="227" t="s">
        <v>122</v>
      </c>
    </row>
    <row r="5691" spans="1:7">
      <c r="A5691" s="216">
        <v>44986</v>
      </c>
      <c r="B5691" t="s">
        <v>3</v>
      </c>
      <c r="C5691">
        <v>15</v>
      </c>
      <c r="D5691" t="s">
        <v>437</v>
      </c>
      <c r="E5691" s="217">
        <v>44986</v>
      </c>
      <c r="F5691">
        <v>6934.0680000000002</v>
      </c>
      <c r="G5691" s="227" t="s">
        <v>91</v>
      </c>
    </row>
    <row r="5692" spans="1:7">
      <c r="A5692" s="216">
        <v>44986</v>
      </c>
      <c r="B5692" t="s">
        <v>3</v>
      </c>
      <c r="C5692">
        <v>15</v>
      </c>
      <c r="D5692" t="s">
        <v>437</v>
      </c>
      <c r="E5692" s="217">
        <v>44986</v>
      </c>
      <c r="F5692">
        <v>6487.81</v>
      </c>
      <c r="G5692" s="227" t="s">
        <v>99</v>
      </c>
    </row>
    <row r="5693" spans="1:7">
      <c r="A5693" s="216">
        <v>44986</v>
      </c>
      <c r="B5693" t="s">
        <v>3</v>
      </c>
      <c r="C5693">
        <v>15</v>
      </c>
      <c r="D5693" t="s">
        <v>437</v>
      </c>
      <c r="E5693" s="217">
        <v>44986</v>
      </c>
      <c r="F5693">
        <v>5725.6090000000004</v>
      </c>
      <c r="G5693" s="227" t="s">
        <v>95</v>
      </c>
    </row>
    <row r="5694" spans="1:7">
      <c r="A5694" s="216">
        <v>44986</v>
      </c>
      <c r="B5694" t="s">
        <v>3</v>
      </c>
      <c r="C5694">
        <v>15</v>
      </c>
      <c r="D5694" t="s">
        <v>437</v>
      </c>
      <c r="E5694" s="217">
        <v>44986</v>
      </c>
      <c r="F5694">
        <v>3905.9319999999998</v>
      </c>
      <c r="G5694" s="227" t="s">
        <v>113</v>
      </c>
    </row>
    <row r="5695" spans="1:7">
      <c r="A5695" s="216">
        <v>44986</v>
      </c>
      <c r="B5695" t="s">
        <v>3</v>
      </c>
      <c r="C5695">
        <v>15</v>
      </c>
      <c r="D5695" t="s">
        <v>437</v>
      </c>
      <c r="E5695" s="217">
        <v>44986</v>
      </c>
      <c r="F5695">
        <v>69796.407000000007</v>
      </c>
      <c r="G5695" s="227" t="s">
        <v>434</v>
      </c>
    </row>
    <row r="5696" spans="1:7">
      <c r="A5696" s="216">
        <v>44986</v>
      </c>
      <c r="B5696" t="s">
        <v>49</v>
      </c>
      <c r="C5696">
        <v>7</v>
      </c>
      <c r="D5696" t="s">
        <v>442</v>
      </c>
      <c r="E5696" s="217">
        <v>44986</v>
      </c>
      <c r="F5696">
        <v>13914.464</v>
      </c>
      <c r="G5696" s="227" t="s">
        <v>81</v>
      </c>
    </row>
    <row r="5697" spans="1:7">
      <c r="A5697" s="216">
        <v>44986</v>
      </c>
      <c r="B5697" t="s">
        <v>49</v>
      </c>
      <c r="C5697">
        <v>7</v>
      </c>
      <c r="D5697" t="s">
        <v>442</v>
      </c>
      <c r="E5697" s="217">
        <v>44986</v>
      </c>
      <c r="F5697">
        <v>14700.472</v>
      </c>
      <c r="G5697" s="227" t="s">
        <v>117</v>
      </c>
    </row>
    <row r="5698" spans="1:7">
      <c r="A5698" s="216">
        <v>44986</v>
      </c>
      <c r="B5698" t="s">
        <v>49</v>
      </c>
      <c r="C5698">
        <v>7</v>
      </c>
      <c r="D5698" t="s">
        <v>442</v>
      </c>
      <c r="E5698" s="217">
        <v>44986</v>
      </c>
      <c r="F5698">
        <v>14094.300999999999</v>
      </c>
      <c r="G5698" s="227" t="s">
        <v>108</v>
      </c>
    </row>
    <row r="5699" spans="1:7">
      <c r="A5699" s="216">
        <v>44986</v>
      </c>
      <c r="B5699" t="s">
        <v>49</v>
      </c>
      <c r="C5699">
        <v>7</v>
      </c>
      <c r="D5699" t="s">
        <v>442</v>
      </c>
      <c r="E5699" s="217">
        <v>44986</v>
      </c>
      <c r="F5699">
        <v>13491.663399999999</v>
      </c>
      <c r="G5699" s="227" t="s">
        <v>103</v>
      </c>
    </row>
    <row r="5700" spans="1:7">
      <c r="A5700" s="216">
        <v>44986</v>
      </c>
      <c r="B5700" t="s">
        <v>49</v>
      </c>
      <c r="C5700">
        <v>7</v>
      </c>
      <c r="D5700" t="s">
        <v>442</v>
      </c>
      <c r="E5700" s="217">
        <v>44986</v>
      </c>
      <c r="F5700">
        <v>13844.70112</v>
      </c>
      <c r="G5700" s="227" t="s">
        <v>86</v>
      </c>
    </row>
    <row r="5701" spans="1:7">
      <c r="A5701" s="216">
        <v>44986</v>
      </c>
      <c r="B5701" t="s">
        <v>49</v>
      </c>
      <c r="C5701">
        <v>7</v>
      </c>
      <c r="D5701" t="s">
        <v>442</v>
      </c>
      <c r="E5701" s="217">
        <v>44986</v>
      </c>
      <c r="F5701">
        <v>16196.49215</v>
      </c>
      <c r="G5701" s="227" t="s">
        <v>130</v>
      </c>
    </row>
    <row r="5702" spans="1:7">
      <c r="A5702" s="216">
        <v>44986</v>
      </c>
      <c r="B5702" t="s">
        <v>49</v>
      </c>
      <c r="C5702">
        <v>7</v>
      </c>
      <c r="D5702" t="s">
        <v>442</v>
      </c>
      <c r="E5702" s="217">
        <v>44986</v>
      </c>
      <c r="F5702">
        <v>15494.787920000001</v>
      </c>
      <c r="G5702" s="227" t="s">
        <v>126</v>
      </c>
    </row>
    <row r="5703" spans="1:7">
      <c r="A5703" s="216">
        <v>44986</v>
      </c>
      <c r="B5703" t="s">
        <v>49</v>
      </c>
      <c r="C5703">
        <v>7</v>
      </c>
      <c r="D5703" t="s">
        <v>442</v>
      </c>
      <c r="E5703" s="217">
        <v>44986</v>
      </c>
      <c r="F5703">
        <v>15992.8658</v>
      </c>
      <c r="G5703" s="227" t="s">
        <v>122</v>
      </c>
    </row>
    <row r="5704" spans="1:7">
      <c r="A5704" s="216">
        <v>44986</v>
      </c>
      <c r="B5704" t="s">
        <v>49</v>
      </c>
      <c r="C5704">
        <v>7</v>
      </c>
      <c r="D5704" t="s">
        <v>442</v>
      </c>
      <c r="E5704" s="217">
        <v>44986</v>
      </c>
      <c r="F5704">
        <v>15974.382589999999</v>
      </c>
      <c r="G5704" s="227" t="s">
        <v>91</v>
      </c>
    </row>
    <row r="5705" spans="1:7">
      <c r="A5705" s="216">
        <v>44986</v>
      </c>
      <c r="B5705" t="s">
        <v>49</v>
      </c>
      <c r="C5705">
        <v>7</v>
      </c>
      <c r="D5705" t="s">
        <v>442</v>
      </c>
      <c r="E5705" s="217">
        <v>44986</v>
      </c>
      <c r="F5705">
        <v>12440.13474</v>
      </c>
      <c r="G5705" s="227" t="s">
        <v>99</v>
      </c>
    </row>
    <row r="5706" spans="1:7">
      <c r="A5706" s="216">
        <v>44986</v>
      </c>
      <c r="B5706" t="s">
        <v>49</v>
      </c>
      <c r="C5706">
        <v>7</v>
      </c>
      <c r="D5706" t="s">
        <v>442</v>
      </c>
      <c r="E5706" s="217">
        <v>44986</v>
      </c>
      <c r="F5706">
        <v>13687.632900000001</v>
      </c>
      <c r="G5706" s="227" t="s">
        <v>95</v>
      </c>
    </row>
    <row r="5707" spans="1:7">
      <c r="A5707" s="216">
        <v>44986</v>
      </c>
      <c r="B5707" t="s">
        <v>49</v>
      </c>
      <c r="C5707">
        <v>7</v>
      </c>
      <c r="D5707" t="s">
        <v>442</v>
      </c>
      <c r="E5707" s="217">
        <v>44986</v>
      </c>
      <c r="F5707">
        <v>23696.692080000001</v>
      </c>
      <c r="G5707" s="227" t="s">
        <v>113</v>
      </c>
    </row>
    <row r="5708" spans="1:7">
      <c r="A5708" s="216">
        <v>44986</v>
      </c>
      <c r="B5708" t="s">
        <v>49</v>
      </c>
      <c r="C5708">
        <v>7</v>
      </c>
      <c r="D5708" t="s">
        <v>442</v>
      </c>
      <c r="E5708" s="217">
        <v>44986</v>
      </c>
      <c r="F5708">
        <v>183528.58970000001</v>
      </c>
      <c r="G5708" s="227" t="s">
        <v>434</v>
      </c>
    </row>
    <row r="5709" spans="1:7">
      <c r="A5709" s="216">
        <v>44986</v>
      </c>
      <c r="B5709" t="s">
        <v>49</v>
      </c>
      <c r="C5709">
        <v>8</v>
      </c>
      <c r="D5709" t="s">
        <v>451</v>
      </c>
      <c r="E5709" s="217">
        <v>44986</v>
      </c>
      <c r="F5709">
        <v>0</v>
      </c>
      <c r="G5709" s="227" t="s">
        <v>81</v>
      </c>
    </row>
    <row r="5710" spans="1:7">
      <c r="A5710" s="216">
        <v>44986</v>
      </c>
      <c r="B5710" t="s">
        <v>49</v>
      </c>
      <c r="C5710">
        <v>8</v>
      </c>
      <c r="D5710" t="s">
        <v>451</v>
      </c>
      <c r="E5710" s="217">
        <v>44986</v>
      </c>
      <c r="F5710">
        <v>0</v>
      </c>
      <c r="G5710" s="227" t="s">
        <v>117</v>
      </c>
    </row>
    <row r="5711" spans="1:7">
      <c r="A5711" s="216">
        <v>44986</v>
      </c>
      <c r="B5711" t="s">
        <v>49</v>
      </c>
      <c r="C5711">
        <v>8</v>
      </c>
      <c r="D5711" t="s">
        <v>451</v>
      </c>
      <c r="E5711" s="217">
        <v>44986</v>
      </c>
      <c r="F5711">
        <v>0</v>
      </c>
      <c r="G5711" s="227" t="s">
        <v>108</v>
      </c>
    </row>
    <row r="5712" spans="1:7">
      <c r="A5712" s="216">
        <v>44986</v>
      </c>
      <c r="B5712" t="s">
        <v>49</v>
      </c>
      <c r="C5712">
        <v>8</v>
      </c>
      <c r="D5712" t="s">
        <v>451</v>
      </c>
      <c r="E5712" s="217">
        <v>44986</v>
      </c>
      <c r="F5712">
        <v>0</v>
      </c>
      <c r="G5712" s="227" t="s">
        <v>103</v>
      </c>
    </row>
    <row r="5713" spans="1:7">
      <c r="A5713" s="216">
        <v>44986</v>
      </c>
      <c r="B5713" t="s">
        <v>49</v>
      </c>
      <c r="C5713">
        <v>8</v>
      </c>
      <c r="D5713" t="s">
        <v>451</v>
      </c>
      <c r="E5713" s="217">
        <v>44986</v>
      </c>
      <c r="F5713">
        <v>0</v>
      </c>
      <c r="G5713" s="227" t="s">
        <v>86</v>
      </c>
    </row>
    <row r="5714" spans="1:7">
      <c r="A5714" s="216">
        <v>44986</v>
      </c>
      <c r="B5714" t="s">
        <v>49</v>
      </c>
      <c r="C5714">
        <v>8</v>
      </c>
      <c r="D5714" t="s">
        <v>451</v>
      </c>
      <c r="E5714" s="217">
        <v>44986</v>
      </c>
      <c r="F5714">
        <v>0</v>
      </c>
      <c r="G5714" s="227" t="s">
        <v>130</v>
      </c>
    </row>
    <row r="5715" spans="1:7">
      <c r="A5715" s="216">
        <v>44986</v>
      </c>
      <c r="B5715" t="s">
        <v>49</v>
      </c>
      <c r="C5715">
        <v>8</v>
      </c>
      <c r="D5715" t="s">
        <v>451</v>
      </c>
      <c r="E5715" s="217">
        <v>44986</v>
      </c>
      <c r="F5715">
        <v>0</v>
      </c>
      <c r="G5715" s="227" t="s">
        <v>126</v>
      </c>
    </row>
    <row r="5716" spans="1:7">
      <c r="A5716" s="216">
        <v>44986</v>
      </c>
      <c r="B5716" t="s">
        <v>49</v>
      </c>
      <c r="C5716">
        <v>8</v>
      </c>
      <c r="D5716" t="s">
        <v>451</v>
      </c>
      <c r="E5716" s="217">
        <v>44986</v>
      </c>
      <c r="F5716">
        <v>0</v>
      </c>
      <c r="G5716" s="227" t="s">
        <v>122</v>
      </c>
    </row>
    <row r="5717" spans="1:7">
      <c r="A5717" s="216">
        <v>44986</v>
      </c>
      <c r="B5717" t="s">
        <v>49</v>
      </c>
      <c r="C5717">
        <v>8</v>
      </c>
      <c r="D5717" t="s">
        <v>451</v>
      </c>
      <c r="E5717" s="217">
        <v>44986</v>
      </c>
      <c r="F5717">
        <v>0</v>
      </c>
      <c r="G5717" s="227" t="s">
        <v>91</v>
      </c>
    </row>
    <row r="5718" spans="1:7">
      <c r="A5718" s="216">
        <v>44986</v>
      </c>
      <c r="B5718" t="s">
        <v>49</v>
      </c>
      <c r="C5718">
        <v>8</v>
      </c>
      <c r="D5718" t="s">
        <v>451</v>
      </c>
      <c r="E5718" s="217">
        <v>44986</v>
      </c>
      <c r="F5718">
        <v>0</v>
      </c>
      <c r="G5718" s="227" t="s">
        <v>99</v>
      </c>
    </row>
    <row r="5719" spans="1:7">
      <c r="A5719" s="216">
        <v>44986</v>
      </c>
      <c r="B5719" t="s">
        <v>49</v>
      </c>
      <c r="C5719">
        <v>8</v>
      </c>
      <c r="D5719" t="s">
        <v>451</v>
      </c>
      <c r="E5719" s="217">
        <v>44986</v>
      </c>
      <c r="F5719">
        <v>0</v>
      </c>
      <c r="G5719" s="227" t="s">
        <v>95</v>
      </c>
    </row>
    <row r="5720" spans="1:7">
      <c r="A5720" s="216">
        <v>44986</v>
      </c>
      <c r="B5720" t="s">
        <v>49</v>
      </c>
      <c r="C5720">
        <v>8</v>
      </c>
      <c r="D5720" t="s">
        <v>451</v>
      </c>
      <c r="E5720" s="217">
        <v>44986</v>
      </c>
      <c r="F5720">
        <v>0</v>
      </c>
      <c r="G5720" s="227" t="s">
        <v>113</v>
      </c>
    </row>
    <row r="5721" spans="1:7">
      <c r="A5721" s="216">
        <v>44986</v>
      </c>
      <c r="B5721" t="s">
        <v>49</v>
      </c>
      <c r="C5721">
        <v>8</v>
      </c>
      <c r="D5721" t="s">
        <v>451</v>
      </c>
      <c r="E5721" s="217">
        <v>44986</v>
      </c>
      <c r="F5721">
        <v>0</v>
      </c>
      <c r="G5721" s="227" t="s">
        <v>434</v>
      </c>
    </row>
    <row r="5722" spans="1:7">
      <c r="A5722" s="216">
        <v>44986</v>
      </c>
      <c r="B5722" t="s">
        <v>49</v>
      </c>
      <c r="C5722">
        <v>9</v>
      </c>
      <c r="D5722" t="s">
        <v>450</v>
      </c>
      <c r="E5722" s="217">
        <v>44986</v>
      </c>
      <c r="F5722">
        <v>0</v>
      </c>
      <c r="G5722" s="227" t="s">
        <v>81</v>
      </c>
    </row>
    <row r="5723" spans="1:7">
      <c r="A5723" s="216">
        <v>44986</v>
      </c>
      <c r="B5723" t="s">
        <v>49</v>
      </c>
      <c r="C5723">
        <v>9</v>
      </c>
      <c r="D5723" t="s">
        <v>450</v>
      </c>
      <c r="E5723" s="217">
        <v>44986</v>
      </c>
      <c r="F5723">
        <v>0</v>
      </c>
      <c r="G5723" s="227" t="s">
        <v>117</v>
      </c>
    </row>
    <row r="5724" spans="1:7">
      <c r="A5724" s="216">
        <v>44986</v>
      </c>
      <c r="B5724" t="s">
        <v>49</v>
      </c>
      <c r="C5724">
        <v>9</v>
      </c>
      <c r="D5724" t="s">
        <v>450</v>
      </c>
      <c r="E5724" s="217">
        <v>44986</v>
      </c>
      <c r="F5724">
        <v>0</v>
      </c>
      <c r="G5724" s="227" t="s">
        <v>108</v>
      </c>
    </row>
    <row r="5725" spans="1:7">
      <c r="A5725" s="216">
        <v>44986</v>
      </c>
      <c r="B5725" t="s">
        <v>49</v>
      </c>
      <c r="C5725">
        <v>9</v>
      </c>
      <c r="D5725" t="s">
        <v>450</v>
      </c>
      <c r="E5725" s="217">
        <v>44986</v>
      </c>
      <c r="F5725">
        <v>0</v>
      </c>
      <c r="G5725" s="227" t="s">
        <v>103</v>
      </c>
    </row>
    <row r="5726" spans="1:7">
      <c r="A5726" s="216">
        <v>44986</v>
      </c>
      <c r="B5726" t="s">
        <v>49</v>
      </c>
      <c r="C5726">
        <v>9</v>
      </c>
      <c r="D5726" t="s">
        <v>450</v>
      </c>
      <c r="E5726" s="217">
        <v>44986</v>
      </c>
      <c r="F5726">
        <v>0</v>
      </c>
      <c r="G5726" s="227" t="s">
        <v>86</v>
      </c>
    </row>
    <row r="5727" spans="1:7">
      <c r="A5727" s="216">
        <v>44986</v>
      </c>
      <c r="B5727" t="s">
        <v>49</v>
      </c>
      <c r="C5727">
        <v>9</v>
      </c>
      <c r="D5727" t="s">
        <v>450</v>
      </c>
      <c r="E5727" s="217">
        <v>44986</v>
      </c>
      <c r="F5727">
        <v>0</v>
      </c>
      <c r="G5727" s="227" t="s">
        <v>130</v>
      </c>
    </row>
    <row r="5728" spans="1:7">
      <c r="A5728" s="216">
        <v>44986</v>
      </c>
      <c r="B5728" t="s">
        <v>49</v>
      </c>
      <c r="C5728">
        <v>9</v>
      </c>
      <c r="D5728" t="s">
        <v>450</v>
      </c>
      <c r="E5728" s="217">
        <v>44986</v>
      </c>
      <c r="F5728">
        <v>0</v>
      </c>
      <c r="G5728" s="227" t="s">
        <v>126</v>
      </c>
    </row>
    <row r="5729" spans="1:7">
      <c r="A5729" s="216">
        <v>44986</v>
      </c>
      <c r="B5729" t="s">
        <v>49</v>
      </c>
      <c r="C5729">
        <v>9</v>
      </c>
      <c r="D5729" t="s">
        <v>450</v>
      </c>
      <c r="E5729" s="217">
        <v>44986</v>
      </c>
      <c r="F5729">
        <v>0</v>
      </c>
      <c r="G5729" s="227" t="s">
        <v>122</v>
      </c>
    </row>
    <row r="5730" spans="1:7">
      <c r="A5730" s="216">
        <v>44986</v>
      </c>
      <c r="B5730" t="s">
        <v>49</v>
      </c>
      <c r="C5730">
        <v>9</v>
      </c>
      <c r="D5730" t="s">
        <v>450</v>
      </c>
      <c r="E5730" s="217">
        <v>44986</v>
      </c>
      <c r="F5730">
        <v>0</v>
      </c>
      <c r="G5730" s="227" t="s">
        <v>91</v>
      </c>
    </row>
    <row r="5731" spans="1:7">
      <c r="A5731" s="216">
        <v>44986</v>
      </c>
      <c r="B5731" t="s">
        <v>49</v>
      </c>
      <c r="C5731">
        <v>9</v>
      </c>
      <c r="D5731" t="s">
        <v>450</v>
      </c>
      <c r="E5731" s="217">
        <v>44986</v>
      </c>
      <c r="F5731">
        <v>0</v>
      </c>
      <c r="G5731" s="227" t="s">
        <v>99</v>
      </c>
    </row>
    <row r="5732" spans="1:7">
      <c r="A5732" s="216">
        <v>44986</v>
      </c>
      <c r="B5732" t="s">
        <v>49</v>
      </c>
      <c r="C5732">
        <v>9</v>
      </c>
      <c r="D5732" t="s">
        <v>450</v>
      </c>
      <c r="E5732" s="217">
        <v>44986</v>
      </c>
      <c r="F5732">
        <v>0</v>
      </c>
      <c r="G5732" s="227" t="s">
        <v>95</v>
      </c>
    </row>
    <row r="5733" spans="1:7">
      <c r="A5733" s="216">
        <v>44986</v>
      </c>
      <c r="B5733" t="s">
        <v>49</v>
      </c>
      <c r="C5733">
        <v>9</v>
      </c>
      <c r="D5733" t="s">
        <v>450</v>
      </c>
      <c r="E5733" s="217">
        <v>44986</v>
      </c>
      <c r="F5733">
        <v>0</v>
      </c>
      <c r="G5733" s="227" t="s">
        <v>113</v>
      </c>
    </row>
    <row r="5734" spans="1:7">
      <c r="A5734" s="216">
        <v>44986</v>
      </c>
      <c r="B5734" t="s">
        <v>49</v>
      </c>
      <c r="C5734">
        <v>9</v>
      </c>
      <c r="D5734" t="s">
        <v>450</v>
      </c>
      <c r="E5734" s="217">
        <v>44986</v>
      </c>
      <c r="F5734">
        <v>0</v>
      </c>
      <c r="G5734" s="227" t="s">
        <v>434</v>
      </c>
    </row>
    <row r="5735" spans="1:7">
      <c r="A5735" s="216">
        <v>44986</v>
      </c>
      <c r="B5735" t="s">
        <v>49</v>
      </c>
      <c r="C5735">
        <v>10</v>
      </c>
      <c r="D5735" t="s">
        <v>433</v>
      </c>
      <c r="E5735" s="217">
        <v>44986</v>
      </c>
      <c r="F5735">
        <v>6099.1103899999998</v>
      </c>
      <c r="G5735" s="227" t="s">
        <v>81</v>
      </c>
    </row>
    <row r="5736" spans="1:7">
      <c r="A5736" s="216">
        <v>44986</v>
      </c>
      <c r="B5736" t="s">
        <v>49</v>
      </c>
      <c r="C5736">
        <v>10</v>
      </c>
      <c r="D5736" t="s">
        <v>433</v>
      </c>
      <c r="E5736" s="217">
        <v>44986</v>
      </c>
      <c r="F5736">
        <v>5896.4560000000001</v>
      </c>
      <c r="G5736" s="227" t="s">
        <v>117</v>
      </c>
    </row>
    <row r="5737" spans="1:7">
      <c r="A5737" s="216">
        <v>44986</v>
      </c>
      <c r="B5737" t="s">
        <v>49</v>
      </c>
      <c r="C5737">
        <v>10</v>
      </c>
      <c r="D5737" t="s">
        <v>433</v>
      </c>
      <c r="E5737" s="217">
        <v>44986</v>
      </c>
      <c r="F5737">
        <v>5865.2089999999998</v>
      </c>
      <c r="G5737" s="227" t="s">
        <v>108</v>
      </c>
    </row>
    <row r="5738" spans="1:7">
      <c r="A5738" s="216">
        <v>44986</v>
      </c>
      <c r="B5738" t="s">
        <v>49</v>
      </c>
      <c r="C5738">
        <v>10</v>
      </c>
      <c r="D5738" t="s">
        <v>433</v>
      </c>
      <c r="E5738" s="217">
        <v>44986</v>
      </c>
      <c r="F5738">
        <v>6186.36582</v>
      </c>
      <c r="G5738" s="227" t="s">
        <v>103</v>
      </c>
    </row>
    <row r="5739" spans="1:7">
      <c r="A5739" s="216">
        <v>44986</v>
      </c>
      <c r="B5739" t="s">
        <v>49</v>
      </c>
      <c r="C5739">
        <v>10</v>
      </c>
      <c r="D5739" t="s">
        <v>433</v>
      </c>
      <c r="E5739" s="217">
        <v>44986</v>
      </c>
      <c r="F5739">
        <v>6075.6585999999998</v>
      </c>
      <c r="G5739" s="227" t="s">
        <v>86</v>
      </c>
    </row>
    <row r="5740" spans="1:7">
      <c r="A5740" s="216">
        <v>44986</v>
      </c>
      <c r="B5740" t="s">
        <v>49</v>
      </c>
      <c r="C5740">
        <v>10</v>
      </c>
      <c r="D5740" t="s">
        <v>433</v>
      </c>
      <c r="E5740" s="217">
        <v>44986</v>
      </c>
      <c r="F5740">
        <v>7485.2815199999995</v>
      </c>
      <c r="G5740" s="227" t="s">
        <v>130</v>
      </c>
    </row>
    <row r="5741" spans="1:7">
      <c r="A5741" s="216">
        <v>44986</v>
      </c>
      <c r="B5741" t="s">
        <v>49</v>
      </c>
      <c r="C5741">
        <v>10</v>
      </c>
      <c r="D5741" t="s">
        <v>433</v>
      </c>
      <c r="E5741" s="217">
        <v>44986</v>
      </c>
      <c r="F5741">
        <v>6438.0710200000003</v>
      </c>
      <c r="G5741" s="227" t="s">
        <v>126</v>
      </c>
    </row>
    <row r="5742" spans="1:7">
      <c r="A5742" s="216">
        <v>44986</v>
      </c>
      <c r="B5742" t="s">
        <v>49</v>
      </c>
      <c r="C5742">
        <v>10</v>
      </c>
      <c r="D5742" t="s">
        <v>433</v>
      </c>
      <c r="E5742" s="217">
        <v>44986</v>
      </c>
      <c r="F5742">
        <v>6606.0749999999998</v>
      </c>
      <c r="G5742" s="227" t="s">
        <v>122</v>
      </c>
    </row>
    <row r="5743" spans="1:7">
      <c r="A5743" s="216">
        <v>44986</v>
      </c>
      <c r="B5743" t="s">
        <v>49</v>
      </c>
      <c r="C5743">
        <v>10</v>
      </c>
      <c r="D5743" t="s">
        <v>433</v>
      </c>
      <c r="E5743" s="217">
        <v>44986</v>
      </c>
      <c r="F5743">
        <v>6388.64</v>
      </c>
      <c r="G5743" s="227" t="s">
        <v>91</v>
      </c>
    </row>
    <row r="5744" spans="1:7">
      <c r="A5744" s="216">
        <v>44986</v>
      </c>
      <c r="B5744" t="s">
        <v>49</v>
      </c>
      <c r="C5744">
        <v>10</v>
      </c>
      <c r="D5744" t="s">
        <v>433</v>
      </c>
      <c r="E5744" s="217">
        <v>44986</v>
      </c>
      <c r="F5744">
        <v>6622.7259999999997</v>
      </c>
      <c r="G5744" s="227" t="s">
        <v>99</v>
      </c>
    </row>
    <row r="5745" spans="1:7">
      <c r="A5745" s="216">
        <v>44986</v>
      </c>
      <c r="B5745" t="s">
        <v>49</v>
      </c>
      <c r="C5745">
        <v>10</v>
      </c>
      <c r="D5745" t="s">
        <v>433</v>
      </c>
      <c r="E5745" s="217">
        <v>44986</v>
      </c>
      <c r="F5745">
        <v>6338</v>
      </c>
      <c r="G5745" s="227" t="s">
        <v>95</v>
      </c>
    </row>
    <row r="5746" spans="1:7">
      <c r="A5746" s="216">
        <v>44986</v>
      </c>
      <c r="B5746" t="s">
        <v>49</v>
      </c>
      <c r="C5746">
        <v>10</v>
      </c>
      <c r="D5746" t="s">
        <v>433</v>
      </c>
      <c r="E5746" s="217">
        <v>44986</v>
      </c>
      <c r="F5746">
        <v>12116</v>
      </c>
      <c r="G5746" s="227" t="s">
        <v>113</v>
      </c>
    </row>
    <row r="5747" spans="1:7">
      <c r="A5747" s="216">
        <v>44986</v>
      </c>
      <c r="B5747" t="s">
        <v>49</v>
      </c>
      <c r="C5747">
        <v>10</v>
      </c>
      <c r="D5747" t="s">
        <v>433</v>
      </c>
      <c r="E5747" s="217">
        <v>44986</v>
      </c>
      <c r="F5747">
        <v>82117.593349999996</v>
      </c>
      <c r="G5747" s="227" t="s">
        <v>434</v>
      </c>
    </row>
    <row r="5748" spans="1:7">
      <c r="A5748" s="216">
        <v>44986</v>
      </c>
      <c r="B5748" t="s">
        <v>49</v>
      </c>
      <c r="C5748">
        <v>11</v>
      </c>
      <c r="D5748" t="s">
        <v>445</v>
      </c>
      <c r="E5748" s="217">
        <v>44986</v>
      </c>
      <c r="F5748">
        <v>2657.3536100000001</v>
      </c>
      <c r="G5748" s="227" t="s">
        <v>81</v>
      </c>
    </row>
    <row r="5749" spans="1:7">
      <c r="A5749" s="216">
        <v>44986</v>
      </c>
      <c r="B5749" t="s">
        <v>49</v>
      </c>
      <c r="C5749">
        <v>11</v>
      </c>
      <c r="D5749" t="s">
        <v>445</v>
      </c>
      <c r="E5749" s="217">
        <v>44986</v>
      </c>
      <c r="F5749">
        <v>3524.9393939393899</v>
      </c>
      <c r="G5749" s="227" t="s">
        <v>117</v>
      </c>
    </row>
    <row r="5750" spans="1:7">
      <c r="A5750" s="216">
        <v>44986</v>
      </c>
      <c r="B5750" t="s">
        <v>49</v>
      </c>
      <c r="C5750">
        <v>11</v>
      </c>
      <c r="D5750" t="s">
        <v>445</v>
      </c>
      <c r="E5750" s="217">
        <v>44986</v>
      </c>
      <c r="F5750">
        <v>4351</v>
      </c>
      <c r="G5750" s="227" t="s">
        <v>108</v>
      </c>
    </row>
    <row r="5751" spans="1:7">
      <c r="A5751" s="216">
        <v>44986</v>
      </c>
      <c r="B5751" t="s">
        <v>49</v>
      </c>
      <c r="C5751">
        <v>11</v>
      </c>
      <c r="D5751" t="s">
        <v>445</v>
      </c>
      <c r="E5751" s="217">
        <v>44986</v>
      </c>
      <c r="F5751">
        <v>3232.5622895622901</v>
      </c>
      <c r="G5751" s="227" t="s">
        <v>103</v>
      </c>
    </row>
    <row r="5752" spans="1:7">
      <c r="A5752" s="216">
        <v>44986</v>
      </c>
      <c r="B5752" t="s">
        <v>49</v>
      </c>
      <c r="C5752">
        <v>11</v>
      </c>
      <c r="D5752" t="s">
        <v>445</v>
      </c>
      <c r="E5752" s="217">
        <v>44986</v>
      </c>
      <c r="F5752">
        <v>3585.5622895622901</v>
      </c>
      <c r="G5752" s="227" t="s">
        <v>86</v>
      </c>
    </row>
    <row r="5753" spans="1:7">
      <c r="A5753" s="216">
        <v>44986</v>
      </c>
      <c r="B5753" t="s">
        <v>49</v>
      </c>
      <c r="C5753">
        <v>11</v>
      </c>
      <c r="D5753" t="s">
        <v>445</v>
      </c>
      <c r="E5753" s="217">
        <v>44986</v>
      </c>
      <c r="F5753">
        <v>3751.5622895622901</v>
      </c>
      <c r="G5753" s="227" t="s">
        <v>130</v>
      </c>
    </row>
    <row r="5754" spans="1:7">
      <c r="A5754" s="216">
        <v>44986</v>
      </c>
      <c r="B5754" t="s">
        <v>49</v>
      </c>
      <c r="C5754">
        <v>11</v>
      </c>
      <c r="D5754" t="s">
        <v>445</v>
      </c>
      <c r="E5754" s="217">
        <v>44986</v>
      </c>
      <c r="F5754">
        <v>4012.27918956229</v>
      </c>
      <c r="G5754" s="227" t="s">
        <v>126</v>
      </c>
    </row>
    <row r="5755" spans="1:7">
      <c r="A5755" s="216">
        <v>44986</v>
      </c>
      <c r="B5755" t="s">
        <v>49</v>
      </c>
      <c r="C5755">
        <v>11</v>
      </c>
      <c r="D5755" t="s">
        <v>445</v>
      </c>
      <c r="E5755" s="217">
        <v>44986</v>
      </c>
      <c r="F5755">
        <v>3984.5864228956202</v>
      </c>
      <c r="G5755" s="227" t="s">
        <v>122</v>
      </c>
    </row>
    <row r="5756" spans="1:7">
      <c r="A5756" s="216">
        <v>44986</v>
      </c>
      <c r="B5756" t="s">
        <v>49</v>
      </c>
      <c r="C5756">
        <v>11</v>
      </c>
      <c r="D5756" t="s">
        <v>445</v>
      </c>
      <c r="E5756" s="217">
        <v>44986</v>
      </c>
      <c r="F5756">
        <v>4241.79562289562</v>
      </c>
      <c r="G5756" s="227" t="s">
        <v>91</v>
      </c>
    </row>
    <row r="5757" spans="1:7">
      <c r="A5757" s="216">
        <v>44986</v>
      </c>
      <c r="B5757" t="s">
        <v>49</v>
      </c>
      <c r="C5757">
        <v>11</v>
      </c>
      <c r="D5757" t="s">
        <v>445</v>
      </c>
      <c r="E5757" s="217">
        <v>44986</v>
      </c>
      <c r="F5757">
        <v>4073.9</v>
      </c>
      <c r="G5757" s="227" t="s">
        <v>99</v>
      </c>
    </row>
    <row r="5758" spans="1:7">
      <c r="A5758" s="216">
        <v>44986</v>
      </c>
      <c r="B5758" t="s">
        <v>49</v>
      </c>
      <c r="C5758">
        <v>11</v>
      </c>
      <c r="D5758" t="s">
        <v>445</v>
      </c>
      <c r="E5758" s="217">
        <v>44986</v>
      </c>
      <c r="F5758">
        <v>3307.6</v>
      </c>
      <c r="G5758" s="227" t="s">
        <v>95</v>
      </c>
    </row>
    <row r="5759" spans="1:7">
      <c r="A5759" s="216">
        <v>44986</v>
      </c>
      <c r="B5759" t="s">
        <v>49</v>
      </c>
      <c r="C5759">
        <v>11</v>
      </c>
      <c r="D5759" t="s">
        <v>445</v>
      </c>
      <c r="E5759" s="217">
        <v>44986</v>
      </c>
      <c r="F5759">
        <v>7814.8</v>
      </c>
      <c r="G5759" s="227" t="s">
        <v>113</v>
      </c>
    </row>
    <row r="5760" spans="1:7">
      <c r="A5760" s="216">
        <v>44986</v>
      </c>
      <c r="B5760" t="s">
        <v>49</v>
      </c>
      <c r="C5760">
        <v>11</v>
      </c>
      <c r="D5760" t="s">
        <v>445</v>
      </c>
      <c r="E5760" s="217">
        <v>44986</v>
      </c>
      <c r="F5760">
        <v>48537.941107979801</v>
      </c>
      <c r="G5760" s="227" t="s">
        <v>434</v>
      </c>
    </row>
    <row r="5761" spans="1:7">
      <c r="A5761" s="216">
        <v>44986</v>
      </c>
      <c r="B5761" t="s">
        <v>49</v>
      </c>
      <c r="C5761">
        <v>12</v>
      </c>
      <c r="D5761" t="s">
        <v>454</v>
      </c>
      <c r="E5761" s="217">
        <v>44986</v>
      </c>
      <c r="F5761">
        <v>4265</v>
      </c>
      <c r="G5761" s="227" t="s">
        <v>81</v>
      </c>
    </row>
    <row r="5762" spans="1:7">
      <c r="A5762" s="216">
        <v>44986</v>
      </c>
      <c r="B5762" t="s">
        <v>49</v>
      </c>
      <c r="C5762">
        <v>12</v>
      </c>
      <c r="D5762" t="s">
        <v>454</v>
      </c>
      <c r="E5762" s="217">
        <v>44986</v>
      </c>
      <c r="F5762">
        <v>4570</v>
      </c>
      <c r="G5762" s="227" t="s">
        <v>117</v>
      </c>
    </row>
    <row r="5763" spans="1:7">
      <c r="A5763" s="216">
        <v>44986</v>
      </c>
      <c r="B5763" t="s">
        <v>49</v>
      </c>
      <c r="C5763">
        <v>12</v>
      </c>
      <c r="D5763" t="s">
        <v>454</v>
      </c>
      <c r="E5763" s="217">
        <v>44986</v>
      </c>
      <c r="F5763">
        <v>3381</v>
      </c>
      <c r="G5763" s="227" t="s">
        <v>108</v>
      </c>
    </row>
    <row r="5764" spans="1:7">
      <c r="A5764" s="216">
        <v>44986</v>
      </c>
      <c r="B5764" t="s">
        <v>49</v>
      </c>
      <c r="C5764">
        <v>12</v>
      </c>
      <c r="D5764" t="s">
        <v>454</v>
      </c>
      <c r="E5764" s="217">
        <v>44986</v>
      </c>
      <c r="F5764">
        <v>4036</v>
      </c>
      <c r="G5764" s="227" t="s">
        <v>103</v>
      </c>
    </row>
    <row r="5765" spans="1:7">
      <c r="A5765" s="216">
        <v>44986</v>
      </c>
      <c r="B5765" t="s">
        <v>49</v>
      </c>
      <c r="C5765">
        <v>12</v>
      </c>
      <c r="D5765" t="s">
        <v>454</v>
      </c>
      <c r="E5765" s="217">
        <v>44986</v>
      </c>
      <c r="F5765">
        <v>3659</v>
      </c>
      <c r="G5765" s="227" t="s">
        <v>86</v>
      </c>
    </row>
    <row r="5766" spans="1:7">
      <c r="A5766" s="216">
        <v>44986</v>
      </c>
      <c r="B5766" t="s">
        <v>49</v>
      </c>
      <c r="C5766">
        <v>12</v>
      </c>
      <c r="D5766" t="s">
        <v>454</v>
      </c>
      <c r="E5766" s="217">
        <v>44986</v>
      </c>
      <c r="F5766">
        <v>4461</v>
      </c>
      <c r="G5766" s="227" t="s">
        <v>130</v>
      </c>
    </row>
    <row r="5767" spans="1:7">
      <c r="A5767" s="216">
        <v>44986</v>
      </c>
      <c r="B5767" t="s">
        <v>49</v>
      </c>
      <c r="C5767">
        <v>12</v>
      </c>
      <c r="D5767" t="s">
        <v>454</v>
      </c>
      <c r="E5767" s="217">
        <v>44986</v>
      </c>
      <c r="F5767">
        <v>4553</v>
      </c>
      <c r="G5767" s="227" t="s">
        <v>126</v>
      </c>
    </row>
    <row r="5768" spans="1:7">
      <c r="A5768" s="216">
        <v>44986</v>
      </c>
      <c r="B5768" t="s">
        <v>49</v>
      </c>
      <c r="C5768">
        <v>12</v>
      </c>
      <c r="D5768" t="s">
        <v>454</v>
      </c>
      <c r="E5768" s="217">
        <v>44986</v>
      </c>
      <c r="F5768">
        <v>5028</v>
      </c>
      <c r="G5768" s="227" t="s">
        <v>122</v>
      </c>
    </row>
    <row r="5769" spans="1:7">
      <c r="A5769" s="216">
        <v>44986</v>
      </c>
      <c r="B5769" t="s">
        <v>49</v>
      </c>
      <c r="C5769">
        <v>12</v>
      </c>
      <c r="D5769" t="s">
        <v>454</v>
      </c>
      <c r="E5769" s="217">
        <v>44986</v>
      </c>
      <c r="F5769">
        <v>4963</v>
      </c>
      <c r="G5769" s="227" t="s">
        <v>91</v>
      </c>
    </row>
    <row r="5770" spans="1:7">
      <c r="A5770" s="216">
        <v>44986</v>
      </c>
      <c r="B5770" t="s">
        <v>49</v>
      </c>
      <c r="C5770">
        <v>12</v>
      </c>
      <c r="D5770" t="s">
        <v>454</v>
      </c>
      <c r="E5770" s="217">
        <v>44986</v>
      </c>
      <c r="F5770">
        <v>1449</v>
      </c>
      <c r="G5770" s="227" t="s">
        <v>99</v>
      </c>
    </row>
    <row r="5771" spans="1:7">
      <c r="A5771" s="216">
        <v>44986</v>
      </c>
      <c r="B5771" t="s">
        <v>49</v>
      </c>
      <c r="C5771">
        <v>12</v>
      </c>
      <c r="D5771" t="s">
        <v>454</v>
      </c>
      <c r="E5771" s="217">
        <v>44986</v>
      </c>
      <c r="F5771">
        <v>3725</v>
      </c>
      <c r="G5771" s="227" t="s">
        <v>95</v>
      </c>
    </row>
    <row r="5772" spans="1:7">
      <c r="A5772" s="216">
        <v>44986</v>
      </c>
      <c r="B5772" t="s">
        <v>49</v>
      </c>
      <c r="C5772">
        <v>12</v>
      </c>
      <c r="D5772" t="s">
        <v>454</v>
      </c>
      <c r="E5772" s="217">
        <v>44986</v>
      </c>
      <c r="F5772">
        <v>3329</v>
      </c>
      <c r="G5772" s="227" t="s">
        <v>113</v>
      </c>
    </row>
    <row r="5773" spans="1:7">
      <c r="A5773" s="216">
        <v>44986</v>
      </c>
      <c r="B5773" t="s">
        <v>49</v>
      </c>
      <c r="C5773">
        <v>12</v>
      </c>
      <c r="D5773" t="s">
        <v>454</v>
      </c>
      <c r="E5773" s="217">
        <v>44986</v>
      </c>
      <c r="F5773">
        <v>47419</v>
      </c>
      <c r="G5773" s="227" t="s">
        <v>434</v>
      </c>
    </row>
    <row r="5774" spans="1:7">
      <c r="A5774" s="216">
        <v>44986</v>
      </c>
      <c r="B5774" t="s">
        <v>49</v>
      </c>
      <c r="C5774">
        <v>13</v>
      </c>
      <c r="D5774" t="s">
        <v>441</v>
      </c>
      <c r="E5774" s="217">
        <v>44986</v>
      </c>
      <c r="F5774">
        <v>0</v>
      </c>
      <c r="G5774" s="227" t="s">
        <v>81</v>
      </c>
    </row>
    <row r="5775" spans="1:7">
      <c r="A5775" s="216">
        <v>44986</v>
      </c>
      <c r="B5775" t="s">
        <v>49</v>
      </c>
      <c r="C5775">
        <v>13</v>
      </c>
      <c r="D5775" t="s">
        <v>441</v>
      </c>
      <c r="E5775" s="217">
        <v>44986</v>
      </c>
      <c r="F5775">
        <v>0</v>
      </c>
      <c r="G5775" s="227" t="s">
        <v>117</v>
      </c>
    </row>
    <row r="5776" spans="1:7">
      <c r="A5776" s="216">
        <v>44986</v>
      </c>
      <c r="B5776" t="s">
        <v>49</v>
      </c>
      <c r="C5776">
        <v>13</v>
      </c>
      <c r="D5776" t="s">
        <v>441</v>
      </c>
      <c r="E5776" s="217">
        <v>44986</v>
      </c>
      <c r="F5776">
        <v>0</v>
      </c>
      <c r="G5776" s="227" t="s">
        <v>108</v>
      </c>
    </row>
    <row r="5777" spans="1:7">
      <c r="A5777" s="216">
        <v>44986</v>
      </c>
      <c r="B5777" t="s">
        <v>49</v>
      </c>
      <c r="C5777">
        <v>13</v>
      </c>
      <c r="D5777" t="s">
        <v>441</v>
      </c>
      <c r="E5777" s="217">
        <v>44986</v>
      </c>
      <c r="F5777">
        <v>0</v>
      </c>
      <c r="G5777" s="227" t="s">
        <v>103</v>
      </c>
    </row>
    <row r="5778" spans="1:7">
      <c r="A5778" s="216">
        <v>44986</v>
      </c>
      <c r="B5778" t="s">
        <v>49</v>
      </c>
      <c r="C5778">
        <v>13</v>
      </c>
      <c r="D5778" t="s">
        <v>441</v>
      </c>
      <c r="E5778" s="217">
        <v>44986</v>
      </c>
      <c r="F5778">
        <v>0</v>
      </c>
      <c r="G5778" s="227" t="s">
        <v>86</v>
      </c>
    </row>
    <row r="5779" spans="1:7">
      <c r="A5779" s="216">
        <v>44986</v>
      </c>
      <c r="B5779" t="s">
        <v>49</v>
      </c>
      <c r="C5779">
        <v>13</v>
      </c>
      <c r="D5779" t="s">
        <v>441</v>
      </c>
      <c r="E5779" s="217">
        <v>44986</v>
      </c>
      <c r="F5779">
        <v>0</v>
      </c>
      <c r="G5779" s="227" t="s">
        <v>130</v>
      </c>
    </row>
    <row r="5780" spans="1:7">
      <c r="A5780" s="216">
        <v>44986</v>
      </c>
      <c r="B5780" t="s">
        <v>49</v>
      </c>
      <c r="C5780">
        <v>13</v>
      </c>
      <c r="D5780" t="s">
        <v>441</v>
      </c>
      <c r="E5780" s="217">
        <v>44986</v>
      </c>
      <c r="F5780">
        <v>0</v>
      </c>
      <c r="G5780" s="227" t="s">
        <v>126</v>
      </c>
    </row>
    <row r="5781" spans="1:7">
      <c r="A5781" s="216">
        <v>44986</v>
      </c>
      <c r="B5781" t="s">
        <v>49</v>
      </c>
      <c r="C5781">
        <v>13</v>
      </c>
      <c r="D5781" t="s">
        <v>441</v>
      </c>
      <c r="E5781" s="217">
        <v>44986</v>
      </c>
      <c r="F5781">
        <v>0</v>
      </c>
      <c r="G5781" s="227" t="s">
        <v>122</v>
      </c>
    </row>
    <row r="5782" spans="1:7">
      <c r="A5782" s="216">
        <v>44986</v>
      </c>
      <c r="B5782" t="s">
        <v>49</v>
      </c>
      <c r="C5782">
        <v>13</v>
      </c>
      <c r="D5782" t="s">
        <v>441</v>
      </c>
      <c r="E5782" s="217">
        <v>44986</v>
      </c>
      <c r="F5782">
        <v>0</v>
      </c>
      <c r="G5782" s="227" t="s">
        <v>91</v>
      </c>
    </row>
    <row r="5783" spans="1:7">
      <c r="A5783" s="216">
        <v>44986</v>
      </c>
      <c r="B5783" t="s">
        <v>49</v>
      </c>
      <c r="C5783">
        <v>13</v>
      </c>
      <c r="D5783" t="s">
        <v>441</v>
      </c>
      <c r="E5783" s="217">
        <v>44986</v>
      </c>
      <c r="F5783">
        <v>0</v>
      </c>
      <c r="G5783" s="227" t="s">
        <v>99</v>
      </c>
    </row>
    <row r="5784" spans="1:7">
      <c r="A5784" s="216">
        <v>44986</v>
      </c>
      <c r="B5784" t="s">
        <v>49</v>
      </c>
      <c r="C5784">
        <v>13</v>
      </c>
      <c r="D5784" t="s">
        <v>441</v>
      </c>
      <c r="E5784" s="217">
        <v>44986</v>
      </c>
      <c r="F5784">
        <v>0</v>
      </c>
      <c r="G5784" s="227" t="s">
        <v>95</v>
      </c>
    </row>
    <row r="5785" spans="1:7">
      <c r="A5785" s="216">
        <v>44986</v>
      </c>
      <c r="B5785" t="s">
        <v>49</v>
      </c>
      <c r="C5785">
        <v>13</v>
      </c>
      <c r="D5785" t="s">
        <v>441</v>
      </c>
      <c r="E5785" s="217">
        <v>44986</v>
      </c>
      <c r="F5785">
        <v>0</v>
      </c>
      <c r="G5785" s="227" t="s">
        <v>113</v>
      </c>
    </row>
    <row r="5786" spans="1:7">
      <c r="A5786" s="216">
        <v>44986</v>
      </c>
      <c r="B5786" t="s">
        <v>49</v>
      </c>
      <c r="C5786">
        <v>13</v>
      </c>
      <c r="D5786" t="s">
        <v>441</v>
      </c>
      <c r="E5786" s="217">
        <v>44986</v>
      </c>
      <c r="F5786">
        <v>0</v>
      </c>
      <c r="G5786" s="227" t="s">
        <v>434</v>
      </c>
    </row>
    <row r="5787" spans="1:7">
      <c r="A5787" s="216">
        <v>44986</v>
      </c>
      <c r="B5787" t="s">
        <v>49</v>
      </c>
      <c r="C5787">
        <v>14</v>
      </c>
      <c r="D5787" t="s">
        <v>447</v>
      </c>
      <c r="E5787" s="217">
        <v>44986</v>
      </c>
      <c r="F5787">
        <v>0</v>
      </c>
      <c r="G5787" s="227" t="s">
        <v>81</v>
      </c>
    </row>
    <row r="5788" spans="1:7">
      <c r="A5788" s="216">
        <v>44986</v>
      </c>
      <c r="B5788" t="s">
        <v>49</v>
      </c>
      <c r="C5788">
        <v>14</v>
      </c>
      <c r="D5788" t="s">
        <v>447</v>
      </c>
      <c r="E5788" s="217">
        <v>44986</v>
      </c>
      <c r="F5788">
        <v>0</v>
      </c>
      <c r="G5788" s="227" t="s">
        <v>117</v>
      </c>
    </row>
    <row r="5789" spans="1:7">
      <c r="A5789" s="216">
        <v>44986</v>
      </c>
      <c r="B5789" t="s">
        <v>49</v>
      </c>
      <c r="C5789">
        <v>14</v>
      </c>
      <c r="D5789" t="s">
        <v>447</v>
      </c>
      <c r="E5789" s="217">
        <v>44986</v>
      </c>
      <c r="F5789">
        <v>0</v>
      </c>
      <c r="G5789" s="227" t="s">
        <v>108</v>
      </c>
    </row>
    <row r="5790" spans="1:7">
      <c r="A5790" s="216">
        <v>44986</v>
      </c>
      <c r="B5790" t="s">
        <v>49</v>
      </c>
      <c r="C5790">
        <v>14</v>
      </c>
      <c r="D5790" t="s">
        <v>447</v>
      </c>
      <c r="E5790" s="217">
        <v>44986</v>
      </c>
      <c r="F5790">
        <v>0</v>
      </c>
      <c r="G5790" s="227" t="s">
        <v>103</v>
      </c>
    </row>
    <row r="5791" spans="1:7">
      <c r="A5791" s="216">
        <v>44986</v>
      </c>
      <c r="B5791" t="s">
        <v>49</v>
      </c>
      <c r="C5791">
        <v>14</v>
      </c>
      <c r="D5791" t="s">
        <v>447</v>
      </c>
      <c r="E5791" s="217">
        <v>44986</v>
      </c>
      <c r="F5791">
        <v>0</v>
      </c>
      <c r="G5791" s="227" t="s">
        <v>86</v>
      </c>
    </row>
    <row r="5792" spans="1:7">
      <c r="A5792" s="216">
        <v>44986</v>
      </c>
      <c r="B5792" t="s">
        <v>49</v>
      </c>
      <c r="C5792">
        <v>14</v>
      </c>
      <c r="D5792" t="s">
        <v>447</v>
      </c>
      <c r="E5792" s="217">
        <v>44986</v>
      </c>
      <c r="F5792">
        <v>0</v>
      </c>
      <c r="G5792" s="227" t="s">
        <v>130</v>
      </c>
    </row>
    <row r="5793" spans="1:7">
      <c r="A5793" s="216">
        <v>44986</v>
      </c>
      <c r="B5793" t="s">
        <v>49</v>
      </c>
      <c r="C5793">
        <v>14</v>
      </c>
      <c r="D5793" t="s">
        <v>447</v>
      </c>
      <c r="E5793" s="217">
        <v>44986</v>
      </c>
      <c r="F5793">
        <v>0</v>
      </c>
      <c r="G5793" s="227" t="s">
        <v>126</v>
      </c>
    </row>
    <row r="5794" spans="1:7">
      <c r="A5794" s="216">
        <v>44986</v>
      </c>
      <c r="B5794" t="s">
        <v>49</v>
      </c>
      <c r="C5794">
        <v>14</v>
      </c>
      <c r="D5794" t="s">
        <v>447</v>
      </c>
      <c r="E5794" s="217">
        <v>44986</v>
      </c>
      <c r="F5794">
        <v>0</v>
      </c>
      <c r="G5794" s="227" t="s">
        <v>122</v>
      </c>
    </row>
    <row r="5795" spans="1:7">
      <c r="A5795" s="216">
        <v>44986</v>
      </c>
      <c r="B5795" t="s">
        <v>49</v>
      </c>
      <c r="C5795">
        <v>14</v>
      </c>
      <c r="D5795" t="s">
        <v>447</v>
      </c>
      <c r="E5795" s="217">
        <v>44986</v>
      </c>
      <c r="F5795">
        <v>0</v>
      </c>
      <c r="G5795" s="227" t="s">
        <v>91</v>
      </c>
    </row>
    <row r="5796" spans="1:7">
      <c r="A5796" s="216">
        <v>44986</v>
      </c>
      <c r="B5796" t="s">
        <v>49</v>
      </c>
      <c r="C5796">
        <v>14</v>
      </c>
      <c r="D5796" t="s">
        <v>447</v>
      </c>
      <c r="E5796" s="217">
        <v>44986</v>
      </c>
      <c r="F5796">
        <v>0</v>
      </c>
      <c r="G5796" s="227" t="s">
        <v>99</v>
      </c>
    </row>
    <row r="5797" spans="1:7">
      <c r="A5797" s="216">
        <v>44986</v>
      </c>
      <c r="B5797" t="s">
        <v>49</v>
      </c>
      <c r="C5797">
        <v>14</v>
      </c>
      <c r="D5797" t="s">
        <v>447</v>
      </c>
      <c r="E5797" s="217">
        <v>44986</v>
      </c>
      <c r="F5797">
        <v>0</v>
      </c>
      <c r="G5797" s="227" t="s">
        <v>95</v>
      </c>
    </row>
    <row r="5798" spans="1:7">
      <c r="A5798" s="216">
        <v>44986</v>
      </c>
      <c r="B5798" t="s">
        <v>49</v>
      </c>
      <c r="C5798">
        <v>14</v>
      </c>
      <c r="D5798" t="s">
        <v>447</v>
      </c>
      <c r="E5798" s="217">
        <v>44986</v>
      </c>
      <c r="F5798">
        <v>0</v>
      </c>
      <c r="G5798" s="227" t="s">
        <v>113</v>
      </c>
    </row>
    <row r="5799" spans="1:7">
      <c r="A5799" s="216">
        <v>44986</v>
      </c>
      <c r="B5799" t="s">
        <v>49</v>
      </c>
      <c r="C5799">
        <v>14</v>
      </c>
      <c r="D5799" t="s">
        <v>447</v>
      </c>
      <c r="E5799" s="217">
        <v>44986</v>
      </c>
      <c r="F5799">
        <v>0</v>
      </c>
      <c r="G5799" s="227" t="s">
        <v>434</v>
      </c>
    </row>
    <row r="5800" spans="1:7">
      <c r="A5800" s="216">
        <v>44986</v>
      </c>
      <c r="B5800" t="s">
        <v>49</v>
      </c>
      <c r="C5800">
        <v>15</v>
      </c>
      <c r="D5800" t="s">
        <v>437</v>
      </c>
      <c r="E5800" s="217">
        <v>44986</v>
      </c>
      <c r="F5800">
        <v>0</v>
      </c>
      <c r="G5800" s="227" t="s">
        <v>81</v>
      </c>
    </row>
    <row r="5801" spans="1:7">
      <c r="A5801" s="216">
        <v>44986</v>
      </c>
      <c r="B5801" t="s">
        <v>49</v>
      </c>
      <c r="C5801">
        <v>15</v>
      </c>
      <c r="D5801" t="s">
        <v>437</v>
      </c>
      <c r="E5801" s="217">
        <v>44986</v>
      </c>
      <c r="F5801">
        <v>0</v>
      </c>
      <c r="G5801" s="227" t="s">
        <v>117</v>
      </c>
    </row>
    <row r="5802" spans="1:7">
      <c r="A5802" s="216">
        <v>44986</v>
      </c>
      <c r="B5802" t="s">
        <v>49</v>
      </c>
      <c r="C5802">
        <v>15</v>
      </c>
      <c r="D5802" t="s">
        <v>437</v>
      </c>
      <c r="E5802" s="217">
        <v>44986</v>
      </c>
      <c r="F5802">
        <v>0</v>
      </c>
      <c r="G5802" s="227" t="s">
        <v>108</v>
      </c>
    </row>
    <row r="5803" spans="1:7">
      <c r="A5803" s="216">
        <v>44986</v>
      </c>
      <c r="B5803" t="s">
        <v>49</v>
      </c>
      <c r="C5803">
        <v>15</v>
      </c>
      <c r="D5803" t="s">
        <v>437</v>
      </c>
      <c r="E5803" s="217">
        <v>44986</v>
      </c>
      <c r="F5803">
        <v>0</v>
      </c>
      <c r="G5803" s="227" t="s">
        <v>103</v>
      </c>
    </row>
    <row r="5804" spans="1:7">
      <c r="A5804" s="216">
        <v>44986</v>
      </c>
      <c r="B5804" t="s">
        <v>49</v>
      </c>
      <c r="C5804">
        <v>15</v>
      </c>
      <c r="D5804" t="s">
        <v>437</v>
      </c>
      <c r="E5804" s="217">
        <v>44986</v>
      </c>
      <c r="F5804">
        <v>0</v>
      </c>
      <c r="G5804" s="227" t="s">
        <v>86</v>
      </c>
    </row>
    <row r="5805" spans="1:7">
      <c r="A5805" s="216">
        <v>44986</v>
      </c>
      <c r="B5805" t="s">
        <v>49</v>
      </c>
      <c r="C5805">
        <v>15</v>
      </c>
      <c r="D5805" t="s">
        <v>437</v>
      </c>
      <c r="E5805" s="217">
        <v>44986</v>
      </c>
      <c r="F5805">
        <v>0</v>
      </c>
      <c r="G5805" s="227" t="s">
        <v>130</v>
      </c>
    </row>
    <row r="5806" spans="1:7">
      <c r="A5806" s="216">
        <v>44986</v>
      </c>
      <c r="B5806" t="s">
        <v>49</v>
      </c>
      <c r="C5806">
        <v>15</v>
      </c>
      <c r="D5806" t="s">
        <v>437</v>
      </c>
      <c r="E5806" s="217">
        <v>44986</v>
      </c>
      <c r="F5806">
        <v>0</v>
      </c>
      <c r="G5806" s="227" t="s">
        <v>126</v>
      </c>
    </row>
    <row r="5807" spans="1:7">
      <c r="A5807" s="216">
        <v>44986</v>
      </c>
      <c r="B5807" t="s">
        <v>49</v>
      </c>
      <c r="C5807">
        <v>15</v>
      </c>
      <c r="D5807" t="s">
        <v>437</v>
      </c>
      <c r="E5807" s="217">
        <v>44986</v>
      </c>
      <c r="F5807">
        <v>0</v>
      </c>
      <c r="G5807" s="227" t="s">
        <v>122</v>
      </c>
    </row>
    <row r="5808" spans="1:7">
      <c r="A5808" s="216">
        <v>44986</v>
      </c>
      <c r="B5808" t="s">
        <v>49</v>
      </c>
      <c r="C5808">
        <v>15</v>
      </c>
      <c r="D5808" t="s">
        <v>437</v>
      </c>
      <c r="E5808" s="217">
        <v>44986</v>
      </c>
      <c r="F5808">
        <v>0</v>
      </c>
      <c r="G5808" s="227" t="s">
        <v>91</v>
      </c>
    </row>
    <row r="5809" spans="1:7">
      <c r="A5809" s="216">
        <v>44986</v>
      </c>
      <c r="B5809" t="s">
        <v>49</v>
      </c>
      <c r="C5809">
        <v>15</v>
      </c>
      <c r="D5809" t="s">
        <v>437</v>
      </c>
      <c r="E5809" s="217">
        <v>44986</v>
      </c>
      <c r="F5809">
        <v>0</v>
      </c>
      <c r="G5809" s="227" t="s">
        <v>99</v>
      </c>
    </row>
    <row r="5810" spans="1:7">
      <c r="A5810" s="216">
        <v>44986</v>
      </c>
      <c r="B5810" t="s">
        <v>49</v>
      </c>
      <c r="C5810">
        <v>15</v>
      </c>
      <c r="D5810" t="s">
        <v>437</v>
      </c>
      <c r="E5810" s="217">
        <v>44986</v>
      </c>
      <c r="F5810">
        <v>0</v>
      </c>
      <c r="G5810" s="227" t="s">
        <v>95</v>
      </c>
    </row>
    <row r="5811" spans="1:7">
      <c r="A5811" s="216">
        <v>44986</v>
      </c>
      <c r="B5811" t="s">
        <v>49</v>
      </c>
      <c r="C5811">
        <v>15</v>
      </c>
      <c r="D5811" t="s">
        <v>437</v>
      </c>
      <c r="E5811" s="217">
        <v>44986</v>
      </c>
      <c r="F5811">
        <v>0</v>
      </c>
      <c r="G5811" s="227" t="s">
        <v>113</v>
      </c>
    </row>
    <row r="5812" spans="1:7">
      <c r="A5812" s="216">
        <v>44986</v>
      </c>
      <c r="B5812" t="s">
        <v>49</v>
      </c>
      <c r="C5812">
        <v>15</v>
      </c>
      <c r="D5812" t="s">
        <v>437</v>
      </c>
      <c r="E5812" s="217">
        <v>44986</v>
      </c>
      <c r="F5812">
        <v>0</v>
      </c>
      <c r="G5812" s="227" t="s">
        <v>434</v>
      </c>
    </row>
    <row r="5813" spans="1:7">
      <c r="A5813" s="216">
        <v>44986</v>
      </c>
      <c r="B5813" t="s">
        <v>50</v>
      </c>
      <c r="C5813">
        <v>7</v>
      </c>
      <c r="D5813" t="s">
        <v>442</v>
      </c>
      <c r="E5813" s="217">
        <v>44986</v>
      </c>
      <c r="F5813">
        <v>22035</v>
      </c>
      <c r="G5813" s="227" t="s">
        <v>81</v>
      </c>
    </row>
    <row r="5814" spans="1:7">
      <c r="A5814" s="216">
        <v>44986</v>
      </c>
      <c r="B5814" t="s">
        <v>50</v>
      </c>
      <c r="C5814">
        <v>7</v>
      </c>
      <c r="D5814" t="s">
        <v>442</v>
      </c>
      <c r="E5814" s="217">
        <v>44986</v>
      </c>
      <c r="F5814">
        <v>22324</v>
      </c>
      <c r="G5814" s="227" t="s">
        <v>117</v>
      </c>
    </row>
    <row r="5815" spans="1:7">
      <c r="A5815" s="216">
        <v>44986</v>
      </c>
      <c r="B5815" t="s">
        <v>50</v>
      </c>
      <c r="C5815">
        <v>7</v>
      </c>
      <c r="D5815" t="s">
        <v>442</v>
      </c>
      <c r="E5815" s="217">
        <v>44986</v>
      </c>
      <c r="F5815">
        <v>22165</v>
      </c>
      <c r="G5815" s="227" t="s">
        <v>108</v>
      </c>
    </row>
    <row r="5816" spans="1:7">
      <c r="A5816" s="216">
        <v>44986</v>
      </c>
      <c r="B5816" t="s">
        <v>50</v>
      </c>
      <c r="C5816">
        <v>7</v>
      </c>
      <c r="D5816" t="s">
        <v>442</v>
      </c>
      <c r="E5816" s="217">
        <v>44986</v>
      </c>
      <c r="F5816">
        <v>22742</v>
      </c>
      <c r="G5816" s="227" t="s">
        <v>103</v>
      </c>
    </row>
    <row r="5817" spans="1:7">
      <c r="A5817" s="216">
        <v>44986</v>
      </c>
      <c r="B5817" t="s">
        <v>50</v>
      </c>
      <c r="C5817">
        <v>7</v>
      </c>
      <c r="D5817" t="s">
        <v>442</v>
      </c>
      <c r="E5817" s="217">
        <v>44986</v>
      </c>
      <c r="F5817">
        <v>22760</v>
      </c>
      <c r="G5817" s="227" t="s">
        <v>86</v>
      </c>
    </row>
    <row r="5818" spans="1:7">
      <c r="A5818" s="216">
        <v>44986</v>
      </c>
      <c r="B5818" t="s">
        <v>50</v>
      </c>
      <c r="C5818">
        <v>7</v>
      </c>
      <c r="D5818" t="s">
        <v>442</v>
      </c>
      <c r="E5818" s="217">
        <v>44986</v>
      </c>
      <c r="F5818">
        <v>26661</v>
      </c>
      <c r="G5818" s="227" t="s">
        <v>130</v>
      </c>
    </row>
    <row r="5819" spans="1:7">
      <c r="A5819" s="216">
        <v>44986</v>
      </c>
      <c r="B5819" t="s">
        <v>50</v>
      </c>
      <c r="C5819">
        <v>7</v>
      </c>
      <c r="D5819" t="s">
        <v>442</v>
      </c>
      <c r="E5819" s="217">
        <v>44986</v>
      </c>
      <c r="F5819">
        <v>23518</v>
      </c>
      <c r="G5819" s="227" t="s">
        <v>126</v>
      </c>
    </row>
    <row r="5820" spans="1:7">
      <c r="A5820" s="216">
        <v>44986</v>
      </c>
      <c r="B5820" t="s">
        <v>50</v>
      </c>
      <c r="C5820">
        <v>7</v>
      </c>
      <c r="D5820" t="s">
        <v>442</v>
      </c>
      <c r="E5820" s="217">
        <v>44986</v>
      </c>
      <c r="F5820">
        <v>23471</v>
      </c>
      <c r="G5820" s="227" t="s">
        <v>122</v>
      </c>
    </row>
    <row r="5821" spans="1:7">
      <c r="A5821" s="216">
        <v>44986</v>
      </c>
      <c r="B5821" t="s">
        <v>50</v>
      </c>
      <c r="C5821">
        <v>7</v>
      </c>
      <c r="D5821" t="s">
        <v>442</v>
      </c>
      <c r="E5821" s="217">
        <v>44986</v>
      </c>
      <c r="F5821">
        <v>23639</v>
      </c>
      <c r="G5821" s="227" t="s">
        <v>91</v>
      </c>
    </row>
    <row r="5822" spans="1:7">
      <c r="A5822" s="216">
        <v>44986</v>
      </c>
      <c r="B5822" t="s">
        <v>50</v>
      </c>
      <c r="C5822">
        <v>7</v>
      </c>
      <c r="D5822" t="s">
        <v>442</v>
      </c>
      <c r="E5822" s="217">
        <v>44986</v>
      </c>
      <c r="F5822">
        <v>22819</v>
      </c>
      <c r="G5822" s="227" t="s">
        <v>99</v>
      </c>
    </row>
    <row r="5823" spans="1:7">
      <c r="A5823" s="216">
        <v>44986</v>
      </c>
      <c r="B5823" t="s">
        <v>50</v>
      </c>
      <c r="C5823">
        <v>7</v>
      </c>
      <c r="D5823" t="s">
        <v>442</v>
      </c>
      <c r="E5823" s="217">
        <v>44986</v>
      </c>
      <c r="F5823">
        <v>23450</v>
      </c>
      <c r="G5823" s="227" t="s">
        <v>95</v>
      </c>
    </row>
    <row r="5824" spans="1:7">
      <c r="A5824" s="216">
        <v>44986</v>
      </c>
      <c r="B5824" t="s">
        <v>50</v>
      </c>
      <c r="C5824">
        <v>7</v>
      </c>
      <c r="D5824" t="s">
        <v>442</v>
      </c>
      <c r="E5824" s="217">
        <v>44986</v>
      </c>
      <c r="F5824">
        <v>31696</v>
      </c>
      <c r="G5824" s="227" t="s">
        <v>113</v>
      </c>
    </row>
    <row r="5825" spans="1:7">
      <c r="A5825" s="216">
        <v>44986</v>
      </c>
      <c r="B5825" t="s">
        <v>50</v>
      </c>
      <c r="C5825">
        <v>7</v>
      </c>
      <c r="D5825" t="s">
        <v>442</v>
      </c>
      <c r="E5825" s="217">
        <v>44986</v>
      </c>
      <c r="F5825">
        <v>287280</v>
      </c>
      <c r="G5825" s="227" t="s">
        <v>434</v>
      </c>
    </row>
    <row r="5826" spans="1:7">
      <c r="A5826" s="216">
        <v>44986</v>
      </c>
      <c r="B5826" t="s">
        <v>50</v>
      </c>
      <c r="C5826">
        <v>8</v>
      </c>
      <c r="D5826" t="s">
        <v>451</v>
      </c>
      <c r="E5826" s="217">
        <v>44986</v>
      </c>
      <c r="F5826">
        <v>0</v>
      </c>
      <c r="G5826" s="227" t="s">
        <v>81</v>
      </c>
    </row>
    <row r="5827" spans="1:7">
      <c r="A5827" s="216">
        <v>44986</v>
      </c>
      <c r="B5827" t="s">
        <v>50</v>
      </c>
      <c r="C5827">
        <v>8</v>
      </c>
      <c r="D5827" t="s">
        <v>451</v>
      </c>
      <c r="E5827" s="217">
        <v>44986</v>
      </c>
      <c r="F5827">
        <v>0</v>
      </c>
      <c r="G5827" s="227" t="s">
        <v>117</v>
      </c>
    </row>
    <row r="5828" spans="1:7">
      <c r="A5828" s="216">
        <v>44986</v>
      </c>
      <c r="B5828" t="s">
        <v>50</v>
      </c>
      <c r="C5828">
        <v>8</v>
      </c>
      <c r="D5828" t="s">
        <v>451</v>
      </c>
      <c r="E5828" s="217">
        <v>44986</v>
      </c>
      <c r="F5828">
        <v>0</v>
      </c>
      <c r="G5828" s="227" t="s">
        <v>108</v>
      </c>
    </row>
    <row r="5829" spans="1:7">
      <c r="A5829" s="216">
        <v>44986</v>
      </c>
      <c r="B5829" t="s">
        <v>50</v>
      </c>
      <c r="C5829">
        <v>8</v>
      </c>
      <c r="D5829" t="s">
        <v>451</v>
      </c>
      <c r="E5829" s="217">
        <v>44986</v>
      </c>
      <c r="F5829">
        <v>0</v>
      </c>
      <c r="G5829" s="227" t="s">
        <v>103</v>
      </c>
    </row>
    <row r="5830" spans="1:7">
      <c r="A5830" s="216">
        <v>44986</v>
      </c>
      <c r="B5830" t="s">
        <v>50</v>
      </c>
      <c r="C5830">
        <v>8</v>
      </c>
      <c r="D5830" t="s">
        <v>451</v>
      </c>
      <c r="E5830" s="217">
        <v>44986</v>
      </c>
      <c r="F5830">
        <v>0</v>
      </c>
      <c r="G5830" s="227" t="s">
        <v>86</v>
      </c>
    </row>
    <row r="5831" spans="1:7">
      <c r="A5831" s="216">
        <v>44986</v>
      </c>
      <c r="B5831" t="s">
        <v>50</v>
      </c>
      <c r="C5831">
        <v>8</v>
      </c>
      <c r="D5831" t="s">
        <v>451</v>
      </c>
      <c r="E5831" s="217">
        <v>44986</v>
      </c>
      <c r="F5831">
        <v>0</v>
      </c>
      <c r="G5831" s="227" t="s">
        <v>130</v>
      </c>
    </row>
    <row r="5832" spans="1:7">
      <c r="A5832" s="216">
        <v>44986</v>
      </c>
      <c r="B5832" t="s">
        <v>50</v>
      </c>
      <c r="C5832">
        <v>8</v>
      </c>
      <c r="D5832" t="s">
        <v>451</v>
      </c>
      <c r="E5832" s="217">
        <v>44986</v>
      </c>
      <c r="F5832">
        <v>0</v>
      </c>
      <c r="G5832" s="227" t="s">
        <v>126</v>
      </c>
    </row>
    <row r="5833" spans="1:7">
      <c r="A5833" s="216">
        <v>44986</v>
      </c>
      <c r="B5833" t="s">
        <v>50</v>
      </c>
      <c r="C5833">
        <v>8</v>
      </c>
      <c r="D5833" t="s">
        <v>451</v>
      </c>
      <c r="E5833" s="217">
        <v>44986</v>
      </c>
      <c r="F5833">
        <v>0</v>
      </c>
      <c r="G5833" s="227" t="s">
        <v>122</v>
      </c>
    </row>
    <row r="5834" spans="1:7">
      <c r="A5834" s="216">
        <v>44986</v>
      </c>
      <c r="B5834" t="s">
        <v>50</v>
      </c>
      <c r="C5834">
        <v>8</v>
      </c>
      <c r="D5834" t="s">
        <v>451</v>
      </c>
      <c r="E5834" s="217">
        <v>44986</v>
      </c>
      <c r="F5834">
        <v>0</v>
      </c>
      <c r="G5834" s="227" t="s">
        <v>91</v>
      </c>
    </row>
    <row r="5835" spans="1:7">
      <c r="A5835" s="216">
        <v>44986</v>
      </c>
      <c r="B5835" t="s">
        <v>50</v>
      </c>
      <c r="C5835">
        <v>8</v>
      </c>
      <c r="D5835" t="s">
        <v>451</v>
      </c>
      <c r="E5835" s="217">
        <v>44986</v>
      </c>
      <c r="F5835">
        <v>0</v>
      </c>
      <c r="G5835" s="227" t="s">
        <v>99</v>
      </c>
    </row>
    <row r="5836" spans="1:7">
      <c r="A5836" s="216">
        <v>44986</v>
      </c>
      <c r="B5836" t="s">
        <v>50</v>
      </c>
      <c r="C5836">
        <v>8</v>
      </c>
      <c r="D5836" t="s">
        <v>451</v>
      </c>
      <c r="E5836" s="217">
        <v>44986</v>
      </c>
      <c r="F5836">
        <v>0</v>
      </c>
      <c r="G5836" s="227" t="s">
        <v>95</v>
      </c>
    </row>
    <row r="5837" spans="1:7">
      <c r="A5837" s="216">
        <v>44986</v>
      </c>
      <c r="B5837" t="s">
        <v>50</v>
      </c>
      <c r="C5837">
        <v>8</v>
      </c>
      <c r="D5837" t="s">
        <v>451</v>
      </c>
      <c r="E5837" s="217">
        <v>44986</v>
      </c>
      <c r="F5837">
        <v>0</v>
      </c>
      <c r="G5837" s="227" t="s">
        <v>113</v>
      </c>
    </row>
    <row r="5838" spans="1:7">
      <c r="A5838" s="216">
        <v>44986</v>
      </c>
      <c r="B5838" t="s">
        <v>50</v>
      </c>
      <c r="C5838">
        <v>8</v>
      </c>
      <c r="D5838" t="s">
        <v>451</v>
      </c>
      <c r="E5838" s="217">
        <v>44986</v>
      </c>
      <c r="F5838">
        <v>0</v>
      </c>
      <c r="G5838" s="227" t="s">
        <v>434</v>
      </c>
    </row>
    <row r="5839" spans="1:7">
      <c r="A5839" s="216">
        <v>44986</v>
      </c>
      <c r="B5839" t="s">
        <v>50</v>
      </c>
      <c r="C5839">
        <v>9</v>
      </c>
      <c r="D5839" t="s">
        <v>450</v>
      </c>
      <c r="E5839" s="217">
        <v>44986</v>
      </c>
      <c r="F5839">
        <v>0</v>
      </c>
      <c r="G5839" s="227" t="s">
        <v>81</v>
      </c>
    </row>
    <row r="5840" spans="1:7">
      <c r="A5840" s="216">
        <v>44986</v>
      </c>
      <c r="B5840" t="s">
        <v>50</v>
      </c>
      <c r="C5840">
        <v>9</v>
      </c>
      <c r="D5840" t="s">
        <v>450</v>
      </c>
      <c r="E5840" s="217">
        <v>44986</v>
      </c>
      <c r="F5840">
        <v>0</v>
      </c>
      <c r="G5840" s="227" t="s">
        <v>117</v>
      </c>
    </row>
    <row r="5841" spans="1:7">
      <c r="A5841" s="216">
        <v>44986</v>
      </c>
      <c r="B5841" t="s">
        <v>50</v>
      </c>
      <c r="C5841">
        <v>9</v>
      </c>
      <c r="D5841" t="s">
        <v>450</v>
      </c>
      <c r="E5841" s="217">
        <v>44986</v>
      </c>
      <c r="F5841">
        <v>0</v>
      </c>
      <c r="G5841" s="227" t="s">
        <v>108</v>
      </c>
    </row>
    <row r="5842" spans="1:7">
      <c r="A5842" s="216">
        <v>44986</v>
      </c>
      <c r="B5842" t="s">
        <v>50</v>
      </c>
      <c r="C5842">
        <v>9</v>
      </c>
      <c r="D5842" t="s">
        <v>450</v>
      </c>
      <c r="E5842" s="217">
        <v>44986</v>
      </c>
      <c r="F5842">
        <v>0</v>
      </c>
      <c r="G5842" s="227" t="s">
        <v>103</v>
      </c>
    </row>
    <row r="5843" spans="1:7">
      <c r="A5843" s="216">
        <v>44986</v>
      </c>
      <c r="B5843" t="s">
        <v>50</v>
      </c>
      <c r="C5843">
        <v>9</v>
      </c>
      <c r="D5843" t="s">
        <v>450</v>
      </c>
      <c r="E5843" s="217">
        <v>44986</v>
      </c>
      <c r="F5843">
        <v>0</v>
      </c>
      <c r="G5843" s="227" t="s">
        <v>86</v>
      </c>
    </row>
    <row r="5844" spans="1:7">
      <c r="A5844" s="216">
        <v>44986</v>
      </c>
      <c r="B5844" t="s">
        <v>50</v>
      </c>
      <c r="C5844">
        <v>9</v>
      </c>
      <c r="D5844" t="s">
        <v>450</v>
      </c>
      <c r="E5844" s="217">
        <v>44986</v>
      </c>
      <c r="F5844">
        <v>0</v>
      </c>
      <c r="G5844" s="227" t="s">
        <v>130</v>
      </c>
    </row>
    <row r="5845" spans="1:7">
      <c r="A5845" s="216">
        <v>44986</v>
      </c>
      <c r="B5845" t="s">
        <v>50</v>
      </c>
      <c r="C5845">
        <v>9</v>
      </c>
      <c r="D5845" t="s">
        <v>450</v>
      </c>
      <c r="E5845" s="217">
        <v>44986</v>
      </c>
      <c r="F5845">
        <v>0</v>
      </c>
      <c r="G5845" s="227" t="s">
        <v>126</v>
      </c>
    </row>
    <row r="5846" spans="1:7">
      <c r="A5846" s="216">
        <v>44986</v>
      </c>
      <c r="B5846" t="s">
        <v>50</v>
      </c>
      <c r="C5846">
        <v>9</v>
      </c>
      <c r="D5846" t="s">
        <v>450</v>
      </c>
      <c r="E5846" s="217">
        <v>44986</v>
      </c>
      <c r="F5846">
        <v>0</v>
      </c>
      <c r="G5846" s="227" t="s">
        <v>122</v>
      </c>
    </row>
    <row r="5847" spans="1:7">
      <c r="A5847" s="216">
        <v>44986</v>
      </c>
      <c r="B5847" t="s">
        <v>50</v>
      </c>
      <c r="C5847">
        <v>9</v>
      </c>
      <c r="D5847" t="s">
        <v>450</v>
      </c>
      <c r="E5847" s="217">
        <v>44986</v>
      </c>
      <c r="F5847">
        <v>0</v>
      </c>
      <c r="G5847" s="227" t="s">
        <v>91</v>
      </c>
    </row>
    <row r="5848" spans="1:7">
      <c r="A5848" s="216">
        <v>44986</v>
      </c>
      <c r="B5848" t="s">
        <v>50</v>
      </c>
      <c r="C5848">
        <v>9</v>
      </c>
      <c r="D5848" t="s">
        <v>450</v>
      </c>
      <c r="E5848" s="217">
        <v>44986</v>
      </c>
      <c r="F5848">
        <v>0</v>
      </c>
      <c r="G5848" s="227" t="s">
        <v>99</v>
      </c>
    </row>
    <row r="5849" spans="1:7">
      <c r="A5849" s="216">
        <v>44986</v>
      </c>
      <c r="B5849" t="s">
        <v>50</v>
      </c>
      <c r="C5849">
        <v>9</v>
      </c>
      <c r="D5849" t="s">
        <v>450</v>
      </c>
      <c r="E5849" s="217">
        <v>44986</v>
      </c>
      <c r="F5849">
        <v>0</v>
      </c>
      <c r="G5849" s="227" t="s">
        <v>95</v>
      </c>
    </row>
    <row r="5850" spans="1:7">
      <c r="A5850" s="216">
        <v>44986</v>
      </c>
      <c r="B5850" t="s">
        <v>50</v>
      </c>
      <c r="C5850">
        <v>9</v>
      </c>
      <c r="D5850" t="s">
        <v>450</v>
      </c>
      <c r="E5850" s="217">
        <v>44986</v>
      </c>
      <c r="F5850">
        <v>0</v>
      </c>
      <c r="G5850" s="227" t="s">
        <v>113</v>
      </c>
    </row>
    <row r="5851" spans="1:7">
      <c r="A5851" s="216">
        <v>44986</v>
      </c>
      <c r="B5851" t="s">
        <v>50</v>
      </c>
      <c r="C5851">
        <v>9</v>
      </c>
      <c r="D5851" t="s">
        <v>450</v>
      </c>
      <c r="E5851" s="217">
        <v>44986</v>
      </c>
      <c r="F5851">
        <v>0</v>
      </c>
      <c r="G5851" s="227" t="s">
        <v>434</v>
      </c>
    </row>
    <row r="5852" spans="1:7">
      <c r="A5852" s="216">
        <v>44986</v>
      </c>
      <c r="B5852" t="s">
        <v>50</v>
      </c>
      <c r="C5852">
        <v>10</v>
      </c>
      <c r="D5852" t="s">
        <v>433</v>
      </c>
      <c r="E5852" s="217">
        <v>44986</v>
      </c>
      <c r="F5852">
        <v>15215</v>
      </c>
      <c r="G5852" s="227" t="s">
        <v>81</v>
      </c>
    </row>
    <row r="5853" spans="1:7">
      <c r="A5853" s="216">
        <v>44986</v>
      </c>
      <c r="B5853" t="s">
        <v>50</v>
      </c>
      <c r="C5853">
        <v>10</v>
      </c>
      <c r="D5853" t="s">
        <v>433</v>
      </c>
      <c r="E5853" s="217">
        <v>44986</v>
      </c>
      <c r="F5853">
        <v>15544</v>
      </c>
      <c r="G5853" s="227" t="s">
        <v>117</v>
      </c>
    </row>
    <row r="5854" spans="1:7">
      <c r="A5854" s="216">
        <v>44986</v>
      </c>
      <c r="B5854" t="s">
        <v>50</v>
      </c>
      <c r="C5854">
        <v>10</v>
      </c>
      <c r="D5854" t="s">
        <v>433</v>
      </c>
      <c r="E5854" s="217">
        <v>44986</v>
      </c>
      <c r="F5854">
        <v>15287</v>
      </c>
      <c r="G5854" s="227" t="s">
        <v>108</v>
      </c>
    </row>
    <row r="5855" spans="1:7">
      <c r="A5855" s="216">
        <v>44986</v>
      </c>
      <c r="B5855" t="s">
        <v>50</v>
      </c>
      <c r="C5855">
        <v>10</v>
      </c>
      <c r="D5855" t="s">
        <v>433</v>
      </c>
      <c r="E5855" s="217">
        <v>44986</v>
      </c>
      <c r="F5855">
        <v>15621</v>
      </c>
      <c r="G5855" s="227" t="s">
        <v>103</v>
      </c>
    </row>
    <row r="5856" spans="1:7">
      <c r="A5856" s="216">
        <v>44986</v>
      </c>
      <c r="B5856" t="s">
        <v>50</v>
      </c>
      <c r="C5856">
        <v>10</v>
      </c>
      <c r="D5856" t="s">
        <v>433</v>
      </c>
      <c r="E5856" s="217">
        <v>44986</v>
      </c>
      <c r="F5856">
        <v>15106</v>
      </c>
      <c r="G5856" s="227" t="s">
        <v>86</v>
      </c>
    </row>
    <row r="5857" spans="1:7">
      <c r="A5857" s="216">
        <v>44986</v>
      </c>
      <c r="B5857" t="s">
        <v>50</v>
      </c>
      <c r="C5857">
        <v>10</v>
      </c>
      <c r="D5857" t="s">
        <v>433</v>
      </c>
      <c r="E5857" s="217">
        <v>44986</v>
      </c>
      <c r="F5857">
        <v>19886</v>
      </c>
      <c r="G5857" s="227" t="s">
        <v>130</v>
      </c>
    </row>
    <row r="5858" spans="1:7">
      <c r="A5858" s="216">
        <v>44986</v>
      </c>
      <c r="B5858" t="s">
        <v>50</v>
      </c>
      <c r="C5858">
        <v>10</v>
      </c>
      <c r="D5858" t="s">
        <v>433</v>
      </c>
      <c r="E5858" s="217">
        <v>44986</v>
      </c>
      <c r="F5858">
        <v>15832</v>
      </c>
      <c r="G5858" s="227" t="s">
        <v>126</v>
      </c>
    </row>
    <row r="5859" spans="1:7">
      <c r="A5859" s="216">
        <v>44986</v>
      </c>
      <c r="B5859" t="s">
        <v>50</v>
      </c>
      <c r="C5859">
        <v>10</v>
      </c>
      <c r="D5859" t="s">
        <v>433</v>
      </c>
      <c r="E5859" s="217">
        <v>44986</v>
      </c>
      <c r="F5859">
        <v>15913</v>
      </c>
      <c r="G5859" s="227" t="s">
        <v>122</v>
      </c>
    </row>
    <row r="5860" spans="1:7">
      <c r="A5860" s="216">
        <v>44986</v>
      </c>
      <c r="B5860" t="s">
        <v>50</v>
      </c>
      <c r="C5860">
        <v>10</v>
      </c>
      <c r="D5860" t="s">
        <v>433</v>
      </c>
      <c r="E5860" s="217">
        <v>44986</v>
      </c>
      <c r="F5860">
        <v>16695</v>
      </c>
      <c r="G5860" s="227" t="s">
        <v>91</v>
      </c>
    </row>
    <row r="5861" spans="1:7">
      <c r="A5861" s="216">
        <v>44986</v>
      </c>
      <c r="B5861" t="s">
        <v>50</v>
      </c>
      <c r="C5861">
        <v>10</v>
      </c>
      <c r="D5861" t="s">
        <v>433</v>
      </c>
      <c r="E5861" s="217">
        <v>44986</v>
      </c>
      <c r="F5861">
        <v>16250</v>
      </c>
      <c r="G5861" s="227" t="s">
        <v>99</v>
      </c>
    </row>
    <row r="5862" spans="1:7">
      <c r="A5862" s="216">
        <v>44986</v>
      </c>
      <c r="B5862" t="s">
        <v>50</v>
      </c>
      <c r="C5862">
        <v>10</v>
      </c>
      <c r="D5862" t="s">
        <v>433</v>
      </c>
      <c r="E5862" s="217">
        <v>44986</v>
      </c>
      <c r="F5862">
        <v>16171</v>
      </c>
      <c r="G5862" s="227" t="s">
        <v>95</v>
      </c>
    </row>
    <row r="5863" spans="1:7">
      <c r="A5863" s="216">
        <v>44986</v>
      </c>
      <c r="B5863" t="s">
        <v>50</v>
      </c>
      <c r="C5863">
        <v>10</v>
      </c>
      <c r="D5863" t="s">
        <v>433</v>
      </c>
      <c r="E5863" s="217">
        <v>44986</v>
      </c>
      <c r="F5863">
        <v>20337</v>
      </c>
      <c r="G5863" s="227" t="s">
        <v>113</v>
      </c>
    </row>
    <row r="5864" spans="1:7">
      <c r="A5864" s="216">
        <v>44986</v>
      </c>
      <c r="B5864" t="s">
        <v>50</v>
      </c>
      <c r="C5864">
        <v>10</v>
      </c>
      <c r="D5864" t="s">
        <v>433</v>
      </c>
      <c r="E5864" s="217">
        <v>44986</v>
      </c>
      <c r="F5864">
        <v>197857</v>
      </c>
      <c r="G5864" s="227" t="s">
        <v>434</v>
      </c>
    </row>
    <row r="5865" spans="1:7">
      <c r="A5865" s="216">
        <v>44986</v>
      </c>
      <c r="B5865" t="s">
        <v>50</v>
      </c>
      <c r="C5865">
        <v>11</v>
      </c>
      <c r="D5865" t="s">
        <v>445</v>
      </c>
      <c r="E5865" s="217">
        <v>44986</v>
      </c>
      <c r="F5865">
        <v>3728</v>
      </c>
      <c r="G5865" s="227" t="s">
        <v>81</v>
      </c>
    </row>
    <row r="5866" spans="1:7">
      <c r="A5866" s="216">
        <v>44986</v>
      </c>
      <c r="B5866" t="s">
        <v>50</v>
      </c>
      <c r="C5866">
        <v>11</v>
      </c>
      <c r="D5866" t="s">
        <v>445</v>
      </c>
      <c r="E5866" s="217">
        <v>44986</v>
      </c>
      <c r="F5866">
        <v>3726</v>
      </c>
      <c r="G5866" s="227" t="s">
        <v>117</v>
      </c>
    </row>
    <row r="5867" spans="1:7">
      <c r="A5867" s="216">
        <v>44986</v>
      </c>
      <c r="B5867" t="s">
        <v>50</v>
      </c>
      <c r="C5867">
        <v>11</v>
      </c>
      <c r="D5867" t="s">
        <v>445</v>
      </c>
      <c r="E5867" s="217">
        <v>44986</v>
      </c>
      <c r="F5867">
        <v>3682</v>
      </c>
      <c r="G5867" s="227" t="s">
        <v>108</v>
      </c>
    </row>
    <row r="5868" spans="1:7">
      <c r="A5868" s="216">
        <v>44986</v>
      </c>
      <c r="B5868" t="s">
        <v>50</v>
      </c>
      <c r="C5868">
        <v>11</v>
      </c>
      <c r="D5868" t="s">
        <v>445</v>
      </c>
      <c r="E5868" s="217">
        <v>44986</v>
      </c>
      <c r="F5868">
        <v>4019</v>
      </c>
      <c r="G5868" s="227" t="s">
        <v>103</v>
      </c>
    </row>
    <row r="5869" spans="1:7">
      <c r="A5869" s="216">
        <v>44986</v>
      </c>
      <c r="B5869" t="s">
        <v>50</v>
      </c>
      <c r="C5869">
        <v>11</v>
      </c>
      <c r="D5869" t="s">
        <v>445</v>
      </c>
      <c r="E5869" s="217">
        <v>44986</v>
      </c>
      <c r="F5869">
        <v>4022</v>
      </c>
      <c r="G5869" s="227" t="s">
        <v>86</v>
      </c>
    </row>
    <row r="5870" spans="1:7">
      <c r="A5870" s="216">
        <v>44986</v>
      </c>
      <c r="B5870" t="s">
        <v>50</v>
      </c>
      <c r="C5870">
        <v>11</v>
      </c>
      <c r="D5870" t="s">
        <v>445</v>
      </c>
      <c r="E5870" s="217">
        <v>44986</v>
      </c>
      <c r="F5870">
        <v>3753</v>
      </c>
      <c r="G5870" s="227" t="s">
        <v>130</v>
      </c>
    </row>
    <row r="5871" spans="1:7">
      <c r="A5871" s="216">
        <v>44986</v>
      </c>
      <c r="B5871" t="s">
        <v>50</v>
      </c>
      <c r="C5871">
        <v>11</v>
      </c>
      <c r="D5871" t="s">
        <v>445</v>
      </c>
      <c r="E5871" s="217">
        <v>44986</v>
      </c>
      <c r="F5871">
        <v>4146</v>
      </c>
      <c r="G5871" s="227" t="s">
        <v>126</v>
      </c>
    </row>
    <row r="5872" spans="1:7">
      <c r="A5872" s="216">
        <v>44986</v>
      </c>
      <c r="B5872" t="s">
        <v>50</v>
      </c>
      <c r="C5872">
        <v>11</v>
      </c>
      <c r="D5872" t="s">
        <v>445</v>
      </c>
      <c r="E5872" s="217">
        <v>44986</v>
      </c>
      <c r="F5872">
        <v>4417</v>
      </c>
      <c r="G5872" s="227" t="s">
        <v>122</v>
      </c>
    </row>
    <row r="5873" spans="1:7">
      <c r="A5873" s="216">
        <v>44986</v>
      </c>
      <c r="B5873" t="s">
        <v>50</v>
      </c>
      <c r="C5873">
        <v>11</v>
      </c>
      <c r="D5873" t="s">
        <v>445</v>
      </c>
      <c r="E5873" s="217">
        <v>44986</v>
      </c>
      <c r="F5873">
        <v>4050</v>
      </c>
      <c r="G5873" s="227" t="s">
        <v>91</v>
      </c>
    </row>
    <row r="5874" spans="1:7">
      <c r="A5874" s="216">
        <v>44986</v>
      </c>
      <c r="B5874" t="s">
        <v>50</v>
      </c>
      <c r="C5874">
        <v>11</v>
      </c>
      <c r="D5874" t="s">
        <v>445</v>
      </c>
      <c r="E5874" s="217">
        <v>44986</v>
      </c>
      <c r="F5874">
        <v>3408</v>
      </c>
      <c r="G5874" s="227" t="s">
        <v>99</v>
      </c>
    </row>
    <row r="5875" spans="1:7">
      <c r="A5875" s="216">
        <v>44986</v>
      </c>
      <c r="B5875" t="s">
        <v>50</v>
      </c>
      <c r="C5875">
        <v>11</v>
      </c>
      <c r="D5875" t="s">
        <v>445</v>
      </c>
      <c r="E5875" s="217">
        <v>44986</v>
      </c>
      <c r="F5875">
        <v>4256</v>
      </c>
      <c r="G5875" s="227" t="s">
        <v>95</v>
      </c>
    </row>
    <row r="5876" spans="1:7">
      <c r="A5876" s="216">
        <v>44986</v>
      </c>
      <c r="B5876" t="s">
        <v>50</v>
      </c>
      <c r="C5876">
        <v>11</v>
      </c>
      <c r="D5876" t="s">
        <v>445</v>
      </c>
      <c r="E5876" s="217">
        <v>44986</v>
      </c>
      <c r="F5876">
        <v>4142</v>
      </c>
      <c r="G5876" s="227" t="s">
        <v>113</v>
      </c>
    </row>
    <row r="5877" spans="1:7">
      <c r="A5877" s="216">
        <v>44986</v>
      </c>
      <c r="B5877" t="s">
        <v>50</v>
      </c>
      <c r="C5877">
        <v>11</v>
      </c>
      <c r="D5877" t="s">
        <v>445</v>
      </c>
      <c r="E5877" s="217">
        <v>44986</v>
      </c>
      <c r="F5877">
        <v>47349</v>
      </c>
      <c r="G5877" s="227" t="s">
        <v>434</v>
      </c>
    </row>
    <row r="5878" spans="1:7">
      <c r="A5878" s="216">
        <v>44986</v>
      </c>
      <c r="B5878" t="s">
        <v>50</v>
      </c>
      <c r="C5878">
        <v>12</v>
      </c>
      <c r="D5878" t="s">
        <v>454</v>
      </c>
      <c r="E5878" s="217">
        <v>44986</v>
      </c>
      <c r="F5878">
        <v>33</v>
      </c>
      <c r="G5878" s="227" t="s">
        <v>81</v>
      </c>
    </row>
    <row r="5879" spans="1:7">
      <c r="A5879" s="216">
        <v>44986</v>
      </c>
      <c r="B5879" t="s">
        <v>50</v>
      </c>
      <c r="C5879">
        <v>12</v>
      </c>
      <c r="D5879" t="s">
        <v>454</v>
      </c>
      <c r="E5879" s="217">
        <v>44986</v>
      </c>
      <c r="F5879">
        <v>33</v>
      </c>
      <c r="G5879" s="227" t="s">
        <v>117</v>
      </c>
    </row>
    <row r="5880" spans="1:7">
      <c r="A5880" s="216">
        <v>44986</v>
      </c>
      <c r="B5880" t="s">
        <v>50</v>
      </c>
      <c r="C5880">
        <v>12</v>
      </c>
      <c r="D5880" t="s">
        <v>454</v>
      </c>
      <c r="E5880" s="217">
        <v>44986</v>
      </c>
      <c r="F5880">
        <v>44</v>
      </c>
      <c r="G5880" s="227" t="s">
        <v>108</v>
      </c>
    </row>
    <row r="5881" spans="1:7">
      <c r="A5881" s="216">
        <v>44986</v>
      </c>
      <c r="B5881" t="s">
        <v>50</v>
      </c>
      <c r="C5881">
        <v>12</v>
      </c>
      <c r="D5881" t="s">
        <v>454</v>
      </c>
      <c r="E5881" s="217">
        <v>44986</v>
      </c>
      <c r="F5881">
        <v>33</v>
      </c>
      <c r="G5881" s="227" t="s">
        <v>103</v>
      </c>
    </row>
    <row r="5882" spans="1:7">
      <c r="A5882" s="216">
        <v>44986</v>
      </c>
      <c r="B5882" t="s">
        <v>50</v>
      </c>
      <c r="C5882">
        <v>12</v>
      </c>
      <c r="D5882" t="s">
        <v>454</v>
      </c>
      <c r="E5882" s="217">
        <v>44986</v>
      </c>
      <c r="F5882">
        <v>45</v>
      </c>
      <c r="G5882" s="227" t="s">
        <v>86</v>
      </c>
    </row>
    <row r="5883" spans="1:7">
      <c r="A5883" s="216">
        <v>44986</v>
      </c>
      <c r="B5883" t="s">
        <v>50</v>
      </c>
      <c r="C5883">
        <v>12</v>
      </c>
      <c r="D5883" t="s">
        <v>454</v>
      </c>
      <c r="E5883" s="217">
        <v>44986</v>
      </c>
      <c r="F5883">
        <v>49</v>
      </c>
      <c r="G5883" s="227" t="s">
        <v>130</v>
      </c>
    </row>
    <row r="5884" spans="1:7">
      <c r="A5884" s="216">
        <v>44986</v>
      </c>
      <c r="B5884" t="s">
        <v>50</v>
      </c>
      <c r="C5884">
        <v>12</v>
      </c>
      <c r="D5884" t="s">
        <v>454</v>
      </c>
      <c r="E5884" s="217">
        <v>44986</v>
      </c>
      <c r="F5884">
        <v>40</v>
      </c>
      <c r="G5884" s="227" t="s">
        <v>126</v>
      </c>
    </row>
    <row r="5885" spans="1:7">
      <c r="A5885" s="216">
        <v>44986</v>
      </c>
      <c r="B5885" t="s">
        <v>50</v>
      </c>
      <c r="C5885">
        <v>12</v>
      </c>
      <c r="D5885" t="s">
        <v>454</v>
      </c>
      <c r="E5885" s="217">
        <v>44986</v>
      </c>
      <c r="F5885">
        <v>35</v>
      </c>
      <c r="G5885" s="227" t="s">
        <v>122</v>
      </c>
    </row>
    <row r="5886" spans="1:7">
      <c r="A5886" s="216">
        <v>44986</v>
      </c>
      <c r="B5886" t="s">
        <v>50</v>
      </c>
      <c r="C5886">
        <v>12</v>
      </c>
      <c r="D5886" t="s">
        <v>454</v>
      </c>
      <c r="E5886" s="217">
        <v>44986</v>
      </c>
      <c r="F5886">
        <v>35</v>
      </c>
      <c r="G5886" s="227" t="s">
        <v>91</v>
      </c>
    </row>
    <row r="5887" spans="1:7">
      <c r="A5887" s="216">
        <v>44986</v>
      </c>
      <c r="B5887" t="s">
        <v>50</v>
      </c>
      <c r="C5887">
        <v>12</v>
      </c>
      <c r="D5887" t="s">
        <v>454</v>
      </c>
      <c r="E5887" s="217">
        <v>44986</v>
      </c>
      <c r="F5887">
        <v>42</v>
      </c>
      <c r="G5887" s="227" t="s">
        <v>99</v>
      </c>
    </row>
    <row r="5888" spans="1:7">
      <c r="A5888" s="216">
        <v>44986</v>
      </c>
      <c r="B5888" t="s">
        <v>50</v>
      </c>
      <c r="C5888">
        <v>12</v>
      </c>
      <c r="D5888" t="s">
        <v>454</v>
      </c>
      <c r="E5888" s="217">
        <v>44986</v>
      </c>
      <c r="F5888">
        <v>50</v>
      </c>
      <c r="G5888" s="227" t="s">
        <v>95</v>
      </c>
    </row>
    <row r="5889" spans="1:7">
      <c r="A5889" s="216">
        <v>44986</v>
      </c>
      <c r="B5889" t="s">
        <v>50</v>
      </c>
      <c r="C5889">
        <v>12</v>
      </c>
      <c r="D5889" t="s">
        <v>454</v>
      </c>
      <c r="E5889" s="217">
        <v>44986</v>
      </c>
      <c r="F5889">
        <v>256</v>
      </c>
      <c r="G5889" s="227" t="s">
        <v>113</v>
      </c>
    </row>
    <row r="5890" spans="1:7">
      <c r="A5890" s="216">
        <v>44986</v>
      </c>
      <c r="B5890" t="s">
        <v>50</v>
      </c>
      <c r="C5890">
        <v>12</v>
      </c>
      <c r="D5890" t="s">
        <v>454</v>
      </c>
      <c r="E5890" s="217">
        <v>44986</v>
      </c>
      <c r="F5890">
        <v>695</v>
      </c>
      <c r="G5890" s="227" t="s">
        <v>434</v>
      </c>
    </row>
    <row r="5891" spans="1:7">
      <c r="A5891" s="216">
        <v>44986</v>
      </c>
      <c r="B5891" t="s">
        <v>50</v>
      </c>
      <c r="C5891">
        <v>13</v>
      </c>
      <c r="D5891" t="s">
        <v>441</v>
      </c>
      <c r="E5891" s="217">
        <v>44986</v>
      </c>
      <c r="F5891">
        <v>0</v>
      </c>
      <c r="G5891" s="227" t="s">
        <v>81</v>
      </c>
    </row>
    <row r="5892" spans="1:7">
      <c r="A5892" s="216">
        <v>44986</v>
      </c>
      <c r="B5892" t="s">
        <v>50</v>
      </c>
      <c r="C5892">
        <v>13</v>
      </c>
      <c r="D5892" t="s">
        <v>441</v>
      </c>
      <c r="E5892" s="217">
        <v>44986</v>
      </c>
      <c r="F5892">
        <v>0</v>
      </c>
      <c r="G5892" s="227" t="s">
        <v>117</v>
      </c>
    </row>
    <row r="5893" spans="1:7">
      <c r="A5893" s="216">
        <v>44986</v>
      </c>
      <c r="B5893" t="s">
        <v>50</v>
      </c>
      <c r="C5893">
        <v>13</v>
      </c>
      <c r="D5893" t="s">
        <v>441</v>
      </c>
      <c r="E5893" s="217">
        <v>44986</v>
      </c>
      <c r="F5893">
        <v>0</v>
      </c>
      <c r="G5893" s="227" t="s">
        <v>108</v>
      </c>
    </row>
    <row r="5894" spans="1:7">
      <c r="A5894" s="216">
        <v>44986</v>
      </c>
      <c r="B5894" t="s">
        <v>50</v>
      </c>
      <c r="C5894">
        <v>13</v>
      </c>
      <c r="D5894" t="s">
        <v>441</v>
      </c>
      <c r="E5894" s="217">
        <v>44986</v>
      </c>
      <c r="F5894">
        <v>0</v>
      </c>
      <c r="G5894" s="227" t="s">
        <v>103</v>
      </c>
    </row>
    <row r="5895" spans="1:7">
      <c r="A5895" s="216">
        <v>44986</v>
      </c>
      <c r="B5895" t="s">
        <v>50</v>
      </c>
      <c r="C5895">
        <v>13</v>
      </c>
      <c r="D5895" t="s">
        <v>441</v>
      </c>
      <c r="E5895" s="217">
        <v>44986</v>
      </c>
      <c r="F5895">
        <v>0</v>
      </c>
      <c r="G5895" s="227" t="s">
        <v>86</v>
      </c>
    </row>
    <row r="5896" spans="1:7">
      <c r="A5896" s="216">
        <v>44986</v>
      </c>
      <c r="B5896" t="s">
        <v>50</v>
      </c>
      <c r="C5896">
        <v>13</v>
      </c>
      <c r="D5896" t="s">
        <v>441</v>
      </c>
      <c r="E5896" s="217">
        <v>44986</v>
      </c>
      <c r="F5896">
        <v>0</v>
      </c>
      <c r="G5896" s="227" t="s">
        <v>130</v>
      </c>
    </row>
    <row r="5897" spans="1:7">
      <c r="A5897" s="216">
        <v>44986</v>
      </c>
      <c r="B5897" t="s">
        <v>50</v>
      </c>
      <c r="C5897">
        <v>13</v>
      </c>
      <c r="D5897" t="s">
        <v>441</v>
      </c>
      <c r="E5897" s="217">
        <v>44986</v>
      </c>
      <c r="F5897">
        <v>0</v>
      </c>
      <c r="G5897" s="227" t="s">
        <v>126</v>
      </c>
    </row>
    <row r="5898" spans="1:7">
      <c r="A5898" s="216">
        <v>44986</v>
      </c>
      <c r="B5898" t="s">
        <v>50</v>
      </c>
      <c r="C5898">
        <v>13</v>
      </c>
      <c r="D5898" t="s">
        <v>441</v>
      </c>
      <c r="E5898" s="217">
        <v>44986</v>
      </c>
      <c r="F5898">
        <v>0</v>
      </c>
      <c r="G5898" s="227" t="s">
        <v>122</v>
      </c>
    </row>
    <row r="5899" spans="1:7">
      <c r="A5899" s="216">
        <v>44986</v>
      </c>
      <c r="B5899" t="s">
        <v>50</v>
      </c>
      <c r="C5899">
        <v>13</v>
      </c>
      <c r="D5899" t="s">
        <v>441</v>
      </c>
      <c r="E5899" s="217">
        <v>44986</v>
      </c>
      <c r="F5899">
        <v>0</v>
      </c>
      <c r="G5899" s="227" t="s">
        <v>91</v>
      </c>
    </row>
    <row r="5900" spans="1:7">
      <c r="A5900" s="216">
        <v>44986</v>
      </c>
      <c r="B5900" t="s">
        <v>50</v>
      </c>
      <c r="C5900">
        <v>13</v>
      </c>
      <c r="D5900" t="s">
        <v>441</v>
      </c>
      <c r="E5900" s="217">
        <v>44986</v>
      </c>
      <c r="F5900">
        <v>0</v>
      </c>
      <c r="G5900" s="227" t="s">
        <v>99</v>
      </c>
    </row>
    <row r="5901" spans="1:7">
      <c r="A5901" s="216">
        <v>44986</v>
      </c>
      <c r="B5901" t="s">
        <v>50</v>
      </c>
      <c r="C5901">
        <v>13</v>
      </c>
      <c r="D5901" t="s">
        <v>441</v>
      </c>
      <c r="E5901" s="217">
        <v>44986</v>
      </c>
      <c r="F5901">
        <v>0</v>
      </c>
      <c r="G5901" s="227" t="s">
        <v>95</v>
      </c>
    </row>
    <row r="5902" spans="1:7">
      <c r="A5902" s="216">
        <v>44986</v>
      </c>
      <c r="B5902" t="s">
        <v>50</v>
      </c>
      <c r="C5902">
        <v>13</v>
      </c>
      <c r="D5902" t="s">
        <v>441</v>
      </c>
      <c r="E5902" s="217">
        <v>44986</v>
      </c>
      <c r="F5902">
        <v>0</v>
      </c>
      <c r="G5902" s="227" t="s">
        <v>113</v>
      </c>
    </row>
    <row r="5903" spans="1:7">
      <c r="A5903" s="216">
        <v>44986</v>
      </c>
      <c r="B5903" t="s">
        <v>50</v>
      </c>
      <c r="C5903">
        <v>13</v>
      </c>
      <c r="D5903" t="s">
        <v>441</v>
      </c>
      <c r="E5903" s="217">
        <v>44986</v>
      </c>
      <c r="F5903">
        <v>0</v>
      </c>
      <c r="G5903" s="227" t="s">
        <v>434</v>
      </c>
    </row>
    <row r="5904" spans="1:7">
      <c r="A5904" s="216">
        <v>44986</v>
      </c>
      <c r="B5904" t="s">
        <v>50</v>
      </c>
      <c r="C5904">
        <v>14</v>
      </c>
      <c r="D5904" t="s">
        <v>447</v>
      </c>
      <c r="E5904" s="217">
        <v>44986</v>
      </c>
      <c r="F5904">
        <v>0</v>
      </c>
      <c r="G5904" s="227" t="s">
        <v>81</v>
      </c>
    </row>
    <row r="5905" spans="1:7">
      <c r="A5905" s="216">
        <v>44986</v>
      </c>
      <c r="B5905" t="s">
        <v>50</v>
      </c>
      <c r="C5905">
        <v>14</v>
      </c>
      <c r="D5905" t="s">
        <v>447</v>
      </c>
      <c r="E5905" s="217">
        <v>44986</v>
      </c>
      <c r="F5905">
        <v>0</v>
      </c>
      <c r="G5905" s="227" t="s">
        <v>117</v>
      </c>
    </row>
    <row r="5906" spans="1:7">
      <c r="A5906" s="216">
        <v>44986</v>
      </c>
      <c r="B5906" t="s">
        <v>50</v>
      </c>
      <c r="C5906">
        <v>14</v>
      </c>
      <c r="D5906" t="s">
        <v>447</v>
      </c>
      <c r="E5906" s="217">
        <v>44986</v>
      </c>
      <c r="F5906">
        <v>0</v>
      </c>
      <c r="G5906" s="227" t="s">
        <v>108</v>
      </c>
    </row>
    <row r="5907" spans="1:7">
      <c r="A5907" s="216">
        <v>44986</v>
      </c>
      <c r="B5907" t="s">
        <v>50</v>
      </c>
      <c r="C5907">
        <v>14</v>
      </c>
      <c r="D5907" t="s">
        <v>447</v>
      </c>
      <c r="E5907" s="217">
        <v>44986</v>
      </c>
      <c r="F5907">
        <v>0</v>
      </c>
      <c r="G5907" s="227" t="s">
        <v>103</v>
      </c>
    </row>
    <row r="5908" spans="1:7">
      <c r="A5908" s="216">
        <v>44986</v>
      </c>
      <c r="B5908" t="s">
        <v>50</v>
      </c>
      <c r="C5908">
        <v>14</v>
      </c>
      <c r="D5908" t="s">
        <v>447</v>
      </c>
      <c r="E5908" s="217">
        <v>44986</v>
      </c>
      <c r="F5908">
        <v>0</v>
      </c>
      <c r="G5908" s="227" t="s">
        <v>86</v>
      </c>
    </row>
    <row r="5909" spans="1:7">
      <c r="A5909" s="216">
        <v>44986</v>
      </c>
      <c r="B5909" t="s">
        <v>50</v>
      </c>
      <c r="C5909">
        <v>14</v>
      </c>
      <c r="D5909" t="s">
        <v>447</v>
      </c>
      <c r="E5909" s="217">
        <v>44986</v>
      </c>
      <c r="F5909">
        <v>0</v>
      </c>
      <c r="G5909" s="227" t="s">
        <v>130</v>
      </c>
    </row>
    <row r="5910" spans="1:7">
      <c r="A5910" s="216">
        <v>44986</v>
      </c>
      <c r="B5910" t="s">
        <v>50</v>
      </c>
      <c r="C5910">
        <v>14</v>
      </c>
      <c r="D5910" t="s">
        <v>447</v>
      </c>
      <c r="E5910" s="217">
        <v>44986</v>
      </c>
      <c r="F5910">
        <v>0</v>
      </c>
      <c r="G5910" s="227" t="s">
        <v>126</v>
      </c>
    </row>
    <row r="5911" spans="1:7">
      <c r="A5911" s="216">
        <v>44986</v>
      </c>
      <c r="B5911" t="s">
        <v>50</v>
      </c>
      <c r="C5911">
        <v>14</v>
      </c>
      <c r="D5911" t="s">
        <v>447</v>
      </c>
      <c r="E5911" s="217">
        <v>44986</v>
      </c>
      <c r="F5911">
        <v>0</v>
      </c>
      <c r="G5911" s="227" t="s">
        <v>122</v>
      </c>
    </row>
    <row r="5912" spans="1:7">
      <c r="A5912" s="216">
        <v>44986</v>
      </c>
      <c r="B5912" t="s">
        <v>50</v>
      </c>
      <c r="C5912">
        <v>14</v>
      </c>
      <c r="D5912" t="s">
        <v>447</v>
      </c>
      <c r="E5912" s="217">
        <v>44986</v>
      </c>
      <c r="F5912">
        <v>0</v>
      </c>
      <c r="G5912" s="227" t="s">
        <v>91</v>
      </c>
    </row>
    <row r="5913" spans="1:7">
      <c r="A5913" s="216">
        <v>44986</v>
      </c>
      <c r="B5913" t="s">
        <v>50</v>
      </c>
      <c r="C5913">
        <v>14</v>
      </c>
      <c r="D5913" t="s">
        <v>447</v>
      </c>
      <c r="E5913" s="217">
        <v>44986</v>
      </c>
      <c r="F5913">
        <v>0</v>
      </c>
      <c r="G5913" s="227" t="s">
        <v>99</v>
      </c>
    </row>
    <row r="5914" spans="1:7">
      <c r="A5914" s="216">
        <v>44986</v>
      </c>
      <c r="B5914" t="s">
        <v>50</v>
      </c>
      <c r="C5914">
        <v>14</v>
      </c>
      <c r="D5914" t="s">
        <v>447</v>
      </c>
      <c r="E5914" s="217">
        <v>44986</v>
      </c>
      <c r="F5914">
        <v>0</v>
      </c>
      <c r="G5914" s="227" t="s">
        <v>95</v>
      </c>
    </row>
    <row r="5915" spans="1:7">
      <c r="A5915" s="216">
        <v>44986</v>
      </c>
      <c r="B5915" t="s">
        <v>50</v>
      </c>
      <c r="C5915">
        <v>14</v>
      </c>
      <c r="D5915" t="s">
        <v>447</v>
      </c>
      <c r="E5915" s="217">
        <v>44986</v>
      </c>
      <c r="F5915">
        <v>0</v>
      </c>
      <c r="G5915" s="227" t="s">
        <v>113</v>
      </c>
    </row>
    <row r="5916" spans="1:7">
      <c r="A5916" s="216">
        <v>44986</v>
      </c>
      <c r="B5916" t="s">
        <v>50</v>
      </c>
      <c r="C5916">
        <v>14</v>
      </c>
      <c r="D5916" t="s">
        <v>447</v>
      </c>
      <c r="E5916" s="217">
        <v>44986</v>
      </c>
      <c r="F5916">
        <v>0</v>
      </c>
      <c r="G5916" s="227" t="s">
        <v>434</v>
      </c>
    </row>
    <row r="5917" spans="1:7">
      <c r="A5917" s="216">
        <v>44986</v>
      </c>
      <c r="B5917" t="s">
        <v>50</v>
      </c>
      <c r="C5917">
        <v>15</v>
      </c>
      <c r="D5917" t="s">
        <v>437</v>
      </c>
      <c r="E5917" s="217">
        <v>44986</v>
      </c>
      <c r="F5917">
        <v>0</v>
      </c>
      <c r="G5917" s="227" t="s">
        <v>81</v>
      </c>
    </row>
    <row r="5918" spans="1:7">
      <c r="A5918" s="216">
        <v>44986</v>
      </c>
      <c r="B5918" t="s">
        <v>50</v>
      </c>
      <c r="C5918">
        <v>15</v>
      </c>
      <c r="D5918" t="s">
        <v>437</v>
      </c>
      <c r="E5918" s="217">
        <v>44986</v>
      </c>
      <c r="F5918">
        <v>0</v>
      </c>
      <c r="G5918" s="227" t="s">
        <v>117</v>
      </c>
    </row>
    <row r="5919" spans="1:7">
      <c r="A5919" s="216">
        <v>44986</v>
      </c>
      <c r="B5919" t="s">
        <v>50</v>
      </c>
      <c r="C5919">
        <v>15</v>
      </c>
      <c r="D5919" t="s">
        <v>437</v>
      </c>
      <c r="E5919" s="217">
        <v>44986</v>
      </c>
      <c r="F5919">
        <v>0</v>
      </c>
      <c r="G5919" s="227" t="s">
        <v>108</v>
      </c>
    </row>
    <row r="5920" spans="1:7">
      <c r="A5920" s="216">
        <v>44986</v>
      </c>
      <c r="B5920" t="s">
        <v>50</v>
      </c>
      <c r="C5920">
        <v>15</v>
      </c>
      <c r="D5920" t="s">
        <v>437</v>
      </c>
      <c r="E5920" s="217">
        <v>44986</v>
      </c>
      <c r="F5920">
        <v>0</v>
      </c>
      <c r="G5920" s="227" t="s">
        <v>103</v>
      </c>
    </row>
    <row r="5921" spans="1:7">
      <c r="A5921" s="216">
        <v>44986</v>
      </c>
      <c r="B5921" t="s">
        <v>50</v>
      </c>
      <c r="C5921">
        <v>15</v>
      </c>
      <c r="D5921" t="s">
        <v>437</v>
      </c>
      <c r="E5921" s="217">
        <v>44986</v>
      </c>
      <c r="F5921">
        <v>0</v>
      </c>
      <c r="G5921" s="227" t="s">
        <v>86</v>
      </c>
    </row>
    <row r="5922" spans="1:7">
      <c r="A5922" s="216">
        <v>44986</v>
      </c>
      <c r="B5922" t="s">
        <v>50</v>
      </c>
      <c r="C5922">
        <v>15</v>
      </c>
      <c r="D5922" t="s">
        <v>437</v>
      </c>
      <c r="E5922" s="217">
        <v>44986</v>
      </c>
      <c r="F5922">
        <v>0</v>
      </c>
      <c r="G5922" s="227" t="s">
        <v>130</v>
      </c>
    </row>
    <row r="5923" spans="1:7">
      <c r="A5923" s="216">
        <v>44986</v>
      </c>
      <c r="B5923" t="s">
        <v>50</v>
      </c>
      <c r="C5923">
        <v>15</v>
      </c>
      <c r="D5923" t="s">
        <v>437</v>
      </c>
      <c r="E5923" s="217">
        <v>44986</v>
      </c>
      <c r="F5923">
        <v>0</v>
      </c>
      <c r="G5923" s="227" t="s">
        <v>126</v>
      </c>
    </row>
    <row r="5924" spans="1:7">
      <c r="A5924" s="216">
        <v>44986</v>
      </c>
      <c r="B5924" t="s">
        <v>50</v>
      </c>
      <c r="C5924">
        <v>15</v>
      </c>
      <c r="D5924" t="s">
        <v>437</v>
      </c>
      <c r="E5924" s="217">
        <v>44986</v>
      </c>
      <c r="F5924">
        <v>0</v>
      </c>
      <c r="G5924" s="227" t="s">
        <v>122</v>
      </c>
    </row>
    <row r="5925" spans="1:7">
      <c r="A5925" s="216">
        <v>44986</v>
      </c>
      <c r="B5925" t="s">
        <v>50</v>
      </c>
      <c r="C5925">
        <v>15</v>
      </c>
      <c r="D5925" t="s">
        <v>437</v>
      </c>
      <c r="E5925" s="217">
        <v>44986</v>
      </c>
      <c r="F5925">
        <v>0</v>
      </c>
      <c r="G5925" s="227" t="s">
        <v>91</v>
      </c>
    </row>
    <row r="5926" spans="1:7">
      <c r="A5926" s="216">
        <v>44986</v>
      </c>
      <c r="B5926" t="s">
        <v>50</v>
      </c>
      <c r="C5926">
        <v>15</v>
      </c>
      <c r="D5926" t="s">
        <v>437</v>
      </c>
      <c r="E5926" s="217">
        <v>44986</v>
      </c>
      <c r="F5926">
        <v>0</v>
      </c>
      <c r="G5926" s="227" t="s">
        <v>99</v>
      </c>
    </row>
    <row r="5927" spans="1:7">
      <c r="A5927" s="216">
        <v>44986</v>
      </c>
      <c r="B5927" t="s">
        <v>50</v>
      </c>
      <c r="C5927">
        <v>15</v>
      </c>
      <c r="D5927" t="s">
        <v>437</v>
      </c>
      <c r="E5927" s="217">
        <v>44986</v>
      </c>
      <c r="F5927">
        <v>0</v>
      </c>
      <c r="G5927" s="227" t="s">
        <v>95</v>
      </c>
    </row>
    <row r="5928" spans="1:7">
      <c r="A5928" s="216">
        <v>44986</v>
      </c>
      <c r="B5928" t="s">
        <v>50</v>
      </c>
      <c r="C5928">
        <v>15</v>
      </c>
      <c r="D5928" t="s">
        <v>437</v>
      </c>
      <c r="E5928" s="217">
        <v>44986</v>
      </c>
      <c r="F5928">
        <v>0</v>
      </c>
      <c r="G5928" s="227" t="s">
        <v>113</v>
      </c>
    </row>
    <row r="5929" spans="1:7">
      <c r="A5929" s="216">
        <v>44986</v>
      </c>
      <c r="B5929" t="s">
        <v>50</v>
      </c>
      <c r="C5929">
        <v>15</v>
      </c>
      <c r="D5929" t="s">
        <v>437</v>
      </c>
      <c r="E5929" s="217">
        <v>44986</v>
      </c>
      <c r="F5929">
        <v>0</v>
      </c>
      <c r="G5929" s="227" t="s">
        <v>434</v>
      </c>
    </row>
    <row r="5930" spans="1:7">
      <c r="A5930" s="216">
        <v>44986</v>
      </c>
      <c r="B5930" t="s">
        <v>461</v>
      </c>
      <c r="C5930">
        <v>7</v>
      </c>
      <c r="D5930" t="s">
        <v>442</v>
      </c>
      <c r="E5930" s="217">
        <v>44986</v>
      </c>
      <c r="F5930">
        <v>81978</v>
      </c>
      <c r="G5930" s="227" t="s">
        <v>81</v>
      </c>
    </row>
    <row r="5931" spans="1:7">
      <c r="A5931" s="216">
        <v>44986</v>
      </c>
      <c r="B5931" t="s">
        <v>461</v>
      </c>
      <c r="C5931">
        <v>7</v>
      </c>
      <c r="D5931" t="s">
        <v>442</v>
      </c>
      <c r="E5931" s="217">
        <v>44986</v>
      </c>
      <c r="F5931">
        <v>80805</v>
      </c>
      <c r="G5931" s="227" t="s">
        <v>117</v>
      </c>
    </row>
    <row r="5932" spans="1:7">
      <c r="A5932" s="216">
        <v>44986</v>
      </c>
      <c r="B5932" t="s">
        <v>461</v>
      </c>
      <c r="C5932">
        <v>7</v>
      </c>
      <c r="D5932" t="s">
        <v>442</v>
      </c>
      <c r="E5932" s="217">
        <v>44986</v>
      </c>
      <c r="F5932">
        <v>83133</v>
      </c>
      <c r="G5932" s="227" t="s">
        <v>108</v>
      </c>
    </row>
    <row r="5933" spans="1:7">
      <c r="A5933" s="216">
        <v>44986</v>
      </c>
      <c r="B5933" t="s">
        <v>461</v>
      </c>
      <c r="C5933">
        <v>7</v>
      </c>
      <c r="D5933" t="s">
        <v>442</v>
      </c>
      <c r="E5933" s="217">
        <v>44986</v>
      </c>
      <c r="F5933">
        <v>79602</v>
      </c>
      <c r="G5933" s="227" t="s">
        <v>103</v>
      </c>
    </row>
    <row r="5934" spans="1:7">
      <c r="A5934" s="216">
        <v>44986</v>
      </c>
      <c r="B5934" t="s">
        <v>461</v>
      </c>
      <c r="C5934">
        <v>7</v>
      </c>
      <c r="D5934" t="s">
        <v>442</v>
      </c>
      <c r="E5934" s="217">
        <v>44986</v>
      </c>
      <c r="F5934">
        <v>82914</v>
      </c>
      <c r="G5934" s="227" t="s">
        <v>86</v>
      </c>
    </row>
    <row r="5935" spans="1:7">
      <c r="A5935" s="216">
        <v>44986</v>
      </c>
      <c r="B5935" t="s">
        <v>461</v>
      </c>
      <c r="C5935">
        <v>7</v>
      </c>
      <c r="D5935" t="s">
        <v>442</v>
      </c>
      <c r="E5935" s="217">
        <v>44986</v>
      </c>
      <c r="F5935">
        <v>82400</v>
      </c>
      <c r="G5935" s="227" t="s">
        <v>130</v>
      </c>
    </row>
    <row r="5936" spans="1:7">
      <c r="A5936" s="216">
        <v>44986</v>
      </c>
      <c r="B5936" t="s">
        <v>461</v>
      </c>
      <c r="C5936">
        <v>7</v>
      </c>
      <c r="D5936" t="s">
        <v>442</v>
      </c>
      <c r="E5936" s="217">
        <v>44986</v>
      </c>
      <c r="F5936">
        <v>82313.483999999997</v>
      </c>
      <c r="G5936" s="227" t="s">
        <v>126</v>
      </c>
    </row>
    <row r="5937" spans="1:7">
      <c r="A5937" s="216">
        <v>44986</v>
      </c>
      <c r="B5937" t="s">
        <v>461</v>
      </c>
      <c r="C5937">
        <v>7</v>
      </c>
      <c r="D5937" t="s">
        <v>442</v>
      </c>
      <c r="E5937" s="217">
        <v>44986</v>
      </c>
      <c r="F5937">
        <v>83158.2</v>
      </c>
      <c r="G5937" s="227" t="s">
        <v>122</v>
      </c>
    </row>
    <row r="5938" spans="1:7">
      <c r="A5938" s="216">
        <v>44986</v>
      </c>
      <c r="B5938" t="s">
        <v>461</v>
      </c>
      <c r="C5938">
        <v>7</v>
      </c>
      <c r="D5938" t="s">
        <v>442</v>
      </c>
      <c r="E5938" s="217">
        <v>44986</v>
      </c>
      <c r="F5938">
        <v>105104.2</v>
      </c>
      <c r="G5938" s="227" t="s">
        <v>91</v>
      </c>
    </row>
    <row r="5939" spans="1:7">
      <c r="A5939" s="216">
        <v>44986</v>
      </c>
      <c r="B5939" t="s">
        <v>461</v>
      </c>
      <c r="C5939">
        <v>7</v>
      </c>
      <c r="D5939" t="s">
        <v>442</v>
      </c>
      <c r="E5939" s="217">
        <v>44986</v>
      </c>
      <c r="F5939">
        <v>73760.7</v>
      </c>
      <c r="G5939" s="227" t="s">
        <v>99</v>
      </c>
    </row>
    <row r="5940" spans="1:7">
      <c r="A5940" s="216">
        <v>44986</v>
      </c>
      <c r="B5940" t="s">
        <v>461</v>
      </c>
      <c r="C5940">
        <v>7</v>
      </c>
      <c r="D5940" t="s">
        <v>442</v>
      </c>
      <c r="E5940" s="217">
        <v>44986</v>
      </c>
      <c r="F5940">
        <v>110959.7</v>
      </c>
      <c r="G5940" s="227" t="s">
        <v>95</v>
      </c>
    </row>
    <row r="5941" spans="1:7">
      <c r="A5941" s="216">
        <v>44986</v>
      </c>
      <c r="B5941" t="s">
        <v>461</v>
      </c>
      <c r="C5941">
        <v>7</v>
      </c>
      <c r="D5941" t="s">
        <v>442</v>
      </c>
      <c r="E5941" s="217">
        <v>44986</v>
      </c>
      <c r="F5941">
        <v>100515.7</v>
      </c>
      <c r="G5941" s="227" t="s">
        <v>113</v>
      </c>
    </row>
    <row r="5942" spans="1:7">
      <c r="A5942" s="216">
        <v>44986</v>
      </c>
      <c r="B5942" t="s">
        <v>461</v>
      </c>
      <c r="C5942">
        <v>7</v>
      </c>
      <c r="D5942" t="s">
        <v>442</v>
      </c>
      <c r="E5942" s="217">
        <v>44986</v>
      </c>
      <c r="F5942">
        <v>1046643.9840000001</v>
      </c>
      <c r="G5942" s="227" t="s">
        <v>434</v>
      </c>
    </row>
    <row r="5943" spans="1:7">
      <c r="A5943" s="216">
        <v>44986</v>
      </c>
      <c r="B5943" t="s">
        <v>461</v>
      </c>
      <c r="C5943">
        <v>8</v>
      </c>
      <c r="D5943" t="s">
        <v>451</v>
      </c>
      <c r="E5943" s="217">
        <v>44986</v>
      </c>
      <c r="F5943">
        <v>0</v>
      </c>
      <c r="G5943" s="227" t="s">
        <v>81</v>
      </c>
    </row>
    <row r="5944" spans="1:7">
      <c r="A5944" s="216">
        <v>44986</v>
      </c>
      <c r="B5944" t="s">
        <v>461</v>
      </c>
      <c r="C5944">
        <v>8</v>
      </c>
      <c r="D5944" t="s">
        <v>451</v>
      </c>
      <c r="E5944" s="217">
        <v>44986</v>
      </c>
      <c r="F5944">
        <v>0</v>
      </c>
      <c r="G5944" s="227" t="s">
        <v>117</v>
      </c>
    </row>
    <row r="5945" spans="1:7">
      <c r="A5945" s="216">
        <v>44986</v>
      </c>
      <c r="B5945" t="s">
        <v>461</v>
      </c>
      <c r="C5945">
        <v>8</v>
      </c>
      <c r="D5945" t="s">
        <v>451</v>
      </c>
      <c r="E5945" s="217">
        <v>44986</v>
      </c>
      <c r="F5945">
        <v>0</v>
      </c>
      <c r="G5945" s="227" t="s">
        <v>108</v>
      </c>
    </row>
    <row r="5946" spans="1:7">
      <c r="A5946" s="216">
        <v>44986</v>
      </c>
      <c r="B5946" t="s">
        <v>461</v>
      </c>
      <c r="C5946">
        <v>8</v>
      </c>
      <c r="D5946" t="s">
        <v>451</v>
      </c>
      <c r="E5946" s="217">
        <v>44986</v>
      </c>
      <c r="F5946">
        <v>0</v>
      </c>
      <c r="G5946" s="227" t="s">
        <v>103</v>
      </c>
    </row>
    <row r="5947" spans="1:7">
      <c r="A5947" s="216">
        <v>44986</v>
      </c>
      <c r="B5947" t="s">
        <v>461</v>
      </c>
      <c r="C5947">
        <v>8</v>
      </c>
      <c r="D5947" t="s">
        <v>451</v>
      </c>
      <c r="E5947" s="217">
        <v>44986</v>
      </c>
      <c r="F5947">
        <v>0</v>
      </c>
      <c r="G5947" s="227" t="s">
        <v>86</v>
      </c>
    </row>
    <row r="5948" spans="1:7">
      <c r="A5948" s="216">
        <v>44986</v>
      </c>
      <c r="B5948" t="s">
        <v>461</v>
      </c>
      <c r="C5948">
        <v>8</v>
      </c>
      <c r="D5948" t="s">
        <v>451</v>
      </c>
      <c r="E5948" s="217">
        <v>44986</v>
      </c>
      <c r="F5948">
        <v>0</v>
      </c>
      <c r="G5948" s="227" t="s">
        <v>130</v>
      </c>
    </row>
    <row r="5949" spans="1:7">
      <c r="A5949" s="216">
        <v>44986</v>
      </c>
      <c r="B5949" t="s">
        <v>461</v>
      </c>
      <c r="C5949">
        <v>8</v>
      </c>
      <c r="D5949" t="s">
        <v>451</v>
      </c>
      <c r="E5949" s="217">
        <v>44986</v>
      </c>
      <c r="F5949">
        <v>0</v>
      </c>
      <c r="G5949" s="227" t="s">
        <v>126</v>
      </c>
    </row>
    <row r="5950" spans="1:7">
      <c r="A5950" s="216">
        <v>44986</v>
      </c>
      <c r="B5950" t="s">
        <v>461</v>
      </c>
      <c r="C5950">
        <v>8</v>
      </c>
      <c r="D5950" t="s">
        <v>451</v>
      </c>
      <c r="E5950" s="217">
        <v>44986</v>
      </c>
      <c r="F5950">
        <v>0</v>
      </c>
      <c r="G5950" s="227" t="s">
        <v>122</v>
      </c>
    </row>
    <row r="5951" spans="1:7">
      <c r="A5951" s="216">
        <v>44986</v>
      </c>
      <c r="B5951" t="s">
        <v>461</v>
      </c>
      <c r="C5951">
        <v>8</v>
      </c>
      <c r="D5951" t="s">
        <v>451</v>
      </c>
      <c r="E5951" s="217">
        <v>44986</v>
      </c>
      <c r="F5951">
        <v>0</v>
      </c>
      <c r="G5951" s="227" t="s">
        <v>91</v>
      </c>
    </row>
    <row r="5952" spans="1:7">
      <c r="A5952" s="216">
        <v>44986</v>
      </c>
      <c r="B5952" t="s">
        <v>461</v>
      </c>
      <c r="C5952">
        <v>8</v>
      </c>
      <c r="D5952" t="s">
        <v>451</v>
      </c>
      <c r="E5952" s="217">
        <v>44986</v>
      </c>
      <c r="F5952">
        <v>0</v>
      </c>
      <c r="G5952" s="227" t="s">
        <v>99</v>
      </c>
    </row>
    <row r="5953" spans="1:7">
      <c r="A5953" s="216">
        <v>44986</v>
      </c>
      <c r="B5953" t="s">
        <v>461</v>
      </c>
      <c r="C5953">
        <v>8</v>
      </c>
      <c r="D5953" t="s">
        <v>451</v>
      </c>
      <c r="E5953" s="217">
        <v>44986</v>
      </c>
      <c r="F5953">
        <v>0</v>
      </c>
      <c r="G5953" s="227" t="s">
        <v>95</v>
      </c>
    </row>
    <row r="5954" spans="1:7">
      <c r="A5954" s="216">
        <v>44986</v>
      </c>
      <c r="B5954" t="s">
        <v>461</v>
      </c>
      <c r="C5954">
        <v>8</v>
      </c>
      <c r="D5954" t="s">
        <v>451</v>
      </c>
      <c r="E5954" s="217">
        <v>44986</v>
      </c>
      <c r="F5954">
        <v>0</v>
      </c>
      <c r="G5954" s="227" t="s">
        <v>113</v>
      </c>
    </row>
    <row r="5955" spans="1:7">
      <c r="A5955" s="216">
        <v>44986</v>
      </c>
      <c r="B5955" t="s">
        <v>461</v>
      </c>
      <c r="C5955">
        <v>8</v>
      </c>
      <c r="D5955" t="s">
        <v>451</v>
      </c>
      <c r="E5955" s="217">
        <v>44986</v>
      </c>
      <c r="F5955">
        <v>0</v>
      </c>
      <c r="G5955" s="227" t="s">
        <v>434</v>
      </c>
    </row>
    <row r="5956" spans="1:7">
      <c r="A5956" s="216">
        <v>44986</v>
      </c>
      <c r="B5956" t="s">
        <v>461</v>
      </c>
      <c r="C5956">
        <v>9</v>
      </c>
      <c r="D5956" t="s">
        <v>450</v>
      </c>
      <c r="E5956" s="217">
        <v>44986</v>
      </c>
      <c r="F5956">
        <v>0</v>
      </c>
      <c r="G5956" s="227" t="s">
        <v>81</v>
      </c>
    </row>
    <row r="5957" spans="1:7">
      <c r="A5957" s="216">
        <v>44986</v>
      </c>
      <c r="B5957" t="s">
        <v>461</v>
      </c>
      <c r="C5957">
        <v>9</v>
      </c>
      <c r="D5957" t="s">
        <v>450</v>
      </c>
      <c r="E5957" s="217">
        <v>44986</v>
      </c>
      <c r="F5957">
        <v>0</v>
      </c>
      <c r="G5957" s="227" t="s">
        <v>117</v>
      </c>
    </row>
    <row r="5958" spans="1:7">
      <c r="A5958" s="216">
        <v>44986</v>
      </c>
      <c r="B5958" t="s">
        <v>461</v>
      </c>
      <c r="C5958">
        <v>9</v>
      </c>
      <c r="D5958" t="s">
        <v>450</v>
      </c>
      <c r="E5958" s="217">
        <v>44986</v>
      </c>
      <c r="F5958">
        <v>0</v>
      </c>
      <c r="G5958" s="227" t="s">
        <v>108</v>
      </c>
    </row>
    <row r="5959" spans="1:7">
      <c r="A5959" s="216">
        <v>44986</v>
      </c>
      <c r="B5959" t="s">
        <v>461</v>
      </c>
      <c r="C5959">
        <v>9</v>
      </c>
      <c r="D5959" t="s">
        <v>450</v>
      </c>
      <c r="E5959" s="217">
        <v>44986</v>
      </c>
      <c r="F5959">
        <v>0</v>
      </c>
      <c r="G5959" s="227" t="s">
        <v>103</v>
      </c>
    </row>
    <row r="5960" spans="1:7">
      <c r="A5960" s="216">
        <v>44986</v>
      </c>
      <c r="B5960" t="s">
        <v>461</v>
      </c>
      <c r="C5960">
        <v>9</v>
      </c>
      <c r="D5960" t="s">
        <v>450</v>
      </c>
      <c r="E5960" s="217">
        <v>44986</v>
      </c>
      <c r="F5960">
        <v>0</v>
      </c>
      <c r="G5960" s="227" t="s">
        <v>86</v>
      </c>
    </row>
    <row r="5961" spans="1:7">
      <c r="A5961" s="216">
        <v>44986</v>
      </c>
      <c r="B5961" t="s">
        <v>461</v>
      </c>
      <c r="C5961">
        <v>9</v>
      </c>
      <c r="D5961" t="s">
        <v>450</v>
      </c>
      <c r="E5961" s="217">
        <v>44986</v>
      </c>
      <c r="F5961">
        <v>0</v>
      </c>
      <c r="G5961" s="227" t="s">
        <v>130</v>
      </c>
    </row>
    <row r="5962" spans="1:7">
      <c r="A5962" s="216">
        <v>44986</v>
      </c>
      <c r="B5962" t="s">
        <v>461</v>
      </c>
      <c r="C5962">
        <v>9</v>
      </c>
      <c r="D5962" t="s">
        <v>450</v>
      </c>
      <c r="E5962" s="217">
        <v>44986</v>
      </c>
      <c r="F5962">
        <v>0</v>
      </c>
      <c r="G5962" s="227" t="s">
        <v>126</v>
      </c>
    </row>
    <row r="5963" spans="1:7">
      <c r="A5963" s="216">
        <v>44986</v>
      </c>
      <c r="B5963" t="s">
        <v>461</v>
      </c>
      <c r="C5963">
        <v>9</v>
      </c>
      <c r="D5963" t="s">
        <v>450</v>
      </c>
      <c r="E5963" s="217">
        <v>44986</v>
      </c>
      <c r="F5963">
        <v>0</v>
      </c>
      <c r="G5963" s="227" t="s">
        <v>122</v>
      </c>
    </row>
    <row r="5964" spans="1:7">
      <c r="A5964" s="216">
        <v>44986</v>
      </c>
      <c r="B5964" t="s">
        <v>461</v>
      </c>
      <c r="C5964">
        <v>9</v>
      </c>
      <c r="D5964" t="s">
        <v>450</v>
      </c>
      <c r="E5964" s="217">
        <v>44986</v>
      </c>
      <c r="F5964">
        <v>0</v>
      </c>
      <c r="G5964" s="227" t="s">
        <v>91</v>
      </c>
    </row>
    <row r="5965" spans="1:7">
      <c r="A5965" s="216">
        <v>44986</v>
      </c>
      <c r="B5965" t="s">
        <v>461</v>
      </c>
      <c r="C5965">
        <v>9</v>
      </c>
      <c r="D5965" t="s">
        <v>450</v>
      </c>
      <c r="E5965" s="217">
        <v>44986</v>
      </c>
      <c r="F5965">
        <v>0</v>
      </c>
      <c r="G5965" s="227" t="s">
        <v>99</v>
      </c>
    </row>
    <row r="5966" spans="1:7">
      <c r="A5966" s="216">
        <v>44986</v>
      </c>
      <c r="B5966" t="s">
        <v>461</v>
      </c>
      <c r="C5966">
        <v>9</v>
      </c>
      <c r="D5966" t="s">
        <v>450</v>
      </c>
      <c r="E5966" s="217">
        <v>44986</v>
      </c>
      <c r="F5966">
        <v>0</v>
      </c>
      <c r="G5966" s="227" t="s">
        <v>95</v>
      </c>
    </row>
    <row r="5967" spans="1:7">
      <c r="A5967" s="216">
        <v>44986</v>
      </c>
      <c r="B5967" t="s">
        <v>461</v>
      </c>
      <c r="C5967">
        <v>9</v>
      </c>
      <c r="D5967" t="s">
        <v>450</v>
      </c>
      <c r="E5967" s="217">
        <v>44986</v>
      </c>
      <c r="F5967">
        <v>0</v>
      </c>
      <c r="G5967" s="227" t="s">
        <v>113</v>
      </c>
    </row>
    <row r="5968" spans="1:7">
      <c r="A5968" s="216">
        <v>44986</v>
      </c>
      <c r="B5968" t="s">
        <v>461</v>
      </c>
      <c r="C5968">
        <v>9</v>
      </c>
      <c r="D5968" t="s">
        <v>450</v>
      </c>
      <c r="E5968" s="217">
        <v>44986</v>
      </c>
      <c r="F5968">
        <v>0</v>
      </c>
      <c r="G5968" s="227" t="s">
        <v>434</v>
      </c>
    </row>
    <row r="5969" spans="1:7">
      <c r="A5969" s="216">
        <v>44986</v>
      </c>
      <c r="B5969" t="s">
        <v>461</v>
      </c>
      <c r="C5969">
        <v>10</v>
      </c>
      <c r="D5969" t="s">
        <v>433</v>
      </c>
      <c r="E5969" s="217">
        <v>44986</v>
      </c>
      <c r="F5969">
        <v>592.08007999999995</v>
      </c>
      <c r="G5969" s="227" t="s">
        <v>81</v>
      </c>
    </row>
    <row r="5970" spans="1:7">
      <c r="A5970" s="216">
        <v>44986</v>
      </c>
      <c r="B5970" t="s">
        <v>461</v>
      </c>
      <c r="C5970">
        <v>10</v>
      </c>
      <c r="D5970" t="s">
        <v>433</v>
      </c>
      <c r="E5970" s="217">
        <v>44986</v>
      </c>
      <c r="F5970">
        <v>588.31052999999997</v>
      </c>
      <c r="G5970" s="227" t="s">
        <v>117</v>
      </c>
    </row>
    <row r="5971" spans="1:7">
      <c r="A5971" s="216">
        <v>44986</v>
      </c>
      <c r="B5971" t="s">
        <v>461</v>
      </c>
      <c r="C5971">
        <v>10</v>
      </c>
      <c r="D5971" t="s">
        <v>433</v>
      </c>
      <c r="E5971" s="217">
        <v>44986</v>
      </c>
      <c r="F5971">
        <v>602.50473999999997</v>
      </c>
      <c r="G5971" s="227" t="s">
        <v>108</v>
      </c>
    </row>
    <row r="5972" spans="1:7">
      <c r="A5972" s="216">
        <v>44986</v>
      </c>
      <c r="B5972" t="s">
        <v>461</v>
      </c>
      <c r="C5972">
        <v>10</v>
      </c>
      <c r="D5972" t="s">
        <v>433</v>
      </c>
      <c r="E5972" s="217">
        <v>44986</v>
      </c>
      <c r="F5972">
        <v>587</v>
      </c>
      <c r="G5972" s="227" t="s">
        <v>103</v>
      </c>
    </row>
    <row r="5973" spans="1:7">
      <c r="A5973" s="216">
        <v>44986</v>
      </c>
      <c r="B5973" t="s">
        <v>461</v>
      </c>
      <c r="C5973">
        <v>10</v>
      </c>
      <c r="D5973" t="s">
        <v>433</v>
      </c>
      <c r="E5973" s="217">
        <v>44986</v>
      </c>
      <c r="F5973">
        <v>588.12949000000003</v>
      </c>
      <c r="G5973" s="227" t="s">
        <v>86</v>
      </c>
    </row>
    <row r="5974" spans="1:7">
      <c r="A5974" s="216">
        <v>44986</v>
      </c>
      <c r="B5974" t="s">
        <v>461</v>
      </c>
      <c r="C5974">
        <v>10</v>
      </c>
      <c r="D5974" t="s">
        <v>433</v>
      </c>
      <c r="E5974" s="217">
        <v>44986</v>
      </c>
      <c r="F5974">
        <v>678.58829000000003</v>
      </c>
      <c r="G5974" s="227" t="s">
        <v>130</v>
      </c>
    </row>
    <row r="5975" spans="1:7">
      <c r="A5975" s="216">
        <v>44986</v>
      </c>
      <c r="B5975" t="s">
        <v>461</v>
      </c>
      <c r="C5975">
        <v>10</v>
      </c>
      <c r="D5975" t="s">
        <v>433</v>
      </c>
      <c r="E5975" s="217">
        <v>44986</v>
      </c>
      <c r="F5975">
        <v>601.48599999999999</v>
      </c>
      <c r="G5975" s="227" t="s">
        <v>126</v>
      </c>
    </row>
    <row r="5976" spans="1:7">
      <c r="A5976" s="216">
        <v>44986</v>
      </c>
      <c r="B5976" t="s">
        <v>461</v>
      </c>
      <c r="C5976">
        <v>10</v>
      </c>
      <c r="D5976" t="s">
        <v>433</v>
      </c>
      <c r="E5976" s="217">
        <v>44986</v>
      </c>
      <c r="F5976">
        <v>578.55399999999997</v>
      </c>
      <c r="G5976" s="227" t="s">
        <v>122</v>
      </c>
    </row>
    <row r="5977" spans="1:7">
      <c r="A5977" s="216">
        <v>44986</v>
      </c>
      <c r="B5977" t="s">
        <v>461</v>
      </c>
      <c r="C5977">
        <v>10</v>
      </c>
      <c r="D5977" t="s">
        <v>433</v>
      </c>
      <c r="E5977" s="217">
        <v>44986</v>
      </c>
      <c r="F5977">
        <v>576.54600000000005</v>
      </c>
      <c r="G5977" s="227" t="s">
        <v>91</v>
      </c>
    </row>
    <row r="5978" spans="1:7">
      <c r="A5978" s="216">
        <v>44986</v>
      </c>
      <c r="B5978" t="s">
        <v>461</v>
      </c>
      <c r="C5978">
        <v>10</v>
      </c>
      <c r="D5978" t="s">
        <v>433</v>
      </c>
      <c r="E5978" s="217">
        <v>44986</v>
      </c>
      <c r="F5978">
        <v>580.15899999999999</v>
      </c>
      <c r="G5978" s="227" t="s">
        <v>99</v>
      </c>
    </row>
    <row r="5979" spans="1:7">
      <c r="A5979" s="216">
        <v>44986</v>
      </c>
      <c r="B5979" t="s">
        <v>461</v>
      </c>
      <c r="C5979">
        <v>10</v>
      </c>
      <c r="D5979" t="s">
        <v>433</v>
      </c>
      <c r="E5979" s="217">
        <v>44986</v>
      </c>
      <c r="F5979">
        <v>567.11099999999999</v>
      </c>
      <c r="G5979" s="227" t="s">
        <v>95</v>
      </c>
    </row>
    <row r="5980" spans="1:7">
      <c r="A5980" s="216">
        <v>44986</v>
      </c>
      <c r="B5980" t="s">
        <v>461</v>
      </c>
      <c r="C5980">
        <v>10</v>
      </c>
      <c r="D5980" t="s">
        <v>433</v>
      </c>
      <c r="E5980" s="217">
        <v>44986</v>
      </c>
      <c r="F5980">
        <v>1100.6849999999999</v>
      </c>
      <c r="G5980" s="227" t="s">
        <v>113</v>
      </c>
    </row>
    <row r="5981" spans="1:7">
      <c r="A5981" s="216">
        <v>44986</v>
      </c>
      <c r="B5981" t="s">
        <v>461</v>
      </c>
      <c r="C5981">
        <v>10</v>
      </c>
      <c r="D5981" t="s">
        <v>433</v>
      </c>
      <c r="E5981" s="217">
        <v>44986</v>
      </c>
      <c r="F5981">
        <v>7641.1541299999999</v>
      </c>
      <c r="G5981" s="227" t="s">
        <v>434</v>
      </c>
    </row>
    <row r="5982" spans="1:7">
      <c r="A5982" s="216">
        <v>44986</v>
      </c>
      <c r="B5982" t="s">
        <v>461</v>
      </c>
      <c r="C5982">
        <v>11</v>
      </c>
      <c r="D5982" t="s">
        <v>445</v>
      </c>
      <c r="E5982" s="217">
        <v>44986</v>
      </c>
      <c r="F5982">
        <v>119</v>
      </c>
      <c r="G5982" s="227" t="s">
        <v>81</v>
      </c>
    </row>
    <row r="5983" spans="1:7">
      <c r="A5983" s="216">
        <v>44986</v>
      </c>
      <c r="B5983" t="s">
        <v>461</v>
      </c>
      <c r="C5983">
        <v>11</v>
      </c>
      <c r="D5983" t="s">
        <v>445</v>
      </c>
      <c r="E5983" s="217">
        <v>44986</v>
      </c>
      <c r="F5983">
        <v>119</v>
      </c>
      <c r="G5983" s="227" t="s">
        <v>117</v>
      </c>
    </row>
    <row r="5984" spans="1:7">
      <c r="A5984" s="216">
        <v>44986</v>
      </c>
      <c r="B5984" t="s">
        <v>461</v>
      </c>
      <c r="C5984">
        <v>11</v>
      </c>
      <c r="D5984" t="s">
        <v>445</v>
      </c>
      <c r="E5984" s="217">
        <v>44986</v>
      </c>
      <c r="F5984">
        <v>119</v>
      </c>
      <c r="G5984" s="227" t="s">
        <v>108</v>
      </c>
    </row>
    <row r="5985" spans="1:7">
      <c r="A5985" s="216">
        <v>44986</v>
      </c>
      <c r="B5985" t="s">
        <v>461</v>
      </c>
      <c r="C5985">
        <v>11</v>
      </c>
      <c r="D5985" t="s">
        <v>445</v>
      </c>
      <c r="E5985" s="217">
        <v>44986</v>
      </c>
      <c r="F5985">
        <v>119</v>
      </c>
      <c r="G5985" s="227" t="s">
        <v>103</v>
      </c>
    </row>
    <row r="5986" spans="1:7">
      <c r="A5986" s="216">
        <v>44986</v>
      </c>
      <c r="B5986" t="s">
        <v>461</v>
      </c>
      <c r="C5986">
        <v>11</v>
      </c>
      <c r="D5986" t="s">
        <v>445</v>
      </c>
      <c r="E5986" s="217">
        <v>44986</v>
      </c>
      <c r="F5986">
        <v>119</v>
      </c>
      <c r="G5986" s="227" t="s">
        <v>86</v>
      </c>
    </row>
    <row r="5987" spans="1:7">
      <c r="A5987" s="216">
        <v>44986</v>
      </c>
      <c r="B5987" t="s">
        <v>461</v>
      </c>
      <c r="C5987">
        <v>11</v>
      </c>
      <c r="D5987" t="s">
        <v>445</v>
      </c>
      <c r="E5987" s="217">
        <v>44986</v>
      </c>
      <c r="F5987">
        <v>119</v>
      </c>
      <c r="G5987" s="227" t="s">
        <v>130</v>
      </c>
    </row>
    <row r="5988" spans="1:7">
      <c r="A5988" s="216">
        <v>44986</v>
      </c>
      <c r="B5988" t="s">
        <v>461</v>
      </c>
      <c r="C5988">
        <v>11</v>
      </c>
      <c r="D5988" t="s">
        <v>445</v>
      </c>
      <c r="E5988" s="217">
        <v>44986</v>
      </c>
      <c r="F5988">
        <v>119</v>
      </c>
      <c r="G5988" s="227" t="s">
        <v>126</v>
      </c>
    </row>
    <row r="5989" spans="1:7">
      <c r="A5989" s="216">
        <v>44986</v>
      </c>
      <c r="B5989" t="s">
        <v>461</v>
      </c>
      <c r="C5989">
        <v>11</v>
      </c>
      <c r="D5989" t="s">
        <v>445</v>
      </c>
      <c r="E5989" s="217">
        <v>44986</v>
      </c>
      <c r="F5989">
        <v>119</v>
      </c>
      <c r="G5989" s="227" t="s">
        <v>122</v>
      </c>
    </row>
    <row r="5990" spans="1:7">
      <c r="A5990" s="216">
        <v>44986</v>
      </c>
      <c r="B5990" t="s">
        <v>461</v>
      </c>
      <c r="C5990">
        <v>11</v>
      </c>
      <c r="D5990" t="s">
        <v>445</v>
      </c>
      <c r="E5990" s="217">
        <v>44986</v>
      </c>
      <c r="F5990">
        <v>119</v>
      </c>
      <c r="G5990" s="227" t="s">
        <v>91</v>
      </c>
    </row>
    <row r="5991" spans="1:7">
      <c r="A5991" s="216">
        <v>44986</v>
      </c>
      <c r="B5991" t="s">
        <v>461</v>
      </c>
      <c r="C5991">
        <v>11</v>
      </c>
      <c r="D5991" t="s">
        <v>445</v>
      </c>
      <c r="E5991" s="217">
        <v>44986</v>
      </c>
      <c r="F5991">
        <v>119</v>
      </c>
      <c r="G5991" s="227" t="s">
        <v>99</v>
      </c>
    </row>
    <row r="5992" spans="1:7">
      <c r="A5992" s="216">
        <v>44986</v>
      </c>
      <c r="B5992" t="s">
        <v>461</v>
      </c>
      <c r="C5992">
        <v>11</v>
      </c>
      <c r="D5992" t="s">
        <v>445</v>
      </c>
      <c r="E5992" s="217">
        <v>44986</v>
      </c>
      <c r="F5992">
        <v>119</v>
      </c>
      <c r="G5992" s="227" t="s">
        <v>95</v>
      </c>
    </row>
    <row r="5993" spans="1:7">
      <c r="A5993" s="216">
        <v>44986</v>
      </c>
      <c r="B5993" t="s">
        <v>461</v>
      </c>
      <c r="C5993">
        <v>11</v>
      </c>
      <c r="D5993" t="s">
        <v>445</v>
      </c>
      <c r="E5993" s="217">
        <v>44986</v>
      </c>
      <c r="F5993">
        <v>573</v>
      </c>
      <c r="G5993" s="227" t="s">
        <v>113</v>
      </c>
    </row>
    <row r="5994" spans="1:7">
      <c r="A5994" s="216">
        <v>44986</v>
      </c>
      <c r="B5994" t="s">
        <v>461</v>
      </c>
      <c r="C5994">
        <v>11</v>
      </c>
      <c r="D5994" t="s">
        <v>445</v>
      </c>
      <c r="E5994" s="217">
        <v>44986</v>
      </c>
      <c r="F5994">
        <v>1882</v>
      </c>
      <c r="G5994" s="227" t="s">
        <v>434</v>
      </c>
    </row>
    <row r="5995" spans="1:7">
      <c r="A5995" s="216">
        <v>44986</v>
      </c>
      <c r="B5995" t="s">
        <v>461</v>
      </c>
      <c r="C5995">
        <v>12</v>
      </c>
      <c r="D5995" t="s">
        <v>454</v>
      </c>
      <c r="E5995" s="217">
        <v>44986</v>
      </c>
      <c r="F5995">
        <v>0</v>
      </c>
      <c r="G5995" s="227" t="s">
        <v>81</v>
      </c>
    </row>
    <row r="5996" spans="1:7">
      <c r="A5996" s="216">
        <v>44986</v>
      </c>
      <c r="B5996" t="s">
        <v>461</v>
      </c>
      <c r="C5996">
        <v>12</v>
      </c>
      <c r="D5996" t="s">
        <v>454</v>
      </c>
      <c r="E5996" s="217">
        <v>44986</v>
      </c>
      <c r="F5996">
        <v>0</v>
      </c>
      <c r="G5996" s="227" t="s">
        <v>117</v>
      </c>
    </row>
    <row r="5997" spans="1:7">
      <c r="A5997" s="216">
        <v>44986</v>
      </c>
      <c r="B5997" t="s">
        <v>461</v>
      </c>
      <c r="C5997">
        <v>12</v>
      </c>
      <c r="D5997" t="s">
        <v>454</v>
      </c>
      <c r="E5997" s="217">
        <v>44986</v>
      </c>
      <c r="F5997">
        <v>0</v>
      </c>
      <c r="G5997" s="227" t="s">
        <v>108</v>
      </c>
    </row>
    <row r="5998" spans="1:7">
      <c r="A5998" s="216">
        <v>44986</v>
      </c>
      <c r="B5998" t="s">
        <v>461</v>
      </c>
      <c r="C5998">
        <v>12</v>
      </c>
      <c r="D5998" t="s">
        <v>454</v>
      </c>
      <c r="E5998" s="217">
        <v>44986</v>
      </c>
      <c r="F5998">
        <v>0</v>
      </c>
      <c r="G5998" s="227" t="s">
        <v>103</v>
      </c>
    </row>
    <row r="5999" spans="1:7">
      <c r="A5999" s="216">
        <v>44986</v>
      </c>
      <c r="B5999" t="s">
        <v>461</v>
      </c>
      <c r="C5999">
        <v>12</v>
      </c>
      <c r="D5999" t="s">
        <v>454</v>
      </c>
      <c r="E5999" s="217">
        <v>44986</v>
      </c>
      <c r="F5999">
        <v>0</v>
      </c>
      <c r="G5999" s="227" t="s">
        <v>86</v>
      </c>
    </row>
    <row r="6000" spans="1:7">
      <c r="A6000" s="216">
        <v>44986</v>
      </c>
      <c r="B6000" t="s">
        <v>461</v>
      </c>
      <c r="C6000">
        <v>12</v>
      </c>
      <c r="D6000" t="s">
        <v>454</v>
      </c>
      <c r="E6000" s="217">
        <v>44986</v>
      </c>
      <c r="F6000">
        <v>0</v>
      </c>
      <c r="G6000" s="227" t="s">
        <v>130</v>
      </c>
    </row>
    <row r="6001" spans="1:7">
      <c r="A6001" s="216">
        <v>44986</v>
      </c>
      <c r="B6001" t="s">
        <v>461</v>
      </c>
      <c r="C6001">
        <v>12</v>
      </c>
      <c r="D6001" t="s">
        <v>454</v>
      </c>
      <c r="E6001" s="217">
        <v>44986</v>
      </c>
      <c r="F6001">
        <v>0</v>
      </c>
      <c r="G6001" s="227" t="s">
        <v>126</v>
      </c>
    </row>
    <row r="6002" spans="1:7">
      <c r="A6002" s="216">
        <v>44986</v>
      </c>
      <c r="B6002" t="s">
        <v>461</v>
      </c>
      <c r="C6002">
        <v>12</v>
      </c>
      <c r="D6002" t="s">
        <v>454</v>
      </c>
      <c r="E6002" s="217">
        <v>44986</v>
      </c>
      <c r="F6002">
        <v>0</v>
      </c>
      <c r="G6002" s="227" t="s">
        <v>122</v>
      </c>
    </row>
    <row r="6003" spans="1:7">
      <c r="A6003" s="216">
        <v>44986</v>
      </c>
      <c r="B6003" t="s">
        <v>461</v>
      </c>
      <c r="C6003">
        <v>12</v>
      </c>
      <c r="D6003" t="s">
        <v>454</v>
      </c>
      <c r="E6003" s="217">
        <v>44986</v>
      </c>
      <c r="F6003">
        <v>0</v>
      </c>
      <c r="G6003" s="227" t="s">
        <v>91</v>
      </c>
    </row>
    <row r="6004" spans="1:7">
      <c r="A6004" s="216">
        <v>44986</v>
      </c>
      <c r="B6004" t="s">
        <v>461</v>
      </c>
      <c r="C6004">
        <v>12</v>
      </c>
      <c r="D6004" t="s">
        <v>454</v>
      </c>
      <c r="E6004" s="217">
        <v>44986</v>
      </c>
      <c r="F6004">
        <v>0</v>
      </c>
      <c r="G6004" s="227" t="s">
        <v>99</v>
      </c>
    </row>
    <row r="6005" spans="1:7">
      <c r="A6005" s="216">
        <v>44986</v>
      </c>
      <c r="B6005" t="s">
        <v>461</v>
      </c>
      <c r="C6005">
        <v>12</v>
      </c>
      <c r="D6005" t="s">
        <v>454</v>
      </c>
      <c r="E6005" s="217">
        <v>44986</v>
      </c>
      <c r="F6005">
        <v>0</v>
      </c>
      <c r="G6005" s="227" t="s">
        <v>95</v>
      </c>
    </row>
    <row r="6006" spans="1:7">
      <c r="A6006" s="216">
        <v>44986</v>
      </c>
      <c r="B6006" t="s">
        <v>461</v>
      </c>
      <c r="C6006">
        <v>12</v>
      </c>
      <c r="D6006" t="s">
        <v>454</v>
      </c>
      <c r="E6006" s="217">
        <v>44986</v>
      </c>
      <c r="F6006">
        <v>0</v>
      </c>
      <c r="G6006" s="227" t="s">
        <v>113</v>
      </c>
    </row>
    <row r="6007" spans="1:7">
      <c r="A6007" s="216">
        <v>44986</v>
      </c>
      <c r="B6007" t="s">
        <v>461</v>
      </c>
      <c r="C6007">
        <v>12</v>
      </c>
      <c r="D6007" t="s">
        <v>454</v>
      </c>
      <c r="E6007" s="217">
        <v>44986</v>
      </c>
      <c r="F6007">
        <v>0</v>
      </c>
      <c r="G6007" s="227" t="s">
        <v>434</v>
      </c>
    </row>
    <row r="6008" spans="1:7">
      <c r="A6008" s="216">
        <v>44986</v>
      </c>
      <c r="B6008" t="s">
        <v>461</v>
      </c>
      <c r="C6008">
        <v>13</v>
      </c>
      <c r="D6008" t="s">
        <v>441</v>
      </c>
      <c r="E6008" s="217">
        <v>44986</v>
      </c>
      <c r="F6008">
        <v>79121.91992</v>
      </c>
      <c r="G6008" s="227" t="s">
        <v>81</v>
      </c>
    </row>
    <row r="6009" spans="1:7">
      <c r="A6009" s="216">
        <v>44986</v>
      </c>
      <c r="B6009" t="s">
        <v>461</v>
      </c>
      <c r="C6009">
        <v>13</v>
      </c>
      <c r="D6009" t="s">
        <v>441</v>
      </c>
      <c r="E6009" s="217">
        <v>44986</v>
      </c>
      <c r="F6009">
        <v>77953.039839999998</v>
      </c>
      <c r="G6009" s="227" t="s">
        <v>117</v>
      </c>
    </row>
    <row r="6010" spans="1:7">
      <c r="A6010" s="216">
        <v>44986</v>
      </c>
      <c r="B6010" t="s">
        <v>461</v>
      </c>
      <c r="C6010">
        <v>13</v>
      </c>
      <c r="D6010" t="s">
        <v>441</v>
      </c>
      <c r="E6010" s="217">
        <v>44986</v>
      </c>
      <c r="F6010">
        <v>80266.145000000004</v>
      </c>
      <c r="G6010" s="227" t="s">
        <v>108</v>
      </c>
    </row>
    <row r="6011" spans="1:7">
      <c r="A6011" s="216">
        <v>44986</v>
      </c>
      <c r="B6011" t="s">
        <v>461</v>
      </c>
      <c r="C6011">
        <v>13</v>
      </c>
      <c r="D6011" t="s">
        <v>441</v>
      </c>
      <c r="E6011" s="217">
        <v>44986</v>
      </c>
      <c r="F6011">
        <v>76750.675199999998</v>
      </c>
      <c r="G6011" s="227" t="s">
        <v>103</v>
      </c>
    </row>
    <row r="6012" spans="1:7">
      <c r="A6012" s="216">
        <v>44986</v>
      </c>
      <c r="B6012" t="s">
        <v>461</v>
      </c>
      <c r="C6012">
        <v>13</v>
      </c>
      <c r="D6012" t="s">
        <v>441</v>
      </c>
      <c r="E6012" s="217">
        <v>44986</v>
      </c>
      <c r="F6012">
        <v>80062.050950000004</v>
      </c>
      <c r="G6012" s="227" t="s">
        <v>86</v>
      </c>
    </row>
    <row r="6013" spans="1:7">
      <c r="A6013" s="216">
        <v>44986</v>
      </c>
      <c r="B6013" t="s">
        <v>461</v>
      </c>
      <c r="C6013">
        <v>13</v>
      </c>
      <c r="D6013" t="s">
        <v>441</v>
      </c>
      <c r="E6013" s="217">
        <v>44986</v>
      </c>
      <c r="F6013">
        <v>79457.544999999998</v>
      </c>
      <c r="G6013" s="227" t="s">
        <v>130</v>
      </c>
    </row>
    <row r="6014" spans="1:7">
      <c r="A6014" s="216">
        <v>44986</v>
      </c>
      <c r="B6014" t="s">
        <v>461</v>
      </c>
      <c r="C6014">
        <v>13</v>
      </c>
      <c r="D6014" t="s">
        <v>441</v>
      </c>
      <c r="E6014" s="217">
        <v>44986</v>
      </c>
      <c r="F6014">
        <v>79448.390920000005</v>
      </c>
      <c r="G6014" s="227" t="s">
        <v>126</v>
      </c>
    </row>
    <row r="6015" spans="1:7">
      <c r="A6015" s="216">
        <v>44986</v>
      </c>
      <c r="B6015" t="s">
        <v>461</v>
      </c>
      <c r="C6015">
        <v>13</v>
      </c>
      <c r="D6015" t="s">
        <v>441</v>
      </c>
      <c r="E6015" s="217">
        <v>44986</v>
      </c>
      <c r="F6015">
        <v>80315.368610000005</v>
      </c>
      <c r="G6015" s="227" t="s">
        <v>122</v>
      </c>
    </row>
    <row r="6016" spans="1:7">
      <c r="A6016" s="216">
        <v>44986</v>
      </c>
      <c r="B6016" t="s">
        <v>461</v>
      </c>
      <c r="C6016">
        <v>13</v>
      </c>
      <c r="D6016" t="s">
        <v>441</v>
      </c>
      <c r="E6016" s="217">
        <v>44986</v>
      </c>
      <c r="F6016">
        <v>102263.60367</v>
      </c>
      <c r="G6016" s="227" t="s">
        <v>91</v>
      </c>
    </row>
    <row r="6017" spans="1:7">
      <c r="A6017" s="216">
        <v>44986</v>
      </c>
      <c r="B6017" t="s">
        <v>461</v>
      </c>
      <c r="C6017">
        <v>13</v>
      </c>
      <c r="D6017" t="s">
        <v>441</v>
      </c>
      <c r="E6017" s="217">
        <v>44986</v>
      </c>
      <c r="F6017">
        <v>70916.284480000002</v>
      </c>
      <c r="G6017" s="227" t="s">
        <v>99</v>
      </c>
    </row>
    <row r="6018" spans="1:7">
      <c r="A6018" s="216">
        <v>44986</v>
      </c>
      <c r="B6018" t="s">
        <v>461</v>
      </c>
      <c r="C6018">
        <v>13</v>
      </c>
      <c r="D6018" t="s">
        <v>441</v>
      </c>
      <c r="E6018" s="217">
        <v>44986</v>
      </c>
      <c r="F6018">
        <v>108128.75311000001</v>
      </c>
      <c r="G6018" s="227" t="s">
        <v>95</v>
      </c>
    </row>
    <row r="6019" spans="1:7">
      <c r="A6019" s="216">
        <v>44986</v>
      </c>
      <c r="B6019" t="s">
        <v>461</v>
      </c>
      <c r="C6019">
        <v>13</v>
      </c>
      <c r="D6019" t="s">
        <v>441</v>
      </c>
      <c r="E6019" s="217">
        <v>44986</v>
      </c>
      <c r="F6019">
        <v>86453.890010000003</v>
      </c>
      <c r="G6019" s="227" t="s">
        <v>113</v>
      </c>
    </row>
    <row r="6020" spans="1:7">
      <c r="A6020" s="216">
        <v>44986</v>
      </c>
      <c r="B6020" t="s">
        <v>461</v>
      </c>
      <c r="C6020">
        <v>13</v>
      </c>
      <c r="D6020" t="s">
        <v>441</v>
      </c>
      <c r="E6020" s="217">
        <v>44986</v>
      </c>
      <c r="F6020">
        <v>1001137.66671</v>
      </c>
      <c r="G6020" s="227" t="s">
        <v>434</v>
      </c>
    </row>
    <row r="6021" spans="1:7">
      <c r="A6021" s="216">
        <v>44986</v>
      </c>
      <c r="B6021" t="s">
        <v>461</v>
      </c>
      <c r="C6021">
        <v>14</v>
      </c>
      <c r="D6021" t="s">
        <v>447</v>
      </c>
      <c r="E6021" s="217">
        <v>44986</v>
      </c>
      <c r="F6021">
        <v>0</v>
      </c>
      <c r="G6021" s="227" t="s">
        <v>81</v>
      </c>
    </row>
    <row r="6022" spans="1:7">
      <c r="A6022" s="216">
        <v>44986</v>
      </c>
      <c r="B6022" t="s">
        <v>461</v>
      </c>
      <c r="C6022">
        <v>14</v>
      </c>
      <c r="D6022" t="s">
        <v>447</v>
      </c>
      <c r="E6022" s="217">
        <v>44986</v>
      </c>
      <c r="F6022">
        <v>0</v>
      </c>
      <c r="G6022" s="227" t="s">
        <v>117</v>
      </c>
    </row>
    <row r="6023" spans="1:7">
      <c r="A6023" s="216">
        <v>44986</v>
      </c>
      <c r="B6023" t="s">
        <v>461</v>
      </c>
      <c r="C6023">
        <v>14</v>
      </c>
      <c r="D6023" t="s">
        <v>447</v>
      </c>
      <c r="E6023" s="217">
        <v>44986</v>
      </c>
      <c r="F6023">
        <v>0</v>
      </c>
      <c r="G6023" s="227" t="s">
        <v>108</v>
      </c>
    </row>
    <row r="6024" spans="1:7">
      <c r="A6024" s="216">
        <v>44986</v>
      </c>
      <c r="B6024" t="s">
        <v>461</v>
      </c>
      <c r="C6024">
        <v>14</v>
      </c>
      <c r="D6024" t="s">
        <v>447</v>
      </c>
      <c r="E6024" s="217">
        <v>44986</v>
      </c>
      <c r="F6024">
        <v>0</v>
      </c>
      <c r="G6024" s="227" t="s">
        <v>103</v>
      </c>
    </row>
    <row r="6025" spans="1:7">
      <c r="A6025" s="216">
        <v>44986</v>
      </c>
      <c r="B6025" t="s">
        <v>461</v>
      </c>
      <c r="C6025">
        <v>14</v>
      </c>
      <c r="D6025" t="s">
        <v>447</v>
      </c>
      <c r="E6025" s="217">
        <v>44986</v>
      </c>
      <c r="F6025">
        <v>0</v>
      </c>
      <c r="G6025" s="227" t="s">
        <v>86</v>
      </c>
    </row>
    <row r="6026" spans="1:7">
      <c r="A6026" s="216">
        <v>44986</v>
      </c>
      <c r="B6026" t="s">
        <v>461</v>
      </c>
      <c r="C6026">
        <v>14</v>
      </c>
      <c r="D6026" t="s">
        <v>447</v>
      </c>
      <c r="E6026" s="217">
        <v>44986</v>
      </c>
      <c r="F6026">
        <v>0</v>
      </c>
      <c r="G6026" s="227" t="s">
        <v>130</v>
      </c>
    </row>
    <row r="6027" spans="1:7">
      <c r="A6027" s="216">
        <v>44986</v>
      </c>
      <c r="B6027" t="s">
        <v>461</v>
      </c>
      <c r="C6027">
        <v>14</v>
      </c>
      <c r="D6027" t="s">
        <v>447</v>
      </c>
      <c r="E6027" s="217">
        <v>44986</v>
      </c>
      <c r="F6027">
        <v>0</v>
      </c>
      <c r="G6027" s="227" t="s">
        <v>126</v>
      </c>
    </row>
    <row r="6028" spans="1:7">
      <c r="A6028" s="216">
        <v>44986</v>
      </c>
      <c r="B6028" t="s">
        <v>461</v>
      </c>
      <c r="C6028">
        <v>14</v>
      </c>
      <c r="D6028" t="s">
        <v>447</v>
      </c>
      <c r="E6028" s="217">
        <v>44986</v>
      </c>
      <c r="F6028">
        <v>0</v>
      </c>
      <c r="G6028" s="227" t="s">
        <v>122</v>
      </c>
    </row>
    <row r="6029" spans="1:7">
      <c r="A6029" s="216">
        <v>44986</v>
      </c>
      <c r="B6029" t="s">
        <v>461</v>
      </c>
      <c r="C6029">
        <v>14</v>
      </c>
      <c r="D6029" t="s">
        <v>447</v>
      </c>
      <c r="E6029" s="217">
        <v>44986</v>
      </c>
      <c r="F6029">
        <v>0</v>
      </c>
      <c r="G6029" s="227" t="s">
        <v>91</v>
      </c>
    </row>
    <row r="6030" spans="1:7">
      <c r="A6030" s="216">
        <v>44986</v>
      </c>
      <c r="B6030" t="s">
        <v>461</v>
      </c>
      <c r="C6030">
        <v>14</v>
      </c>
      <c r="D6030" t="s">
        <v>447</v>
      </c>
      <c r="E6030" s="217">
        <v>44986</v>
      </c>
      <c r="F6030">
        <v>0</v>
      </c>
      <c r="G6030" s="227" t="s">
        <v>99</v>
      </c>
    </row>
    <row r="6031" spans="1:7">
      <c r="A6031" s="216">
        <v>44986</v>
      </c>
      <c r="B6031" t="s">
        <v>461</v>
      </c>
      <c r="C6031">
        <v>14</v>
      </c>
      <c r="D6031" t="s">
        <v>447</v>
      </c>
      <c r="E6031" s="217">
        <v>44986</v>
      </c>
      <c r="F6031">
        <v>0</v>
      </c>
      <c r="G6031" s="227" t="s">
        <v>95</v>
      </c>
    </row>
    <row r="6032" spans="1:7">
      <c r="A6032" s="216">
        <v>44986</v>
      </c>
      <c r="B6032" t="s">
        <v>461</v>
      </c>
      <c r="C6032">
        <v>14</v>
      </c>
      <c r="D6032" t="s">
        <v>447</v>
      </c>
      <c r="E6032" s="217">
        <v>44986</v>
      </c>
      <c r="F6032">
        <v>0</v>
      </c>
      <c r="G6032" s="227" t="s">
        <v>113</v>
      </c>
    </row>
    <row r="6033" spans="1:7">
      <c r="A6033" s="216">
        <v>44986</v>
      </c>
      <c r="B6033" t="s">
        <v>461</v>
      </c>
      <c r="C6033">
        <v>14</v>
      </c>
      <c r="D6033" t="s">
        <v>447</v>
      </c>
      <c r="E6033" s="217">
        <v>44986</v>
      </c>
      <c r="F6033">
        <v>0</v>
      </c>
      <c r="G6033" s="227" t="s">
        <v>434</v>
      </c>
    </row>
    <row r="6034" spans="1:7">
      <c r="A6034" s="216">
        <v>44986</v>
      </c>
      <c r="B6034" t="s">
        <v>461</v>
      </c>
      <c r="C6034">
        <v>15</v>
      </c>
      <c r="D6034" t="s">
        <v>437</v>
      </c>
      <c r="E6034" s="217">
        <v>44986</v>
      </c>
      <c r="F6034">
        <v>0</v>
      </c>
      <c r="G6034" s="227" t="s">
        <v>81</v>
      </c>
    </row>
    <row r="6035" spans="1:7">
      <c r="A6035" s="216">
        <v>44986</v>
      </c>
      <c r="B6035" t="s">
        <v>461</v>
      </c>
      <c r="C6035">
        <v>15</v>
      </c>
      <c r="D6035" t="s">
        <v>437</v>
      </c>
      <c r="E6035" s="217">
        <v>44986</v>
      </c>
      <c r="F6035">
        <v>0</v>
      </c>
      <c r="G6035" s="227" t="s">
        <v>117</v>
      </c>
    </row>
    <row r="6036" spans="1:7">
      <c r="A6036" s="216">
        <v>44986</v>
      </c>
      <c r="B6036" t="s">
        <v>461</v>
      </c>
      <c r="C6036">
        <v>15</v>
      </c>
      <c r="D6036" t="s">
        <v>437</v>
      </c>
      <c r="E6036" s="217">
        <v>44986</v>
      </c>
      <c r="F6036">
        <v>0</v>
      </c>
      <c r="G6036" s="227" t="s">
        <v>108</v>
      </c>
    </row>
    <row r="6037" spans="1:7">
      <c r="A6037" s="216">
        <v>44986</v>
      </c>
      <c r="B6037" t="s">
        <v>461</v>
      </c>
      <c r="C6037">
        <v>15</v>
      </c>
      <c r="D6037" t="s">
        <v>437</v>
      </c>
      <c r="E6037" s="217">
        <v>44986</v>
      </c>
      <c r="F6037">
        <v>0</v>
      </c>
      <c r="G6037" s="227" t="s">
        <v>103</v>
      </c>
    </row>
    <row r="6038" spans="1:7">
      <c r="A6038" s="216">
        <v>44986</v>
      </c>
      <c r="B6038" t="s">
        <v>461</v>
      </c>
      <c r="C6038">
        <v>15</v>
      </c>
      <c r="D6038" t="s">
        <v>437</v>
      </c>
      <c r="E6038" s="217">
        <v>44986</v>
      </c>
      <c r="F6038">
        <v>0</v>
      </c>
      <c r="G6038" s="227" t="s">
        <v>86</v>
      </c>
    </row>
    <row r="6039" spans="1:7">
      <c r="A6039" s="216">
        <v>44986</v>
      </c>
      <c r="B6039" t="s">
        <v>461</v>
      </c>
      <c r="C6039">
        <v>15</v>
      </c>
      <c r="D6039" t="s">
        <v>437</v>
      </c>
      <c r="E6039" s="217">
        <v>44986</v>
      </c>
      <c r="F6039">
        <v>0</v>
      </c>
      <c r="G6039" s="227" t="s">
        <v>130</v>
      </c>
    </row>
    <row r="6040" spans="1:7">
      <c r="A6040" s="216">
        <v>44986</v>
      </c>
      <c r="B6040" t="s">
        <v>461</v>
      </c>
      <c r="C6040">
        <v>15</v>
      </c>
      <c r="D6040" t="s">
        <v>437</v>
      </c>
      <c r="E6040" s="217">
        <v>44986</v>
      </c>
      <c r="F6040">
        <v>0</v>
      </c>
      <c r="G6040" s="227" t="s">
        <v>126</v>
      </c>
    </row>
    <row r="6041" spans="1:7">
      <c r="A6041" s="216">
        <v>44986</v>
      </c>
      <c r="B6041" t="s">
        <v>461</v>
      </c>
      <c r="C6041">
        <v>15</v>
      </c>
      <c r="D6041" t="s">
        <v>437</v>
      </c>
      <c r="E6041" s="217">
        <v>44986</v>
      </c>
      <c r="F6041">
        <v>0</v>
      </c>
      <c r="G6041" s="227" t="s">
        <v>122</v>
      </c>
    </row>
    <row r="6042" spans="1:7">
      <c r="A6042" s="216">
        <v>44986</v>
      </c>
      <c r="B6042" t="s">
        <v>461</v>
      </c>
      <c r="C6042">
        <v>15</v>
      </c>
      <c r="D6042" t="s">
        <v>437</v>
      </c>
      <c r="E6042" s="217">
        <v>44986</v>
      </c>
      <c r="F6042">
        <v>0</v>
      </c>
      <c r="G6042" s="227" t="s">
        <v>91</v>
      </c>
    </row>
    <row r="6043" spans="1:7">
      <c r="A6043" s="216">
        <v>44986</v>
      </c>
      <c r="B6043" t="s">
        <v>461</v>
      </c>
      <c r="C6043">
        <v>15</v>
      </c>
      <c r="D6043" t="s">
        <v>437</v>
      </c>
      <c r="E6043" s="217">
        <v>44986</v>
      </c>
      <c r="F6043">
        <v>0</v>
      </c>
      <c r="G6043" s="227" t="s">
        <v>99</v>
      </c>
    </row>
    <row r="6044" spans="1:7">
      <c r="A6044" s="216">
        <v>44986</v>
      </c>
      <c r="B6044" t="s">
        <v>461</v>
      </c>
      <c r="C6044">
        <v>15</v>
      </c>
      <c r="D6044" t="s">
        <v>437</v>
      </c>
      <c r="E6044" s="217">
        <v>44986</v>
      </c>
      <c r="F6044">
        <v>0</v>
      </c>
      <c r="G6044" s="227" t="s">
        <v>95</v>
      </c>
    </row>
    <row r="6045" spans="1:7">
      <c r="A6045" s="216">
        <v>44986</v>
      </c>
      <c r="B6045" t="s">
        <v>461</v>
      </c>
      <c r="C6045">
        <v>15</v>
      </c>
      <c r="D6045" t="s">
        <v>437</v>
      </c>
      <c r="E6045" s="217">
        <v>44986</v>
      </c>
      <c r="F6045">
        <v>0</v>
      </c>
      <c r="G6045" s="227" t="s">
        <v>113</v>
      </c>
    </row>
    <row r="6046" spans="1:7">
      <c r="A6046" s="216">
        <v>44986</v>
      </c>
      <c r="B6046" t="s">
        <v>461</v>
      </c>
      <c r="C6046">
        <v>15</v>
      </c>
      <c r="D6046" t="s">
        <v>437</v>
      </c>
      <c r="E6046" s="217">
        <v>44986</v>
      </c>
      <c r="F6046">
        <v>0</v>
      </c>
      <c r="G6046" s="227" t="s">
        <v>434</v>
      </c>
    </row>
  </sheetData>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sheetPr>
  <dimension ref="A1:AH105"/>
  <sheetViews>
    <sheetView workbookViewId="0">
      <selection activeCell="M1" sqref="M1"/>
    </sheetView>
  </sheetViews>
  <sheetFormatPr defaultRowHeight="15.5"/>
  <cols>
    <col min="2" max="11" width="9.4609375" customWidth="1"/>
    <col min="16" max="16" width="12.765625" bestFit="1" customWidth="1"/>
    <col min="17" max="22" width="8.765625" customWidth="1"/>
  </cols>
  <sheetData>
    <row r="1" spans="1:34" ht="108.5">
      <c r="A1" s="5" t="s">
        <v>290</v>
      </c>
      <c r="B1" s="5" t="s">
        <v>291</v>
      </c>
      <c r="C1" s="5" t="s">
        <v>42</v>
      </c>
      <c r="D1" s="5" t="s">
        <v>43</v>
      </c>
      <c r="E1" s="5" t="s">
        <v>44</v>
      </c>
      <c r="F1" s="5" t="s">
        <v>45</v>
      </c>
      <c r="G1" s="5" t="s">
        <v>46</v>
      </c>
      <c r="H1" s="5" t="s">
        <v>47</v>
      </c>
      <c r="I1" s="5" t="s">
        <v>3</v>
      </c>
      <c r="J1" s="5" t="s">
        <v>49</v>
      </c>
      <c r="K1" s="5" t="s">
        <v>292</v>
      </c>
      <c r="M1" s="5" t="s">
        <v>293</v>
      </c>
      <c r="Q1" s="219" t="s">
        <v>294</v>
      </c>
    </row>
    <row r="2" spans="1:34">
      <c r="A2" t="s">
        <v>70</v>
      </c>
      <c r="B2" t="s">
        <v>295</v>
      </c>
      <c r="C2">
        <v>1804</v>
      </c>
      <c r="D2">
        <v>2238</v>
      </c>
      <c r="E2">
        <v>1770</v>
      </c>
      <c r="F2">
        <v>1752</v>
      </c>
      <c r="G2">
        <v>1243</v>
      </c>
      <c r="H2">
        <v>215</v>
      </c>
      <c r="I2">
        <v>1611</v>
      </c>
      <c r="J2">
        <v>40</v>
      </c>
      <c r="K2">
        <v>10673</v>
      </c>
      <c r="Q2" t="s">
        <v>56</v>
      </c>
      <c r="S2" t="s">
        <v>57</v>
      </c>
      <c r="U2" t="s">
        <v>58</v>
      </c>
      <c r="W2" t="s">
        <v>59</v>
      </c>
      <c r="Y2" t="s">
        <v>60</v>
      </c>
      <c r="AA2" t="s">
        <v>296</v>
      </c>
      <c r="AC2" t="s">
        <v>61</v>
      </c>
      <c r="AE2" t="s">
        <v>297</v>
      </c>
      <c r="AG2" t="s">
        <v>298</v>
      </c>
    </row>
    <row r="3" spans="1:34">
      <c r="A3" t="s">
        <v>114</v>
      </c>
      <c r="B3" t="s">
        <v>295</v>
      </c>
      <c r="C3">
        <v>1803</v>
      </c>
      <c r="D3">
        <v>2221</v>
      </c>
      <c r="E3">
        <v>1742</v>
      </c>
      <c r="F3">
        <v>1740</v>
      </c>
      <c r="G3">
        <v>1244</v>
      </c>
      <c r="H3">
        <v>214</v>
      </c>
      <c r="I3">
        <v>1602</v>
      </c>
      <c r="J3">
        <v>40</v>
      </c>
      <c r="K3">
        <v>10606</v>
      </c>
      <c r="P3" s="219" t="s">
        <v>55</v>
      </c>
      <c r="Q3" t="s">
        <v>295</v>
      </c>
      <c r="R3" t="s">
        <v>299</v>
      </c>
      <c r="S3" t="s">
        <v>295</v>
      </c>
      <c r="T3" t="s">
        <v>299</v>
      </c>
      <c r="U3" t="s">
        <v>295</v>
      </c>
      <c r="V3" t="s">
        <v>299</v>
      </c>
      <c r="W3" t="s">
        <v>295</v>
      </c>
      <c r="X3" t="s">
        <v>299</v>
      </c>
      <c r="Y3" t="s">
        <v>295</v>
      </c>
      <c r="Z3" t="s">
        <v>299</v>
      </c>
      <c r="AA3" t="s">
        <v>295</v>
      </c>
      <c r="AB3" t="s">
        <v>299</v>
      </c>
      <c r="AC3" t="s">
        <v>295</v>
      </c>
      <c r="AD3" t="s">
        <v>299</v>
      </c>
      <c r="AE3" t="s">
        <v>295</v>
      </c>
      <c r="AF3" t="s">
        <v>299</v>
      </c>
      <c r="AG3" t="s">
        <v>295</v>
      </c>
      <c r="AH3" t="s">
        <v>299</v>
      </c>
    </row>
    <row r="4" spans="1:34">
      <c r="A4" t="s">
        <v>105</v>
      </c>
      <c r="B4" t="s">
        <v>295</v>
      </c>
      <c r="C4">
        <v>1761</v>
      </c>
      <c r="D4">
        <v>2207</v>
      </c>
      <c r="E4">
        <v>1742</v>
      </c>
      <c r="F4">
        <v>1703</v>
      </c>
      <c r="G4">
        <v>1257</v>
      </c>
      <c r="H4">
        <v>214</v>
      </c>
      <c r="I4">
        <v>1597</v>
      </c>
      <c r="J4">
        <v>40</v>
      </c>
      <c r="K4">
        <v>10521</v>
      </c>
      <c r="P4" s="7" t="s">
        <v>70</v>
      </c>
      <c r="Q4">
        <v>1804</v>
      </c>
      <c r="R4">
        <v>1554</v>
      </c>
      <c r="S4">
        <v>2238</v>
      </c>
      <c r="T4">
        <v>1968</v>
      </c>
      <c r="U4">
        <v>1770</v>
      </c>
      <c r="V4">
        <v>1490</v>
      </c>
      <c r="W4">
        <v>1752</v>
      </c>
      <c r="X4">
        <v>1492</v>
      </c>
      <c r="Y4">
        <v>1243</v>
      </c>
      <c r="Z4">
        <v>1087</v>
      </c>
      <c r="AA4">
        <v>215</v>
      </c>
      <c r="AB4">
        <v>166</v>
      </c>
      <c r="AC4">
        <v>1611</v>
      </c>
      <c r="AD4">
        <v>1410</v>
      </c>
      <c r="AE4">
        <v>40</v>
      </c>
      <c r="AF4">
        <v>29</v>
      </c>
      <c r="AG4">
        <v>10673</v>
      </c>
      <c r="AH4">
        <v>9196</v>
      </c>
    </row>
    <row r="5" spans="1:34">
      <c r="A5" t="s">
        <v>100</v>
      </c>
      <c r="B5" t="s">
        <v>295</v>
      </c>
      <c r="C5">
        <v>1749</v>
      </c>
      <c r="D5">
        <v>2200</v>
      </c>
      <c r="E5">
        <v>1740</v>
      </c>
      <c r="F5">
        <v>1702</v>
      </c>
      <c r="G5">
        <v>1203</v>
      </c>
      <c r="H5">
        <v>220</v>
      </c>
      <c r="I5">
        <v>1587</v>
      </c>
      <c r="J5">
        <v>40</v>
      </c>
      <c r="K5">
        <v>10441</v>
      </c>
      <c r="P5" s="7" t="s">
        <v>79</v>
      </c>
      <c r="Q5">
        <v>1995</v>
      </c>
      <c r="R5">
        <v>863</v>
      </c>
      <c r="S5">
        <v>2094</v>
      </c>
      <c r="T5">
        <v>1120</v>
      </c>
      <c r="U5">
        <v>1787</v>
      </c>
      <c r="V5">
        <v>941</v>
      </c>
      <c r="W5">
        <v>1672</v>
      </c>
      <c r="X5">
        <v>1019</v>
      </c>
      <c r="Y5">
        <v>1208</v>
      </c>
      <c r="Z5">
        <v>522</v>
      </c>
      <c r="AA5">
        <v>222</v>
      </c>
      <c r="AB5">
        <v>92</v>
      </c>
      <c r="AC5">
        <v>1462</v>
      </c>
      <c r="AD5">
        <v>799</v>
      </c>
      <c r="AE5">
        <v>49</v>
      </c>
      <c r="AF5">
        <v>13</v>
      </c>
      <c r="AG5">
        <v>10489</v>
      </c>
      <c r="AH5">
        <v>5369</v>
      </c>
    </row>
    <row r="6" spans="1:34">
      <c r="A6" t="s">
        <v>83</v>
      </c>
      <c r="B6" t="s">
        <v>295</v>
      </c>
      <c r="C6">
        <v>1754</v>
      </c>
      <c r="D6">
        <v>2222</v>
      </c>
      <c r="E6">
        <v>1741</v>
      </c>
      <c r="F6">
        <v>1690</v>
      </c>
      <c r="G6">
        <v>1187</v>
      </c>
      <c r="H6">
        <v>214</v>
      </c>
      <c r="I6">
        <v>1594</v>
      </c>
      <c r="J6">
        <v>40</v>
      </c>
      <c r="K6">
        <v>10442</v>
      </c>
      <c r="P6" s="7" t="s">
        <v>80</v>
      </c>
      <c r="Q6">
        <v>1816</v>
      </c>
      <c r="R6">
        <v>1307</v>
      </c>
      <c r="S6">
        <v>1988</v>
      </c>
      <c r="T6">
        <v>1670</v>
      </c>
      <c r="U6">
        <v>1908</v>
      </c>
      <c r="V6">
        <v>1332</v>
      </c>
      <c r="W6">
        <v>1715</v>
      </c>
      <c r="X6">
        <v>1286</v>
      </c>
      <c r="Y6">
        <v>1137</v>
      </c>
      <c r="Z6">
        <v>893</v>
      </c>
      <c r="AA6">
        <v>210</v>
      </c>
      <c r="AB6">
        <v>172</v>
      </c>
      <c r="AC6">
        <v>1513</v>
      </c>
      <c r="AD6">
        <v>1224</v>
      </c>
      <c r="AE6">
        <v>49</v>
      </c>
      <c r="AF6">
        <v>12</v>
      </c>
      <c r="AG6">
        <v>10336</v>
      </c>
      <c r="AH6">
        <v>7896</v>
      </c>
    </row>
    <row r="7" spans="1:34">
      <c r="A7" t="s">
        <v>127</v>
      </c>
      <c r="B7" t="s">
        <v>295</v>
      </c>
      <c r="C7">
        <v>1758</v>
      </c>
      <c r="D7">
        <v>2227</v>
      </c>
      <c r="E7">
        <v>1770</v>
      </c>
      <c r="F7">
        <v>1686</v>
      </c>
      <c r="G7">
        <v>1195</v>
      </c>
      <c r="H7">
        <v>217</v>
      </c>
      <c r="I7">
        <v>1572</v>
      </c>
      <c r="J7">
        <v>40</v>
      </c>
      <c r="K7">
        <v>10465</v>
      </c>
      <c r="P7" s="7" t="s">
        <v>81</v>
      </c>
      <c r="Q7">
        <v>1802</v>
      </c>
      <c r="R7">
        <v>1434</v>
      </c>
      <c r="S7">
        <v>2103</v>
      </c>
      <c r="T7">
        <v>1765</v>
      </c>
      <c r="U7">
        <v>1789</v>
      </c>
      <c r="V7">
        <v>1492</v>
      </c>
      <c r="W7">
        <v>1722</v>
      </c>
      <c r="X7">
        <v>1458</v>
      </c>
      <c r="Y7">
        <v>1108</v>
      </c>
      <c r="Z7">
        <v>964</v>
      </c>
      <c r="AA7">
        <v>211</v>
      </c>
      <c r="AB7">
        <v>161</v>
      </c>
      <c r="AC7">
        <v>1548</v>
      </c>
      <c r="AD7">
        <v>1302</v>
      </c>
      <c r="AE7">
        <v>49</v>
      </c>
      <c r="AF7">
        <v>11</v>
      </c>
      <c r="AG7">
        <v>10332</v>
      </c>
      <c r="AH7">
        <v>8587</v>
      </c>
    </row>
    <row r="8" spans="1:34">
      <c r="A8" t="s">
        <v>123</v>
      </c>
      <c r="B8" t="s">
        <v>295</v>
      </c>
      <c r="C8">
        <v>1808</v>
      </c>
      <c r="D8">
        <v>2189</v>
      </c>
      <c r="E8">
        <v>1764</v>
      </c>
      <c r="F8">
        <v>1694</v>
      </c>
      <c r="G8">
        <v>1188</v>
      </c>
      <c r="H8">
        <v>212</v>
      </c>
      <c r="I8">
        <v>1607</v>
      </c>
      <c r="J8">
        <v>40</v>
      </c>
      <c r="K8">
        <v>10502</v>
      </c>
      <c r="P8" s="7" t="s">
        <v>82</v>
      </c>
      <c r="Q8">
        <v>1877</v>
      </c>
      <c r="R8">
        <v>1605</v>
      </c>
      <c r="S8">
        <v>2158</v>
      </c>
      <c r="T8">
        <v>1848</v>
      </c>
      <c r="U8">
        <v>1813</v>
      </c>
      <c r="V8">
        <v>1599</v>
      </c>
      <c r="W8">
        <v>1780</v>
      </c>
      <c r="X8">
        <v>1555</v>
      </c>
      <c r="Y8">
        <v>1183</v>
      </c>
      <c r="Z8">
        <v>995</v>
      </c>
      <c r="AA8">
        <v>208</v>
      </c>
      <c r="AB8">
        <v>165</v>
      </c>
      <c r="AC8">
        <v>1539</v>
      </c>
      <c r="AD8">
        <v>1325</v>
      </c>
      <c r="AE8">
        <v>32</v>
      </c>
      <c r="AF8">
        <v>17</v>
      </c>
      <c r="AG8">
        <v>10590</v>
      </c>
      <c r="AH8">
        <v>9109</v>
      </c>
    </row>
    <row r="9" spans="1:34">
      <c r="A9" t="s">
        <v>119</v>
      </c>
      <c r="B9" t="s">
        <v>295</v>
      </c>
      <c r="C9">
        <v>1799</v>
      </c>
      <c r="D9">
        <v>2329</v>
      </c>
      <c r="E9">
        <v>1758</v>
      </c>
      <c r="F9">
        <v>1715</v>
      </c>
      <c r="G9">
        <v>1202</v>
      </c>
      <c r="H9">
        <v>218</v>
      </c>
      <c r="I9">
        <v>1605</v>
      </c>
      <c r="J9">
        <v>40</v>
      </c>
      <c r="K9">
        <v>10666</v>
      </c>
      <c r="P9" s="7" t="s">
        <v>83</v>
      </c>
      <c r="Q9">
        <v>1754</v>
      </c>
      <c r="R9">
        <v>1527</v>
      </c>
      <c r="S9">
        <v>2222</v>
      </c>
      <c r="T9">
        <v>1924</v>
      </c>
      <c r="U9">
        <v>1741</v>
      </c>
      <c r="V9">
        <v>1417</v>
      </c>
      <c r="W9">
        <v>1690</v>
      </c>
      <c r="X9">
        <v>1424</v>
      </c>
      <c r="Y9">
        <v>1187</v>
      </c>
      <c r="Z9">
        <v>996</v>
      </c>
      <c r="AA9">
        <v>214</v>
      </c>
      <c r="AB9">
        <v>174</v>
      </c>
      <c r="AC9">
        <v>1594</v>
      </c>
      <c r="AD9">
        <v>1368</v>
      </c>
      <c r="AE9">
        <v>40</v>
      </c>
      <c r="AF9">
        <v>28</v>
      </c>
      <c r="AG9">
        <v>10442</v>
      </c>
      <c r="AH9">
        <v>8858</v>
      </c>
    </row>
    <row r="10" spans="1:34">
      <c r="A10" t="s">
        <v>88</v>
      </c>
      <c r="B10" t="s">
        <v>295</v>
      </c>
      <c r="C10">
        <v>1810</v>
      </c>
      <c r="D10">
        <v>2230</v>
      </c>
      <c r="E10">
        <v>1767</v>
      </c>
      <c r="F10">
        <v>1714</v>
      </c>
      <c r="G10">
        <v>1203</v>
      </c>
      <c r="H10">
        <v>215</v>
      </c>
      <c r="I10">
        <v>1605</v>
      </c>
      <c r="J10">
        <v>40</v>
      </c>
      <c r="K10">
        <v>10584</v>
      </c>
      <c r="P10" s="7" t="s">
        <v>84</v>
      </c>
      <c r="Q10">
        <v>1846</v>
      </c>
      <c r="R10">
        <v>1283</v>
      </c>
      <c r="S10">
        <v>2001</v>
      </c>
      <c r="T10">
        <v>1478</v>
      </c>
      <c r="U10">
        <v>1858</v>
      </c>
      <c r="V10">
        <v>1242</v>
      </c>
      <c r="W10">
        <v>1697</v>
      </c>
      <c r="X10">
        <v>1313</v>
      </c>
      <c r="Y10">
        <v>1145</v>
      </c>
      <c r="Z10">
        <v>840</v>
      </c>
      <c r="AA10">
        <v>198</v>
      </c>
      <c r="AB10">
        <v>139</v>
      </c>
      <c r="AC10">
        <v>1437</v>
      </c>
      <c r="AD10">
        <v>1125</v>
      </c>
      <c r="AE10">
        <v>49</v>
      </c>
      <c r="AF10">
        <v>20</v>
      </c>
      <c r="AG10">
        <v>10231</v>
      </c>
      <c r="AH10">
        <v>7440</v>
      </c>
    </row>
    <row r="11" spans="1:34">
      <c r="A11" t="s">
        <v>96</v>
      </c>
      <c r="B11" t="s">
        <v>295</v>
      </c>
      <c r="C11">
        <v>1892</v>
      </c>
      <c r="D11">
        <v>2314</v>
      </c>
      <c r="E11">
        <v>1769</v>
      </c>
      <c r="F11">
        <v>1703</v>
      </c>
      <c r="G11">
        <v>1198</v>
      </c>
      <c r="H11">
        <v>221</v>
      </c>
      <c r="I11">
        <v>1625</v>
      </c>
      <c r="J11">
        <v>40</v>
      </c>
      <c r="K11">
        <v>10762</v>
      </c>
      <c r="P11" s="7" t="s">
        <v>85</v>
      </c>
      <c r="Q11">
        <v>1800</v>
      </c>
      <c r="R11">
        <v>1311</v>
      </c>
      <c r="S11">
        <v>2013</v>
      </c>
      <c r="T11">
        <v>1769</v>
      </c>
      <c r="U11">
        <v>1731</v>
      </c>
      <c r="V11">
        <v>1384</v>
      </c>
      <c r="W11">
        <v>1708</v>
      </c>
      <c r="X11">
        <v>1356</v>
      </c>
      <c r="Y11">
        <v>1134</v>
      </c>
      <c r="Z11">
        <v>956</v>
      </c>
      <c r="AA11">
        <v>202</v>
      </c>
      <c r="AB11">
        <v>161</v>
      </c>
      <c r="AC11">
        <v>1505</v>
      </c>
      <c r="AD11">
        <v>1264</v>
      </c>
      <c r="AE11">
        <v>49</v>
      </c>
      <c r="AF11">
        <v>14</v>
      </c>
      <c r="AG11">
        <v>10142</v>
      </c>
      <c r="AH11">
        <v>8215</v>
      </c>
    </row>
    <row r="12" spans="1:34">
      <c r="A12" t="s">
        <v>92</v>
      </c>
      <c r="B12" t="s">
        <v>295</v>
      </c>
      <c r="C12">
        <v>1851</v>
      </c>
      <c r="D12">
        <v>2207</v>
      </c>
      <c r="E12">
        <v>1762</v>
      </c>
      <c r="F12">
        <v>1709</v>
      </c>
      <c r="G12">
        <v>1209</v>
      </c>
      <c r="H12">
        <v>222</v>
      </c>
      <c r="I12">
        <v>1598</v>
      </c>
      <c r="J12">
        <v>40</v>
      </c>
      <c r="K12">
        <v>10598</v>
      </c>
      <c r="P12" s="7" t="s">
        <v>86</v>
      </c>
      <c r="Q12">
        <v>1773</v>
      </c>
      <c r="R12">
        <v>1501</v>
      </c>
      <c r="S12">
        <v>2115</v>
      </c>
      <c r="T12">
        <v>1896</v>
      </c>
      <c r="U12">
        <v>1801</v>
      </c>
      <c r="V12">
        <v>1580</v>
      </c>
      <c r="W12">
        <v>1744</v>
      </c>
      <c r="X12">
        <v>1503</v>
      </c>
      <c r="Y12">
        <v>1149</v>
      </c>
      <c r="Z12">
        <v>999</v>
      </c>
      <c r="AA12">
        <v>211</v>
      </c>
      <c r="AB12">
        <v>170</v>
      </c>
      <c r="AC12">
        <v>1509</v>
      </c>
      <c r="AD12">
        <v>1301</v>
      </c>
      <c r="AE12">
        <v>49</v>
      </c>
      <c r="AF12">
        <v>15</v>
      </c>
      <c r="AG12">
        <v>10351</v>
      </c>
      <c r="AH12">
        <v>8965</v>
      </c>
    </row>
    <row r="13" spans="1:34">
      <c r="A13" t="s">
        <v>110</v>
      </c>
      <c r="B13" t="s">
        <v>295</v>
      </c>
      <c r="C13">
        <v>1834</v>
      </c>
      <c r="D13">
        <v>2194</v>
      </c>
      <c r="E13">
        <v>1721</v>
      </c>
      <c r="F13">
        <v>1738</v>
      </c>
      <c r="G13">
        <v>1210</v>
      </c>
      <c r="H13">
        <v>220</v>
      </c>
      <c r="I13">
        <v>1543</v>
      </c>
      <c r="J13">
        <v>49</v>
      </c>
      <c r="K13">
        <v>10509</v>
      </c>
      <c r="P13" s="7" t="s">
        <v>88</v>
      </c>
      <c r="Q13">
        <v>1810</v>
      </c>
      <c r="R13">
        <v>1579</v>
      </c>
      <c r="S13">
        <v>2230</v>
      </c>
      <c r="T13">
        <v>1827</v>
      </c>
      <c r="U13">
        <v>1767</v>
      </c>
      <c r="V13">
        <v>1420</v>
      </c>
      <c r="W13">
        <v>1714</v>
      </c>
      <c r="X13">
        <v>1496</v>
      </c>
      <c r="Y13">
        <v>1203</v>
      </c>
      <c r="Z13">
        <v>1062</v>
      </c>
      <c r="AA13">
        <v>215</v>
      </c>
      <c r="AB13">
        <v>185</v>
      </c>
      <c r="AC13">
        <v>1605</v>
      </c>
      <c r="AD13">
        <v>1416</v>
      </c>
      <c r="AE13">
        <v>40</v>
      </c>
      <c r="AF13">
        <v>29</v>
      </c>
      <c r="AG13">
        <v>10584</v>
      </c>
      <c r="AH13">
        <v>9014</v>
      </c>
    </row>
    <row r="14" spans="1:34">
      <c r="A14" t="s">
        <v>79</v>
      </c>
      <c r="B14" t="s">
        <v>295</v>
      </c>
      <c r="C14">
        <v>1995</v>
      </c>
      <c r="D14">
        <v>2094</v>
      </c>
      <c r="E14">
        <v>1787</v>
      </c>
      <c r="F14">
        <v>1672</v>
      </c>
      <c r="G14">
        <v>1208</v>
      </c>
      <c r="H14">
        <v>222</v>
      </c>
      <c r="I14">
        <v>1462</v>
      </c>
      <c r="J14">
        <v>49</v>
      </c>
      <c r="K14">
        <v>10489</v>
      </c>
      <c r="P14" s="7" t="s">
        <v>89</v>
      </c>
      <c r="Q14">
        <v>1913</v>
      </c>
      <c r="R14">
        <v>1271</v>
      </c>
      <c r="S14">
        <v>1853</v>
      </c>
      <c r="T14">
        <v>1554</v>
      </c>
      <c r="U14">
        <v>1900</v>
      </c>
      <c r="V14">
        <v>1264</v>
      </c>
      <c r="W14">
        <v>1718</v>
      </c>
      <c r="X14">
        <v>1285</v>
      </c>
      <c r="Y14">
        <v>1147</v>
      </c>
      <c r="Z14">
        <v>844</v>
      </c>
      <c r="AA14">
        <v>189</v>
      </c>
      <c r="AB14">
        <v>132</v>
      </c>
      <c r="AC14">
        <v>1475</v>
      </c>
      <c r="AD14">
        <v>1160</v>
      </c>
      <c r="AE14">
        <v>49</v>
      </c>
      <c r="AF14">
        <v>14</v>
      </c>
      <c r="AG14">
        <v>10244</v>
      </c>
      <c r="AH14">
        <v>7524</v>
      </c>
    </row>
    <row r="15" spans="1:34">
      <c r="A15" t="s">
        <v>115</v>
      </c>
      <c r="B15" t="s">
        <v>295</v>
      </c>
      <c r="C15">
        <v>2042</v>
      </c>
      <c r="D15">
        <v>2112</v>
      </c>
      <c r="E15">
        <v>1804</v>
      </c>
      <c r="F15">
        <v>1783</v>
      </c>
      <c r="G15">
        <v>1202</v>
      </c>
      <c r="H15">
        <v>222</v>
      </c>
      <c r="I15">
        <v>1257</v>
      </c>
      <c r="J15">
        <v>49</v>
      </c>
      <c r="K15">
        <v>10471</v>
      </c>
      <c r="P15" s="7" t="s">
        <v>90</v>
      </c>
      <c r="Q15">
        <v>1819</v>
      </c>
      <c r="R15">
        <v>1393</v>
      </c>
      <c r="S15">
        <v>2084</v>
      </c>
      <c r="T15">
        <v>1759</v>
      </c>
      <c r="U15">
        <v>1774</v>
      </c>
      <c r="V15">
        <v>1465</v>
      </c>
      <c r="W15">
        <v>1731</v>
      </c>
      <c r="X15">
        <v>1375</v>
      </c>
      <c r="Y15">
        <v>1125</v>
      </c>
      <c r="Z15">
        <v>956</v>
      </c>
      <c r="AA15">
        <v>208</v>
      </c>
      <c r="AB15">
        <v>166</v>
      </c>
      <c r="AC15">
        <v>1539</v>
      </c>
      <c r="AD15">
        <v>1261</v>
      </c>
      <c r="AE15">
        <v>49</v>
      </c>
      <c r="AF15">
        <v>13</v>
      </c>
      <c r="AG15">
        <v>10329</v>
      </c>
      <c r="AH15">
        <v>8388</v>
      </c>
    </row>
    <row r="16" spans="1:34">
      <c r="A16" t="s">
        <v>106</v>
      </c>
      <c r="B16" t="s">
        <v>295</v>
      </c>
      <c r="C16">
        <v>1962</v>
      </c>
      <c r="D16">
        <v>2102</v>
      </c>
      <c r="E16">
        <v>1828</v>
      </c>
      <c r="F16">
        <v>1687</v>
      </c>
      <c r="G16">
        <v>1220</v>
      </c>
      <c r="H16">
        <v>198</v>
      </c>
      <c r="I16">
        <v>1320</v>
      </c>
      <c r="J16">
        <v>49</v>
      </c>
      <c r="K16">
        <v>10366</v>
      </c>
      <c r="P16" s="7" t="s">
        <v>91</v>
      </c>
      <c r="Q16">
        <v>1755</v>
      </c>
      <c r="R16">
        <v>1500</v>
      </c>
      <c r="S16">
        <v>2187</v>
      </c>
      <c r="T16">
        <v>1870</v>
      </c>
      <c r="U16">
        <v>1769</v>
      </c>
      <c r="V16">
        <v>1527</v>
      </c>
      <c r="W16">
        <v>1728</v>
      </c>
      <c r="X16">
        <v>1487</v>
      </c>
      <c r="Y16">
        <v>1198</v>
      </c>
      <c r="Z16">
        <v>1045</v>
      </c>
      <c r="AA16">
        <v>216</v>
      </c>
      <c r="AB16">
        <v>174</v>
      </c>
      <c r="AC16">
        <v>1609</v>
      </c>
      <c r="AD16">
        <v>1374</v>
      </c>
      <c r="AE16">
        <v>32</v>
      </c>
      <c r="AF16">
        <v>19</v>
      </c>
      <c r="AG16">
        <v>10494</v>
      </c>
      <c r="AH16">
        <v>8996</v>
      </c>
    </row>
    <row r="17" spans="1:34">
      <c r="A17" t="s">
        <v>101</v>
      </c>
      <c r="B17" t="s">
        <v>295</v>
      </c>
      <c r="C17">
        <v>1911</v>
      </c>
      <c r="D17">
        <v>2118</v>
      </c>
      <c r="E17">
        <v>1837</v>
      </c>
      <c r="F17">
        <v>1682</v>
      </c>
      <c r="G17">
        <v>1189</v>
      </c>
      <c r="H17">
        <v>188</v>
      </c>
      <c r="I17">
        <v>1359</v>
      </c>
      <c r="J17">
        <v>49</v>
      </c>
      <c r="K17">
        <v>10333</v>
      </c>
      <c r="P17" s="7" t="s">
        <v>92</v>
      </c>
      <c r="Q17">
        <v>1851</v>
      </c>
      <c r="R17">
        <v>1714</v>
      </c>
      <c r="S17">
        <v>2207</v>
      </c>
      <c r="T17">
        <v>1859</v>
      </c>
      <c r="U17">
        <v>1762</v>
      </c>
      <c r="V17">
        <v>1512</v>
      </c>
      <c r="W17">
        <v>1709</v>
      </c>
      <c r="X17">
        <v>1525</v>
      </c>
      <c r="Y17">
        <v>1209</v>
      </c>
      <c r="Z17">
        <v>1074</v>
      </c>
      <c r="AA17">
        <v>222</v>
      </c>
      <c r="AB17">
        <v>172</v>
      </c>
      <c r="AC17">
        <v>1598</v>
      </c>
      <c r="AD17">
        <v>1401</v>
      </c>
      <c r="AE17">
        <v>40</v>
      </c>
      <c r="AF17">
        <v>28</v>
      </c>
      <c r="AG17">
        <v>10598</v>
      </c>
      <c r="AH17">
        <v>9285</v>
      </c>
    </row>
    <row r="18" spans="1:34">
      <c r="A18" t="s">
        <v>84</v>
      </c>
      <c r="B18" t="s">
        <v>295</v>
      </c>
      <c r="C18">
        <v>1846</v>
      </c>
      <c r="D18">
        <v>2001</v>
      </c>
      <c r="E18">
        <v>1858</v>
      </c>
      <c r="F18">
        <v>1697</v>
      </c>
      <c r="G18">
        <v>1145</v>
      </c>
      <c r="H18">
        <v>198</v>
      </c>
      <c r="I18">
        <v>1437</v>
      </c>
      <c r="J18">
        <v>49</v>
      </c>
      <c r="K18">
        <v>10231</v>
      </c>
      <c r="P18" s="7" t="s">
        <v>93</v>
      </c>
      <c r="Q18">
        <v>1674</v>
      </c>
      <c r="R18">
        <v>1243</v>
      </c>
      <c r="S18">
        <v>2031</v>
      </c>
      <c r="T18">
        <v>1650</v>
      </c>
      <c r="U18">
        <v>1993</v>
      </c>
      <c r="V18">
        <v>1304</v>
      </c>
      <c r="W18">
        <v>1687</v>
      </c>
      <c r="X18">
        <v>1276</v>
      </c>
      <c r="Y18">
        <v>1132</v>
      </c>
      <c r="Z18">
        <v>830</v>
      </c>
      <c r="AA18">
        <v>193</v>
      </c>
      <c r="AB18">
        <v>141</v>
      </c>
      <c r="AC18">
        <v>1493</v>
      </c>
      <c r="AD18">
        <v>1180</v>
      </c>
      <c r="AE18">
        <v>49</v>
      </c>
      <c r="AF18">
        <v>7</v>
      </c>
      <c r="AG18">
        <v>10252</v>
      </c>
      <c r="AH18">
        <v>7631</v>
      </c>
    </row>
    <row r="19" spans="1:34">
      <c r="A19" t="s">
        <v>128</v>
      </c>
      <c r="B19" t="s">
        <v>295</v>
      </c>
      <c r="C19">
        <v>1873</v>
      </c>
      <c r="D19">
        <v>1961</v>
      </c>
      <c r="E19">
        <v>1872</v>
      </c>
      <c r="F19">
        <v>1715</v>
      </c>
      <c r="G19">
        <v>1169</v>
      </c>
      <c r="H19">
        <v>206</v>
      </c>
      <c r="I19">
        <v>1454</v>
      </c>
      <c r="J19">
        <v>49</v>
      </c>
      <c r="K19">
        <v>10299</v>
      </c>
      <c r="P19" s="7" t="s">
        <v>94</v>
      </c>
      <c r="Q19">
        <v>1813</v>
      </c>
      <c r="R19">
        <v>1407</v>
      </c>
      <c r="S19">
        <v>2101</v>
      </c>
      <c r="T19">
        <v>1699</v>
      </c>
      <c r="U19">
        <v>1829</v>
      </c>
      <c r="V19">
        <v>1542</v>
      </c>
      <c r="W19">
        <v>1741</v>
      </c>
      <c r="X19">
        <v>1449</v>
      </c>
      <c r="Y19">
        <v>1086</v>
      </c>
      <c r="Z19">
        <v>961</v>
      </c>
      <c r="AA19">
        <v>205</v>
      </c>
      <c r="AB19">
        <v>165</v>
      </c>
      <c r="AC19">
        <v>1535</v>
      </c>
      <c r="AD19">
        <v>1300</v>
      </c>
      <c r="AE19">
        <v>49</v>
      </c>
      <c r="AF19">
        <v>13</v>
      </c>
      <c r="AG19">
        <v>10359</v>
      </c>
      <c r="AH19">
        <v>8536</v>
      </c>
    </row>
    <row r="20" spans="1:34">
      <c r="A20" t="s">
        <v>124</v>
      </c>
      <c r="B20" t="s">
        <v>295</v>
      </c>
      <c r="C20">
        <v>1922</v>
      </c>
      <c r="D20">
        <v>1881</v>
      </c>
      <c r="E20">
        <v>1840</v>
      </c>
      <c r="F20">
        <v>1757</v>
      </c>
      <c r="G20">
        <v>1154</v>
      </c>
      <c r="H20">
        <v>211</v>
      </c>
      <c r="I20">
        <v>1473</v>
      </c>
      <c r="J20">
        <v>49</v>
      </c>
      <c r="K20">
        <v>10287</v>
      </c>
      <c r="P20" s="7" t="s">
        <v>95</v>
      </c>
      <c r="Q20">
        <v>1795</v>
      </c>
      <c r="R20">
        <v>1558</v>
      </c>
      <c r="S20">
        <v>2091</v>
      </c>
      <c r="T20">
        <v>1692</v>
      </c>
      <c r="U20">
        <v>1781</v>
      </c>
      <c r="V20">
        <v>1561</v>
      </c>
      <c r="W20">
        <v>1757</v>
      </c>
      <c r="X20">
        <v>1521</v>
      </c>
      <c r="Y20">
        <v>1219</v>
      </c>
      <c r="Z20">
        <v>1021</v>
      </c>
      <c r="AA20">
        <v>220</v>
      </c>
      <c r="AB20">
        <v>177</v>
      </c>
      <c r="AC20">
        <v>1548</v>
      </c>
      <c r="AD20">
        <v>1320</v>
      </c>
      <c r="AE20">
        <v>32</v>
      </c>
      <c r="AF20">
        <v>21</v>
      </c>
      <c r="AG20">
        <v>10443</v>
      </c>
      <c r="AH20">
        <v>8871</v>
      </c>
    </row>
    <row r="21" spans="1:34">
      <c r="A21" t="s">
        <v>120</v>
      </c>
      <c r="B21" t="s">
        <v>295</v>
      </c>
      <c r="C21">
        <v>2035</v>
      </c>
      <c r="D21">
        <v>1860</v>
      </c>
      <c r="E21">
        <v>1879</v>
      </c>
      <c r="F21">
        <v>1788</v>
      </c>
      <c r="G21">
        <v>1147</v>
      </c>
      <c r="H21">
        <v>180</v>
      </c>
      <c r="I21">
        <v>1447</v>
      </c>
      <c r="J21">
        <v>49</v>
      </c>
      <c r="K21">
        <v>10385</v>
      </c>
      <c r="P21" s="7" t="s">
        <v>96</v>
      </c>
      <c r="Q21">
        <v>1892</v>
      </c>
      <c r="R21">
        <v>1707</v>
      </c>
      <c r="S21">
        <v>2314</v>
      </c>
      <c r="T21">
        <v>1929</v>
      </c>
      <c r="U21">
        <v>1769</v>
      </c>
      <c r="V21">
        <v>1491</v>
      </c>
      <c r="W21">
        <v>1703</v>
      </c>
      <c r="X21">
        <v>1547</v>
      </c>
      <c r="Y21">
        <v>1198</v>
      </c>
      <c r="Z21">
        <v>1102</v>
      </c>
      <c r="AA21">
        <v>221</v>
      </c>
      <c r="AB21">
        <v>184</v>
      </c>
      <c r="AC21">
        <v>1625</v>
      </c>
      <c r="AD21">
        <v>1442</v>
      </c>
      <c r="AE21">
        <v>40</v>
      </c>
      <c r="AF21">
        <v>29</v>
      </c>
      <c r="AG21">
        <v>10762</v>
      </c>
      <c r="AH21">
        <v>9431</v>
      </c>
    </row>
    <row r="22" spans="1:34">
      <c r="A22" t="s">
        <v>89</v>
      </c>
      <c r="B22" t="s">
        <v>295</v>
      </c>
      <c r="C22">
        <v>1913</v>
      </c>
      <c r="D22">
        <v>1853</v>
      </c>
      <c r="E22">
        <v>1900</v>
      </c>
      <c r="F22">
        <v>1718</v>
      </c>
      <c r="G22">
        <v>1147</v>
      </c>
      <c r="H22">
        <v>189</v>
      </c>
      <c r="I22">
        <v>1475</v>
      </c>
      <c r="J22">
        <v>49</v>
      </c>
      <c r="K22">
        <v>10244</v>
      </c>
      <c r="P22" s="7" t="s">
        <v>97</v>
      </c>
      <c r="Q22">
        <v>1836</v>
      </c>
      <c r="R22">
        <v>1366</v>
      </c>
      <c r="S22">
        <v>1981</v>
      </c>
      <c r="T22">
        <v>1641</v>
      </c>
      <c r="U22">
        <v>1937</v>
      </c>
      <c r="V22">
        <v>1291</v>
      </c>
      <c r="W22">
        <v>1725</v>
      </c>
      <c r="X22">
        <v>1320</v>
      </c>
      <c r="Y22">
        <v>1136</v>
      </c>
      <c r="Z22">
        <v>840</v>
      </c>
      <c r="AA22">
        <v>190</v>
      </c>
      <c r="AB22">
        <v>145</v>
      </c>
      <c r="AC22">
        <v>1504</v>
      </c>
      <c r="AD22">
        <v>1196</v>
      </c>
      <c r="AE22">
        <v>49</v>
      </c>
      <c r="AF22">
        <v>9</v>
      </c>
      <c r="AG22">
        <v>10358</v>
      </c>
      <c r="AH22">
        <v>7808</v>
      </c>
    </row>
    <row r="23" spans="1:34">
      <c r="A23" t="s">
        <v>97</v>
      </c>
      <c r="B23" t="s">
        <v>295</v>
      </c>
      <c r="C23">
        <v>1836</v>
      </c>
      <c r="D23">
        <v>1981</v>
      </c>
      <c r="E23">
        <v>1937</v>
      </c>
      <c r="F23">
        <v>1725</v>
      </c>
      <c r="G23">
        <v>1136</v>
      </c>
      <c r="H23">
        <v>190</v>
      </c>
      <c r="I23">
        <v>1504</v>
      </c>
      <c r="J23">
        <v>49</v>
      </c>
      <c r="K23">
        <v>10358</v>
      </c>
      <c r="P23" s="7" t="s">
        <v>98</v>
      </c>
      <c r="Q23">
        <v>1827</v>
      </c>
      <c r="R23">
        <v>1442</v>
      </c>
      <c r="S23">
        <v>2084</v>
      </c>
      <c r="T23">
        <v>1789</v>
      </c>
      <c r="U23">
        <v>1836</v>
      </c>
      <c r="V23">
        <v>1512</v>
      </c>
      <c r="W23">
        <v>1735</v>
      </c>
      <c r="X23">
        <v>1429</v>
      </c>
      <c r="Y23">
        <v>1106</v>
      </c>
      <c r="Z23">
        <v>953</v>
      </c>
      <c r="AA23">
        <v>206</v>
      </c>
      <c r="AB23">
        <v>167</v>
      </c>
      <c r="AC23">
        <v>1552</v>
      </c>
      <c r="AD23">
        <v>1297</v>
      </c>
      <c r="AE23">
        <v>49</v>
      </c>
      <c r="AF23">
        <v>12</v>
      </c>
      <c r="AG23">
        <v>10395</v>
      </c>
      <c r="AH23">
        <v>8601</v>
      </c>
    </row>
    <row r="24" spans="1:34">
      <c r="A24" t="s">
        <v>93</v>
      </c>
      <c r="B24" t="s">
        <v>295</v>
      </c>
      <c r="C24">
        <v>1674</v>
      </c>
      <c r="D24">
        <v>2031</v>
      </c>
      <c r="E24">
        <v>1993</v>
      </c>
      <c r="F24">
        <v>1687</v>
      </c>
      <c r="G24">
        <v>1132</v>
      </c>
      <c r="H24">
        <v>193</v>
      </c>
      <c r="I24">
        <v>1493</v>
      </c>
      <c r="J24">
        <v>49</v>
      </c>
      <c r="K24">
        <v>10252</v>
      </c>
      <c r="P24" s="7" t="s">
        <v>99</v>
      </c>
      <c r="Q24">
        <v>1808</v>
      </c>
      <c r="R24">
        <v>1580</v>
      </c>
      <c r="S24">
        <v>2187</v>
      </c>
      <c r="T24">
        <v>1924</v>
      </c>
      <c r="U24">
        <v>1778</v>
      </c>
      <c r="V24">
        <v>1564</v>
      </c>
      <c r="W24">
        <v>1743</v>
      </c>
      <c r="X24">
        <v>1550</v>
      </c>
      <c r="Y24">
        <v>1209</v>
      </c>
      <c r="Z24">
        <v>1025</v>
      </c>
      <c r="AA24">
        <v>220</v>
      </c>
      <c r="AB24">
        <v>180</v>
      </c>
      <c r="AC24">
        <v>1586</v>
      </c>
      <c r="AD24">
        <v>1348</v>
      </c>
      <c r="AE24">
        <v>32</v>
      </c>
      <c r="AF24">
        <v>18</v>
      </c>
      <c r="AG24">
        <v>10563</v>
      </c>
      <c r="AH24">
        <v>9189</v>
      </c>
    </row>
    <row r="25" spans="1:34">
      <c r="A25" t="s">
        <v>111</v>
      </c>
      <c r="B25" t="s">
        <v>295</v>
      </c>
      <c r="C25">
        <v>1856</v>
      </c>
      <c r="D25">
        <v>1954</v>
      </c>
      <c r="E25">
        <v>1962</v>
      </c>
      <c r="F25">
        <v>1699</v>
      </c>
      <c r="G25">
        <v>1137</v>
      </c>
      <c r="H25">
        <v>208</v>
      </c>
      <c r="I25">
        <v>1501</v>
      </c>
      <c r="J25">
        <v>49</v>
      </c>
      <c r="K25">
        <v>10366</v>
      </c>
      <c r="P25" s="7" t="s">
        <v>100</v>
      </c>
      <c r="Q25">
        <v>1749</v>
      </c>
      <c r="R25">
        <v>1525</v>
      </c>
      <c r="S25">
        <v>2200</v>
      </c>
      <c r="T25">
        <v>1935</v>
      </c>
      <c r="U25">
        <v>1740</v>
      </c>
      <c r="V25">
        <v>1449</v>
      </c>
      <c r="W25">
        <v>1702</v>
      </c>
      <c r="X25">
        <v>1454</v>
      </c>
      <c r="Y25">
        <v>1203</v>
      </c>
      <c r="Z25">
        <v>1003</v>
      </c>
      <c r="AA25">
        <v>220</v>
      </c>
      <c r="AB25">
        <v>178</v>
      </c>
      <c r="AC25">
        <v>1587</v>
      </c>
      <c r="AD25">
        <v>1379</v>
      </c>
      <c r="AE25">
        <v>40</v>
      </c>
      <c r="AF25">
        <v>25</v>
      </c>
      <c r="AG25">
        <v>10441</v>
      </c>
      <c r="AH25">
        <v>8948</v>
      </c>
    </row>
    <row r="26" spans="1:34">
      <c r="A26" t="s">
        <v>80</v>
      </c>
      <c r="B26" t="s">
        <v>295</v>
      </c>
      <c r="C26">
        <v>1816</v>
      </c>
      <c r="D26">
        <v>1988</v>
      </c>
      <c r="E26">
        <v>1908</v>
      </c>
      <c r="F26">
        <v>1715</v>
      </c>
      <c r="G26">
        <v>1137</v>
      </c>
      <c r="H26">
        <v>210</v>
      </c>
      <c r="I26">
        <v>1513</v>
      </c>
      <c r="J26">
        <v>49</v>
      </c>
      <c r="K26">
        <v>10336</v>
      </c>
      <c r="P26" s="7" t="s">
        <v>101</v>
      </c>
      <c r="Q26">
        <v>1911</v>
      </c>
      <c r="R26">
        <v>1222</v>
      </c>
      <c r="S26">
        <v>2118</v>
      </c>
      <c r="T26">
        <v>1525</v>
      </c>
      <c r="U26">
        <v>1837</v>
      </c>
      <c r="V26">
        <v>1197</v>
      </c>
      <c r="W26">
        <v>1682</v>
      </c>
      <c r="X26">
        <v>1264</v>
      </c>
      <c r="Y26">
        <v>1189</v>
      </c>
      <c r="Z26">
        <v>787</v>
      </c>
      <c r="AA26">
        <v>188</v>
      </c>
      <c r="AB26">
        <v>129</v>
      </c>
      <c r="AC26">
        <v>1359</v>
      </c>
      <c r="AD26">
        <v>1051</v>
      </c>
      <c r="AE26">
        <v>49</v>
      </c>
      <c r="AF26">
        <v>17</v>
      </c>
      <c r="AG26">
        <v>10333</v>
      </c>
      <c r="AH26">
        <v>7192</v>
      </c>
    </row>
    <row r="27" spans="1:34">
      <c r="A27" t="s">
        <v>116</v>
      </c>
      <c r="B27" t="s">
        <v>295</v>
      </c>
      <c r="C27">
        <v>1836</v>
      </c>
      <c r="D27">
        <v>1965</v>
      </c>
      <c r="E27">
        <v>1703</v>
      </c>
      <c r="F27">
        <v>1706</v>
      </c>
      <c r="G27">
        <v>1113</v>
      </c>
      <c r="H27">
        <v>208</v>
      </c>
      <c r="I27">
        <v>1540</v>
      </c>
      <c r="J27">
        <v>49</v>
      </c>
      <c r="K27">
        <v>10120</v>
      </c>
      <c r="P27" s="7" t="s">
        <v>102</v>
      </c>
      <c r="Q27">
        <v>1940</v>
      </c>
      <c r="R27">
        <v>1394</v>
      </c>
      <c r="S27">
        <v>2015</v>
      </c>
      <c r="T27">
        <v>1718</v>
      </c>
      <c r="U27">
        <v>1708</v>
      </c>
      <c r="V27">
        <v>1400</v>
      </c>
      <c r="W27">
        <v>1702</v>
      </c>
      <c r="X27">
        <v>1331</v>
      </c>
      <c r="Y27">
        <v>1125</v>
      </c>
      <c r="Z27">
        <v>932</v>
      </c>
      <c r="AA27">
        <v>202</v>
      </c>
      <c r="AB27">
        <v>166</v>
      </c>
      <c r="AC27">
        <v>1515</v>
      </c>
      <c r="AD27">
        <v>1261</v>
      </c>
      <c r="AE27">
        <v>49</v>
      </c>
      <c r="AF27">
        <v>14</v>
      </c>
      <c r="AG27">
        <v>10256</v>
      </c>
      <c r="AH27">
        <v>8216</v>
      </c>
    </row>
    <row r="28" spans="1:34">
      <c r="A28" t="s">
        <v>107</v>
      </c>
      <c r="B28" t="s">
        <v>295</v>
      </c>
      <c r="C28">
        <v>1872</v>
      </c>
      <c r="D28">
        <v>1966</v>
      </c>
      <c r="E28">
        <v>1703</v>
      </c>
      <c r="F28">
        <v>1696</v>
      </c>
      <c r="G28">
        <v>1147</v>
      </c>
      <c r="H28">
        <v>205</v>
      </c>
      <c r="I28">
        <v>1517</v>
      </c>
      <c r="J28">
        <v>49</v>
      </c>
      <c r="K28">
        <v>10155</v>
      </c>
      <c r="P28" s="7" t="s">
        <v>103</v>
      </c>
      <c r="Q28">
        <v>1812</v>
      </c>
      <c r="R28">
        <v>1502</v>
      </c>
      <c r="S28">
        <v>2116</v>
      </c>
      <c r="T28">
        <v>1865</v>
      </c>
      <c r="U28">
        <v>1784</v>
      </c>
      <c r="V28">
        <v>1543</v>
      </c>
      <c r="W28">
        <v>1727</v>
      </c>
      <c r="X28">
        <v>1479</v>
      </c>
      <c r="Y28">
        <v>1128</v>
      </c>
      <c r="Z28">
        <v>960</v>
      </c>
      <c r="AA28">
        <v>209</v>
      </c>
      <c r="AB28">
        <v>168</v>
      </c>
      <c r="AC28">
        <v>1514</v>
      </c>
      <c r="AD28">
        <v>1318</v>
      </c>
      <c r="AE28">
        <v>49</v>
      </c>
      <c r="AF28">
        <v>15</v>
      </c>
      <c r="AG28">
        <v>10339</v>
      </c>
      <c r="AH28">
        <v>8850</v>
      </c>
    </row>
    <row r="29" spans="1:34">
      <c r="A29" t="s">
        <v>102</v>
      </c>
      <c r="B29" t="s">
        <v>295</v>
      </c>
      <c r="C29">
        <v>1940</v>
      </c>
      <c r="D29">
        <v>2015</v>
      </c>
      <c r="E29">
        <v>1708</v>
      </c>
      <c r="F29">
        <v>1702</v>
      </c>
      <c r="G29">
        <v>1125</v>
      </c>
      <c r="H29">
        <v>202</v>
      </c>
      <c r="I29">
        <v>1515</v>
      </c>
      <c r="J29">
        <v>49</v>
      </c>
      <c r="K29">
        <v>10256</v>
      </c>
      <c r="P29" s="7" t="s">
        <v>104</v>
      </c>
      <c r="Q29">
        <v>2019</v>
      </c>
      <c r="R29">
        <v>1730</v>
      </c>
      <c r="S29">
        <v>2104</v>
      </c>
      <c r="T29">
        <v>1866</v>
      </c>
      <c r="U29">
        <v>1794</v>
      </c>
      <c r="V29">
        <v>1559</v>
      </c>
      <c r="W29">
        <v>1781</v>
      </c>
      <c r="X29">
        <v>1535</v>
      </c>
      <c r="Y29">
        <v>1167</v>
      </c>
      <c r="Z29">
        <v>993</v>
      </c>
      <c r="AA29">
        <v>194</v>
      </c>
      <c r="AB29">
        <v>164</v>
      </c>
      <c r="AC29">
        <v>1488</v>
      </c>
      <c r="AD29">
        <v>1279</v>
      </c>
      <c r="AE29">
        <v>32</v>
      </c>
      <c r="AF29">
        <v>18</v>
      </c>
      <c r="AG29">
        <v>10579</v>
      </c>
      <c r="AH29">
        <v>9144</v>
      </c>
    </row>
    <row r="30" spans="1:34">
      <c r="A30" t="s">
        <v>85</v>
      </c>
      <c r="B30" t="s">
        <v>295</v>
      </c>
      <c r="C30">
        <v>1800</v>
      </c>
      <c r="D30">
        <v>2013</v>
      </c>
      <c r="E30">
        <v>1731</v>
      </c>
      <c r="F30">
        <v>1708</v>
      </c>
      <c r="G30">
        <v>1134</v>
      </c>
      <c r="H30">
        <v>202</v>
      </c>
      <c r="I30">
        <v>1505</v>
      </c>
      <c r="J30">
        <v>49</v>
      </c>
      <c r="K30">
        <v>10142</v>
      </c>
      <c r="P30" s="7" t="s">
        <v>105</v>
      </c>
      <c r="Q30">
        <v>1761</v>
      </c>
      <c r="R30">
        <v>1538</v>
      </c>
      <c r="S30">
        <v>2207</v>
      </c>
      <c r="T30">
        <v>1942</v>
      </c>
      <c r="U30">
        <v>1742</v>
      </c>
      <c r="V30">
        <v>1466</v>
      </c>
      <c r="W30">
        <v>1703</v>
      </c>
      <c r="X30">
        <v>1469</v>
      </c>
      <c r="Y30">
        <v>1257</v>
      </c>
      <c r="Z30">
        <v>1045</v>
      </c>
      <c r="AA30">
        <v>214</v>
      </c>
      <c r="AB30">
        <v>174</v>
      </c>
      <c r="AC30">
        <v>1597</v>
      </c>
      <c r="AD30">
        <v>1395</v>
      </c>
      <c r="AE30">
        <v>40</v>
      </c>
      <c r="AF30">
        <v>29</v>
      </c>
      <c r="AG30">
        <v>10521</v>
      </c>
      <c r="AH30">
        <v>9058</v>
      </c>
    </row>
    <row r="31" spans="1:34">
      <c r="A31" t="s">
        <v>129</v>
      </c>
      <c r="B31" t="s">
        <v>295</v>
      </c>
      <c r="C31">
        <v>1923</v>
      </c>
      <c r="D31">
        <v>2015</v>
      </c>
      <c r="E31">
        <v>1727</v>
      </c>
      <c r="F31">
        <v>1741</v>
      </c>
      <c r="G31">
        <v>1129</v>
      </c>
      <c r="H31">
        <v>202</v>
      </c>
      <c r="I31">
        <v>1541</v>
      </c>
      <c r="J31">
        <v>49</v>
      </c>
      <c r="K31">
        <v>10327</v>
      </c>
      <c r="P31" s="7" t="s">
        <v>106</v>
      </c>
      <c r="Q31">
        <v>1962</v>
      </c>
      <c r="R31">
        <v>1079</v>
      </c>
      <c r="S31">
        <v>2102</v>
      </c>
      <c r="T31">
        <v>1417</v>
      </c>
      <c r="U31">
        <v>1828</v>
      </c>
      <c r="V31">
        <v>1136</v>
      </c>
      <c r="W31">
        <v>1687</v>
      </c>
      <c r="X31">
        <v>1169</v>
      </c>
      <c r="Y31">
        <v>1220</v>
      </c>
      <c r="Z31">
        <v>724</v>
      </c>
      <c r="AA31">
        <v>198</v>
      </c>
      <c r="AB31">
        <v>109</v>
      </c>
      <c r="AC31">
        <v>1320</v>
      </c>
      <c r="AD31">
        <v>959</v>
      </c>
      <c r="AE31">
        <v>49</v>
      </c>
      <c r="AF31">
        <v>19</v>
      </c>
      <c r="AG31">
        <v>10366</v>
      </c>
      <c r="AH31">
        <v>6612</v>
      </c>
    </row>
    <row r="32" spans="1:34">
      <c r="A32" t="s">
        <v>125</v>
      </c>
      <c r="B32" t="s">
        <v>295</v>
      </c>
      <c r="C32">
        <v>1842</v>
      </c>
      <c r="D32">
        <v>2026</v>
      </c>
      <c r="E32">
        <v>1743</v>
      </c>
      <c r="F32">
        <v>1719</v>
      </c>
      <c r="G32">
        <v>1129</v>
      </c>
      <c r="H32">
        <v>205</v>
      </c>
      <c r="I32">
        <v>1577</v>
      </c>
      <c r="J32">
        <v>49</v>
      </c>
      <c r="K32">
        <v>10290</v>
      </c>
      <c r="P32" s="7" t="s">
        <v>107</v>
      </c>
      <c r="Q32">
        <v>1872</v>
      </c>
      <c r="R32">
        <v>1331</v>
      </c>
      <c r="S32">
        <v>1966</v>
      </c>
      <c r="T32">
        <v>1724</v>
      </c>
      <c r="U32">
        <v>1703</v>
      </c>
      <c r="V32">
        <v>1375</v>
      </c>
      <c r="W32">
        <v>1696</v>
      </c>
      <c r="X32">
        <v>1292</v>
      </c>
      <c r="Y32">
        <v>1147</v>
      </c>
      <c r="Z32">
        <v>980</v>
      </c>
      <c r="AA32">
        <v>205</v>
      </c>
      <c r="AB32">
        <v>176</v>
      </c>
      <c r="AC32">
        <v>1517</v>
      </c>
      <c r="AD32">
        <v>1277</v>
      </c>
      <c r="AE32">
        <v>49</v>
      </c>
      <c r="AF32">
        <v>15</v>
      </c>
      <c r="AG32">
        <v>10155</v>
      </c>
      <c r="AH32">
        <v>8170</v>
      </c>
    </row>
    <row r="33" spans="1:34">
      <c r="A33" t="s">
        <v>121</v>
      </c>
      <c r="B33" t="s">
        <v>295</v>
      </c>
      <c r="C33">
        <v>1841</v>
      </c>
      <c r="D33">
        <v>2017</v>
      </c>
      <c r="E33">
        <v>1782</v>
      </c>
      <c r="F33">
        <v>1733</v>
      </c>
      <c r="G33">
        <v>1133</v>
      </c>
      <c r="H33">
        <v>203</v>
      </c>
      <c r="I33">
        <v>1562</v>
      </c>
      <c r="J33">
        <v>49</v>
      </c>
      <c r="K33">
        <v>10320</v>
      </c>
      <c r="P33" s="7" t="s">
        <v>108</v>
      </c>
      <c r="Q33">
        <v>1839</v>
      </c>
      <c r="R33">
        <v>1480</v>
      </c>
      <c r="S33">
        <v>2075</v>
      </c>
      <c r="T33">
        <v>1810</v>
      </c>
      <c r="U33">
        <v>1769</v>
      </c>
      <c r="V33">
        <v>1522</v>
      </c>
      <c r="W33">
        <v>1722</v>
      </c>
      <c r="X33">
        <v>1495</v>
      </c>
      <c r="Y33">
        <v>1110</v>
      </c>
      <c r="Z33">
        <v>985</v>
      </c>
      <c r="AA33">
        <v>202</v>
      </c>
      <c r="AB33">
        <v>161</v>
      </c>
      <c r="AC33">
        <v>1534</v>
      </c>
      <c r="AD33">
        <v>1322</v>
      </c>
      <c r="AE33">
        <v>49</v>
      </c>
      <c r="AF33">
        <v>18</v>
      </c>
      <c r="AG33">
        <v>10300</v>
      </c>
      <c r="AH33">
        <v>8793</v>
      </c>
    </row>
    <row r="34" spans="1:34">
      <c r="A34" t="s">
        <v>90</v>
      </c>
      <c r="B34" t="s">
        <v>295</v>
      </c>
      <c r="C34">
        <v>1819</v>
      </c>
      <c r="D34">
        <v>2084</v>
      </c>
      <c r="E34">
        <v>1774</v>
      </c>
      <c r="F34">
        <v>1731</v>
      </c>
      <c r="G34">
        <v>1125</v>
      </c>
      <c r="H34">
        <v>208</v>
      </c>
      <c r="I34">
        <v>1539</v>
      </c>
      <c r="J34">
        <v>49</v>
      </c>
      <c r="K34">
        <v>10329</v>
      </c>
      <c r="P34" s="7" t="s">
        <v>109</v>
      </c>
      <c r="Q34">
        <v>1895</v>
      </c>
      <c r="R34">
        <v>1606</v>
      </c>
      <c r="S34">
        <v>2169</v>
      </c>
      <c r="T34">
        <v>1866</v>
      </c>
      <c r="U34">
        <v>1756</v>
      </c>
      <c r="V34">
        <v>1529</v>
      </c>
      <c r="W34">
        <v>1778</v>
      </c>
      <c r="X34">
        <v>1524</v>
      </c>
      <c r="Y34">
        <v>1173</v>
      </c>
      <c r="Z34">
        <v>1035</v>
      </c>
      <c r="AA34">
        <v>192</v>
      </c>
      <c r="AB34">
        <v>163</v>
      </c>
      <c r="AC34">
        <v>1512</v>
      </c>
      <c r="AD34">
        <v>1322</v>
      </c>
      <c r="AE34">
        <v>32</v>
      </c>
      <c r="AF34">
        <v>16</v>
      </c>
      <c r="AG34">
        <v>10507</v>
      </c>
      <c r="AH34">
        <v>9061</v>
      </c>
    </row>
    <row r="35" spans="1:34">
      <c r="A35" t="s">
        <v>98</v>
      </c>
      <c r="B35" t="s">
        <v>295</v>
      </c>
      <c r="C35">
        <v>1827</v>
      </c>
      <c r="D35">
        <v>2084</v>
      </c>
      <c r="E35">
        <v>1836</v>
      </c>
      <c r="F35">
        <v>1735</v>
      </c>
      <c r="G35">
        <v>1106</v>
      </c>
      <c r="H35">
        <v>206</v>
      </c>
      <c r="I35">
        <v>1552</v>
      </c>
      <c r="J35">
        <v>49</v>
      </c>
      <c r="K35">
        <v>10395</v>
      </c>
      <c r="P35" s="7" t="s">
        <v>110</v>
      </c>
      <c r="Q35">
        <v>1834</v>
      </c>
      <c r="R35">
        <v>1348</v>
      </c>
      <c r="S35">
        <v>2194</v>
      </c>
      <c r="T35">
        <v>1635</v>
      </c>
      <c r="U35">
        <v>1721</v>
      </c>
      <c r="V35">
        <v>1303</v>
      </c>
      <c r="W35">
        <v>1738</v>
      </c>
      <c r="X35">
        <v>1358</v>
      </c>
      <c r="Y35">
        <v>1210</v>
      </c>
      <c r="Z35">
        <v>861</v>
      </c>
      <c r="AA35">
        <v>220</v>
      </c>
      <c r="AB35">
        <v>159</v>
      </c>
      <c r="AC35">
        <v>1543</v>
      </c>
      <c r="AD35">
        <v>1219</v>
      </c>
      <c r="AE35">
        <v>49</v>
      </c>
      <c r="AF35">
        <v>19</v>
      </c>
      <c r="AG35">
        <v>10509</v>
      </c>
      <c r="AH35">
        <v>7902</v>
      </c>
    </row>
    <row r="36" spans="1:34">
      <c r="A36" t="s">
        <v>94</v>
      </c>
      <c r="B36" t="s">
        <v>295</v>
      </c>
      <c r="C36">
        <v>1813</v>
      </c>
      <c r="D36">
        <v>2101</v>
      </c>
      <c r="E36">
        <v>1829</v>
      </c>
      <c r="F36">
        <v>1741</v>
      </c>
      <c r="G36">
        <v>1086</v>
      </c>
      <c r="H36">
        <v>205</v>
      </c>
      <c r="I36">
        <v>1535</v>
      </c>
      <c r="J36">
        <v>49</v>
      </c>
      <c r="K36">
        <v>10359</v>
      </c>
      <c r="P36" s="7" t="s">
        <v>111</v>
      </c>
      <c r="Q36">
        <v>1856</v>
      </c>
      <c r="R36">
        <v>1319</v>
      </c>
      <c r="S36">
        <v>1954</v>
      </c>
      <c r="T36">
        <v>1669</v>
      </c>
      <c r="U36">
        <v>1962</v>
      </c>
      <c r="V36">
        <v>1311</v>
      </c>
      <c r="W36">
        <v>1699</v>
      </c>
      <c r="X36">
        <v>1251</v>
      </c>
      <c r="Y36">
        <v>1137</v>
      </c>
      <c r="Z36">
        <v>898</v>
      </c>
      <c r="AA36">
        <v>208</v>
      </c>
      <c r="AB36">
        <v>160</v>
      </c>
      <c r="AC36">
        <v>1501</v>
      </c>
      <c r="AD36">
        <v>1212</v>
      </c>
      <c r="AE36">
        <v>49</v>
      </c>
      <c r="AF36">
        <v>10</v>
      </c>
      <c r="AG36">
        <v>10366</v>
      </c>
      <c r="AH36">
        <v>7830</v>
      </c>
    </row>
    <row r="37" spans="1:34">
      <c r="A37" t="s">
        <v>112</v>
      </c>
      <c r="B37" t="s">
        <v>295</v>
      </c>
      <c r="C37">
        <v>1788</v>
      </c>
      <c r="D37">
        <v>2112</v>
      </c>
      <c r="E37">
        <v>1820</v>
      </c>
      <c r="F37">
        <v>1673</v>
      </c>
      <c r="G37">
        <v>1095</v>
      </c>
      <c r="H37">
        <v>211</v>
      </c>
      <c r="I37">
        <v>1542</v>
      </c>
      <c r="J37">
        <v>49</v>
      </c>
      <c r="K37">
        <v>10290</v>
      </c>
      <c r="P37" s="7" t="s">
        <v>112</v>
      </c>
      <c r="Q37">
        <v>1788</v>
      </c>
      <c r="R37">
        <v>1407</v>
      </c>
      <c r="S37">
        <v>2112</v>
      </c>
      <c r="T37">
        <v>1833</v>
      </c>
      <c r="U37">
        <v>1820</v>
      </c>
      <c r="V37">
        <v>1510</v>
      </c>
      <c r="W37">
        <v>1673</v>
      </c>
      <c r="X37">
        <v>1410</v>
      </c>
      <c r="Y37">
        <v>1095</v>
      </c>
      <c r="Z37">
        <v>980</v>
      </c>
      <c r="AA37">
        <v>211</v>
      </c>
      <c r="AB37">
        <v>167</v>
      </c>
      <c r="AC37">
        <v>1542</v>
      </c>
      <c r="AD37">
        <v>1294</v>
      </c>
      <c r="AE37">
        <v>49</v>
      </c>
      <c r="AF37">
        <v>12</v>
      </c>
      <c r="AG37">
        <v>10290</v>
      </c>
      <c r="AH37">
        <v>8613</v>
      </c>
    </row>
    <row r="38" spans="1:34">
      <c r="A38" t="s">
        <v>81</v>
      </c>
      <c r="B38" t="s">
        <v>295</v>
      </c>
      <c r="C38">
        <v>1802</v>
      </c>
      <c r="D38">
        <v>2103</v>
      </c>
      <c r="E38">
        <v>1789</v>
      </c>
      <c r="F38">
        <v>1722</v>
      </c>
      <c r="G38">
        <v>1108</v>
      </c>
      <c r="H38">
        <v>211</v>
      </c>
      <c r="I38">
        <v>1548</v>
      </c>
      <c r="J38">
        <v>49</v>
      </c>
      <c r="K38">
        <v>10332</v>
      </c>
      <c r="P38" s="7" t="s">
        <v>113</v>
      </c>
      <c r="Q38">
        <v>1887</v>
      </c>
      <c r="R38">
        <v>1653</v>
      </c>
      <c r="S38">
        <v>2149</v>
      </c>
      <c r="T38">
        <v>1851</v>
      </c>
      <c r="U38">
        <v>1605</v>
      </c>
      <c r="V38">
        <v>1408</v>
      </c>
      <c r="W38">
        <v>1770</v>
      </c>
      <c r="X38">
        <v>1551</v>
      </c>
      <c r="Y38">
        <v>1197</v>
      </c>
      <c r="Z38">
        <v>1009</v>
      </c>
      <c r="AA38">
        <v>211</v>
      </c>
      <c r="AB38">
        <v>162</v>
      </c>
      <c r="AC38">
        <v>1560</v>
      </c>
      <c r="AD38">
        <v>1312</v>
      </c>
      <c r="AE38">
        <v>32</v>
      </c>
      <c r="AF38">
        <v>18</v>
      </c>
      <c r="AG38">
        <v>10411</v>
      </c>
      <c r="AH38">
        <v>8964</v>
      </c>
    </row>
    <row r="39" spans="1:34">
      <c r="A39" t="s">
        <v>117</v>
      </c>
      <c r="B39" t="s">
        <v>295</v>
      </c>
      <c r="C39">
        <v>1790</v>
      </c>
      <c r="D39">
        <v>2069</v>
      </c>
      <c r="E39">
        <v>1783</v>
      </c>
      <c r="F39">
        <v>1707</v>
      </c>
      <c r="G39">
        <v>1114</v>
      </c>
      <c r="H39">
        <v>211</v>
      </c>
      <c r="I39">
        <v>1545</v>
      </c>
      <c r="J39">
        <v>49</v>
      </c>
      <c r="K39">
        <v>10268</v>
      </c>
      <c r="P39" s="7" t="s">
        <v>114</v>
      </c>
      <c r="Q39">
        <v>1803</v>
      </c>
      <c r="R39">
        <v>1573</v>
      </c>
      <c r="S39">
        <v>2221</v>
      </c>
      <c r="T39">
        <v>1967</v>
      </c>
      <c r="U39">
        <v>1742</v>
      </c>
      <c r="V39">
        <v>1471</v>
      </c>
      <c r="W39">
        <v>1740</v>
      </c>
      <c r="X39">
        <v>1488</v>
      </c>
      <c r="Y39">
        <v>1244</v>
      </c>
      <c r="Z39">
        <v>1056</v>
      </c>
      <c r="AA39">
        <v>214</v>
      </c>
      <c r="AB39">
        <v>168</v>
      </c>
      <c r="AC39">
        <v>1602</v>
      </c>
      <c r="AD39">
        <v>1398</v>
      </c>
      <c r="AE39">
        <v>40</v>
      </c>
      <c r="AF39">
        <v>29</v>
      </c>
      <c r="AG39">
        <v>10606</v>
      </c>
      <c r="AH39">
        <v>9150</v>
      </c>
    </row>
    <row r="40" spans="1:34">
      <c r="A40" t="s">
        <v>108</v>
      </c>
      <c r="B40" t="s">
        <v>295</v>
      </c>
      <c r="C40">
        <v>1839</v>
      </c>
      <c r="D40">
        <v>2075</v>
      </c>
      <c r="E40">
        <v>1769</v>
      </c>
      <c r="F40">
        <v>1722</v>
      </c>
      <c r="G40">
        <v>1110</v>
      </c>
      <c r="H40">
        <v>202</v>
      </c>
      <c r="I40">
        <v>1534</v>
      </c>
      <c r="J40">
        <v>49</v>
      </c>
      <c r="K40">
        <v>10300</v>
      </c>
      <c r="P40" s="7" t="s">
        <v>115</v>
      </c>
      <c r="Q40">
        <v>2042</v>
      </c>
      <c r="R40">
        <v>920</v>
      </c>
      <c r="S40">
        <v>2112</v>
      </c>
      <c r="T40">
        <v>1277</v>
      </c>
      <c r="U40">
        <v>1804</v>
      </c>
      <c r="V40">
        <v>972</v>
      </c>
      <c r="W40">
        <v>1783</v>
      </c>
      <c r="X40">
        <v>1088</v>
      </c>
      <c r="Y40">
        <v>1202</v>
      </c>
      <c r="Z40">
        <v>625</v>
      </c>
      <c r="AA40">
        <v>222</v>
      </c>
      <c r="AB40">
        <v>104</v>
      </c>
      <c r="AC40">
        <v>1257</v>
      </c>
      <c r="AD40">
        <v>845</v>
      </c>
      <c r="AE40">
        <v>49</v>
      </c>
      <c r="AF40">
        <v>17</v>
      </c>
      <c r="AG40">
        <v>10471</v>
      </c>
      <c r="AH40">
        <v>5848</v>
      </c>
    </row>
    <row r="41" spans="1:34">
      <c r="A41" t="s">
        <v>103</v>
      </c>
      <c r="B41" t="s">
        <v>295</v>
      </c>
      <c r="C41">
        <v>1812</v>
      </c>
      <c r="D41">
        <v>2116</v>
      </c>
      <c r="E41">
        <v>1784</v>
      </c>
      <c r="F41">
        <v>1727</v>
      </c>
      <c r="G41">
        <v>1128</v>
      </c>
      <c r="H41">
        <v>209</v>
      </c>
      <c r="I41">
        <v>1514</v>
      </c>
      <c r="J41">
        <v>49</v>
      </c>
      <c r="K41">
        <v>10339</v>
      </c>
      <c r="P41" s="7" t="s">
        <v>116</v>
      </c>
      <c r="Q41">
        <v>1836</v>
      </c>
      <c r="R41">
        <v>1354</v>
      </c>
      <c r="S41">
        <v>1965</v>
      </c>
      <c r="T41">
        <v>1721</v>
      </c>
      <c r="U41">
        <v>1703</v>
      </c>
      <c r="V41">
        <v>1343</v>
      </c>
      <c r="W41">
        <v>1706</v>
      </c>
      <c r="X41">
        <v>1304</v>
      </c>
      <c r="Y41">
        <v>1113</v>
      </c>
      <c r="Z41">
        <v>866</v>
      </c>
      <c r="AA41">
        <v>208</v>
      </c>
      <c r="AB41">
        <v>174</v>
      </c>
      <c r="AC41">
        <v>1540</v>
      </c>
      <c r="AD41">
        <v>1263</v>
      </c>
      <c r="AE41">
        <v>49</v>
      </c>
      <c r="AF41">
        <v>14</v>
      </c>
      <c r="AG41">
        <v>10120</v>
      </c>
      <c r="AH41">
        <v>8039</v>
      </c>
    </row>
    <row r="42" spans="1:34">
      <c r="A42" t="s">
        <v>86</v>
      </c>
      <c r="B42" t="s">
        <v>295</v>
      </c>
      <c r="C42">
        <v>1773</v>
      </c>
      <c r="D42">
        <v>2115</v>
      </c>
      <c r="E42">
        <v>1801</v>
      </c>
      <c r="F42">
        <v>1744</v>
      </c>
      <c r="G42">
        <v>1149</v>
      </c>
      <c r="H42">
        <v>211</v>
      </c>
      <c r="I42">
        <v>1509</v>
      </c>
      <c r="J42">
        <v>49</v>
      </c>
      <c r="K42">
        <v>10351</v>
      </c>
      <c r="P42" s="7" t="s">
        <v>117</v>
      </c>
      <c r="Q42">
        <v>1790</v>
      </c>
      <c r="R42">
        <v>1436</v>
      </c>
      <c r="S42">
        <v>2069</v>
      </c>
      <c r="T42">
        <v>1835</v>
      </c>
      <c r="U42">
        <v>1783</v>
      </c>
      <c r="V42">
        <v>1503</v>
      </c>
      <c r="W42">
        <v>1707</v>
      </c>
      <c r="X42">
        <v>1435</v>
      </c>
      <c r="Y42">
        <v>1114</v>
      </c>
      <c r="Z42">
        <v>976</v>
      </c>
      <c r="AA42">
        <v>211</v>
      </c>
      <c r="AB42">
        <v>161</v>
      </c>
      <c r="AC42">
        <v>1545</v>
      </c>
      <c r="AD42">
        <v>1305</v>
      </c>
      <c r="AE42">
        <v>49</v>
      </c>
      <c r="AF42">
        <v>16</v>
      </c>
      <c r="AG42">
        <v>10268</v>
      </c>
      <c r="AH42">
        <v>8667</v>
      </c>
    </row>
    <row r="43" spans="1:34">
      <c r="A43" t="s">
        <v>130</v>
      </c>
      <c r="B43" t="s">
        <v>295</v>
      </c>
      <c r="C43">
        <v>1725</v>
      </c>
      <c r="D43">
        <v>2126</v>
      </c>
      <c r="E43">
        <v>1841</v>
      </c>
      <c r="F43">
        <v>1713</v>
      </c>
      <c r="G43">
        <v>1100</v>
      </c>
      <c r="H43">
        <v>213</v>
      </c>
      <c r="I43">
        <v>1547</v>
      </c>
      <c r="J43">
        <v>49</v>
      </c>
      <c r="K43">
        <v>10314</v>
      </c>
      <c r="P43" s="7" t="s">
        <v>118</v>
      </c>
      <c r="Q43">
        <v>1810</v>
      </c>
      <c r="R43">
        <v>1503</v>
      </c>
      <c r="S43">
        <v>2071</v>
      </c>
      <c r="T43">
        <v>1866</v>
      </c>
      <c r="U43">
        <v>1810</v>
      </c>
      <c r="V43">
        <v>1608</v>
      </c>
      <c r="W43">
        <v>1790</v>
      </c>
      <c r="X43">
        <v>1517</v>
      </c>
      <c r="Y43">
        <v>1197</v>
      </c>
      <c r="Z43">
        <v>984</v>
      </c>
      <c r="AA43">
        <v>208</v>
      </c>
      <c r="AB43">
        <v>171</v>
      </c>
      <c r="AC43">
        <v>1520</v>
      </c>
      <c r="AD43">
        <v>1317</v>
      </c>
      <c r="AE43">
        <v>32</v>
      </c>
      <c r="AF43">
        <v>15</v>
      </c>
      <c r="AG43">
        <v>10438</v>
      </c>
      <c r="AH43">
        <v>8981</v>
      </c>
    </row>
    <row r="44" spans="1:34">
      <c r="A44" t="s">
        <v>126</v>
      </c>
      <c r="B44" t="s">
        <v>295</v>
      </c>
      <c r="C44">
        <v>1761</v>
      </c>
      <c r="D44">
        <v>2160</v>
      </c>
      <c r="E44">
        <v>1857</v>
      </c>
      <c r="F44">
        <v>1750</v>
      </c>
      <c r="G44">
        <v>1171</v>
      </c>
      <c r="H44">
        <v>213</v>
      </c>
      <c r="I44">
        <v>1554</v>
      </c>
      <c r="J44">
        <v>49</v>
      </c>
      <c r="K44">
        <v>10515</v>
      </c>
      <c r="P44" s="7" t="s">
        <v>119</v>
      </c>
      <c r="Q44">
        <v>1799</v>
      </c>
      <c r="R44">
        <v>1618</v>
      </c>
      <c r="S44">
        <v>2329</v>
      </c>
      <c r="T44">
        <v>1964</v>
      </c>
      <c r="U44">
        <v>1758</v>
      </c>
      <c r="V44">
        <v>1497</v>
      </c>
      <c r="W44">
        <v>1715</v>
      </c>
      <c r="X44">
        <v>1522</v>
      </c>
      <c r="Y44">
        <v>1202</v>
      </c>
      <c r="Z44">
        <v>1075</v>
      </c>
      <c r="AA44">
        <v>218</v>
      </c>
      <c r="AB44">
        <v>190</v>
      </c>
      <c r="AC44">
        <v>1605</v>
      </c>
      <c r="AD44">
        <v>1426</v>
      </c>
      <c r="AE44">
        <v>40</v>
      </c>
      <c r="AF44">
        <v>29</v>
      </c>
      <c r="AG44">
        <v>10666</v>
      </c>
      <c r="AH44">
        <v>9321</v>
      </c>
    </row>
    <row r="45" spans="1:34">
      <c r="A45" t="s">
        <v>122</v>
      </c>
      <c r="B45" t="s">
        <v>295</v>
      </c>
      <c r="C45">
        <v>1768</v>
      </c>
      <c r="D45">
        <v>2143</v>
      </c>
      <c r="E45">
        <v>1795</v>
      </c>
      <c r="F45">
        <v>1738</v>
      </c>
      <c r="G45">
        <v>1223</v>
      </c>
      <c r="H45">
        <v>213</v>
      </c>
      <c r="I45">
        <v>1589</v>
      </c>
      <c r="J45">
        <v>49</v>
      </c>
      <c r="K45">
        <v>10518</v>
      </c>
      <c r="P45" s="7" t="s">
        <v>120</v>
      </c>
      <c r="Q45">
        <v>2035</v>
      </c>
      <c r="R45">
        <v>1285</v>
      </c>
      <c r="S45">
        <v>1860</v>
      </c>
      <c r="T45">
        <v>1469</v>
      </c>
      <c r="U45">
        <v>1879</v>
      </c>
      <c r="V45">
        <v>1292</v>
      </c>
      <c r="W45">
        <v>1788</v>
      </c>
      <c r="X45">
        <v>1293</v>
      </c>
      <c r="Y45">
        <v>1147</v>
      </c>
      <c r="Z45">
        <v>891</v>
      </c>
      <c r="AA45">
        <v>180</v>
      </c>
      <c r="AB45">
        <v>80</v>
      </c>
      <c r="AC45">
        <v>1447</v>
      </c>
      <c r="AD45">
        <v>1150</v>
      </c>
      <c r="AE45">
        <v>49</v>
      </c>
      <c r="AF45">
        <v>16</v>
      </c>
      <c r="AG45">
        <v>10385</v>
      </c>
      <c r="AH45">
        <v>7476</v>
      </c>
    </row>
    <row r="46" spans="1:34">
      <c r="A46" t="s">
        <v>91</v>
      </c>
      <c r="B46" t="s">
        <v>295</v>
      </c>
      <c r="C46">
        <v>1755</v>
      </c>
      <c r="D46">
        <v>2187</v>
      </c>
      <c r="E46">
        <v>1769</v>
      </c>
      <c r="F46">
        <v>1728</v>
      </c>
      <c r="G46">
        <v>1198</v>
      </c>
      <c r="H46">
        <v>216</v>
      </c>
      <c r="I46">
        <v>1609</v>
      </c>
      <c r="J46">
        <v>32</v>
      </c>
      <c r="K46">
        <v>10494</v>
      </c>
      <c r="P46" s="7" t="s">
        <v>121</v>
      </c>
      <c r="Q46">
        <v>1841</v>
      </c>
      <c r="R46">
        <v>1437</v>
      </c>
      <c r="S46">
        <v>2017</v>
      </c>
      <c r="T46">
        <v>1781</v>
      </c>
      <c r="U46">
        <v>1782</v>
      </c>
      <c r="V46">
        <v>1484</v>
      </c>
      <c r="W46">
        <v>1733</v>
      </c>
      <c r="X46">
        <v>1433</v>
      </c>
      <c r="Y46">
        <v>1133</v>
      </c>
      <c r="Z46">
        <v>949</v>
      </c>
      <c r="AA46">
        <v>203</v>
      </c>
      <c r="AB46">
        <v>167</v>
      </c>
      <c r="AC46">
        <v>1562</v>
      </c>
      <c r="AD46">
        <v>1321</v>
      </c>
      <c r="AE46">
        <v>49</v>
      </c>
      <c r="AF46">
        <v>15</v>
      </c>
      <c r="AG46">
        <v>10320</v>
      </c>
      <c r="AH46">
        <v>8587</v>
      </c>
    </row>
    <row r="47" spans="1:34">
      <c r="A47" t="s">
        <v>99</v>
      </c>
      <c r="B47" t="s">
        <v>295</v>
      </c>
      <c r="C47">
        <v>1808</v>
      </c>
      <c r="D47">
        <v>2187</v>
      </c>
      <c r="E47">
        <v>1778</v>
      </c>
      <c r="F47">
        <v>1743</v>
      </c>
      <c r="G47">
        <v>1209</v>
      </c>
      <c r="H47">
        <v>220</v>
      </c>
      <c r="I47">
        <v>1586</v>
      </c>
      <c r="J47">
        <v>32</v>
      </c>
      <c r="K47">
        <v>10563</v>
      </c>
      <c r="P47" s="7" t="s">
        <v>122</v>
      </c>
      <c r="Q47">
        <v>1768</v>
      </c>
      <c r="R47">
        <v>1504</v>
      </c>
      <c r="S47">
        <v>2143</v>
      </c>
      <c r="T47">
        <v>1828</v>
      </c>
      <c r="U47">
        <v>1795</v>
      </c>
      <c r="V47">
        <v>1561</v>
      </c>
      <c r="W47">
        <v>1738</v>
      </c>
      <c r="X47">
        <v>1516</v>
      </c>
      <c r="Y47">
        <v>1223</v>
      </c>
      <c r="Z47">
        <v>1022</v>
      </c>
      <c r="AA47">
        <v>213</v>
      </c>
      <c r="AB47">
        <v>178</v>
      </c>
      <c r="AC47">
        <v>1589</v>
      </c>
      <c r="AD47">
        <v>1357</v>
      </c>
      <c r="AE47">
        <v>49</v>
      </c>
      <c r="AF47">
        <v>21</v>
      </c>
      <c r="AG47">
        <v>10518</v>
      </c>
      <c r="AH47">
        <v>8987</v>
      </c>
    </row>
    <row r="48" spans="1:34">
      <c r="A48" t="s">
        <v>95</v>
      </c>
      <c r="B48" t="s">
        <v>295</v>
      </c>
      <c r="C48">
        <v>1795</v>
      </c>
      <c r="D48">
        <v>2091</v>
      </c>
      <c r="E48">
        <v>1781</v>
      </c>
      <c r="F48">
        <v>1757</v>
      </c>
      <c r="G48">
        <v>1219</v>
      </c>
      <c r="H48">
        <v>220</v>
      </c>
      <c r="I48">
        <v>1548</v>
      </c>
      <c r="J48">
        <v>32</v>
      </c>
      <c r="K48">
        <v>10443</v>
      </c>
      <c r="P48" s="7" t="s">
        <v>123</v>
      </c>
      <c r="Q48">
        <v>1808</v>
      </c>
      <c r="R48">
        <v>1578</v>
      </c>
      <c r="S48">
        <v>2189</v>
      </c>
      <c r="T48">
        <v>1948</v>
      </c>
      <c r="U48">
        <v>1764</v>
      </c>
      <c r="V48">
        <v>1478</v>
      </c>
      <c r="W48">
        <v>1694</v>
      </c>
      <c r="X48">
        <v>1495</v>
      </c>
      <c r="Y48">
        <v>1188</v>
      </c>
      <c r="Z48">
        <v>1046</v>
      </c>
      <c r="AA48">
        <v>212</v>
      </c>
      <c r="AB48">
        <v>183</v>
      </c>
      <c r="AC48">
        <v>1607</v>
      </c>
      <c r="AD48">
        <v>1409</v>
      </c>
      <c r="AE48">
        <v>40</v>
      </c>
      <c r="AF48">
        <v>31</v>
      </c>
      <c r="AG48">
        <v>10502</v>
      </c>
      <c r="AH48">
        <v>9168</v>
      </c>
    </row>
    <row r="49" spans="1:34">
      <c r="A49" t="s">
        <v>113</v>
      </c>
      <c r="B49" t="s">
        <v>295</v>
      </c>
      <c r="C49">
        <v>1887</v>
      </c>
      <c r="D49">
        <v>2149</v>
      </c>
      <c r="E49">
        <v>1605</v>
      </c>
      <c r="F49">
        <v>1770</v>
      </c>
      <c r="G49">
        <v>1197</v>
      </c>
      <c r="H49">
        <v>211</v>
      </c>
      <c r="I49">
        <v>1560</v>
      </c>
      <c r="J49">
        <v>32</v>
      </c>
      <c r="K49">
        <v>10411</v>
      </c>
      <c r="P49" s="7" t="s">
        <v>124</v>
      </c>
      <c r="Q49">
        <v>1922</v>
      </c>
      <c r="R49">
        <v>1340</v>
      </c>
      <c r="S49">
        <v>1881</v>
      </c>
      <c r="T49">
        <v>1518</v>
      </c>
      <c r="U49">
        <v>1840</v>
      </c>
      <c r="V49">
        <v>1301</v>
      </c>
      <c r="W49">
        <v>1757</v>
      </c>
      <c r="X49">
        <v>1249</v>
      </c>
      <c r="Y49">
        <v>1154</v>
      </c>
      <c r="Z49">
        <v>875</v>
      </c>
      <c r="AA49">
        <v>211</v>
      </c>
      <c r="AB49">
        <v>149</v>
      </c>
      <c r="AC49">
        <v>1473</v>
      </c>
      <c r="AD49">
        <v>1161</v>
      </c>
      <c r="AE49">
        <v>49</v>
      </c>
      <c r="AF49">
        <v>16</v>
      </c>
      <c r="AG49">
        <v>10287</v>
      </c>
      <c r="AH49">
        <v>7609</v>
      </c>
    </row>
    <row r="50" spans="1:34">
      <c r="A50" t="s">
        <v>82</v>
      </c>
      <c r="B50" t="s">
        <v>295</v>
      </c>
      <c r="C50">
        <v>1877</v>
      </c>
      <c r="D50">
        <v>2158</v>
      </c>
      <c r="E50">
        <v>1813</v>
      </c>
      <c r="F50">
        <v>1780</v>
      </c>
      <c r="G50">
        <v>1183</v>
      </c>
      <c r="H50">
        <v>208</v>
      </c>
      <c r="I50">
        <v>1539</v>
      </c>
      <c r="J50">
        <v>32</v>
      </c>
      <c r="K50">
        <v>10590</v>
      </c>
      <c r="P50" s="7" t="s">
        <v>125</v>
      </c>
      <c r="Q50">
        <v>1842</v>
      </c>
      <c r="R50">
        <v>1405</v>
      </c>
      <c r="S50">
        <v>2026</v>
      </c>
      <c r="T50">
        <v>1764</v>
      </c>
      <c r="U50">
        <v>1743</v>
      </c>
      <c r="V50">
        <v>1438</v>
      </c>
      <c r="W50">
        <v>1719</v>
      </c>
      <c r="X50">
        <v>1436</v>
      </c>
      <c r="Y50">
        <v>1129</v>
      </c>
      <c r="Z50">
        <v>946</v>
      </c>
      <c r="AA50">
        <v>205</v>
      </c>
      <c r="AB50">
        <v>167</v>
      </c>
      <c r="AC50">
        <v>1577</v>
      </c>
      <c r="AD50">
        <v>1317</v>
      </c>
      <c r="AE50">
        <v>49</v>
      </c>
      <c r="AF50">
        <v>16</v>
      </c>
      <c r="AG50">
        <v>10290</v>
      </c>
      <c r="AH50">
        <v>8489</v>
      </c>
    </row>
    <row r="51" spans="1:34">
      <c r="A51" t="s">
        <v>118</v>
      </c>
      <c r="B51" t="s">
        <v>295</v>
      </c>
      <c r="C51">
        <v>1810</v>
      </c>
      <c r="D51">
        <v>2071</v>
      </c>
      <c r="E51">
        <v>1810</v>
      </c>
      <c r="F51">
        <v>1790</v>
      </c>
      <c r="G51">
        <v>1197</v>
      </c>
      <c r="H51">
        <v>208</v>
      </c>
      <c r="I51">
        <v>1520</v>
      </c>
      <c r="J51">
        <v>32</v>
      </c>
      <c r="K51">
        <v>10438</v>
      </c>
      <c r="P51" s="7" t="s">
        <v>126</v>
      </c>
      <c r="Q51">
        <v>1761</v>
      </c>
      <c r="R51">
        <v>1514</v>
      </c>
      <c r="S51">
        <v>2160</v>
      </c>
      <c r="T51">
        <v>1903</v>
      </c>
      <c r="U51">
        <v>1857</v>
      </c>
      <c r="V51">
        <v>1626</v>
      </c>
      <c r="W51">
        <v>1750</v>
      </c>
      <c r="X51">
        <v>1507</v>
      </c>
      <c r="Y51">
        <v>1171</v>
      </c>
      <c r="Z51">
        <v>1021</v>
      </c>
      <c r="AA51">
        <v>213</v>
      </c>
      <c r="AB51">
        <v>173</v>
      </c>
      <c r="AC51">
        <v>1554</v>
      </c>
      <c r="AD51">
        <v>1357</v>
      </c>
      <c r="AE51">
        <v>49</v>
      </c>
      <c r="AF51">
        <v>21</v>
      </c>
      <c r="AG51">
        <v>10515</v>
      </c>
      <c r="AH51">
        <v>9122</v>
      </c>
    </row>
    <row r="52" spans="1:34">
      <c r="A52" t="s">
        <v>109</v>
      </c>
      <c r="B52" t="s">
        <v>295</v>
      </c>
      <c r="C52">
        <v>1895</v>
      </c>
      <c r="D52">
        <v>2169</v>
      </c>
      <c r="E52">
        <v>1756</v>
      </c>
      <c r="F52">
        <v>1778</v>
      </c>
      <c r="G52">
        <v>1173</v>
      </c>
      <c r="H52">
        <v>192</v>
      </c>
      <c r="I52">
        <v>1512</v>
      </c>
      <c r="J52">
        <v>32</v>
      </c>
      <c r="K52">
        <v>10507</v>
      </c>
      <c r="P52" s="7" t="s">
        <v>127</v>
      </c>
      <c r="Q52">
        <v>1758</v>
      </c>
      <c r="R52">
        <v>1533</v>
      </c>
      <c r="S52">
        <v>2227</v>
      </c>
      <c r="T52">
        <v>1971</v>
      </c>
      <c r="U52">
        <v>1770</v>
      </c>
      <c r="V52">
        <v>1460</v>
      </c>
      <c r="W52">
        <v>1686</v>
      </c>
      <c r="X52">
        <v>1461</v>
      </c>
      <c r="Y52">
        <v>1195</v>
      </c>
      <c r="Z52">
        <v>1036</v>
      </c>
      <c r="AA52">
        <v>217</v>
      </c>
      <c r="AB52">
        <v>176</v>
      </c>
      <c r="AC52">
        <v>1572</v>
      </c>
      <c r="AD52">
        <v>1400</v>
      </c>
      <c r="AE52">
        <v>40</v>
      </c>
      <c r="AF52">
        <v>28</v>
      </c>
      <c r="AG52">
        <v>10465</v>
      </c>
      <c r="AH52">
        <v>9065</v>
      </c>
    </row>
    <row r="53" spans="1:34">
      <c r="A53" t="s">
        <v>104</v>
      </c>
      <c r="B53" t="s">
        <v>295</v>
      </c>
      <c r="C53">
        <v>2019</v>
      </c>
      <c r="D53">
        <v>2104</v>
      </c>
      <c r="E53">
        <v>1794</v>
      </c>
      <c r="F53">
        <v>1781</v>
      </c>
      <c r="G53">
        <v>1167</v>
      </c>
      <c r="H53">
        <v>194</v>
      </c>
      <c r="I53">
        <v>1488</v>
      </c>
      <c r="J53">
        <v>32</v>
      </c>
      <c r="K53">
        <v>10579</v>
      </c>
      <c r="P53" s="7" t="s">
        <v>128</v>
      </c>
      <c r="Q53">
        <v>1873</v>
      </c>
      <c r="R53">
        <v>1360</v>
      </c>
      <c r="S53">
        <v>1961</v>
      </c>
      <c r="T53">
        <v>1509</v>
      </c>
      <c r="U53">
        <v>1872</v>
      </c>
      <c r="V53">
        <v>1279</v>
      </c>
      <c r="W53">
        <v>1715</v>
      </c>
      <c r="X53">
        <v>1335</v>
      </c>
      <c r="Y53">
        <v>1169</v>
      </c>
      <c r="Z53">
        <v>885</v>
      </c>
      <c r="AA53">
        <v>206</v>
      </c>
      <c r="AB53">
        <v>147</v>
      </c>
      <c r="AC53">
        <v>1454</v>
      </c>
      <c r="AD53">
        <v>1167</v>
      </c>
      <c r="AE53">
        <v>49</v>
      </c>
      <c r="AF53">
        <v>18</v>
      </c>
      <c r="AG53">
        <v>10299</v>
      </c>
      <c r="AH53">
        <v>7700</v>
      </c>
    </row>
    <row r="54" spans="1:34">
      <c r="A54" t="s">
        <v>70</v>
      </c>
      <c r="B54" t="s">
        <v>299</v>
      </c>
      <c r="C54">
        <v>1554</v>
      </c>
      <c r="D54">
        <v>1968</v>
      </c>
      <c r="E54">
        <v>1490</v>
      </c>
      <c r="F54">
        <v>1492</v>
      </c>
      <c r="G54">
        <v>1087</v>
      </c>
      <c r="H54">
        <v>166</v>
      </c>
      <c r="I54">
        <v>1410</v>
      </c>
      <c r="J54">
        <v>29</v>
      </c>
      <c r="K54">
        <v>9196</v>
      </c>
      <c r="P54" s="7" t="s">
        <v>129</v>
      </c>
      <c r="Q54">
        <v>1923</v>
      </c>
      <c r="R54">
        <v>1346</v>
      </c>
      <c r="S54">
        <v>2015</v>
      </c>
      <c r="T54">
        <v>1745</v>
      </c>
      <c r="U54">
        <v>1727</v>
      </c>
      <c r="V54">
        <v>1418</v>
      </c>
      <c r="W54">
        <v>1741</v>
      </c>
      <c r="X54">
        <v>1399</v>
      </c>
      <c r="Y54">
        <v>1129</v>
      </c>
      <c r="Z54">
        <v>961</v>
      </c>
      <c r="AA54">
        <v>202</v>
      </c>
      <c r="AB54">
        <v>162</v>
      </c>
      <c r="AC54">
        <v>1541</v>
      </c>
      <c r="AD54">
        <v>1310</v>
      </c>
      <c r="AE54">
        <v>49</v>
      </c>
      <c r="AF54">
        <v>15</v>
      </c>
      <c r="AG54">
        <v>10327</v>
      </c>
      <c r="AH54">
        <v>8356</v>
      </c>
    </row>
    <row r="55" spans="1:34">
      <c r="A55" t="s">
        <v>114</v>
      </c>
      <c r="B55" t="s">
        <v>299</v>
      </c>
      <c r="C55">
        <v>1573</v>
      </c>
      <c r="D55">
        <v>1967</v>
      </c>
      <c r="E55">
        <v>1471</v>
      </c>
      <c r="F55">
        <v>1488</v>
      </c>
      <c r="G55">
        <v>1056</v>
      </c>
      <c r="H55">
        <v>168</v>
      </c>
      <c r="I55">
        <v>1398</v>
      </c>
      <c r="J55">
        <v>29</v>
      </c>
      <c r="K55">
        <v>9150</v>
      </c>
      <c r="P55" s="7" t="s">
        <v>130</v>
      </c>
      <c r="Q55">
        <v>1725</v>
      </c>
      <c r="R55">
        <v>1280</v>
      </c>
      <c r="S55">
        <v>2126</v>
      </c>
      <c r="T55">
        <v>1795</v>
      </c>
      <c r="U55">
        <v>1841</v>
      </c>
      <c r="V55">
        <v>1593</v>
      </c>
      <c r="W55">
        <v>1713</v>
      </c>
      <c r="X55">
        <v>1486</v>
      </c>
      <c r="Y55">
        <v>1100</v>
      </c>
      <c r="Z55">
        <v>974</v>
      </c>
      <c r="AA55">
        <v>213</v>
      </c>
      <c r="AB55">
        <v>168</v>
      </c>
      <c r="AC55">
        <v>1547</v>
      </c>
      <c r="AD55">
        <v>1347</v>
      </c>
      <c r="AE55">
        <v>49</v>
      </c>
      <c r="AF55">
        <v>21</v>
      </c>
      <c r="AG55">
        <v>10314</v>
      </c>
      <c r="AH55">
        <v>8664</v>
      </c>
    </row>
    <row r="56" spans="1:34">
      <c r="A56" t="s">
        <v>105</v>
      </c>
      <c r="B56" t="s">
        <v>299</v>
      </c>
      <c r="C56">
        <v>1538</v>
      </c>
      <c r="D56">
        <v>1942</v>
      </c>
      <c r="E56">
        <v>1466</v>
      </c>
      <c r="F56">
        <v>1469</v>
      </c>
      <c r="G56">
        <v>1045</v>
      </c>
      <c r="H56">
        <v>174</v>
      </c>
      <c r="I56">
        <v>1395</v>
      </c>
      <c r="J56">
        <v>29</v>
      </c>
      <c r="K56">
        <v>9058</v>
      </c>
      <c r="P56" s="7" t="s">
        <v>131</v>
      </c>
      <c r="Q56">
        <v>95721</v>
      </c>
      <c r="R56">
        <v>74265</v>
      </c>
      <c r="S56">
        <v>109135</v>
      </c>
      <c r="T56">
        <v>91148</v>
      </c>
      <c r="U56">
        <v>93332</v>
      </c>
      <c r="V56">
        <v>73962</v>
      </c>
      <c r="W56">
        <v>89706</v>
      </c>
      <c r="X56">
        <v>73212</v>
      </c>
      <c r="Y56">
        <v>60630</v>
      </c>
      <c r="Z56">
        <v>49345</v>
      </c>
      <c r="AA56">
        <v>10826</v>
      </c>
      <c r="AB56">
        <v>8342</v>
      </c>
      <c r="AC56">
        <v>79468</v>
      </c>
      <c r="AD56">
        <v>66263</v>
      </c>
      <c r="AE56">
        <v>2313</v>
      </c>
      <c r="AF56">
        <v>954</v>
      </c>
      <c r="AG56">
        <v>541131</v>
      </c>
      <c r="AH56">
        <v>437491</v>
      </c>
    </row>
    <row r="57" spans="1:34">
      <c r="A57" t="s">
        <v>100</v>
      </c>
      <c r="B57" t="s">
        <v>299</v>
      </c>
      <c r="C57">
        <v>1525</v>
      </c>
      <c r="D57">
        <v>1935</v>
      </c>
      <c r="E57">
        <v>1449</v>
      </c>
      <c r="F57">
        <v>1454</v>
      </c>
      <c r="G57">
        <v>1003</v>
      </c>
      <c r="H57">
        <v>178</v>
      </c>
      <c r="I57">
        <v>1379</v>
      </c>
      <c r="J57">
        <v>25</v>
      </c>
      <c r="K57">
        <v>8948</v>
      </c>
    </row>
    <row r="58" spans="1:34">
      <c r="A58" t="s">
        <v>83</v>
      </c>
      <c r="B58" t="s">
        <v>299</v>
      </c>
      <c r="C58">
        <v>1527</v>
      </c>
      <c r="D58">
        <v>1924</v>
      </c>
      <c r="E58">
        <v>1417</v>
      </c>
      <c r="F58">
        <v>1424</v>
      </c>
      <c r="G58">
        <v>996</v>
      </c>
      <c r="H58">
        <v>174</v>
      </c>
      <c r="I58">
        <v>1368</v>
      </c>
      <c r="J58">
        <v>28</v>
      </c>
      <c r="K58">
        <v>8858</v>
      </c>
    </row>
    <row r="59" spans="1:34">
      <c r="A59" t="s">
        <v>127</v>
      </c>
      <c r="B59" t="s">
        <v>299</v>
      </c>
      <c r="C59">
        <v>1533</v>
      </c>
      <c r="D59">
        <v>1971</v>
      </c>
      <c r="E59">
        <v>1460</v>
      </c>
      <c r="F59">
        <v>1461</v>
      </c>
      <c r="G59">
        <v>1036</v>
      </c>
      <c r="H59">
        <v>176</v>
      </c>
      <c r="I59">
        <v>1400</v>
      </c>
      <c r="J59">
        <v>28</v>
      </c>
      <c r="K59">
        <v>9065</v>
      </c>
    </row>
    <row r="60" spans="1:34">
      <c r="A60" t="s">
        <v>123</v>
      </c>
      <c r="B60" t="s">
        <v>299</v>
      </c>
      <c r="C60">
        <v>1578</v>
      </c>
      <c r="D60">
        <v>1948</v>
      </c>
      <c r="E60">
        <v>1478</v>
      </c>
      <c r="F60">
        <v>1495</v>
      </c>
      <c r="G60">
        <v>1046</v>
      </c>
      <c r="H60">
        <v>183</v>
      </c>
      <c r="I60">
        <v>1409</v>
      </c>
      <c r="J60">
        <v>31</v>
      </c>
      <c r="K60">
        <v>9168</v>
      </c>
    </row>
    <row r="61" spans="1:34">
      <c r="A61" t="s">
        <v>119</v>
      </c>
      <c r="B61" t="s">
        <v>299</v>
      </c>
      <c r="C61">
        <v>1618</v>
      </c>
      <c r="D61">
        <v>1964</v>
      </c>
      <c r="E61">
        <v>1497</v>
      </c>
      <c r="F61">
        <v>1522</v>
      </c>
      <c r="G61">
        <v>1075</v>
      </c>
      <c r="H61">
        <v>190</v>
      </c>
      <c r="I61">
        <v>1426</v>
      </c>
      <c r="J61">
        <v>29</v>
      </c>
      <c r="K61">
        <v>9321</v>
      </c>
    </row>
    <row r="62" spans="1:34">
      <c r="A62" t="s">
        <v>88</v>
      </c>
      <c r="B62" t="s">
        <v>299</v>
      </c>
      <c r="C62">
        <v>1579</v>
      </c>
      <c r="D62">
        <v>1827</v>
      </c>
      <c r="E62">
        <v>1420</v>
      </c>
      <c r="F62">
        <v>1496</v>
      </c>
      <c r="G62">
        <v>1062</v>
      </c>
      <c r="H62">
        <v>185</v>
      </c>
      <c r="I62">
        <v>1416</v>
      </c>
      <c r="J62">
        <v>29</v>
      </c>
      <c r="K62">
        <v>9014</v>
      </c>
    </row>
    <row r="63" spans="1:34">
      <c r="A63" t="s">
        <v>96</v>
      </c>
      <c r="B63" t="s">
        <v>299</v>
      </c>
      <c r="C63">
        <v>1707</v>
      </c>
      <c r="D63">
        <v>1929</v>
      </c>
      <c r="E63">
        <v>1491</v>
      </c>
      <c r="F63">
        <v>1547</v>
      </c>
      <c r="G63">
        <v>1102</v>
      </c>
      <c r="H63">
        <v>184</v>
      </c>
      <c r="I63">
        <v>1442</v>
      </c>
      <c r="J63">
        <v>29</v>
      </c>
      <c r="K63">
        <v>9431</v>
      </c>
    </row>
    <row r="64" spans="1:34">
      <c r="A64" t="s">
        <v>92</v>
      </c>
      <c r="B64" t="s">
        <v>299</v>
      </c>
      <c r="C64">
        <v>1714</v>
      </c>
      <c r="D64">
        <v>1859</v>
      </c>
      <c r="E64">
        <v>1512</v>
      </c>
      <c r="F64">
        <v>1525</v>
      </c>
      <c r="G64">
        <v>1074</v>
      </c>
      <c r="H64">
        <v>172</v>
      </c>
      <c r="I64">
        <v>1401</v>
      </c>
      <c r="J64">
        <v>28</v>
      </c>
      <c r="K64">
        <v>9285</v>
      </c>
    </row>
    <row r="65" spans="1:11">
      <c r="A65" t="s">
        <v>110</v>
      </c>
      <c r="B65" t="s">
        <v>299</v>
      </c>
      <c r="C65">
        <v>1348</v>
      </c>
      <c r="D65">
        <v>1635</v>
      </c>
      <c r="E65">
        <v>1303</v>
      </c>
      <c r="F65">
        <v>1358</v>
      </c>
      <c r="G65">
        <v>861</v>
      </c>
      <c r="H65">
        <v>159</v>
      </c>
      <c r="I65">
        <v>1219</v>
      </c>
      <c r="J65">
        <v>19</v>
      </c>
      <c r="K65">
        <v>7902</v>
      </c>
    </row>
    <row r="66" spans="1:11">
      <c r="A66" t="s">
        <v>79</v>
      </c>
      <c r="B66" t="s">
        <v>299</v>
      </c>
      <c r="C66">
        <v>863</v>
      </c>
      <c r="D66">
        <v>1120</v>
      </c>
      <c r="E66">
        <v>941</v>
      </c>
      <c r="F66">
        <v>1019</v>
      </c>
      <c r="G66">
        <v>522</v>
      </c>
      <c r="H66">
        <v>92</v>
      </c>
      <c r="I66">
        <v>799</v>
      </c>
      <c r="J66">
        <v>13</v>
      </c>
      <c r="K66">
        <v>5369</v>
      </c>
    </row>
    <row r="67" spans="1:11">
      <c r="A67" t="s">
        <v>115</v>
      </c>
      <c r="B67" t="s">
        <v>299</v>
      </c>
      <c r="C67">
        <v>920</v>
      </c>
      <c r="D67">
        <v>1277</v>
      </c>
      <c r="E67">
        <v>972</v>
      </c>
      <c r="F67">
        <v>1088</v>
      </c>
      <c r="G67">
        <v>625</v>
      </c>
      <c r="H67">
        <v>104</v>
      </c>
      <c r="I67">
        <v>845</v>
      </c>
      <c r="J67">
        <v>17</v>
      </c>
      <c r="K67">
        <v>5848</v>
      </c>
    </row>
    <row r="68" spans="1:11">
      <c r="A68" t="s">
        <v>106</v>
      </c>
      <c r="B68" t="s">
        <v>299</v>
      </c>
      <c r="C68">
        <v>1079</v>
      </c>
      <c r="D68">
        <v>1417</v>
      </c>
      <c r="E68">
        <v>1136</v>
      </c>
      <c r="F68">
        <v>1169</v>
      </c>
      <c r="G68">
        <v>724</v>
      </c>
      <c r="H68">
        <v>109</v>
      </c>
      <c r="I68">
        <v>959</v>
      </c>
      <c r="J68">
        <v>19</v>
      </c>
      <c r="K68">
        <v>6612</v>
      </c>
    </row>
    <row r="69" spans="1:11">
      <c r="A69" t="s">
        <v>101</v>
      </c>
      <c r="B69" t="s">
        <v>299</v>
      </c>
      <c r="C69">
        <v>1222</v>
      </c>
      <c r="D69">
        <v>1525</v>
      </c>
      <c r="E69">
        <v>1197</v>
      </c>
      <c r="F69">
        <v>1264</v>
      </c>
      <c r="G69">
        <v>787</v>
      </c>
      <c r="H69">
        <v>129</v>
      </c>
      <c r="I69">
        <v>1051</v>
      </c>
      <c r="J69">
        <v>17</v>
      </c>
      <c r="K69">
        <v>7192</v>
      </c>
    </row>
    <row r="70" spans="1:11">
      <c r="A70" t="s">
        <v>84</v>
      </c>
      <c r="B70" t="s">
        <v>299</v>
      </c>
      <c r="C70">
        <v>1283</v>
      </c>
      <c r="D70">
        <v>1478</v>
      </c>
      <c r="E70">
        <v>1242</v>
      </c>
      <c r="F70">
        <v>1313</v>
      </c>
      <c r="G70">
        <v>840</v>
      </c>
      <c r="H70">
        <v>139</v>
      </c>
      <c r="I70">
        <v>1125</v>
      </c>
      <c r="J70">
        <v>20</v>
      </c>
      <c r="K70">
        <v>7440</v>
      </c>
    </row>
    <row r="71" spans="1:11">
      <c r="A71" t="s">
        <v>128</v>
      </c>
      <c r="B71" t="s">
        <v>299</v>
      </c>
      <c r="C71">
        <v>1360</v>
      </c>
      <c r="D71">
        <v>1509</v>
      </c>
      <c r="E71">
        <v>1279</v>
      </c>
      <c r="F71">
        <v>1335</v>
      </c>
      <c r="G71">
        <v>885</v>
      </c>
      <c r="H71">
        <v>147</v>
      </c>
      <c r="I71">
        <v>1167</v>
      </c>
      <c r="J71">
        <v>18</v>
      </c>
      <c r="K71">
        <v>7700</v>
      </c>
    </row>
    <row r="72" spans="1:11">
      <c r="A72" t="s">
        <v>124</v>
      </c>
      <c r="B72" t="s">
        <v>299</v>
      </c>
      <c r="C72">
        <v>1340</v>
      </c>
      <c r="D72">
        <v>1518</v>
      </c>
      <c r="E72">
        <v>1301</v>
      </c>
      <c r="F72">
        <v>1249</v>
      </c>
      <c r="G72">
        <v>875</v>
      </c>
      <c r="H72">
        <v>149</v>
      </c>
      <c r="I72">
        <v>1161</v>
      </c>
      <c r="J72">
        <v>16</v>
      </c>
      <c r="K72">
        <v>7609</v>
      </c>
    </row>
    <row r="73" spans="1:11">
      <c r="A73" t="s">
        <v>120</v>
      </c>
      <c r="B73" t="s">
        <v>299</v>
      </c>
      <c r="C73">
        <v>1285</v>
      </c>
      <c r="D73">
        <v>1469</v>
      </c>
      <c r="E73">
        <v>1292</v>
      </c>
      <c r="F73">
        <v>1293</v>
      </c>
      <c r="G73">
        <v>891</v>
      </c>
      <c r="H73">
        <v>80</v>
      </c>
      <c r="I73">
        <v>1150</v>
      </c>
      <c r="J73">
        <v>16</v>
      </c>
      <c r="K73">
        <v>7476</v>
      </c>
    </row>
    <row r="74" spans="1:11">
      <c r="A74" t="s">
        <v>89</v>
      </c>
      <c r="B74" t="s">
        <v>299</v>
      </c>
      <c r="C74">
        <v>1271</v>
      </c>
      <c r="D74">
        <v>1554</v>
      </c>
      <c r="E74">
        <v>1264</v>
      </c>
      <c r="F74">
        <v>1285</v>
      </c>
      <c r="G74">
        <v>844</v>
      </c>
      <c r="H74">
        <v>132</v>
      </c>
      <c r="I74">
        <v>1160</v>
      </c>
      <c r="J74">
        <v>14</v>
      </c>
      <c r="K74">
        <v>7524</v>
      </c>
    </row>
    <row r="75" spans="1:11">
      <c r="A75" t="s">
        <v>97</v>
      </c>
      <c r="B75" t="s">
        <v>299</v>
      </c>
      <c r="C75">
        <v>1366</v>
      </c>
      <c r="D75">
        <v>1641</v>
      </c>
      <c r="E75">
        <v>1291</v>
      </c>
      <c r="F75">
        <v>1320</v>
      </c>
      <c r="G75">
        <v>840</v>
      </c>
      <c r="H75">
        <v>145</v>
      </c>
      <c r="I75">
        <v>1196</v>
      </c>
      <c r="J75">
        <v>9</v>
      </c>
      <c r="K75">
        <v>7808</v>
      </c>
    </row>
    <row r="76" spans="1:11">
      <c r="A76" t="s">
        <v>93</v>
      </c>
      <c r="B76" t="s">
        <v>299</v>
      </c>
      <c r="C76">
        <v>1243</v>
      </c>
      <c r="D76">
        <v>1650</v>
      </c>
      <c r="E76">
        <v>1304</v>
      </c>
      <c r="F76">
        <v>1276</v>
      </c>
      <c r="G76">
        <v>830</v>
      </c>
      <c r="H76">
        <v>141</v>
      </c>
      <c r="I76">
        <v>1180</v>
      </c>
      <c r="J76">
        <v>7</v>
      </c>
      <c r="K76">
        <v>7631</v>
      </c>
    </row>
    <row r="77" spans="1:11">
      <c r="A77" t="s">
        <v>111</v>
      </c>
      <c r="B77" t="s">
        <v>299</v>
      </c>
      <c r="C77">
        <v>1319</v>
      </c>
      <c r="D77">
        <v>1669</v>
      </c>
      <c r="E77">
        <v>1311</v>
      </c>
      <c r="F77">
        <v>1251</v>
      </c>
      <c r="G77">
        <v>898</v>
      </c>
      <c r="H77">
        <v>160</v>
      </c>
      <c r="I77">
        <v>1212</v>
      </c>
      <c r="J77">
        <v>10</v>
      </c>
      <c r="K77">
        <v>7830</v>
      </c>
    </row>
    <row r="78" spans="1:11">
      <c r="A78" t="s">
        <v>80</v>
      </c>
      <c r="B78" t="s">
        <v>299</v>
      </c>
      <c r="C78">
        <v>1307</v>
      </c>
      <c r="D78">
        <v>1670</v>
      </c>
      <c r="E78">
        <v>1332</v>
      </c>
      <c r="F78">
        <v>1286</v>
      </c>
      <c r="G78">
        <v>893</v>
      </c>
      <c r="H78">
        <v>172</v>
      </c>
      <c r="I78">
        <v>1224</v>
      </c>
      <c r="J78">
        <v>12</v>
      </c>
      <c r="K78">
        <v>7896</v>
      </c>
    </row>
    <row r="79" spans="1:11">
      <c r="A79" t="s">
        <v>116</v>
      </c>
      <c r="B79" t="s">
        <v>299</v>
      </c>
      <c r="C79">
        <v>1354</v>
      </c>
      <c r="D79">
        <v>1721</v>
      </c>
      <c r="E79">
        <v>1343</v>
      </c>
      <c r="F79">
        <v>1304</v>
      </c>
      <c r="G79">
        <v>866</v>
      </c>
      <c r="H79">
        <v>174</v>
      </c>
      <c r="I79">
        <v>1263</v>
      </c>
      <c r="J79">
        <v>14</v>
      </c>
      <c r="K79">
        <v>8039</v>
      </c>
    </row>
    <row r="80" spans="1:11">
      <c r="A80" t="s">
        <v>107</v>
      </c>
      <c r="B80" t="s">
        <v>299</v>
      </c>
      <c r="C80">
        <v>1331</v>
      </c>
      <c r="D80">
        <v>1724</v>
      </c>
      <c r="E80">
        <v>1375</v>
      </c>
      <c r="F80">
        <v>1292</v>
      </c>
      <c r="G80">
        <v>980</v>
      </c>
      <c r="H80">
        <v>176</v>
      </c>
      <c r="I80">
        <v>1277</v>
      </c>
      <c r="J80">
        <v>15</v>
      </c>
      <c r="K80">
        <v>8170</v>
      </c>
    </row>
    <row r="81" spans="1:11">
      <c r="A81" t="s">
        <v>102</v>
      </c>
      <c r="B81" t="s">
        <v>299</v>
      </c>
      <c r="C81">
        <v>1394</v>
      </c>
      <c r="D81">
        <v>1718</v>
      </c>
      <c r="E81">
        <v>1400</v>
      </c>
      <c r="F81">
        <v>1331</v>
      </c>
      <c r="G81">
        <v>932</v>
      </c>
      <c r="H81">
        <v>166</v>
      </c>
      <c r="I81">
        <v>1261</v>
      </c>
      <c r="J81">
        <v>14</v>
      </c>
      <c r="K81">
        <v>8216</v>
      </c>
    </row>
    <row r="82" spans="1:11">
      <c r="A82" t="s">
        <v>85</v>
      </c>
      <c r="B82" t="s">
        <v>299</v>
      </c>
      <c r="C82">
        <v>1311</v>
      </c>
      <c r="D82">
        <v>1769</v>
      </c>
      <c r="E82">
        <v>1384</v>
      </c>
      <c r="F82">
        <v>1356</v>
      </c>
      <c r="G82">
        <v>956</v>
      </c>
      <c r="H82">
        <v>161</v>
      </c>
      <c r="I82">
        <v>1264</v>
      </c>
      <c r="J82">
        <v>14</v>
      </c>
      <c r="K82">
        <v>8215</v>
      </c>
    </row>
    <row r="83" spans="1:11">
      <c r="A83" t="s">
        <v>129</v>
      </c>
      <c r="B83" t="s">
        <v>299</v>
      </c>
      <c r="C83">
        <v>1346</v>
      </c>
      <c r="D83">
        <v>1745</v>
      </c>
      <c r="E83">
        <v>1418</v>
      </c>
      <c r="F83">
        <v>1399</v>
      </c>
      <c r="G83">
        <v>961</v>
      </c>
      <c r="H83">
        <v>162</v>
      </c>
      <c r="I83">
        <v>1310</v>
      </c>
      <c r="J83">
        <v>15</v>
      </c>
      <c r="K83">
        <v>8356</v>
      </c>
    </row>
    <row r="84" spans="1:11">
      <c r="A84" t="s">
        <v>125</v>
      </c>
      <c r="B84" t="s">
        <v>299</v>
      </c>
      <c r="C84">
        <v>1405</v>
      </c>
      <c r="D84">
        <v>1764</v>
      </c>
      <c r="E84">
        <v>1438</v>
      </c>
      <c r="F84">
        <v>1436</v>
      </c>
      <c r="G84">
        <v>946</v>
      </c>
      <c r="H84">
        <v>167</v>
      </c>
      <c r="I84">
        <v>1317</v>
      </c>
      <c r="J84">
        <v>16</v>
      </c>
      <c r="K84">
        <v>8489</v>
      </c>
    </row>
    <row r="85" spans="1:11">
      <c r="A85" t="s">
        <v>121</v>
      </c>
      <c r="B85" t="s">
        <v>299</v>
      </c>
      <c r="C85">
        <v>1437</v>
      </c>
      <c r="D85">
        <v>1781</v>
      </c>
      <c r="E85">
        <v>1484</v>
      </c>
      <c r="F85">
        <v>1433</v>
      </c>
      <c r="G85">
        <v>949</v>
      </c>
      <c r="H85">
        <v>167</v>
      </c>
      <c r="I85">
        <v>1321</v>
      </c>
      <c r="J85">
        <v>15</v>
      </c>
      <c r="K85">
        <v>8587</v>
      </c>
    </row>
    <row r="86" spans="1:11">
      <c r="A86" t="s">
        <v>90</v>
      </c>
      <c r="B86" t="s">
        <v>299</v>
      </c>
      <c r="C86">
        <v>1393</v>
      </c>
      <c r="D86">
        <v>1759</v>
      </c>
      <c r="E86">
        <v>1465</v>
      </c>
      <c r="F86">
        <v>1375</v>
      </c>
      <c r="G86">
        <v>956</v>
      </c>
      <c r="H86">
        <v>166</v>
      </c>
      <c r="I86">
        <v>1261</v>
      </c>
      <c r="J86">
        <v>13</v>
      </c>
      <c r="K86">
        <v>8388</v>
      </c>
    </row>
    <row r="87" spans="1:11">
      <c r="A87" t="s">
        <v>98</v>
      </c>
      <c r="B87" t="s">
        <v>299</v>
      </c>
      <c r="C87">
        <v>1442</v>
      </c>
      <c r="D87">
        <v>1789</v>
      </c>
      <c r="E87">
        <v>1512</v>
      </c>
      <c r="F87">
        <v>1429</v>
      </c>
      <c r="G87">
        <v>953</v>
      </c>
      <c r="H87">
        <v>167</v>
      </c>
      <c r="I87">
        <v>1297</v>
      </c>
      <c r="J87">
        <v>12</v>
      </c>
      <c r="K87">
        <v>8601</v>
      </c>
    </row>
    <row r="88" spans="1:11">
      <c r="A88" t="s">
        <v>94</v>
      </c>
      <c r="B88" t="s">
        <v>299</v>
      </c>
      <c r="C88">
        <v>1407</v>
      </c>
      <c r="D88">
        <v>1699</v>
      </c>
      <c r="E88">
        <v>1542</v>
      </c>
      <c r="F88">
        <v>1449</v>
      </c>
      <c r="G88">
        <v>961</v>
      </c>
      <c r="H88">
        <v>165</v>
      </c>
      <c r="I88">
        <v>1300</v>
      </c>
      <c r="J88">
        <v>13</v>
      </c>
      <c r="K88">
        <v>8536</v>
      </c>
    </row>
    <row r="89" spans="1:11">
      <c r="A89" t="s">
        <v>112</v>
      </c>
      <c r="B89" t="s">
        <v>299</v>
      </c>
      <c r="C89">
        <v>1407</v>
      </c>
      <c r="D89">
        <v>1833</v>
      </c>
      <c r="E89">
        <v>1510</v>
      </c>
      <c r="F89">
        <v>1410</v>
      </c>
      <c r="G89">
        <v>980</v>
      </c>
      <c r="H89">
        <v>167</v>
      </c>
      <c r="I89">
        <v>1294</v>
      </c>
      <c r="J89">
        <v>12</v>
      </c>
      <c r="K89">
        <v>8613</v>
      </c>
    </row>
    <row r="90" spans="1:11">
      <c r="A90" t="s">
        <v>81</v>
      </c>
      <c r="B90" t="s">
        <v>299</v>
      </c>
      <c r="C90">
        <v>1434</v>
      </c>
      <c r="D90">
        <v>1765</v>
      </c>
      <c r="E90">
        <v>1492</v>
      </c>
      <c r="F90">
        <v>1458</v>
      </c>
      <c r="G90">
        <v>964</v>
      </c>
      <c r="H90">
        <v>161</v>
      </c>
      <c r="I90">
        <v>1302</v>
      </c>
      <c r="J90">
        <v>11</v>
      </c>
      <c r="K90">
        <v>8587</v>
      </c>
    </row>
    <row r="91" spans="1:11">
      <c r="A91" t="s">
        <v>117</v>
      </c>
      <c r="B91" t="s">
        <v>299</v>
      </c>
      <c r="C91">
        <v>1436</v>
      </c>
      <c r="D91">
        <v>1835</v>
      </c>
      <c r="E91">
        <v>1503</v>
      </c>
      <c r="F91">
        <v>1435</v>
      </c>
      <c r="G91">
        <v>976</v>
      </c>
      <c r="H91">
        <v>161</v>
      </c>
      <c r="I91">
        <v>1305</v>
      </c>
      <c r="J91">
        <v>16</v>
      </c>
      <c r="K91">
        <v>8667</v>
      </c>
    </row>
    <row r="92" spans="1:11">
      <c r="A92" t="s">
        <v>108</v>
      </c>
      <c r="B92" t="s">
        <v>299</v>
      </c>
      <c r="C92">
        <v>1480</v>
      </c>
      <c r="D92">
        <v>1810</v>
      </c>
      <c r="E92">
        <v>1522</v>
      </c>
      <c r="F92">
        <v>1495</v>
      </c>
      <c r="G92">
        <v>985</v>
      </c>
      <c r="H92">
        <v>161</v>
      </c>
      <c r="I92">
        <v>1322</v>
      </c>
      <c r="J92">
        <v>18</v>
      </c>
      <c r="K92">
        <v>8793</v>
      </c>
    </row>
    <row r="93" spans="1:11">
      <c r="A93" t="s">
        <v>103</v>
      </c>
      <c r="B93" t="s">
        <v>299</v>
      </c>
      <c r="C93">
        <v>1502</v>
      </c>
      <c r="D93">
        <v>1865</v>
      </c>
      <c r="E93">
        <v>1543</v>
      </c>
      <c r="F93">
        <v>1479</v>
      </c>
      <c r="G93">
        <v>960</v>
      </c>
      <c r="H93">
        <v>168</v>
      </c>
      <c r="I93">
        <v>1318</v>
      </c>
      <c r="J93">
        <v>15</v>
      </c>
      <c r="K93">
        <v>8850</v>
      </c>
    </row>
    <row r="94" spans="1:11">
      <c r="A94" t="s">
        <v>86</v>
      </c>
      <c r="B94" t="s">
        <v>299</v>
      </c>
      <c r="C94">
        <v>1501</v>
      </c>
      <c r="D94">
        <v>1896</v>
      </c>
      <c r="E94">
        <v>1580</v>
      </c>
      <c r="F94">
        <v>1503</v>
      </c>
      <c r="G94">
        <v>999</v>
      </c>
      <c r="H94">
        <v>170</v>
      </c>
      <c r="I94">
        <v>1301</v>
      </c>
      <c r="J94">
        <v>15</v>
      </c>
      <c r="K94">
        <v>8965</v>
      </c>
    </row>
    <row r="95" spans="1:11">
      <c r="A95" t="s">
        <v>130</v>
      </c>
      <c r="B95" t="s">
        <v>299</v>
      </c>
      <c r="C95">
        <v>1280</v>
      </c>
      <c r="D95">
        <v>1795</v>
      </c>
      <c r="E95">
        <v>1593</v>
      </c>
      <c r="F95">
        <v>1486</v>
      </c>
      <c r="G95">
        <v>974</v>
      </c>
      <c r="H95">
        <v>168</v>
      </c>
      <c r="I95">
        <v>1347</v>
      </c>
      <c r="J95">
        <v>21</v>
      </c>
      <c r="K95">
        <v>8664</v>
      </c>
    </row>
    <row r="96" spans="1:11">
      <c r="A96" t="s">
        <v>126</v>
      </c>
      <c r="B96" t="s">
        <v>299</v>
      </c>
      <c r="C96">
        <v>1514</v>
      </c>
      <c r="D96">
        <v>1903</v>
      </c>
      <c r="E96">
        <v>1626</v>
      </c>
      <c r="F96">
        <v>1507</v>
      </c>
      <c r="G96">
        <v>1021</v>
      </c>
      <c r="H96">
        <v>173</v>
      </c>
      <c r="I96">
        <v>1357</v>
      </c>
      <c r="J96">
        <v>21</v>
      </c>
      <c r="K96">
        <v>9122</v>
      </c>
    </row>
    <row r="97" spans="1:11">
      <c r="A97" t="s">
        <v>122</v>
      </c>
      <c r="B97" t="s">
        <v>299</v>
      </c>
      <c r="C97">
        <v>1504</v>
      </c>
      <c r="D97">
        <v>1828</v>
      </c>
      <c r="E97">
        <v>1561</v>
      </c>
      <c r="F97">
        <v>1516</v>
      </c>
      <c r="G97">
        <v>1022</v>
      </c>
      <c r="H97">
        <v>178</v>
      </c>
      <c r="I97">
        <v>1357</v>
      </c>
      <c r="J97">
        <v>21</v>
      </c>
      <c r="K97">
        <v>8987</v>
      </c>
    </row>
    <row r="98" spans="1:11">
      <c r="A98" t="s">
        <v>91</v>
      </c>
      <c r="B98" t="s">
        <v>299</v>
      </c>
      <c r="C98">
        <v>1500</v>
      </c>
      <c r="D98">
        <v>1870</v>
      </c>
      <c r="E98">
        <v>1527</v>
      </c>
      <c r="F98">
        <v>1487</v>
      </c>
      <c r="G98">
        <v>1045</v>
      </c>
      <c r="H98">
        <v>174</v>
      </c>
      <c r="I98">
        <v>1374</v>
      </c>
      <c r="J98">
        <v>19</v>
      </c>
      <c r="K98">
        <v>8996</v>
      </c>
    </row>
    <row r="99" spans="1:11">
      <c r="A99" t="s">
        <v>99</v>
      </c>
      <c r="B99" t="s">
        <v>299</v>
      </c>
      <c r="C99">
        <v>1580</v>
      </c>
      <c r="D99">
        <v>1924</v>
      </c>
      <c r="E99">
        <v>1564</v>
      </c>
      <c r="F99">
        <v>1550</v>
      </c>
      <c r="G99">
        <v>1025</v>
      </c>
      <c r="H99">
        <v>180</v>
      </c>
      <c r="I99">
        <v>1348</v>
      </c>
      <c r="J99">
        <v>18</v>
      </c>
      <c r="K99">
        <v>9189</v>
      </c>
    </row>
    <row r="100" spans="1:11">
      <c r="A100" t="s">
        <v>95</v>
      </c>
      <c r="B100" t="s">
        <v>299</v>
      </c>
      <c r="C100">
        <v>1558</v>
      </c>
      <c r="D100">
        <v>1692</v>
      </c>
      <c r="E100">
        <v>1561</v>
      </c>
      <c r="F100">
        <v>1521</v>
      </c>
      <c r="G100">
        <v>1021</v>
      </c>
      <c r="H100">
        <v>177</v>
      </c>
      <c r="I100">
        <v>1320</v>
      </c>
      <c r="J100">
        <v>21</v>
      </c>
      <c r="K100">
        <v>8871</v>
      </c>
    </row>
    <row r="101" spans="1:11">
      <c r="A101" t="s">
        <v>113</v>
      </c>
      <c r="B101" t="s">
        <v>299</v>
      </c>
      <c r="C101">
        <v>1653</v>
      </c>
      <c r="D101">
        <v>1851</v>
      </c>
      <c r="E101">
        <v>1408</v>
      </c>
      <c r="F101">
        <v>1551</v>
      </c>
      <c r="G101">
        <v>1009</v>
      </c>
      <c r="H101">
        <v>162</v>
      </c>
      <c r="I101">
        <v>1312</v>
      </c>
      <c r="J101">
        <v>18</v>
      </c>
      <c r="K101">
        <v>8964</v>
      </c>
    </row>
    <row r="102" spans="1:11">
      <c r="A102" t="s">
        <v>82</v>
      </c>
      <c r="B102" t="s">
        <v>299</v>
      </c>
      <c r="C102">
        <v>1605</v>
      </c>
      <c r="D102">
        <v>1848</v>
      </c>
      <c r="E102">
        <v>1599</v>
      </c>
      <c r="F102">
        <v>1555</v>
      </c>
      <c r="G102">
        <v>995</v>
      </c>
      <c r="H102">
        <v>165</v>
      </c>
      <c r="I102">
        <v>1325</v>
      </c>
      <c r="J102">
        <v>17</v>
      </c>
      <c r="K102">
        <v>9109</v>
      </c>
    </row>
    <row r="103" spans="1:11">
      <c r="A103" t="s">
        <v>118</v>
      </c>
      <c r="B103" t="s">
        <v>299</v>
      </c>
      <c r="C103">
        <v>1503</v>
      </c>
      <c r="D103">
        <v>1866</v>
      </c>
      <c r="E103">
        <v>1608</v>
      </c>
      <c r="F103">
        <v>1517</v>
      </c>
      <c r="G103">
        <v>984</v>
      </c>
      <c r="H103">
        <v>171</v>
      </c>
      <c r="I103">
        <v>1317</v>
      </c>
      <c r="J103">
        <v>15</v>
      </c>
      <c r="K103">
        <v>8981</v>
      </c>
    </row>
    <row r="104" spans="1:11">
      <c r="A104" t="s">
        <v>109</v>
      </c>
      <c r="B104" t="s">
        <v>299</v>
      </c>
      <c r="C104">
        <v>1606</v>
      </c>
      <c r="D104">
        <v>1866</v>
      </c>
      <c r="E104">
        <v>1529</v>
      </c>
      <c r="F104">
        <v>1524</v>
      </c>
      <c r="G104">
        <v>1035</v>
      </c>
      <c r="H104">
        <v>163</v>
      </c>
      <c r="I104">
        <v>1322</v>
      </c>
      <c r="J104">
        <v>16</v>
      </c>
      <c r="K104">
        <v>9061</v>
      </c>
    </row>
    <row r="105" spans="1:11">
      <c r="A105" t="s">
        <v>104</v>
      </c>
      <c r="B105" t="s">
        <v>299</v>
      </c>
      <c r="C105">
        <v>1730</v>
      </c>
      <c r="D105">
        <v>1866</v>
      </c>
      <c r="E105">
        <v>1559</v>
      </c>
      <c r="F105">
        <v>1535</v>
      </c>
      <c r="G105">
        <v>993</v>
      </c>
      <c r="H105">
        <v>164</v>
      </c>
      <c r="I105">
        <v>1279</v>
      </c>
      <c r="J105">
        <v>18</v>
      </c>
      <c r="K105">
        <v>9144</v>
      </c>
    </row>
  </sheetData>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W32"/>
  <sheetViews>
    <sheetView zoomScale="90" zoomScaleNormal="90" workbookViewId="0">
      <selection activeCell="D18" sqref="D18"/>
    </sheetView>
  </sheetViews>
  <sheetFormatPr defaultColWidth="7.07421875" defaultRowHeight="15.5"/>
  <cols>
    <col min="1" max="1" width="1.69140625" style="8" customWidth="1"/>
    <col min="2" max="2" width="1.84375" style="8" customWidth="1"/>
    <col min="3" max="11" width="7.07421875" style="8"/>
    <col min="12" max="12" width="2.69140625" style="8" customWidth="1"/>
    <col min="13" max="13" width="1.84375" style="8" customWidth="1"/>
    <col min="14" max="15" width="7.07421875" style="8"/>
    <col min="16" max="16" width="7.4609375" style="8" customWidth="1"/>
    <col min="17" max="21" width="7.07421875" style="8"/>
    <col min="22" max="22" width="14.07421875" style="8" customWidth="1"/>
    <col min="23" max="23" width="1" style="8" customWidth="1"/>
    <col min="24" max="16384" width="7.07421875" style="8"/>
  </cols>
  <sheetData>
    <row r="1" spans="2:23" ht="16" thickBot="1"/>
    <row r="2" spans="2:23" ht="10" customHeight="1">
      <c r="B2" s="827" t="s">
        <v>300</v>
      </c>
      <c r="C2" s="828"/>
      <c r="D2" s="828"/>
      <c r="E2" s="828"/>
      <c r="F2" s="828"/>
      <c r="G2" s="828"/>
      <c r="H2" s="828"/>
      <c r="I2" s="828"/>
      <c r="J2" s="828"/>
      <c r="K2" s="828"/>
      <c r="L2" s="828"/>
      <c r="M2" s="828"/>
      <c r="N2" s="828"/>
      <c r="O2" s="828"/>
      <c r="P2" s="828"/>
      <c r="Q2" s="828"/>
      <c r="R2" s="828"/>
      <c r="S2" s="828"/>
      <c r="T2" s="828"/>
      <c r="U2" s="828"/>
      <c r="V2" s="828"/>
      <c r="W2" s="829"/>
    </row>
    <row r="3" spans="2:23">
      <c r="B3" s="830"/>
      <c r="C3" s="831"/>
      <c r="D3" s="831"/>
      <c r="E3" s="831"/>
      <c r="F3" s="831"/>
      <c r="G3" s="831"/>
      <c r="H3" s="831"/>
      <c r="I3" s="831"/>
      <c r="J3" s="831"/>
      <c r="K3" s="831"/>
      <c r="L3" s="831"/>
      <c r="M3" s="831"/>
      <c r="N3" s="831"/>
      <c r="O3" s="831"/>
      <c r="P3" s="831"/>
      <c r="Q3" s="831"/>
      <c r="R3" s="831"/>
      <c r="S3" s="831"/>
      <c r="T3" s="831"/>
      <c r="U3" s="831"/>
      <c r="V3" s="831"/>
      <c r="W3" s="832"/>
    </row>
    <row r="4" spans="2:23" ht="10" customHeight="1" thickBot="1">
      <c r="B4" s="833"/>
      <c r="C4" s="834"/>
      <c r="D4" s="834"/>
      <c r="E4" s="834"/>
      <c r="F4" s="834"/>
      <c r="G4" s="834"/>
      <c r="H4" s="834"/>
      <c r="I4" s="834"/>
      <c r="J4" s="834"/>
      <c r="K4" s="834"/>
      <c r="L4" s="834"/>
      <c r="M4" s="834"/>
      <c r="N4" s="834"/>
      <c r="O4" s="834"/>
      <c r="P4" s="834"/>
      <c r="Q4" s="834"/>
      <c r="R4" s="834"/>
      <c r="S4" s="834"/>
      <c r="T4" s="834"/>
      <c r="U4" s="834"/>
      <c r="V4" s="834"/>
      <c r="W4" s="835"/>
    </row>
    <row r="5" spans="2:23">
      <c r="B5" s="68"/>
      <c r="C5" s="836" t="s">
        <v>301</v>
      </c>
      <c r="D5" s="836"/>
      <c r="E5" s="836"/>
      <c r="F5" s="836"/>
      <c r="G5" s="836"/>
      <c r="H5" s="836"/>
      <c r="I5" s="836"/>
      <c r="J5" s="836"/>
      <c r="K5" s="836"/>
      <c r="L5" s="836"/>
      <c r="M5" s="836"/>
      <c r="N5" s="836"/>
      <c r="O5" s="836"/>
      <c r="P5" s="836"/>
      <c r="Q5" s="836"/>
      <c r="R5" s="836"/>
      <c r="S5" s="836"/>
      <c r="T5" s="836"/>
      <c r="U5" s="836"/>
      <c r="V5" s="836"/>
      <c r="W5" s="69"/>
    </row>
    <row r="6" spans="2:23">
      <c r="B6" s="70"/>
      <c r="C6" s="71"/>
      <c r="D6" s="71">
        <v>100</v>
      </c>
      <c r="E6" s="71" t="s">
        <v>302</v>
      </c>
      <c r="F6" s="71"/>
      <c r="G6" s="71"/>
      <c r="H6" s="71"/>
      <c r="I6" s="71"/>
      <c r="J6" s="71"/>
      <c r="K6" s="71"/>
      <c r="L6" s="71"/>
      <c r="M6" s="71"/>
      <c r="N6" s="71"/>
      <c r="O6" s="71"/>
      <c r="P6" s="71"/>
      <c r="Q6" s="71"/>
      <c r="R6" s="71"/>
      <c r="S6" s="71"/>
      <c r="T6" s="71"/>
      <c r="U6" s="71"/>
      <c r="V6" s="71"/>
      <c r="W6" s="72"/>
    </row>
    <row r="7" spans="2:23">
      <c r="B7" s="70"/>
      <c r="C7" s="71"/>
      <c r="D7" s="71">
        <v>101</v>
      </c>
      <c r="E7" s="71" t="s">
        <v>303</v>
      </c>
      <c r="F7" s="71"/>
      <c r="G7" s="71"/>
      <c r="H7" s="71"/>
      <c r="I7" s="71"/>
      <c r="J7" s="71"/>
      <c r="K7" s="71"/>
      <c r="L7" s="71"/>
      <c r="M7" s="71"/>
      <c r="N7" s="71"/>
      <c r="O7" s="71"/>
      <c r="P7" s="71"/>
      <c r="Q7" s="71"/>
      <c r="R7" s="71"/>
      <c r="S7" s="71"/>
      <c r="T7" s="71"/>
      <c r="U7" s="71"/>
      <c r="V7" s="71"/>
      <c r="W7" s="72"/>
    </row>
    <row r="8" spans="2:23">
      <c r="B8" s="70"/>
      <c r="C8" s="71"/>
      <c r="D8" s="71">
        <v>103</v>
      </c>
      <c r="E8" s="71" t="s">
        <v>304</v>
      </c>
      <c r="F8" s="71"/>
      <c r="G8" s="71"/>
      <c r="H8" s="71"/>
      <c r="I8" s="71"/>
      <c r="J8" s="71"/>
      <c r="K8" s="71"/>
      <c r="L8" s="71"/>
      <c r="M8" s="71"/>
      <c r="N8" s="71"/>
      <c r="O8" s="71"/>
      <c r="P8" s="71"/>
      <c r="Q8" s="71"/>
      <c r="R8" s="71"/>
      <c r="S8" s="71"/>
      <c r="T8" s="71"/>
      <c r="U8" s="71"/>
      <c r="V8" s="71"/>
      <c r="W8" s="72"/>
    </row>
    <row r="9" spans="2:23">
      <c r="B9" s="70"/>
      <c r="C9" s="71"/>
      <c r="D9" s="71">
        <v>104</v>
      </c>
      <c r="E9" s="71" t="s">
        <v>305</v>
      </c>
      <c r="F9" s="71"/>
      <c r="G9" s="71"/>
      <c r="H9" s="71"/>
      <c r="I9" s="71"/>
      <c r="J9" s="71"/>
      <c r="K9" s="71"/>
      <c r="L9" s="71"/>
      <c r="M9" s="71"/>
      <c r="N9" s="71"/>
      <c r="O9" s="71"/>
      <c r="P9" s="71"/>
      <c r="Q9" s="71"/>
      <c r="R9" s="71"/>
      <c r="S9" s="71"/>
      <c r="T9" s="71"/>
      <c r="U9" s="71"/>
      <c r="V9" s="71"/>
      <c r="W9" s="72"/>
    </row>
    <row r="10" spans="2:23">
      <c r="B10" s="70"/>
      <c r="C10" s="71"/>
      <c r="D10" s="71">
        <v>106</v>
      </c>
      <c r="E10" s="71" t="s">
        <v>306</v>
      </c>
      <c r="F10" s="71"/>
      <c r="G10" s="71"/>
      <c r="H10" s="71"/>
      <c r="I10" s="71"/>
      <c r="J10" s="71"/>
      <c r="K10" s="71"/>
      <c r="L10" s="71"/>
      <c r="M10" s="71"/>
      <c r="N10" s="71"/>
      <c r="O10" s="71"/>
      <c r="P10" s="71"/>
      <c r="Q10" s="71"/>
      <c r="R10" s="71"/>
      <c r="S10" s="71"/>
      <c r="T10" s="71"/>
      <c r="U10" s="71"/>
      <c r="V10" s="71"/>
      <c r="W10" s="72"/>
    </row>
    <row r="11" spans="2:23">
      <c r="B11" s="70"/>
      <c r="C11" s="71"/>
      <c r="D11" s="71">
        <v>107</v>
      </c>
      <c r="E11" s="71" t="s">
        <v>307</v>
      </c>
      <c r="F11" s="71"/>
      <c r="G11" s="71"/>
      <c r="H11" s="71"/>
      <c r="I11" s="71"/>
      <c r="J11" s="71"/>
      <c r="K11" s="71"/>
      <c r="L11" s="71"/>
      <c r="M11" s="71"/>
      <c r="N11" s="71"/>
      <c r="O11" s="71"/>
      <c r="P11" s="71"/>
      <c r="Q11" s="71"/>
      <c r="R11" s="71"/>
      <c r="S11" s="71"/>
      <c r="T11" s="71"/>
      <c r="U11" s="71"/>
      <c r="V11" s="71"/>
      <c r="W11" s="72"/>
    </row>
    <row r="12" spans="2:23">
      <c r="B12" s="70"/>
      <c r="C12" s="71"/>
      <c r="D12" s="71">
        <v>110</v>
      </c>
      <c r="E12" s="71" t="s">
        <v>308</v>
      </c>
      <c r="F12" s="71"/>
      <c r="G12" s="71"/>
      <c r="H12" s="71"/>
      <c r="I12" s="71"/>
      <c r="J12" s="71"/>
      <c r="K12" s="71"/>
      <c r="L12" s="71"/>
      <c r="M12" s="71"/>
      <c r="N12" s="71"/>
      <c r="O12" s="71"/>
      <c r="P12" s="71"/>
      <c r="Q12" s="71"/>
      <c r="R12" s="71"/>
      <c r="S12" s="71"/>
      <c r="T12" s="71"/>
      <c r="U12" s="71"/>
      <c r="V12" s="71"/>
      <c r="W12" s="72"/>
    </row>
    <row r="13" spans="2:23">
      <c r="B13" s="70"/>
      <c r="C13" s="71"/>
      <c r="D13" s="71">
        <v>120</v>
      </c>
      <c r="E13" s="71" t="s">
        <v>309</v>
      </c>
      <c r="F13" s="71"/>
      <c r="G13" s="71"/>
      <c r="H13" s="71"/>
      <c r="I13" s="71"/>
      <c r="J13" s="71"/>
      <c r="K13" s="71"/>
      <c r="L13" s="71"/>
      <c r="M13" s="71"/>
      <c r="N13" s="71"/>
      <c r="O13" s="71"/>
      <c r="P13" s="71"/>
      <c r="Q13" s="71"/>
      <c r="R13" s="71"/>
      <c r="S13" s="71"/>
      <c r="T13" s="71"/>
      <c r="U13" s="71"/>
      <c r="V13" s="71"/>
      <c r="W13" s="72"/>
    </row>
    <row r="14" spans="2:23">
      <c r="B14" s="70"/>
      <c r="C14" s="71"/>
      <c r="D14" s="71">
        <v>130</v>
      </c>
      <c r="E14" s="71" t="s">
        <v>310</v>
      </c>
      <c r="F14" s="71"/>
      <c r="G14" s="71"/>
      <c r="H14" s="71"/>
      <c r="I14" s="71"/>
      <c r="J14" s="71"/>
      <c r="K14" s="71"/>
      <c r="L14" s="71"/>
      <c r="M14" s="71"/>
      <c r="N14" s="71"/>
      <c r="O14" s="71"/>
      <c r="P14" s="71"/>
      <c r="Q14" s="71"/>
      <c r="R14" s="71"/>
      <c r="S14" s="71"/>
      <c r="T14" s="71"/>
      <c r="U14" s="71"/>
      <c r="V14" s="71"/>
      <c r="W14" s="72"/>
    </row>
    <row r="15" spans="2:23">
      <c r="B15" s="70"/>
      <c r="C15" s="71"/>
      <c r="D15" s="71">
        <v>140</v>
      </c>
      <c r="E15" s="71" t="s">
        <v>311</v>
      </c>
      <c r="F15" s="71"/>
      <c r="G15" s="71"/>
      <c r="H15" s="71"/>
      <c r="I15" s="71"/>
      <c r="J15" s="71"/>
      <c r="K15" s="71"/>
      <c r="L15" s="71"/>
      <c r="M15" s="71"/>
      <c r="N15" s="71"/>
      <c r="O15" s="71"/>
      <c r="P15" s="71"/>
      <c r="Q15" s="71"/>
      <c r="R15" s="71"/>
      <c r="S15" s="71"/>
      <c r="T15" s="71"/>
      <c r="U15" s="71"/>
      <c r="V15" s="71"/>
      <c r="W15" s="72"/>
    </row>
    <row r="16" spans="2:23">
      <c r="B16" s="70"/>
      <c r="C16" s="71"/>
      <c r="D16" s="71">
        <v>141</v>
      </c>
      <c r="E16" s="71" t="s">
        <v>312</v>
      </c>
      <c r="F16" s="71"/>
      <c r="G16" s="71"/>
      <c r="H16" s="71"/>
      <c r="I16" s="71"/>
      <c r="J16" s="71"/>
      <c r="K16" s="71"/>
      <c r="L16" s="71"/>
      <c r="M16" s="71"/>
      <c r="N16" s="71"/>
      <c r="O16" s="71"/>
      <c r="P16" s="71"/>
      <c r="Q16" s="71"/>
      <c r="R16" s="71"/>
      <c r="S16" s="71"/>
      <c r="T16" s="71"/>
      <c r="U16" s="71"/>
      <c r="V16" s="71"/>
      <c r="W16" s="72"/>
    </row>
    <row r="17" spans="2:23">
      <c r="B17" s="70"/>
      <c r="C17" s="71"/>
      <c r="D17" s="71">
        <v>142</v>
      </c>
      <c r="E17" s="71" t="s">
        <v>313</v>
      </c>
      <c r="F17" s="71"/>
      <c r="G17" s="71"/>
      <c r="H17" s="71"/>
      <c r="I17" s="71"/>
      <c r="J17" s="71"/>
      <c r="K17" s="71"/>
      <c r="L17" s="71"/>
      <c r="M17" s="71"/>
      <c r="N17" s="71"/>
      <c r="O17" s="71"/>
      <c r="P17" s="71"/>
      <c r="Q17" s="71"/>
      <c r="R17" s="71"/>
      <c r="S17" s="71"/>
      <c r="T17" s="71"/>
      <c r="U17" s="71"/>
      <c r="V17" s="71"/>
      <c r="W17" s="72"/>
    </row>
    <row r="18" spans="2:23">
      <c r="B18" s="70"/>
      <c r="C18" s="71"/>
      <c r="D18" s="71">
        <v>143</v>
      </c>
      <c r="E18" s="71" t="s">
        <v>314</v>
      </c>
      <c r="F18" s="71"/>
      <c r="G18" s="71"/>
      <c r="H18" s="71"/>
      <c r="I18" s="71"/>
      <c r="J18" s="71"/>
      <c r="K18" s="71"/>
      <c r="L18" s="71"/>
      <c r="M18" s="71"/>
      <c r="N18" s="71"/>
      <c r="O18" s="71"/>
      <c r="P18" s="71"/>
      <c r="Q18" s="71"/>
      <c r="R18" s="71"/>
      <c r="S18" s="71"/>
      <c r="T18" s="71"/>
      <c r="U18" s="71"/>
      <c r="V18" s="71"/>
      <c r="W18" s="72"/>
    </row>
    <row r="19" spans="2:23">
      <c r="B19" s="70"/>
      <c r="C19" s="71"/>
      <c r="D19" s="71">
        <v>150</v>
      </c>
      <c r="E19" s="71" t="s">
        <v>315</v>
      </c>
      <c r="F19" s="71"/>
      <c r="G19" s="71"/>
      <c r="H19" s="71"/>
      <c r="I19" s="71"/>
      <c r="J19" s="71"/>
      <c r="K19" s="71"/>
      <c r="L19" s="71"/>
      <c r="M19" s="71"/>
      <c r="N19" s="71"/>
      <c r="O19" s="71"/>
      <c r="P19" s="71"/>
      <c r="Q19" s="71"/>
      <c r="R19" s="71"/>
      <c r="S19" s="71"/>
      <c r="T19" s="71"/>
      <c r="U19" s="71"/>
      <c r="V19" s="71"/>
      <c r="W19" s="72"/>
    </row>
    <row r="20" spans="2:23">
      <c r="B20" s="70"/>
      <c r="C20" s="71"/>
      <c r="D20" s="71">
        <v>160</v>
      </c>
      <c r="E20" s="71" t="s">
        <v>316</v>
      </c>
      <c r="F20" s="71"/>
      <c r="G20" s="71"/>
      <c r="H20" s="71"/>
      <c r="I20" s="71"/>
      <c r="J20" s="71"/>
      <c r="K20" s="71"/>
      <c r="L20" s="71"/>
      <c r="M20" s="71"/>
      <c r="N20" s="71"/>
      <c r="O20" s="71"/>
      <c r="P20" s="71"/>
      <c r="Q20" s="71"/>
      <c r="R20" s="71"/>
      <c r="S20" s="71"/>
      <c r="T20" s="71"/>
      <c r="U20" s="71"/>
      <c r="V20" s="71"/>
      <c r="W20" s="72"/>
    </row>
    <row r="21" spans="2:23">
      <c r="B21" s="70"/>
      <c r="C21" s="71"/>
      <c r="D21" s="71">
        <v>170</v>
      </c>
      <c r="E21" s="71" t="s">
        <v>317</v>
      </c>
      <c r="F21" s="71"/>
      <c r="G21" s="71"/>
      <c r="H21" s="71"/>
      <c r="I21" s="71"/>
      <c r="J21" s="71"/>
      <c r="K21" s="71"/>
      <c r="L21" s="71"/>
      <c r="M21" s="71"/>
      <c r="N21" s="71"/>
      <c r="O21" s="71"/>
      <c r="P21" s="71"/>
      <c r="Q21" s="71"/>
      <c r="R21" s="71"/>
      <c r="S21" s="71"/>
      <c r="T21" s="71"/>
      <c r="U21" s="71"/>
      <c r="V21" s="71"/>
      <c r="W21" s="72"/>
    </row>
    <row r="22" spans="2:23">
      <c r="B22" s="70"/>
      <c r="C22" s="71"/>
      <c r="D22" s="71">
        <v>171</v>
      </c>
      <c r="E22" s="71" t="s">
        <v>318</v>
      </c>
      <c r="F22" s="71"/>
      <c r="G22" s="71"/>
      <c r="H22" s="71"/>
      <c r="I22" s="71"/>
      <c r="J22" s="71"/>
      <c r="K22" s="71"/>
      <c r="L22" s="71"/>
      <c r="M22" s="71"/>
      <c r="N22" s="71"/>
      <c r="O22" s="71"/>
      <c r="P22" s="71"/>
      <c r="Q22" s="71"/>
      <c r="R22" s="71"/>
      <c r="S22" s="71"/>
      <c r="T22" s="71"/>
      <c r="U22" s="71"/>
      <c r="V22" s="71"/>
      <c r="W22" s="72"/>
    </row>
    <row r="23" spans="2:23">
      <c r="B23" s="70"/>
      <c r="C23" s="71"/>
      <c r="D23" s="71">
        <v>190</v>
      </c>
      <c r="E23" s="71" t="s">
        <v>319</v>
      </c>
      <c r="F23" s="71"/>
      <c r="G23" s="71"/>
      <c r="H23" s="71"/>
      <c r="I23" s="71"/>
      <c r="J23" s="71"/>
      <c r="K23" s="71"/>
      <c r="L23" s="71"/>
      <c r="M23" s="71"/>
      <c r="N23" s="71"/>
      <c r="O23" s="71"/>
      <c r="P23" s="71"/>
      <c r="Q23" s="71"/>
      <c r="R23" s="71"/>
      <c r="S23" s="71"/>
      <c r="T23" s="71"/>
      <c r="U23" s="71"/>
      <c r="V23" s="71"/>
      <c r="W23" s="72"/>
    </row>
    <row r="24" spans="2:23">
      <c r="B24" s="70"/>
      <c r="C24" s="71"/>
      <c r="D24" s="71">
        <v>191</v>
      </c>
      <c r="E24" s="8" t="s">
        <v>320</v>
      </c>
      <c r="F24" s="71"/>
      <c r="G24" s="71"/>
      <c r="H24" s="71"/>
      <c r="I24" s="71"/>
      <c r="J24" s="71"/>
      <c r="K24" s="71"/>
      <c r="L24" s="71"/>
      <c r="M24" s="71"/>
      <c r="N24" s="71"/>
      <c r="O24" s="71"/>
      <c r="P24" s="71"/>
      <c r="Q24" s="71"/>
      <c r="R24" s="71"/>
      <c r="S24" s="71"/>
      <c r="T24" s="71"/>
      <c r="U24" s="71"/>
      <c r="V24" s="71"/>
      <c r="W24" s="72"/>
    </row>
    <row r="25" spans="2:23">
      <c r="B25" s="70"/>
      <c r="C25" s="71"/>
      <c r="D25" s="71">
        <v>502</v>
      </c>
      <c r="E25" s="71" t="s">
        <v>321</v>
      </c>
      <c r="F25" s="71"/>
      <c r="G25" s="71"/>
      <c r="H25" s="71"/>
      <c r="I25" s="71"/>
      <c r="J25" s="71"/>
      <c r="K25" s="71"/>
      <c r="L25" s="71"/>
      <c r="M25" s="71"/>
      <c r="N25" s="71"/>
      <c r="O25" s="71"/>
      <c r="P25" s="71"/>
      <c r="Q25" s="71"/>
      <c r="R25" s="71"/>
      <c r="S25" s="71"/>
      <c r="T25" s="71"/>
      <c r="U25" s="71"/>
      <c r="V25" s="71"/>
      <c r="W25" s="72"/>
    </row>
    <row r="26" spans="2:23">
      <c r="B26" s="70"/>
      <c r="C26" s="71"/>
      <c r="D26" s="71">
        <v>810</v>
      </c>
      <c r="E26" s="71" t="s">
        <v>322</v>
      </c>
      <c r="F26" s="71"/>
      <c r="G26" s="71"/>
      <c r="H26" s="71"/>
      <c r="I26" s="71"/>
      <c r="J26" s="71"/>
      <c r="K26" s="71"/>
      <c r="L26" s="71"/>
      <c r="M26" s="71"/>
      <c r="N26" s="71"/>
      <c r="O26" s="71"/>
      <c r="P26" s="71"/>
      <c r="Q26" s="71"/>
      <c r="R26" s="71"/>
      <c r="S26" s="71"/>
      <c r="T26" s="71"/>
      <c r="U26" s="71"/>
      <c r="V26" s="71"/>
      <c r="W26" s="72"/>
    </row>
    <row r="27" spans="2:23">
      <c r="B27" s="70"/>
      <c r="C27" s="71"/>
      <c r="D27" s="71">
        <v>811</v>
      </c>
      <c r="E27" s="71" t="s">
        <v>323</v>
      </c>
      <c r="F27" s="71"/>
      <c r="G27" s="71"/>
      <c r="H27" s="71"/>
      <c r="I27" s="71"/>
      <c r="J27" s="71"/>
      <c r="K27" s="71"/>
      <c r="L27" s="71"/>
      <c r="M27" s="71"/>
      <c r="N27" s="71"/>
      <c r="O27" s="71"/>
      <c r="P27" s="71"/>
      <c r="Q27" s="71"/>
      <c r="R27" s="71"/>
      <c r="S27" s="71"/>
      <c r="T27" s="71"/>
      <c r="U27" s="71"/>
      <c r="V27" s="71"/>
      <c r="W27" s="72"/>
    </row>
    <row r="28" spans="2:23" ht="16" thickBot="1">
      <c r="B28" s="73"/>
      <c r="C28" s="74"/>
      <c r="D28" s="74"/>
      <c r="E28" s="74"/>
      <c r="F28" s="74"/>
      <c r="G28" s="74"/>
      <c r="H28" s="74"/>
      <c r="I28" s="74"/>
      <c r="J28" s="74"/>
      <c r="K28" s="74"/>
      <c r="L28" s="74"/>
      <c r="M28" s="74"/>
      <c r="N28" s="74"/>
      <c r="O28" s="74"/>
      <c r="P28" s="74"/>
      <c r="Q28" s="74"/>
      <c r="R28" s="74"/>
      <c r="S28" s="74"/>
      <c r="T28" s="74"/>
      <c r="U28" s="74"/>
      <c r="V28" s="74"/>
      <c r="W28" s="75"/>
    </row>
    <row r="29" spans="2:23" ht="48.75" customHeight="1">
      <c r="B29" s="68"/>
      <c r="C29" s="837" t="s">
        <v>324</v>
      </c>
      <c r="D29" s="836"/>
      <c r="E29" s="836"/>
      <c r="F29" s="836"/>
      <c r="G29" s="836"/>
      <c r="H29" s="836"/>
      <c r="I29" s="836"/>
      <c r="J29" s="836"/>
      <c r="K29" s="836"/>
      <c r="L29" s="836"/>
      <c r="M29" s="836"/>
      <c r="N29" s="836"/>
      <c r="O29" s="836"/>
      <c r="P29" s="836"/>
      <c r="Q29" s="836"/>
      <c r="R29" s="836"/>
      <c r="S29" s="836"/>
      <c r="T29" s="836"/>
      <c r="U29" s="836"/>
      <c r="V29" s="836"/>
      <c r="W29" s="69"/>
    </row>
    <row r="30" spans="2:23" ht="16" thickBot="1">
      <c r="B30" s="73"/>
      <c r="C30" s="74"/>
      <c r="D30" s="74"/>
      <c r="E30" s="74"/>
      <c r="F30" s="74"/>
      <c r="G30" s="74"/>
      <c r="H30" s="74"/>
      <c r="I30" s="74"/>
      <c r="J30" s="74"/>
      <c r="K30" s="74"/>
      <c r="L30" s="74"/>
      <c r="M30" s="74"/>
      <c r="N30" s="74"/>
      <c r="O30" s="74"/>
      <c r="P30" s="74"/>
      <c r="Q30" s="74"/>
      <c r="R30" s="74"/>
      <c r="S30" s="74"/>
      <c r="T30" s="74"/>
      <c r="U30" s="74"/>
      <c r="V30" s="74"/>
      <c r="W30" s="75"/>
    </row>
    <row r="31" spans="2:23">
      <c r="B31" s="68"/>
      <c r="C31" s="837" t="s">
        <v>325</v>
      </c>
      <c r="D31" s="836"/>
      <c r="E31" s="836"/>
      <c r="F31" s="836"/>
      <c r="G31" s="836"/>
      <c r="H31" s="836"/>
      <c r="I31" s="836"/>
      <c r="J31" s="836"/>
      <c r="K31" s="836"/>
      <c r="L31" s="836"/>
      <c r="M31" s="836"/>
      <c r="N31" s="836"/>
      <c r="O31" s="836"/>
      <c r="P31" s="836"/>
      <c r="Q31" s="836"/>
      <c r="R31" s="836"/>
      <c r="S31" s="836"/>
      <c r="T31" s="836"/>
      <c r="U31" s="836"/>
      <c r="V31" s="836"/>
      <c r="W31" s="69"/>
    </row>
    <row r="32" spans="2:23" ht="16" thickBot="1">
      <c r="B32" s="73"/>
      <c r="C32" s="76"/>
      <c r="D32" s="76"/>
      <c r="E32" s="76"/>
      <c r="F32" s="76"/>
      <c r="G32" s="76"/>
      <c r="H32" s="76"/>
      <c r="I32" s="76"/>
      <c r="J32" s="76"/>
      <c r="K32" s="76"/>
      <c r="L32" s="76"/>
      <c r="M32" s="76"/>
      <c r="N32" s="76"/>
      <c r="O32" s="76"/>
      <c r="P32" s="76"/>
      <c r="Q32" s="76"/>
      <c r="R32" s="76"/>
      <c r="S32" s="76"/>
      <c r="T32" s="76"/>
      <c r="U32" s="76"/>
      <c r="V32" s="76"/>
      <c r="W32" s="75"/>
    </row>
  </sheetData>
  <customSheetViews>
    <customSheetView guid="{95B84344-25FE-4A71-9083-825DAB5E8F01}" scale="90" state="hidden">
      <selection sqref="A1:X43"/>
      <pageMargins left="0" right="0" top="0" bottom="0" header="0" footer="0"/>
      <pageSetup paperSize="9" orientation="portrait" r:id="rId1"/>
    </customSheetView>
  </customSheetViews>
  <mergeCells count="4">
    <mergeCell ref="B2:W4"/>
    <mergeCell ref="C5:V5"/>
    <mergeCell ref="C29:V29"/>
    <mergeCell ref="C31:V31"/>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7"/>
  <sheetViews>
    <sheetView workbookViewId="0">
      <selection activeCell="B2" sqref="B2"/>
    </sheetView>
  </sheetViews>
  <sheetFormatPr defaultRowHeight="15.5"/>
  <cols>
    <col min="1" max="1" width="25" bestFit="1" customWidth="1"/>
    <col min="2" max="2" width="33.07421875" customWidth="1"/>
    <col min="3" max="3" width="32.3046875" style="5" bestFit="1" customWidth="1"/>
  </cols>
  <sheetData>
    <row r="1" spans="1:3" ht="31">
      <c r="A1" s="172" t="s">
        <v>330</v>
      </c>
      <c r="B1" s="172" t="s">
        <v>331</v>
      </c>
      <c r="C1" s="173" t="s">
        <v>332</v>
      </c>
    </row>
    <row r="2" spans="1:3">
      <c r="A2" t="s">
        <v>333</v>
      </c>
      <c r="B2" t="s">
        <v>334</v>
      </c>
    </row>
    <row r="3" spans="1:3">
      <c r="B3" t="s">
        <v>335</v>
      </c>
    </row>
    <row r="4" spans="1:3">
      <c r="B4" t="s">
        <v>336</v>
      </c>
    </row>
    <row r="5" spans="1:3">
      <c r="B5" t="s">
        <v>337</v>
      </c>
    </row>
    <row r="6" spans="1:3">
      <c r="B6" t="s">
        <v>338</v>
      </c>
    </row>
    <row r="7" spans="1:3">
      <c r="B7" t="s">
        <v>339</v>
      </c>
    </row>
    <row r="8" spans="1:3">
      <c r="B8" t="s">
        <v>340</v>
      </c>
    </row>
    <row r="10" spans="1:3">
      <c r="A10" t="s">
        <v>341</v>
      </c>
      <c r="B10" t="s">
        <v>250</v>
      </c>
      <c r="C10" s="5" t="s">
        <v>342</v>
      </c>
    </row>
    <row r="12" spans="1:3">
      <c r="A12" t="s">
        <v>343</v>
      </c>
      <c r="B12" t="s">
        <v>250</v>
      </c>
      <c r="C12" s="5" t="s">
        <v>344</v>
      </c>
    </row>
    <row r="13" spans="1:3">
      <c r="C13" s="5" t="s">
        <v>345</v>
      </c>
    </row>
    <row r="16" spans="1:3">
      <c r="A16" t="s">
        <v>346</v>
      </c>
      <c r="B16" t="s">
        <v>347</v>
      </c>
    </row>
    <row r="18" spans="1:3">
      <c r="A18" t="s">
        <v>348</v>
      </c>
      <c r="B18" t="s">
        <v>349</v>
      </c>
    </row>
    <row r="19" spans="1:3">
      <c r="B19" t="s">
        <v>350</v>
      </c>
    </row>
    <row r="20" spans="1:3">
      <c r="B20" t="s">
        <v>351</v>
      </c>
    </row>
    <row r="21" spans="1:3">
      <c r="B21" t="s">
        <v>352</v>
      </c>
    </row>
    <row r="22" spans="1:3">
      <c r="B22" t="s">
        <v>353</v>
      </c>
    </row>
    <row r="23" spans="1:3">
      <c r="B23" t="s">
        <v>354</v>
      </c>
    </row>
    <row r="26" spans="1:3">
      <c r="C26" s="5" t="s">
        <v>355</v>
      </c>
    </row>
    <row r="27" spans="1:3" ht="46.5">
      <c r="C27" s="5" t="s">
        <v>356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theme="0" tint="-0.499984740745262"/>
    <pageSetUpPr fitToPage="1"/>
  </sheetPr>
  <dimension ref="A1:BL425"/>
  <sheetViews>
    <sheetView workbookViewId="0">
      <pane xSplit="6" ySplit="1" topLeftCell="AX189" activePane="bottomRight" state="frozen"/>
      <selection activeCell="S193" sqref="S193"/>
      <selection pane="topRight" activeCell="S193" sqref="S193"/>
      <selection pane="bottomLeft" activeCell="S193" sqref="S193"/>
      <selection pane="bottomRight" activeCell="BH235" sqref="BH235:BM260"/>
    </sheetView>
  </sheetViews>
  <sheetFormatPr defaultRowHeight="15.5"/>
  <cols>
    <col min="3" max="3" width="11.23046875" customWidth="1"/>
    <col min="4" max="4" width="14" customWidth="1"/>
    <col min="6" max="6" width="13.4609375" customWidth="1"/>
    <col min="7" max="7" width="7" customWidth="1"/>
    <col min="8" max="18" width="4" customWidth="1"/>
    <col min="20" max="32" width="9.23046875" customWidth="1"/>
  </cols>
  <sheetData>
    <row r="1" spans="1:64" s="239" customFormat="1" ht="46">
      <c r="A1" s="239" t="s">
        <v>176</v>
      </c>
      <c r="B1" s="239" t="s">
        <v>177</v>
      </c>
      <c r="C1" s="241" t="s">
        <v>178</v>
      </c>
      <c r="D1" s="239" t="s">
        <v>179</v>
      </c>
      <c r="E1" s="239" t="s">
        <v>180</v>
      </c>
      <c r="F1" s="239" t="s">
        <v>181</v>
      </c>
      <c r="G1" s="239" t="s">
        <v>182</v>
      </c>
      <c r="H1" s="239" t="s">
        <v>183</v>
      </c>
      <c r="I1" s="239" t="s">
        <v>184</v>
      </c>
      <c r="J1" s="239" t="s">
        <v>185</v>
      </c>
      <c r="K1" s="239" t="s">
        <v>186</v>
      </c>
      <c r="L1" s="239" t="s">
        <v>187</v>
      </c>
      <c r="M1" s="239" t="s">
        <v>188</v>
      </c>
      <c r="N1" s="239" t="s">
        <v>189</v>
      </c>
      <c r="O1" s="239" t="s">
        <v>190</v>
      </c>
      <c r="P1" s="239" t="s">
        <v>191</v>
      </c>
      <c r="Q1" s="239" t="s">
        <v>192</v>
      </c>
      <c r="R1" s="239" t="s">
        <v>193</v>
      </c>
      <c r="S1" s="239" t="s">
        <v>194</v>
      </c>
      <c r="T1" s="239" t="s">
        <v>195</v>
      </c>
      <c r="U1" s="239" t="s">
        <v>196</v>
      </c>
      <c r="V1" s="239" t="s">
        <v>197</v>
      </c>
      <c r="W1" s="239" t="s">
        <v>198</v>
      </c>
      <c r="X1" s="239" t="s">
        <v>199</v>
      </c>
      <c r="Y1" s="239" t="s">
        <v>200</v>
      </c>
      <c r="Z1" s="239" t="s">
        <v>201</v>
      </c>
      <c r="AA1" s="239" t="s">
        <v>202</v>
      </c>
      <c r="AB1" s="239" t="s">
        <v>203</v>
      </c>
      <c r="AC1" s="239" t="s">
        <v>204</v>
      </c>
      <c r="AD1" s="239" t="s">
        <v>205</v>
      </c>
      <c r="AE1" s="239" t="s">
        <v>206</v>
      </c>
      <c r="AF1" s="239" t="s">
        <v>207</v>
      </c>
      <c r="AG1" s="239" t="s">
        <v>208</v>
      </c>
      <c r="AH1" s="240" t="s">
        <v>209</v>
      </c>
      <c r="AI1" s="240" t="s">
        <v>210</v>
      </c>
      <c r="AJ1" s="240" t="s">
        <v>211</v>
      </c>
      <c r="AK1" s="240" t="s">
        <v>212</v>
      </c>
      <c r="AL1" s="240" t="s">
        <v>213</v>
      </c>
      <c r="AM1" s="240" t="s">
        <v>214</v>
      </c>
      <c r="AN1" s="239" t="s">
        <v>215</v>
      </c>
      <c r="AO1" s="239" t="s">
        <v>216</v>
      </c>
      <c r="AP1" s="239" t="s">
        <v>217</v>
      </c>
      <c r="AQ1" s="239" t="s">
        <v>218</v>
      </c>
      <c r="AR1" s="239" t="s">
        <v>219</v>
      </c>
      <c r="AS1" s="239" t="s">
        <v>220</v>
      </c>
      <c r="AT1" s="239" t="s">
        <v>221</v>
      </c>
      <c r="AU1" s="239" t="s">
        <v>222</v>
      </c>
      <c r="AV1" s="239" t="s">
        <v>223</v>
      </c>
      <c r="AW1" s="239" t="s">
        <v>224</v>
      </c>
      <c r="AX1" s="239" t="s">
        <v>225</v>
      </c>
      <c r="AY1" s="239" t="s">
        <v>226</v>
      </c>
      <c r="AZ1" s="239" t="s">
        <v>227</v>
      </c>
      <c r="BA1" s="239" t="s">
        <v>228</v>
      </c>
      <c r="BB1" s="239" t="s">
        <v>229</v>
      </c>
      <c r="BC1" s="239" t="s">
        <v>230</v>
      </c>
      <c r="BD1" s="239" t="s">
        <v>231</v>
      </c>
      <c r="BE1" s="239" t="s">
        <v>232</v>
      </c>
      <c r="BF1" s="239" t="s">
        <v>233</v>
      </c>
      <c r="BG1" s="239" t="s">
        <v>234</v>
      </c>
      <c r="BH1" s="239" t="s">
        <v>235</v>
      </c>
      <c r="BI1" s="239" t="s">
        <v>236</v>
      </c>
      <c r="BJ1" s="239" t="s">
        <v>237</v>
      </c>
      <c r="BK1" s="239" t="s">
        <v>238</v>
      </c>
      <c r="BL1" s="239" t="s">
        <v>239</v>
      </c>
    </row>
    <row r="2" spans="1:64" hidden="1">
      <c r="A2" t="str">
        <f>'[1]Front Sheet and Checklist'!$C$5</f>
        <v>(please select from drop down)</v>
      </c>
      <c r="B2" t="s">
        <v>240</v>
      </c>
      <c r="C2" t="str">
        <f>'Workforce WTE'!$B$19</f>
        <v>SECTION 2) DEPLOYMENT PLANS - IN POST</v>
      </c>
      <c r="D2" t="str">
        <f>'Workforce WTE'!$B$20</f>
        <v>SUBSTANTIVE WORKFORCE (WTE IN POST)</v>
      </c>
      <c r="F2" t="str">
        <f>'Workforce WTE'!B21</f>
        <v>Administrative, Clerical &amp; Board Members</v>
      </c>
      <c r="AH2">
        <f>'Workforce WTE'!C21</f>
        <v>2441.7673799999902</v>
      </c>
      <c r="AI2">
        <f>'Workforce WTE'!D21</f>
        <v>2479.96737999999</v>
      </c>
      <c r="AJ2">
        <f>'Workforce WTE'!E21</f>
        <v>2446.5767300000002</v>
      </c>
      <c r="AK2">
        <f>'Workforce WTE'!F21</f>
        <v>2421.7815300000002</v>
      </c>
      <c r="AL2">
        <f>'Workforce WTE'!G21</f>
        <v>2404.9499999999998</v>
      </c>
      <c r="AN2">
        <f>'Workforce WTE'!H21</f>
        <v>2405.4</v>
      </c>
      <c r="AO2">
        <f>'Workforce WTE'!I21</f>
        <v>0</v>
      </c>
      <c r="AP2">
        <f>'Workforce WTE'!J21</f>
        <v>0</v>
      </c>
    </row>
    <row r="3" spans="1:64" hidden="1">
      <c r="A3" t="str">
        <f>'[1]Front Sheet and Checklist'!$C$5</f>
        <v>(please select from drop down)</v>
      </c>
      <c r="B3" t="s">
        <v>240</v>
      </c>
      <c r="C3" t="str">
        <f>'Workforce WTE'!$B$19</f>
        <v>SECTION 2) DEPLOYMENT PLANS - IN POST</v>
      </c>
      <c r="D3" t="str">
        <f>'Workforce WTE'!$B$20</f>
        <v>SUBSTANTIVE WORKFORCE (WTE IN POST)</v>
      </c>
      <c r="F3" t="str">
        <f>'Workforce WTE'!B22</f>
        <v>Medical &amp; Dental</v>
      </c>
      <c r="AH3">
        <f>'Workforce WTE'!C22</f>
        <v>816.33443</v>
      </c>
      <c r="AI3">
        <f>'Workforce WTE'!D22</f>
        <v>841.83443</v>
      </c>
      <c r="AJ3">
        <f>'Workforce WTE'!E22</f>
        <v>877.09933000000001</v>
      </c>
      <c r="AK3">
        <f>'Workforce WTE'!F22</f>
        <v>893.13193000000001</v>
      </c>
      <c r="AL3">
        <f>'Workforce WTE'!G22</f>
        <v>896.94</v>
      </c>
      <c r="AN3">
        <f>'Workforce WTE'!H22</f>
        <v>911.35</v>
      </c>
      <c r="AO3">
        <f>'Workforce WTE'!I22</f>
        <v>0</v>
      </c>
      <c r="AP3">
        <f>'Workforce WTE'!J22</f>
        <v>0</v>
      </c>
    </row>
    <row r="4" spans="1:64" hidden="1">
      <c r="A4" t="str">
        <f>'[1]Front Sheet and Checklist'!$C$5</f>
        <v>(please select from drop down)</v>
      </c>
      <c r="B4" t="s">
        <v>240</v>
      </c>
      <c r="C4" t="str">
        <f>'Workforce WTE'!$B$19</f>
        <v>SECTION 2) DEPLOYMENT PLANS - IN POST</v>
      </c>
      <c r="D4" t="str">
        <f>'Workforce WTE'!$B$20</f>
        <v>SUBSTANTIVE WORKFORCE (WTE IN POST)</v>
      </c>
      <c r="F4" t="str">
        <f>'Workforce WTE'!B23</f>
        <v>Nursing &amp; Midwifery Registered</v>
      </c>
      <c r="AH4">
        <f>'Workforce WTE'!C23</f>
        <v>3723.6934200000383</v>
      </c>
      <c r="AI4">
        <f>'Workforce WTE'!D23</f>
        <v>3749.7934200000382</v>
      </c>
      <c r="AJ4">
        <f>'Workforce WTE'!E23</f>
        <v>4109.2301399999997</v>
      </c>
      <c r="AK4">
        <f>'Workforce WTE'!F23</f>
        <v>4145.7683900000002</v>
      </c>
      <c r="AL4">
        <f>'Workforce WTE'!G23</f>
        <v>4245.2</v>
      </c>
      <c r="AN4">
        <f>'Workforce WTE'!H23</f>
        <v>4250.6099999999997</v>
      </c>
      <c r="AO4">
        <f>'Workforce WTE'!I23</f>
        <v>0</v>
      </c>
      <c r="AP4">
        <f>'Workforce WTE'!J23</f>
        <v>0</v>
      </c>
    </row>
    <row r="5" spans="1:64" hidden="1">
      <c r="A5" t="str">
        <f>'[1]Front Sheet and Checklist'!$C$5</f>
        <v>(please select from drop down)</v>
      </c>
      <c r="B5" t="s">
        <v>240</v>
      </c>
      <c r="C5" t="str">
        <f>'Workforce WTE'!$B$19</f>
        <v>SECTION 2) DEPLOYMENT PLANS - IN POST</v>
      </c>
      <c r="D5" t="str">
        <f>'Workforce WTE'!$B$20</f>
        <v>SUBSTANTIVE WORKFORCE (WTE IN POST)</v>
      </c>
      <c r="F5" t="str">
        <f>'Workforce WTE'!B24</f>
        <v>Prof Scientific &amp; Technical</v>
      </c>
      <c r="AH5">
        <f>'Workforce WTE'!C24</f>
        <v>375.43918000000036</v>
      </c>
      <c r="AI5">
        <f>'Workforce WTE'!D24</f>
        <v>414.43918000000036</v>
      </c>
      <c r="AJ5">
        <f>'Workforce WTE'!E24</f>
        <v>398.75385</v>
      </c>
      <c r="AK5">
        <f>'Workforce WTE'!F24</f>
        <v>411.04052000000001</v>
      </c>
      <c r="AL5">
        <f>'Workforce WTE'!G24</f>
        <v>427.87</v>
      </c>
      <c r="AN5">
        <f>'Workforce WTE'!H24</f>
        <v>431.37</v>
      </c>
      <c r="AO5">
        <f>'Workforce WTE'!I24</f>
        <v>0</v>
      </c>
      <c r="AP5">
        <f>'Workforce WTE'!J24</f>
        <v>0</v>
      </c>
    </row>
    <row r="6" spans="1:64" hidden="1">
      <c r="A6" t="str">
        <f>'[1]Front Sheet and Checklist'!$C$5</f>
        <v>(please select from drop down)</v>
      </c>
      <c r="B6" t="s">
        <v>240</v>
      </c>
      <c r="C6" t="str">
        <f>'Workforce WTE'!$B$19</f>
        <v>SECTION 2) DEPLOYMENT PLANS - IN POST</v>
      </c>
      <c r="D6" t="str">
        <f>'Workforce WTE'!$B$20</f>
        <v>SUBSTANTIVE WORKFORCE (WTE IN POST)</v>
      </c>
      <c r="F6" t="str">
        <f>'Workforce WTE'!B25</f>
        <v>Additional Clinical Services</v>
      </c>
      <c r="AH6">
        <f>'Workforce WTE'!C25</f>
        <v>2534.3114200000005</v>
      </c>
      <c r="AI6">
        <f>'Workforce WTE'!D25</f>
        <v>2567.8114200000005</v>
      </c>
      <c r="AJ6">
        <f>'Workforce WTE'!E25</f>
        <v>2637.6847600000001</v>
      </c>
      <c r="AK6">
        <f>'Workforce WTE'!F25</f>
        <v>2599.8826600000002</v>
      </c>
      <c r="AL6">
        <f>'Workforce WTE'!G25</f>
        <v>2601.19</v>
      </c>
      <c r="AN6">
        <f>'Workforce WTE'!H25</f>
        <v>2626.03</v>
      </c>
      <c r="AO6">
        <f>'Workforce WTE'!I25</f>
        <v>0</v>
      </c>
      <c r="AP6">
        <f>'Workforce WTE'!J25</f>
        <v>0</v>
      </c>
    </row>
    <row r="7" spans="1:64" hidden="1">
      <c r="A7" t="str">
        <f>'[1]Front Sheet and Checklist'!$C$5</f>
        <v>(please select from drop down)</v>
      </c>
      <c r="B7" t="s">
        <v>240</v>
      </c>
      <c r="C7" t="str">
        <f>'Workforce WTE'!$B$19</f>
        <v>SECTION 2) DEPLOYMENT PLANS - IN POST</v>
      </c>
      <c r="D7" t="str">
        <f>'Workforce WTE'!$B$20</f>
        <v>SUBSTANTIVE WORKFORCE (WTE IN POST)</v>
      </c>
      <c r="F7" t="str">
        <f>'Workforce WTE'!B26</f>
        <v>Allied Health Professionals</v>
      </c>
      <c r="AH7">
        <f>'Workforce WTE'!C26</f>
        <v>912.92628999999886</v>
      </c>
      <c r="AI7">
        <f>'Workforce WTE'!D26</f>
        <v>941.1262899999989</v>
      </c>
      <c r="AJ7">
        <f>'Workforce WTE'!E26</f>
        <v>954.17953</v>
      </c>
      <c r="AK7">
        <f>'Workforce WTE'!F26</f>
        <v>1006.82748</v>
      </c>
      <c r="AL7">
        <f>'Workforce WTE'!G26</f>
        <v>1028.26</v>
      </c>
      <c r="AN7">
        <f>'Workforce WTE'!H26</f>
        <v>1020.96</v>
      </c>
      <c r="AO7">
        <f>'Workforce WTE'!I26</f>
        <v>0</v>
      </c>
      <c r="AP7">
        <f>'Workforce WTE'!J26</f>
        <v>0</v>
      </c>
    </row>
    <row r="8" spans="1:64" hidden="1">
      <c r="A8" t="str">
        <f>'[1]Front Sheet and Checklist'!$C$5</f>
        <v>(please select from drop down)</v>
      </c>
      <c r="B8" t="s">
        <v>240</v>
      </c>
      <c r="C8" t="str">
        <f>'Workforce WTE'!$B$19</f>
        <v>SECTION 2) DEPLOYMENT PLANS - IN POST</v>
      </c>
      <c r="D8" t="str">
        <f>'Workforce WTE'!$B$20</f>
        <v>SUBSTANTIVE WORKFORCE (WTE IN POST)</v>
      </c>
      <c r="F8" t="str">
        <f>'Workforce WTE'!B27</f>
        <v>Healthcare Scientists</v>
      </c>
      <c r="AH8">
        <f>'Workforce WTE'!C27</f>
        <v>335.89613000000008</v>
      </c>
      <c r="AI8">
        <f>'Workforce WTE'!D27</f>
        <v>345.89613000000008</v>
      </c>
      <c r="AJ8">
        <f>'Workforce WTE'!E27</f>
        <v>355.57799</v>
      </c>
      <c r="AK8">
        <f>'Workforce WTE'!F27</f>
        <v>353.53131999999999</v>
      </c>
      <c r="AL8">
        <f>'Workforce WTE'!G27</f>
        <v>365.39</v>
      </c>
      <c r="AN8">
        <f>'Workforce WTE'!H27</f>
        <v>371.15</v>
      </c>
      <c r="AO8">
        <f>'Workforce WTE'!I27</f>
        <v>0</v>
      </c>
      <c r="AP8">
        <f>'Workforce WTE'!J27</f>
        <v>0</v>
      </c>
    </row>
    <row r="9" spans="1:64" hidden="1">
      <c r="A9" t="str">
        <f>'[1]Front Sheet and Checklist'!$C$5</f>
        <v>(please select from drop down)</v>
      </c>
      <c r="B9" t="s">
        <v>240</v>
      </c>
      <c r="C9" t="str">
        <f>'Workforce WTE'!$B$19</f>
        <v>SECTION 2) DEPLOYMENT PLANS - IN POST</v>
      </c>
      <c r="D9" t="str">
        <f>'Workforce WTE'!$B$20</f>
        <v>SUBSTANTIVE WORKFORCE (WTE IN POST)</v>
      </c>
      <c r="F9" t="str">
        <f>'Workforce WTE'!B28</f>
        <v>Estates &amp; Ancillary</v>
      </c>
      <c r="AH9">
        <f>'Workforce WTE'!C28</f>
        <v>981.94893999999636</v>
      </c>
      <c r="AI9">
        <f>'Workforce WTE'!D28</f>
        <v>977.94893999999636</v>
      </c>
      <c r="AJ9">
        <f>'Workforce WTE'!E28</f>
        <v>945.09249999999997</v>
      </c>
      <c r="AK9">
        <f>'Workforce WTE'!F28</f>
        <v>953.62580000000003</v>
      </c>
      <c r="AL9">
        <f>'Workforce WTE'!G28</f>
        <v>955.63</v>
      </c>
      <c r="AN9">
        <f>'Workforce WTE'!H28</f>
        <v>954.71</v>
      </c>
      <c r="AO9">
        <f>'Workforce WTE'!I28</f>
        <v>0</v>
      </c>
      <c r="AP9">
        <f>'Workforce WTE'!J28</f>
        <v>0</v>
      </c>
    </row>
    <row r="10" spans="1:64" hidden="1">
      <c r="A10" t="str">
        <f>'[1]Front Sheet and Checklist'!$C$5</f>
        <v>(please select from drop down)</v>
      </c>
      <c r="B10" t="s">
        <v>240</v>
      </c>
      <c r="C10" t="str">
        <f>'Workforce WTE'!$B$19</f>
        <v>SECTION 2) DEPLOYMENT PLANS - IN POST</v>
      </c>
      <c r="D10" t="str">
        <f>'Workforce WTE'!$B$20</f>
        <v>SUBSTANTIVE WORKFORCE (WTE IN POST)</v>
      </c>
      <c r="F10" t="str">
        <f>'Workforce WTE'!B29</f>
        <v>Students</v>
      </c>
      <c r="AH10">
        <f>'Workforce WTE'!C29</f>
        <v>0</v>
      </c>
      <c r="AI10">
        <f>'Workforce WTE'!D29</f>
        <v>0</v>
      </c>
      <c r="AJ10">
        <f>'Workforce WTE'!E29</f>
        <v>0</v>
      </c>
      <c r="AK10">
        <f>'Workforce WTE'!F29</f>
        <v>0</v>
      </c>
      <c r="AL10">
        <f>'Workforce WTE'!G29</f>
        <v>0</v>
      </c>
      <c r="AN10">
        <f>'Workforce WTE'!H29</f>
        <v>0</v>
      </c>
      <c r="AO10">
        <f>'Workforce WTE'!I29</f>
        <v>0</v>
      </c>
      <c r="AP10">
        <f>'Workforce WTE'!J29</f>
        <v>0</v>
      </c>
    </row>
    <row r="11" spans="1:64" hidden="1">
      <c r="A11" t="str">
        <f>'[1]Front Sheet and Checklist'!$C$5</f>
        <v>(please select from drop down)</v>
      </c>
      <c r="B11" t="s">
        <v>240</v>
      </c>
      <c r="C11" t="str">
        <f>'Workforce WTE'!$B$19</f>
        <v>SECTION 2) DEPLOYMENT PLANS - IN POST</v>
      </c>
      <c r="D11" t="str">
        <f>'Workforce WTE'!$B$20</f>
        <v>SUBSTANTIVE WORKFORCE (WTE IN POST)</v>
      </c>
      <c r="F11" t="str">
        <f>'Workforce WTE'!B30</f>
        <v>Medical &amp; Dental (Central Shared Service Contract)</v>
      </c>
      <c r="AH11">
        <f>'Workforce WTE'!C30</f>
        <v>0</v>
      </c>
      <c r="AI11">
        <f>'Workforce WTE'!D30</f>
        <v>0</v>
      </c>
      <c r="AJ11">
        <f>'Workforce WTE'!E30</f>
        <v>0</v>
      </c>
      <c r="AK11">
        <f>'Workforce WTE'!F30</f>
        <v>564</v>
      </c>
      <c r="AL11">
        <f>'Workforce WTE'!G30</f>
        <v>488</v>
      </c>
      <c r="AN11">
        <f>'Workforce WTE'!H30</f>
        <v>462.05</v>
      </c>
      <c r="AO11">
        <f>'Workforce WTE'!I30</f>
        <v>0</v>
      </c>
      <c r="AP11">
        <f>'Workforce WTE'!J30</f>
        <v>0</v>
      </c>
    </row>
    <row r="12" spans="1:64" hidden="1">
      <c r="A12" t="str">
        <f>'[1]Front Sheet and Checklist'!$C$5</f>
        <v>(please select from drop down)</v>
      </c>
      <c r="B12" t="s">
        <v>240</v>
      </c>
      <c r="C12" t="str">
        <f>'Workforce WTE'!$B$19</f>
        <v>SECTION 2) DEPLOYMENT PLANS - IN POST</v>
      </c>
      <c r="D12" t="str">
        <f>'Workforce WTE'!$B$20</f>
        <v>SUBSTANTIVE WORKFORCE (WTE IN POST)</v>
      </c>
      <c r="F12" t="str">
        <f>'Workforce WTE'!B31</f>
        <v>Board Members</v>
      </c>
      <c r="AH12">
        <f>'Workforce WTE'!C31</f>
        <v>0</v>
      </c>
      <c r="AI12">
        <f>'Workforce WTE'!D31</f>
        <v>0</v>
      </c>
      <c r="AJ12">
        <f>'Workforce WTE'!E31</f>
        <v>0</v>
      </c>
      <c r="AK12">
        <f>'Workforce WTE'!F31</f>
        <v>0</v>
      </c>
      <c r="AL12">
        <f>'Workforce WTE'!G31</f>
        <v>0</v>
      </c>
      <c r="AN12">
        <f>'Workforce WTE'!H31</f>
        <v>0</v>
      </c>
      <c r="AO12">
        <f>'Workforce WTE'!I31</f>
        <v>0</v>
      </c>
      <c r="AP12">
        <f>'Workforce WTE'!J31</f>
        <v>0</v>
      </c>
    </row>
    <row r="13" spans="1:64" hidden="1">
      <c r="A13" t="str">
        <f>'[1]Front Sheet and Checklist'!$C$5</f>
        <v>(please select from drop down)</v>
      </c>
      <c r="B13" t="s">
        <v>240</v>
      </c>
      <c r="C13" t="str">
        <f>'Workforce WTE'!$B$19</f>
        <v>SECTION 2) DEPLOYMENT PLANS - IN POST</v>
      </c>
      <c r="D13" t="str">
        <f>'Workforce WTE'!$B$20</f>
        <v>SUBSTANTIVE WORKFORCE (WTE IN POST)</v>
      </c>
      <c r="F13" t="str">
        <f>'Workforce WTE'!B32</f>
        <v>Apprentices</v>
      </c>
      <c r="AH13">
        <f>'Workforce WTE'!C32</f>
        <v>0</v>
      </c>
      <c r="AI13">
        <f>'Workforce WTE'!D32</f>
        <v>0</v>
      </c>
      <c r="AJ13">
        <f>'Workforce WTE'!E32</f>
        <v>0</v>
      </c>
      <c r="AK13">
        <f>'Workforce WTE'!F32</f>
        <v>0</v>
      </c>
      <c r="AL13">
        <f>'Workforce WTE'!G32</f>
        <v>0</v>
      </c>
      <c r="AN13">
        <f>'Workforce WTE'!H32</f>
        <v>0</v>
      </c>
      <c r="AO13">
        <f>'Workforce WTE'!I32</f>
        <v>0</v>
      </c>
      <c r="AP13">
        <f>'Workforce WTE'!J32</f>
        <v>0</v>
      </c>
    </row>
    <row r="14" spans="1:64" hidden="1">
      <c r="A14" t="str">
        <f>'[1]Front Sheet and Checklist'!$C$5</f>
        <v>(please select from drop down)</v>
      </c>
      <c r="B14" t="s">
        <v>240</v>
      </c>
      <c r="C14" t="str">
        <f>'Workforce WTE'!$B$19</f>
        <v>SECTION 2) DEPLOYMENT PLANS - IN POST</v>
      </c>
      <c r="D14" t="str">
        <f>'Workforce WTE'!$B$20</f>
        <v>SUBSTANTIVE WORKFORCE (WTE IN POST)</v>
      </c>
      <c r="F14" t="str">
        <f>'Workforce WTE'!B33</f>
        <v>TOTAL</v>
      </c>
      <c r="AH14">
        <f>'Workforce WTE'!C33</f>
        <v>12122.317190000025</v>
      </c>
      <c r="AI14">
        <f>'Workforce WTE'!D33</f>
        <v>12318.817190000025</v>
      </c>
      <c r="AJ14">
        <f>'Workforce WTE'!E33</f>
        <v>12724.194829999999</v>
      </c>
      <c r="AK14">
        <f>'Workforce WTE'!F33</f>
        <v>13349.589630000002</v>
      </c>
      <c r="AL14">
        <f>'Workforce WTE'!G33</f>
        <v>13413.429999999998</v>
      </c>
      <c r="AN14">
        <f>'Workforce WTE'!H33</f>
        <v>13433.630000000001</v>
      </c>
      <c r="AO14">
        <f>'Workforce WTE'!I33</f>
        <v>0</v>
      </c>
      <c r="AP14">
        <f>'Workforce WTE'!J33</f>
        <v>0</v>
      </c>
    </row>
    <row r="15" spans="1:64" hidden="1">
      <c r="A15" t="str">
        <f>'[1]Front Sheet and Checklist'!$C$5</f>
        <v>(please select from drop down)</v>
      </c>
      <c r="B15" t="s">
        <v>240</v>
      </c>
    </row>
    <row r="16" spans="1:64" hidden="1">
      <c r="A16" t="str">
        <f>'[1]Front Sheet and Checklist'!$C$5</f>
        <v>(please select from drop down)</v>
      </c>
      <c r="B16" t="s">
        <v>240</v>
      </c>
      <c r="C16" t="str">
        <f>'Workforce WTE'!$B$19</f>
        <v>SECTION 2) DEPLOYMENT PLANS - IN POST</v>
      </c>
      <c r="D16" t="str">
        <f>'Workforce WTE'!$B$35</f>
        <v>VARIABLE WORKFORCE (BANK AND OVERTIME)</v>
      </c>
      <c r="F16" t="str">
        <f>'Workforce WTE'!B35</f>
        <v>VARIABLE WORKFORCE (BANK AND OVERTIME)</v>
      </c>
      <c r="AH16">
        <f>'Workforce WTE'!C35</f>
        <v>0</v>
      </c>
      <c r="AI16">
        <f>'Workforce WTE'!D35</f>
        <v>0</v>
      </c>
      <c r="AJ16">
        <f>'Workforce WTE'!E35</f>
        <v>0</v>
      </c>
      <c r="AK16">
        <f>'Workforce WTE'!F35</f>
        <v>0</v>
      </c>
      <c r="AL16">
        <f>'Workforce WTE'!G35</f>
        <v>0</v>
      </c>
      <c r="AN16">
        <f>'Workforce WTE'!H35</f>
        <v>0</v>
      </c>
      <c r="AO16">
        <f>'Workforce WTE'!I35</f>
        <v>0</v>
      </c>
      <c r="AP16">
        <f>'Workforce WTE'!J35</f>
        <v>0</v>
      </c>
    </row>
    <row r="17" spans="1:42" hidden="1">
      <c r="A17" t="str">
        <f>'[1]Front Sheet and Checklist'!$C$5</f>
        <v>(please select from drop down)</v>
      </c>
      <c r="B17" t="s">
        <v>240</v>
      </c>
      <c r="C17" t="str">
        <f>'Workforce WTE'!$B$19</f>
        <v>SECTION 2) DEPLOYMENT PLANS - IN POST</v>
      </c>
      <c r="D17" t="str">
        <f>'Workforce WTE'!$B$35</f>
        <v>VARIABLE WORKFORCE (BANK AND OVERTIME)</v>
      </c>
      <c r="F17" t="str">
        <f>'Workforce WTE'!B36</f>
        <v>Administrative, Clerical &amp; Board Members</v>
      </c>
      <c r="AH17">
        <f>'Workforce WTE'!C36</f>
        <v>14.28</v>
      </c>
      <c r="AI17">
        <f>'Workforce WTE'!D36</f>
        <v>14.02</v>
      </c>
      <c r="AJ17">
        <f>'Workforce WTE'!E36</f>
        <v>16.55</v>
      </c>
      <c r="AK17">
        <f>'Workforce WTE'!F36</f>
        <v>12.01</v>
      </c>
      <c r="AL17">
        <f>'Workforce WTE'!G36</f>
        <v>26.77</v>
      </c>
      <c r="AN17">
        <f>'Workforce WTE'!H36</f>
        <v>26.72</v>
      </c>
      <c r="AO17">
        <f>'Workforce WTE'!I36</f>
        <v>0</v>
      </c>
      <c r="AP17">
        <f>'Workforce WTE'!J36</f>
        <v>0</v>
      </c>
    </row>
    <row r="18" spans="1:42" hidden="1">
      <c r="A18" t="str">
        <f>'[1]Front Sheet and Checklist'!$C$5</f>
        <v>(please select from drop down)</v>
      </c>
      <c r="B18" t="s">
        <v>240</v>
      </c>
      <c r="C18" t="str">
        <f>'Workforce WTE'!$B$19</f>
        <v>SECTION 2) DEPLOYMENT PLANS - IN POST</v>
      </c>
      <c r="D18" t="str">
        <f>'Workforce WTE'!$B$35</f>
        <v>VARIABLE WORKFORCE (BANK AND OVERTIME)</v>
      </c>
      <c r="F18" t="str">
        <f>'Workforce WTE'!B37</f>
        <v>Medical &amp; Dental</v>
      </c>
      <c r="AH18">
        <f>'Workforce WTE'!C37</f>
        <v>31.295000000000002</v>
      </c>
      <c r="AI18">
        <f>'Workforce WTE'!D37</f>
        <v>33.01</v>
      </c>
      <c r="AJ18">
        <f>'Workforce WTE'!E37</f>
        <v>32.74</v>
      </c>
      <c r="AK18">
        <f>'Workforce WTE'!F37</f>
        <v>38.51</v>
      </c>
      <c r="AL18">
        <f>'Workforce WTE'!G37</f>
        <v>80.62</v>
      </c>
      <c r="AN18">
        <f>'Workforce WTE'!H37</f>
        <v>70.349999999999994</v>
      </c>
      <c r="AO18">
        <f>'Workforce WTE'!I37</f>
        <v>0</v>
      </c>
      <c r="AP18">
        <f>'Workforce WTE'!J37</f>
        <v>0</v>
      </c>
    </row>
    <row r="19" spans="1:42" hidden="1">
      <c r="A19" t="str">
        <f>'[1]Front Sheet and Checklist'!$C$5</f>
        <v>(please select from drop down)</v>
      </c>
      <c r="B19" t="s">
        <v>240</v>
      </c>
      <c r="C19" t="str">
        <f>'Workforce WTE'!$B$19</f>
        <v>SECTION 2) DEPLOYMENT PLANS - IN POST</v>
      </c>
      <c r="D19" t="str">
        <f>'Workforce WTE'!$B$35</f>
        <v>VARIABLE WORKFORCE (BANK AND OVERTIME)</v>
      </c>
      <c r="F19" t="str">
        <f>'Workforce WTE'!B38</f>
        <v>Nursing &amp; Midwifery Registered</v>
      </c>
      <c r="AH19">
        <f>'Workforce WTE'!C38</f>
        <v>60.370000000000005</v>
      </c>
      <c r="AI19">
        <f>'Workforce WTE'!D38</f>
        <v>58.18</v>
      </c>
      <c r="AJ19">
        <f>'Workforce WTE'!E38</f>
        <v>55.23</v>
      </c>
      <c r="AK19">
        <f>'Workforce WTE'!F38</f>
        <v>42.76</v>
      </c>
      <c r="AL19">
        <f>'Workforce WTE'!G38</f>
        <v>163.66999999999999</v>
      </c>
      <c r="AN19">
        <f>'Workforce WTE'!H38</f>
        <v>195.64</v>
      </c>
      <c r="AO19">
        <f>'Workforce WTE'!I38</f>
        <v>0</v>
      </c>
      <c r="AP19">
        <f>'Workforce WTE'!J38</f>
        <v>0</v>
      </c>
    </row>
    <row r="20" spans="1:42" hidden="1">
      <c r="A20" t="str">
        <f>'[1]Front Sheet and Checklist'!$C$5</f>
        <v>(please select from drop down)</v>
      </c>
      <c r="B20" t="s">
        <v>240</v>
      </c>
      <c r="C20" t="str">
        <f>'Workforce WTE'!$B$19</f>
        <v>SECTION 2) DEPLOYMENT PLANS - IN POST</v>
      </c>
      <c r="D20" t="str">
        <f>'Workforce WTE'!$B$35</f>
        <v>VARIABLE WORKFORCE (BANK AND OVERTIME)</v>
      </c>
      <c r="F20" t="str">
        <f>'Workforce WTE'!B39</f>
        <v>Prof Scientific &amp; Technical</v>
      </c>
      <c r="AH20">
        <f>'Workforce WTE'!C39</f>
        <v>1.0950000000000002</v>
      </c>
      <c r="AI20">
        <f>'Workforce WTE'!D39</f>
        <v>1.26</v>
      </c>
      <c r="AJ20">
        <f>'Workforce WTE'!E39</f>
        <v>1.1499999999999999</v>
      </c>
      <c r="AK20">
        <f>'Workforce WTE'!F39</f>
        <v>0.71</v>
      </c>
      <c r="AL20">
        <f>'Workforce WTE'!G39</f>
        <v>0.97</v>
      </c>
      <c r="AN20">
        <f>'Workforce WTE'!H39</f>
        <v>0.21</v>
      </c>
      <c r="AO20">
        <f>'Workforce WTE'!I39</f>
        <v>0</v>
      </c>
      <c r="AP20">
        <f>'Workforce WTE'!J39</f>
        <v>0</v>
      </c>
    </row>
    <row r="21" spans="1:42" hidden="1">
      <c r="A21" t="str">
        <f>'[1]Front Sheet and Checklist'!$C$5</f>
        <v>(please select from drop down)</v>
      </c>
      <c r="B21" t="s">
        <v>240</v>
      </c>
      <c r="C21" t="str">
        <f>'Workforce WTE'!$B$19</f>
        <v>SECTION 2) DEPLOYMENT PLANS - IN POST</v>
      </c>
      <c r="D21" t="str">
        <f>'Workforce WTE'!$B$35</f>
        <v>VARIABLE WORKFORCE (BANK AND OVERTIME)</v>
      </c>
      <c r="F21" t="str">
        <f>'Workforce WTE'!B40</f>
        <v>Additional Clinical Services</v>
      </c>
      <c r="AH21">
        <f>'Workforce WTE'!C40</f>
        <v>6.85</v>
      </c>
      <c r="AI21">
        <f>'Workforce WTE'!D40</f>
        <v>7.8</v>
      </c>
      <c r="AJ21">
        <f>'Workforce WTE'!E40</f>
        <v>8.39</v>
      </c>
      <c r="AK21">
        <f>'Workforce WTE'!F40</f>
        <v>6.75</v>
      </c>
      <c r="AL21">
        <f>'Workforce WTE'!G40</f>
        <v>300.29000000000002</v>
      </c>
      <c r="AN21">
        <f>'Workforce WTE'!H40</f>
        <v>318.69</v>
      </c>
      <c r="AO21">
        <f>'Workforce WTE'!I40</f>
        <v>0</v>
      </c>
      <c r="AP21">
        <f>'Workforce WTE'!J40</f>
        <v>0</v>
      </c>
    </row>
    <row r="22" spans="1:42" hidden="1">
      <c r="A22" t="str">
        <f>'[1]Front Sheet and Checklist'!$C$5</f>
        <v>(please select from drop down)</v>
      </c>
      <c r="B22" t="s">
        <v>240</v>
      </c>
      <c r="C22" t="str">
        <f>'Workforce WTE'!$B$19</f>
        <v>SECTION 2) DEPLOYMENT PLANS - IN POST</v>
      </c>
      <c r="D22" t="str">
        <f>'Workforce WTE'!$B$35</f>
        <v>VARIABLE WORKFORCE (BANK AND OVERTIME)</v>
      </c>
      <c r="F22" t="str">
        <f>'Workforce WTE'!B41</f>
        <v>Allied Health Professionals</v>
      </c>
      <c r="AH22">
        <f>'Workforce WTE'!C41</f>
        <v>10.42</v>
      </c>
      <c r="AI22">
        <f>'Workforce WTE'!D41</f>
        <v>11.58</v>
      </c>
      <c r="AJ22">
        <f>'Workforce WTE'!E41</f>
        <v>10.91</v>
      </c>
      <c r="AK22">
        <f>'Workforce WTE'!F41</f>
        <v>8.73</v>
      </c>
      <c r="AL22">
        <f>'Workforce WTE'!G41</f>
        <v>16.37</v>
      </c>
      <c r="AN22">
        <f>'Workforce WTE'!H41</f>
        <v>17.52</v>
      </c>
      <c r="AO22">
        <f>'Workforce WTE'!I41</f>
        <v>0</v>
      </c>
      <c r="AP22">
        <f>'Workforce WTE'!J41</f>
        <v>0</v>
      </c>
    </row>
    <row r="23" spans="1:42" hidden="1">
      <c r="A23" t="str">
        <f>'[1]Front Sheet and Checklist'!$C$5</f>
        <v>(please select from drop down)</v>
      </c>
      <c r="B23" t="s">
        <v>240</v>
      </c>
      <c r="C23" t="str">
        <f>'Workforce WTE'!$B$19</f>
        <v>SECTION 2) DEPLOYMENT PLANS - IN POST</v>
      </c>
      <c r="D23" t="str">
        <f>'Workforce WTE'!$B$35</f>
        <v>VARIABLE WORKFORCE (BANK AND OVERTIME)</v>
      </c>
      <c r="F23" t="str">
        <f>'Workforce WTE'!B42</f>
        <v>Healthcare Scientists</v>
      </c>
      <c r="AH23">
        <f>'Workforce WTE'!C42</f>
        <v>6.2050000000000001</v>
      </c>
      <c r="AI23">
        <f>'Workforce WTE'!D42</f>
        <v>7.03</v>
      </c>
      <c r="AJ23">
        <f>'Workforce WTE'!E42</f>
        <v>7.63</v>
      </c>
      <c r="AK23">
        <f>'Workforce WTE'!F42</f>
        <v>6.63</v>
      </c>
      <c r="AL23">
        <f>'Workforce WTE'!G42</f>
        <v>8.83</v>
      </c>
      <c r="AN23">
        <f>'Workforce WTE'!H42</f>
        <v>8.18</v>
      </c>
      <c r="AO23">
        <f>'Workforce WTE'!I42</f>
        <v>0</v>
      </c>
      <c r="AP23">
        <f>'Workforce WTE'!J42</f>
        <v>0</v>
      </c>
    </row>
    <row r="24" spans="1:42" hidden="1">
      <c r="A24" t="str">
        <f>'[1]Front Sheet and Checklist'!$C$5</f>
        <v>(please select from drop down)</v>
      </c>
      <c r="B24" t="s">
        <v>240</v>
      </c>
      <c r="C24" t="str">
        <f>'Workforce WTE'!$B$19</f>
        <v>SECTION 2) DEPLOYMENT PLANS - IN POST</v>
      </c>
      <c r="D24" t="str">
        <f>'Workforce WTE'!$B$35</f>
        <v>VARIABLE WORKFORCE (BANK AND OVERTIME)</v>
      </c>
      <c r="F24" t="str">
        <f>'Workforce WTE'!B43</f>
        <v>Estates &amp; Ancillary</v>
      </c>
      <c r="AH24">
        <f>'Workforce WTE'!C43</f>
        <v>30.045000000000002</v>
      </c>
      <c r="AI24">
        <f>'Workforce WTE'!D43</f>
        <v>28.64</v>
      </c>
      <c r="AJ24">
        <f>'Workforce WTE'!E43</f>
        <v>33.99</v>
      </c>
      <c r="AK24">
        <f>'Workforce WTE'!F43</f>
        <v>31.14</v>
      </c>
      <c r="AL24">
        <f>'Workforce WTE'!G43</f>
        <v>30.89</v>
      </c>
      <c r="AN24">
        <f>'Workforce WTE'!H43</f>
        <v>27.12</v>
      </c>
      <c r="AO24">
        <f>'Workforce WTE'!I43</f>
        <v>0</v>
      </c>
      <c r="AP24">
        <f>'Workforce WTE'!J43</f>
        <v>0</v>
      </c>
    </row>
    <row r="25" spans="1:42" hidden="1">
      <c r="A25" t="str">
        <f>'[1]Front Sheet and Checklist'!$C$5</f>
        <v>(please select from drop down)</v>
      </c>
      <c r="B25" t="s">
        <v>240</v>
      </c>
      <c r="C25" t="str">
        <f>'Workforce WTE'!$B$19</f>
        <v>SECTION 2) DEPLOYMENT PLANS - IN POST</v>
      </c>
      <c r="D25" t="str">
        <f>'Workforce WTE'!$B$35</f>
        <v>VARIABLE WORKFORCE (BANK AND OVERTIME)</v>
      </c>
      <c r="F25" t="str">
        <f>'Workforce WTE'!B44</f>
        <v>Students</v>
      </c>
      <c r="AH25">
        <f>'Workforce WTE'!C44</f>
        <v>0</v>
      </c>
      <c r="AI25">
        <f>'Workforce WTE'!D44</f>
        <v>0</v>
      </c>
      <c r="AJ25">
        <f>'Workforce WTE'!E44</f>
        <v>0</v>
      </c>
      <c r="AK25">
        <f>'Workforce WTE'!F44</f>
        <v>0</v>
      </c>
      <c r="AL25">
        <f>'Workforce WTE'!G44</f>
        <v>0</v>
      </c>
      <c r="AN25">
        <f>'Workforce WTE'!H44</f>
        <v>0</v>
      </c>
      <c r="AO25">
        <f>'Workforce WTE'!I44</f>
        <v>0</v>
      </c>
      <c r="AP25">
        <f>'Workforce WTE'!J44</f>
        <v>0</v>
      </c>
    </row>
    <row r="26" spans="1:42" hidden="1">
      <c r="A26" t="str">
        <f>'[1]Front Sheet and Checklist'!$C$5</f>
        <v>(please select from drop down)</v>
      </c>
      <c r="B26" t="s">
        <v>240</v>
      </c>
      <c r="C26" t="str">
        <f>'Workforce WTE'!$B$19</f>
        <v>SECTION 2) DEPLOYMENT PLANS - IN POST</v>
      </c>
      <c r="D26" t="str">
        <f>'Workforce WTE'!$B$35</f>
        <v>VARIABLE WORKFORCE (BANK AND OVERTIME)</v>
      </c>
      <c r="F26" t="str">
        <f>'Workforce WTE'!B45</f>
        <v>Board Members</v>
      </c>
      <c r="AH26">
        <f>'Workforce WTE'!C45</f>
        <v>0</v>
      </c>
      <c r="AI26">
        <f>'Workforce WTE'!D45</f>
        <v>0</v>
      </c>
      <c r="AJ26">
        <f>'Workforce WTE'!E45</f>
        <v>0</v>
      </c>
      <c r="AK26">
        <f>'Workforce WTE'!F45</f>
        <v>0</v>
      </c>
      <c r="AL26">
        <f>'Workforce WTE'!G45</f>
        <v>0</v>
      </c>
      <c r="AN26">
        <f>'Workforce WTE'!H45</f>
        <v>0</v>
      </c>
      <c r="AO26">
        <f>'Workforce WTE'!I45</f>
        <v>0</v>
      </c>
      <c r="AP26">
        <f>'Workforce WTE'!J45</f>
        <v>0</v>
      </c>
    </row>
    <row r="27" spans="1:42" hidden="1">
      <c r="A27" t="str">
        <f>'[1]Front Sheet and Checklist'!$C$5</f>
        <v>(please select from drop down)</v>
      </c>
      <c r="B27" t="s">
        <v>240</v>
      </c>
      <c r="C27" t="str">
        <f>'Workforce WTE'!$B$19</f>
        <v>SECTION 2) DEPLOYMENT PLANS - IN POST</v>
      </c>
      <c r="D27" t="str">
        <f>'Workforce WTE'!$B$35</f>
        <v>VARIABLE WORKFORCE (BANK AND OVERTIME)</v>
      </c>
      <c r="F27" t="str">
        <f>'Workforce WTE'!B46</f>
        <v>Apprentices</v>
      </c>
      <c r="AH27">
        <f>'Workforce WTE'!C46</f>
        <v>0</v>
      </c>
      <c r="AI27">
        <f>'Workforce WTE'!D46</f>
        <v>0</v>
      </c>
      <c r="AJ27">
        <f>'Workforce WTE'!E46</f>
        <v>0</v>
      </c>
      <c r="AK27">
        <f>'Workforce WTE'!F46</f>
        <v>0</v>
      </c>
      <c r="AL27">
        <f>'Workforce WTE'!G46</f>
        <v>0</v>
      </c>
      <c r="AN27">
        <f>'Workforce WTE'!H46</f>
        <v>0</v>
      </c>
      <c r="AO27">
        <f>'Workforce WTE'!I46</f>
        <v>0</v>
      </c>
      <c r="AP27">
        <f>'Workforce WTE'!J46</f>
        <v>0</v>
      </c>
    </row>
    <row r="28" spans="1:42" hidden="1">
      <c r="A28" t="str">
        <f>'[1]Front Sheet and Checklist'!$C$5</f>
        <v>(please select from drop down)</v>
      </c>
      <c r="B28" t="s">
        <v>240</v>
      </c>
      <c r="C28" t="str">
        <f>'Workforce WTE'!$B$19</f>
        <v>SECTION 2) DEPLOYMENT PLANS - IN POST</v>
      </c>
      <c r="D28" t="str">
        <f>'Workforce WTE'!$B$35</f>
        <v>VARIABLE WORKFORCE (BANK AND OVERTIME)</v>
      </c>
      <c r="F28" t="str">
        <f>'Workforce WTE'!B47</f>
        <v>TOTAL</v>
      </c>
      <c r="AH28">
        <f>'Workforce WTE'!C47</f>
        <v>160.56</v>
      </c>
      <c r="AI28">
        <f>'Workforce WTE'!D47</f>
        <v>161.51999999999998</v>
      </c>
      <c r="AJ28">
        <f>'Workforce WTE'!E47</f>
        <v>166.59000000000003</v>
      </c>
      <c r="AK28">
        <f>'Workforce WTE'!F47</f>
        <v>147.24</v>
      </c>
      <c r="AL28">
        <f>'Workforce WTE'!G47</f>
        <v>628.41000000000008</v>
      </c>
      <c r="AN28">
        <f>'Workforce WTE'!H47</f>
        <v>664.42999999999984</v>
      </c>
      <c r="AO28">
        <f>'Workforce WTE'!I47</f>
        <v>0</v>
      </c>
      <c r="AP28">
        <f>'Workforce WTE'!J47</f>
        <v>0</v>
      </c>
    </row>
    <row r="29" spans="1:42" hidden="1">
      <c r="A29" t="str">
        <f>'[1]Front Sheet and Checklist'!$C$5</f>
        <v>(please select from drop down)</v>
      </c>
      <c r="B29" t="s">
        <v>240</v>
      </c>
      <c r="F29">
        <f>'Workforce WTE'!B48</f>
        <v>0</v>
      </c>
      <c r="AH29">
        <f>'Workforce WTE'!C48</f>
        <v>0</v>
      </c>
      <c r="AI29">
        <f>'Workforce WTE'!D48</f>
        <v>0</v>
      </c>
      <c r="AJ29">
        <f>'Workforce WTE'!E48</f>
        <v>0</v>
      </c>
      <c r="AK29">
        <f>'Workforce WTE'!F48</f>
        <v>0</v>
      </c>
      <c r="AL29">
        <f>'Workforce WTE'!G48</f>
        <v>0</v>
      </c>
      <c r="AN29">
        <f>'Workforce WTE'!H48</f>
        <v>0</v>
      </c>
      <c r="AO29">
        <f>'Workforce WTE'!I48</f>
        <v>0</v>
      </c>
      <c r="AP29">
        <f>'Workforce WTE'!J48</f>
        <v>0</v>
      </c>
    </row>
    <row r="30" spans="1:42" hidden="1">
      <c r="A30" t="str">
        <f>'[1]Front Sheet and Checklist'!$C$5</f>
        <v>(please select from drop down)</v>
      </c>
      <c r="B30" t="s">
        <v>240</v>
      </c>
      <c r="C30" t="str">
        <f>'Workforce WTE'!$B$19</f>
        <v>SECTION 2) DEPLOYMENT PLANS - IN POST</v>
      </c>
      <c r="D30" t="str">
        <f>'Workforce WTE'!$B$49</f>
        <v>AGENCY/LOCUM</v>
      </c>
      <c r="F30" t="str">
        <f>'Workforce WTE'!B49</f>
        <v>AGENCY/LOCUM</v>
      </c>
      <c r="AH30">
        <f>'Workforce WTE'!C49</f>
        <v>0</v>
      </c>
      <c r="AI30">
        <f>'Workforce WTE'!D49</f>
        <v>0</v>
      </c>
      <c r="AJ30">
        <f>'Workforce WTE'!E49</f>
        <v>0</v>
      </c>
      <c r="AK30">
        <f>'Workforce WTE'!F49</f>
        <v>0</v>
      </c>
      <c r="AL30">
        <f>'Workforce WTE'!G49</f>
        <v>0</v>
      </c>
      <c r="AN30">
        <f>'Workforce WTE'!H49</f>
        <v>0</v>
      </c>
      <c r="AO30">
        <f>'Workforce WTE'!I49</f>
        <v>0</v>
      </c>
      <c r="AP30">
        <f>'Workforce WTE'!J49</f>
        <v>0</v>
      </c>
    </row>
    <row r="31" spans="1:42" hidden="1">
      <c r="A31" t="str">
        <f>'[1]Front Sheet and Checklist'!$C$5</f>
        <v>(please select from drop down)</v>
      </c>
      <c r="B31" t="s">
        <v>240</v>
      </c>
      <c r="C31" t="str">
        <f>'Workforce WTE'!$B$19</f>
        <v>SECTION 2) DEPLOYMENT PLANS - IN POST</v>
      </c>
      <c r="D31" t="str">
        <f>'Workforce WTE'!$B$49</f>
        <v>AGENCY/LOCUM</v>
      </c>
      <c r="F31" t="str">
        <f>'Workforce WTE'!B50</f>
        <v>Administrative, Clerical &amp; Board Members</v>
      </c>
      <c r="AH31">
        <f>'Workforce WTE'!C50</f>
        <v>30.615000000000002</v>
      </c>
      <c r="AI31">
        <f>'Workforce WTE'!D50</f>
        <v>47.93</v>
      </c>
      <c r="AJ31">
        <f>'Workforce WTE'!E50</f>
        <v>24.59</v>
      </c>
      <c r="AK31">
        <f>'Workforce WTE'!F50</f>
        <v>18.690000000000001</v>
      </c>
      <c r="AL31">
        <f>'Workforce WTE'!G50</f>
        <v>9.89</v>
      </c>
      <c r="AN31">
        <f>'Workforce WTE'!H50</f>
        <v>6.28</v>
      </c>
      <c r="AO31">
        <f>'Workforce WTE'!I50</f>
        <v>0</v>
      </c>
      <c r="AP31">
        <f>'Workforce WTE'!J50</f>
        <v>0</v>
      </c>
    </row>
    <row r="32" spans="1:42" hidden="1">
      <c r="A32" t="str">
        <f>'[1]Front Sheet and Checklist'!$C$5</f>
        <v>(please select from drop down)</v>
      </c>
      <c r="B32" t="s">
        <v>240</v>
      </c>
      <c r="C32" t="str">
        <f>'Workforce WTE'!$B$19</f>
        <v>SECTION 2) DEPLOYMENT PLANS - IN POST</v>
      </c>
      <c r="D32" t="str">
        <f>'Workforce WTE'!$B$49</f>
        <v>AGENCY/LOCUM</v>
      </c>
      <c r="F32" t="str">
        <f>'Workforce WTE'!B51</f>
        <v>Medical &amp; Dental</v>
      </c>
      <c r="AH32">
        <f>'Workforce WTE'!C51</f>
        <v>89.710000000000008</v>
      </c>
      <c r="AI32">
        <f>'Workforce WTE'!D51</f>
        <v>111.35</v>
      </c>
      <c r="AJ32">
        <f>'Workforce WTE'!E51</f>
        <v>95.84</v>
      </c>
      <c r="AK32">
        <f>'Workforce WTE'!F51</f>
        <v>87.19</v>
      </c>
      <c r="AL32">
        <f>'Workforce WTE'!G51</f>
        <v>96.15</v>
      </c>
      <c r="AN32">
        <f>'Workforce WTE'!H51</f>
        <v>109.9</v>
      </c>
      <c r="AO32">
        <f>'Workforce WTE'!I51</f>
        <v>0</v>
      </c>
      <c r="AP32">
        <f>'Workforce WTE'!J51</f>
        <v>0</v>
      </c>
    </row>
    <row r="33" spans="1:42" hidden="1">
      <c r="A33" t="str">
        <f>'[1]Front Sheet and Checklist'!$C$5</f>
        <v>(please select from drop down)</v>
      </c>
      <c r="B33" t="s">
        <v>240</v>
      </c>
      <c r="C33" t="str">
        <f>'Workforce WTE'!$B$19</f>
        <v>SECTION 2) DEPLOYMENT PLANS - IN POST</v>
      </c>
      <c r="D33" t="str">
        <f>'Workforce WTE'!$B$49</f>
        <v>AGENCY/LOCUM</v>
      </c>
      <c r="F33" t="str">
        <f>'Workforce WTE'!B52</f>
        <v>Nursing &amp; Midwifery Registered</v>
      </c>
      <c r="AH33">
        <f>'Workforce WTE'!C52</f>
        <v>359.46000000000004</v>
      </c>
      <c r="AI33">
        <f>'Workforce WTE'!D52</f>
        <v>231.05</v>
      </c>
      <c r="AJ33">
        <f>'Workforce WTE'!E52</f>
        <v>139.13999999999999</v>
      </c>
      <c r="AK33">
        <f>'Workforce WTE'!F52</f>
        <v>77.790000000000006</v>
      </c>
      <c r="AL33">
        <f>'Workforce WTE'!G52</f>
        <v>67.319999999999993</v>
      </c>
      <c r="AN33">
        <f>'Workforce WTE'!H52</f>
        <v>42.68</v>
      </c>
      <c r="AO33">
        <f>'Workforce WTE'!I52</f>
        <v>0</v>
      </c>
      <c r="AP33">
        <f>'Workforce WTE'!J52</f>
        <v>0</v>
      </c>
    </row>
    <row r="34" spans="1:42" hidden="1">
      <c r="A34" t="str">
        <f>'[1]Front Sheet and Checklist'!$C$5</f>
        <v>(please select from drop down)</v>
      </c>
      <c r="B34" t="s">
        <v>240</v>
      </c>
      <c r="C34" t="str">
        <f>'Workforce WTE'!$B$19</f>
        <v>SECTION 2) DEPLOYMENT PLANS - IN POST</v>
      </c>
      <c r="D34" t="str">
        <f>'Workforce WTE'!$B$49</f>
        <v>AGENCY/LOCUM</v>
      </c>
      <c r="F34" t="str">
        <f>'Workforce WTE'!B53</f>
        <v>Prof Scientific &amp; Technical</v>
      </c>
      <c r="AH34">
        <f>'Workforce WTE'!C53</f>
        <v>0.2</v>
      </c>
      <c r="AI34">
        <f>'Workforce WTE'!D53</f>
        <v>0.14000000000000001</v>
      </c>
      <c r="AJ34">
        <f>'Workforce WTE'!E53</f>
        <v>0.06</v>
      </c>
      <c r="AK34">
        <f>'Workforce WTE'!F53</f>
        <v>0.11</v>
      </c>
      <c r="AL34">
        <f>'Workforce WTE'!G53</f>
        <v>0.27</v>
      </c>
      <c r="AN34">
        <f>'Workforce WTE'!H53</f>
        <v>0.41</v>
      </c>
      <c r="AO34">
        <f>'Workforce WTE'!I53</f>
        <v>0</v>
      </c>
      <c r="AP34">
        <f>'Workforce WTE'!J53</f>
        <v>0</v>
      </c>
    </row>
    <row r="35" spans="1:42" hidden="1">
      <c r="A35" t="str">
        <f>'[1]Front Sheet and Checklist'!$C$5</f>
        <v>(please select from drop down)</v>
      </c>
      <c r="B35" t="s">
        <v>240</v>
      </c>
      <c r="C35" t="str">
        <f>'Workforce WTE'!$B$19</f>
        <v>SECTION 2) DEPLOYMENT PLANS - IN POST</v>
      </c>
      <c r="D35" t="str">
        <f>'Workforce WTE'!$B$49</f>
        <v>AGENCY/LOCUM</v>
      </c>
      <c r="F35" t="str">
        <f>'Workforce WTE'!B54</f>
        <v>Additional Clinical Services</v>
      </c>
      <c r="AH35">
        <f>'Workforce WTE'!C54</f>
        <v>2.27</v>
      </c>
      <c r="AI35">
        <f>'Workforce WTE'!D54</f>
        <v>0.14000000000000001</v>
      </c>
      <c r="AJ35">
        <f>'Workforce WTE'!E54</f>
        <v>-0.04</v>
      </c>
      <c r="AK35">
        <f>'Workforce WTE'!F54</f>
        <v>-0.35</v>
      </c>
      <c r="AL35">
        <f>'Workforce WTE'!G54</f>
        <v>71.790000000000006</v>
      </c>
      <c r="AN35">
        <f>'Workforce WTE'!H54</f>
        <v>40.619999999999997</v>
      </c>
      <c r="AO35">
        <f>'Workforce WTE'!I54</f>
        <v>0</v>
      </c>
      <c r="AP35">
        <f>'Workforce WTE'!J54</f>
        <v>0</v>
      </c>
    </row>
    <row r="36" spans="1:42" hidden="1">
      <c r="A36" t="str">
        <f>'[1]Front Sheet and Checklist'!$C$5</f>
        <v>(please select from drop down)</v>
      </c>
      <c r="B36" t="s">
        <v>240</v>
      </c>
      <c r="C36" t="str">
        <f>'Workforce WTE'!$B$19</f>
        <v>SECTION 2) DEPLOYMENT PLANS - IN POST</v>
      </c>
      <c r="D36" t="str">
        <f>'Workforce WTE'!$B$49</f>
        <v>AGENCY/LOCUM</v>
      </c>
      <c r="F36" t="str">
        <f>'Workforce WTE'!B55</f>
        <v>Allied Health Professionals</v>
      </c>
      <c r="AH36">
        <f>'Workforce WTE'!C55</f>
        <v>2.8149999999999999</v>
      </c>
      <c r="AI36">
        <f>'Workforce WTE'!D55</f>
        <v>5.92</v>
      </c>
      <c r="AJ36">
        <f>'Workforce WTE'!E55</f>
        <v>6.43</v>
      </c>
      <c r="AK36">
        <f>'Workforce WTE'!F55</f>
        <v>11.1</v>
      </c>
      <c r="AL36">
        <f>'Workforce WTE'!G55</f>
        <v>5.48</v>
      </c>
      <c r="AN36">
        <f>'Workforce WTE'!H55</f>
        <v>3.79</v>
      </c>
      <c r="AO36">
        <f>'Workforce WTE'!I55</f>
        <v>0</v>
      </c>
      <c r="AP36">
        <f>'Workforce WTE'!J55</f>
        <v>0</v>
      </c>
    </row>
    <row r="37" spans="1:42" hidden="1">
      <c r="A37" t="str">
        <f>'[1]Front Sheet and Checklist'!$C$5</f>
        <v>(please select from drop down)</v>
      </c>
      <c r="B37" t="s">
        <v>240</v>
      </c>
      <c r="C37" t="str">
        <f>'Workforce WTE'!$B$19</f>
        <v>SECTION 2) DEPLOYMENT PLANS - IN POST</v>
      </c>
      <c r="D37" t="str">
        <f>'Workforce WTE'!$B$49</f>
        <v>AGENCY/LOCUM</v>
      </c>
      <c r="F37" t="str">
        <f>'Workforce WTE'!B56</f>
        <v>Healthcare Scientists</v>
      </c>
      <c r="AH37">
        <f>'Workforce WTE'!C56</f>
        <v>15.879999999999999</v>
      </c>
      <c r="AI37">
        <f>'Workforce WTE'!D56</f>
        <v>22.46</v>
      </c>
      <c r="AJ37">
        <f>'Workforce WTE'!E56</f>
        <v>17.940000000000001</v>
      </c>
      <c r="AK37">
        <f>'Workforce WTE'!F56</f>
        <v>14.21</v>
      </c>
      <c r="AL37">
        <f>'Workforce WTE'!G56</f>
        <v>14.49</v>
      </c>
      <c r="AN37">
        <f>'Workforce WTE'!H56</f>
        <v>15.65</v>
      </c>
      <c r="AO37">
        <f>'Workforce WTE'!I56</f>
        <v>0</v>
      </c>
      <c r="AP37">
        <f>'Workforce WTE'!J56</f>
        <v>0</v>
      </c>
    </row>
    <row r="38" spans="1:42" hidden="1">
      <c r="A38" t="str">
        <f>'[1]Front Sheet and Checklist'!$C$5</f>
        <v>(please select from drop down)</v>
      </c>
      <c r="B38" t="s">
        <v>240</v>
      </c>
      <c r="C38" t="str">
        <f>'Workforce WTE'!$B$19</f>
        <v>SECTION 2) DEPLOYMENT PLANS - IN POST</v>
      </c>
      <c r="D38" t="str">
        <f>'Workforce WTE'!$B$49</f>
        <v>AGENCY/LOCUM</v>
      </c>
      <c r="F38" t="str">
        <f>'Workforce WTE'!B57</f>
        <v>Estates &amp; Ancillary</v>
      </c>
      <c r="AH38">
        <f>'Workforce WTE'!C57</f>
        <v>7.9050000000000002</v>
      </c>
      <c r="AI38">
        <f>'Workforce WTE'!D57</f>
        <v>14.9</v>
      </c>
      <c r="AJ38">
        <f>'Workforce WTE'!E57</f>
        <v>18.28</v>
      </c>
      <c r="AK38">
        <f>'Workforce WTE'!F57</f>
        <v>14.91</v>
      </c>
      <c r="AL38">
        <f>'Workforce WTE'!G57</f>
        <v>6.99</v>
      </c>
      <c r="AN38">
        <f>'Workforce WTE'!H57</f>
        <v>8.6</v>
      </c>
      <c r="AO38">
        <f>'Workforce WTE'!I57</f>
        <v>0</v>
      </c>
      <c r="AP38">
        <f>'Workforce WTE'!J57</f>
        <v>0</v>
      </c>
    </row>
    <row r="39" spans="1:42" hidden="1">
      <c r="A39" t="str">
        <f>'[1]Front Sheet and Checklist'!$C$5</f>
        <v>(please select from drop down)</v>
      </c>
      <c r="B39" t="s">
        <v>240</v>
      </c>
      <c r="C39" t="str">
        <f>'Workforce WTE'!$B$19</f>
        <v>SECTION 2) DEPLOYMENT PLANS - IN POST</v>
      </c>
      <c r="D39" t="str">
        <f>'Workforce WTE'!$B$49</f>
        <v>AGENCY/LOCUM</v>
      </c>
      <c r="F39" t="str">
        <f>'Workforce WTE'!B58</f>
        <v>Students</v>
      </c>
      <c r="AH39">
        <f>'Workforce WTE'!C58</f>
        <v>0</v>
      </c>
      <c r="AI39">
        <f>'Workforce WTE'!D58</f>
        <v>0</v>
      </c>
      <c r="AJ39">
        <f>'Workforce WTE'!E58</f>
        <v>0</v>
      </c>
      <c r="AK39">
        <f>'Workforce WTE'!F58</f>
        <v>0</v>
      </c>
      <c r="AL39">
        <f>'Workforce WTE'!G58</f>
        <v>0</v>
      </c>
      <c r="AN39">
        <f>'Workforce WTE'!H58</f>
        <v>0</v>
      </c>
      <c r="AO39">
        <f>'Workforce WTE'!I58</f>
        <v>0</v>
      </c>
      <c r="AP39">
        <f>'Workforce WTE'!J58</f>
        <v>0</v>
      </c>
    </row>
    <row r="40" spans="1:42" hidden="1">
      <c r="A40" t="str">
        <f>'[1]Front Sheet and Checklist'!$C$5</f>
        <v>(please select from drop down)</v>
      </c>
      <c r="B40" t="s">
        <v>240</v>
      </c>
      <c r="C40" t="str">
        <f>'Workforce WTE'!$B$19</f>
        <v>SECTION 2) DEPLOYMENT PLANS - IN POST</v>
      </c>
      <c r="D40" t="str">
        <f>'Workforce WTE'!$B$49</f>
        <v>AGENCY/LOCUM</v>
      </c>
      <c r="F40" t="str">
        <f>'Workforce WTE'!B59</f>
        <v>Board Members</v>
      </c>
      <c r="AH40">
        <f>'Workforce WTE'!C59</f>
        <v>0</v>
      </c>
      <c r="AI40">
        <f>'Workforce WTE'!D59</f>
        <v>0</v>
      </c>
      <c r="AJ40">
        <f>'Workforce WTE'!E59</f>
        <v>0</v>
      </c>
      <c r="AK40">
        <f>'Workforce WTE'!F59</f>
        <v>0</v>
      </c>
      <c r="AL40">
        <f>'Workforce WTE'!G59</f>
        <v>0</v>
      </c>
      <c r="AN40">
        <f>'Workforce WTE'!H59</f>
        <v>0</v>
      </c>
      <c r="AO40">
        <f>'Workforce WTE'!I59</f>
        <v>0</v>
      </c>
      <c r="AP40">
        <f>'Workforce WTE'!J59</f>
        <v>0</v>
      </c>
    </row>
    <row r="41" spans="1:42" hidden="1">
      <c r="A41" t="str">
        <f>'[1]Front Sheet and Checklist'!$C$5</f>
        <v>(please select from drop down)</v>
      </c>
      <c r="B41" t="s">
        <v>240</v>
      </c>
      <c r="C41" t="str">
        <f>'Workforce WTE'!$B$19</f>
        <v>SECTION 2) DEPLOYMENT PLANS - IN POST</v>
      </c>
      <c r="D41" t="str">
        <f>'Workforce WTE'!$B$49</f>
        <v>AGENCY/LOCUM</v>
      </c>
      <c r="F41" t="str">
        <f>'Workforce WTE'!B60</f>
        <v>Apprentices</v>
      </c>
      <c r="AH41">
        <f>'Workforce WTE'!C60</f>
        <v>0</v>
      </c>
      <c r="AI41">
        <f>'Workforce WTE'!D60</f>
        <v>0</v>
      </c>
      <c r="AJ41">
        <f>'Workforce WTE'!E60</f>
        <v>0</v>
      </c>
      <c r="AK41">
        <f>'Workforce WTE'!F60</f>
        <v>0</v>
      </c>
      <c r="AL41">
        <f>'Workforce WTE'!G60</f>
        <v>0</v>
      </c>
      <c r="AN41">
        <f>'Workforce WTE'!H60</f>
        <v>0</v>
      </c>
      <c r="AO41">
        <f>'Workforce WTE'!I60</f>
        <v>0</v>
      </c>
      <c r="AP41">
        <f>'Workforce WTE'!J60</f>
        <v>0</v>
      </c>
    </row>
    <row r="42" spans="1:42" hidden="1">
      <c r="A42" t="str">
        <f>'[1]Front Sheet and Checklist'!$C$5</f>
        <v>(please select from drop down)</v>
      </c>
      <c r="B42" t="s">
        <v>240</v>
      </c>
      <c r="C42" t="str">
        <f>'Workforce WTE'!$B$19</f>
        <v>SECTION 2) DEPLOYMENT PLANS - IN POST</v>
      </c>
      <c r="D42" t="str">
        <f>'Workforce WTE'!$B$49</f>
        <v>AGENCY/LOCUM</v>
      </c>
      <c r="F42" t="str">
        <f>'Workforce WTE'!B61</f>
        <v>TOTAL</v>
      </c>
      <c r="AH42">
        <f>'Workforce WTE'!C61</f>
        <v>508.85500000000002</v>
      </c>
      <c r="AI42">
        <f>'Workforce WTE'!D61</f>
        <v>433.89</v>
      </c>
      <c r="AJ42">
        <f>'Workforce WTE'!E61</f>
        <v>302.24</v>
      </c>
      <c r="AK42">
        <f>'Workforce WTE'!F61</f>
        <v>223.65000000000003</v>
      </c>
      <c r="AL42">
        <f>'Workforce WTE'!G61</f>
        <v>272.38</v>
      </c>
      <c r="AN42">
        <f>'Workforce WTE'!H61</f>
        <v>227.93</v>
      </c>
      <c r="AO42">
        <f>'Workforce WTE'!I61</f>
        <v>0</v>
      </c>
      <c r="AP42">
        <f>'Workforce WTE'!J61</f>
        <v>0</v>
      </c>
    </row>
    <row r="43" spans="1:42" hidden="1">
      <c r="A43" t="str">
        <f>'[1]Front Sheet and Checklist'!$C$5</f>
        <v>(please select from drop down)</v>
      </c>
      <c r="B43" t="s">
        <v>240</v>
      </c>
      <c r="AH43">
        <f>'Workforce WTE'!C62</f>
        <v>0</v>
      </c>
      <c r="AI43">
        <f>'Workforce WTE'!D62</f>
        <v>0</v>
      </c>
      <c r="AJ43">
        <f>'Workforce WTE'!E62</f>
        <v>0</v>
      </c>
      <c r="AK43">
        <f>'Workforce WTE'!F62</f>
        <v>0</v>
      </c>
      <c r="AL43">
        <f>'Workforce WTE'!G62</f>
        <v>0</v>
      </c>
      <c r="AN43">
        <f>'Workforce WTE'!H62</f>
        <v>0</v>
      </c>
      <c r="AO43">
        <f>'Workforce WTE'!I62</f>
        <v>0</v>
      </c>
      <c r="AP43">
        <f>'Workforce WTE'!J62</f>
        <v>0</v>
      </c>
    </row>
    <row r="44" spans="1:42" hidden="1">
      <c r="A44" t="str">
        <f>'[1]Front Sheet and Checklist'!$C$5</f>
        <v>(please select from drop down)</v>
      </c>
      <c r="B44" t="s">
        <v>240</v>
      </c>
      <c r="AH44">
        <f>'Workforce WTE'!C63</f>
        <v>0</v>
      </c>
      <c r="AI44">
        <f>'Workforce WTE'!D63</f>
        <v>0</v>
      </c>
      <c r="AJ44">
        <f>'Workforce WTE'!E63</f>
        <v>0</v>
      </c>
      <c r="AK44">
        <f>'Workforce WTE'!F63</f>
        <v>0</v>
      </c>
      <c r="AL44">
        <f>'Workforce WTE'!G63</f>
        <v>0</v>
      </c>
      <c r="AN44">
        <f>'Workforce WTE'!H63</f>
        <v>0</v>
      </c>
      <c r="AO44">
        <f>'Workforce WTE'!I63</f>
        <v>0</v>
      </c>
      <c r="AP44">
        <f>'Workforce WTE'!J63</f>
        <v>0</v>
      </c>
    </row>
    <row r="45" spans="1:42" hidden="1">
      <c r="A45" t="str">
        <f>'[1]Front Sheet and Checklist'!$C$5</f>
        <v>(please select from drop down)</v>
      </c>
      <c r="B45" t="s">
        <v>240</v>
      </c>
      <c r="C45" t="str">
        <f>'Workforce WTE'!$B$19</f>
        <v>SECTION 2) DEPLOYMENT PLANS - IN POST</v>
      </c>
      <c r="D45" t="str">
        <f>'Workforce WTE'!$B$64</f>
        <v>SUMMARY</v>
      </c>
      <c r="F45" t="str">
        <f>'Workforce WTE'!B64</f>
        <v>SUMMARY</v>
      </c>
      <c r="AH45" t="str">
        <f>'Workforce WTE'!C64</f>
        <v>ACTUAL as @ 31/3/2023</v>
      </c>
      <c r="AI45" t="str">
        <f>'Workforce WTE'!D64</f>
        <v>FORECAST as @ 31/03/24</v>
      </c>
      <c r="AJ45" t="str">
        <f>'Workforce WTE'!E64</f>
        <v>Q1 FORECAST as @ 30/06/24</v>
      </c>
      <c r="AK45" t="str">
        <f>'Workforce WTE'!F64</f>
        <v>Q2 FORECAST as @ 30/09/24</v>
      </c>
      <c r="AL45" t="str">
        <f>'Workforce WTE'!G64</f>
        <v>Q3 FORECAST as @ 31/12/24</v>
      </c>
      <c r="AN45" t="str">
        <f>'Workforce WTE'!H64</f>
        <v>Plan End 2024/25</v>
      </c>
      <c r="AO45" t="str">
        <f>'Workforce WTE'!I64</f>
        <v>Plan End 2025/26</v>
      </c>
      <c r="AP45" t="str">
        <f>'Workforce WTE'!J64</f>
        <v>Plan End 2026/27</v>
      </c>
    </row>
    <row r="46" spans="1:42" hidden="1">
      <c r="A46" t="str">
        <f>'[1]Front Sheet and Checklist'!$C$5</f>
        <v>(please select from drop down)</v>
      </c>
      <c r="B46" t="s">
        <v>240</v>
      </c>
      <c r="C46" t="str">
        <f>'Workforce WTE'!$B$19</f>
        <v>SECTION 2) DEPLOYMENT PLANS - IN POST</v>
      </c>
      <c r="D46" t="str">
        <f>'Workforce WTE'!$B$64</f>
        <v>SUMMARY</v>
      </c>
      <c r="F46" t="str">
        <f>'Workforce WTE'!B65</f>
        <v>Administrative, Clerical &amp; Board Members</v>
      </c>
      <c r="AH46">
        <f>'Workforce WTE'!C65</f>
        <v>2486.6623799999902</v>
      </c>
      <c r="AI46">
        <f>'Workforce WTE'!D65</f>
        <v>2541.9173799999899</v>
      </c>
      <c r="AJ46">
        <f>'Workforce WTE'!E65</f>
        <v>2487.7167300000001</v>
      </c>
      <c r="AK46">
        <f>'Workforce WTE'!F65</f>
        <v>2452.48153</v>
      </c>
      <c r="AL46">
        <f>'Workforce WTE'!G65</f>
        <v>2441.6099999999997</v>
      </c>
      <c r="AN46">
        <f>'Workforce WTE'!H65</f>
        <v>2438.4</v>
      </c>
      <c r="AO46">
        <f>'Workforce WTE'!I65</f>
        <v>0</v>
      </c>
      <c r="AP46">
        <f>'Workforce WTE'!J65</f>
        <v>0</v>
      </c>
    </row>
    <row r="47" spans="1:42" hidden="1">
      <c r="A47" t="str">
        <f>'[1]Front Sheet and Checklist'!$C$5</f>
        <v>(please select from drop down)</v>
      </c>
      <c r="B47" t="s">
        <v>240</v>
      </c>
      <c r="C47" t="str">
        <f>'Workforce WTE'!$B$19</f>
        <v>SECTION 2) DEPLOYMENT PLANS - IN POST</v>
      </c>
      <c r="D47" t="str">
        <f>'Workforce WTE'!$B$64</f>
        <v>SUMMARY</v>
      </c>
      <c r="F47" t="str">
        <f>'Workforce WTE'!B66</f>
        <v>Medical &amp; Dental</v>
      </c>
      <c r="AH47">
        <f>'Workforce WTE'!C66</f>
        <v>937.33942999999999</v>
      </c>
      <c r="AI47">
        <f>'Workforce WTE'!D66</f>
        <v>986.19443000000001</v>
      </c>
      <c r="AJ47">
        <f>'Workforce WTE'!E66</f>
        <v>1005.67933</v>
      </c>
      <c r="AK47">
        <f>'Workforce WTE'!F66</f>
        <v>1018.8319300000001</v>
      </c>
      <c r="AL47">
        <f>'Workforce WTE'!G66</f>
        <v>1073.71</v>
      </c>
      <c r="AN47">
        <f>'Workforce WTE'!H66</f>
        <v>1091.5999999999999</v>
      </c>
      <c r="AO47">
        <f>'Workforce WTE'!I66</f>
        <v>0</v>
      </c>
      <c r="AP47">
        <f>'Workforce WTE'!J66</f>
        <v>0</v>
      </c>
    </row>
    <row r="48" spans="1:42" hidden="1">
      <c r="A48" t="str">
        <f>'[1]Front Sheet and Checklist'!$C$5</f>
        <v>(please select from drop down)</v>
      </c>
      <c r="B48" t="s">
        <v>240</v>
      </c>
      <c r="C48" t="str">
        <f>'Workforce WTE'!$B$19</f>
        <v>SECTION 2) DEPLOYMENT PLANS - IN POST</v>
      </c>
      <c r="D48" t="str">
        <f>'Workforce WTE'!$B$64</f>
        <v>SUMMARY</v>
      </c>
      <c r="F48" t="str">
        <f>'Workforce WTE'!B67</f>
        <v>Nursing &amp; Midwifery Registered</v>
      </c>
      <c r="AH48">
        <f>'Workforce WTE'!C67</f>
        <v>4143.5234200000386</v>
      </c>
      <c r="AI48">
        <f>'Workforce WTE'!D67</f>
        <v>4039.0234200000382</v>
      </c>
      <c r="AJ48">
        <f>'Workforce WTE'!E67</f>
        <v>4303.6001399999996</v>
      </c>
      <c r="AK48">
        <f>'Workforce WTE'!F67</f>
        <v>4266.3183900000004</v>
      </c>
      <c r="AL48">
        <f>'Workforce WTE'!G67</f>
        <v>4476.1899999999996</v>
      </c>
      <c r="AN48">
        <f>'Workforce WTE'!H67</f>
        <v>4488.9299999999994</v>
      </c>
      <c r="AO48">
        <f>'Workforce WTE'!I67</f>
        <v>0</v>
      </c>
      <c r="AP48">
        <f>'Workforce WTE'!J67</f>
        <v>0</v>
      </c>
    </row>
    <row r="49" spans="1:42" hidden="1">
      <c r="A49" t="str">
        <f>'[1]Front Sheet and Checklist'!$C$5</f>
        <v>(please select from drop down)</v>
      </c>
      <c r="B49" t="s">
        <v>240</v>
      </c>
      <c r="C49" t="str">
        <f>'Workforce WTE'!$B$19</f>
        <v>SECTION 2) DEPLOYMENT PLANS - IN POST</v>
      </c>
      <c r="D49" t="str">
        <f>'Workforce WTE'!$B$64</f>
        <v>SUMMARY</v>
      </c>
      <c r="F49" t="str">
        <f>'Workforce WTE'!B68</f>
        <v>Prof Scientific &amp; Technical</v>
      </c>
      <c r="AH49">
        <f>'Workforce WTE'!C68</f>
        <v>376.73418000000038</v>
      </c>
      <c r="AI49">
        <f>'Workforce WTE'!D68</f>
        <v>415.83918000000034</v>
      </c>
      <c r="AJ49">
        <f>'Workforce WTE'!E68</f>
        <v>399.96384999999998</v>
      </c>
      <c r="AK49">
        <f>'Workforce WTE'!F68</f>
        <v>411.86052000000001</v>
      </c>
      <c r="AL49">
        <f>'Workforce WTE'!G68</f>
        <v>429.11</v>
      </c>
      <c r="AN49">
        <f>'Workforce WTE'!H68</f>
        <v>431.99</v>
      </c>
      <c r="AO49">
        <f>'Workforce WTE'!I68</f>
        <v>0</v>
      </c>
      <c r="AP49">
        <f>'Workforce WTE'!J68</f>
        <v>0</v>
      </c>
    </row>
    <row r="50" spans="1:42" hidden="1">
      <c r="A50" t="str">
        <f>'[1]Front Sheet and Checklist'!$C$5</f>
        <v>(please select from drop down)</v>
      </c>
      <c r="B50" t="s">
        <v>240</v>
      </c>
      <c r="C50" t="str">
        <f>'Workforce WTE'!$B$19</f>
        <v>SECTION 2) DEPLOYMENT PLANS - IN POST</v>
      </c>
      <c r="D50" t="str">
        <f>'Workforce WTE'!$B$64</f>
        <v>SUMMARY</v>
      </c>
      <c r="F50" t="str">
        <f>'Workforce WTE'!B69</f>
        <v>Additional Clinical Services</v>
      </c>
      <c r="AH50">
        <f>'Workforce WTE'!C69</f>
        <v>2543.4314200000003</v>
      </c>
      <c r="AI50">
        <f>'Workforce WTE'!D69</f>
        <v>2575.7514200000005</v>
      </c>
      <c r="AJ50">
        <f>'Workforce WTE'!E69</f>
        <v>2646.03476</v>
      </c>
      <c r="AK50">
        <f>'Workforce WTE'!F69</f>
        <v>2606.2826600000003</v>
      </c>
      <c r="AL50">
        <f>'Workforce WTE'!G69</f>
        <v>2973.27</v>
      </c>
      <c r="AN50">
        <f>'Workforce WTE'!H69</f>
        <v>2985.34</v>
      </c>
      <c r="AO50">
        <f>'Workforce WTE'!I69</f>
        <v>0</v>
      </c>
      <c r="AP50">
        <f>'Workforce WTE'!J69</f>
        <v>0</v>
      </c>
    </row>
    <row r="51" spans="1:42" hidden="1">
      <c r="A51" t="str">
        <f>'[1]Front Sheet and Checklist'!$C$5</f>
        <v>(please select from drop down)</v>
      </c>
      <c r="B51" t="s">
        <v>240</v>
      </c>
      <c r="C51" t="str">
        <f>'Workforce WTE'!$B$19</f>
        <v>SECTION 2) DEPLOYMENT PLANS - IN POST</v>
      </c>
      <c r="D51" t="str">
        <f>'Workforce WTE'!$B$64</f>
        <v>SUMMARY</v>
      </c>
      <c r="F51" t="str">
        <f>'Workforce WTE'!B70</f>
        <v>Allied Health Professionals</v>
      </c>
      <c r="AH51">
        <f>'Workforce WTE'!C70</f>
        <v>926.16128999999887</v>
      </c>
      <c r="AI51">
        <f>'Workforce WTE'!D70</f>
        <v>958.6262899999989</v>
      </c>
      <c r="AJ51">
        <f>'Workforce WTE'!E70</f>
        <v>971.51953000000003</v>
      </c>
      <c r="AK51">
        <f>'Workforce WTE'!F70</f>
        <v>1026.6574800000001</v>
      </c>
      <c r="AL51">
        <f>'Workforce WTE'!G70</f>
        <v>1050.1099999999999</v>
      </c>
      <c r="AN51">
        <f>'Workforce WTE'!H70</f>
        <v>1042.27</v>
      </c>
      <c r="AO51">
        <f>'Workforce WTE'!I70</f>
        <v>0</v>
      </c>
      <c r="AP51">
        <f>'Workforce WTE'!J70</f>
        <v>0</v>
      </c>
    </row>
    <row r="52" spans="1:42" hidden="1">
      <c r="A52" t="str">
        <f>'[1]Front Sheet and Checklist'!$C$5</f>
        <v>(please select from drop down)</v>
      </c>
      <c r="B52" t="s">
        <v>240</v>
      </c>
      <c r="C52" t="str">
        <f>'Workforce WTE'!$B$19</f>
        <v>SECTION 2) DEPLOYMENT PLANS - IN POST</v>
      </c>
      <c r="D52" t="str">
        <f>'Workforce WTE'!$B$64</f>
        <v>SUMMARY</v>
      </c>
      <c r="F52" t="str">
        <f>'Workforce WTE'!B71</f>
        <v>Healthcare Scientists</v>
      </c>
      <c r="AH52">
        <f>'Workforce WTE'!C71</f>
        <v>357.98113000000006</v>
      </c>
      <c r="AI52">
        <f>'Workforce WTE'!D71</f>
        <v>375.38613000000009</v>
      </c>
      <c r="AJ52">
        <f>'Workforce WTE'!E71</f>
        <v>381.14798999999999</v>
      </c>
      <c r="AK52">
        <f>'Workforce WTE'!F71</f>
        <v>374.37131999999997</v>
      </c>
      <c r="AL52">
        <f>'Workforce WTE'!G71</f>
        <v>388.71</v>
      </c>
      <c r="AN52">
        <f>'Workforce WTE'!H71</f>
        <v>394.97999999999996</v>
      </c>
      <c r="AO52">
        <f>'Workforce WTE'!I71</f>
        <v>0</v>
      </c>
      <c r="AP52">
        <f>'Workforce WTE'!J71</f>
        <v>0</v>
      </c>
    </row>
    <row r="53" spans="1:42" hidden="1">
      <c r="A53" t="str">
        <f>'[1]Front Sheet and Checklist'!$C$5</f>
        <v>(please select from drop down)</v>
      </c>
      <c r="B53" t="s">
        <v>240</v>
      </c>
      <c r="C53" t="str">
        <f>'Workforce WTE'!$B$19</f>
        <v>SECTION 2) DEPLOYMENT PLANS - IN POST</v>
      </c>
      <c r="D53" t="str">
        <f>'Workforce WTE'!$B$64</f>
        <v>SUMMARY</v>
      </c>
      <c r="F53" t="str">
        <f>'Workforce WTE'!B72</f>
        <v>Estates &amp; Ancillary</v>
      </c>
      <c r="AH53">
        <f>'Workforce WTE'!C72</f>
        <v>1019.8989399999964</v>
      </c>
      <c r="AI53">
        <f>'Workforce WTE'!D72</f>
        <v>1021.4889399999963</v>
      </c>
      <c r="AJ53">
        <f>'Workforce WTE'!E72</f>
        <v>997.36249999999995</v>
      </c>
      <c r="AK53">
        <f>'Workforce WTE'!F72</f>
        <v>999.67579999999998</v>
      </c>
      <c r="AL53">
        <f>'Workforce WTE'!G72</f>
        <v>993.51</v>
      </c>
      <c r="AN53">
        <f>'Workforce WTE'!H72</f>
        <v>990.43000000000006</v>
      </c>
      <c r="AO53">
        <f>'Workforce WTE'!I72</f>
        <v>0</v>
      </c>
      <c r="AP53">
        <f>'Workforce WTE'!J72</f>
        <v>0</v>
      </c>
    </row>
    <row r="54" spans="1:42" hidden="1">
      <c r="A54" t="str">
        <f>'[1]Front Sheet and Checklist'!$C$5</f>
        <v>(please select from drop down)</v>
      </c>
      <c r="B54" t="s">
        <v>240</v>
      </c>
      <c r="C54" t="str">
        <f>'Workforce WTE'!$B$19</f>
        <v>SECTION 2) DEPLOYMENT PLANS - IN POST</v>
      </c>
      <c r="D54" t="str">
        <f>'Workforce WTE'!$B$64</f>
        <v>SUMMARY</v>
      </c>
      <c r="F54" t="str">
        <f>'Workforce WTE'!B73</f>
        <v>Students</v>
      </c>
      <c r="AH54">
        <f>'Workforce WTE'!C73</f>
        <v>0</v>
      </c>
      <c r="AI54">
        <f>'Workforce WTE'!D73</f>
        <v>0</v>
      </c>
      <c r="AJ54">
        <f>'Workforce WTE'!E73</f>
        <v>0</v>
      </c>
      <c r="AK54">
        <f>'Workforce WTE'!F73</f>
        <v>0</v>
      </c>
      <c r="AL54">
        <f>'Workforce WTE'!G73</f>
        <v>0</v>
      </c>
      <c r="AN54">
        <f>'Workforce WTE'!H73</f>
        <v>0</v>
      </c>
      <c r="AO54">
        <f>'Workforce WTE'!I73</f>
        <v>0</v>
      </c>
      <c r="AP54">
        <f>'Workforce WTE'!J73</f>
        <v>0</v>
      </c>
    </row>
    <row r="55" spans="1:42" hidden="1">
      <c r="A55" t="str">
        <f>'[1]Front Sheet and Checklist'!$C$5</f>
        <v>(please select from drop down)</v>
      </c>
      <c r="B55" t="s">
        <v>240</v>
      </c>
      <c r="C55" t="str">
        <f>'Workforce WTE'!$B$19</f>
        <v>SECTION 2) DEPLOYMENT PLANS - IN POST</v>
      </c>
      <c r="D55" t="str">
        <f>'Workforce WTE'!$B$64</f>
        <v>SUMMARY</v>
      </c>
      <c r="F55" t="str">
        <f>'Workforce WTE'!B74</f>
        <v>Medical &amp; Dental (Central Shared Service Contract)</v>
      </c>
      <c r="AH55">
        <f>'Workforce WTE'!C74</f>
        <v>0</v>
      </c>
      <c r="AI55">
        <f>'Workforce WTE'!D74</f>
        <v>0</v>
      </c>
      <c r="AJ55">
        <f>'Workforce WTE'!E74</f>
        <v>0</v>
      </c>
      <c r="AK55">
        <f>'Workforce WTE'!F74</f>
        <v>564</v>
      </c>
      <c r="AL55">
        <f>'Workforce WTE'!G74</f>
        <v>488</v>
      </c>
      <c r="AN55">
        <f>'Workforce WTE'!H74</f>
        <v>462.05</v>
      </c>
      <c r="AO55">
        <f>'Workforce WTE'!I74</f>
        <v>0</v>
      </c>
      <c r="AP55">
        <f>'Workforce WTE'!J74</f>
        <v>0</v>
      </c>
    </row>
    <row r="56" spans="1:42" hidden="1">
      <c r="A56" t="str">
        <f>'[1]Front Sheet and Checklist'!$C$5</f>
        <v>(please select from drop down)</v>
      </c>
      <c r="B56" t="s">
        <v>240</v>
      </c>
      <c r="C56" t="str">
        <f>'Workforce WTE'!$B$19</f>
        <v>SECTION 2) DEPLOYMENT PLANS - IN POST</v>
      </c>
      <c r="D56" t="str">
        <f>'Workforce WTE'!$B$64</f>
        <v>SUMMARY</v>
      </c>
      <c r="F56" t="str">
        <f>'Workforce WTE'!B75</f>
        <v>Board Members</v>
      </c>
      <c r="AH56">
        <f>'Workforce WTE'!C75</f>
        <v>0</v>
      </c>
      <c r="AI56">
        <f>'Workforce WTE'!D75</f>
        <v>0</v>
      </c>
      <c r="AJ56">
        <f>'Workforce WTE'!E75</f>
        <v>0</v>
      </c>
      <c r="AK56">
        <f>'Workforce WTE'!F75</f>
        <v>0</v>
      </c>
      <c r="AL56">
        <f>'Workforce WTE'!G75</f>
        <v>0</v>
      </c>
      <c r="AN56">
        <f>'Workforce WTE'!H75</f>
        <v>0</v>
      </c>
      <c r="AO56">
        <f>'Workforce WTE'!I75</f>
        <v>0</v>
      </c>
      <c r="AP56">
        <f>'Workforce WTE'!J75</f>
        <v>0</v>
      </c>
    </row>
    <row r="57" spans="1:42" hidden="1">
      <c r="A57" t="str">
        <f>'[1]Front Sheet and Checklist'!$C$5</f>
        <v>(please select from drop down)</v>
      </c>
      <c r="B57" t="s">
        <v>240</v>
      </c>
      <c r="C57" t="str">
        <f>'Workforce WTE'!$B$19</f>
        <v>SECTION 2) DEPLOYMENT PLANS - IN POST</v>
      </c>
      <c r="D57" t="str">
        <f>'Workforce WTE'!$B$64</f>
        <v>SUMMARY</v>
      </c>
      <c r="F57" t="str">
        <f>'Workforce WTE'!B76</f>
        <v>Apprentices</v>
      </c>
      <c r="AH57">
        <f>'Workforce WTE'!C76</f>
        <v>0</v>
      </c>
      <c r="AI57">
        <f>'Workforce WTE'!D76</f>
        <v>0</v>
      </c>
      <c r="AJ57">
        <f>'Workforce WTE'!E76</f>
        <v>0</v>
      </c>
      <c r="AK57">
        <f>'Workforce WTE'!F76</f>
        <v>0</v>
      </c>
      <c r="AL57">
        <f>'Workforce WTE'!G76</f>
        <v>0</v>
      </c>
      <c r="AN57">
        <f>'Workforce WTE'!H76</f>
        <v>0</v>
      </c>
      <c r="AO57">
        <f>'Workforce WTE'!I76</f>
        <v>0</v>
      </c>
      <c r="AP57">
        <f>'Workforce WTE'!J76</f>
        <v>0</v>
      </c>
    </row>
    <row r="58" spans="1:42" hidden="1">
      <c r="A58" t="str">
        <f>'[1]Front Sheet and Checklist'!$C$5</f>
        <v>(please select from drop down)</v>
      </c>
      <c r="B58" t="s">
        <v>240</v>
      </c>
      <c r="C58" t="str">
        <f>'Workforce WTE'!$B$19</f>
        <v>SECTION 2) DEPLOYMENT PLANS - IN POST</v>
      </c>
      <c r="D58" t="str">
        <f>'Workforce WTE'!$B$64</f>
        <v>SUMMARY</v>
      </c>
      <c r="F58" t="str">
        <f>'Workforce WTE'!B77</f>
        <v>Total</v>
      </c>
      <c r="AH58">
        <f>'Workforce WTE'!C77</f>
        <v>12791.732190000024</v>
      </c>
      <c r="AI58">
        <f>'Workforce WTE'!D77</f>
        <v>12914.227190000023</v>
      </c>
      <c r="AJ58">
        <f>'Workforce WTE'!E77</f>
        <v>13193.024829999998</v>
      </c>
      <c r="AK58">
        <f>'Workforce WTE'!F77</f>
        <v>13720.479630000002</v>
      </c>
      <c r="AL58">
        <f>'Workforce WTE'!G77</f>
        <v>14314.22</v>
      </c>
      <c r="AN58">
        <f>'Workforce WTE'!H77</f>
        <v>14325.99</v>
      </c>
      <c r="AO58">
        <f>'Workforce WTE'!I77</f>
        <v>0</v>
      </c>
      <c r="AP58">
        <f>'Workforce WTE'!J77</f>
        <v>0</v>
      </c>
    </row>
    <row r="59" spans="1:42" hidden="1">
      <c r="A59" t="str">
        <f>'[1]Front Sheet and Checklist'!$C$5</f>
        <v>(please select from drop down)</v>
      </c>
      <c r="B59" t="s">
        <v>240</v>
      </c>
      <c r="AH59">
        <f>'Workforce WTE'!C78</f>
        <v>0</v>
      </c>
      <c r="AI59">
        <f>'Workforce WTE'!D78</f>
        <v>0</v>
      </c>
      <c r="AJ59">
        <f>'Workforce WTE'!E78</f>
        <v>0</v>
      </c>
      <c r="AK59">
        <f>'Workforce WTE'!F78</f>
        <v>0</v>
      </c>
      <c r="AL59">
        <f>'Workforce WTE'!G78</f>
        <v>0</v>
      </c>
      <c r="AN59">
        <f>'Workforce WTE'!H78</f>
        <v>0</v>
      </c>
      <c r="AO59">
        <f>'Workforce WTE'!I78</f>
        <v>0</v>
      </c>
      <c r="AP59">
        <f>'Workforce WTE'!J78</f>
        <v>0</v>
      </c>
    </row>
    <row r="60" spans="1:42" hidden="1">
      <c r="A60" t="str">
        <f>'[1]Front Sheet and Checklist'!$C$5</f>
        <v>(please select from drop down)</v>
      </c>
      <c r="B60" t="s">
        <v>240</v>
      </c>
      <c r="AH60">
        <f>'Workforce WTE'!C79</f>
        <v>0</v>
      </c>
      <c r="AI60">
        <f>'Workforce WTE'!D79</f>
        <v>0</v>
      </c>
      <c r="AJ60">
        <f>'Workforce WTE'!E79</f>
        <v>0</v>
      </c>
      <c r="AK60">
        <f>'Workforce WTE'!F79</f>
        <v>0</v>
      </c>
      <c r="AL60">
        <f>'Workforce WTE'!G79</f>
        <v>0</v>
      </c>
      <c r="AN60">
        <f>'Workforce WTE'!H79</f>
        <v>0</v>
      </c>
      <c r="AO60">
        <f>'Workforce WTE'!I79</f>
        <v>0</v>
      </c>
      <c r="AP60">
        <f>'Workforce WTE'!J79</f>
        <v>0</v>
      </c>
    </row>
    <row r="61" spans="1:42" hidden="1">
      <c r="A61" t="str">
        <f>'[1]Front Sheet and Checklist'!$C$5</f>
        <v>(please select from drop down)</v>
      </c>
      <c r="B61" t="s">
        <v>240</v>
      </c>
      <c r="C61" t="str">
        <f>'Workforce WTE'!$B$19</f>
        <v>SECTION 2) DEPLOYMENT PLANS - IN POST</v>
      </c>
      <c r="D61" t="str">
        <f>'Workforce WTE'!$B$20</f>
        <v>SUBSTANTIVE WORKFORCE (WTE IN POST)</v>
      </c>
      <c r="F61" t="str">
        <f>'Workforce WTE'!B80</f>
        <v>SECTION 3) SICKNESS &amp; STAFF TURNOVER</v>
      </c>
      <c r="AH61">
        <f>'Workforce WTE'!C80</f>
        <v>0</v>
      </c>
      <c r="AI61">
        <f>'Workforce WTE'!D80</f>
        <v>0</v>
      </c>
      <c r="AJ61">
        <f>'Workforce WTE'!E80</f>
        <v>0</v>
      </c>
      <c r="AK61">
        <f>'Workforce WTE'!F80</f>
        <v>0</v>
      </c>
      <c r="AL61">
        <f>'Workforce WTE'!G80</f>
        <v>0</v>
      </c>
      <c r="AN61">
        <f>'Workforce WTE'!H80</f>
        <v>0</v>
      </c>
      <c r="AO61">
        <f>'Workforce WTE'!I80</f>
        <v>0</v>
      </c>
      <c r="AP61">
        <f>'Workforce WTE'!J80</f>
        <v>0</v>
      </c>
    </row>
    <row r="62" spans="1:42" hidden="1">
      <c r="A62" t="str">
        <f>'[1]Front Sheet and Checklist'!$C$5</f>
        <v>(please select from drop down)</v>
      </c>
      <c r="B62" t="s">
        <v>240</v>
      </c>
      <c r="C62" t="str">
        <f>'Workforce WTE'!$B$19</f>
        <v>SECTION 2) DEPLOYMENT PLANS - IN POST</v>
      </c>
      <c r="D62" t="str">
        <f>'Workforce WTE'!$B$20</f>
        <v>SUBSTANTIVE WORKFORCE (WTE IN POST)</v>
      </c>
      <c r="F62">
        <f>'Workforce WTE'!B81</f>
        <v>0</v>
      </c>
      <c r="AH62">
        <f>'Workforce WTE'!C81</f>
        <v>0</v>
      </c>
      <c r="AI62">
        <f>'Workforce WTE'!D81</f>
        <v>0</v>
      </c>
      <c r="AJ62">
        <f>'Workforce WTE'!E81</f>
        <v>0</v>
      </c>
      <c r="AK62">
        <f>'Workforce WTE'!F81</f>
        <v>0</v>
      </c>
      <c r="AL62">
        <f>'Workforce WTE'!G81</f>
        <v>0</v>
      </c>
      <c r="AN62">
        <f>'Workforce WTE'!H81</f>
        <v>0</v>
      </c>
      <c r="AO62">
        <f>'Workforce WTE'!I81</f>
        <v>0</v>
      </c>
      <c r="AP62">
        <f>'Workforce WTE'!J81</f>
        <v>0</v>
      </c>
    </row>
    <row r="63" spans="1:42" hidden="1">
      <c r="A63" t="str">
        <f>'[1]Front Sheet and Checklist'!$C$5</f>
        <v>(please select from drop down)</v>
      </c>
      <c r="B63" t="s">
        <v>240</v>
      </c>
      <c r="C63" t="str">
        <f>'Workforce WTE'!$B$19</f>
        <v>SECTION 2) DEPLOYMENT PLANS - IN POST</v>
      </c>
      <c r="D63" t="str">
        <f>'Workforce WTE'!$B$20</f>
        <v>SUBSTANTIVE WORKFORCE (WTE IN POST)</v>
      </c>
      <c r="F63" t="str">
        <f>'Workforce WTE'!B82</f>
        <v>% SICKNESS ABSENCE</v>
      </c>
      <c r="AH63" t="str">
        <f>'Workforce WTE'!C82</f>
        <v>2023/24</v>
      </c>
      <c r="AI63" t="str">
        <f>'Workforce WTE'!D82</f>
        <v>2024/25</v>
      </c>
      <c r="AJ63" t="str">
        <f>'Workforce WTE'!E82</f>
        <v>Staff absent per day</v>
      </c>
      <c r="AK63">
        <f>'Workforce WTE'!F82</f>
        <v>0</v>
      </c>
      <c r="AL63">
        <f>'Workforce WTE'!G82</f>
        <v>0</v>
      </c>
      <c r="AN63">
        <f>'Workforce WTE'!H82</f>
        <v>0</v>
      </c>
      <c r="AO63">
        <f>'Workforce WTE'!I82</f>
        <v>0</v>
      </c>
      <c r="AP63">
        <f>'Workforce WTE'!J82</f>
        <v>0</v>
      </c>
    </row>
    <row r="64" spans="1:42" hidden="1">
      <c r="A64" t="str">
        <f>'[1]Front Sheet and Checklist'!$C$5</f>
        <v>(please select from drop down)</v>
      </c>
      <c r="B64" t="s">
        <v>240</v>
      </c>
      <c r="C64" t="str">
        <f>'Workforce WTE'!$B$19</f>
        <v>SECTION 2) DEPLOYMENT PLANS - IN POST</v>
      </c>
      <c r="D64" t="str">
        <f>'Workforce WTE'!$B$20</f>
        <v>SUBSTANTIVE WORKFORCE (WTE IN POST)</v>
      </c>
      <c r="F64" t="str">
        <f>'Workforce WTE'!B83</f>
        <v>All Sickness absence data</v>
      </c>
      <c r="AH64">
        <f>'Workforce WTE'!C83</f>
        <v>0</v>
      </c>
      <c r="AI64">
        <f>'Workforce WTE'!D83</f>
        <v>0</v>
      </c>
      <c r="AJ64">
        <f>'Workforce WTE'!E83</f>
        <v>0</v>
      </c>
      <c r="AK64">
        <f>'Workforce WTE'!F83</f>
        <v>0</v>
      </c>
      <c r="AL64">
        <f>'Workforce WTE'!G83</f>
        <v>0</v>
      </c>
      <c r="AN64">
        <f>'Workforce WTE'!H83</f>
        <v>0</v>
      </c>
      <c r="AO64">
        <f>'Workforce WTE'!I83</f>
        <v>0</v>
      </c>
      <c r="AP64">
        <f>'Workforce WTE'!J83</f>
        <v>0</v>
      </c>
    </row>
    <row r="65" spans="1:42" hidden="1">
      <c r="A65" t="str">
        <f>'[1]Front Sheet and Checklist'!$C$5</f>
        <v>(please select from drop down)</v>
      </c>
      <c r="B65" t="s">
        <v>240</v>
      </c>
      <c r="C65" t="str">
        <f>'Workforce WTE'!$B$19</f>
        <v>SECTION 2) DEPLOYMENT PLANS - IN POST</v>
      </c>
      <c r="D65" t="str">
        <f>'Workforce WTE'!$B$20</f>
        <v>SUBSTANTIVE WORKFORCE (WTE IN POST)</v>
      </c>
      <c r="F65" t="str">
        <f>'Workforce WTE'!B84</f>
        <v>Anticipated sickness rate Medical and Dental (%)</v>
      </c>
      <c r="AH65">
        <f>'Workforce WTE'!C84</f>
        <v>2.4899999999999999E-2</v>
      </c>
      <c r="AI65">
        <f>'Workforce WTE'!D84</f>
        <v>2.5000000000000001E-2</v>
      </c>
      <c r="AJ65">
        <f>'Workforce WTE'!E84</f>
        <v>21.045860750000003</v>
      </c>
      <c r="AK65">
        <f>'Workforce WTE'!F84</f>
        <v>0</v>
      </c>
      <c r="AL65">
        <f>'Workforce WTE'!G84</f>
        <v>0</v>
      </c>
      <c r="AN65">
        <f>'Workforce WTE'!H84</f>
        <v>0</v>
      </c>
      <c r="AO65">
        <f>'Workforce WTE'!I84</f>
        <v>0</v>
      </c>
      <c r="AP65">
        <f>'Workforce WTE'!J84</f>
        <v>0</v>
      </c>
    </row>
    <row r="66" spans="1:42" hidden="1">
      <c r="A66" t="str">
        <f>'[1]Front Sheet and Checklist'!$C$5</f>
        <v>(please select from drop down)</v>
      </c>
      <c r="B66" t="s">
        <v>240</v>
      </c>
      <c r="C66" t="str">
        <f>'Workforce WTE'!$B$19</f>
        <v>SECTION 2) DEPLOYMENT PLANS - IN POST</v>
      </c>
      <c r="D66" t="str">
        <f>'Workforce WTE'!$B$20</f>
        <v>SUBSTANTIVE WORKFORCE (WTE IN POST)</v>
      </c>
      <c r="F66" t="str">
        <f>'Workforce WTE'!B85</f>
        <v>Anticipated sickness rate Nursing and Midwifery (%)</v>
      </c>
      <c r="AH66">
        <f>'Workforce WTE'!C85</f>
        <v>7.0000000000000007E-2</v>
      </c>
      <c r="AI66">
        <f>'Workforce WTE'!D85</f>
        <v>5.5E-2</v>
      </c>
      <c r="AJ66">
        <f>'Workforce WTE'!E85</f>
        <v>206.23863810000211</v>
      </c>
      <c r="AK66">
        <f>'Workforce WTE'!F85</f>
        <v>0</v>
      </c>
      <c r="AL66">
        <f>'Workforce WTE'!G85</f>
        <v>0</v>
      </c>
      <c r="AN66">
        <f>'Workforce WTE'!H85</f>
        <v>0</v>
      </c>
      <c r="AO66">
        <f>'Workforce WTE'!I85</f>
        <v>0</v>
      </c>
      <c r="AP66">
        <f>'Workforce WTE'!J85</f>
        <v>0</v>
      </c>
    </row>
    <row r="67" spans="1:42" hidden="1">
      <c r="A67" t="str">
        <f>'[1]Front Sheet and Checklist'!$C$5</f>
        <v>(please select from drop down)</v>
      </c>
      <c r="B67" t="s">
        <v>240</v>
      </c>
      <c r="C67" t="str">
        <f>'Workforce WTE'!$B$19</f>
        <v>SECTION 2) DEPLOYMENT PLANS - IN POST</v>
      </c>
      <c r="D67" t="str">
        <f>'Workforce WTE'!$B$20</f>
        <v>SUBSTANTIVE WORKFORCE (WTE IN POST)</v>
      </c>
      <c r="F67" t="str">
        <f>'Workforce WTE'!B86</f>
        <v>Anticipated sickness rate (All Other staff groups) (%)</v>
      </c>
      <c r="AH67">
        <f>'Workforce WTE'!C86</f>
        <v>7.1999999999999995E-2</v>
      </c>
      <c r="AI67">
        <f>'Workforce WTE'!D86</f>
        <v>5.5E-2</v>
      </c>
      <c r="AJ67">
        <f>'Workforce WTE'!E86</f>
        <v>424.99541369999923</v>
      </c>
      <c r="AK67">
        <f>'Workforce WTE'!F86</f>
        <v>0</v>
      </c>
      <c r="AL67">
        <f>'Workforce WTE'!G86</f>
        <v>0</v>
      </c>
      <c r="AN67">
        <f>'Workforce WTE'!H86</f>
        <v>0</v>
      </c>
      <c r="AO67">
        <f>'Workforce WTE'!I86</f>
        <v>0</v>
      </c>
      <c r="AP67">
        <f>'Workforce WTE'!J86</f>
        <v>0</v>
      </c>
    </row>
    <row r="68" spans="1:42" hidden="1">
      <c r="A68" t="str">
        <f>'[1]Front Sheet and Checklist'!$C$5</f>
        <v>(please select from drop down)</v>
      </c>
      <c r="B68" t="s">
        <v>240</v>
      </c>
      <c r="C68" t="str">
        <f>'Workforce WTE'!$B$19</f>
        <v>SECTION 2) DEPLOYMENT PLANS - IN POST</v>
      </c>
      <c r="D68" t="str">
        <f>'Workforce WTE'!$B$20</f>
        <v>SUBSTANTIVE WORKFORCE (WTE IN POST)</v>
      </c>
      <c r="F68">
        <f>'Workforce WTE'!B87</f>
        <v>0</v>
      </c>
      <c r="AH68">
        <f>'Workforce WTE'!C87</f>
        <v>0</v>
      </c>
      <c r="AI68">
        <f>'Workforce WTE'!D87</f>
        <v>0</v>
      </c>
      <c r="AJ68">
        <f>'Workforce WTE'!E87</f>
        <v>0</v>
      </c>
      <c r="AK68">
        <f>'Workforce WTE'!F87</f>
        <v>0</v>
      </c>
      <c r="AL68">
        <f>'Workforce WTE'!G87</f>
        <v>0</v>
      </c>
      <c r="AN68">
        <f>'Workforce WTE'!H87</f>
        <v>0</v>
      </c>
      <c r="AO68">
        <f>'Workforce WTE'!I87</f>
        <v>0</v>
      </c>
      <c r="AP68">
        <f>'Workforce WTE'!J87</f>
        <v>0</v>
      </c>
    </row>
    <row r="69" spans="1:42" hidden="1">
      <c r="A69" t="str">
        <f>'[1]Front Sheet and Checklist'!$C$5</f>
        <v>(please select from drop down)</v>
      </c>
      <c r="B69" t="s">
        <v>240</v>
      </c>
      <c r="C69" t="str">
        <f>'Workforce WTE'!$B$19</f>
        <v>SECTION 2) DEPLOYMENT PLANS - IN POST</v>
      </c>
      <c r="D69" t="str">
        <f>'Workforce WTE'!$B$20</f>
        <v>SUBSTANTIVE WORKFORCE (WTE IN POST)</v>
      </c>
      <c r="F69" t="str">
        <f>'Workforce WTE'!B88</f>
        <v>% CORE WORKFORCE TURNOVER</v>
      </c>
      <c r="AH69" t="str">
        <f>'Workforce WTE'!C88</f>
        <v>2023/24</v>
      </c>
      <c r="AI69" t="str">
        <f>'Workforce WTE'!D88</f>
        <v>2024/25</v>
      </c>
      <c r="AJ69" t="str">
        <f>'Workforce WTE'!E88</f>
        <v>WTE leaving Organisation</v>
      </c>
      <c r="AK69">
        <f>'Workforce WTE'!F88</f>
        <v>0</v>
      </c>
      <c r="AL69">
        <f>'Workforce WTE'!G88</f>
        <v>0</v>
      </c>
      <c r="AN69">
        <f>'Workforce WTE'!H88</f>
        <v>0</v>
      </c>
      <c r="AO69">
        <f>'Workforce WTE'!I88</f>
        <v>0</v>
      </c>
      <c r="AP69">
        <f>'Workforce WTE'!J88</f>
        <v>0</v>
      </c>
    </row>
    <row r="70" spans="1:42" hidden="1">
      <c r="A70" t="str">
        <f>'[1]Front Sheet and Checklist'!$C$5</f>
        <v>(please select from drop down)</v>
      </c>
      <c r="B70" t="s">
        <v>240</v>
      </c>
      <c r="C70" t="str">
        <f>'Workforce WTE'!$B$19</f>
        <v>SECTION 2) DEPLOYMENT PLANS - IN POST</v>
      </c>
      <c r="D70" t="str">
        <f>'Workforce WTE'!$B$20</f>
        <v>SUBSTANTIVE WORKFORCE (WTE IN POST)</v>
      </c>
      <c r="F70" t="str">
        <f>'Workforce WTE'!B89</f>
        <v>CORE WORKFORCE</v>
      </c>
      <c r="AH70" t="str">
        <f>'Workforce WTE'!C89</f>
        <v> </v>
      </c>
      <c r="AI70" t="str">
        <f>'Workforce WTE'!D89</f>
        <v> </v>
      </c>
      <c r="AJ70" t="str">
        <f>'Workforce WTE'!E89</f>
        <v> </v>
      </c>
      <c r="AK70">
        <f>'Workforce WTE'!F89</f>
        <v>0</v>
      </c>
      <c r="AL70">
        <f>'Workforce WTE'!G89</f>
        <v>0</v>
      </c>
      <c r="AN70">
        <f>'Workforce WTE'!H89</f>
        <v>0</v>
      </c>
      <c r="AO70">
        <f>'Workforce WTE'!I89</f>
        <v>0</v>
      </c>
      <c r="AP70">
        <f>'Workforce WTE'!J89</f>
        <v>0</v>
      </c>
    </row>
    <row r="71" spans="1:42" hidden="1">
      <c r="A71" t="str">
        <f>'[1]Front Sheet and Checklist'!$C$5</f>
        <v>(please select from drop down)</v>
      </c>
      <c r="B71" t="s">
        <v>240</v>
      </c>
      <c r="C71" t="str">
        <f>'Workforce WTE'!$B$19</f>
        <v>SECTION 2) DEPLOYMENT PLANS - IN POST</v>
      </c>
      <c r="D71" t="str">
        <f>'Workforce WTE'!$B$20</f>
        <v>SUBSTANTIVE WORKFORCE (WTE IN POST)</v>
      </c>
      <c r="F71" t="str">
        <f>'Workforce WTE'!B90</f>
        <v>Administrative, Clerical &amp; Board Members</v>
      </c>
      <c r="AH71">
        <f>'Workforce WTE'!C90</f>
        <v>0.14149999999999999</v>
      </c>
      <c r="AI71">
        <f>'Workforce WTE'!D90</f>
        <v>0.13700000000000001</v>
      </c>
      <c r="AJ71">
        <f>'Workforce WTE'!E90</f>
        <v>339.75553105999865</v>
      </c>
      <c r="AK71">
        <f>'Workforce WTE'!F90</f>
        <v>0</v>
      </c>
      <c r="AL71">
        <f>'Workforce WTE'!G90</f>
        <v>0</v>
      </c>
      <c r="AN71">
        <f>'Workforce WTE'!H90</f>
        <v>0</v>
      </c>
      <c r="AO71">
        <f>'Workforce WTE'!I90</f>
        <v>0</v>
      </c>
      <c r="AP71">
        <f>'Workforce WTE'!J90</f>
        <v>0</v>
      </c>
    </row>
    <row r="72" spans="1:42" hidden="1">
      <c r="A72" t="str">
        <f>'[1]Front Sheet and Checklist'!$C$5</f>
        <v>(please select from drop down)</v>
      </c>
      <c r="B72" t="s">
        <v>240</v>
      </c>
      <c r="C72" t="str">
        <f>'Workforce WTE'!$B$19</f>
        <v>SECTION 2) DEPLOYMENT PLANS - IN POST</v>
      </c>
      <c r="D72" t="str">
        <f>'Workforce WTE'!$B$20</f>
        <v>SUBSTANTIVE WORKFORCE (WTE IN POST)</v>
      </c>
      <c r="F72" t="str">
        <f>'Workforce WTE'!B91</f>
        <v>Medical &amp; Dental</v>
      </c>
      <c r="AH72">
        <f>'Workforce WTE'!C91</f>
        <v>0.1585</v>
      </c>
      <c r="AI72">
        <f>'Workforce WTE'!D91</f>
        <v>0.154</v>
      </c>
      <c r="AJ72">
        <f>'Workforce WTE'!E91</f>
        <v>129.64250222000001</v>
      </c>
      <c r="AK72">
        <f>'Workforce WTE'!F91</f>
        <v>0</v>
      </c>
      <c r="AL72">
        <f>'Workforce WTE'!G91</f>
        <v>0</v>
      </c>
      <c r="AN72">
        <f>'Workforce WTE'!H91</f>
        <v>0</v>
      </c>
      <c r="AO72">
        <f>'Workforce WTE'!I91</f>
        <v>0</v>
      </c>
      <c r="AP72">
        <f>'Workforce WTE'!J91</f>
        <v>0</v>
      </c>
    </row>
    <row r="73" spans="1:42" hidden="1">
      <c r="A73" t="str">
        <f>'[1]Front Sheet and Checklist'!$C$5</f>
        <v>(please select from drop down)</v>
      </c>
      <c r="B73" t="s">
        <v>240</v>
      </c>
      <c r="C73" t="str">
        <f>'Workforce WTE'!$B$19</f>
        <v>SECTION 2) DEPLOYMENT PLANS - IN POST</v>
      </c>
      <c r="D73" t="str">
        <f>'Workforce WTE'!$B$20</f>
        <v>SUBSTANTIVE WORKFORCE (WTE IN POST)</v>
      </c>
      <c r="F73" t="str">
        <f>'Workforce WTE'!B92</f>
        <v>Nursing &amp; Midwifery Registered</v>
      </c>
      <c r="AH73">
        <f>'Workforce WTE'!C92</f>
        <v>7.7899999999999997E-2</v>
      </c>
      <c r="AI73">
        <f>'Workforce WTE'!D92</f>
        <v>7.0499999999999993E-2</v>
      </c>
      <c r="AJ73">
        <f>'Workforce WTE'!E92</f>
        <v>264.36043611000264</v>
      </c>
      <c r="AK73">
        <f>'Workforce WTE'!F92</f>
        <v>0</v>
      </c>
      <c r="AL73">
        <f>'Workforce WTE'!G92</f>
        <v>0</v>
      </c>
      <c r="AN73">
        <f>'Workforce WTE'!H92</f>
        <v>0</v>
      </c>
      <c r="AO73">
        <f>'Workforce WTE'!I92</f>
        <v>0</v>
      </c>
      <c r="AP73">
        <f>'Workforce WTE'!J92</f>
        <v>0</v>
      </c>
    </row>
    <row r="74" spans="1:42" hidden="1">
      <c r="A74" t="str">
        <f>'[1]Front Sheet and Checklist'!$C$5</f>
        <v>(please select from drop down)</v>
      </c>
      <c r="B74" t="s">
        <v>240</v>
      </c>
      <c r="C74" t="str">
        <f>'Workforce WTE'!$B$19</f>
        <v>SECTION 2) DEPLOYMENT PLANS - IN POST</v>
      </c>
      <c r="D74" t="str">
        <f>'Workforce WTE'!$B$20</f>
        <v>SUBSTANTIVE WORKFORCE (WTE IN POST)</v>
      </c>
      <c r="F74" t="str">
        <f>'Workforce WTE'!B93</f>
        <v>Prof Scientific &amp; Technical</v>
      </c>
      <c r="AH74">
        <f>'Workforce WTE'!C93</f>
        <v>7.3400000000000007E-2</v>
      </c>
      <c r="AI74">
        <f>'Workforce WTE'!D93</f>
        <v>6.8000000000000005E-2</v>
      </c>
      <c r="AJ74">
        <f>'Workforce WTE'!E93</f>
        <v>28.181864240000028</v>
      </c>
      <c r="AK74">
        <f>'Workforce WTE'!F93</f>
        <v>0</v>
      </c>
      <c r="AL74">
        <f>'Workforce WTE'!G93</f>
        <v>0</v>
      </c>
      <c r="AN74">
        <f>'Workforce WTE'!H93</f>
        <v>0</v>
      </c>
      <c r="AO74">
        <f>'Workforce WTE'!I93</f>
        <v>0</v>
      </c>
      <c r="AP74">
        <f>'Workforce WTE'!J93</f>
        <v>0</v>
      </c>
    </row>
    <row r="75" spans="1:42" hidden="1">
      <c r="A75" t="str">
        <f>'[1]Front Sheet and Checklist'!$C$5</f>
        <v>(please select from drop down)</v>
      </c>
      <c r="B75" t="s">
        <v>240</v>
      </c>
      <c r="C75" t="str">
        <f>'Workforce WTE'!$B$19</f>
        <v>SECTION 2) DEPLOYMENT PLANS - IN POST</v>
      </c>
      <c r="D75" t="str">
        <f>'Workforce WTE'!$B$20</f>
        <v>SUBSTANTIVE WORKFORCE (WTE IN POST)</v>
      </c>
      <c r="F75" t="str">
        <f>'Workforce WTE'!B94</f>
        <v>Additional Clinical Services</v>
      </c>
      <c r="AH75">
        <f>'Workforce WTE'!C94</f>
        <v>0.1014</v>
      </c>
      <c r="AI75">
        <f>'Workforce WTE'!D94</f>
        <v>9.6000000000000002E-2</v>
      </c>
      <c r="AJ75">
        <f>'Workforce WTE'!E94</f>
        <v>246.50989632000005</v>
      </c>
      <c r="AK75">
        <f>'Workforce WTE'!F94</f>
        <v>0</v>
      </c>
      <c r="AL75">
        <f>'Workforce WTE'!G94</f>
        <v>0</v>
      </c>
      <c r="AN75">
        <f>'Workforce WTE'!H94</f>
        <v>0</v>
      </c>
      <c r="AO75">
        <f>'Workforce WTE'!I94</f>
        <v>0</v>
      </c>
      <c r="AP75">
        <f>'Workforce WTE'!J94</f>
        <v>0</v>
      </c>
    </row>
    <row r="76" spans="1:42" hidden="1">
      <c r="A76" t="str">
        <f>'[1]Front Sheet and Checklist'!$C$5</f>
        <v>(please select from drop down)</v>
      </c>
      <c r="B76" t="s">
        <v>240</v>
      </c>
      <c r="C76" t="str">
        <f>'Workforce WTE'!$B$19</f>
        <v>SECTION 2) DEPLOYMENT PLANS - IN POST</v>
      </c>
      <c r="D76" t="str">
        <f>'Workforce WTE'!$B$20</f>
        <v>SUBSTANTIVE WORKFORCE (WTE IN POST)</v>
      </c>
      <c r="F76" t="str">
        <f>'Workforce WTE'!B95</f>
        <v>Allied Health Professionals</v>
      </c>
      <c r="AH76">
        <f>'Workforce WTE'!C95</f>
        <v>9.6600000000000005E-2</v>
      </c>
      <c r="AI76">
        <f>'Workforce WTE'!D95</f>
        <v>9.1999999999999998E-2</v>
      </c>
      <c r="AJ76">
        <f>'Workforce WTE'!E95</f>
        <v>86.583618679999901</v>
      </c>
      <c r="AK76">
        <f>'Workforce WTE'!F95</f>
        <v>0</v>
      </c>
      <c r="AL76">
        <f>'Workforce WTE'!G95</f>
        <v>0</v>
      </c>
      <c r="AN76">
        <f>'Workforce WTE'!H95</f>
        <v>0</v>
      </c>
      <c r="AO76">
        <f>'Workforce WTE'!I95</f>
        <v>0</v>
      </c>
      <c r="AP76">
        <f>'Workforce WTE'!J95</f>
        <v>0</v>
      </c>
    </row>
    <row r="77" spans="1:42" hidden="1">
      <c r="A77" t="str">
        <f>'[1]Front Sheet and Checklist'!$C$5</f>
        <v>(please select from drop down)</v>
      </c>
      <c r="B77" t="s">
        <v>240</v>
      </c>
      <c r="C77" t="str">
        <f>'Workforce WTE'!$B$19</f>
        <v>SECTION 2) DEPLOYMENT PLANS - IN POST</v>
      </c>
      <c r="D77" t="str">
        <f>'Workforce WTE'!$B$20</f>
        <v>SUBSTANTIVE WORKFORCE (WTE IN POST)</v>
      </c>
      <c r="F77" t="str">
        <f>'Workforce WTE'!B96</f>
        <v>Healthcare Scientists</v>
      </c>
      <c r="AH77">
        <f>'Workforce WTE'!C96</f>
        <v>8.4500000000000006E-2</v>
      </c>
      <c r="AI77">
        <f>'Workforce WTE'!D96</f>
        <v>0.08</v>
      </c>
      <c r="AJ77">
        <f>'Workforce WTE'!E96</f>
        <v>27.671690400000006</v>
      </c>
      <c r="AK77">
        <f>'Workforce WTE'!F96</f>
        <v>0</v>
      </c>
      <c r="AL77">
        <f>'Workforce WTE'!G96</f>
        <v>0</v>
      </c>
      <c r="AN77">
        <f>'Workforce WTE'!H96</f>
        <v>0</v>
      </c>
      <c r="AO77">
        <f>'Workforce WTE'!I96</f>
        <v>0</v>
      </c>
      <c r="AP77">
        <f>'Workforce WTE'!J96</f>
        <v>0</v>
      </c>
    </row>
    <row r="78" spans="1:42" hidden="1">
      <c r="A78" t="str">
        <f>'[1]Front Sheet and Checklist'!$C$5</f>
        <v>(please select from drop down)</v>
      </c>
      <c r="B78" t="s">
        <v>240</v>
      </c>
      <c r="C78" t="str">
        <f>'Workforce WTE'!$B$19</f>
        <v>SECTION 2) DEPLOYMENT PLANS - IN POST</v>
      </c>
      <c r="D78" t="str">
        <f>'Workforce WTE'!$B$20</f>
        <v>SUBSTANTIVE WORKFORCE (WTE IN POST)</v>
      </c>
      <c r="F78" t="str">
        <f>'Workforce WTE'!B97</f>
        <v>Estates &amp; Ancillary</v>
      </c>
      <c r="AH78">
        <f>'Workforce WTE'!C97</f>
        <v>0.1182</v>
      </c>
      <c r="AI78">
        <f>'Workforce WTE'!D97</f>
        <v>0.113</v>
      </c>
      <c r="AJ78">
        <f>'Workforce WTE'!E97</f>
        <v>110.50823021999959</v>
      </c>
      <c r="AK78">
        <f>'Workforce WTE'!F97</f>
        <v>0</v>
      </c>
      <c r="AL78">
        <f>'Workforce WTE'!G97</f>
        <v>0</v>
      </c>
      <c r="AN78">
        <f>'Workforce WTE'!H97</f>
        <v>0</v>
      </c>
      <c r="AO78">
        <f>'Workforce WTE'!I97</f>
        <v>0</v>
      </c>
      <c r="AP78">
        <f>'Workforce WTE'!J97</f>
        <v>0</v>
      </c>
    </row>
    <row r="79" spans="1:42" hidden="1">
      <c r="A79" t="str">
        <f>'[1]Front Sheet and Checklist'!$C$5</f>
        <v>(please select from drop down)</v>
      </c>
      <c r="B79" t="s">
        <v>240</v>
      </c>
      <c r="C79" t="str">
        <f>'Workforce WTE'!$B$19</f>
        <v>SECTION 2) DEPLOYMENT PLANS - IN POST</v>
      </c>
      <c r="D79" t="str">
        <f>'Workforce WTE'!$B$20</f>
        <v>SUBSTANTIVE WORKFORCE (WTE IN POST)</v>
      </c>
      <c r="F79" t="str">
        <f>'Workforce WTE'!B98</f>
        <v>Students</v>
      </c>
      <c r="AH79">
        <f>'Workforce WTE'!C98</f>
        <v>0</v>
      </c>
      <c r="AI79">
        <f>'Workforce WTE'!D98</f>
        <v>0</v>
      </c>
      <c r="AJ79">
        <f>'Workforce WTE'!E98</f>
        <v>0</v>
      </c>
      <c r="AK79">
        <f>'Workforce WTE'!F98</f>
        <v>0</v>
      </c>
      <c r="AL79">
        <f>'Workforce WTE'!G98</f>
        <v>0</v>
      </c>
      <c r="AN79">
        <f>'Workforce WTE'!H98</f>
        <v>0</v>
      </c>
      <c r="AO79">
        <f>'Workforce WTE'!I98</f>
        <v>0</v>
      </c>
      <c r="AP79">
        <f>'Workforce WTE'!J98</f>
        <v>0</v>
      </c>
    </row>
    <row r="80" spans="1:42" hidden="1">
      <c r="A80" t="str">
        <f>'[1]Front Sheet and Checklist'!$C$5</f>
        <v>(please select from drop down)</v>
      </c>
      <c r="B80" t="s">
        <v>240</v>
      </c>
      <c r="C80" t="str">
        <f>'Workforce WTE'!$B$19</f>
        <v>SECTION 2) DEPLOYMENT PLANS - IN POST</v>
      </c>
      <c r="D80" t="str">
        <f>'Workforce WTE'!$B$20</f>
        <v>SUBSTANTIVE WORKFORCE (WTE IN POST)</v>
      </c>
      <c r="F80" t="str">
        <f>'Workforce WTE'!B99</f>
        <v>Medical &amp; Dental (Central Shared Service Contract)</v>
      </c>
      <c r="AH80">
        <f>'Workforce WTE'!C99</f>
        <v>0</v>
      </c>
      <c r="AI80">
        <f>'Workforce WTE'!D99</f>
        <v>0</v>
      </c>
      <c r="AJ80">
        <f>'Workforce WTE'!E99</f>
        <v>0</v>
      </c>
      <c r="AK80">
        <f>'Workforce WTE'!F99</f>
        <v>0</v>
      </c>
      <c r="AL80">
        <f>'Workforce WTE'!G99</f>
        <v>0</v>
      </c>
      <c r="AN80">
        <f>'Workforce WTE'!H99</f>
        <v>0</v>
      </c>
      <c r="AO80">
        <f>'Workforce WTE'!I99</f>
        <v>0</v>
      </c>
      <c r="AP80">
        <f>'Workforce WTE'!J99</f>
        <v>0</v>
      </c>
    </row>
    <row r="81" spans="1:46" hidden="1">
      <c r="A81" t="str">
        <f>'[1]Front Sheet and Checklist'!$C$5</f>
        <v>(please select from drop down)</v>
      </c>
      <c r="B81" t="s">
        <v>240</v>
      </c>
      <c r="C81" t="str">
        <f>'Workforce WTE'!$B$19</f>
        <v>SECTION 2) DEPLOYMENT PLANS - IN POST</v>
      </c>
      <c r="D81" t="str">
        <f>'Workforce WTE'!$B$20</f>
        <v>SUBSTANTIVE WORKFORCE (WTE IN POST)</v>
      </c>
      <c r="F81" t="str">
        <f>'Workforce WTE'!B100</f>
        <v>TOTAL CORE WORKFORCE</v>
      </c>
      <c r="AH81">
        <f>'Workforce WTE'!C100</f>
        <v>0.10577196900102699</v>
      </c>
      <c r="AI81">
        <f>'Workforce WTE'!D100</f>
        <v>9.546863319891942E-2</v>
      </c>
      <c r="AJ81">
        <f>'Workforce WTE'!E100</f>
        <v>1233.213769250001</v>
      </c>
      <c r="AK81">
        <f>'Workforce WTE'!F100</f>
        <v>0</v>
      </c>
      <c r="AL81">
        <f>'Workforce WTE'!G100</f>
        <v>0</v>
      </c>
      <c r="AN81">
        <f>'Workforce WTE'!H100</f>
        <v>0</v>
      </c>
      <c r="AO81">
        <f>'Workforce WTE'!I100</f>
        <v>0</v>
      </c>
      <c r="AP81">
        <f>'Workforce WTE'!J100</f>
        <v>0</v>
      </c>
    </row>
    <row r="82" spans="1:46" hidden="1">
      <c r="A82" t="str">
        <f>'[1]Front Sheet and Checklist'!$C$5</f>
        <v>(please select from drop down)</v>
      </c>
      <c r="B82" t="s">
        <v>240</v>
      </c>
      <c r="C82" t="str">
        <f>'Workforce WTE'!$B$19</f>
        <v>SECTION 2) DEPLOYMENT PLANS - IN POST</v>
      </c>
      <c r="D82" t="str">
        <f>'Workforce WTE'!$B$20</f>
        <v>SUBSTANTIVE WORKFORCE (WTE IN POST)</v>
      </c>
      <c r="F82">
        <f>'Workforce WTE'!B101</f>
        <v>0</v>
      </c>
      <c r="AH82">
        <f>'Workforce WTE'!C101</f>
        <v>0</v>
      </c>
      <c r="AI82" t="str">
        <f>'Workforce WTE'!D101</f>
        <v> </v>
      </c>
      <c r="AJ82">
        <f>'Workforce WTE'!E101</f>
        <v>0</v>
      </c>
      <c r="AK82">
        <f>'Workforce WTE'!F101</f>
        <v>0</v>
      </c>
      <c r="AL82">
        <f>'Workforce WTE'!G101</f>
        <v>0</v>
      </c>
      <c r="AN82">
        <f>'Workforce WTE'!H101</f>
        <v>0</v>
      </c>
      <c r="AO82">
        <f>'Workforce WTE'!I101</f>
        <v>0</v>
      </c>
      <c r="AP82">
        <f>'Workforce WTE'!J101</f>
        <v>0</v>
      </c>
    </row>
    <row r="83" spans="1:46" hidden="1">
      <c r="A83" t="str">
        <f>'[1]Front Sheet and Checklist'!$C$5</f>
        <v>(please select from drop down)</v>
      </c>
      <c r="B83" t="s">
        <v>240</v>
      </c>
      <c r="C83" t="str">
        <f>'Workforce WTE'!$B$19</f>
        <v>SECTION 2) DEPLOYMENT PLANS - IN POST</v>
      </c>
      <c r="D83" t="str">
        <f>'Workforce WTE'!$B$20</f>
        <v>SUBSTANTIVE WORKFORCE (WTE IN POST)</v>
      </c>
      <c r="F83">
        <f>'Workforce WTE'!B102</f>
        <v>0</v>
      </c>
      <c r="AH83">
        <f>'Workforce WTE'!C102</f>
        <v>0</v>
      </c>
      <c r="AI83">
        <f>'Workforce WTE'!D102</f>
        <v>0</v>
      </c>
      <c r="AJ83">
        <f>'Workforce WTE'!E102</f>
        <v>0</v>
      </c>
      <c r="AK83">
        <f>'Workforce WTE'!F102</f>
        <v>0</v>
      </c>
      <c r="AL83">
        <f>'Workforce WTE'!G102</f>
        <v>0</v>
      </c>
      <c r="AN83">
        <f>'Workforce WTE'!H102</f>
        <v>0</v>
      </c>
      <c r="AO83">
        <f>'Workforce WTE'!I102</f>
        <v>0</v>
      </c>
      <c r="AP83">
        <f>'Workforce WTE'!J102</f>
        <v>0</v>
      </c>
    </row>
    <row r="84" spans="1:46" hidden="1">
      <c r="A84" t="str">
        <f>'[1]Front Sheet and Checklist'!$C$5</f>
        <v>(please select from drop down)</v>
      </c>
      <c r="B84" t="s">
        <v>240</v>
      </c>
      <c r="C84" t="str">
        <f>'Workforce WTE'!$B$19</f>
        <v>SECTION 2) DEPLOYMENT PLANS - IN POST</v>
      </c>
      <c r="D84" t="str">
        <f>'Workforce WTE'!$B$20</f>
        <v>SUBSTANTIVE WORKFORCE (WTE IN POST)</v>
      </c>
      <c r="F84" t="str">
        <f>'Workforce WTE'!B103</f>
        <v>SECTION 4) MOVEMENTS IN SUBSTANTIVE WTE</v>
      </c>
      <c r="AH84">
        <f>'Workforce WTE'!C103</f>
        <v>0</v>
      </c>
      <c r="AI84" t="str">
        <f>'Workforce WTE'!D103</f>
        <v>2024/25</v>
      </c>
      <c r="AJ84">
        <f>'Workforce WTE'!E103</f>
        <v>0</v>
      </c>
      <c r="AK84" t="str">
        <f>'Workforce WTE'!F103</f>
        <v>Medical and Dental</v>
      </c>
      <c r="AL84" t="str">
        <f>'Workforce WTE'!G103</f>
        <v>Nursing and Midwifery Registered</v>
      </c>
      <c r="AN84" t="str">
        <f>'Workforce WTE'!H103</f>
        <v>Additional Clinical Services</v>
      </c>
      <c r="AO84" t="str">
        <f>'Workforce WTE'!I103</f>
        <v>Administrative and Clerical</v>
      </c>
      <c r="AP84" t="str">
        <f>'Workforce WTE'!J103</f>
        <v>Other</v>
      </c>
    </row>
    <row r="85" spans="1:46" hidden="1">
      <c r="A85" t="str">
        <f>'[1]Front Sheet and Checklist'!$C$5</f>
        <v>(please select from drop down)</v>
      </c>
      <c r="B85" t="s">
        <v>240</v>
      </c>
      <c r="C85" t="str">
        <f>'Workforce WTE'!$B$19</f>
        <v>SECTION 2) DEPLOYMENT PLANS - IN POST</v>
      </c>
      <c r="D85" t="str">
        <f>'Workforce WTE'!$B$20</f>
        <v>SUBSTANTIVE WORKFORCE (WTE IN POST)</v>
      </c>
      <c r="F85" t="str">
        <f>'Workforce WTE'!B104</f>
        <v>Starting WTE</v>
      </c>
      <c r="AH85">
        <f>'Workforce WTE'!C104</f>
        <v>0</v>
      </c>
      <c r="AI85">
        <f>'Workforce WTE'!D104</f>
        <v>12318.817190000025</v>
      </c>
      <c r="AJ85">
        <f>'Workforce WTE'!E104</f>
        <v>0</v>
      </c>
      <c r="AK85">
        <f>'Workforce WTE'!F104</f>
        <v>841.83443</v>
      </c>
      <c r="AL85">
        <f>'Workforce WTE'!G104</f>
        <v>3749.7934200000382</v>
      </c>
      <c r="AN85">
        <f>'Workforce WTE'!H104</f>
        <v>2567.8114200000005</v>
      </c>
      <c r="AO85">
        <f>'Workforce WTE'!I104</f>
        <v>2479.96737999999</v>
      </c>
      <c r="AP85">
        <f>'Workforce WTE'!J104</f>
        <v>2679.4105399999958</v>
      </c>
    </row>
    <row r="86" spans="1:46" hidden="1">
      <c r="A86" t="str">
        <f>'[1]Front Sheet and Checklist'!$C$5</f>
        <v>(please select from drop down)</v>
      </c>
      <c r="B86" t="s">
        <v>240</v>
      </c>
      <c r="C86" t="str">
        <f>'Workforce WTE'!$B$19</f>
        <v>SECTION 2) DEPLOYMENT PLANS - IN POST</v>
      </c>
      <c r="D86" t="str">
        <f>'Workforce WTE'!$B$20</f>
        <v>SUBSTANTIVE WORKFORCE (WTE IN POST)</v>
      </c>
      <c r="F86" t="str">
        <f>'Workforce WTE'!B105</f>
        <v>Planned Inflow</v>
      </c>
      <c r="AH86">
        <f>'Workforce WTE'!C105</f>
        <v>0</v>
      </c>
      <c r="AI86">
        <f>'Workforce WTE'!D105</f>
        <v>0</v>
      </c>
      <c r="AJ86">
        <f>'Workforce WTE'!E105</f>
        <v>0</v>
      </c>
      <c r="AK86">
        <f>'Workforce WTE'!F105</f>
        <v>0</v>
      </c>
      <c r="AL86">
        <f>'Workforce WTE'!G105</f>
        <v>0</v>
      </c>
      <c r="AN86">
        <f>'Workforce WTE'!H105</f>
        <v>0</v>
      </c>
      <c r="AO86">
        <f>'Workforce WTE'!I105</f>
        <v>0</v>
      </c>
      <c r="AP86">
        <f>'Workforce WTE'!J105</f>
        <v>0</v>
      </c>
    </row>
    <row r="87" spans="1:46" hidden="1">
      <c r="A87" t="str">
        <f>'[1]Front Sheet and Checklist'!$C$5</f>
        <v>(please select from drop down)</v>
      </c>
      <c r="B87" t="s">
        <v>240</v>
      </c>
      <c r="C87" t="str">
        <f>'Workforce WTE'!$B$19</f>
        <v>SECTION 2) DEPLOYMENT PLANS - IN POST</v>
      </c>
      <c r="D87" t="str">
        <f>'Workforce WTE'!$B$20</f>
        <v>SUBSTANTIVE WORKFORCE (WTE IN POST)</v>
      </c>
      <c r="F87" t="str">
        <f>'Workforce WTE'!B106</f>
        <v>New joiners from outside the organisation</v>
      </c>
      <c r="AH87">
        <f>'Workforce WTE'!C106</f>
        <v>0</v>
      </c>
      <c r="AI87">
        <f>'Workforce WTE'!D106</f>
        <v>1672</v>
      </c>
      <c r="AJ87">
        <f>'Workforce WTE'!E106</f>
        <v>0</v>
      </c>
      <c r="AK87">
        <f>'Workforce WTE'!F106</f>
        <v>166</v>
      </c>
      <c r="AL87">
        <f>'Workforce WTE'!G106</f>
        <v>662</v>
      </c>
      <c r="AN87">
        <f>'Workforce WTE'!H106</f>
        <v>373</v>
      </c>
      <c r="AO87">
        <f>'Workforce WTE'!I106</f>
        <v>229</v>
      </c>
      <c r="AP87">
        <f>'Workforce WTE'!J106</f>
        <v>241</v>
      </c>
    </row>
    <row r="88" spans="1:46" hidden="1">
      <c r="A88" t="str">
        <f>'[1]Front Sheet and Checklist'!$C$5</f>
        <v>(please select from drop down)</v>
      </c>
      <c r="B88" t="s">
        <v>240</v>
      </c>
      <c r="C88" t="str">
        <f>'Workforce WTE'!$B$19</f>
        <v>SECTION 2) DEPLOYMENT PLANS - IN POST</v>
      </c>
      <c r="D88" t="str">
        <f>'Workforce WTE'!$B$20</f>
        <v>SUBSTANTIVE WORKFORCE (WTE IN POST)</v>
      </c>
      <c r="F88" t="str">
        <f>'Workforce WTE'!B107</f>
        <v>Transfers in or other non-standard increase in staff in post</v>
      </c>
      <c r="AH88">
        <f>'Workforce WTE'!C107</f>
        <v>0</v>
      </c>
      <c r="AI88">
        <f>'Workforce WTE'!D107</f>
        <v>0</v>
      </c>
      <c r="AJ88">
        <f>'Workforce WTE'!E107</f>
        <v>0</v>
      </c>
      <c r="AK88">
        <f>'Workforce WTE'!F107</f>
        <v>0</v>
      </c>
      <c r="AL88">
        <f>'Workforce WTE'!G107</f>
        <v>0</v>
      </c>
      <c r="AN88">
        <f>'Workforce WTE'!H107</f>
        <v>0</v>
      </c>
      <c r="AO88">
        <f>'Workforce WTE'!I107</f>
        <v>0</v>
      </c>
      <c r="AP88">
        <f>'Workforce WTE'!J107</f>
        <v>0</v>
      </c>
    </row>
    <row r="89" spans="1:46" hidden="1">
      <c r="A89" t="str">
        <f>'[1]Front Sheet and Checklist'!$C$5</f>
        <v>(please select from drop down)</v>
      </c>
      <c r="B89" t="s">
        <v>240</v>
      </c>
      <c r="C89" t="str">
        <f>'Workforce WTE'!$B$19</f>
        <v>SECTION 2) DEPLOYMENT PLANS - IN POST</v>
      </c>
      <c r="D89" t="str">
        <f>'Workforce WTE'!$B$20</f>
        <v>SUBSTANTIVE WORKFORCE (WTE IN POST)</v>
      </c>
      <c r="F89" t="str">
        <f>'Workforce WTE'!B108</f>
        <v> </v>
      </c>
      <c r="AH89">
        <f>'Workforce WTE'!C108</f>
        <v>0</v>
      </c>
      <c r="AI89" t="str">
        <f>'Workforce WTE'!D108</f>
        <v> </v>
      </c>
      <c r="AJ89">
        <f>'Workforce WTE'!E108</f>
        <v>0</v>
      </c>
      <c r="AK89">
        <f>'Workforce WTE'!F108</f>
        <v>0</v>
      </c>
      <c r="AL89">
        <f>'Workforce WTE'!G108</f>
        <v>0</v>
      </c>
      <c r="AN89">
        <f>'Workforce WTE'!H108</f>
        <v>0</v>
      </c>
      <c r="AO89">
        <f>'Workforce WTE'!I108</f>
        <v>0</v>
      </c>
      <c r="AP89">
        <f>'Workforce WTE'!J108</f>
        <v>0</v>
      </c>
    </row>
    <row r="90" spans="1:46" hidden="1">
      <c r="A90" t="str">
        <f>'[1]Front Sheet and Checklist'!$C$5</f>
        <v>(please select from drop down)</v>
      </c>
      <c r="B90" t="s">
        <v>240</v>
      </c>
      <c r="C90" t="str">
        <f>'Workforce WTE'!$B$19</f>
        <v>SECTION 2) DEPLOYMENT PLANS - IN POST</v>
      </c>
      <c r="D90" t="str">
        <f>'Workforce WTE'!$B$20</f>
        <v>SUBSTANTIVE WORKFORCE (WTE IN POST)</v>
      </c>
      <c r="F90" t="str">
        <f>'Workforce WTE'!B109</f>
        <v>Planned Outflow</v>
      </c>
      <c r="AH90">
        <f>'Workforce WTE'!C109</f>
        <v>0</v>
      </c>
      <c r="AI90" t="str">
        <f>'Workforce WTE'!D109</f>
        <v> </v>
      </c>
      <c r="AJ90">
        <f>'Workforce WTE'!E109</f>
        <v>0</v>
      </c>
      <c r="AK90">
        <f>'Workforce WTE'!F109</f>
        <v>0</v>
      </c>
      <c r="AL90">
        <f>'Workforce WTE'!G109</f>
        <v>0</v>
      </c>
      <c r="AN90">
        <f>'Workforce WTE'!H109</f>
        <v>0</v>
      </c>
      <c r="AO90">
        <f>'Workforce WTE'!I109</f>
        <v>0</v>
      </c>
      <c r="AP90">
        <f>'Workforce WTE'!J109</f>
        <v>0</v>
      </c>
    </row>
    <row r="91" spans="1:46" hidden="1">
      <c r="A91" t="str">
        <f>'[1]Front Sheet and Checklist'!$C$5</f>
        <v>(please select from drop down)</v>
      </c>
      <c r="B91" t="s">
        <v>240</v>
      </c>
      <c r="C91" t="str">
        <f>'Workforce WTE'!$B$19</f>
        <v>SECTION 2) DEPLOYMENT PLANS - IN POST</v>
      </c>
      <c r="D91" t="str">
        <f>'Workforce WTE'!$B$20</f>
        <v>SUBSTANTIVE WORKFORCE (WTE IN POST)</v>
      </c>
      <c r="F91" t="str">
        <f>'Workforce WTE'!B110</f>
        <v>Staff leaving organisation due to standard turnover or retirement</v>
      </c>
      <c r="AH91">
        <f>'Workforce WTE'!C110</f>
        <v>0</v>
      </c>
      <c r="AI91">
        <f>'Workforce WTE'!D110</f>
        <v>-1233.213769250001</v>
      </c>
      <c r="AJ91">
        <f>'Workforce WTE'!E110</f>
        <v>0</v>
      </c>
      <c r="AK91">
        <f>'Workforce WTE'!F110</f>
        <v>-129.64250222000001</v>
      </c>
      <c r="AL91">
        <f>'Workforce WTE'!G110</f>
        <v>-264.36043611000264</v>
      </c>
      <c r="AN91">
        <f>'Workforce WTE'!H110</f>
        <v>-246.50989632000005</v>
      </c>
      <c r="AO91">
        <f>'Workforce WTE'!I110</f>
        <v>-339.75553105999865</v>
      </c>
      <c r="AP91">
        <f>'Workforce WTE'!J110</f>
        <v>-253</v>
      </c>
    </row>
    <row r="92" spans="1:46" hidden="1">
      <c r="A92" t="str">
        <f>'[1]Front Sheet and Checklist'!$C$5</f>
        <v>(please select from drop down)</v>
      </c>
      <c r="B92" t="s">
        <v>240</v>
      </c>
      <c r="C92" t="str">
        <f>'Workforce WTE'!$B$19</f>
        <v>SECTION 2) DEPLOYMENT PLANS - IN POST</v>
      </c>
      <c r="D92" t="str">
        <f>'Workforce WTE'!$B$20</f>
        <v>SUBSTANTIVE WORKFORCE (WTE IN POST)</v>
      </c>
      <c r="F92" t="str">
        <f>'Workforce WTE'!B111</f>
        <v>Transfers out, restructures or other reduction in staff in post</v>
      </c>
      <c r="AH92">
        <f>'Workforce WTE'!C111</f>
        <v>0</v>
      </c>
      <c r="AI92">
        <f>'Workforce WTE'!D111</f>
        <v>0</v>
      </c>
      <c r="AJ92">
        <f>'Workforce WTE'!E111</f>
        <v>0</v>
      </c>
      <c r="AK92">
        <f>'Workforce WTE'!F111</f>
        <v>0</v>
      </c>
      <c r="AL92">
        <f>'Workforce WTE'!G111</f>
        <v>0</v>
      </c>
      <c r="AN92">
        <f>'Workforce WTE'!H111</f>
        <v>0</v>
      </c>
      <c r="AO92">
        <f>'Workforce WTE'!I111</f>
        <v>0</v>
      </c>
      <c r="AP92">
        <f>'Workforce WTE'!J111</f>
        <v>0</v>
      </c>
    </row>
    <row r="93" spans="1:46" hidden="1">
      <c r="A93" t="str">
        <f>'[1]Front Sheet and Checklist'!$C$5</f>
        <v>(please select from drop down)</v>
      </c>
      <c r="B93" t="s">
        <v>240</v>
      </c>
      <c r="C93" t="str">
        <f>'Workforce WTE'!$B$19</f>
        <v>SECTION 2) DEPLOYMENT PLANS - IN POST</v>
      </c>
      <c r="D93" t="str">
        <f>'Workforce WTE'!$B$20</f>
        <v>SUBSTANTIVE WORKFORCE (WTE IN POST)</v>
      </c>
      <c r="F93" t="str">
        <f>'Workforce WTE'!B112</f>
        <v> </v>
      </c>
      <c r="AH93">
        <f>'Workforce WTE'!C112</f>
        <v>0</v>
      </c>
      <c r="AI93" t="str">
        <f>'Workforce WTE'!D112</f>
        <v> </v>
      </c>
      <c r="AJ93">
        <f>'Workforce WTE'!E112</f>
        <v>0</v>
      </c>
      <c r="AK93">
        <f>'Workforce WTE'!F112</f>
        <v>0</v>
      </c>
      <c r="AL93">
        <f>'Workforce WTE'!G112</f>
        <v>0</v>
      </c>
      <c r="AN93">
        <f>'Workforce WTE'!H112</f>
        <v>0</v>
      </c>
      <c r="AO93">
        <f>'Workforce WTE'!I112</f>
        <v>0</v>
      </c>
      <c r="AP93">
        <f>'Workforce WTE'!J112</f>
        <v>0</v>
      </c>
    </row>
    <row r="94" spans="1:46" hidden="1">
      <c r="A94" t="str">
        <f>'[1]Front Sheet and Checklist'!$C$5</f>
        <v>(please select from drop down)</v>
      </c>
      <c r="B94" t="s">
        <v>240</v>
      </c>
      <c r="C94" t="str">
        <f>'Workforce WTE'!$B$19</f>
        <v>SECTION 2) DEPLOYMENT PLANS - IN POST</v>
      </c>
      <c r="D94" t="str">
        <f>'Workforce WTE'!$B$20</f>
        <v>SUBSTANTIVE WORKFORCE (WTE IN POST)</v>
      </c>
      <c r="F94" t="str">
        <f>'Workforce WTE'!B113</f>
        <v>TOTAL SUBSTANTIVE WORKFORCE AT THE END OF THE PERIOD</v>
      </c>
      <c r="AH94">
        <f>'Workforce WTE'!C113</f>
        <v>0</v>
      </c>
      <c r="AI94">
        <f>'Workforce WTE'!D113</f>
        <v>12757.603420750023</v>
      </c>
      <c r="AJ94">
        <f>'Workforce WTE'!E113</f>
        <v>0</v>
      </c>
      <c r="AK94">
        <f>'Workforce WTE'!F113</f>
        <v>878.19192778000001</v>
      </c>
      <c r="AL94">
        <f>'Workforce WTE'!G113</f>
        <v>4147.4329838900358</v>
      </c>
      <c r="AN94">
        <f>'Workforce WTE'!H113</f>
        <v>2694.3015236800002</v>
      </c>
      <c r="AO94">
        <f>'Workforce WTE'!I113</f>
        <v>2369.2118489399913</v>
      </c>
      <c r="AP94">
        <f>'Workforce WTE'!J113</f>
        <v>2667.4105399999958</v>
      </c>
    </row>
    <row r="95" spans="1:46" hidden="1">
      <c r="A95" t="str">
        <f>'[1]Front Sheet and Checklist'!$C$5</f>
        <v>(please select from drop down)</v>
      </c>
      <c r="B95" t="s">
        <v>240</v>
      </c>
      <c r="C95" t="str">
        <f>'Workforce WTE'!$B$19</f>
        <v>SECTION 2) DEPLOYMENT PLANS - IN POST</v>
      </c>
      <c r="D95" t="str">
        <f>'Workforce WTE'!$B$20</f>
        <v>SUBSTANTIVE WORKFORCE (WTE IN POST)</v>
      </c>
      <c r="F95" t="str">
        <f>'Workforce WTE'!B114</f>
        <v>Check Variance</v>
      </c>
      <c r="AH95">
        <f>'Workforce WTE'!C114</f>
        <v>0</v>
      </c>
      <c r="AI95">
        <f>'Workforce WTE'!D114</f>
        <v>-676.02657924997766</v>
      </c>
      <c r="AJ95">
        <f>'Workforce WTE'!E114</f>
        <v>0</v>
      </c>
      <c r="AK95">
        <f>'Workforce WTE'!F114</f>
        <v>-33.158072220000008</v>
      </c>
      <c r="AL95">
        <f>'Workforce WTE'!G114</f>
        <v>-103.17701610996392</v>
      </c>
      <c r="AN95">
        <f>'Workforce WTE'!H114</f>
        <v>68.271523679999973</v>
      </c>
      <c r="AO95">
        <f>'Workforce WTE'!I114</f>
        <v>-36.188151060008749</v>
      </c>
      <c r="AP95">
        <f>'Workforce WTE'!J114</f>
        <v>-110.77946000000429</v>
      </c>
    </row>
    <row r="96" spans="1:46" hidden="1">
      <c r="A96" t="str">
        <f>'[1]Front Sheet and Checklist'!$C$5</f>
        <v>(please select from drop down)</v>
      </c>
      <c r="B96" t="s">
        <v>9</v>
      </c>
      <c r="C96" t="s">
        <v>9</v>
      </c>
      <c r="D96" t="str">
        <f>Bedplan!B5</f>
        <v>NON COVID Adult Beds in acute hospital setting</v>
      </c>
      <c r="F96" t="str">
        <f>Bedplan!C5</f>
        <v>Total adult beds which are staffed in the system, to understand core capacity- this includes scheduled and unscheduled care. Total core beds excluding trolleys and assessment areas.</v>
      </c>
      <c r="AH96">
        <f>Bedplan!D5</f>
        <v>602</v>
      </c>
      <c r="AI96">
        <f>Bedplan!E5</f>
        <v>594</v>
      </c>
      <c r="AJ96">
        <f>Bedplan!F5</f>
        <v>594</v>
      </c>
      <c r="AK96">
        <f>Bedplan!G5</f>
        <v>594</v>
      </c>
      <c r="AL96">
        <f>Bedplan!H5</f>
        <v>594</v>
      </c>
      <c r="AN96">
        <f>Bedplan!I5</f>
        <v>231</v>
      </c>
      <c r="AO96">
        <f>Bedplan!J5</f>
        <v>231</v>
      </c>
      <c r="AP96">
        <f>Bedplan!K5</f>
        <v>231</v>
      </c>
      <c r="AQ96">
        <f>Bedplan!M5</f>
        <v>689</v>
      </c>
      <c r="AR96">
        <f>Bedplan!N5</f>
        <v>998</v>
      </c>
      <c r="AS96">
        <f>Bedplan!O5</f>
        <v>161</v>
      </c>
      <c r="AT96">
        <f>Bedplan!P5</f>
        <v>708</v>
      </c>
    </row>
    <row r="97" spans="1:46" hidden="1">
      <c r="A97" t="str">
        <f>'[1]Front Sheet and Checklist'!$C$5</f>
        <v>(please select from drop down)</v>
      </c>
      <c r="B97" t="s">
        <v>9</v>
      </c>
      <c r="C97" t="s">
        <v>9</v>
      </c>
      <c r="D97" t="str">
        <f>Bedplan!B6</f>
        <v>COMMUNITY HOSPITALS - NON COVID Adult Beds in a Community Setting</v>
      </c>
      <c r="F97" t="str">
        <f>Bedplan!C6</f>
        <v>Separate as out from hospital adult beds as different function to acute beds and staffing arrangements – support understanding of community care</v>
      </c>
      <c r="AH97">
        <f>Bedplan!D6</f>
        <v>0</v>
      </c>
      <c r="AI97">
        <f>Bedplan!E6</f>
        <v>0</v>
      </c>
      <c r="AJ97">
        <f>Bedplan!F6</f>
        <v>0</v>
      </c>
      <c r="AK97">
        <f>Bedplan!G6</f>
        <v>0</v>
      </c>
      <c r="AL97">
        <f>Bedplan!H6</f>
        <v>0</v>
      </c>
      <c r="AN97">
        <f>Bedplan!I6</f>
        <v>0</v>
      </c>
      <c r="AO97">
        <f>Bedplan!J6</f>
        <v>0</v>
      </c>
      <c r="AP97">
        <f>Bedplan!K6</f>
        <v>0</v>
      </c>
      <c r="AQ97">
        <f>Bedplan!M6</f>
        <v>0</v>
      </c>
      <c r="AR97">
        <f>Bedplan!N6</f>
        <v>0</v>
      </c>
      <c r="AS97">
        <f>Bedplan!O6</f>
        <v>0</v>
      </c>
      <c r="AT97">
        <f>Bedplan!P6</f>
        <v>30</v>
      </c>
    </row>
    <row r="98" spans="1:46" hidden="1">
      <c r="A98" t="str">
        <f>'[1]Front Sheet and Checklist'!$C$5</f>
        <v>(please select from drop down)</v>
      </c>
      <c r="B98" t="s">
        <v>9</v>
      </c>
      <c r="C98" t="s">
        <v>9</v>
      </c>
      <c r="D98" t="str">
        <f>Bedplan!B7</f>
        <v>Mental Health Beds</v>
      </c>
      <c r="F98" t="str">
        <f>Bedplan!C7</f>
        <v>Separately counted as wouldn’t contribute to broader hospital activity. Should reflect all mental health beds in dedicated facilities/hospitals and mental health wards in acute and community hospitals.</v>
      </c>
      <c r="AH98">
        <f>Bedplan!D7</f>
        <v>278</v>
      </c>
      <c r="AI98">
        <f>Bedplan!E7</f>
        <v>284</v>
      </c>
      <c r="AJ98">
        <f>Bedplan!F7</f>
        <v>285</v>
      </c>
      <c r="AK98">
        <f>Bedplan!G7</f>
        <v>285</v>
      </c>
      <c r="AL98">
        <f>Bedplan!H7</f>
        <v>285</v>
      </c>
      <c r="AN98">
        <f>Bedplan!I7</f>
        <v>26</v>
      </c>
      <c r="AO98">
        <f>Bedplan!J7</f>
        <v>26</v>
      </c>
      <c r="AP98">
        <f>Bedplan!K7</f>
        <v>26</v>
      </c>
      <c r="AQ98">
        <f>Bedplan!M7</f>
        <v>285</v>
      </c>
      <c r="AR98">
        <f>Bedplan!N7</f>
        <v>259</v>
      </c>
      <c r="AS98">
        <f>Bedplan!O7</f>
        <v>269</v>
      </c>
      <c r="AT98">
        <f>Bedplan!P7</f>
        <v>285</v>
      </c>
    </row>
    <row r="99" spans="1:46" hidden="1">
      <c r="A99" t="str">
        <f>'[1]Front Sheet and Checklist'!$C$5</f>
        <v>(please select from drop down)</v>
      </c>
      <c r="B99" t="s">
        <v>9</v>
      </c>
      <c r="C99" t="s">
        <v>9</v>
      </c>
      <c r="D99" t="str">
        <f>Bedplan!B8</f>
        <v xml:space="preserve">Critical Care: Beds in a general critical care unit </v>
      </c>
      <c r="F99" t="str">
        <f>Bedplan!C8</f>
        <v>Adult beds providing or capable of providing level 2/3 general critical care (i.e. in a general critical care unit including isolation or side rooms).</v>
      </c>
      <c r="AH99">
        <f>Bedplan!D8</f>
        <v>0</v>
      </c>
      <c r="AI99">
        <f>Bedplan!E8</f>
        <v>22</v>
      </c>
      <c r="AJ99">
        <f>Bedplan!F8</f>
        <v>22</v>
      </c>
      <c r="AK99">
        <f>Bedplan!G8</f>
        <v>22</v>
      </c>
      <c r="AL99">
        <f>Bedplan!H8</f>
        <v>22</v>
      </c>
      <c r="AN99">
        <f>Bedplan!I8</f>
        <v>6</v>
      </c>
      <c r="AO99">
        <f>Bedplan!J8</f>
        <v>6</v>
      </c>
      <c r="AP99">
        <f>Bedplan!K8</f>
        <v>6</v>
      </c>
      <c r="AQ99">
        <f>Bedplan!M8</f>
        <v>22</v>
      </c>
      <c r="AR99">
        <f>Bedplan!N8</f>
        <v>33</v>
      </c>
      <c r="AS99">
        <f>Bedplan!O8</f>
        <v>0</v>
      </c>
      <c r="AT99">
        <f>Bedplan!P8</f>
        <v>4</v>
      </c>
    </row>
    <row r="100" spans="1:46" hidden="1">
      <c r="A100" t="str">
        <f>'[1]Front Sheet and Checklist'!$C$5</f>
        <v>(please select from drop down)</v>
      </c>
      <c r="B100" t="s">
        <v>9</v>
      </c>
      <c r="C100" t="s">
        <v>9</v>
      </c>
      <c r="D100" t="str">
        <f>Bedplan!B9</f>
        <v xml:space="preserve">Critical Care: Temporary critical care beds </v>
      </c>
      <c r="F100" t="str">
        <f>Bedplan!C9</f>
        <v>Temporary beds capable of providing adult level 2/3 general critical care</v>
      </c>
      <c r="AH100">
        <f>Bedplan!D9</f>
        <v>5</v>
      </c>
      <c r="AI100">
        <f>Bedplan!E9</f>
        <v>4</v>
      </c>
      <c r="AJ100">
        <f>Bedplan!F9</f>
        <v>4</v>
      </c>
      <c r="AK100">
        <f>Bedplan!G9</f>
        <v>4</v>
      </c>
      <c r="AL100">
        <f>Bedplan!H9</f>
        <v>4</v>
      </c>
      <c r="AN100">
        <f>Bedplan!I9</f>
        <v>0</v>
      </c>
      <c r="AO100">
        <f>Bedplan!J9</f>
        <v>0</v>
      </c>
      <c r="AP100">
        <f>Bedplan!K9</f>
        <v>0</v>
      </c>
      <c r="AQ100">
        <f>Bedplan!M9</f>
        <v>10</v>
      </c>
      <c r="AR100">
        <f>Bedplan!N9</f>
        <v>3</v>
      </c>
      <c r="AS100">
        <f>Bedplan!O9</f>
        <v>0</v>
      </c>
      <c r="AT100">
        <f>Bedplan!P9</f>
        <v>0</v>
      </c>
    </row>
    <row r="101" spans="1:46" hidden="1">
      <c r="A101" t="str">
        <f>'[1]Front Sheet and Checklist'!$C$5</f>
        <v>(please select from drop down)</v>
      </c>
      <c r="B101" t="s">
        <v>9</v>
      </c>
      <c r="C101" t="s">
        <v>9</v>
      </c>
      <c r="D101" t="str">
        <f>Bedplan!B10</f>
        <v xml:space="preserve">Critical Care: Beds provided in a specialist critical care unit </v>
      </c>
      <c r="F101" t="str">
        <f>Bedplan!C10</f>
        <v>Adult beds providing specialist (level 2/3) critical care such as burns, cardiac, neuro; PACU (post-anaesthetic care units) (paediatric critical care beds and neo-natal cots should not be included within the SITREP return)</v>
      </c>
      <c r="AH101">
        <f>Bedplan!D10</f>
        <v>33</v>
      </c>
      <c r="AI101">
        <f>Bedplan!E10</f>
        <v>25</v>
      </c>
      <c r="AJ101">
        <f>Bedplan!F10</f>
        <v>25</v>
      </c>
      <c r="AK101">
        <f>Bedplan!G10</f>
        <v>25</v>
      </c>
      <c r="AL101">
        <f>Bedplan!H10</f>
        <v>25</v>
      </c>
      <c r="AN101">
        <f>Bedplan!I10</f>
        <v>0</v>
      </c>
      <c r="AO101">
        <f>Bedplan!J10</f>
        <v>0</v>
      </c>
      <c r="AP101">
        <f>Bedplan!K10</f>
        <v>0</v>
      </c>
      <c r="AQ101">
        <f>Bedplan!M10</f>
        <v>25</v>
      </c>
      <c r="AR101">
        <f>Bedplan!N10</f>
        <v>25</v>
      </c>
      <c r="AS101">
        <f>Bedplan!O10</f>
        <v>0</v>
      </c>
      <c r="AT101">
        <f>Bedplan!P10</f>
        <v>5</v>
      </c>
    </row>
    <row r="102" spans="1:46" hidden="1">
      <c r="A102" t="str">
        <f>'[1]Front Sheet and Checklist'!$C$5</f>
        <v>(please select from drop down)</v>
      </c>
      <c r="B102" t="s">
        <v>9</v>
      </c>
      <c r="C102" t="s">
        <v>9</v>
      </c>
      <c r="D102" t="str">
        <f>Bedplan!B11</f>
        <v>RING FENCED BEDS e.g. Paediatric/ Neonatal/ Maternity Beds / Cardiac/ Burns (select from dropdown)</v>
      </c>
      <c r="F102" t="str">
        <f>Bedplan!C11</f>
        <v>Separate to be clearer on usable beds for core activity</v>
      </c>
      <c r="AH102">
        <f>Bedplan!D11</f>
        <v>0</v>
      </c>
      <c r="AI102">
        <f>Bedplan!E11</f>
        <v>0</v>
      </c>
      <c r="AJ102">
        <f>Bedplan!F11</f>
        <v>0</v>
      </c>
      <c r="AK102">
        <f>Bedplan!G11</f>
        <v>0</v>
      </c>
      <c r="AL102">
        <f>Bedplan!H11</f>
        <v>0</v>
      </c>
      <c r="AN102">
        <f>Bedplan!I11</f>
        <v>0</v>
      </c>
      <c r="AO102">
        <f>Bedplan!J11</f>
        <v>0</v>
      </c>
      <c r="AP102">
        <f>Bedplan!K11</f>
        <v>0</v>
      </c>
      <c r="AQ102">
        <f>Bedplan!M11</f>
        <v>0</v>
      </c>
      <c r="AR102">
        <f>Bedplan!N11</f>
        <v>0</v>
      </c>
      <c r="AS102">
        <f>Bedplan!O11</f>
        <v>0</v>
      </c>
      <c r="AT102">
        <f>Bedplan!P11</f>
        <v>0</v>
      </c>
    </row>
    <row r="103" spans="1:46" hidden="1">
      <c r="A103" t="str">
        <f>'[1]Front Sheet and Checklist'!$C$5</f>
        <v>(please select from drop down)</v>
      </c>
      <c r="B103" t="s">
        <v>9</v>
      </c>
      <c r="C103" t="s">
        <v>9</v>
      </c>
      <c r="D103" t="str">
        <f>Bedplan!B12</f>
        <v>Paediatric</v>
      </c>
      <c r="F103">
        <f>Bedplan!C12</f>
        <v>0</v>
      </c>
      <c r="AH103">
        <f>Bedplan!D12</f>
        <v>12</v>
      </c>
      <c r="AI103">
        <f>Bedplan!E12</f>
        <v>12</v>
      </c>
      <c r="AJ103">
        <f>Bedplan!F12</f>
        <v>12</v>
      </c>
      <c r="AK103">
        <f>Bedplan!G12</f>
        <v>12</v>
      </c>
      <c r="AL103">
        <f>Bedplan!H12</f>
        <v>12</v>
      </c>
      <c r="AN103">
        <f>Bedplan!I12</f>
        <v>0</v>
      </c>
      <c r="AO103">
        <f>Bedplan!J12</f>
        <v>0</v>
      </c>
      <c r="AP103">
        <f>Bedplan!K12</f>
        <v>0</v>
      </c>
      <c r="AQ103">
        <f>Bedplan!M12</f>
        <v>0</v>
      </c>
      <c r="AR103">
        <f>Bedplan!N12</f>
        <v>59</v>
      </c>
      <c r="AS103">
        <f>Bedplan!O12</f>
        <v>0</v>
      </c>
      <c r="AT103">
        <f>Bedplan!P12</f>
        <v>0</v>
      </c>
    </row>
    <row r="104" spans="1:46" hidden="1">
      <c r="A104" t="str">
        <f>'[1]Front Sheet and Checklist'!$C$5</f>
        <v>(please select from drop down)</v>
      </c>
      <c r="B104" t="s">
        <v>9</v>
      </c>
      <c r="C104" t="s">
        <v>9</v>
      </c>
      <c r="D104" t="str">
        <f>Bedplan!B13</f>
        <v>Neonatal</v>
      </c>
      <c r="F104">
        <f>Bedplan!C13</f>
        <v>0</v>
      </c>
      <c r="AH104">
        <f>Bedplan!D13</f>
        <v>22</v>
      </c>
      <c r="AI104">
        <f>Bedplan!E13</f>
        <v>22</v>
      </c>
      <c r="AJ104">
        <f>Bedplan!F13</f>
        <v>22</v>
      </c>
      <c r="AK104">
        <f>Bedplan!G13</f>
        <v>22</v>
      </c>
      <c r="AL104">
        <f>Bedplan!H13</f>
        <v>22</v>
      </c>
      <c r="AN104">
        <f>Bedplan!I13</f>
        <v>24</v>
      </c>
      <c r="AO104">
        <f>Bedplan!J13</f>
        <v>24</v>
      </c>
      <c r="AP104">
        <f>Bedplan!K13</f>
        <v>24</v>
      </c>
      <c r="AQ104">
        <f>Bedplan!M13</f>
        <v>24</v>
      </c>
      <c r="AR104">
        <f>Bedplan!N13</f>
        <v>24</v>
      </c>
      <c r="AS104">
        <f>Bedplan!O13</f>
        <v>0</v>
      </c>
      <c r="AT104">
        <f>Bedplan!P13</f>
        <v>24</v>
      </c>
    </row>
    <row r="105" spans="1:46" hidden="1">
      <c r="A105" t="str">
        <f>'[1]Front Sheet and Checklist'!$C$5</f>
        <v>(please select from drop down)</v>
      </c>
      <c r="B105" t="s">
        <v>9</v>
      </c>
      <c r="C105" t="s">
        <v>9</v>
      </c>
      <c r="D105" t="str">
        <f>Bedplan!B14</f>
        <v>Maternity Beds</v>
      </c>
      <c r="F105">
        <f>Bedplan!C14</f>
        <v>0</v>
      </c>
      <c r="AH105">
        <f>Bedplan!D14</f>
        <v>7</v>
      </c>
      <c r="AI105">
        <f>Bedplan!E14</f>
        <v>7</v>
      </c>
      <c r="AJ105">
        <f>Bedplan!F14</f>
        <v>7</v>
      </c>
      <c r="AK105">
        <f>Bedplan!G14</f>
        <v>7</v>
      </c>
      <c r="AL105">
        <f>Bedplan!H14</f>
        <v>7</v>
      </c>
      <c r="AN105">
        <f>Bedplan!I14</f>
        <v>68</v>
      </c>
      <c r="AO105">
        <f>Bedplan!J14</f>
        <v>68</v>
      </c>
      <c r="AP105">
        <f>Bedplan!K14</f>
        <v>68</v>
      </c>
      <c r="AQ105">
        <f>Bedplan!M14</f>
        <v>61</v>
      </c>
      <c r="AR105">
        <f>Bedplan!N14</f>
        <v>68</v>
      </c>
      <c r="AS105">
        <f>Bedplan!O14</f>
        <v>7</v>
      </c>
      <c r="AT105">
        <f>Bedplan!P14</f>
        <v>67</v>
      </c>
    </row>
    <row r="106" spans="1:46" hidden="1">
      <c r="A106" t="str">
        <f>'[1]Front Sheet and Checklist'!$C$5</f>
        <v>(please select from drop down)</v>
      </c>
      <c r="B106" t="s">
        <v>9</v>
      </c>
      <c r="C106" t="s">
        <v>9</v>
      </c>
      <c r="D106" t="str">
        <f>Bedplan!B15</f>
        <v>Cardiac</v>
      </c>
      <c r="F106">
        <f>Bedplan!C15</f>
        <v>0</v>
      </c>
      <c r="AH106">
        <f>Bedplan!D15</f>
        <v>18</v>
      </c>
      <c r="AI106">
        <f>Bedplan!E15</f>
        <v>18</v>
      </c>
      <c r="AJ106">
        <f>Bedplan!F15</f>
        <v>33</v>
      </c>
      <c r="AK106">
        <f>Bedplan!G15</f>
        <v>33</v>
      </c>
      <c r="AL106">
        <f>Bedplan!H15</f>
        <v>33</v>
      </c>
      <c r="AN106">
        <f>Bedplan!I15</f>
        <v>0</v>
      </c>
      <c r="AO106">
        <f>Bedplan!J15</f>
        <v>0</v>
      </c>
      <c r="AP106">
        <f>Bedplan!K15</f>
        <v>0</v>
      </c>
      <c r="AQ106">
        <f>Bedplan!M15</f>
        <v>33</v>
      </c>
      <c r="AR106">
        <f>Bedplan!N15</f>
        <v>63</v>
      </c>
      <c r="AS106">
        <f>Bedplan!O15</f>
        <v>0</v>
      </c>
      <c r="AT106">
        <f>Bedplan!P15</f>
        <v>83</v>
      </c>
    </row>
    <row r="107" spans="1:46" hidden="1">
      <c r="A107" t="str">
        <f>'[1]Front Sheet and Checklist'!$C$5</f>
        <v>(please select from drop down)</v>
      </c>
      <c r="B107" t="s">
        <v>9</v>
      </c>
      <c r="C107" t="s">
        <v>9</v>
      </c>
      <c r="D107" t="str">
        <f>Bedplan!B16</f>
        <v>Burns</v>
      </c>
      <c r="F107">
        <f>Bedplan!C16</f>
        <v>0</v>
      </c>
      <c r="AH107">
        <f>Bedplan!D16</f>
        <v>5</v>
      </c>
      <c r="AI107">
        <f>Bedplan!E16</f>
        <v>5</v>
      </c>
      <c r="AJ107">
        <f>Bedplan!F16</f>
        <v>5</v>
      </c>
      <c r="AK107">
        <f>Bedplan!G16</f>
        <v>5</v>
      </c>
      <c r="AL107">
        <f>Bedplan!H16</f>
        <v>5</v>
      </c>
      <c r="AN107">
        <f>Bedplan!I16</f>
        <v>0</v>
      </c>
      <c r="AO107">
        <f>Bedplan!J16</f>
        <v>0</v>
      </c>
      <c r="AP107">
        <f>Bedplan!K16</f>
        <v>0</v>
      </c>
      <c r="AQ107">
        <f>Bedplan!M16</f>
        <v>5</v>
      </c>
      <c r="AR107">
        <f>Bedplan!N16</f>
        <v>5</v>
      </c>
      <c r="AS107">
        <f>Bedplan!O16</f>
        <v>0</v>
      </c>
      <c r="AT107">
        <f>Bedplan!P16</f>
        <v>33</v>
      </c>
    </row>
    <row r="108" spans="1:46" hidden="1">
      <c r="A108" t="str">
        <f>'[1]Front Sheet and Checklist'!$C$5</f>
        <v>(please select from drop down)</v>
      </c>
      <c r="B108" t="s">
        <v>9</v>
      </c>
      <c r="C108" t="s">
        <v>9</v>
      </c>
      <c r="D108" t="str">
        <f>Bedplan!B17</f>
        <v>Other</v>
      </c>
      <c r="F108">
        <f>Bedplan!C17</f>
        <v>0</v>
      </c>
      <c r="AH108">
        <f>Bedplan!D17</f>
        <v>84</v>
      </c>
      <c r="AI108">
        <f>Bedplan!E17</f>
        <v>92</v>
      </c>
      <c r="AJ108">
        <f>Bedplan!F17</f>
        <v>92</v>
      </c>
      <c r="AK108">
        <f>Bedplan!G17</f>
        <v>92</v>
      </c>
      <c r="AL108">
        <f>Bedplan!H17</f>
        <v>92</v>
      </c>
      <c r="AN108" t="str">
        <f>Bedplan!I17</f>
        <v>-</v>
      </c>
      <c r="AO108" t="str">
        <f>Bedplan!J17</f>
        <v>-</v>
      </c>
      <c r="AP108" t="str">
        <f>Bedplan!K17</f>
        <v>-</v>
      </c>
      <c r="AQ108">
        <f>Bedplan!M17</f>
        <v>92</v>
      </c>
      <c r="AR108">
        <f>Bedplan!N17</f>
        <v>60</v>
      </c>
      <c r="AS108">
        <f>Bedplan!O17</f>
        <v>51</v>
      </c>
      <c r="AT108">
        <f>Bedplan!P17</f>
        <v>60</v>
      </c>
    </row>
    <row r="109" spans="1:46" hidden="1">
      <c r="A109" t="str">
        <f>'[1]Front Sheet and Checklist'!$C$5</f>
        <v>(please select from drop down)</v>
      </c>
      <c r="B109" t="s">
        <v>9</v>
      </c>
      <c r="C109" t="s">
        <v>9</v>
      </c>
      <c r="D109" t="str">
        <f>Bedplan!B18</f>
        <v>Non designated COVID-19 hospital beds Field Hospital Sites</v>
      </c>
      <c r="F109">
        <f>Bedplan!C18</f>
        <v>0</v>
      </c>
      <c r="AH109">
        <f>Bedplan!D18</f>
        <v>0</v>
      </c>
      <c r="AI109">
        <f>Bedplan!E18</f>
        <v>0</v>
      </c>
      <c r="AJ109">
        <f>Bedplan!F18</f>
        <v>0</v>
      </c>
      <c r="AK109">
        <f>Bedplan!G18</f>
        <v>0</v>
      </c>
      <c r="AL109">
        <f>Bedplan!H18</f>
        <v>0</v>
      </c>
      <c r="AN109">
        <f>Bedplan!I18</f>
        <v>0</v>
      </c>
      <c r="AO109">
        <f>Bedplan!J18</f>
        <v>0</v>
      </c>
      <c r="AP109">
        <f>Bedplan!K18</f>
        <v>0</v>
      </c>
      <c r="AQ109">
        <f>Bedplan!M18</f>
        <v>0</v>
      </c>
      <c r="AR109">
        <f>Bedplan!N18</f>
        <v>0</v>
      </c>
      <c r="AS109">
        <f>Bedplan!O18</f>
        <v>0</v>
      </c>
      <c r="AT109" t="str">
        <f>Bedplan!P18</f>
        <v>-</v>
      </c>
    </row>
    <row r="110" spans="1:46" hidden="1">
      <c r="A110" t="str">
        <f>'[1]Front Sheet and Checklist'!$C$5</f>
        <v>(please select from drop down)</v>
      </c>
      <c r="B110" t="s">
        <v>9</v>
      </c>
      <c r="C110" t="s">
        <v>9</v>
      </c>
      <c r="D110" t="str">
        <f>Bedplan!B19</f>
        <v>SUB TOTAL of CORE Operational Beds</v>
      </c>
      <c r="F110">
        <f>Bedplan!C19</f>
        <v>0</v>
      </c>
      <c r="AH110">
        <f>Bedplan!D19</f>
        <v>1066</v>
      </c>
      <c r="AI110">
        <f>Bedplan!E19</f>
        <v>1085</v>
      </c>
      <c r="AJ110">
        <f>Bedplan!F19</f>
        <v>1101</v>
      </c>
      <c r="AK110">
        <f>Bedplan!G19</f>
        <v>1101</v>
      </c>
      <c r="AL110">
        <f>Bedplan!H19</f>
        <v>1101</v>
      </c>
      <c r="AN110">
        <f>Bedplan!I19</f>
        <v>355</v>
      </c>
      <c r="AO110">
        <f>Bedplan!J19</f>
        <v>355</v>
      </c>
      <c r="AP110">
        <f>Bedplan!K19</f>
        <v>355</v>
      </c>
      <c r="AQ110">
        <f>Bedplan!M19</f>
        <v>1246</v>
      </c>
      <c r="AR110">
        <f>Bedplan!N19</f>
        <v>0</v>
      </c>
      <c r="AS110">
        <f>Bedplan!O19</f>
        <v>488</v>
      </c>
      <c r="AT110">
        <f>Bedplan!P19</f>
        <v>1299</v>
      </c>
    </row>
    <row r="111" spans="1:46" hidden="1">
      <c r="A111" t="str">
        <f>'[1]Front Sheet and Checklist'!$C$5</f>
        <v>(please select from drop down)</v>
      </c>
      <c r="B111" t="s">
        <v>9</v>
      </c>
      <c r="C111" t="s">
        <v>9</v>
      </c>
      <c r="D111" t="str">
        <f>Bedplan!B20</f>
        <v>Covid-19 Beds</v>
      </c>
      <c r="F111" t="str">
        <f>Bedplan!C20</f>
        <v>Bed capacity for Covid 19 assuming carve out capacity for at least first 6 months of the year</v>
      </c>
      <c r="AH111">
        <f>Bedplan!D20</f>
        <v>0</v>
      </c>
      <c r="AI111">
        <f>Bedplan!E20</f>
        <v>0</v>
      </c>
      <c r="AJ111">
        <f>Bedplan!F20</f>
        <v>0</v>
      </c>
      <c r="AK111">
        <f>Bedplan!G20</f>
        <v>0</v>
      </c>
      <c r="AL111">
        <f>Bedplan!H20</f>
        <v>0</v>
      </c>
      <c r="AN111">
        <f>Bedplan!I20</f>
        <v>0</v>
      </c>
      <c r="AO111">
        <f>Bedplan!J20</f>
        <v>0</v>
      </c>
      <c r="AP111">
        <f>Bedplan!K20</f>
        <v>0</v>
      </c>
      <c r="AQ111">
        <f>Bedplan!M20</f>
        <v>0</v>
      </c>
      <c r="AR111">
        <f>Bedplan!N20</f>
        <v>0</v>
      </c>
      <c r="AS111">
        <f>Bedplan!O20</f>
        <v>0</v>
      </c>
      <c r="AT111" t="str">
        <f>Bedplan!P20</f>
        <v>-</v>
      </c>
    </row>
    <row r="112" spans="1:46" hidden="1">
      <c r="A112" t="str">
        <f>'[1]Front Sheet and Checklist'!$C$5</f>
        <v>(please select from drop down)</v>
      </c>
      <c r="B112" t="s">
        <v>9</v>
      </c>
      <c r="C112" t="s">
        <v>9</v>
      </c>
      <c r="D112" t="str">
        <f>Bedplan!B21</f>
        <v>Critical Care: Covid-19 Beds</v>
      </c>
      <c r="F112" t="str">
        <f>Bedplan!C21</f>
        <v>Bed capacity for Covid 19 assuming carve out capacity for at least first 6 months of the year</v>
      </c>
      <c r="AH112">
        <f>Bedplan!D21</f>
        <v>0</v>
      </c>
      <c r="AI112">
        <f>Bedplan!E21</f>
        <v>0</v>
      </c>
      <c r="AJ112">
        <f>Bedplan!F21</f>
        <v>0</v>
      </c>
      <c r="AK112">
        <f>Bedplan!G21</f>
        <v>0</v>
      </c>
      <c r="AL112">
        <f>Bedplan!H21</f>
        <v>0</v>
      </c>
      <c r="AN112">
        <f>Bedplan!I21</f>
        <v>0</v>
      </c>
      <c r="AO112">
        <f>Bedplan!J21</f>
        <v>0</v>
      </c>
      <c r="AP112">
        <f>Bedplan!K21</f>
        <v>0</v>
      </c>
      <c r="AQ112">
        <f>Bedplan!M21</f>
        <v>0</v>
      </c>
      <c r="AR112">
        <f>Bedplan!N21</f>
        <v>0</v>
      </c>
      <c r="AS112">
        <f>Bedplan!O21</f>
        <v>0</v>
      </c>
      <c r="AT112" t="str">
        <f>Bedplan!P21</f>
        <v>-</v>
      </c>
    </row>
    <row r="113" spans="1:59" hidden="1">
      <c r="A113" t="str">
        <f>'[1]Front Sheet and Checklist'!$C$5</f>
        <v>(please select from drop down)</v>
      </c>
      <c r="B113" t="s">
        <v>9</v>
      </c>
      <c r="C113" t="s">
        <v>9</v>
      </c>
      <c r="D113" t="str">
        <f>Bedplan!B22</f>
        <v>Total Core Bed Capacity</v>
      </c>
      <c r="F113" t="str">
        <f>Bedplan!C22</f>
        <v>Total of the above categories to show core bed capacity of organisations</v>
      </c>
      <c r="AH113">
        <f>Bedplan!D22</f>
        <v>1066</v>
      </c>
      <c r="AI113">
        <f>Bedplan!E22</f>
        <v>1085</v>
      </c>
      <c r="AJ113">
        <f>Bedplan!F22</f>
        <v>1101</v>
      </c>
      <c r="AK113">
        <f>Bedplan!G22</f>
        <v>1101</v>
      </c>
      <c r="AL113">
        <f>Bedplan!H22</f>
        <v>1101</v>
      </c>
      <c r="AN113">
        <f>Bedplan!I22</f>
        <v>355</v>
      </c>
      <c r="AO113">
        <f>Bedplan!J22</f>
        <v>355</v>
      </c>
      <c r="AP113">
        <f>Bedplan!K22</f>
        <v>355</v>
      </c>
      <c r="AQ113">
        <f>Bedplan!M22</f>
        <v>1246</v>
      </c>
      <c r="AR113">
        <f>Bedplan!N22</f>
        <v>0</v>
      </c>
      <c r="AS113">
        <f>Bedplan!O22</f>
        <v>488</v>
      </c>
      <c r="AT113">
        <f>Bedplan!P22</f>
        <v>1299</v>
      </c>
    </row>
    <row r="114" spans="1:59" hidden="1">
      <c r="A114" t="str">
        <f>'[1]Front Sheet and Checklist'!$C$5</f>
        <v>(please select from drop down)</v>
      </c>
      <c r="B114" t="s">
        <v>9</v>
      </c>
      <c r="C114" t="s">
        <v>9</v>
      </c>
      <c r="D114">
        <f>Bedplan!B23</f>
        <v>0</v>
      </c>
      <c r="F114">
        <f>Bedplan!C23</f>
        <v>0</v>
      </c>
      <c r="AH114">
        <f>Bedplan!D23</f>
        <v>0</v>
      </c>
      <c r="AI114">
        <f>Bedplan!E23</f>
        <v>0</v>
      </c>
      <c r="AJ114">
        <f>Bedplan!F23</f>
        <v>0</v>
      </c>
      <c r="AK114">
        <f>Bedplan!G23</f>
        <v>0</v>
      </c>
      <c r="AL114">
        <f>Bedplan!H23</f>
        <v>0</v>
      </c>
      <c r="AN114">
        <f>Bedplan!I23</f>
        <v>0</v>
      </c>
      <c r="AO114">
        <f>Bedplan!J23</f>
        <v>0</v>
      </c>
      <c r="AP114">
        <f>Bedplan!K23</f>
        <v>0</v>
      </c>
      <c r="AQ114">
        <f>Bedplan!M23</f>
        <v>0</v>
      </c>
      <c r="AR114">
        <f>Bedplan!N23</f>
        <v>0</v>
      </c>
      <c r="AS114">
        <f>Bedplan!O23</f>
        <v>0</v>
      </c>
      <c r="AT114">
        <f>Bedplan!P23</f>
        <v>0</v>
      </c>
    </row>
    <row r="115" spans="1:59" hidden="1">
      <c r="A115" t="str">
        <f>'[1]Front Sheet and Checklist'!$C$5</f>
        <v>(please select from drop down)</v>
      </c>
      <c r="B115" t="s">
        <v>9</v>
      </c>
      <c r="C115" t="s">
        <v>9</v>
      </c>
      <c r="D115" t="str">
        <f>Bedplan!B24</f>
        <v>Additional Seasonal Beds</v>
      </c>
      <c r="F115" t="str">
        <f>Bedplan!C24</f>
        <v>Additional beds planned to be open for seasonal period (Winter 22/23) above core</v>
      </c>
      <c r="AH115">
        <f>Bedplan!D24</f>
        <v>0</v>
      </c>
      <c r="AI115">
        <f>Bedplan!E24</f>
        <v>0</v>
      </c>
      <c r="AJ115">
        <f>Bedplan!F24</f>
        <v>0</v>
      </c>
      <c r="AK115">
        <f>Bedplan!G24</f>
        <v>0</v>
      </c>
      <c r="AL115">
        <f>Bedplan!H24</f>
        <v>0</v>
      </c>
      <c r="AN115">
        <f>Bedplan!I24</f>
        <v>0</v>
      </c>
      <c r="AO115">
        <f>Bedplan!J24</f>
        <v>0</v>
      </c>
      <c r="AP115">
        <f>Bedplan!K24</f>
        <v>0</v>
      </c>
      <c r="AQ115">
        <f>Bedplan!M24</f>
        <v>0</v>
      </c>
      <c r="AR115">
        <f>Bedplan!N24</f>
        <v>0</v>
      </c>
      <c r="AS115">
        <f>Bedplan!O24</f>
        <v>0</v>
      </c>
      <c r="AT115" t="str">
        <f>Bedplan!P24</f>
        <v>-</v>
      </c>
    </row>
    <row r="116" spans="1:59" hidden="1">
      <c r="A116" t="str">
        <f>'[1]Front Sheet and Checklist'!$C$5</f>
        <v>(please select from drop down)</v>
      </c>
      <c r="B116" t="s">
        <v>9</v>
      </c>
      <c r="C116" t="s">
        <v>9</v>
      </c>
      <c r="D116" t="str">
        <f>Bedplan!B25</f>
        <v>TOTAL</v>
      </c>
      <c r="F116">
        <f>Bedplan!C25</f>
        <v>0</v>
      </c>
      <c r="AH116">
        <f>Bedplan!D25</f>
        <v>1066</v>
      </c>
      <c r="AI116">
        <f>Bedplan!E25</f>
        <v>1085</v>
      </c>
      <c r="AJ116">
        <f>Bedplan!F25</f>
        <v>1101</v>
      </c>
      <c r="AK116">
        <f>Bedplan!G25</f>
        <v>1101</v>
      </c>
      <c r="AL116">
        <f>Bedplan!H25</f>
        <v>1101</v>
      </c>
      <c r="AN116">
        <f>Bedplan!I25</f>
        <v>355</v>
      </c>
      <c r="AO116">
        <f>Bedplan!J25</f>
        <v>355</v>
      </c>
      <c r="AP116">
        <f>Bedplan!K25</f>
        <v>355</v>
      </c>
      <c r="AQ116">
        <f>Bedplan!M25</f>
        <v>1246</v>
      </c>
      <c r="AR116">
        <f>Bedplan!N25</f>
        <v>0</v>
      </c>
      <c r="AS116">
        <f>Bedplan!O25</f>
        <v>488</v>
      </c>
      <c r="AT116">
        <f>Bedplan!P25</f>
        <v>1299</v>
      </c>
    </row>
    <row r="117" spans="1:59" hidden="1">
      <c r="A117" t="str">
        <f>'[1]Front Sheet and Checklist'!$C$5</f>
        <v>(please select from drop down)</v>
      </c>
      <c r="B117" t="s">
        <v>9</v>
      </c>
      <c r="C117" t="s">
        <v>9</v>
      </c>
      <c r="D117">
        <f>Bedplan!B26</f>
        <v>0</v>
      </c>
      <c r="F117">
        <f>Bedplan!C26</f>
        <v>0</v>
      </c>
      <c r="AH117">
        <f>Bedplan!D26</f>
        <v>0</v>
      </c>
      <c r="AI117">
        <f>Bedplan!E26</f>
        <v>0</v>
      </c>
      <c r="AJ117">
        <f>Bedplan!F26</f>
        <v>0</v>
      </c>
      <c r="AK117">
        <f>Bedplan!G26</f>
        <v>0</v>
      </c>
      <c r="AL117">
        <f>Bedplan!H26</f>
        <v>0</v>
      </c>
      <c r="AN117">
        <f>Bedplan!I26</f>
        <v>0</v>
      </c>
      <c r="AO117">
        <f>Bedplan!J26</f>
        <v>0</v>
      </c>
      <c r="AP117">
        <f>Bedplan!K26</f>
        <v>0</v>
      </c>
      <c r="AQ117">
        <f>Bedplan!M26</f>
        <v>0</v>
      </c>
      <c r="AR117">
        <f>Bedplan!N26</f>
        <v>0</v>
      </c>
      <c r="AS117">
        <f>Bedplan!O26</f>
        <v>0</v>
      </c>
      <c r="AT117">
        <f>Bedplan!P26</f>
        <v>0</v>
      </c>
    </row>
    <row r="118" spans="1:59" hidden="1">
      <c r="A118" t="str">
        <f>'[1]Front Sheet and Checklist'!$C$5</f>
        <v>(please select from drop down)</v>
      </c>
      <c r="B118" t="s">
        <v>9</v>
      </c>
      <c r="C118" t="s">
        <v>9</v>
      </c>
      <c r="D118" t="str">
        <f>Bedplan!B27</f>
        <v> </v>
      </c>
      <c r="F118">
        <f>Bedplan!C27</f>
        <v>0</v>
      </c>
      <c r="AH118" t="str">
        <f>Bedplan!D27</f>
        <v>PROFILE @ END OF QUARTER</v>
      </c>
      <c r="AI118">
        <f>Bedplan!E27</f>
        <v>0</v>
      </c>
      <c r="AJ118">
        <f>Bedplan!F27</f>
        <v>0</v>
      </c>
      <c r="AK118">
        <f>Bedplan!G27</f>
        <v>0</v>
      </c>
      <c r="AL118">
        <f>Bedplan!H27</f>
        <v>0</v>
      </c>
      <c r="AN118">
        <f>Bedplan!I27</f>
        <v>0</v>
      </c>
      <c r="AO118">
        <f>Bedplan!J27</f>
        <v>0</v>
      </c>
      <c r="AP118">
        <f>Bedplan!K27</f>
        <v>0</v>
      </c>
      <c r="AQ118">
        <f>Bedplan!M27</f>
        <v>0</v>
      </c>
      <c r="AR118">
        <f>Bedplan!N27</f>
        <v>0</v>
      </c>
      <c r="AS118">
        <f>Bedplan!O27</f>
        <v>0</v>
      </c>
      <c r="AT118">
        <f>Bedplan!P27</f>
        <v>0</v>
      </c>
    </row>
    <row r="119" spans="1:59" hidden="1">
      <c r="A119" t="str">
        <f>'[1]Front Sheet and Checklist'!$C$5</f>
        <v>(please select from drop down)</v>
      </c>
      <c r="B119" t="s">
        <v>9</v>
      </c>
      <c r="C119" t="s">
        <v>9</v>
      </c>
      <c r="D119" t="str">
        <f>Bedplan!B28</f>
        <v> </v>
      </c>
      <c r="F119">
        <f>Bedplan!C28</f>
        <v>0</v>
      </c>
      <c r="AH119" t="str">
        <f>Bedplan!D28</f>
        <v>Actual as @ 31/3/2023</v>
      </c>
      <c r="AI119" t="str">
        <f>Bedplan!E28</f>
        <v>Forecast as @ 31/03/2024</v>
      </c>
      <c r="AJ119" t="str">
        <f>Bedplan!F28</f>
        <v>Q1 Plan 30/6/24</v>
      </c>
      <c r="AK119" t="str">
        <f>Bedplan!G28</f>
        <v>Q2 Plan 30/9/24</v>
      </c>
      <c r="AL119" t="str">
        <f>Bedplan!H28</f>
        <v>Q3 Plan 31/12/24</v>
      </c>
      <c r="AN119" t="str">
        <f>Bedplan!I28</f>
        <v>Q4 Plan @ 31/03/2025</v>
      </c>
      <c r="AO119" t="str">
        <f>Bedplan!J28</f>
        <v>Plan End 2025/26</v>
      </c>
      <c r="AP119" t="str">
        <f>Bedplan!K28</f>
        <v>Plan End 2026/27</v>
      </c>
      <c r="AQ119" t="str">
        <f>Bedplan!M28</f>
        <v>Q1 Actual 30/6/24</v>
      </c>
      <c r="AR119" t="str">
        <f>Bedplan!N28</f>
        <v>Q2 Actual 30/6/24</v>
      </c>
      <c r="AS119" t="str">
        <f>Bedplan!O28</f>
        <v>Q3 Actual 31/12/24</v>
      </c>
      <c r="AT119" t="str">
        <f>Bedplan!P28</f>
        <v>Q4 Actual @ 31/03/2025</v>
      </c>
    </row>
    <row r="120" spans="1:59" hidden="1">
      <c r="A120" t="str">
        <f>'[1]Front Sheet and Checklist'!$C$5</f>
        <v>(please select from drop down)</v>
      </c>
      <c r="B120" t="s">
        <v>9</v>
      </c>
      <c r="C120" t="s">
        <v>9</v>
      </c>
      <c r="D120">
        <f>Bedplan!B29</f>
        <v>0</v>
      </c>
      <c r="F120">
        <f>Bedplan!C29</f>
        <v>0</v>
      </c>
      <c r="AH120">
        <f>Bedplan!D29</f>
        <v>0</v>
      </c>
      <c r="AI120">
        <f>Bedplan!E29</f>
        <v>0</v>
      </c>
      <c r="AJ120">
        <f>Bedplan!F29</f>
        <v>0</v>
      </c>
      <c r="AK120">
        <f>Bedplan!G29</f>
        <v>0</v>
      </c>
      <c r="AL120">
        <f>Bedplan!H29</f>
        <v>0</v>
      </c>
      <c r="AN120">
        <f>Bedplan!I29</f>
        <v>0</v>
      </c>
      <c r="AO120">
        <f>Bedplan!J29</f>
        <v>0</v>
      </c>
      <c r="AP120">
        <f>Bedplan!K29</f>
        <v>0</v>
      </c>
      <c r="AQ120">
        <f>Bedplan!M29</f>
        <v>0</v>
      </c>
      <c r="AR120">
        <f>Bedplan!N29</f>
        <v>0</v>
      </c>
      <c r="AS120">
        <f>Bedplan!O29</f>
        <v>0</v>
      </c>
      <c r="AT120">
        <f>Bedplan!P29</f>
        <v>0</v>
      </c>
    </row>
    <row r="121" spans="1:59" hidden="1">
      <c r="A121" t="str">
        <f>'[1]Front Sheet and Checklist'!$C$5</f>
        <v>(please select from drop down)</v>
      </c>
      <c r="B121" t="s">
        <v>9</v>
      </c>
      <c r="C121" t="s">
        <v>9</v>
      </c>
      <c r="D121" t="str">
        <f>Bedplan!B30</f>
        <v>No OF BEDS OCCUPIED</v>
      </c>
      <c r="F121">
        <f>Bedplan!C30</f>
        <v>0</v>
      </c>
      <c r="AH121">
        <f>Bedplan!D30</f>
        <v>0</v>
      </c>
      <c r="AI121">
        <f>Bedplan!E30</f>
        <v>0</v>
      </c>
      <c r="AJ121">
        <f>Bedplan!F30</f>
        <v>0</v>
      </c>
      <c r="AK121">
        <f>Bedplan!G30</f>
        <v>0</v>
      </c>
      <c r="AL121">
        <f>Bedplan!H30</f>
        <v>0</v>
      </c>
      <c r="AN121">
        <f>Bedplan!I30</f>
        <v>0</v>
      </c>
      <c r="AO121">
        <f>Bedplan!J30</f>
        <v>0</v>
      </c>
      <c r="AP121">
        <f>Bedplan!K30</f>
        <v>0</v>
      </c>
      <c r="AQ121">
        <f>Bedplan!M30</f>
        <v>0</v>
      </c>
      <c r="AR121">
        <f>Bedplan!N30</f>
        <v>0</v>
      </c>
      <c r="AS121">
        <f>Bedplan!O30</f>
        <v>0</v>
      </c>
      <c r="AT121">
        <f>Bedplan!P30</f>
        <v>0</v>
      </c>
    </row>
    <row r="122" spans="1:59" hidden="1">
      <c r="A122" t="str">
        <f>'[1]Front Sheet and Checklist'!$C$5</f>
        <v>(please select from drop down)</v>
      </c>
      <c r="B122" t="s">
        <v>9</v>
      </c>
      <c r="C122" t="s">
        <v>9</v>
      </c>
      <c r="D122">
        <f>Bedplan!B31</f>
        <v>0</v>
      </c>
      <c r="F122">
        <f>Bedplan!C31</f>
        <v>0</v>
      </c>
      <c r="AH122">
        <f>Bedplan!D31</f>
        <v>0</v>
      </c>
      <c r="AI122">
        <f>Bedplan!E31</f>
        <v>0</v>
      </c>
      <c r="AJ122">
        <f>Bedplan!F31</f>
        <v>0</v>
      </c>
      <c r="AK122">
        <f>Bedplan!G31</f>
        <v>0</v>
      </c>
      <c r="AL122">
        <f>Bedplan!H31</f>
        <v>0</v>
      </c>
      <c r="AN122">
        <f>Bedplan!I31</f>
        <v>0</v>
      </c>
      <c r="AO122">
        <f>Bedplan!J31</f>
        <v>0</v>
      </c>
      <c r="AP122">
        <f>Bedplan!K31</f>
        <v>0</v>
      </c>
      <c r="AQ122">
        <f>Bedplan!M31</f>
        <v>0</v>
      </c>
      <c r="AR122">
        <f>Bedplan!N31</f>
        <v>0</v>
      </c>
      <c r="AS122">
        <f>Bedplan!O31</f>
        <v>0</v>
      </c>
      <c r="AT122">
        <f>Bedplan!P31</f>
        <v>0</v>
      </c>
    </row>
    <row r="123" spans="1:59" hidden="1">
      <c r="A123" t="str">
        <f>'[1]Front Sheet and Checklist'!$C$5</f>
        <v>(please select from drop down)</v>
      </c>
      <c r="B123" t="s">
        <v>9</v>
      </c>
      <c r="C123" t="s">
        <v>9</v>
      </c>
      <c r="D123" t="str">
        <f>Bedplan!B32</f>
        <v>PATIENT DISCHARGE DELAYS</v>
      </c>
      <c r="F123">
        <f>Bedplan!C32</f>
        <v>0</v>
      </c>
      <c r="AH123">
        <f>Bedplan!D32</f>
        <v>0</v>
      </c>
      <c r="AI123">
        <f>Bedplan!E32</f>
        <v>0</v>
      </c>
      <c r="AJ123">
        <f>Bedplan!F32</f>
        <v>0</v>
      </c>
      <c r="AK123">
        <f>Bedplan!G32</f>
        <v>0</v>
      </c>
      <c r="AL123">
        <f>Bedplan!H32</f>
        <v>0</v>
      </c>
      <c r="AN123">
        <f>Bedplan!I32</f>
        <v>0</v>
      </c>
      <c r="AO123">
        <f>Bedplan!J32</f>
        <v>0</v>
      </c>
      <c r="AP123">
        <f>Bedplan!K32</f>
        <v>0</v>
      </c>
      <c r="AQ123">
        <f>Bedplan!M32</f>
        <v>0</v>
      </c>
      <c r="AR123">
        <f>Bedplan!N32</f>
        <v>0</v>
      </c>
      <c r="AS123">
        <f>Bedplan!O32</f>
        <v>0</v>
      </c>
      <c r="AT123">
        <f>Bedplan!P32</f>
        <v>0</v>
      </c>
    </row>
    <row r="124" spans="1:59" hidden="1">
      <c r="A124" t="str">
        <f>'[1]Front Sheet and Checklist'!$C$5</f>
        <v>(please select from drop down)</v>
      </c>
      <c r="B124" t="s">
        <v>9</v>
      </c>
      <c r="C124" t="s">
        <v>9</v>
      </c>
      <c r="D124" t="str">
        <f>Bedplan!B33</f>
        <v>Number of Delayed Discharges</v>
      </c>
      <c r="F124" t="str">
        <f>Bedplan!C33</f>
        <v xml:space="preserve">Number of delayed discharges from locally determined data sources* on delays.  </v>
      </c>
      <c r="AH124">
        <f>Bedplan!D33</f>
        <v>0</v>
      </c>
      <c r="AI124" t="str">
        <f>Bedplan!E33</f>
        <v xml:space="preserve">2,519
</v>
      </c>
      <c r="AJ124">
        <f>Bedplan!F33</f>
        <v>0</v>
      </c>
      <c r="AK124">
        <f>Bedplan!G33</f>
        <v>0</v>
      </c>
      <c r="AL124">
        <f>Bedplan!H33</f>
        <v>0</v>
      </c>
      <c r="AN124">
        <f>Bedplan!I33</f>
        <v>0</v>
      </c>
      <c r="AO124">
        <f>Bedplan!J33</f>
        <v>0</v>
      </c>
      <c r="AP124">
        <f>Bedplan!K33</f>
        <v>0</v>
      </c>
      <c r="AQ124">
        <f>Bedplan!M33</f>
        <v>64</v>
      </c>
      <c r="AR124">
        <f>Bedplan!N33</f>
        <v>125</v>
      </c>
      <c r="AS124">
        <f>Bedplan!O33</f>
        <v>61</v>
      </c>
      <c r="AT124">
        <f>Bedplan!P33</f>
        <v>100</v>
      </c>
    </row>
    <row r="125" spans="1:59" hidden="1">
      <c r="A125" t="str">
        <f>'[1]Front Sheet and Checklist'!$C$5</f>
        <v>(please select from drop down)</v>
      </c>
      <c r="B125" t="s">
        <v>9</v>
      </c>
      <c r="C125" t="s">
        <v>9</v>
      </c>
      <c r="D125" t="str">
        <f>Bedplan!B34</f>
        <v>Impact on available bed numbers</v>
      </c>
      <c r="F125" t="str">
        <f>Bedplan!C34</f>
        <v>Beds occupied by patients classed as delays as a percentage of total available beds</v>
      </c>
      <c r="AH125">
        <f>Bedplan!D34</f>
        <v>0</v>
      </c>
      <c r="AI125">
        <f>Bedplan!E34</f>
        <v>0</v>
      </c>
      <c r="AJ125">
        <f>Bedplan!F34</f>
        <v>0</v>
      </c>
      <c r="AK125">
        <f>Bedplan!G34</f>
        <v>0</v>
      </c>
      <c r="AL125">
        <f>Bedplan!H34</f>
        <v>0</v>
      </c>
      <c r="AN125">
        <f>Bedplan!I34</f>
        <v>0</v>
      </c>
      <c r="AO125">
        <f>Bedplan!J34</f>
        <v>0</v>
      </c>
      <c r="AP125">
        <f>Bedplan!K34</f>
        <v>0</v>
      </c>
      <c r="AQ125">
        <f>Bedplan!M34</f>
        <v>0</v>
      </c>
      <c r="AR125">
        <f>Bedplan!N34</f>
        <v>0</v>
      </c>
      <c r="AS125">
        <f>Bedplan!O34</f>
        <v>0</v>
      </c>
      <c r="AT125">
        <f>Bedplan!P34</f>
        <v>0</v>
      </c>
    </row>
    <row r="126" spans="1:59" hidden="1">
      <c r="A126" t="str">
        <f>'[1]Front Sheet and Checklist'!$C$5</f>
        <v>(please select from drop down)</v>
      </c>
      <c r="B126" t="s">
        <v>12</v>
      </c>
      <c r="C126" t="s">
        <v>12</v>
      </c>
      <c r="F126" t="str">
        <f>'CHC &amp; FNC'!B9</f>
        <v>CHC and FNC PATIENT NUMBERS supported at period end (including Fast Tracks and Joint Funded packages)</v>
      </c>
      <c r="AH126">
        <f>'CHC &amp; FNC'!C9</f>
        <v>0</v>
      </c>
      <c r="AI126">
        <f>'CHC &amp; FNC'!D9</f>
        <v>0</v>
      </c>
      <c r="AJ126">
        <f>'CHC &amp; FNC'!I9</f>
        <v>0</v>
      </c>
      <c r="AK126">
        <f>'CHC &amp; FNC'!J9</f>
        <v>0</v>
      </c>
      <c r="AL126">
        <f>'CHC &amp; FNC'!K9</f>
        <v>0</v>
      </c>
      <c r="AM126">
        <f>'CHC &amp; FNC'!L9</f>
        <v>0</v>
      </c>
      <c r="AN126">
        <f>'CHC &amp; FNC'!E9</f>
        <v>0</v>
      </c>
      <c r="AO126">
        <f>'CHC &amp; FNC'!F9</f>
        <v>0</v>
      </c>
      <c r="AP126">
        <f>'CHC &amp; FNC'!G9</f>
        <v>0</v>
      </c>
      <c r="AQ126">
        <f>'CHC &amp; FNC'!N9</f>
        <v>0</v>
      </c>
      <c r="AR126">
        <f>'CHC &amp; FNC'!O9</f>
        <v>0</v>
      </c>
      <c r="AS126">
        <f>'CHC &amp; FNC'!P9</f>
        <v>0</v>
      </c>
      <c r="AT126">
        <f>'CHC &amp; FNC'!Q9</f>
        <v>0</v>
      </c>
    </row>
    <row r="127" spans="1:59" hidden="1">
      <c r="A127" t="str">
        <f>'[1]Front Sheet and Checklist'!$C$5</f>
        <v>(please select from drop down)</v>
      </c>
      <c r="B127" t="s">
        <v>241</v>
      </c>
      <c r="C127" t="s">
        <v>241</v>
      </c>
      <c r="F127" t="str">
        <f>'Cancer Care Activity'!B11</f>
        <v>Anticipated new referrals</v>
      </c>
      <c r="G127">
        <f>'Cancer Care Activity'!I11</f>
        <v>1800</v>
      </c>
      <c r="H127">
        <f>'Cancer Care Activity'!J11</f>
        <v>2000</v>
      </c>
      <c r="I127">
        <f>'Cancer Care Activity'!K11</f>
        <v>2000</v>
      </c>
      <c r="J127">
        <f>'Cancer Care Activity'!L11</f>
        <v>2000</v>
      </c>
      <c r="K127">
        <f>'Cancer Care Activity'!M11</f>
        <v>2000</v>
      </c>
      <c r="L127">
        <f>'Cancer Care Activity'!N11</f>
        <v>1900</v>
      </c>
      <c r="M127">
        <f>'Cancer Care Activity'!O11</f>
        <v>1900</v>
      </c>
      <c r="N127">
        <f>'Cancer Care Activity'!P11</f>
        <v>1700</v>
      </c>
      <c r="O127">
        <f>'Cancer Care Activity'!Q11</f>
        <v>1600</v>
      </c>
      <c r="P127">
        <f>'Cancer Care Activity'!R11</f>
        <v>1700</v>
      </c>
      <c r="Q127">
        <f>'Cancer Care Activity'!S11</f>
        <v>1700</v>
      </c>
      <c r="R127">
        <f>'Cancer Care Activity'!T11</f>
        <v>1700</v>
      </c>
      <c r="AH127">
        <f>'Cancer Care Activity'!C11</f>
        <v>23797</v>
      </c>
      <c r="AI127">
        <f>'Cancer Care Activity'!D11</f>
        <v>23500</v>
      </c>
      <c r="AJ127">
        <f>'Cancer Care Activity'!E11</f>
        <v>22000</v>
      </c>
      <c r="AK127">
        <f>'Cancer Care Activity'!F11</f>
        <v>0</v>
      </c>
      <c r="AL127">
        <f>'Cancer Care Activity'!G11</f>
        <v>0</v>
      </c>
      <c r="AV127">
        <f>'Cancer Care Activity'!V11</f>
        <v>2397</v>
      </c>
      <c r="AW127">
        <f>'Cancer Care Activity'!W11</f>
        <v>2426</v>
      </c>
      <c r="AX127">
        <f>'Cancer Care Activity'!X11</f>
        <v>2116</v>
      </c>
      <c r="AY127">
        <f>'Cancer Care Activity'!Y11</f>
        <v>2274</v>
      </c>
      <c r="AZ127">
        <f>'Cancer Care Activity'!Z11</f>
        <v>2029</v>
      </c>
      <c r="BA127">
        <f>'Cancer Care Activity'!AA11</f>
        <v>2125</v>
      </c>
      <c r="BB127">
        <f>'Cancer Care Activity'!AB11</f>
        <v>2354</v>
      </c>
      <c r="BC127">
        <f>'Cancer Care Activity'!AC11</f>
        <v>2073</v>
      </c>
      <c r="BD127">
        <f>'Cancer Care Activity'!AD11</f>
        <v>1698</v>
      </c>
      <c r="BE127">
        <f>'Cancer Care Activity'!AE11</f>
        <v>2195</v>
      </c>
      <c r="BF127">
        <f>'Cancer Care Activity'!AF11</f>
        <v>2035</v>
      </c>
      <c r="BG127">
        <f>'Cancer Care Activity'!AG11</f>
        <v>2127</v>
      </c>
    </row>
    <row r="128" spans="1:59" hidden="1">
      <c r="A128" t="str">
        <f>'[1]Front Sheet and Checklist'!$C$5</f>
        <v>(please select from drop down)</v>
      </c>
      <c r="B128" t="s">
        <v>241</v>
      </c>
      <c r="C128" t="s">
        <v>241</v>
      </c>
      <c r="F128" t="str">
        <f>'Cancer Care Activity'!B12</f>
        <v>Planned % compliance with single cancer pathways performance</v>
      </c>
      <c r="G128">
        <f>'Cancer Care Activity'!I12</f>
        <v>0.51</v>
      </c>
      <c r="H128">
        <f>'Cancer Care Activity'!J12</f>
        <v>0.54</v>
      </c>
      <c r="I128">
        <f>'Cancer Care Activity'!K12</f>
        <v>0.56999999999999995</v>
      </c>
      <c r="J128">
        <f>'Cancer Care Activity'!L12</f>
        <v>0.57999999999999996</v>
      </c>
      <c r="K128">
        <f>'Cancer Care Activity'!M12</f>
        <v>0.59</v>
      </c>
      <c r="L128">
        <f>'Cancer Care Activity'!N12</f>
        <v>0.6</v>
      </c>
      <c r="M128">
        <f>'Cancer Care Activity'!O12</f>
        <v>0.62</v>
      </c>
      <c r="N128">
        <f>'Cancer Care Activity'!P12</f>
        <v>0.64</v>
      </c>
      <c r="O128">
        <f>'Cancer Care Activity'!Q12</f>
        <v>0.65</v>
      </c>
      <c r="P128">
        <f>'Cancer Care Activity'!R12</f>
        <v>0.66</v>
      </c>
      <c r="Q128">
        <f>'Cancer Care Activity'!S12</f>
        <v>0.68</v>
      </c>
      <c r="R128">
        <f>'Cancer Care Activity'!T12</f>
        <v>0.7</v>
      </c>
      <c r="AH128">
        <f>'Cancer Care Activity'!C12</f>
        <v>0.52</v>
      </c>
      <c r="AI128">
        <f>'Cancer Care Activity'!D12</f>
        <v>0.5</v>
      </c>
      <c r="AJ128">
        <f>'Cancer Care Activity'!E12</f>
        <v>0.61166666666666669</v>
      </c>
      <c r="AK128">
        <f>'Cancer Care Activity'!F12</f>
        <v>0</v>
      </c>
      <c r="AL128">
        <f>'Cancer Care Activity'!G12</f>
        <v>0</v>
      </c>
      <c r="AV128">
        <f>'Cancer Care Activity'!V12</f>
        <v>0.6</v>
      </c>
      <c r="AW128">
        <f>'Cancer Care Activity'!W12</f>
        <v>0.6</v>
      </c>
      <c r="AX128">
        <f>'Cancer Care Activity'!X12</f>
        <v>0.6</v>
      </c>
      <c r="AY128">
        <f>'Cancer Care Activity'!Y12</f>
        <v>0.6</v>
      </c>
      <c r="AZ128">
        <f>'Cancer Care Activity'!Z12</f>
        <v>0.6</v>
      </c>
      <c r="BA128">
        <f>'Cancer Care Activity'!AA12</f>
        <v>0.6</v>
      </c>
      <c r="BB128">
        <f>'Cancer Care Activity'!AB12</f>
        <v>0.56000000000000005</v>
      </c>
      <c r="BC128">
        <f>'Cancer Care Activity'!AC12</f>
        <v>0.66</v>
      </c>
      <c r="BD128">
        <f>'Cancer Care Activity'!AD12</f>
        <v>0.63</v>
      </c>
      <c r="BE128">
        <f>'Cancer Care Activity'!AE12</f>
        <v>0.52</v>
      </c>
      <c r="BF128">
        <f>'Cancer Care Activity'!AF12</f>
        <v>0.56000000000000005</v>
      </c>
      <c r="BG128">
        <f>'Cancer Care Activity'!AG12</f>
        <v>0.62</v>
      </c>
    </row>
    <row r="129" spans="1:59" hidden="1">
      <c r="A129" t="str">
        <f>'[1]Front Sheet and Checklist'!$C$5</f>
        <v>(please select from drop down)</v>
      </c>
      <c r="B129" t="s">
        <v>241</v>
      </c>
      <c r="C129" t="s">
        <v>241</v>
      </c>
      <c r="F129" t="str">
        <f>'Cancer Care Activity'!B13</f>
        <v>Planned % reduction in backlog of those patients wating over 62 days</v>
      </c>
      <c r="G129">
        <f>'Cancer Care Activity'!I13</f>
        <v>1.8</v>
      </c>
      <c r="H129">
        <f>'Cancer Care Activity'!J13</f>
        <v>1.8</v>
      </c>
      <c r="I129">
        <f>'Cancer Care Activity'!K13</f>
        <v>1.7</v>
      </c>
      <c r="J129">
        <f>'Cancer Care Activity'!L13</f>
        <v>1.7</v>
      </c>
      <c r="K129">
        <f>'Cancer Care Activity'!M13</f>
        <v>1.5</v>
      </c>
      <c r="L129">
        <f>'Cancer Care Activity'!N13</f>
        <v>1.7</v>
      </c>
      <c r="M129">
        <f>'Cancer Care Activity'!O13</f>
        <v>1.5</v>
      </c>
      <c r="N129">
        <f>'Cancer Care Activity'!P13</f>
        <v>1.4</v>
      </c>
      <c r="O129">
        <f>'Cancer Care Activity'!Q13</f>
        <v>1.3</v>
      </c>
      <c r="P129">
        <f>'Cancer Care Activity'!R13</f>
        <v>1.2</v>
      </c>
      <c r="Q129">
        <f>'Cancer Care Activity'!S13</f>
        <v>1.1000000000000001</v>
      </c>
      <c r="R129">
        <f>'Cancer Care Activity'!T13</f>
        <v>1</v>
      </c>
      <c r="AH129">
        <f>'Cancer Care Activity'!C13</f>
        <v>0.41</v>
      </c>
      <c r="AI129">
        <f>'Cancer Care Activity'!D13</f>
        <v>0.09</v>
      </c>
      <c r="AJ129">
        <f>'Cancer Care Activity'!E13</f>
        <v>1.4749999999999999</v>
      </c>
      <c r="AK129">
        <f>'Cancer Care Activity'!F13</f>
        <v>0</v>
      </c>
      <c r="AL129">
        <f>'Cancer Care Activity'!G13</f>
        <v>0</v>
      </c>
      <c r="AV129">
        <f>'Cancer Care Activity'!V13</f>
        <v>-3.3500000000000002E-2</v>
      </c>
      <c r="AW129">
        <f>'Cancer Care Activity'!W13</f>
        <v>0.17330000000000001</v>
      </c>
      <c r="AX129">
        <f>'Cancer Care Activity'!X13</f>
        <v>-3.3799999999999997E-2</v>
      </c>
      <c r="AY129">
        <f>'Cancer Care Activity'!Y13</f>
        <v>0.192</v>
      </c>
      <c r="AZ129">
        <f>'Cancer Care Activity'!Z13</f>
        <v>0.1172</v>
      </c>
      <c r="BA129">
        <f>'Cancer Care Activity'!AA13</f>
        <v>0.115</v>
      </c>
      <c r="BB129">
        <f>'Cancer Care Activity'!AB13</f>
        <v>-0.106</v>
      </c>
      <c r="BC129">
        <f>'Cancer Care Activity'!AC13</f>
        <v>-0.125</v>
      </c>
      <c r="BD129">
        <f>'Cancer Care Activity'!AD13</f>
        <v>0.27500000000000002</v>
      </c>
      <c r="BE129">
        <f>'Cancer Care Activity'!AE13</f>
        <v>-0.26800000000000002</v>
      </c>
      <c r="BF129">
        <f>'Cancer Care Activity'!AF13</f>
        <v>-0.182</v>
      </c>
      <c r="BG129">
        <f>'Cancer Care Activity'!AG13</f>
        <v>1.4999999999999999E-2</v>
      </c>
    </row>
    <row r="130" spans="1:59" hidden="1">
      <c r="A130" t="str">
        <f>'[1]Front Sheet and Checklist'!$C$5</f>
        <v>(please select from drop down)</v>
      </c>
      <c r="B130" t="s">
        <v>241</v>
      </c>
      <c r="C130" t="s">
        <v>241</v>
      </c>
      <c r="F130" t="str">
        <f>'Cancer Care Activity'!B14</f>
        <v>GP: Urgent Cancer OPD referral numbers</v>
      </c>
      <c r="G130">
        <f>'Cancer Care Activity'!I14</f>
        <v>1500</v>
      </c>
      <c r="H130">
        <f>'Cancer Care Activity'!J14</f>
        <v>1750</v>
      </c>
      <c r="I130">
        <f>'Cancer Care Activity'!K14</f>
        <v>1750</v>
      </c>
      <c r="J130">
        <f>'Cancer Care Activity'!L14</f>
        <v>1750</v>
      </c>
      <c r="K130">
        <f>'Cancer Care Activity'!M14</f>
        <v>1750</v>
      </c>
      <c r="L130">
        <f>'Cancer Care Activity'!N14</f>
        <v>1600</v>
      </c>
      <c r="M130">
        <f>'Cancer Care Activity'!O14</f>
        <v>1600</v>
      </c>
      <c r="N130">
        <f>'Cancer Care Activity'!P14</f>
        <v>1500</v>
      </c>
      <c r="O130">
        <f>'Cancer Care Activity'!Q14</f>
        <v>1450</v>
      </c>
      <c r="P130">
        <f>'Cancer Care Activity'!R14</f>
        <v>1450</v>
      </c>
      <c r="Q130">
        <f>'Cancer Care Activity'!S14</f>
        <v>1450</v>
      </c>
      <c r="R130">
        <f>'Cancer Care Activity'!T14</f>
        <v>1450</v>
      </c>
      <c r="AH130">
        <f>'Cancer Care Activity'!C14</f>
        <v>20625</v>
      </c>
      <c r="AI130">
        <f>'Cancer Care Activity'!D14</f>
        <v>20469</v>
      </c>
      <c r="AJ130">
        <f>'Cancer Care Activity'!E14</f>
        <v>19000</v>
      </c>
      <c r="AK130">
        <f>'Cancer Care Activity'!F14</f>
        <v>0</v>
      </c>
      <c r="AL130">
        <f>'Cancer Care Activity'!G14</f>
        <v>0</v>
      </c>
      <c r="AV130">
        <f>'Cancer Care Activity'!V14</f>
        <v>1975</v>
      </c>
      <c r="AW130">
        <f>'Cancer Care Activity'!W14</f>
        <v>2059</v>
      </c>
      <c r="AX130">
        <f>'Cancer Care Activity'!X14</f>
        <v>1749</v>
      </c>
      <c r="AY130">
        <f>'Cancer Care Activity'!Y14</f>
        <v>1939</v>
      </c>
      <c r="AZ130">
        <f>'Cancer Care Activity'!Z14</f>
        <v>1639</v>
      </c>
      <c r="BA130">
        <f>'Cancer Care Activity'!AA14</f>
        <v>1687</v>
      </c>
      <c r="BB130">
        <f>'Cancer Care Activity'!AB14</f>
        <v>1646</v>
      </c>
      <c r="BC130">
        <f>'Cancer Care Activity'!AC14</f>
        <v>1463</v>
      </c>
      <c r="BD130">
        <f>'Cancer Care Activity'!AD14</f>
        <v>1246</v>
      </c>
      <c r="BE130">
        <f>'Cancer Care Activity'!AE14</f>
        <v>1533</v>
      </c>
      <c r="BF130">
        <f>'Cancer Care Activity'!AF14</f>
        <v>1490</v>
      </c>
      <c r="BG130">
        <f>'Cancer Care Activity'!AG14</f>
        <v>1474</v>
      </c>
    </row>
    <row r="131" spans="1:59" hidden="1">
      <c r="A131" t="str">
        <f>'[1]Front Sheet and Checklist'!$C$5</f>
        <v>(please select from drop down)</v>
      </c>
      <c r="B131" t="s">
        <v>242</v>
      </c>
      <c r="C131" t="str">
        <f>'Unsch.Care &amp; Ambulance Activity'!$B$8</f>
        <v>UNSCHEDULED CARE</v>
      </c>
      <c r="D131" t="str">
        <f>'Unsch.Care &amp; Ambulance Activity'!$B$10</f>
        <v>Unscheduled Care Activity</v>
      </c>
      <c r="F131" t="str">
        <f>'Unsch.Care &amp; Ambulance Activity'!B11</f>
        <v>Total number of patients attending a Type 1 ED</v>
      </c>
      <c r="G131">
        <f>'Unsch.Care &amp; Ambulance Activity'!I11</f>
        <v>6500</v>
      </c>
      <c r="H131">
        <f>'Unsch.Care &amp; Ambulance Activity'!J11</f>
        <v>6500</v>
      </c>
      <c r="I131">
        <f>'Unsch.Care &amp; Ambulance Activity'!K11</f>
        <v>6300</v>
      </c>
      <c r="J131">
        <f>'Unsch.Care &amp; Ambulance Activity'!L11</f>
        <v>6300</v>
      </c>
      <c r="K131">
        <f>'Unsch.Care &amp; Ambulance Activity'!M11</f>
        <v>6200</v>
      </c>
      <c r="L131">
        <f>'Unsch.Care &amp; Ambulance Activity'!N11</f>
        <v>6200</v>
      </c>
      <c r="M131">
        <f>'Unsch.Care &amp; Ambulance Activity'!O11</f>
        <v>6300</v>
      </c>
      <c r="N131">
        <f>'Unsch.Care &amp; Ambulance Activity'!P11</f>
        <v>6400</v>
      </c>
      <c r="O131">
        <f>'Unsch.Care &amp; Ambulance Activity'!Q11</f>
        <v>6400</v>
      </c>
      <c r="P131">
        <f>'Unsch.Care &amp; Ambulance Activity'!R11</f>
        <v>6300</v>
      </c>
      <c r="Q131">
        <f>'Unsch.Care &amp; Ambulance Activity'!S11</f>
        <v>6300</v>
      </c>
      <c r="R131">
        <f>'Unsch.Care &amp; Ambulance Activity'!T11</f>
        <v>6300</v>
      </c>
      <c r="AH131">
        <f>'Unsch.Care &amp; Ambulance Activity'!C11</f>
        <v>77938</v>
      </c>
      <c r="AI131">
        <f>'Unsch.Care &amp; Ambulance Activity'!D11</f>
        <v>83032</v>
      </c>
      <c r="AN131">
        <f>'Unsch.Care &amp; Ambulance Activity'!E11</f>
        <v>76000</v>
      </c>
      <c r="AO131">
        <f>'Unsch.Care &amp; Ambulance Activity'!F11</f>
        <v>0</v>
      </c>
      <c r="AP131">
        <f>'Unsch.Care &amp; Ambulance Activity'!G11</f>
        <v>0</v>
      </c>
      <c r="AV131">
        <f>'Unsch.Care &amp; Ambulance Activity'!V11</f>
        <v>6666</v>
      </c>
      <c r="AW131">
        <f>'Unsch.Care &amp; Ambulance Activity'!W11</f>
        <v>7397</v>
      </c>
      <c r="AX131">
        <f>'Unsch.Care &amp; Ambulance Activity'!X11</f>
        <v>6959</v>
      </c>
      <c r="AY131">
        <f>'Unsch.Care &amp; Ambulance Activity'!Y11</f>
        <v>7621</v>
      </c>
      <c r="AZ131">
        <f>'Unsch.Care &amp; Ambulance Activity'!Z11</f>
        <v>6827</v>
      </c>
      <c r="BA131">
        <f>'Unsch.Care &amp; Ambulance Activity'!AA11</f>
        <v>6941</v>
      </c>
      <c r="BB131">
        <f>'Unsch.Care &amp; Ambulance Activity'!AB11</f>
        <v>7475</v>
      </c>
      <c r="BC131">
        <f>'Unsch.Care &amp; Ambulance Activity'!AC11</f>
        <v>7498</v>
      </c>
      <c r="BD131">
        <f>'Unsch.Care &amp; Ambulance Activity'!AD11</f>
        <v>7507</v>
      </c>
      <c r="BE131">
        <f>'Unsch.Care &amp; Ambulance Activity'!AE11</f>
        <v>6715</v>
      </c>
      <c r="BF131">
        <f>'Unsch.Care &amp; Ambulance Activity'!AF11</f>
        <v>6026</v>
      </c>
      <c r="BG131">
        <f>'Unsch.Care &amp; Ambulance Activity'!AG11</f>
        <v>7165</v>
      </c>
    </row>
    <row r="132" spans="1:59" hidden="1">
      <c r="A132" t="str">
        <f>'[1]Front Sheet and Checklist'!$C$5</f>
        <v>(please select from drop down)</v>
      </c>
      <c r="B132" t="s">
        <v>242</v>
      </c>
      <c r="C132" t="str">
        <f>'Unsch.Care &amp; Ambulance Activity'!$B$8</f>
        <v>UNSCHEDULED CARE</v>
      </c>
      <c r="D132" t="str">
        <f>'Unsch.Care &amp; Ambulance Activity'!$B$10</f>
        <v>Unscheduled Care Activity</v>
      </c>
      <c r="F132" t="str">
        <f>'Unsch.Care &amp; Ambulance Activity'!B12</f>
        <v>Total number of patients attendance at Minor Injury Units</v>
      </c>
      <c r="G132">
        <f>'Unsch.Care &amp; Ambulance Activity'!I12</f>
        <v>4100</v>
      </c>
      <c r="H132">
        <f>'Unsch.Care &amp; Ambulance Activity'!J12</f>
        <v>4200</v>
      </c>
      <c r="I132">
        <f>'Unsch.Care &amp; Ambulance Activity'!K12</f>
        <v>4200</v>
      </c>
      <c r="J132">
        <f>'Unsch.Care &amp; Ambulance Activity'!L12</f>
        <v>4200</v>
      </c>
      <c r="K132">
        <f>'Unsch.Care &amp; Ambulance Activity'!M12</f>
        <v>4100</v>
      </c>
      <c r="L132">
        <f>'Unsch.Care &amp; Ambulance Activity'!N12</f>
        <v>4200</v>
      </c>
      <c r="M132">
        <f>'Unsch.Care &amp; Ambulance Activity'!O12</f>
        <v>4300</v>
      </c>
      <c r="N132">
        <f>'Unsch.Care &amp; Ambulance Activity'!P12</f>
        <v>4350</v>
      </c>
      <c r="O132">
        <f>'Unsch.Care &amp; Ambulance Activity'!Q12</f>
        <v>4400</v>
      </c>
      <c r="P132">
        <f>'Unsch.Care &amp; Ambulance Activity'!R12</f>
        <v>4300</v>
      </c>
      <c r="Q132">
        <f>'Unsch.Care &amp; Ambulance Activity'!S12</f>
        <v>4300</v>
      </c>
      <c r="R132">
        <f>'Unsch.Care &amp; Ambulance Activity'!T12</f>
        <v>4300</v>
      </c>
      <c r="AH132">
        <f>'Unsch.Care &amp; Ambulance Activity'!C12</f>
        <v>47943</v>
      </c>
      <c r="AI132">
        <f>'Unsch.Care &amp; Ambulance Activity'!D12</f>
        <v>49566</v>
      </c>
      <c r="AN132">
        <f>'Unsch.Care &amp; Ambulance Activity'!E12</f>
        <v>50950</v>
      </c>
      <c r="AO132">
        <f>'Unsch.Care &amp; Ambulance Activity'!F12</f>
        <v>0</v>
      </c>
      <c r="AP132">
        <f>'Unsch.Care &amp; Ambulance Activity'!G12</f>
        <v>0</v>
      </c>
      <c r="AV132">
        <f>'Unsch.Care &amp; Ambulance Activity'!V12</f>
        <v>4829</v>
      </c>
      <c r="AW132">
        <f>'Unsch.Care &amp; Ambulance Activity'!W12</f>
        <v>5121</v>
      </c>
      <c r="AX132">
        <f>'Unsch.Care &amp; Ambulance Activity'!X12</f>
        <v>4797</v>
      </c>
      <c r="AY132">
        <f>'Unsch.Care &amp; Ambulance Activity'!Y12</f>
        <v>4769</v>
      </c>
      <c r="AZ132">
        <f>'Unsch.Care &amp; Ambulance Activity'!Z12</f>
        <v>4527</v>
      </c>
      <c r="BA132">
        <f>'Unsch.Care &amp; Ambulance Activity'!AA12</f>
        <v>4692</v>
      </c>
      <c r="BB132">
        <f>'Unsch.Care &amp; Ambulance Activity'!AB12</f>
        <v>4791</v>
      </c>
      <c r="BC132">
        <f>'Unsch.Care &amp; Ambulance Activity'!AC12</f>
        <v>4367</v>
      </c>
      <c r="BD132">
        <f>'Unsch.Care &amp; Ambulance Activity'!AD12</f>
        <v>3714</v>
      </c>
      <c r="BE132">
        <f>'Unsch.Care &amp; Ambulance Activity'!AE12</f>
        <v>4193</v>
      </c>
      <c r="BF132">
        <f>'Unsch.Care &amp; Ambulance Activity'!AF12</f>
        <v>3943</v>
      </c>
      <c r="BG132">
        <f>'Unsch.Care &amp; Ambulance Activity'!AG12</f>
        <v>5106</v>
      </c>
    </row>
    <row r="133" spans="1:59" hidden="1">
      <c r="A133" t="str">
        <f>'[1]Front Sheet and Checklist'!$C$5</f>
        <v>(please select from drop down)</v>
      </c>
      <c r="B133" t="s">
        <v>242</v>
      </c>
      <c r="C133" t="str">
        <f>'Unsch.Care &amp; Ambulance Activity'!$B$8</f>
        <v>UNSCHEDULED CARE</v>
      </c>
      <c r="D133" t="str">
        <f>'Unsch.Care &amp; Ambulance Activity'!$B$10</f>
        <v>Unscheduled Care Activity</v>
      </c>
      <c r="F133" t="str">
        <f>'Unsch.Care &amp; Ambulance Activity'!B13</f>
        <v>Total number of emergency admissions from Type 1 ED</v>
      </c>
      <c r="G133">
        <f>'Unsch.Care &amp; Ambulance Activity'!I13</f>
        <v>1700</v>
      </c>
      <c r="H133">
        <f>'Unsch.Care &amp; Ambulance Activity'!J13</f>
        <v>1800</v>
      </c>
      <c r="I133">
        <f>'Unsch.Care &amp; Ambulance Activity'!K13</f>
        <v>1700</v>
      </c>
      <c r="J133">
        <f>'Unsch.Care &amp; Ambulance Activity'!L13</f>
        <v>1700</v>
      </c>
      <c r="K133">
        <f>'Unsch.Care &amp; Ambulance Activity'!M13</f>
        <v>1600</v>
      </c>
      <c r="L133">
        <f>'Unsch.Care &amp; Ambulance Activity'!N13</f>
        <v>1600</v>
      </c>
      <c r="M133">
        <f>'Unsch.Care &amp; Ambulance Activity'!O13</f>
        <v>1650</v>
      </c>
      <c r="N133">
        <f>'Unsch.Care &amp; Ambulance Activity'!P13</f>
        <v>1700</v>
      </c>
      <c r="O133">
        <f>'Unsch.Care &amp; Ambulance Activity'!Q13</f>
        <v>1700</v>
      </c>
      <c r="P133">
        <f>'Unsch.Care &amp; Ambulance Activity'!R13</f>
        <v>1600</v>
      </c>
      <c r="Q133">
        <f>'Unsch.Care &amp; Ambulance Activity'!S13</f>
        <v>1600</v>
      </c>
      <c r="R133">
        <f>'Unsch.Care &amp; Ambulance Activity'!T13</f>
        <v>1600</v>
      </c>
      <c r="AH133">
        <f>'Unsch.Care &amp; Ambulance Activity'!C13</f>
        <v>38285</v>
      </c>
      <c r="AI133">
        <f>'Unsch.Care &amp; Ambulance Activity'!D13</f>
        <v>24979</v>
      </c>
      <c r="AN133">
        <f>'Unsch.Care &amp; Ambulance Activity'!E13</f>
        <v>19950</v>
      </c>
      <c r="AO133">
        <f>'Unsch.Care &amp; Ambulance Activity'!F13</f>
        <v>0</v>
      </c>
      <c r="AP133">
        <f>'Unsch.Care &amp; Ambulance Activity'!G13</f>
        <v>0</v>
      </c>
      <c r="AV133">
        <f>'Unsch.Care &amp; Ambulance Activity'!V13</f>
        <v>1824</v>
      </c>
      <c r="AW133">
        <f>'Unsch.Care &amp; Ambulance Activity'!W13</f>
        <v>1865</v>
      </c>
      <c r="AX133">
        <f>'Unsch.Care &amp; Ambulance Activity'!X13</f>
        <v>1671</v>
      </c>
      <c r="AY133">
        <f>'Unsch.Care &amp; Ambulance Activity'!Y13</f>
        <v>2013</v>
      </c>
      <c r="AZ133">
        <f>'Unsch.Care &amp; Ambulance Activity'!Z13</f>
        <v>1802</v>
      </c>
      <c r="BA133">
        <f>'Unsch.Care &amp; Ambulance Activity'!AA13</f>
        <v>1850</v>
      </c>
      <c r="BB133">
        <f>'Unsch.Care &amp; Ambulance Activity'!AB13</f>
        <v>1901</v>
      </c>
      <c r="BC133">
        <f>'Unsch.Care &amp; Ambulance Activity'!AC13</f>
        <v>1991</v>
      </c>
      <c r="BD133">
        <f>'Unsch.Care &amp; Ambulance Activity'!AD13</f>
        <v>2044</v>
      </c>
      <c r="BE133">
        <f>'Unsch.Care &amp; Ambulance Activity'!AE13</f>
        <v>1833</v>
      </c>
      <c r="BF133">
        <f>'Unsch.Care &amp; Ambulance Activity'!AF13</f>
        <v>1577</v>
      </c>
      <c r="BG133">
        <f>'Unsch.Care &amp; Ambulance Activity'!AG13</f>
        <v>1757</v>
      </c>
    </row>
    <row r="134" spans="1:59" hidden="1">
      <c r="A134" t="str">
        <f>'[1]Front Sheet and Checklist'!$C$5</f>
        <v>(please select from drop down)</v>
      </c>
      <c r="B134" t="s">
        <v>242</v>
      </c>
      <c r="C134" t="str">
        <f>'Unsch.Care &amp; Ambulance Activity'!$B$8</f>
        <v>UNSCHEDULED CARE</v>
      </c>
      <c r="D134" t="str">
        <f>'Unsch.Care &amp; Ambulance Activity'!$B$10</f>
        <v>Unscheduled Care Activity</v>
      </c>
      <c r="F134" t="str">
        <f>'Unsch.Care &amp; Ambulance Activity'!B14</f>
        <v>Total number of patients planned to be seen in SDEC</v>
      </c>
      <c r="G134">
        <f>'Unsch.Care &amp; Ambulance Activity'!I14</f>
        <v>700</v>
      </c>
      <c r="H134">
        <f>'Unsch.Care &amp; Ambulance Activity'!J14</f>
        <v>700</v>
      </c>
      <c r="I134">
        <f>'Unsch.Care &amp; Ambulance Activity'!K14</f>
        <v>750</v>
      </c>
      <c r="J134">
        <f>'Unsch.Care &amp; Ambulance Activity'!L14</f>
        <v>800</v>
      </c>
      <c r="K134">
        <f>'Unsch.Care &amp; Ambulance Activity'!M14</f>
        <v>750</v>
      </c>
      <c r="L134">
        <f>'Unsch.Care &amp; Ambulance Activity'!N14</f>
        <v>750</v>
      </c>
      <c r="M134">
        <f>'Unsch.Care &amp; Ambulance Activity'!O14</f>
        <v>800</v>
      </c>
      <c r="N134">
        <f>'Unsch.Care &amp; Ambulance Activity'!P14</f>
        <v>850</v>
      </c>
      <c r="O134">
        <f>'Unsch.Care &amp; Ambulance Activity'!Q14</f>
        <v>850</v>
      </c>
      <c r="P134">
        <f>'Unsch.Care &amp; Ambulance Activity'!R14</f>
        <v>800</v>
      </c>
      <c r="Q134">
        <f>'Unsch.Care &amp; Ambulance Activity'!S14</f>
        <v>800</v>
      </c>
      <c r="R134">
        <f>'Unsch.Care &amp; Ambulance Activity'!T14</f>
        <v>800</v>
      </c>
      <c r="AH134">
        <f>'Unsch.Care &amp; Ambulance Activity'!C14</f>
        <v>7297</v>
      </c>
      <c r="AI134">
        <f>'Unsch.Care &amp; Ambulance Activity'!D14</f>
        <v>7735</v>
      </c>
      <c r="AN134">
        <f>'Unsch.Care &amp; Ambulance Activity'!E14</f>
        <v>9350</v>
      </c>
      <c r="AO134">
        <f>'Unsch.Care &amp; Ambulance Activity'!F14</f>
        <v>0</v>
      </c>
      <c r="AP134">
        <f>'Unsch.Care &amp; Ambulance Activity'!G14</f>
        <v>0</v>
      </c>
      <c r="AV134">
        <f>'Unsch.Care &amp; Ambulance Activity'!V14</f>
        <v>649</v>
      </c>
      <c r="AW134">
        <f>'Unsch.Care &amp; Ambulance Activity'!W14</f>
        <v>716</v>
      </c>
      <c r="AX134">
        <f>'Unsch.Care &amp; Ambulance Activity'!X14</f>
        <v>647</v>
      </c>
      <c r="AY134">
        <f>'Unsch.Care &amp; Ambulance Activity'!Y14</f>
        <v>722</v>
      </c>
      <c r="AZ134">
        <f>'Unsch.Care &amp; Ambulance Activity'!Z14</f>
        <v>555</v>
      </c>
      <c r="BA134">
        <f>'Unsch.Care &amp; Ambulance Activity'!AA14</f>
        <v>555</v>
      </c>
      <c r="BB134">
        <f>'Unsch.Care &amp; Ambulance Activity'!AB14</f>
        <v>664</v>
      </c>
      <c r="BC134">
        <f>'Unsch.Care &amp; Ambulance Activity'!AC14</f>
        <v>599</v>
      </c>
      <c r="BD134">
        <f>'Unsch.Care &amp; Ambulance Activity'!AD14</f>
        <v>657</v>
      </c>
      <c r="BE134">
        <f>'Unsch.Care &amp; Ambulance Activity'!AE14</f>
        <v>715</v>
      </c>
      <c r="BF134">
        <f>'Unsch.Care &amp; Ambulance Activity'!AF14</f>
        <v>669</v>
      </c>
      <c r="BG134">
        <f>'Unsch.Care &amp; Ambulance Activity'!AG14</f>
        <v>731</v>
      </c>
    </row>
    <row r="135" spans="1:59" hidden="1">
      <c r="A135" t="str">
        <f>'[1]Front Sheet and Checklist'!$C$5</f>
        <v>(please select from drop down)</v>
      </c>
      <c r="B135" t="s">
        <v>242</v>
      </c>
      <c r="C135" t="str">
        <f>'Unsch.Care &amp; Ambulance Activity'!$B$8</f>
        <v>UNSCHEDULED CARE</v>
      </c>
      <c r="D135" t="str">
        <f>'Unsch.Care &amp; Ambulance Activity'!$B$10</f>
        <v>Unscheduled Care Activity</v>
      </c>
      <c r="F135" t="str">
        <f>'Unsch.Care &amp; Ambulance Activity'!B15</f>
        <v>Total number of patients planned to be seen in UPCCs (including virtual/remote models)</v>
      </c>
      <c r="G135">
        <f>'Unsch.Care &amp; Ambulance Activity'!I15</f>
        <v>1200</v>
      </c>
      <c r="H135">
        <f>'Unsch.Care &amp; Ambulance Activity'!J15</f>
        <v>1200</v>
      </c>
      <c r="I135">
        <f>'Unsch.Care &amp; Ambulance Activity'!K15</f>
        <v>1100</v>
      </c>
      <c r="J135">
        <f>'Unsch.Care &amp; Ambulance Activity'!L15</f>
        <v>1000</v>
      </c>
      <c r="K135">
        <f>'Unsch.Care &amp; Ambulance Activity'!M15</f>
        <v>1000</v>
      </c>
      <c r="L135">
        <f>'Unsch.Care &amp; Ambulance Activity'!N15</f>
        <v>1000</v>
      </c>
      <c r="M135">
        <f>'Unsch.Care &amp; Ambulance Activity'!O15</f>
        <v>1200</v>
      </c>
      <c r="N135">
        <f>'Unsch.Care &amp; Ambulance Activity'!P15</f>
        <v>1300</v>
      </c>
      <c r="O135">
        <f>'Unsch.Care &amp; Ambulance Activity'!Q15</f>
        <v>1400</v>
      </c>
      <c r="P135">
        <f>'Unsch.Care &amp; Ambulance Activity'!R15</f>
        <v>1300</v>
      </c>
      <c r="Q135">
        <f>'Unsch.Care &amp; Ambulance Activity'!S15</f>
        <v>1200</v>
      </c>
      <c r="R135">
        <f>'Unsch.Care &amp; Ambulance Activity'!T15</f>
        <v>1200</v>
      </c>
      <c r="AH135">
        <f>'Unsch.Care &amp; Ambulance Activity'!C15</f>
        <v>1680</v>
      </c>
      <c r="AI135">
        <f>'Unsch.Care &amp; Ambulance Activity'!D15</f>
        <v>10000</v>
      </c>
      <c r="AN135">
        <f>'Unsch.Care &amp; Ambulance Activity'!E15</f>
        <v>14300</v>
      </c>
      <c r="AO135">
        <f>'Unsch.Care &amp; Ambulance Activity'!F15</f>
        <v>0</v>
      </c>
      <c r="AP135">
        <f>'Unsch.Care &amp; Ambulance Activity'!G15</f>
        <v>0</v>
      </c>
      <c r="AV135">
        <f>'Unsch.Care &amp; Ambulance Activity'!V15</f>
        <v>1650</v>
      </c>
      <c r="AW135">
        <f>'Unsch.Care &amp; Ambulance Activity'!W15</f>
        <v>1552</v>
      </c>
      <c r="AX135">
        <f>'Unsch.Care &amp; Ambulance Activity'!X15</f>
        <v>1345</v>
      </c>
      <c r="AY135">
        <f>'Unsch.Care &amp; Ambulance Activity'!Y15</f>
        <v>1457</v>
      </c>
      <c r="AZ135">
        <f>'Unsch.Care &amp; Ambulance Activity'!Z15</f>
        <v>1108</v>
      </c>
      <c r="BA135">
        <f>'Unsch.Care &amp; Ambulance Activity'!AA15</f>
        <v>1287</v>
      </c>
      <c r="BB135">
        <f>'Unsch.Care &amp; Ambulance Activity'!AB15</f>
        <v>1758</v>
      </c>
      <c r="BC135">
        <f>'Unsch.Care &amp; Ambulance Activity'!AC15</f>
        <v>1821</v>
      </c>
      <c r="BD135">
        <f>'Unsch.Care &amp; Ambulance Activity'!AD15</f>
        <v>1826</v>
      </c>
      <c r="BE135">
        <f>'Unsch.Care &amp; Ambulance Activity'!AE15</f>
        <v>1899</v>
      </c>
      <c r="BF135">
        <f>'Unsch.Care &amp; Ambulance Activity'!AF15</f>
        <v>1843</v>
      </c>
      <c r="BG135">
        <f>'Unsch.Care &amp; Ambulance Activity'!AG15</f>
        <v>1950</v>
      </c>
    </row>
    <row r="136" spans="1:59" hidden="1">
      <c r="A136" t="str">
        <f>'[1]Front Sheet and Checklist'!$C$5</f>
        <v>(please select from drop down)</v>
      </c>
      <c r="B136" t="s">
        <v>242</v>
      </c>
      <c r="C136" t="str">
        <f>'Unsch.Care &amp; Ambulance Activity'!$B$8</f>
        <v>UNSCHEDULED CARE</v>
      </c>
      <c r="D136" t="str">
        <f>'Unsch.Care &amp; Ambulance Activity'!$B$10</f>
        <v>Unscheduled Care Activity</v>
      </c>
      <c r="F136">
        <f>'Unsch.Care &amp; Ambulance Activity'!B16</f>
        <v>0</v>
      </c>
      <c r="G136">
        <f>'Unsch.Care &amp; Ambulance Activity'!I16</f>
        <v>0</v>
      </c>
      <c r="H136">
        <f>'Unsch.Care &amp; Ambulance Activity'!J16</f>
        <v>0</v>
      </c>
      <c r="I136">
        <f>'Unsch.Care &amp; Ambulance Activity'!K16</f>
        <v>0</v>
      </c>
      <c r="J136">
        <f>'Unsch.Care &amp; Ambulance Activity'!L16</f>
        <v>0</v>
      </c>
      <c r="K136">
        <f>'Unsch.Care &amp; Ambulance Activity'!M16</f>
        <v>0</v>
      </c>
      <c r="L136">
        <f>'Unsch.Care &amp; Ambulance Activity'!N16</f>
        <v>0</v>
      </c>
      <c r="M136">
        <f>'Unsch.Care &amp; Ambulance Activity'!O16</f>
        <v>0</v>
      </c>
      <c r="N136">
        <f>'Unsch.Care &amp; Ambulance Activity'!P16</f>
        <v>0</v>
      </c>
      <c r="O136">
        <f>'Unsch.Care &amp; Ambulance Activity'!Q16</f>
        <v>0</v>
      </c>
      <c r="P136">
        <f>'Unsch.Care &amp; Ambulance Activity'!R16</f>
        <v>0</v>
      </c>
      <c r="Q136">
        <f>'Unsch.Care &amp; Ambulance Activity'!S16</f>
        <v>0</v>
      </c>
      <c r="R136">
        <f>'Unsch.Care &amp; Ambulance Activity'!T16</f>
        <v>0</v>
      </c>
      <c r="AH136">
        <f>'Unsch.Care &amp; Ambulance Activity'!C16</f>
        <v>0</v>
      </c>
      <c r="AI136">
        <f>'Unsch.Care &amp; Ambulance Activity'!D16</f>
        <v>0</v>
      </c>
      <c r="AN136">
        <f>'Unsch.Care &amp; Ambulance Activity'!E16</f>
        <v>0</v>
      </c>
      <c r="AO136">
        <f>'Unsch.Care &amp; Ambulance Activity'!F16</f>
        <v>0</v>
      </c>
      <c r="AP136">
        <f>'Unsch.Care &amp; Ambulance Activity'!G16</f>
        <v>0</v>
      </c>
      <c r="AV136">
        <f>'Unsch.Care &amp; Ambulance Activity'!V16</f>
        <v>0</v>
      </c>
      <c r="AW136">
        <f>'Unsch.Care &amp; Ambulance Activity'!W16</f>
        <v>0</v>
      </c>
      <c r="AX136">
        <f>'Unsch.Care &amp; Ambulance Activity'!X16</f>
        <v>0</v>
      </c>
      <c r="AY136">
        <f>'Unsch.Care &amp; Ambulance Activity'!Y16</f>
        <v>0</v>
      </c>
      <c r="AZ136">
        <f>'Unsch.Care &amp; Ambulance Activity'!Z16</f>
        <v>0</v>
      </c>
      <c r="BA136">
        <f>'Unsch.Care &amp; Ambulance Activity'!AA16</f>
        <v>0</v>
      </c>
      <c r="BB136">
        <f>'Unsch.Care &amp; Ambulance Activity'!AB16</f>
        <v>0</v>
      </c>
      <c r="BC136">
        <f>'Unsch.Care &amp; Ambulance Activity'!AC16</f>
        <v>0</v>
      </c>
      <c r="BD136">
        <f>'Unsch.Care &amp; Ambulance Activity'!AD16</f>
        <v>0</v>
      </c>
      <c r="BE136">
        <f>'Unsch.Care &amp; Ambulance Activity'!AE16</f>
        <v>0</v>
      </c>
      <c r="BF136">
        <f>'Unsch.Care &amp; Ambulance Activity'!AF16</f>
        <v>0</v>
      </c>
      <c r="BG136">
        <f>'Unsch.Care &amp; Ambulance Activity'!AG16</f>
        <v>0</v>
      </c>
    </row>
    <row r="137" spans="1:59" hidden="1">
      <c r="A137" t="str">
        <f>'[1]Front Sheet and Checklist'!$C$5</f>
        <v>(please select from drop down)</v>
      </c>
      <c r="B137" t="s">
        <v>242</v>
      </c>
      <c r="C137" t="str">
        <f>'Unsch.Care &amp; Ambulance Activity'!$B$8</f>
        <v>UNSCHEDULED CARE</v>
      </c>
      <c r="D137" t="str">
        <f>'Unsch.Care &amp; Ambulance Activity'!$B$10</f>
        <v>Unscheduled Care Activity</v>
      </c>
      <c r="F137" t="str">
        <f>'Unsch.Care &amp; Ambulance Activity'!B17</f>
        <v>AMBULANCE  WAST TO COMPLETE</v>
      </c>
      <c r="G137" t="str">
        <f>'Unsch.Care &amp; Ambulance Activity'!I17</f>
        <v>APR</v>
      </c>
      <c r="H137" t="str">
        <f>'Unsch.Care &amp; Ambulance Activity'!J17</f>
        <v>MAY</v>
      </c>
      <c r="I137" t="str">
        <f>'Unsch.Care &amp; Ambulance Activity'!K17</f>
        <v>JUN</v>
      </c>
      <c r="J137" t="str">
        <f>'Unsch.Care &amp; Ambulance Activity'!L17</f>
        <v>JUL</v>
      </c>
      <c r="K137" t="str">
        <f>'Unsch.Care &amp; Ambulance Activity'!M17</f>
        <v>AUG</v>
      </c>
      <c r="L137" t="str">
        <f>'Unsch.Care &amp; Ambulance Activity'!N17</f>
        <v>SEP</v>
      </c>
      <c r="M137" t="str">
        <f>'Unsch.Care &amp; Ambulance Activity'!O17</f>
        <v>OCT</v>
      </c>
      <c r="N137" t="str">
        <f>'Unsch.Care &amp; Ambulance Activity'!P17</f>
        <v>NOV</v>
      </c>
      <c r="O137" t="str">
        <f>'Unsch.Care &amp; Ambulance Activity'!Q17</f>
        <v>DEC</v>
      </c>
      <c r="P137" t="str">
        <f>'Unsch.Care &amp; Ambulance Activity'!R17</f>
        <v>JAN</v>
      </c>
      <c r="Q137" t="str">
        <f>'Unsch.Care &amp; Ambulance Activity'!S17</f>
        <v>FEB</v>
      </c>
      <c r="R137" t="str">
        <f>'Unsch.Care &amp; Ambulance Activity'!T17</f>
        <v>MAR</v>
      </c>
      <c r="AH137" t="str">
        <f>'Unsch.Care &amp; Ambulance Activity'!C17</f>
        <v>FY 2022/23 ACTUAL</v>
      </c>
      <c r="AI137" t="str">
        <f>'Unsch.Care &amp; Ambulance Activity'!D17</f>
        <v>FY 2023/24 FORECAST</v>
      </c>
      <c r="AN137" t="str">
        <f>'Unsch.Care &amp; Ambulance Activity'!E17</f>
        <v>Plan 2024/25</v>
      </c>
      <c r="AO137" t="str">
        <f>'Unsch.Care &amp; Ambulance Activity'!F17</f>
        <v>Plan 2025/26</v>
      </c>
      <c r="AP137" t="str">
        <f>'Unsch.Care &amp; Ambulance Activity'!G17</f>
        <v>Plan 2026/27</v>
      </c>
      <c r="AV137" t="str">
        <f>'Unsch.Care &amp; Ambulance Activity'!V17</f>
        <v>APR</v>
      </c>
      <c r="AW137" t="str">
        <f>'Unsch.Care &amp; Ambulance Activity'!W17</f>
        <v>MAY</v>
      </c>
      <c r="AX137" t="str">
        <f>'Unsch.Care &amp; Ambulance Activity'!X17</f>
        <v>JUN</v>
      </c>
      <c r="AY137" t="str">
        <f>'Unsch.Care &amp; Ambulance Activity'!Y17</f>
        <v>JUL</v>
      </c>
      <c r="AZ137" t="str">
        <f>'Unsch.Care &amp; Ambulance Activity'!Z17</f>
        <v>AUG</v>
      </c>
      <c r="BA137" t="str">
        <f>'Unsch.Care &amp; Ambulance Activity'!AA17</f>
        <v>SEP</v>
      </c>
      <c r="BB137" t="str">
        <f>'Unsch.Care &amp; Ambulance Activity'!AB17</f>
        <v>OCT</v>
      </c>
      <c r="BC137" t="str">
        <f>'Unsch.Care &amp; Ambulance Activity'!AC17</f>
        <v>NOV</v>
      </c>
      <c r="BD137" t="str">
        <f>'Unsch.Care &amp; Ambulance Activity'!AD17</f>
        <v>DEC</v>
      </c>
      <c r="BE137" t="str">
        <f>'Unsch.Care &amp; Ambulance Activity'!AE17</f>
        <v>JAN</v>
      </c>
      <c r="BF137" t="str">
        <f>'Unsch.Care &amp; Ambulance Activity'!AF17</f>
        <v>FEB</v>
      </c>
      <c r="BG137" t="str">
        <f>'Unsch.Care &amp; Ambulance Activity'!AG17</f>
        <v>MAR</v>
      </c>
    </row>
    <row r="138" spans="1:59" hidden="1">
      <c r="A138" t="str">
        <f>'[1]Front Sheet and Checklist'!$C$5</f>
        <v>(please select from drop down)</v>
      </c>
      <c r="B138" t="s">
        <v>242</v>
      </c>
      <c r="C138" t="str">
        <f>'Unsch.Care &amp; Ambulance Activity'!$B$8</f>
        <v>UNSCHEDULED CARE</v>
      </c>
      <c r="D138" t="str">
        <f>'Unsch.Care &amp; Ambulance Activity'!$B$10</f>
        <v>Unscheduled Care Activity</v>
      </c>
      <c r="F138" t="str">
        <f>'Unsch.Care &amp; Ambulance Activity'!B18</f>
        <v>METRIC</v>
      </c>
      <c r="G138">
        <f>'Unsch.Care &amp; Ambulance Activity'!I18</f>
        <v>0</v>
      </c>
      <c r="H138">
        <f>'Unsch.Care &amp; Ambulance Activity'!J18</f>
        <v>0</v>
      </c>
      <c r="I138">
        <f>'Unsch.Care &amp; Ambulance Activity'!K18</f>
        <v>0</v>
      </c>
      <c r="J138">
        <f>'Unsch.Care &amp; Ambulance Activity'!L18</f>
        <v>0</v>
      </c>
      <c r="K138">
        <f>'Unsch.Care &amp; Ambulance Activity'!M18</f>
        <v>0</v>
      </c>
      <c r="L138">
        <f>'Unsch.Care &amp; Ambulance Activity'!N18</f>
        <v>0</v>
      </c>
      <c r="M138">
        <f>'Unsch.Care &amp; Ambulance Activity'!O18</f>
        <v>0</v>
      </c>
      <c r="N138">
        <f>'Unsch.Care &amp; Ambulance Activity'!P18</f>
        <v>0</v>
      </c>
      <c r="O138">
        <f>'Unsch.Care &amp; Ambulance Activity'!Q18</f>
        <v>0</v>
      </c>
      <c r="P138">
        <f>'Unsch.Care &amp; Ambulance Activity'!R18</f>
        <v>0</v>
      </c>
      <c r="Q138">
        <f>'Unsch.Care &amp; Ambulance Activity'!S18</f>
        <v>0</v>
      </c>
      <c r="R138">
        <f>'Unsch.Care &amp; Ambulance Activity'!T18</f>
        <v>0</v>
      </c>
      <c r="AH138" t="str">
        <f>'Unsch.Care &amp; Ambulance Activity'!C18</f>
        <v>No's</v>
      </c>
      <c r="AI138">
        <f>'Unsch.Care &amp; Ambulance Activity'!D18</f>
        <v>0</v>
      </c>
      <c r="AN138">
        <f>'Unsch.Care &amp; Ambulance Activity'!E18</f>
        <v>0</v>
      </c>
      <c r="AO138">
        <f>'Unsch.Care &amp; Ambulance Activity'!F18</f>
        <v>0</v>
      </c>
      <c r="AP138">
        <f>'Unsch.Care &amp; Ambulance Activity'!G18</f>
        <v>0</v>
      </c>
      <c r="AV138">
        <f>'Unsch.Care &amp; Ambulance Activity'!V18</f>
        <v>0</v>
      </c>
      <c r="AW138">
        <f>'Unsch.Care &amp; Ambulance Activity'!W18</f>
        <v>0</v>
      </c>
      <c r="AX138">
        <f>'Unsch.Care &amp; Ambulance Activity'!X18</f>
        <v>0</v>
      </c>
      <c r="AY138">
        <f>'Unsch.Care &amp; Ambulance Activity'!Y18</f>
        <v>0</v>
      </c>
      <c r="AZ138">
        <f>'Unsch.Care &amp; Ambulance Activity'!Z18</f>
        <v>0</v>
      </c>
      <c r="BA138">
        <f>'Unsch.Care &amp; Ambulance Activity'!AA18</f>
        <v>0</v>
      </c>
      <c r="BB138">
        <f>'Unsch.Care &amp; Ambulance Activity'!AB18</f>
        <v>0</v>
      </c>
      <c r="BC138">
        <f>'Unsch.Care &amp; Ambulance Activity'!AC18</f>
        <v>0</v>
      </c>
      <c r="BD138">
        <f>'Unsch.Care &amp; Ambulance Activity'!AD18</f>
        <v>0</v>
      </c>
      <c r="BE138">
        <f>'Unsch.Care &amp; Ambulance Activity'!AE18</f>
        <v>0</v>
      </c>
      <c r="BF138">
        <f>'Unsch.Care &amp; Ambulance Activity'!AF18</f>
        <v>0</v>
      </c>
      <c r="BG138">
        <f>'Unsch.Care &amp; Ambulance Activity'!AG18</f>
        <v>0</v>
      </c>
    </row>
    <row r="139" spans="1:59" hidden="1">
      <c r="A139" t="str">
        <f>'[1]Front Sheet and Checklist'!$C$5</f>
        <v>(please select from drop down)</v>
      </c>
      <c r="B139" t="s">
        <v>242</v>
      </c>
      <c r="C139" t="str">
        <f>'Unsch.Care &amp; Ambulance Activity'!$B$8</f>
        <v>UNSCHEDULED CARE</v>
      </c>
      <c r="D139" t="str">
        <f>'Unsch.Care &amp; Ambulance Activity'!$B$10</f>
        <v>Unscheduled Care Activity</v>
      </c>
      <c r="F139" t="str">
        <f>'Unsch.Care &amp; Ambulance Activity'!B19</f>
        <v>WAST to complete: Ambulance</v>
      </c>
      <c r="G139">
        <f>'Unsch.Care &amp; Ambulance Activity'!I19</f>
        <v>0</v>
      </c>
      <c r="H139">
        <f>'Unsch.Care &amp; Ambulance Activity'!J19</f>
        <v>0</v>
      </c>
      <c r="I139">
        <f>'Unsch.Care &amp; Ambulance Activity'!K19</f>
        <v>0</v>
      </c>
      <c r="J139">
        <f>'Unsch.Care &amp; Ambulance Activity'!L19</f>
        <v>0</v>
      </c>
      <c r="K139">
        <f>'Unsch.Care &amp; Ambulance Activity'!M19</f>
        <v>0</v>
      </c>
      <c r="L139">
        <f>'Unsch.Care &amp; Ambulance Activity'!N19</f>
        <v>0</v>
      </c>
      <c r="M139">
        <f>'Unsch.Care &amp; Ambulance Activity'!O19</f>
        <v>0</v>
      </c>
      <c r="N139">
        <f>'Unsch.Care &amp; Ambulance Activity'!P19</f>
        <v>0</v>
      </c>
      <c r="O139">
        <f>'Unsch.Care &amp; Ambulance Activity'!Q19</f>
        <v>0</v>
      </c>
      <c r="P139">
        <f>'Unsch.Care &amp; Ambulance Activity'!R19</f>
        <v>0</v>
      </c>
      <c r="Q139">
        <f>'Unsch.Care &amp; Ambulance Activity'!S19</f>
        <v>0</v>
      </c>
      <c r="R139">
        <f>'Unsch.Care &amp; Ambulance Activity'!T19</f>
        <v>0</v>
      </c>
      <c r="AH139">
        <f>'Unsch.Care &amp; Ambulance Activity'!C19</f>
        <v>0</v>
      </c>
      <c r="AI139">
        <f>'Unsch.Care &amp; Ambulance Activity'!D19</f>
        <v>0</v>
      </c>
      <c r="AN139">
        <f>'Unsch.Care &amp; Ambulance Activity'!E19</f>
        <v>0</v>
      </c>
      <c r="AO139">
        <f>'Unsch.Care &amp; Ambulance Activity'!F19</f>
        <v>0</v>
      </c>
      <c r="AP139">
        <f>'Unsch.Care &amp; Ambulance Activity'!G19</f>
        <v>0</v>
      </c>
      <c r="AV139">
        <f>'Unsch.Care &amp; Ambulance Activity'!V19</f>
        <v>0</v>
      </c>
      <c r="AW139">
        <f>'Unsch.Care &amp; Ambulance Activity'!W19</f>
        <v>0</v>
      </c>
      <c r="AX139">
        <f>'Unsch.Care &amp; Ambulance Activity'!X19</f>
        <v>0</v>
      </c>
      <c r="AY139">
        <f>'Unsch.Care &amp; Ambulance Activity'!Y19</f>
        <v>0</v>
      </c>
      <c r="AZ139">
        <f>'Unsch.Care &amp; Ambulance Activity'!Z19</f>
        <v>0</v>
      </c>
      <c r="BA139">
        <f>'Unsch.Care &amp; Ambulance Activity'!AA19</f>
        <v>0</v>
      </c>
      <c r="BB139">
        <f>'Unsch.Care &amp; Ambulance Activity'!AB19</f>
        <v>0</v>
      </c>
      <c r="BC139">
        <f>'Unsch.Care &amp; Ambulance Activity'!AC19</f>
        <v>0</v>
      </c>
      <c r="BD139">
        <f>'Unsch.Care &amp; Ambulance Activity'!AD19</f>
        <v>0</v>
      </c>
      <c r="BE139">
        <f>'Unsch.Care &amp; Ambulance Activity'!AE19</f>
        <v>0</v>
      </c>
      <c r="BF139">
        <f>'Unsch.Care &amp; Ambulance Activity'!AF19</f>
        <v>0</v>
      </c>
      <c r="BG139">
        <f>'Unsch.Care &amp; Ambulance Activity'!AG19</f>
        <v>0</v>
      </c>
    </row>
    <row r="140" spans="1:59" hidden="1">
      <c r="A140" t="str">
        <f>'[1]Front Sheet and Checklist'!$C$5</f>
        <v>(please select from drop down)</v>
      </c>
      <c r="B140" t="s">
        <v>242</v>
      </c>
      <c r="C140" t="str">
        <f>'Unsch.Care &amp; Ambulance Activity'!$B$17</f>
        <v>AMBULANCE  WAST TO COMPLETE</v>
      </c>
      <c r="D140" t="str">
        <f>'Unsch.Care &amp; Ambulance Activity'!$B$19</f>
        <v>WAST to complete: Ambulance</v>
      </c>
      <c r="F140" t="str">
        <f>'Unsch.Care &amp; Ambulance Activity'!B20</f>
        <v>111 symptom checkers completed (Activity).</v>
      </c>
      <c r="G140">
        <f>'Unsch.Care &amp; Ambulance Activity'!I20</f>
        <v>0</v>
      </c>
      <c r="H140">
        <f>'Unsch.Care &amp; Ambulance Activity'!J20</f>
        <v>0</v>
      </c>
      <c r="I140">
        <f>'Unsch.Care &amp; Ambulance Activity'!K20</f>
        <v>0</v>
      </c>
      <c r="J140">
        <f>'Unsch.Care &amp; Ambulance Activity'!L20</f>
        <v>0</v>
      </c>
      <c r="K140">
        <f>'Unsch.Care &amp; Ambulance Activity'!M20</f>
        <v>0</v>
      </c>
      <c r="L140">
        <f>'Unsch.Care &amp; Ambulance Activity'!N20</f>
        <v>0</v>
      </c>
      <c r="M140">
        <f>'Unsch.Care &amp; Ambulance Activity'!O20</f>
        <v>0</v>
      </c>
      <c r="N140">
        <f>'Unsch.Care &amp; Ambulance Activity'!P20</f>
        <v>0</v>
      </c>
      <c r="O140">
        <f>'Unsch.Care &amp; Ambulance Activity'!Q20</f>
        <v>0</v>
      </c>
      <c r="P140">
        <f>'Unsch.Care &amp; Ambulance Activity'!R20</f>
        <v>0</v>
      </c>
      <c r="Q140">
        <f>'Unsch.Care &amp; Ambulance Activity'!S20</f>
        <v>0</v>
      </c>
      <c r="R140">
        <f>'Unsch.Care &amp; Ambulance Activity'!T20</f>
        <v>0</v>
      </c>
      <c r="AH140">
        <f>'Unsch.Care &amp; Ambulance Activity'!C20</f>
        <v>0</v>
      </c>
      <c r="AI140">
        <f>'Unsch.Care &amp; Ambulance Activity'!D20</f>
        <v>0</v>
      </c>
      <c r="AN140">
        <f>'Unsch.Care &amp; Ambulance Activity'!E20</f>
        <v>0</v>
      </c>
      <c r="AO140">
        <f>'Unsch.Care &amp; Ambulance Activity'!F20</f>
        <v>0</v>
      </c>
      <c r="AP140">
        <f>'Unsch.Care &amp; Ambulance Activity'!G20</f>
        <v>0</v>
      </c>
      <c r="AV140">
        <f>'Unsch.Care &amp; Ambulance Activity'!V20</f>
        <v>0</v>
      </c>
      <c r="AW140">
        <f>'Unsch.Care &amp; Ambulance Activity'!W20</f>
        <v>0</v>
      </c>
      <c r="AX140">
        <f>'Unsch.Care &amp; Ambulance Activity'!X20</f>
        <v>0</v>
      </c>
      <c r="AY140">
        <f>'Unsch.Care &amp; Ambulance Activity'!Y20</f>
        <v>0</v>
      </c>
      <c r="AZ140">
        <f>'Unsch.Care &amp; Ambulance Activity'!Z20</f>
        <v>0</v>
      </c>
      <c r="BA140">
        <f>'Unsch.Care &amp; Ambulance Activity'!AA20</f>
        <v>0</v>
      </c>
      <c r="BB140">
        <f>'Unsch.Care &amp; Ambulance Activity'!AB20</f>
        <v>0</v>
      </c>
      <c r="BC140">
        <f>'Unsch.Care &amp; Ambulance Activity'!AC20</f>
        <v>0</v>
      </c>
      <c r="BD140">
        <f>'Unsch.Care &amp; Ambulance Activity'!AD20</f>
        <v>0</v>
      </c>
      <c r="BE140">
        <f>'Unsch.Care &amp; Ambulance Activity'!AE20</f>
        <v>0</v>
      </c>
      <c r="BF140">
        <f>'Unsch.Care &amp; Ambulance Activity'!AF20</f>
        <v>0</v>
      </c>
      <c r="BG140">
        <f>'Unsch.Care &amp; Ambulance Activity'!AG20</f>
        <v>0</v>
      </c>
    </row>
    <row r="141" spans="1:59" hidden="1">
      <c r="A141" t="str">
        <f>'[1]Front Sheet and Checklist'!$C$5</f>
        <v>(please select from drop down)</v>
      </c>
      <c r="B141" t="s">
        <v>242</v>
      </c>
      <c r="C141" t="str">
        <f>'Unsch.Care &amp; Ambulance Activity'!$B$17</f>
        <v>AMBULANCE  WAST TO COMPLETE</v>
      </c>
      <c r="D141" t="str">
        <f>'Unsch.Care &amp; Ambulance Activity'!$B$19</f>
        <v>WAST to complete: Ambulance</v>
      </c>
      <c r="F141" t="str">
        <f>'Unsch.Care &amp; Ambulance Activity'!B21</f>
        <v>Predicted level of 111 call demand</v>
      </c>
      <c r="G141">
        <f>'Unsch.Care &amp; Ambulance Activity'!I21</f>
        <v>0</v>
      </c>
      <c r="H141">
        <f>'Unsch.Care &amp; Ambulance Activity'!J21</f>
        <v>0</v>
      </c>
      <c r="I141">
        <f>'Unsch.Care &amp; Ambulance Activity'!K21</f>
        <v>0</v>
      </c>
      <c r="J141">
        <f>'Unsch.Care &amp; Ambulance Activity'!L21</f>
        <v>0</v>
      </c>
      <c r="K141">
        <f>'Unsch.Care &amp; Ambulance Activity'!M21</f>
        <v>0</v>
      </c>
      <c r="L141">
        <f>'Unsch.Care &amp; Ambulance Activity'!N21</f>
        <v>0</v>
      </c>
      <c r="M141">
        <f>'Unsch.Care &amp; Ambulance Activity'!O21</f>
        <v>0</v>
      </c>
      <c r="N141">
        <f>'Unsch.Care &amp; Ambulance Activity'!P21</f>
        <v>0</v>
      </c>
      <c r="O141">
        <f>'Unsch.Care &amp; Ambulance Activity'!Q21</f>
        <v>0</v>
      </c>
      <c r="P141">
        <f>'Unsch.Care &amp; Ambulance Activity'!R21</f>
        <v>0</v>
      </c>
      <c r="Q141">
        <f>'Unsch.Care &amp; Ambulance Activity'!S21</f>
        <v>0</v>
      </c>
      <c r="R141">
        <f>'Unsch.Care &amp; Ambulance Activity'!T21</f>
        <v>0</v>
      </c>
      <c r="AH141">
        <f>'Unsch.Care &amp; Ambulance Activity'!C21</f>
        <v>0</v>
      </c>
      <c r="AI141">
        <f>'Unsch.Care &amp; Ambulance Activity'!D21</f>
        <v>0</v>
      </c>
      <c r="AN141">
        <f>'Unsch.Care &amp; Ambulance Activity'!E21</f>
        <v>0</v>
      </c>
      <c r="AO141">
        <f>'Unsch.Care &amp; Ambulance Activity'!F21</f>
        <v>0</v>
      </c>
      <c r="AP141">
        <f>'Unsch.Care &amp; Ambulance Activity'!G21</f>
        <v>0</v>
      </c>
      <c r="AV141">
        <f>'Unsch.Care &amp; Ambulance Activity'!V21</f>
        <v>0</v>
      </c>
      <c r="AW141">
        <f>'Unsch.Care &amp; Ambulance Activity'!W21</f>
        <v>0</v>
      </c>
      <c r="AX141">
        <f>'Unsch.Care &amp; Ambulance Activity'!X21</f>
        <v>0</v>
      </c>
      <c r="AY141">
        <f>'Unsch.Care &amp; Ambulance Activity'!Y21</f>
        <v>0</v>
      </c>
      <c r="AZ141">
        <f>'Unsch.Care &amp; Ambulance Activity'!Z21</f>
        <v>0</v>
      </c>
      <c r="BA141">
        <f>'Unsch.Care &amp; Ambulance Activity'!AA21</f>
        <v>0</v>
      </c>
      <c r="BB141">
        <f>'Unsch.Care &amp; Ambulance Activity'!AB21</f>
        <v>0</v>
      </c>
      <c r="BC141">
        <f>'Unsch.Care &amp; Ambulance Activity'!AC21</f>
        <v>0</v>
      </c>
      <c r="BD141">
        <f>'Unsch.Care &amp; Ambulance Activity'!AD21</f>
        <v>0</v>
      </c>
      <c r="BE141">
        <f>'Unsch.Care &amp; Ambulance Activity'!AE21</f>
        <v>0</v>
      </c>
      <c r="BF141">
        <f>'Unsch.Care &amp; Ambulance Activity'!AF21</f>
        <v>0</v>
      </c>
      <c r="BG141">
        <f>'Unsch.Care &amp; Ambulance Activity'!AG21</f>
        <v>0</v>
      </c>
    </row>
    <row r="142" spans="1:59" hidden="1">
      <c r="A142" t="str">
        <f>'[1]Front Sheet and Checklist'!$C$5</f>
        <v>(please select from drop down)</v>
      </c>
      <c r="B142" t="s">
        <v>242</v>
      </c>
      <c r="C142" t="str">
        <f>'Unsch.Care &amp; Ambulance Activity'!$B$17</f>
        <v>AMBULANCE  WAST TO COMPLETE</v>
      </c>
      <c r="D142" t="str">
        <f>'Unsch.Care &amp; Ambulance Activity'!$B$19</f>
        <v>WAST to complete: Ambulance</v>
      </c>
      <c r="F142" t="str">
        <f>'Unsch.Care &amp; Ambulance Activity'!B22</f>
        <v>Predicted number of 111 call resolution at call handler/nurse assessment stage</v>
      </c>
      <c r="G142">
        <f>'Unsch.Care &amp; Ambulance Activity'!I22</f>
        <v>0</v>
      </c>
      <c r="H142">
        <f>'Unsch.Care &amp; Ambulance Activity'!J22</f>
        <v>0</v>
      </c>
      <c r="I142">
        <f>'Unsch.Care &amp; Ambulance Activity'!K22</f>
        <v>0</v>
      </c>
      <c r="J142">
        <f>'Unsch.Care &amp; Ambulance Activity'!L22</f>
        <v>0</v>
      </c>
      <c r="K142">
        <f>'Unsch.Care &amp; Ambulance Activity'!M22</f>
        <v>0</v>
      </c>
      <c r="L142">
        <f>'Unsch.Care &amp; Ambulance Activity'!N22</f>
        <v>0</v>
      </c>
      <c r="M142">
        <f>'Unsch.Care &amp; Ambulance Activity'!O22</f>
        <v>0</v>
      </c>
      <c r="N142">
        <f>'Unsch.Care &amp; Ambulance Activity'!P22</f>
        <v>0</v>
      </c>
      <c r="O142">
        <f>'Unsch.Care &amp; Ambulance Activity'!Q22</f>
        <v>0</v>
      </c>
      <c r="P142">
        <f>'Unsch.Care &amp; Ambulance Activity'!R22</f>
        <v>0</v>
      </c>
      <c r="Q142">
        <f>'Unsch.Care &amp; Ambulance Activity'!S22</f>
        <v>0</v>
      </c>
      <c r="R142">
        <f>'Unsch.Care &amp; Ambulance Activity'!T22</f>
        <v>0</v>
      </c>
      <c r="AH142">
        <f>'Unsch.Care &amp; Ambulance Activity'!C22</f>
        <v>0</v>
      </c>
      <c r="AI142">
        <f>'Unsch.Care &amp; Ambulance Activity'!D22</f>
        <v>0</v>
      </c>
      <c r="AN142">
        <f>'Unsch.Care &amp; Ambulance Activity'!E22</f>
        <v>0</v>
      </c>
      <c r="AO142">
        <f>'Unsch.Care &amp; Ambulance Activity'!F22</f>
        <v>0</v>
      </c>
      <c r="AP142">
        <f>'Unsch.Care &amp; Ambulance Activity'!G22</f>
        <v>0</v>
      </c>
      <c r="AV142">
        <f>'Unsch.Care &amp; Ambulance Activity'!V22</f>
        <v>0</v>
      </c>
      <c r="AW142">
        <f>'Unsch.Care &amp; Ambulance Activity'!W22</f>
        <v>0</v>
      </c>
      <c r="AX142">
        <f>'Unsch.Care &amp; Ambulance Activity'!X22</f>
        <v>0</v>
      </c>
      <c r="AY142">
        <f>'Unsch.Care &amp; Ambulance Activity'!Y22</f>
        <v>0</v>
      </c>
      <c r="AZ142">
        <f>'Unsch.Care &amp; Ambulance Activity'!Z22</f>
        <v>0</v>
      </c>
      <c r="BA142">
        <f>'Unsch.Care &amp; Ambulance Activity'!AA22</f>
        <v>0</v>
      </c>
      <c r="BB142">
        <f>'Unsch.Care &amp; Ambulance Activity'!AB22</f>
        <v>0</v>
      </c>
      <c r="BC142">
        <f>'Unsch.Care &amp; Ambulance Activity'!AC22</f>
        <v>0</v>
      </c>
      <c r="BD142">
        <f>'Unsch.Care &amp; Ambulance Activity'!AD22</f>
        <v>0</v>
      </c>
      <c r="BE142">
        <f>'Unsch.Care &amp; Ambulance Activity'!AE22</f>
        <v>0</v>
      </c>
      <c r="BF142">
        <f>'Unsch.Care &amp; Ambulance Activity'!AF22</f>
        <v>0</v>
      </c>
      <c r="BG142">
        <f>'Unsch.Care &amp; Ambulance Activity'!AG22</f>
        <v>0</v>
      </c>
    </row>
    <row r="143" spans="1:59" hidden="1">
      <c r="A143" t="str">
        <f>'[1]Front Sheet and Checklist'!$C$5</f>
        <v>(please select from drop down)</v>
      </c>
      <c r="B143" t="s">
        <v>242</v>
      </c>
      <c r="C143" t="str">
        <f>'Unsch.Care &amp; Ambulance Activity'!$B$17</f>
        <v>AMBULANCE  WAST TO COMPLETE</v>
      </c>
      <c r="D143" t="str">
        <f>'Unsch.Care &amp; Ambulance Activity'!$B$19</f>
        <v>WAST to complete: Ambulance</v>
      </c>
      <c r="F143" t="str">
        <f>'Unsch.Care &amp; Ambulance Activity'!B23</f>
        <v>Predicted number of 111 calls referred direct to Urgent Primary Care Centres (in hours)</v>
      </c>
      <c r="G143">
        <f>'Unsch.Care &amp; Ambulance Activity'!I23</f>
        <v>0</v>
      </c>
      <c r="H143">
        <f>'Unsch.Care &amp; Ambulance Activity'!J23</f>
        <v>0</v>
      </c>
      <c r="I143">
        <f>'Unsch.Care &amp; Ambulance Activity'!K23</f>
        <v>0</v>
      </c>
      <c r="J143">
        <f>'Unsch.Care &amp; Ambulance Activity'!L23</f>
        <v>0</v>
      </c>
      <c r="K143">
        <f>'Unsch.Care &amp; Ambulance Activity'!M23</f>
        <v>0</v>
      </c>
      <c r="L143">
        <f>'Unsch.Care &amp; Ambulance Activity'!N23</f>
        <v>0</v>
      </c>
      <c r="M143">
        <f>'Unsch.Care &amp; Ambulance Activity'!O23</f>
        <v>0</v>
      </c>
      <c r="N143">
        <f>'Unsch.Care &amp; Ambulance Activity'!P23</f>
        <v>0</v>
      </c>
      <c r="O143">
        <f>'Unsch.Care &amp; Ambulance Activity'!Q23</f>
        <v>0</v>
      </c>
      <c r="P143">
        <f>'Unsch.Care &amp; Ambulance Activity'!R23</f>
        <v>0</v>
      </c>
      <c r="Q143">
        <f>'Unsch.Care &amp; Ambulance Activity'!S23</f>
        <v>0</v>
      </c>
      <c r="R143">
        <f>'Unsch.Care &amp; Ambulance Activity'!T23</f>
        <v>0</v>
      </c>
      <c r="AH143">
        <f>'Unsch.Care &amp; Ambulance Activity'!C23</f>
        <v>0</v>
      </c>
      <c r="AI143">
        <f>'Unsch.Care &amp; Ambulance Activity'!D23</f>
        <v>0</v>
      </c>
      <c r="AN143">
        <f>'Unsch.Care &amp; Ambulance Activity'!E23</f>
        <v>0</v>
      </c>
      <c r="AO143">
        <f>'Unsch.Care &amp; Ambulance Activity'!F23</f>
        <v>0</v>
      </c>
      <c r="AP143">
        <f>'Unsch.Care &amp; Ambulance Activity'!G23</f>
        <v>0</v>
      </c>
      <c r="AV143">
        <f>'Unsch.Care &amp; Ambulance Activity'!V23</f>
        <v>0</v>
      </c>
      <c r="AW143">
        <f>'Unsch.Care &amp; Ambulance Activity'!W23</f>
        <v>0</v>
      </c>
      <c r="AX143">
        <f>'Unsch.Care &amp; Ambulance Activity'!X23</f>
        <v>0</v>
      </c>
      <c r="AY143">
        <f>'Unsch.Care &amp; Ambulance Activity'!Y23</f>
        <v>0</v>
      </c>
      <c r="AZ143">
        <f>'Unsch.Care &amp; Ambulance Activity'!Z23</f>
        <v>0</v>
      </c>
      <c r="BA143">
        <f>'Unsch.Care &amp; Ambulance Activity'!AA23</f>
        <v>0</v>
      </c>
      <c r="BB143">
        <f>'Unsch.Care &amp; Ambulance Activity'!AB23</f>
        <v>0</v>
      </c>
      <c r="BC143">
        <f>'Unsch.Care &amp; Ambulance Activity'!AC23</f>
        <v>0</v>
      </c>
      <c r="BD143">
        <f>'Unsch.Care &amp; Ambulance Activity'!AD23</f>
        <v>0</v>
      </c>
      <c r="BE143">
        <f>'Unsch.Care &amp; Ambulance Activity'!AE23</f>
        <v>0</v>
      </c>
      <c r="BF143">
        <f>'Unsch.Care &amp; Ambulance Activity'!AF23</f>
        <v>0</v>
      </c>
      <c r="BG143">
        <f>'Unsch.Care &amp; Ambulance Activity'!AG23</f>
        <v>0</v>
      </c>
    </row>
    <row r="144" spans="1:59" hidden="1">
      <c r="A144" t="str">
        <f>'[1]Front Sheet and Checklist'!$C$5</f>
        <v>(please select from drop down)</v>
      </c>
      <c r="B144" t="s">
        <v>242</v>
      </c>
      <c r="C144" t="str">
        <f>'Unsch.Care &amp; Ambulance Activity'!$B$17</f>
        <v>AMBULANCE  WAST TO COMPLETE</v>
      </c>
      <c r="D144" t="str">
        <f>'Unsch.Care &amp; Ambulance Activity'!$B$19</f>
        <v>WAST to complete: Ambulance</v>
      </c>
      <c r="F144" t="str">
        <f>'Unsch.Care &amp; Ambulance Activity'!B24</f>
        <v>Predicted number of 111 calls referred direct to GP out of hours</v>
      </c>
      <c r="G144">
        <f>'Unsch.Care &amp; Ambulance Activity'!I24</f>
        <v>0</v>
      </c>
      <c r="H144">
        <f>'Unsch.Care &amp; Ambulance Activity'!J24</f>
        <v>0</v>
      </c>
      <c r="I144">
        <f>'Unsch.Care &amp; Ambulance Activity'!K24</f>
        <v>0</v>
      </c>
      <c r="J144">
        <f>'Unsch.Care &amp; Ambulance Activity'!L24</f>
        <v>0</v>
      </c>
      <c r="K144">
        <f>'Unsch.Care &amp; Ambulance Activity'!M24</f>
        <v>0</v>
      </c>
      <c r="L144">
        <f>'Unsch.Care &amp; Ambulance Activity'!N24</f>
        <v>0</v>
      </c>
      <c r="M144">
        <f>'Unsch.Care &amp; Ambulance Activity'!O24</f>
        <v>0</v>
      </c>
      <c r="N144">
        <f>'Unsch.Care &amp; Ambulance Activity'!P24</f>
        <v>0</v>
      </c>
      <c r="O144">
        <f>'Unsch.Care &amp; Ambulance Activity'!Q24</f>
        <v>0</v>
      </c>
      <c r="P144">
        <f>'Unsch.Care &amp; Ambulance Activity'!R24</f>
        <v>0</v>
      </c>
      <c r="Q144">
        <f>'Unsch.Care &amp; Ambulance Activity'!S24</f>
        <v>0</v>
      </c>
      <c r="R144">
        <f>'Unsch.Care &amp; Ambulance Activity'!T24</f>
        <v>0</v>
      </c>
      <c r="AH144">
        <f>'Unsch.Care &amp; Ambulance Activity'!C24</f>
        <v>0</v>
      </c>
      <c r="AI144">
        <f>'Unsch.Care &amp; Ambulance Activity'!D24</f>
        <v>0</v>
      </c>
      <c r="AN144">
        <f>'Unsch.Care &amp; Ambulance Activity'!E24</f>
        <v>0</v>
      </c>
      <c r="AO144">
        <f>'Unsch.Care &amp; Ambulance Activity'!F24</f>
        <v>0</v>
      </c>
      <c r="AP144">
        <f>'Unsch.Care &amp; Ambulance Activity'!G24</f>
        <v>0</v>
      </c>
      <c r="AV144">
        <f>'Unsch.Care &amp; Ambulance Activity'!V24</f>
        <v>0</v>
      </c>
      <c r="AW144">
        <f>'Unsch.Care &amp; Ambulance Activity'!W24</f>
        <v>0</v>
      </c>
      <c r="AX144">
        <f>'Unsch.Care &amp; Ambulance Activity'!X24</f>
        <v>0</v>
      </c>
      <c r="AY144">
        <f>'Unsch.Care &amp; Ambulance Activity'!Y24</f>
        <v>0</v>
      </c>
      <c r="AZ144">
        <f>'Unsch.Care &amp; Ambulance Activity'!Z24</f>
        <v>0</v>
      </c>
      <c r="BA144">
        <f>'Unsch.Care &amp; Ambulance Activity'!AA24</f>
        <v>0</v>
      </c>
      <c r="BB144">
        <f>'Unsch.Care &amp; Ambulance Activity'!AB24</f>
        <v>0</v>
      </c>
      <c r="BC144">
        <f>'Unsch.Care &amp; Ambulance Activity'!AC24</f>
        <v>0</v>
      </c>
      <c r="BD144">
        <f>'Unsch.Care &amp; Ambulance Activity'!AD24</f>
        <v>0</v>
      </c>
      <c r="BE144">
        <f>'Unsch.Care &amp; Ambulance Activity'!AE24</f>
        <v>0</v>
      </c>
      <c r="BF144">
        <f>'Unsch.Care &amp; Ambulance Activity'!AF24</f>
        <v>0</v>
      </c>
      <c r="BG144">
        <f>'Unsch.Care &amp; Ambulance Activity'!AG24</f>
        <v>0</v>
      </c>
    </row>
    <row r="145" spans="1:59" hidden="1">
      <c r="A145" t="str">
        <f>'[1]Front Sheet and Checklist'!$C$5</f>
        <v>(please select from drop down)</v>
      </c>
      <c r="B145" t="s">
        <v>242</v>
      </c>
      <c r="C145" t="str">
        <f>'Unsch.Care &amp; Ambulance Activity'!$B$17</f>
        <v>AMBULANCE  WAST TO COMPLETE</v>
      </c>
      <c r="D145" t="str">
        <f>'Unsch.Care &amp; Ambulance Activity'!$B$19</f>
        <v>WAST to complete: Ambulance</v>
      </c>
      <c r="F145" t="str">
        <f>'Unsch.Care &amp; Ambulance Activity'!B25</f>
        <v>Predicted number of 111 calls referred direct to ED</v>
      </c>
      <c r="G145">
        <f>'Unsch.Care &amp; Ambulance Activity'!I25</f>
        <v>0</v>
      </c>
      <c r="H145">
        <f>'Unsch.Care &amp; Ambulance Activity'!J25</f>
        <v>0</v>
      </c>
      <c r="I145">
        <f>'Unsch.Care &amp; Ambulance Activity'!K25</f>
        <v>0</v>
      </c>
      <c r="J145">
        <f>'Unsch.Care &amp; Ambulance Activity'!L25</f>
        <v>0</v>
      </c>
      <c r="K145">
        <f>'Unsch.Care &amp; Ambulance Activity'!M25</f>
        <v>0</v>
      </c>
      <c r="L145">
        <f>'Unsch.Care &amp; Ambulance Activity'!N25</f>
        <v>0</v>
      </c>
      <c r="M145">
        <f>'Unsch.Care &amp; Ambulance Activity'!O25</f>
        <v>0</v>
      </c>
      <c r="N145">
        <f>'Unsch.Care &amp; Ambulance Activity'!P25</f>
        <v>0</v>
      </c>
      <c r="O145">
        <f>'Unsch.Care &amp; Ambulance Activity'!Q25</f>
        <v>0</v>
      </c>
      <c r="P145">
        <f>'Unsch.Care &amp; Ambulance Activity'!R25</f>
        <v>0</v>
      </c>
      <c r="Q145">
        <f>'Unsch.Care &amp; Ambulance Activity'!S25</f>
        <v>0</v>
      </c>
      <c r="R145">
        <f>'Unsch.Care &amp; Ambulance Activity'!T25</f>
        <v>0</v>
      </c>
      <c r="AH145">
        <f>'Unsch.Care &amp; Ambulance Activity'!C25</f>
        <v>0</v>
      </c>
      <c r="AI145">
        <f>'Unsch.Care &amp; Ambulance Activity'!D25</f>
        <v>0</v>
      </c>
      <c r="AN145">
        <f>'Unsch.Care &amp; Ambulance Activity'!E25</f>
        <v>0</v>
      </c>
      <c r="AO145">
        <f>'Unsch.Care &amp; Ambulance Activity'!F25</f>
        <v>0</v>
      </c>
      <c r="AP145">
        <f>'Unsch.Care &amp; Ambulance Activity'!G25</f>
        <v>0</v>
      </c>
      <c r="AV145">
        <f>'Unsch.Care &amp; Ambulance Activity'!V25</f>
        <v>0</v>
      </c>
      <c r="AW145">
        <f>'Unsch.Care &amp; Ambulance Activity'!W25</f>
        <v>0</v>
      </c>
      <c r="AX145">
        <f>'Unsch.Care &amp; Ambulance Activity'!X25</f>
        <v>0</v>
      </c>
      <c r="AY145">
        <f>'Unsch.Care &amp; Ambulance Activity'!Y25</f>
        <v>0</v>
      </c>
      <c r="AZ145">
        <f>'Unsch.Care &amp; Ambulance Activity'!Z25</f>
        <v>0</v>
      </c>
      <c r="BA145">
        <f>'Unsch.Care &amp; Ambulance Activity'!AA25</f>
        <v>0</v>
      </c>
      <c r="BB145">
        <f>'Unsch.Care &amp; Ambulance Activity'!AB25</f>
        <v>0</v>
      </c>
      <c r="BC145">
        <f>'Unsch.Care &amp; Ambulance Activity'!AC25</f>
        <v>0</v>
      </c>
      <c r="BD145">
        <f>'Unsch.Care &amp; Ambulance Activity'!AD25</f>
        <v>0</v>
      </c>
      <c r="BE145">
        <f>'Unsch.Care &amp; Ambulance Activity'!AE25</f>
        <v>0</v>
      </c>
      <c r="BF145">
        <f>'Unsch.Care &amp; Ambulance Activity'!AF25</f>
        <v>0</v>
      </c>
      <c r="BG145">
        <f>'Unsch.Care &amp; Ambulance Activity'!AG25</f>
        <v>0</v>
      </c>
    </row>
    <row r="146" spans="1:59" hidden="1">
      <c r="A146" t="str">
        <f>'[1]Front Sheet and Checklist'!$C$5</f>
        <v>(please select from drop down)</v>
      </c>
      <c r="B146" t="s">
        <v>242</v>
      </c>
      <c r="C146" t="str">
        <f>'Unsch.Care &amp; Ambulance Activity'!$B$17</f>
        <v>AMBULANCE  WAST TO COMPLETE</v>
      </c>
      <c r="D146" t="str">
        <f>'Unsch.Care &amp; Ambulance Activity'!$B$26</f>
        <v>Conveyance</v>
      </c>
      <c r="F146" t="str">
        <f>'Unsch.Care &amp; Ambulance Activity'!B26</f>
        <v>Conveyance</v>
      </c>
      <c r="G146">
        <f>'Unsch.Care &amp; Ambulance Activity'!I26</f>
        <v>0</v>
      </c>
      <c r="H146">
        <f>'Unsch.Care &amp; Ambulance Activity'!J26</f>
        <v>0</v>
      </c>
      <c r="I146">
        <f>'Unsch.Care &amp; Ambulance Activity'!K26</f>
        <v>0</v>
      </c>
      <c r="J146">
        <f>'Unsch.Care &amp; Ambulance Activity'!L26</f>
        <v>0</v>
      </c>
      <c r="K146">
        <f>'Unsch.Care &amp; Ambulance Activity'!M26</f>
        <v>0</v>
      </c>
      <c r="L146">
        <f>'Unsch.Care &amp; Ambulance Activity'!N26</f>
        <v>0</v>
      </c>
      <c r="M146">
        <f>'Unsch.Care &amp; Ambulance Activity'!O26</f>
        <v>0</v>
      </c>
      <c r="N146">
        <f>'Unsch.Care &amp; Ambulance Activity'!P26</f>
        <v>0</v>
      </c>
      <c r="O146">
        <f>'Unsch.Care &amp; Ambulance Activity'!Q26</f>
        <v>0</v>
      </c>
      <c r="P146">
        <f>'Unsch.Care &amp; Ambulance Activity'!R26</f>
        <v>0</v>
      </c>
      <c r="Q146">
        <f>'Unsch.Care &amp; Ambulance Activity'!S26</f>
        <v>0</v>
      </c>
      <c r="R146">
        <f>'Unsch.Care &amp; Ambulance Activity'!T26</f>
        <v>0</v>
      </c>
      <c r="AH146">
        <f>'Unsch.Care &amp; Ambulance Activity'!C26</f>
        <v>0</v>
      </c>
      <c r="AI146">
        <f>'Unsch.Care &amp; Ambulance Activity'!D26</f>
        <v>0</v>
      </c>
      <c r="AN146">
        <f>'Unsch.Care &amp; Ambulance Activity'!E26</f>
        <v>0</v>
      </c>
      <c r="AO146">
        <f>'Unsch.Care &amp; Ambulance Activity'!F26</f>
        <v>0</v>
      </c>
      <c r="AP146">
        <f>'Unsch.Care &amp; Ambulance Activity'!G26</f>
        <v>0</v>
      </c>
      <c r="AV146">
        <f>'Unsch.Care &amp; Ambulance Activity'!V26</f>
        <v>0</v>
      </c>
      <c r="AW146">
        <f>'Unsch.Care &amp; Ambulance Activity'!W26</f>
        <v>0</v>
      </c>
      <c r="AX146">
        <f>'Unsch.Care &amp; Ambulance Activity'!X26</f>
        <v>0</v>
      </c>
      <c r="AY146">
        <f>'Unsch.Care &amp; Ambulance Activity'!Y26</f>
        <v>0</v>
      </c>
      <c r="AZ146">
        <f>'Unsch.Care &amp; Ambulance Activity'!Z26</f>
        <v>0</v>
      </c>
      <c r="BA146">
        <f>'Unsch.Care &amp; Ambulance Activity'!AA26</f>
        <v>0</v>
      </c>
      <c r="BB146">
        <f>'Unsch.Care &amp; Ambulance Activity'!AB26</f>
        <v>0</v>
      </c>
      <c r="BC146">
        <f>'Unsch.Care &amp; Ambulance Activity'!AC26</f>
        <v>0</v>
      </c>
      <c r="BD146">
        <f>'Unsch.Care &amp; Ambulance Activity'!AD26</f>
        <v>0</v>
      </c>
      <c r="BE146">
        <f>'Unsch.Care &amp; Ambulance Activity'!AE26</f>
        <v>0</v>
      </c>
      <c r="BF146">
        <f>'Unsch.Care &amp; Ambulance Activity'!AF26</f>
        <v>0</v>
      </c>
      <c r="BG146">
        <f>'Unsch.Care &amp; Ambulance Activity'!AG26</f>
        <v>0</v>
      </c>
    </row>
    <row r="147" spans="1:59" hidden="1">
      <c r="A147" t="str">
        <f>'[1]Front Sheet and Checklist'!$C$5</f>
        <v>(please select from drop down)</v>
      </c>
      <c r="B147" t="s">
        <v>242</v>
      </c>
      <c r="C147" t="str">
        <f>'Unsch.Care &amp; Ambulance Activity'!$B$17</f>
        <v>AMBULANCE  WAST TO COMPLETE</v>
      </c>
      <c r="D147" t="str">
        <f>'Unsch.Care &amp; Ambulance Activity'!$B$26</f>
        <v>Conveyance</v>
      </c>
      <c r="F147" t="str">
        <f>'Unsch.Care &amp; Ambulance Activity'!B27</f>
        <v>Total number of patients conveyed</v>
      </c>
      <c r="G147">
        <f>'Unsch.Care &amp; Ambulance Activity'!I27</f>
        <v>0</v>
      </c>
      <c r="H147">
        <f>'Unsch.Care &amp; Ambulance Activity'!J27</f>
        <v>0</v>
      </c>
      <c r="I147">
        <f>'Unsch.Care &amp; Ambulance Activity'!K27</f>
        <v>0</v>
      </c>
      <c r="J147">
        <f>'Unsch.Care &amp; Ambulance Activity'!L27</f>
        <v>0</v>
      </c>
      <c r="K147">
        <f>'Unsch.Care &amp; Ambulance Activity'!M27</f>
        <v>0</v>
      </c>
      <c r="L147">
        <f>'Unsch.Care &amp; Ambulance Activity'!N27</f>
        <v>0</v>
      </c>
      <c r="M147">
        <f>'Unsch.Care &amp; Ambulance Activity'!O27</f>
        <v>0</v>
      </c>
      <c r="N147">
        <f>'Unsch.Care &amp; Ambulance Activity'!P27</f>
        <v>0</v>
      </c>
      <c r="O147">
        <f>'Unsch.Care &amp; Ambulance Activity'!Q27</f>
        <v>0</v>
      </c>
      <c r="P147">
        <f>'Unsch.Care &amp; Ambulance Activity'!R27</f>
        <v>0</v>
      </c>
      <c r="Q147">
        <f>'Unsch.Care &amp; Ambulance Activity'!S27</f>
        <v>0</v>
      </c>
      <c r="R147">
        <f>'Unsch.Care &amp; Ambulance Activity'!T27</f>
        <v>0</v>
      </c>
      <c r="AH147">
        <f>'Unsch.Care &amp; Ambulance Activity'!C27</f>
        <v>0</v>
      </c>
      <c r="AI147">
        <f>'Unsch.Care &amp; Ambulance Activity'!D27</f>
        <v>0</v>
      </c>
      <c r="AN147">
        <f>'Unsch.Care &amp; Ambulance Activity'!E27</f>
        <v>0</v>
      </c>
      <c r="AO147">
        <f>'Unsch.Care &amp; Ambulance Activity'!F27</f>
        <v>0</v>
      </c>
      <c r="AP147">
        <f>'Unsch.Care &amp; Ambulance Activity'!G27</f>
        <v>0</v>
      </c>
      <c r="AV147">
        <f>'Unsch.Care &amp; Ambulance Activity'!V27</f>
        <v>0</v>
      </c>
      <c r="AW147">
        <f>'Unsch.Care &amp; Ambulance Activity'!W27</f>
        <v>0</v>
      </c>
      <c r="AX147">
        <f>'Unsch.Care &amp; Ambulance Activity'!X27</f>
        <v>0</v>
      </c>
      <c r="AY147">
        <f>'Unsch.Care &amp; Ambulance Activity'!Y27</f>
        <v>0</v>
      </c>
      <c r="AZ147">
        <f>'Unsch.Care &amp; Ambulance Activity'!Z27</f>
        <v>0</v>
      </c>
      <c r="BA147">
        <f>'Unsch.Care &amp; Ambulance Activity'!AA27</f>
        <v>0</v>
      </c>
      <c r="BB147">
        <f>'Unsch.Care &amp; Ambulance Activity'!AB27</f>
        <v>0</v>
      </c>
      <c r="BC147">
        <f>'Unsch.Care &amp; Ambulance Activity'!AC27</f>
        <v>0</v>
      </c>
      <c r="BD147">
        <f>'Unsch.Care &amp; Ambulance Activity'!AD27</f>
        <v>0</v>
      </c>
      <c r="BE147">
        <f>'Unsch.Care &amp; Ambulance Activity'!AE27</f>
        <v>0</v>
      </c>
      <c r="BF147">
        <f>'Unsch.Care &amp; Ambulance Activity'!AF27</f>
        <v>0</v>
      </c>
      <c r="BG147">
        <f>'Unsch.Care &amp; Ambulance Activity'!AG27</f>
        <v>0</v>
      </c>
    </row>
    <row r="148" spans="1:59" hidden="1">
      <c r="A148" t="str">
        <f>'[1]Front Sheet and Checklist'!$C$5</f>
        <v>(please select from drop down)</v>
      </c>
      <c r="B148" t="s">
        <v>242</v>
      </c>
      <c r="C148" t="str">
        <f>'Unsch.Care &amp; Ambulance Activity'!$B$17</f>
        <v>AMBULANCE  WAST TO COMPLETE</v>
      </c>
      <c r="D148" t="str">
        <f>'Unsch.Care &amp; Ambulance Activity'!$B$26</f>
        <v>Conveyance</v>
      </c>
      <c r="F148" t="str">
        <f>'Unsch.Care &amp; Ambulance Activity'!B28</f>
        <v>Total number of patients conveyed to - Type 1 ED</v>
      </c>
      <c r="G148">
        <f>'Unsch.Care &amp; Ambulance Activity'!I28</f>
        <v>0</v>
      </c>
      <c r="H148">
        <f>'Unsch.Care &amp; Ambulance Activity'!J28</f>
        <v>0</v>
      </c>
      <c r="I148">
        <f>'Unsch.Care &amp; Ambulance Activity'!K28</f>
        <v>0</v>
      </c>
      <c r="J148">
        <f>'Unsch.Care &amp; Ambulance Activity'!L28</f>
        <v>0</v>
      </c>
      <c r="K148">
        <f>'Unsch.Care &amp; Ambulance Activity'!M28</f>
        <v>0</v>
      </c>
      <c r="L148">
        <f>'Unsch.Care &amp; Ambulance Activity'!N28</f>
        <v>0</v>
      </c>
      <c r="M148">
        <f>'Unsch.Care &amp; Ambulance Activity'!O28</f>
        <v>0</v>
      </c>
      <c r="N148">
        <f>'Unsch.Care &amp; Ambulance Activity'!P28</f>
        <v>0</v>
      </c>
      <c r="O148">
        <f>'Unsch.Care &amp; Ambulance Activity'!Q28</f>
        <v>0</v>
      </c>
      <c r="P148">
        <f>'Unsch.Care &amp; Ambulance Activity'!R28</f>
        <v>0</v>
      </c>
      <c r="Q148">
        <f>'Unsch.Care &amp; Ambulance Activity'!S28</f>
        <v>0</v>
      </c>
      <c r="R148">
        <f>'Unsch.Care &amp; Ambulance Activity'!T28</f>
        <v>0</v>
      </c>
      <c r="AH148">
        <f>'Unsch.Care &amp; Ambulance Activity'!C28</f>
        <v>0</v>
      </c>
      <c r="AI148">
        <f>'Unsch.Care &amp; Ambulance Activity'!D28</f>
        <v>0</v>
      </c>
      <c r="AN148">
        <f>'Unsch.Care &amp; Ambulance Activity'!E28</f>
        <v>0</v>
      </c>
      <c r="AO148">
        <f>'Unsch.Care &amp; Ambulance Activity'!F28</f>
        <v>0</v>
      </c>
      <c r="AP148">
        <f>'Unsch.Care &amp; Ambulance Activity'!G28</f>
        <v>0</v>
      </c>
      <c r="AV148">
        <f>'Unsch.Care &amp; Ambulance Activity'!V28</f>
        <v>0</v>
      </c>
      <c r="AW148">
        <f>'Unsch.Care &amp; Ambulance Activity'!W28</f>
        <v>0</v>
      </c>
      <c r="AX148">
        <f>'Unsch.Care &amp; Ambulance Activity'!X28</f>
        <v>0</v>
      </c>
      <c r="AY148">
        <f>'Unsch.Care &amp; Ambulance Activity'!Y28</f>
        <v>0</v>
      </c>
      <c r="AZ148">
        <f>'Unsch.Care &amp; Ambulance Activity'!Z28</f>
        <v>0</v>
      </c>
      <c r="BA148">
        <f>'Unsch.Care &amp; Ambulance Activity'!AA28</f>
        <v>0</v>
      </c>
      <c r="BB148">
        <f>'Unsch.Care &amp; Ambulance Activity'!AB28</f>
        <v>0</v>
      </c>
      <c r="BC148">
        <f>'Unsch.Care &amp; Ambulance Activity'!AC28</f>
        <v>0</v>
      </c>
      <c r="BD148">
        <f>'Unsch.Care &amp; Ambulance Activity'!AD28</f>
        <v>0</v>
      </c>
      <c r="BE148">
        <f>'Unsch.Care &amp; Ambulance Activity'!AE28</f>
        <v>0</v>
      </c>
      <c r="BF148">
        <f>'Unsch.Care &amp; Ambulance Activity'!AF28</f>
        <v>0</v>
      </c>
      <c r="BG148">
        <f>'Unsch.Care &amp; Ambulance Activity'!AG28</f>
        <v>0</v>
      </c>
    </row>
    <row r="149" spans="1:59" hidden="1">
      <c r="A149" t="str">
        <f>'[1]Front Sheet and Checklist'!$C$5</f>
        <v>(please select from drop down)</v>
      </c>
      <c r="B149" t="s">
        <v>242</v>
      </c>
      <c r="C149" t="str">
        <f>'Unsch.Care &amp; Ambulance Activity'!$B$17</f>
        <v>AMBULANCE  WAST TO COMPLETE</v>
      </c>
      <c r="D149" t="str">
        <f>'Unsch.Care &amp; Ambulance Activity'!$B$26</f>
        <v>Conveyance</v>
      </c>
      <c r="F149" t="str">
        <f>'Unsch.Care &amp; Ambulance Activity'!B29</f>
        <v>Total number of patients conveyed to - Minor Injury Units</v>
      </c>
      <c r="G149">
        <f>'Unsch.Care &amp; Ambulance Activity'!I29</f>
        <v>0</v>
      </c>
      <c r="H149">
        <f>'Unsch.Care &amp; Ambulance Activity'!J29</f>
        <v>0</v>
      </c>
      <c r="I149">
        <f>'Unsch.Care &amp; Ambulance Activity'!K29</f>
        <v>0</v>
      </c>
      <c r="J149">
        <f>'Unsch.Care &amp; Ambulance Activity'!L29</f>
        <v>0</v>
      </c>
      <c r="K149">
        <f>'Unsch.Care &amp; Ambulance Activity'!M29</f>
        <v>0</v>
      </c>
      <c r="L149">
        <f>'Unsch.Care &amp; Ambulance Activity'!N29</f>
        <v>0</v>
      </c>
      <c r="M149">
        <f>'Unsch.Care &amp; Ambulance Activity'!O29</f>
        <v>0</v>
      </c>
      <c r="N149">
        <f>'Unsch.Care &amp; Ambulance Activity'!P29</f>
        <v>0</v>
      </c>
      <c r="O149">
        <f>'Unsch.Care &amp; Ambulance Activity'!Q29</f>
        <v>0</v>
      </c>
      <c r="P149">
        <f>'Unsch.Care &amp; Ambulance Activity'!R29</f>
        <v>0</v>
      </c>
      <c r="Q149">
        <f>'Unsch.Care &amp; Ambulance Activity'!S29</f>
        <v>0</v>
      </c>
      <c r="R149">
        <f>'Unsch.Care &amp; Ambulance Activity'!T29</f>
        <v>0</v>
      </c>
      <c r="AH149">
        <f>'Unsch.Care &amp; Ambulance Activity'!C29</f>
        <v>0</v>
      </c>
      <c r="AI149">
        <f>'Unsch.Care &amp; Ambulance Activity'!D29</f>
        <v>0</v>
      </c>
      <c r="AN149">
        <f>'Unsch.Care &amp; Ambulance Activity'!E29</f>
        <v>0</v>
      </c>
      <c r="AO149">
        <f>'Unsch.Care &amp; Ambulance Activity'!F29</f>
        <v>0</v>
      </c>
      <c r="AP149">
        <f>'Unsch.Care &amp; Ambulance Activity'!G29</f>
        <v>0</v>
      </c>
      <c r="AV149">
        <f>'Unsch.Care &amp; Ambulance Activity'!V29</f>
        <v>0</v>
      </c>
      <c r="AW149">
        <f>'Unsch.Care &amp; Ambulance Activity'!W29</f>
        <v>0</v>
      </c>
      <c r="AX149">
        <f>'Unsch.Care &amp; Ambulance Activity'!X29</f>
        <v>0</v>
      </c>
      <c r="AY149">
        <f>'Unsch.Care &amp; Ambulance Activity'!Y29</f>
        <v>0</v>
      </c>
      <c r="AZ149">
        <f>'Unsch.Care &amp; Ambulance Activity'!Z29</f>
        <v>0</v>
      </c>
      <c r="BA149">
        <f>'Unsch.Care &amp; Ambulance Activity'!AA29</f>
        <v>0</v>
      </c>
      <c r="BB149">
        <f>'Unsch.Care &amp; Ambulance Activity'!AB29</f>
        <v>0</v>
      </c>
      <c r="BC149">
        <f>'Unsch.Care &amp; Ambulance Activity'!AC29</f>
        <v>0</v>
      </c>
      <c r="BD149">
        <f>'Unsch.Care &amp; Ambulance Activity'!AD29</f>
        <v>0</v>
      </c>
      <c r="BE149">
        <f>'Unsch.Care &amp; Ambulance Activity'!AE29</f>
        <v>0</v>
      </c>
      <c r="BF149">
        <f>'Unsch.Care &amp; Ambulance Activity'!AF29</f>
        <v>0</v>
      </c>
      <c r="BG149">
        <f>'Unsch.Care &amp; Ambulance Activity'!AG29</f>
        <v>0</v>
      </c>
    </row>
    <row r="150" spans="1:59" hidden="1">
      <c r="A150" t="str">
        <f>'[1]Front Sheet and Checklist'!$C$5</f>
        <v>(please select from drop down)</v>
      </c>
      <c r="B150" t="s">
        <v>242</v>
      </c>
      <c r="C150" t="str">
        <f>'Unsch.Care &amp; Ambulance Activity'!$B$17</f>
        <v>AMBULANCE  WAST TO COMPLETE</v>
      </c>
      <c r="D150" t="str">
        <f>'Unsch.Care &amp; Ambulance Activity'!$B$26</f>
        <v>Conveyance</v>
      </c>
      <c r="F150" t="str">
        <f>'Unsch.Care &amp; Ambulance Activity'!B30</f>
        <v>Total number of patients conveyed to - Medical Assessment Units</v>
      </c>
      <c r="G150">
        <f>'Unsch.Care &amp; Ambulance Activity'!I30</f>
        <v>0</v>
      </c>
      <c r="H150">
        <f>'Unsch.Care &amp; Ambulance Activity'!J30</f>
        <v>0</v>
      </c>
      <c r="I150">
        <f>'Unsch.Care &amp; Ambulance Activity'!K30</f>
        <v>0</v>
      </c>
      <c r="J150">
        <f>'Unsch.Care &amp; Ambulance Activity'!L30</f>
        <v>0</v>
      </c>
      <c r="K150">
        <f>'Unsch.Care &amp; Ambulance Activity'!M30</f>
        <v>0</v>
      </c>
      <c r="L150">
        <f>'Unsch.Care &amp; Ambulance Activity'!N30</f>
        <v>0</v>
      </c>
      <c r="M150">
        <f>'Unsch.Care &amp; Ambulance Activity'!O30</f>
        <v>0</v>
      </c>
      <c r="N150">
        <f>'Unsch.Care &amp; Ambulance Activity'!P30</f>
        <v>0</v>
      </c>
      <c r="O150">
        <f>'Unsch.Care &amp; Ambulance Activity'!Q30</f>
        <v>0</v>
      </c>
      <c r="P150">
        <f>'Unsch.Care &amp; Ambulance Activity'!R30</f>
        <v>0</v>
      </c>
      <c r="Q150">
        <f>'Unsch.Care &amp; Ambulance Activity'!S30</f>
        <v>0</v>
      </c>
      <c r="R150">
        <f>'Unsch.Care &amp; Ambulance Activity'!T30</f>
        <v>0</v>
      </c>
      <c r="AH150">
        <f>'Unsch.Care &amp; Ambulance Activity'!C30</f>
        <v>0</v>
      </c>
      <c r="AI150">
        <f>'Unsch.Care &amp; Ambulance Activity'!D30</f>
        <v>0</v>
      </c>
      <c r="AN150">
        <f>'Unsch.Care &amp; Ambulance Activity'!E30</f>
        <v>0</v>
      </c>
      <c r="AO150">
        <f>'Unsch.Care &amp; Ambulance Activity'!F30</f>
        <v>0</v>
      </c>
      <c r="AP150">
        <f>'Unsch.Care &amp; Ambulance Activity'!G30</f>
        <v>0</v>
      </c>
      <c r="AV150">
        <f>'Unsch.Care &amp; Ambulance Activity'!V30</f>
        <v>0</v>
      </c>
      <c r="AW150">
        <f>'Unsch.Care &amp; Ambulance Activity'!W30</f>
        <v>0</v>
      </c>
      <c r="AX150">
        <f>'Unsch.Care &amp; Ambulance Activity'!X30</f>
        <v>0</v>
      </c>
      <c r="AY150">
        <f>'Unsch.Care &amp; Ambulance Activity'!Y30</f>
        <v>0</v>
      </c>
      <c r="AZ150">
        <f>'Unsch.Care &amp; Ambulance Activity'!Z30</f>
        <v>0</v>
      </c>
      <c r="BA150">
        <f>'Unsch.Care &amp; Ambulance Activity'!AA30</f>
        <v>0</v>
      </c>
      <c r="BB150">
        <f>'Unsch.Care &amp; Ambulance Activity'!AB30</f>
        <v>0</v>
      </c>
      <c r="BC150">
        <f>'Unsch.Care &amp; Ambulance Activity'!AC30</f>
        <v>0</v>
      </c>
      <c r="BD150">
        <f>'Unsch.Care &amp; Ambulance Activity'!AD30</f>
        <v>0</v>
      </c>
      <c r="BE150">
        <f>'Unsch.Care &amp; Ambulance Activity'!AE30</f>
        <v>0</v>
      </c>
      <c r="BF150">
        <f>'Unsch.Care &amp; Ambulance Activity'!AF30</f>
        <v>0</v>
      </c>
      <c r="BG150">
        <f>'Unsch.Care &amp; Ambulance Activity'!AG30</f>
        <v>0</v>
      </c>
    </row>
    <row r="151" spans="1:59" hidden="1">
      <c r="A151" t="str">
        <f>'[1]Front Sheet and Checklist'!$C$5</f>
        <v>(please select from drop down)</v>
      </c>
      <c r="B151" t="s">
        <v>242</v>
      </c>
      <c r="C151" t="str">
        <f>'Unsch.Care &amp; Ambulance Activity'!$B$17</f>
        <v>AMBULANCE  WAST TO COMPLETE</v>
      </c>
      <c r="D151" t="str">
        <f>'Unsch.Care &amp; Ambulance Activity'!$B$31</f>
        <v>Incident volume</v>
      </c>
      <c r="F151" t="str">
        <f>'Unsch.Care &amp; Ambulance Activity'!B31</f>
        <v>Incident volume</v>
      </c>
      <c r="G151">
        <f>'Unsch.Care &amp; Ambulance Activity'!I31</f>
        <v>0</v>
      </c>
      <c r="H151">
        <f>'Unsch.Care &amp; Ambulance Activity'!J31</f>
        <v>0</v>
      </c>
      <c r="I151">
        <f>'Unsch.Care &amp; Ambulance Activity'!K31</f>
        <v>0</v>
      </c>
      <c r="J151">
        <f>'Unsch.Care &amp; Ambulance Activity'!L31</f>
        <v>0</v>
      </c>
      <c r="K151">
        <f>'Unsch.Care &amp; Ambulance Activity'!M31</f>
        <v>0</v>
      </c>
      <c r="L151">
        <f>'Unsch.Care &amp; Ambulance Activity'!N31</f>
        <v>0</v>
      </c>
      <c r="M151">
        <f>'Unsch.Care &amp; Ambulance Activity'!O31</f>
        <v>0</v>
      </c>
      <c r="N151">
        <f>'Unsch.Care &amp; Ambulance Activity'!P31</f>
        <v>0</v>
      </c>
      <c r="O151">
        <f>'Unsch.Care &amp; Ambulance Activity'!Q31</f>
        <v>0</v>
      </c>
      <c r="P151">
        <f>'Unsch.Care &amp; Ambulance Activity'!R31</f>
        <v>0</v>
      </c>
      <c r="Q151">
        <f>'Unsch.Care &amp; Ambulance Activity'!S31</f>
        <v>0</v>
      </c>
      <c r="R151">
        <f>'Unsch.Care &amp; Ambulance Activity'!T31</f>
        <v>0</v>
      </c>
      <c r="AH151">
        <f>'Unsch.Care &amp; Ambulance Activity'!C31</f>
        <v>0</v>
      </c>
      <c r="AI151">
        <f>'Unsch.Care &amp; Ambulance Activity'!D31</f>
        <v>0</v>
      </c>
      <c r="AN151">
        <f>'Unsch.Care &amp; Ambulance Activity'!E31</f>
        <v>0</v>
      </c>
      <c r="AO151">
        <f>'Unsch.Care &amp; Ambulance Activity'!F31</f>
        <v>0</v>
      </c>
      <c r="AP151">
        <f>'Unsch.Care &amp; Ambulance Activity'!G31</f>
        <v>0</v>
      </c>
      <c r="AV151">
        <f>'Unsch.Care &amp; Ambulance Activity'!V31</f>
        <v>0</v>
      </c>
      <c r="AW151">
        <f>'Unsch.Care &amp; Ambulance Activity'!W31</f>
        <v>0</v>
      </c>
      <c r="AX151">
        <f>'Unsch.Care &amp; Ambulance Activity'!X31</f>
        <v>0</v>
      </c>
      <c r="AY151">
        <f>'Unsch.Care &amp; Ambulance Activity'!Y31</f>
        <v>0</v>
      </c>
      <c r="AZ151">
        <f>'Unsch.Care &amp; Ambulance Activity'!Z31</f>
        <v>0</v>
      </c>
      <c r="BA151">
        <f>'Unsch.Care &amp; Ambulance Activity'!AA31</f>
        <v>0</v>
      </c>
      <c r="BB151">
        <f>'Unsch.Care &amp; Ambulance Activity'!AB31</f>
        <v>0</v>
      </c>
      <c r="BC151">
        <f>'Unsch.Care &amp; Ambulance Activity'!AC31</f>
        <v>0</v>
      </c>
      <c r="BD151">
        <f>'Unsch.Care &amp; Ambulance Activity'!AD31</f>
        <v>0</v>
      </c>
      <c r="BE151">
        <f>'Unsch.Care &amp; Ambulance Activity'!AE31</f>
        <v>0</v>
      </c>
      <c r="BF151">
        <f>'Unsch.Care &amp; Ambulance Activity'!AF31</f>
        <v>0</v>
      </c>
      <c r="BG151">
        <f>'Unsch.Care &amp; Ambulance Activity'!AG31</f>
        <v>0</v>
      </c>
    </row>
    <row r="152" spans="1:59" hidden="1">
      <c r="A152" t="str">
        <f>'[1]Front Sheet and Checklist'!$C$5</f>
        <v>(please select from drop down)</v>
      </c>
      <c r="B152" t="s">
        <v>242</v>
      </c>
      <c r="C152" t="str">
        <f>'Unsch.Care &amp; Ambulance Activity'!$B$17</f>
        <v>AMBULANCE  WAST TO COMPLETE</v>
      </c>
      <c r="D152" t="str">
        <f>'Unsch.Care &amp; Ambulance Activity'!$B$31</f>
        <v>Incident volume</v>
      </c>
      <c r="F152" t="str">
        <f>'Unsch.Care &amp; Ambulance Activity'!B32</f>
        <v>Forecast verified Emergency Service (EMS) demand</v>
      </c>
      <c r="G152">
        <f>'Unsch.Care &amp; Ambulance Activity'!I32</f>
        <v>0</v>
      </c>
      <c r="H152">
        <f>'Unsch.Care &amp; Ambulance Activity'!J32</f>
        <v>0</v>
      </c>
      <c r="I152">
        <f>'Unsch.Care &amp; Ambulance Activity'!K32</f>
        <v>0</v>
      </c>
      <c r="J152">
        <f>'Unsch.Care &amp; Ambulance Activity'!L32</f>
        <v>0</v>
      </c>
      <c r="K152">
        <f>'Unsch.Care &amp; Ambulance Activity'!M32</f>
        <v>0</v>
      </c>
      <c r="L152">
        <f>'Unsch.Care &amp; Ambulance Activity'!N32</f>
        <v>0</v>
      </c>
      <c r="M152">
        <f>'Unsch.Care &amp; Ambulance Activity'!O32</f>
        <v>0</v>
      </c>
      <c r="N152">
        <f>'Unsch.Care &amp; Ambulance Activity'!P32</f>
        <v>0</v>
      </c>
      <c r="O152">
        <f>'Unsch.Care &amp; Ambulance Activity'!Q32</f>
        <v>0</v>
      </c>
      <c r="P152">
        <f>'Unsch.Care &amp; Ambulance Activity'!R32</f>
        <v>0</v>
      </c>
      <c r="Q152">
        <f>'Unsch.Care &amp; Ambulance Activity'!S32</f>
        <v>0</v>
      </c>
      <c r="R152">
        <f>'Unsch.Care &amp; Ambulance Activity'!T32</f>
        <v>0</v>
      </c>
      <c r="AH152">
        <f>'Unsch.Care &amp; Ambulance Activity'!C32</f>
        <v>0</v>
      </c>
      <c r="AI152">
        <f>'Unsch.Care &amp; Ambulance Activity'!D32</f>
        <v>0</v>
      </c>
      <c r="AN152">
        <f>'Unsch.Care &amp; Ambulance Activity'!E32</f>
        <v>0</v>
      </c>
      <c r="AO152">
        <f>'Unsch.Care &amp; Ambulance Activity'!F32</f>
        <v>0</v>
      </c>
      <c r="AP152">
        <f>'Unsch.Care &amp; Ambulance Activity'!G32</f>
        <v>0</v>
      </c>
      <c r="AV152">
        <f>'Unsch.Care &amp; Ambulance Activity'!V32</f>
        <v>0</v>
      </c>
      <c r="AW152">
        <f>'Unsch.Care &amp; Ambulance Activity'!W32</f>
        <v>0</v>
      </c>
      <c r="AX152">
        <f>'Unsch.Care &amp; Ambulance Activity'!X32</f>
        <v>0</v>
      </c>
      <c r="AY152">
        <f>'Unsch.Care &amp; Ambulance Activity'!Y32</f>
        <v>0</v>
      </c>
      <c r="AZ152">
        <f>'Unsch.Care &amp; Ambulance Activity'!Z32</f>
        <v>0</v>
      </c>
      <c r="BA152">
        <f>'Unsch.Care &amp; Ambulance Activity'!AA32</f>
        <v>0</v>
      </c>
      <c r="BB152">
        <f>'Unsch.Care &amp; Ambulance Activity'!AB32</f>
        <v>0</v>
      </c>
      <c r="BC152">
        <f>'Unsch.Care &amp; Ambulance Activity'!AC32</f>
        <v>0</v>
      </c>
      <c r="BD152">
        <f>'Unsch.Care &amp; Ambulance Activity'!AD32</f>
        <v>0</v>
      </c>
      <c r="BE152">
        <f>'Unsch.Care &amp; Ambulance Activity'!AE32</f>
        <v>0</v>
      </c>
      <c r="BF152">
        <f>'Unsch.Care &amp; Ambulance Activity'!AF32</f>
        <v>0</v>
      </c>
      <c r="BG152">
        <f>'Unsch.Care &amp; Ambulance Activity'!AG32</f>
        <v>0</v>
      </c>
    </row>
    <row r="153" spans="1:59" hidden="1">
      <c r="A153" t="str">
        <f>'[1]Front Sheet and Checklist'!$C$5</f>
        <v>(please select from drop down)</v>
      </c>
      <c r="B153" t="s">
        <v>242</v>
      </c>
      <c r="C153" t="str">
        <f>'Unsch.Care &amp; Ambulance Activity'!$B$17</f>
        <v>AMBULANCE  WAST TO COMPLETE</v>
      </c>
      <c r="D153" t="str">
        <f>'Unsch.Care &amp; Ambulance Activity'!$B$31</f>
        <v>Incident volume</v>
      </c>
      <c r="F153" t="str">
        <f>'Unsch.Care &amp; Ambulance Activity'!B33</f>
        <v>Levels of forecast demand that is expected to result in conveyance to ED</v>
      </c>
      <c r="G153">
        <f>'Unsch.Care &amp; Ambulance Activity'!I33</f>
        <v>0</v>
      </c>
      <c r="H153">
        <f>'Unsch.Care &amp; Ambulance Activity'!J33</f>
        <v>0</v>
      </c>
      <c r="I153">
        <f>'Unsch.Care &amp; Ambulance Activity'!K33</f>
        <v>0</v>
      </c>
      <c r="J153">
        <f>'Unsch.Care &amp; Ambulance Activity'!L33</f>
        <v>0</v>
      </c>
      <c r="K153">
        <f>'Unsch.Care &amp; Ambulance Activity'!M33</f>
        <v>0</v>
      </c>
      <c r="L153">
        <f>'Unsch.Care &amp; Ambulance Activity'!N33</f>
        <v>0</v>
      </c>
      <c r="M153">
        <f>'Unsch.Care &amp; Ambulance Activity'!O33</f>
        <v>0</v>
      </c>
      <c r="N153">
        <f>'Unsch.Care &amp; Ambulance Activity'!P33</f>
        <v>0</v>
      </c>
      <c r="O153">
        <f>'Unsch.Care &amp; Ambulance Activity'!Q33</f>
        <v>0</v>
      </c>
      <c r="P153">
        <f>'Unsch.Care &amp; Ambulance Activity'!R33</f>
        <v>0</v>
      </c>
      <c r="Q153">
        <f>'Unsch.Care &amp; Ambulance Activity'!S33</f>
        <v>0</v>
      </c>
      <c r="R153">
        <f>'Unsch.Care &amp; Ambulance Activity'!T33</f>
        <v>0</v>
      </c>
      <c r="AH153">
        <f>'Unsch.Care &amp; Ambulance Activity'!C33</f>
        <v>0</v>
      </c>
      <c r="AI153">
        <f>'Unsch.Care &amp; Ambulance Activity'!D33</f>
        <v>0</v>
      </c>
      <c r="AN153">
        <f>'Unsch.Care &amp; Ambulance Activity'!E33</f>
        <v>0</v>
      </c>
      <c r="AO153">
        <f>'Unsch.Care &amp; Ambulance Activity'!F33</f>
        <v>0</v>
      </c>
      <c r="AP153">
        <f>'Unsch.Care &amp; Ambulance Activity'!G33</f>
        <v>0</v>
      </c>
      <c r="AV153">
        <f>'Unsch.Care &amp; Ambulance Activity'!V33</f>
        <v>0</v>
      </c>
      <c r="AW153">
        <f>'Unsch.Care &amp; Ambulance Activity'!W33</f>
        <v>0</v>
      </c>
      <c r="AX153">
        <f>'Unsch.Care &amp; Ambulance Activity'!X33</f>
        <v>0</v>
      </c>
      <c r="AY153">
        <f>'Unsch.Care &amp; Ambulance Activity'!Y33</f>
        <v>0</v>
      </c>
      <c r="AZ153">
        <f>'Unsch.Care &amp; Ambulance Activity'!Z33</f>
        <v>0</v>
      </c>
      <c r="BA153">
        <f>'Unsch.Care &amp; Ambulance Activity'!AA33</f>
        <v>0</v>
      </c>
      <c r="BB153">
        <f>'Unsch.Care &amp; Ambulance Activity'!AB33</f>
        <v>0</v>
      </c>
      <c r="BC153">
        <f>'Unsch.Care &amp; Ambulance Activity'!AC33</f>
        <v>0</v>
      </c>
      <c r="BD153">
        <f>'Unsch.Care &amp; Ambulance Activity'!AD33</f>
        <v>0</v>
      </c>
      <c r="BE153">
        <f>'Unsch.Care &amp; Ambulance Activity'!AE33</f>
        <v>0</v>
      </c>
      <c r="BF153">
        <f>'Unsch.Care &amp; Ambulance Activity'!AF33</f>
        <v>0</v>
      </c>
      <c r="BG153">
        <f>'Unsch.Care &amp; Ambulance Activity'!AG33</f>
        <v>0</v>
      </c>
    </row>
    <row r="154" spans="1:59" hidden="1">
      <c r="A154" t="str">
        <f>'[1]Front Sheet and Checklist'!$C$5</f>
        <v>(please select from drop down)</v>
      </c>
      <c r="B154" t="s">
        <v>242</v>
      </c>
      <c r="C154" t="str">
        <f>'Unsch.Care &amp; Ambulance Activity'!$B$17</f>
        <v>AMBULANCE  WAST TO COMPLETE</v>
      </c>
      <c r="D154" t="str">
        <f>'Unsch.Care &amp; Ambulance Activity'!$B$31</f>
        <v>Incident volume</v>
      </c>
      <c r="F154" t="str">
        <f>'Unsch.Care &amp; Ambulance Activity'!B34</f>
        <v>Levels of forecast demand that is expected to result in conveyance to SDEC</v>
      </c>
      <c r="G154">
        <f>'Unsch.Care &amp; Ambulance Activity'!I34</f>
        <v>0</v>
      </c>
      <c r="H154">
        <f>'Unsch.Care &amp; Ambulance Activity'!J34</f>
        <v>0</v>
      </c>
      <c r="I154">
        <f>'Unsch.Care &amp; Ambulance Activity'!K34</f>
        <v>0</v>
      </c>
      <c r="J154">
        <f>'Unsch.Care &amp; Ambulance Activity'!L34</f>
        <v>0</v>
      </c>
      <c r="K154">
        <f>'Unsch.Care &amp; Ambulance Activity'!M34</f>
        <v>0</v>
      </c>
      <c r="L154">
        <f>'Unsch.Care &amp; Ambulance Activity'!N34</f>
        <v>0</v>
      </c>
      <c r="M154">
        <f>'Unsch.Care &amp; Ambulance Activity'!O34</f>
        <v>0</v>
      </c>
      <c r="N154">
        <f>'Unsch.Care &amp; Ambulance Activity'!P34</f>
        <v>0</v>
      </c>
      <c r="O154">
        <f>'Unsch.Care &amp; Ambulance Activity'!Q34</f>
        <v>0</v>
      </c>
      <c r="P154">
        <f>'Unsch.Care &amp; Ambulance Activity'!R34</f>
        <v>0</v>
      </c>
      <c r="Q154">
        <f>'Unsch.Care &amp; Ambulance Activity'!S34</f>
        <v>0</v>
      </c>
      <c r="R154">
        <f>'Unsch.Care &amp; Ambulance Activity'!T34</f>
        <v>0</v>
      </c>
      <c r="AH154">
        <f>'Unsch.Care &amp; Ambulance Activity'!C34</f>
        <v>0</v>
      </c>
      <c r="AI154">
        <f>'Unsch.Care &amp; Ambulance Activity'!D34</f>
        <v>0</v>
      </c>
      <c r="AN154">
        <f>'Unsch.Care &amp; Ambulance Activity'!E34</f>
        <v>0</v>
      </c>
      <c r="AO154">
        <f>'Unsch.Care &amp; Ambulance Activity'!F34</f>
        <v>0</v>
      </c>
      <c r="AP154">
        <f>'Unsch.Care &amp; Ambulance Activity'!G34</f>
        <v>0</v>
      </c>
      <c r="AV154">
        <f>'Unsch.Care &amp; Ambulance Activity'!V34</f>
        <v>0</v>
      </c>
      <c r="AW154">
        <f>'Unsch.Care &amp; Ambulance Activity'!W34</f>
        <v>0</v>
      </c>
      <c r="AX154">
        <f>'Unsch.Care &amp; Ambulance Activity'!X34</f>
        <v>0</v>
      </c>
      <c r="AY154">
        <f>'Unsch.Care &amp; Ambulance Activity'!Y34</f>
        <v>0</v>
      </c>
      <c r="AZ154">
        <f>'Unsch.Care &amp; Ambulance Activity'!Z34</f>
        <v>0</v>
      </c>
      <c r="BA154">
        <f>'Unsch.Care &amp; Ambulance Activity'!AA34</f>
        <v>0</v>
      </c>
      <c r="BB154">
        <f>'Unsch.Care &amp; Ambulance Activity'!AB34</f>
        <v>0</v>
      </c>
      <c r="BC154">
        <f>'Unsch.Care &amp; Ambulance Activity'!AC34</f>
        <v>0</v>
      </c>
      <c r="BD154">
        <f>'Unsch.Care &amp; Ambulance Activity'!AD34</f>
        <v>0</v>
      </c>
      <c r="BE154">
        <f>'Unsch.Care &amp; Ambulance Activity'!AE34</f>
        <v>0</v>
      </c>
      <c r="BF154">
        <f>'Unsch.Care &amp; Ambulance Activity'!AF34</f>
        <v>0</v>
      </c>
      <c r="BG154">
        <f>'Unsch.Care &amp; Ambulance Activity'!AG34</f>
        <v>0</v>
      </c>
    </row>
    <row r="155" spans="1:59" hidden="1">
      <c r="A155" t="str">
        <f>'[1]Front Sheet and Checklist'!$C$5</f>
        <v>(please select from drop down)</v>
      </c>
      <c r="B155" t="s">
        <v>243</v>
      </c>
      <c r="C155">
        <f t="shared" ref="C155:C164" si="0">D155</f>
        <v>0</v>
      </c>
      <c r="D155">
        <f>'Planned Care Activity'!$B$8</f>
        <v>0</v>
      </c>
      <c r="F155">
        <f>'Planned Care Activity'!D8</f>
        <v>6466</v>
      </c>
      <c r="S155">
        <f t="shared" ref="S155:S188" si="1">AJ155+AK155+AL155+AM155</f>
        <v>12446</v>
      </c>
      <c r="AG155">
        <f>'Planned Care Activity'!E8</f>
        <v>5788</v>
      </c>
      <c r="AH155">
        <f>'Planned Care Activity'!F8</f>
        <v>6625</v>
      </c>
      <c r="AI155">
        <f>'Planned Care Activity'!G8</f>
        <v>7112</v>
      </c>
      <c r="AJ155">
        <f>'Planned Care Activity'!L8</f>
        <v>1778</v>
      </c>
      <c r="AK155">
        <f>'Planned Care Activity'!M8</f>
        <v>1778</v>
      </c>
      <c r="AL155">
        <f>'Planned Care Activity'!N8</f>
        <v>1778</v>
      </c>
      <c r="AM155">
        <f>'Planned Care Activity'!O8</f>
        <v>7112</v>
      </c>
      <c r="AN155">
        <f>'Planned Care Activity'!H8</f>
        <v>0</v>
      </c>
      <c r="AO155">
        <f>'Planned Care Activity'!I8</f>
        <v>0</v>
      </c>
      <c r="AP155">
        <f>'Planned Care Activity'!J8</f>
        <v>0</v>
      </c>
      <c r="AQ155">
        <f>'Planned Care Activity'!R8</f>
        <v>2304</v>
      </c>
      <c r="AR155">
        <f>'Planned Care Activity'!S8</f>
        <v>2102</v>
      </c>
      <c r="AS155">
        <f>'Planned Care Activity'!T8</f>
        <v>2131</v>
      </c>
      <c r="AT155">
        <f>'Planned Care Activity'!U8</f>
        <v>8649</v>
      </c>
      <c r="AU155">
        <f>'Planned Care Activity'!V8</f>
        <v>0</v>
      </c>
    </row>
    <row r="156" spans="1:59" hidden="1">
      <c r="A156" t="str">
        <f>'[1]Front Sheet and Checklist'!$C$5</f>
        <v>(please select from drop down)</v>
      </c>
      <c r="B156" t="s">
        <v>243</v>
      </c>
      <c r="C156">
        <f t="shared" si="0"/>
        <v>0</v>
      </c>
      <c r="D156">
        <f>'Planned Care Activity'!$B$8</f>
        <v>0</v>
      </c>
      <c r="F156">
        <f>'Planned Care Activity'!D9</f>
        <v>0</v>
      </c>
      <c r="S156">
        <f t="shared" si="1"/>
        <v>859</v>
      </c>
      <c r="AG156">
        <f>'Planned Care Activity'!E9</f>
        <v>164</v>
      </c>
      <c r="AH156">
        <f>'Planned Care Activity'!F9</f>
        <v>336</v>
      </c>
      <c r="AI156">
        <f>'Planned Care Activity'!G9</f>
        <v>463</v>
      </c>
      <c r="AJ156">
        <f>'Planned Care Activity'!L9</f>
        <v>132</v>
      </c>
      <c r="AK156">
        <f>'Planned Care Activity'!M9</f>
        <v>132</v>
      </c>
      <c r="AL156">
        <f>'Planned Care Activity'!N9</f>
        <v>132</v>
      </c>
      <c r="AM156">
        <f>'Planned Care Activity'!O9</f>
        <v>463</v>
      </c>
      <c r="AN156">
        <f>'Planned Care Activity'!H9</f>
        <v>0</v>
      </c>
      <c r="AO156">
        <f>'Planned Care Activity'!I9</f>
        <v>0</v>
      </c>
      <c r="AP156">
        <f>'Planned Care Activity'!J9</f>
        <v>0</v>
      </c>
      <c r="AQ156">
        <f>'Planned Care Activity'!R9</f>
        <v>12</v>
      </c>
      <c r="AR156">
        <f>'Planned Care Activity'!S9</f>
        <v>25</v>
      </c>
      <c r="AS156">
        <f>'Planned Care Activity'!T9</f>
        <v>36</v>
      </c>
      <c r="AT156">
        <f>'Planned Care Activity'!U9</f>
        <v>162</v>
      </c>
      <c r="AU156">
        <f>'Planned Care Activity'!V9</f>
        <v>0</v>
      </c>
    </row>
    <row r="157" spans="1:59" hidden="1">
      <c r="A157" t="str">
        <f>'[1]Front Sheet and Checklist'!$C$5</f>
        <v>(please select from drop down)</v>
      </c>
      <c r="B157" t="s">
        <v>243</v>
      </c>
      <c r="C157">
        <f t="shared" si="0"/>
        <v>0</v>
      </c>
      <c r="D157">
        <f>'Planned Care Activity'!$B$8</f>
        <v>0</v>
      </c>
      <c r="F157">
        <f>'Planned Care Activity'!D10</f>
        <v>695</v>
      </c>
      <c r="S157">
        <f t="shared" si="1"/>
        <v>731</v>
      </c>
      <c r="AG157">
        <f>'Planned Care Activity'!E10</f>
        <v>43</v>
      </c>
      <c r="AH157">
        <f>'Planned Care Activity'!F10</f>
        <v>544</v>
      </c>
      <c r="AI157">
        <f>'Planned Care Activity'!G10</f>
        <v>385</v>
      </c>
      <c r="AJ157">
        <f>'Planned Care Activity'!L10</f>
        <v>111</v>
      </c>
      <c r="AK157">
        <f>'Planned Care Activity'!M10</f>
        <v>113</v>
      </c>
      <c r="AL157">
        <f>'Planned Care Activity'!N10</f>
        <v>122</v>
      </c>
      <c r="AM157">
        <f>'Planned Care Activity'!O10</f>
        <v>385</v>
      </c>
      <c r="AN157">
        <f>'Planned Care Activity'!H10</f>
        <v>0</v>
      </c>
      <c r="AO157">
        <f>'Planned Care Activity'!I10</f>
        <v>0</v>
      </c>
      <c r="AP157">
        <f>'Planned Care Activity'!J10</f>
        <v>0</v>
      </c>
      <c r="AQ157">
        <f>'Planned Care Activity'!R10</f>
        <v>10</v>
      </c>
      <c r="AR157">
        <f>'Planned Care Activity'!S10</f>
        <v>179</v>
      </c>
      <c r="AS157">
        <f>'Planned Care Activity'!T10</f>
        <v>358</v>
      </c>
      <c r="AT157">
        <f>'Planned Care Activity'!U10</f>
        <v>555</v>
      </c>
      <c r="AU157">
        <f>'Planned Care Activity'!V10</f>
        <v>0</v>
      </c>
    </row>
    <row r="158" spans="1:59" hidden="1">
      <c r="A158" t="str">
        <f>'[1]Front Sheet and Checklist'!$C$5</f>
        <v>(please select from drop down)</v>
      </c>
      <c r="B158" t="s">
        <v>243</v>
      </c>
      <c r="C158">
        <f t="shared" si="0"/>
        <v>0</v>
      </c>
      <c r="D158">
        <f>'Planned Care Activity'!$B$8</f>
        <v>0</v>
      </c>
      <c r="F158">
        <f>'Planned Care Activity'!D11</f>
        <v>0</v>
      </c>
      <c r="S158">
        <f t="shared" si="1"/>
        <v>876</v>
      </c>
      <c r="AG158">
        <f>'Planned Care Activity'!E11</f>
        <v>18</v>
      </c>
      <c r="AH158">
        <f>'Planned Care Activity'!F11</f>
        <v>89</v>
      </c>
      <c r="AI158">
        <f>'Planned Care Activity'!G11</f>
        <v>485</v>
      </c>
      <c r="AJ158">
        <f>'Planned Care Activity'!L11</f>
        <v>133</v>
      </c>
      <c r="AK158">
        <f>'Planned Care Activity'!M11</f>
        <v>129</v>
      </c>
      <c r="AL158">
        <f>'Planned Care Activity'!N11</f>
        <v>129</v>
      </c>
      <c r="AM158">
        <f>'Planned Care Activity'!O11</f>
        <v>485</v>
      </c>
      <c r="AN158">
        <f>'Planned Care Activity'!H11</f>
        <v>0</v>
      </c>
      <c r="AO158">
        <f>'Planned Care Activity'!I11</f>
        <v>0</v>
      </c>
      <c r="AP158">
        <f>'Planned Care Activity'!J11</f>
        <v>0</v>
      </c>
      <c r="AQ158">
        <f>'Planned Care Activity'!R11</f>
        <v>9</v>
      </c>
      <c r="AR158">
        <f>'Planned Care Activity'!S11</f>
        <v>41</v>
      </c>
      <c r="AS158">
        <f>'Planned Care Activity'!T11</f>
        <v>121</v>
      </c>
      <c r="AT158">
        <f>'Planned Care Activity'!U11</f>
        <v>173</v>
      </c>
      <c r="AU158">
        <f>'Planned Care Activity'!V11</f>
        <v>0</v>
      </c>
    </row>
    <row r="159" spans="1:59" hidden="1">
      <c r="A159" t="str">
        <f>'[1]Front Sheet and Checklist'!$C$5</f>
        <v>(please select from drop down)</v>
      </c>
      <c r="B159" t="s">
        <v>243</v>
      </c>
      <c r="C159">
        <f t="shared" si="0"/>
        <v>0</v>
      </c>
      <c r="D159">
        <f>'Planned Care Activity'!$B$8</f>
        <v>0</v>
      </c>
      <c r="F159">
        <f>'Planned Care Activity'!D12</f>
        <v>7161</v>
      </c>
      <c r="S159">
        <f t="shared" si="1"/>
        <v>14912</v>
      </c>
      <c r="AG159">
        <f>'Planned Care Activity'!E12</f>
        <v>6013</v>
      </c>
      <c r="AH159">
        <f>'Planned Care Activity'!F12</f>
        <v>7594</v>
      </c>
      <c r="AI159">
        <f>'Planned Care Activity'!G12</f>
        <v>8445</v>
      </c>
      <c r="AJ159">
        <f>'Planned Care Activity'!L12</f>
        <v>2154</v>
      </c>
      <c r="AK159">
        <f>'Planned Care Activity'!M12</f>
        <v>2152</v>
      </c>
      <c r="AL159">
        <f>'Planned Care Activity'!N12</f>
        <v>2161</v>
      </c>
      <c r="AM159">
        <f>'Planned Care Activity'!O12</f>
        <v>8445</v>
      </c>
      <c r="AN159">
        <f>'Planned Care Activity'!H12</f>
        <v>0</v>
      </c>
      <c r="AO159">
        <f>'Planned Care Activity'!I12</f>
        <v>0</v>
      </c>
      <c r="AP159">
        <f>'Planned Care Activity'!J12</f>
        <v>0</v>
      </c>
      <c r="AQ159">
        <f>'Planned Care Activity'!R12</f>
        <v>2335</v>
      </c>
      <c r="AR159">
        <f>'Planned Care Activity'!S12</f>
        <v>2347</v>
      </c>
      <c r="AS159">
        <f>'Planned Care Activity'!T12</f>
        <v>2646</v>
      </c>
      <c r="AT159">
        <f>'Planned Care Activity'!U12</f>
        <v>9539</v>
      </c>
      <c r="AU159">
        <f>'Planned Care Activity'!V12</f>
        <v>0</v>
      </c>
    </row>
    <row r="160" spans="1:59" hidden="1">
      <c r="A160" t="str">
        <f>'[1]Front Sheet and Checklist'!$C$5</f>
        <v>(please select from drop down)</v>
      </c>
      <c r="B160" t="s">
        <v>243</v>
      </c>
      <c r="C160">
        <f t="shared" si="0"/>
        <v>0</v>
      </c>
      <c r="D160">
        <f>'Planned Care Activity'!$B$13</f>
        <v>0</v>
      </c>
      <c r="F160">
        <f>'Planned Care Activity'!D13</f>
        <v>21260</v>
      </c>
      <c r="S160">
        <f t="shared" si="1"/>
        <v>33117</v>
      </c>
      <c r="AG160">
        <f>'Planned Care Activity'!E13</f>
        <v>18527</v>
      </c>
      <c r="AH160">
        <f>'Planned Care Activity'!F13</f>
        <v>18851</v>
      </c>
      <c r="AI160">
        <f>'Planned Care Activity'!G13</f>
        <v>18924</v>
      </c>
      <c r="AJ160">
        <f>'Planned Care Activity'!L13</f>
        <v>4731</v>
      </c>
      <c r="AK160">
        <f>'Planned Care Activity'!M13</f>
        <v>4731</v>
      </c>
      <c r="AL160">
        <f>'Planned Care Activity'!N13</f>
        <v>4731</v>
      </c>
      <c r="AM160">
        <f>'Planned Care Activity'!O13</f>
        <v>18924</v>
      </c>
      <c r="AN160">
        <f>'Planned Care Activity'!H13</f>
        <v>0</v>
      </c>
      <c r="AO160">
        <f>'Planned Care Activity'!I13</f>
        <v>0</v>
      </c>
      <c r="AP160">
        <f>'Planned Care Activity'!J13</f>
        <v>0</v>
      </c>
      <c r="AQ160">
        <f>'Planned Care Activity'!R13</f>
        <v>4070</v>
      </c>
      <c r="AR160">
        <f>'Planned Care Activity'!S13</f>
        <v>4070</v>
      </c>
      <c r="AS160">
        <f>'Planned Care Activity'!T13</f>
        <v>4801</v>
      </c>
      <c r="AT160">
        <f>'Planned Care Activity'!U13</f>
        <v>19683</v>
      </c>
      <c r="AU160">
        <f>'Planned Care Activity'!V13</f>
        <v>0</v>
      </c>
    </row>
    <row r="161" spans="1:47" hidden="1">
      <c r="A161" t="str">
        <f>'[1]Front Sheet and Checklist'!$C$5</f>
        <v>(please select from drop down)</v>
      </c>
      <c r="B161" t="s">
        <v>243</v>
      </c>
      <c r="C161">
        <f t="shared" si="0"/>
        <v>0</v>
      </c>
      <c r="D161">
        <f>'Planned Care Activity'!$B$13</f>
        <v>0</v>
      </c>
      <c r="F161">
        <f>'Planned Care Activity'!D14</f>
        <v>0</v>
      </c>
      <c r="S161">
        <f t="shared" si="1"/>
        <v>0</v>
      </c>
      <c r="AG161">
        <f>'Planned Care Activity'!E14</f>
        <v>1929</v>
      </c>
      <c r="AH161">
        <f>'Planned Care Activity'!F14</f>
        <v>1345</v>
      </c>
      <c r="AI161">
        <f>'Planned Care Activity'!G14</f>
        <v>0</v>
      </c>
      <c r="AJ161">
        <f>'Planned Care Activity'!L14</f>
        <v>0</v>
      </c>
      <c r="AK161">
        <f>'Planned Care Activity'!M14</f>
        <v>0</v>
      </c>
      <c r="AL161">
        <f>'Planned Care Activity'!N14</f>
        <v>0</v>
      </c>
      <c r="AM161">
        <f>'Planned Care Activity'!O14</f>
        <v>0</v>
      </c>
      <c r="AN161">
        <f>'Planned Care Activity'!H14</f>
        <v>0</v>
      </c>
      <c r="AO161">
        <f>'Planned Care Activity'!I14</f>
        <v>0</v>
      </c>
      <c r="AP161">
        <f>'Planned Care Activity'!J14</f>
        <v>0</v>
      </c>
      <c r="AQ161">
        <f>'Planned Care Activity'!R14</f>
        <v>0</v>
      </c>
      <c r="AR161">
        <f>'Planned Care Activity'!S14</f>
        <v>79</v>
      </c>
      <c r="AS161">
        <f>'Planned Care Activity'!T14</f>
        <v>0</v>
      </c>
      <c r="AT161">
        <f>'Planned Care Activity'!U14</f>
        <v>79</v>
      </c>
      <c r="AU161">
        <f>'Planned Care Activity'!V14</f>
        <v>0</v>
      </c>
    </row>
    <row r="162" spans="1:47" hidden="1">
      <c r="A162" t="str">
        <f>'[1]Front Sheet and Checklist'!$C$5</f>
        <v>(please select from drop down)</v>
      </c>
      <c r="B162" t="s">
        <v>243</v>
      </c>
      <c r="C162">
        <f t="shared" si="0"/>
        <v>0</v>
      </c>
      <c r="D162">
        <f>'Planned Care Activity'!$B$13</f>
        <v>0</v>
      </c>
      <c r="F162">
        <f>'Planned Care Activity'!D15</f>
        <v>838</v>
      </c>
      <c r="S162">
        <f t="shared" si="1"/>
        <v>315</v>
      </c>
      <c r="AG162">
        <f>'Planned Care Activity'!E15</f>
        <v>1545</v>
      </c>
      <c r="AH162">
        <f>'Planned Care Activity'!F15</f>
        <v>563</v>
      </c>
      <c r="AI162">
        <f>'Planned Care Activity'!G15</f>
        <v>225</v>
      </c>
      <c r="AJ162">
        <f>'Planned Care Activity'!L15</f>
        <v>30</v>
      </c>
      <c r="AK162">
        <f>'Planned Care Activity'!M15</f>
        <v>30</v>
      </c>
      <c r="AL162">
        <f>'Planned Care Activity'!N15</f>
        <v>30</v>
      </c>
      <c r="AM162">
        <f>'Planned Care Activity'!O15</f>
        <v>225</v>
      </c>
      <c r="AN162">
        <f>'Planned Care Activity'!H15</f>
        <v>0</v>
      </c>
      <c r="AO162">
        <f>'Planned Care Activity'!I15</f>
        <v>0</v>
      </c>
      <c r="AP162">
        <f>'Planned Care Activity'!J15</f>
        <v>0</v>
      </c>
      <c r="AQ162">
        <f>'Planned Care Activity'!R15</f>
        <v>24</v>
      </c>
      <c r="AR162">
        <f>'Planned Care Activity'!S15</f>
        <v>14</v>
      </c>
      <c r="AS162">
        <f>'Planned Care Activity'!T15</f>
        <v>9</v>
      </c>
      <c r="AT162">
        <f>'Planned Care Activity'!U15</f>
        <v>162</v>
      </c>
      <c r="AU162">
        <f>'Planned Care Activity'!V15</f>
        <v>0</v>
      </c>
    </row>
    <row r="163" spans="1:47" hidden="1">
      <c r="A163" t="str">
        <f>'[1]Front Sheet and Checklist'!$C$5</f>
        <v>(please select from drop down)</v>
      </c>
      <c r="B163" t="s">
        <v>243</v>
      </c>
      <c r="C163">
        <f t="shared" si="0"/>
        <v>0</v>
      </c>
      <c r="D163">
        <f>'Planned Care Activity'!$B$13</f>
        <v>0</v>
      </c>
      <c r="F163">
        <f>'Planned Care Activity'!D16</f>
        <v>0</v>
      </c>
      <c r="S163">
        <f t="shared" si="1"/>
        <v>374</v>
      </c>
      <c r="AG163">
        <f>'Planned Care Activity'!E16</f>
        <v>106</v>
      </c>
      <c r="AH163">
        <f>'Planned Care Activity'!F16</f>
        <v>281</v>
      </c>
      <c r="AI163">
        <f>'Planned Care Activity'!G16</f>
        <v>203</v>
      </c>
      <c r="AJ163">
        <f>'Planned Care Activity'!L16</f>
        <v>57</v>
      </c>
      <c r="AK163">
        <f>'Planned Care Activity'!M16</f>
        <v>57</v>
      </c>
      <c r="AL163">
        <f>'Planned Care Activity'!N16</f>
        <v>57</v>
      </c>
      <c r="AM163">
        <f>'Planned Care Activity'!O16</f>
        <v>203</v>
      </c>
      <c r="AN163">
        <f>'Planned Care Activity'!H16</f>
        <v>0</v>
      </c>
      <c r="AO163">
        <f>'Planned Care Activity'!I16</f>
        <v>0</v>
      </c>
      <c r="AP163">
        <f>'Planned Care Activity'!J16</f>
        <v>0</v>
      </c>
      <c r="AQ163">
        <f>'Planned Care Activity'!R16</f>
        <v>0</v>
      </c>
      <c r="AR163">
        <f>'Planned Care Activity'!S16</f>
        <v>4</v>
      </c>
      <c r="AS163">
        <f>'Planned Care Activity'!T16</f>
        <v>232</v>
      </c>
      <c r="AT163">
        <f>'Planned Care Activity'!U16</f>
        <v>244</v>
      </c>
      <c r="AU163">
        <f>'Planned Care Activity'!V16</f>
        <v>0</v>
      </c>
    </row>
    <row r="164" spans="1:47" hidden="1">
      <c r="A164" t="str">
        <f>'[1]Front Sheet and Checklist'!$C$5</f>
        <v>(please select from drop down)</v>
      </c>
      <c r="B164" t="s">
        <v>243</v>
      </c>
      <c r="C164">
        <f t="shared" si="0"/>
        <v>0</v>
      </c>
      <c r="D164">
        <f>'Planned Care Activity'!$B$13</f>
        <v>0</v>
      </c>
      <c r="F164">
        <f>'Planned Care Activity'!D17</f>
        <v>22098</v>
      </c>
      <c r="S164">
        <f t="shared" si="1"/>
        <v>33806</v>
      </c>
      <c r="AG164">
        <f>'Planned Care Activity'!E17</f>
        <v>22107</v>
      </c>
      <c r="AH164">
        <f>'Planned Care Activity'!F17</f>
        <v>21040</v>
      </c>
      <c r="AI164">
        <f>'Planned Care Activity'!G17</f>
        <v>19352</v>
      </c>
      <c r="AJ164">
        <f>'Planned Care Activity'!L17</f>
        <v>4818</v>
      </c>
      <c r="AK164">
        <f>'Planned Care Activity'!M17</f>
        <v>4818</v>
      </c>
      <c r="AL164">
        <f>'Planned Care Activity'!N17</f>
        <v>4818</v>
      </c>
      <c r="AM164">
        <f>'Planned Care Activity'!O17</f>
        <v>19352</v>
      </c>
      <c r="AN164">
        <f>'Planned Care Activity'!H17</f>
        <v>0</v>
      </c>
      <c r="AO164">
        <f>'Planned Care Activity'!I17</f>
        <v>0</v>
      </c>
      <c r="AP164">
        <f>'Planned Care Activity'!J17</f>
        <v>0</v>
      </c>
      <c r="AQ164">
        <f>'Planned Care Activity'!R17</f>
        <v>4094</v>
      </c>
      <c r="AR164">
        <f>'Planned Care Activity'!S17</f>
        <v>4167</v>
      </c>
      <c r="AS164">
        <f>'Planned Care Activity'!T17</f>
        <v>5042</v>
      </c>
      <c r="AT164">
        <f>'Planned Care Activity'!U17</f>
        <v>20168</v>
      </c>
      <c r="AU164">
        <f>'Planned Care Activity'!V17</f>
        <v>0</v>
      </c>
    </row>
    <row r="165" spans="1:47" hidden="1">
      <c r="A165" t="str">
        <f>'[1]Front Sheet and Checklist'!$C$5</f>
        <v>(please select from drop down)</v>
      </c>
      <c r="B165" t="s">
        <v>243</v>
      </c>
      <c r="C165" t="s">
        <v>244</v>
      </c>
      <c r="D165" t="str">
        <f>'Planned Care Activity'!$B$18&amp;" "&amp;'Planned Care Activity'!$C$18</f>
        <v xml:space="preserve">Face to Face Core sessions </v>
      </c>
      <c r="F165">
        <f>'Planned Care Activity'!D18</f>
        <v>140696</v>
      </c>
      <c r="S165">
        <f t="shared" si="1"/>
        <v>220164</v>
      </c>
      <c r="AG165">
        <f>'Planned Care Activity'!E18</f>
        <v>109491</v>
      </c>
      <c r="AH165">
        <f>'Planned Care Activity'!F18</f>
        <v>122429</v>
      </c>
      <c r="AI165">
        <f>'Planned Care Activity'!G18</f>
        <v>125808</v>
      </c>
      <c r="AJ165">
        <f>'Planned Care Activity'!L18</f>
        <v>31452</v>
      </c>
      <c r="AK165">
        <f>'Planned Care Activity'!M18</f>
        <v>31452</v>
      </c>
      <c r="AL165">
        <f>'Planned Care Activity'!N18</f>
        <v>31452</v>
      </c>
      <c r="AM165">
        <f>'Planned Care Activity'!O18</f>
        <v>125808</v>
      </c>
      <c r="AN165">
        <f>'Planned Care Activity'!H18</f>
        <v>0</v>
      </c>
      <c r="AO165">
        <f>'Planned Care Activity'!I18</f>
        <v>0</v>
      </c>
      <c r="AP165">
        <f>'Planned Care Activity'!J18</f>
        <v>0</v>
      </c>
      <c r="AQ165">
        <f>'Planned Care Activity'!R18</f>
        <v>31818</v>
      </c>
      <c r="AR165">
        <f>'Planned Care Activity'!S18</f>
        <v>32686</v>
      </c>
      <c r="AS165">
        <f>'Planned Care Activity'!T18</f>
        <v>35188</v>
      </c>
      <c r="AT165">
        <f>'Planned Care Activity'!U18</f>
        <v>135723</v>
      </c>
      <c r="AU165">
        <f>'Planned Care Activity'!V18</f>
        <v>0</v>
      </c>
    </row>
    <row r="166" spans="1:47" hidden="1">
      <c r="A166" t="str">
        <f>'[1]Front Sheet and Checklist'!$C$5</f>
        <v>(please select from drop down)</v>
      </c>
      <c r="B166" t="s">
        <v>243</v>
      </c>
      <c r="C166" t="s">
        <v>244</v>
      </c>
      <c r="D166" t="str">
        <f>'Planned Care Activity'!$B$18&amp;" "&amp;'Planned Care Activity'!$C$18</f>
        <v xml:space="preserve">Face to Face Core sessions </v>
      </c>
      <c r="F166">
        <f>'Planned Care Activity'!D19</f>
        <v>0</v>
      </c>
      <c r="S166">
        <f t="shared" si="1"/>
        <v>4815</v>
      </c>
      <c r="AG166">
        <f>'Planned Care Activity'!E19</f>
        <v>876</v>
      </c>
      <c r="AH166">
        <f>'Planned Care Activity'!F19</f>
        <v>4312</v>
      </c>
      <c r="AI166">
        <f>'Planned Care Activity'!G19</f>
        <v>2635</v>
      </c>
      <c r="AJ166">
        <f>'Planned Care Activity'!L19</f>
        <v>689</v>
      </c>
      <c r="AK166">
        <f>'Planned Care Activity'!M19</f>
        <v>711</v>
      </c>
      <c r="AL166">
        <f>'Planned Care Activity'!N19</f>
        <v>780</v>
      </c>
      <c r="AM166">
        <f>'Planned Care Activity'!O19</f>
        <v>2635</v>
      </c>
      <c r="AN166">
        <f>'Planned Care Activity'!H19</f>
        <v>0</v>
      </c>
      <c r="AO166">
        <f>'Planned Care Activity'!I19</f>
        <v>0</v>
      </c>
      <c r="AP166">
        <f>'Planned Care Activity'!J19</f>
        <v>0</v>
      </c>
      <c r="AQ166">
        <f>'Planned Care Activity'!R19</f>
        <v>400</v>
      </c>
      <c r="AR166">
        <f>'Planned Care Activity'!S19</f>
        <v>376</v>
      </c>
      <c r="AS166">
        <f>'Planned Care Activity'!T19</f>
        <v>36</v>
      </c>
      <c r="AT166">
        <f>'Planned Care Activity'!U19</f>
        <v>162</v>
      </c>
      <c r="AU166">
        <f>'Planned Care Activity'!V19</f>
        <v>0</v>
      </c>
    </row>
    <row r="167" spans="1:47" hidden="1">
      <c r="A167" t="str">
        <f>'[1]Front Sheet and Checklist'!$C$5</f>
        <v>(please select from drop down)</v>
      </c>
      <c r="B167" t="s">
        <v>243</v>
      </c>
      <c r="C167" t="s">
        <v>244</v>
      </c>
      <c r="D167" t="str">
        <f>'Planned Care Activity'!$B$18&amp;" "&amp;'Planned Care Activity'!$C$18</f>
        <v xml:space="preserve">Face to Face Core sessions </v>
      </c>
      <c r="F167">
        <f>'Planned Care Activity'!D20</f>
        <v>0</v>
      </c>
      <c r="S167">
        <f t="shared" si="1"/>
        <v>0</v>
      </c>
      <c r="AG167">
        <f>'Planned Care Activity'!E20</f>
        <v>507</v>
      </c>
      <c r="AH167">
        <f>'Planned Care Activity'!F20</f>
        <v>612</v>
      </c>
      <c r="AI167">
        <f>'Planned Care Activity'!G20</f>
        <v>0</v>
      </c>
      <c r="AJ167">
        <f>'Planned Care Activity'!L20</f>
        <v>0</v>
      </c>
      <c r="AK167">
        <f>'Planned Care Activity'!M20</f>
        <v>0</v>
      </c>
      <c r="AL167">
        <f>'Planned Care Activity'!N20</f>
        <v>0</v>
      </c>
      <c r="AM167">
        <f>'Planned Care Activity'!O20</f>
        <v>0</v>
      </c>
      <c r="AN167">
        <f>'Planned Care Activity'!H20</f>
        <v>0</v>
      </c>
      <c r="AO167">
        <f>'Planned Care Activity'!I20</f>
        <v>0</v>
      </c>
      <c r="AP167">
        <f>'Planned Care Activity'!J20</f>
        <v>0</v>
      </c>
      <c r="AQ167">
        <f>'Planned Care Activity'!R20</f>
        <v>0</v>
      </c>
      <c r="AR167">
        <f>'Planned Care Activity'!S20</f>
        <v>0</v>
      </c>
      <c r="AS167">
        <f>'Planned Care Activity'!T20</f>
        <v>358</v>
      </c>
      <c r="AT167">
        <f>'Planned Care Activity'!U20</f>
        <v>555</v>
      </c>
      <c r="AU167">
        <f>'Planned Care Activity'!V20</f>
        <v>0</v>
      </c>
    </row>
    <row r="168" spans="1:47" hidden="1">
      <c r="A168" t="str">
        <f>'[1]Front Sheet and Checklist'!$C$5</f>
        <v>(please select from drop down)</v>
      </c>
      <c r="B168" t="s">
        <v>243</v>
      </c>
      <c r="C168" t="s">
        <v>244</v>
      </c>
      <c r="D168" t="str">
        <f>'Planned Care Activity'!$B$18&amp;" "&amp;'Planned Care Activity'!$C$18</f>
        <v xml:space="preserve">Face to Face Core sessions </v>
      </c>
      <c r="F168">
        <f>'Planned Care Activity'!D21</f>
        <v>6012</v>
      </c>
      <c r="S168">
        <f t="shared" si="1"/>
        <v>3558</v>
      </c>
      <c r="AG168">
        <f>'Planned Care Activity'!E21</f>
        <v>11072</v>
      </c>
      <c r="AH168">
        <f>'Planned Care Activity'!F21</f>
        <v>7044</v>
      </c>
      <c r="AI168">
        <f>'Planned Care Activity'!G21</f>
        <v>1985</v>
      </c>
      <c r="AJ168">
        <f>'Planned Care Activity'!L21</f>
        <v>586</v>
      </c>
      <c r="AK168">
        <f>'Planned Care Activity'!M21</f>
        <v>469</v>
      </c>
      <c r="AL168">
        <f>'Planned Care Activity'!N21</f>
        <v>518</v>
      </c>
      <c r="AM168">
        <f>'Planned Care Activity'!O21</f>
        <v>1985</v>
      </c>
      <c r="AN168">
        <f>'Planned Care Activity'!H21</f>
        <v>0</v>
      </c>
      <c r="AO168">
        <f>'Planned Care Activity'!I21</f>
        <v>0</v>
      </c>
      <c r="AP168">
        <f>'Planned Care Activity'!J21</f>
        <v>0</v>
      </c>
      <c r="AQ168">
        <f>'Planned Care Activity'!R21</f>
        <v>1214</v>
      </c>
      <c r="AR168">
        <f>'Planned Care Activity'!S21</f>
        <v>1200</v>
      </c>
      <c r="AS168">
        <f>'Planned Care Activity'!T21</f>
        <v>121</v>
      </c>
      <c r="AT168">
        <f>'Planned Care Activity'!U21</f>
        <v>173</v>
      </c>
      <c r="AU168">
        <f>'Planned Care Activity'!V21</f>
        <v>0</v>
      </c>
    </row>
    <row r="169" spans="1:47" hidden="1">
      <c r="A169" t="str">
        <f>'[1]Front Sheet and Checklist'!$C$5</f>
        <v>(please select from drop down)</v>
      </c>
      <c r="B169" t="s">
        <v>243</v>
      </c>
      <c r="C169" t="s">
        <v>244</v>
      </c>
      <c r="D169" t="str">
        <f>'Planned Care Activity'!$B$18&amp;" "&amp;'Planned Care Activity'!$C$18</f>
        <v xml:space="preserve">Face to Face Core sessions </v>
      </c>
      <c r="F169">
        <f>'Planned Care Activity'!D22</f>
        <v>146708</v>
      </c>
      <c r="S169">
        <f t="shared" si="1"/>
        <v>228537</v>
      </c>
      <c r="AG169">
        <f>'Planned Care Activity'!E22</f>
        <v>121946</v>
      </c>
      <c r="AH169">
        <f>'Planned Care Activity'!F22</f>
        <v>134397</v>
      </c>
      <c r="AI169">
        <f>'Planned Care Activity'!G22</f>
        <v>130428</v>
      </c>
      <c r="AJ169">
        <f>'Planned Care Activity'!L22</f>
        <v>32727</v>
      </c>
      <c r="AK169">
        <f>'Planned Care Activity'!M22</f>
        <v>32632</v>
      </c>
      <c r="AL169">
        <f>'Planned Care Activity'!N22</f>
        <v>32750</v>
      </c>
      <c r="AM169">
        <f>'Planned Care Activity'!O22</f>
        <v>130428</v>
      </c>
      <c r="AN169">
        <f>'Planned Care Activity'!H22</f>
        <v>0</v>
      </c>
      <c r="AO169">
        <f>'Planned Care Activity'!I22</f>
        <v>0</v>
      </c>
      <c r="AP169">
        <f>'Planned Care Activity'!J22</f>
        <v>0</v>
      </c>
      <c r="AQ169">
        <f>'Planned Care Activity'!R22</f>
        <v>33432</v>
      </c>
      <c r="AR169">
        <f>'Planned Care Activity'!S22</f>
        <v>34262</v>
      </c>
      <c r="AS169">
        <f>'Planned Care Activity'!T22</f>
        <v>35703</v>
      </c>
      <c r="AT169">
        <f>'Planned Care Activity'!U22</f>
        <v>136613</v>
      </c>
      <c r="AU169">
        <f>'Planned Care Activity'!V22</f>
        <v>0</v>
      </c>
    </row>
    <row r="170" spans="1:47" hidden="1">
      <c r="A170" t="str">
        <f>'[1]Front Sheet and Checklist'!$C$5</f>
        <v>(please select from drop down)</v>
      </c>
      <c r="B170" t="s">
        <v>243</v>
      </c>
      <c r="C170" t="s">
        <v>244</v>
      </c>
      <c r="D170" t="str">
        <f>'Planned Care Activity'!$B$18&amp;" "&amp;'Planned Care Activity'!$C$23</f>
        <v xml:space="preserve">Face to Face Core sessions </v>
      </c>
      <c r="F170">
        <f>'Planned Care Activity'!D23</f>
        <v>0</v>
      </c>
      <c r="S170">
        <f t="shared" si="1"/>
        <v>18137</v>
      </c>
      <c r="AG170">
        <f>'Planned Care Activity'!E23</f>
        <v>13723</v>
      </c>
      <c r="AH170">
        <f>'Planned Care Activity'!F23</f>
        <v>11159</v>
      </c>
      <c r="AI170">
        <f>'Planned Care Activity'!G23</f>
        <v>10364</v>
      </c>
      <c r="AJ170">
        <f>'Planned Care Activity'!L23</f>
        <v>2591</v>
      </c>
      <c r="AK170">
        <f>'Planned Care Activity'!M23</f>
        <v>2591</v>
      </c>
      <c r="AL170">
        <f>'Planned Care Activity'!N23</f>
        <v>2591</v>
      </c>
      <c r="AM170">
        <f>'Planned Care Activity'!O23</f>
        <v>10364</v>
      </c>
      <c r="AN170">
        <f>'Planned Care Activity'!H23</f>
        <v>0</v>
      </c>
      <c r="AO170">
        <f>'Planned Care Activity'!I23</f>
        <v>0</v>
      </c>
      <c r="AP170">
        <f>'Planned Care Activity'!J23</f>
        <v>0</v>
      </c>
      <c r="AQ170">
        <f>'Planned Care Activity'!R23</f>
        <v>3306</v>
      </c>
      <c r="AR170">
        <f>'Planned Care Activity'!S23</f>
        <v>3425</v>
      </c>
      <c r="AS170">
        <f>'Planned Care Activity'!T23</f>
        <v>3333</v>
      </c>
      <c r="AT170">
        <f>'Planned Care Activity'!U23</f>
        <v>13632</v>
      </c>
      <c r="AU170">
        <f>'Planned Care Activity'!V23</f>
        <v>0</v>
      </c>
    </row>
    <row r="171" spans="1:47" hidden="1">
      <c r="A171" t="str">
        <f>'[1]Front Sheet and Checklist'!$C$5</f>
        <v>(please select from drop down)</v>
      </c>
      <c r="B171" t="s">
        <v>243</v>
      </c>
      <c r="C171" t="s">
        <v>244</v>
      </c>
      <c r="D171" t="str">
        <f>'Planned Care Activity'!$B$18&amp;" "&amp;'Planned Care Activity'!$C$23</f>
        <v xml:space="preserve">Face to Face Core sessions </v>
      </c>
      <c r="F171">
        <f>'Planned Care Activity'!D24</f>
        <v>0</v>
      </c>
      <c r="S171">
        <f t="shared" si="1"/>
        <v>0</v>
      </c>
      <c r="AG171">
        <f>'Planned Care Activity'!E24</f>
        <v>1</v>
      </c>
      <c r="AH171" t="str">
        <f>'Planned Care Activity'!F24</f>
        <v xml:space="preserve">                    -  </v>
      </c>
      <c r="AI171">
        <f>'Planned Care Activity'!G24</f>
        <v>0</v>
      </c>
      <c r="AJ171">
        <f>'Planned Care Activity'!L24</f>
        <v>0</v>
      </c>
      <c r="AK171">
        <f>'Planned Care Activity'!M24</f>
        <v>0</v>
      </c>
      <c r="AL171">
        <f>'Planned Care Activity'!N24</f>
        <v>0</v>
      </c>
      <c r="AM171">
        <f>'Planned Care Activity'!O24</f>
        <v>0</v>
      </c>
      <c r="AN171">
        <f>'Planned Care Activity'!H24</f>
        <v>0</v>
      </c>
      <c r="AO171">
        <f>'Planned Care Activity'!I24</f>
        <v>0</v>
      </c>
      <c r="AP171">
        <f>'Planned Care Activity'!J24</f>
        <v>0</v>
      </c>
      <c r="AQ171">
        <f>'Planned Care Activity'!R24</f>
        <v>0</v>
      </c>
      <c r="AR171">
        <f>'Planned Care Activity'!S24</f>
        <v>0</v>
      </c>
      <c r="AS171">
        <f>'Planned Care Activity'!T24</f>
        <v>0</v>
      </c>
      <c r="AT171">
        <f>'Planned Care Activity'!U24</f>
        <v>0</v>
      </c>
      <c r="AU171">
        <f>'Planned Care Activity'!V24</f>
        <v>0</v>
      </c>
    </row>
    <row r="172" spans="1:47" hidden="1">
      <c r="A172" t="str">
        <f>'[1]Front Sheet and Checklist'!$C$5</f>
        <v>(please select from drop down)</v>
      </c>
      <c r="B172" t="s">
        <v>243</v>
      </c>
      <c r="C172" t="s">
        <v>244</v>
      </c>
      <c r="D172" t="str">
        <f>'Planned Care Activity'!$B$18&amp;" "&amp;'Planned Care Activity'!$C$23</f>
        <v xml:space="preserve">Face to Face Core sessions </v>
      </c>
      <c r="F172">
        <f>'Planned Care Activity'!D25</f>
        <v>0</v>
      </c>
      <c r="S172">
        <f t="shared" si="1"/>
        <v>0</v>
      </c>
      <c r="AG172">
        <f>'Planned Care Activity'!E25</f>
        <v>0</v>
      </c>
      <c r="AH172" t="str">
        <f>'Planned Care Activity'!F25</f>
        <v xml:space="preserve">                    -  </v>
      </c>
      <c r="AI172">
        <f>'Planned Care Activity'!G25</f>
        <v>0</v>
      </c>
      <c r="AJ172">
        <f>'Planned Care Activity'!L25</f>
        <v>0</v>
      </c>
      <c r="AK172">
        <f>'Planned Care Activity'!M25</f>
        <v>0</v>
      </c>
      <c r="AL172">
        <f>'Planned Care Activity'!N25</f>
        <v>0</v>
      </c>
      <c r="AM172">
        <f>'Planned Care Activity'!O25</f>
        <v>0</v>
      </c>
      <c r="AN172">
        <f>'Planned Care Activity'!H25</f>
        <v>0</v>
      </c>
      <c r="AO172">
        <f>'Planned Care Activity'!I25</f>
        <v>0</v>
      </c>
      <c r="AP172">
        <f>'Planned Care Activity'!J25</f>
        <v>0</v>
      </c>
      <c r="AQ172">
        <f>'Planned Care Activity'!R25</f>
        <v>0</v>
      </c>
      <c r="AR172">
        <f>'Planned Care Activity'!S25</f>
        <v>0</v>
      </c>
      <c r="AS172">
        <f>'Planned Care Activity'!T25</f>
        <v>0</v>
      </c>
      <c r="AT172">
        <f>'Planned Care Activity'!U25</f>
        <v>0</v>
      </c>
      <c r="AU172">
        <f>'Planned Care Activity'!V25</f>
        <v>0</v>
      </c>
    </row>
    <row r="173" spans="1:47" hidden="1">
      <c r="A173" t="str">
        <f>'[1]Front Sheet and Checklist'!$C$5</f>
        <v>(please select from drop down)</v>
      </c>
      <c r="B173" t="s">
        <v>243</v>
      </c>
      <c r="C173" t="s">
        <v>244</v>
      </c>
      <c r="D173" t="str">
        <f>'Planned Care Activity'!$B$18&amp;" "&amp;'Planned Care Activity'!$C$23</f>
        <v xml:space="preserve">Face to Face Core sessions </v>
      </c>
      <c r="F173">
        <f>'Planned Care Activity'!D26</f>
        <v>0</v>
      </c>
      <c r="S173">
        <f t="shared" si="1"/>
        <v>0</v>
      </c>
      <c r="AG173">
        <f>'Planned Care Activity'!E26</f>
        <v>1610</v>
      </c>
      <c r="AH173">
        <f>'Planned Care Activity'!F26</f>
        <v>132</v>
      </c>
      <c r="AI173">
        <f>'Planned Care Activity'!G26</f>
        <v>0</v>
      </c>
      <c r="AJ173">
        <f>'Planned Care Activity'!L26</f>
        <v>0</v>
      </c>
      <c r="AK173">
        <f>'Planned Care Activity'!M26</f>
        <v>0</v>
      </c>
      <c r="AL173">
        <f>'Planned Care Activity'!N26</f>
        <v>0</v>
      </c>
      <c r="AM173">
        <f>'Planned Care Activity'!O26</f>
        <v>0</v>
      </c>
      <c r="AN173">
        <f>'Planned Care Activity'!H26</f>
        <v>0</v>
      </c>
      <c r="AO173">
        <f>'Planned Care Activity'!I26</f>
        <v>0</v>
      </c>
      <c r="AP173">
        <f>'Planned Care Activity'!J26</f>
        <v>0</v>
      </c>
      <c r="AQ173">
        <f>'Planned Care Activity'!R26</f>
        <v>0</v>
      </c>
      <c r="AR173">
        <f>'Planned Care Activity'!S26</f>
        <v>0</v>
      </c>
      <c r="AS173">
        <f>'Planned Care Activity'!T26</f>
        <v>0</v>
      </c>
      <c r="AT173">
        <f>'Planned Care Activity'!U26</f>
        <v>0</v>
      </c>
      <c r="AU173">
        <f>'Planned Care Activity'!V26</f>
        <v>0</v>
      </c>
    </row>
    <row r="174" spans="1:47" hidden="1">
      <c r="A174" t="str">
        <f>'[1]Front Sheet and Checklist'!$C$5</f>
        <v>(please select from drop down)</v>
      </c>
      <c r="B174" t="s">
        <v>243</v>
      </c>
      <c r="C174" t="s">
        <v>244</v>
      </c>
      <c r="D174" t="str">
        <f>'Planned Care Activity'!$B$18&amp;" "&amp;'Planned Care Activity'!$C$23</f>
        <v xml:space="preserve">Face to Face Core sessions </v>
      </c>
      <c r="F174">
        <f>'Planned Care Activity'!D27</f>
        <v>0</v>
      </c>
      <c r="S174">
        <f t="shared" si="1"/>
        <v>18137</v>
      </c>
      <c r="AG174">
        <f>'Planned Care Activity'!E27</f>
        <v>15334</v>
      </c>
      <c r="AH174">
        <f>'Planned Care Activity'!F27</f>
        <v>11291</v>
      </c>
      <c r="AI174">
        <f>'Planned Care Activity'!G27</f>
        <v>10364</v>
      </c>
      <c r="AJ174">
        <f>'Planned Care Activity'!L27</f>
        <v>2591</v>
      </c>
      <c r="AK174">
        <f>'Planned Care Activity'!M27</f>
        <v>2591</v>
      </c>
      <c r="AL174">
        <f>'Planned Care Activity'!N27</f>
        <v>2591</v>
      </c>
      <c r="AM174">
        <f>'Planned Care Activity'!O27</f>
        <v>10364</v>
      </c>
      <c r="AN174">
        <f>'Planned Care Activity'!H27</f>
        <v>0</v>
      </c>
      <c r="AO174">
        <f>'Planned Care Activity'!I27</f>
        <v>0</v>
      </c>
      <c r="AP174">
        <f>'Planned Care Activity'!J27</f>
        <v>0</v>
      </c>
      <c r="AQ174">
        <f>'Planned Care Activity'!R27</f>
        <v>3306</v>
      </c>
      <c r="AR174">
        <f>'Planned Care Activity'!S27</f>
        <v>3425</v>
      </c>
      <c r="AS174">
        <f>'Planned Care Activity'!T27</f>
        <v>3333</v>
      </c>
      <c r="AT174">
        <f>'Planned Care Activity'!U27</f>
        <v>13632</v>
      </c>
      <c r="AU174">
        <f>'Planned Care Activity'!V27</f>
        <v>0</v>
      </c>
    </row>
    <row r="175" spans="1:47" hidden="1">
      <c r="A175" t="str">
        <f>'[1]Front Sheet and Checklist'!$C$5</f>
        <v>(please select from drop down)</v>
      </c>
      <c r="B175" t="s">
        <v>243</v>
      </c>
      <c r="C175" t="s">
        <v>245</v>
      </c>
      <c r="D175" t="str">
        <f>'Planned Care Activity'!$B$28&amp;" "&amp;'Planned Care Activity'!$C$28</f>
        <v xml:space="preserve">Face to Face Core sessions </v>
      </c>
      <c r="F175">
        <f>'Planned Care Activity'!D28</f>
        <v>321015</v>
      </c>
      <c r="S175">
        <f t="shared" si="1"/>
        <v>440615</v>
      </c>
      <c r="AG175">
        <f>'Planned Care Activity'!E28</f>
        <v>224154</v>
      </c>
      <c r="AH175">
        <f>'Planned Care Activity'!F28</f>
        <v>247583</v>
      </c>
      <c r="AI175">
        <f>'Planned Care Activity'!G28</f>
        <v>251780</v>
      </c>
      <c r="AJ175">
        <f>'Planned Care Activity'!L28</f>
        <v>62945</v>
      </c>
      <c r="AK175">
        <f>'Planned Care Activity'!M28</f>
        <v>62945</v>
      </c>
      <c r="AL175">
        <f>'Planned Care Activity'!N28</f>
        <v>62945</v>
      </c>
      <c r="AM175">
        <f>'Planned Care Activity'!O28</f>
        <v>251780</v>
      </c>
      <c r="AN175">
        <f>'Planned Care Activity'!H28</f>
        <v>0</v>
      </c>
      <c r="AO175">
        <f>'Planned Care Activity'!I28</f>
        <v>0</v>
      </c>
      <c r="AP175">
        <f>'Planned Care Activity'!J28</f>
        <v>0</v>
      </c>
      <c r="AQ175">
        <f>'Planned Care Activity'!R28</f>
        <v>73643</v>
      </c>
      <c r="AR175">
        <f>'Planned Care Activity'!S28</f>
        <v>74470</v>
      </c>
      <c r="AS175">
        <f>'Planned Care Activity'!T28</f>
        <v>74656</v>
      </c>
      <c r="AT175">
        <f>'Planned Care Activity'!U28</f>
        <v>292812</v>
      </c>
      <c r="AU175">
        <f>'Planned Care Activity'!V28</f>
        <v>0</v>
      </c>
    </row>
    <row r="176" spans="1:47" hidden="1">
      <c r="A176" t="str">
        <f>'[1]Front Sheet and Checklist'!$C$5</f>
        <v>(please select from drop down)</v>
      </c>
      <c r="B176" t="s">
        <v>243</v>
      </c>
      <c r="C176" t="s">
        <v>245</v>
      </c>
      <c r="D176" t="str">
        <f>'Planned Care Activity'!$B$28&amp;" "&amp;'Planned Care Activity'!$C$28</f>
        <v xml:space="preserve">Face to Face Core sessions </v>
      </c>
      <c r="F176">
        <f>'Planned Care Activity'!D29</f>
        <v>0</v>
      </c>
      <c r="S176">
        <f t="shared" si="1"/>
        <v>0</v>
      </c>
      <c r="AG176">
        <f>'Planned Care Activity'!E29</f>
        <v>1676</v>
      </c>
      <c r="AH176">
        <f>'Planned Care Activity'!F29</f>
        <v>13125</v>
      </c>
      <c r="AI176">
        <f>'Planned Care Activity'!G29</f>
        <v>0</v>
      </c>
      <c r="AJ176">
        <f>'Planned Care Activity'!L29</f>
        <v>0</v>
      </c>
      <c r="AK176">
        <f>'Planned Care Activity'!M29</f>
        <v>0</v>
      </c>
      <c r="AL176">
        <f>'Planned Care Activity'!N29</f>
        <v>0</v>
      </c>
      <c r="AM176">
        <f>'Planned Care Activity'!O29</f>
        <v>0</v>
      </c>
      <c r="AN176">
        <f>'Planned Care Activity'!H29</f>
        <v>0</v>
      </c>
      <c r="AO176">
        <f>'Planned Care Activity'!I29</f>
        <v>0</v>
      </c>
      <c r="AP176">
        <f>'Planned Care Activity'!J29</f>
        <v>0</v>
      </c>
      <c r="AQ176">
        <f>'Planned Care Activity'!R29</f>
        <v>0</v>
      </c>
      <c r="AR176">
        <f>'Planned Care Activity'!S29</f>
        <v>40</v>
      </c>
      <c r="AS176">
        <f>'Planned Care Activity'!T29</f>
        <v>15</v>
      </c>
      <c r="AT176">
        <f>'Planned Care Activity'!U29</f>
        <v>94</v>
      </c>
      <c r="AU176">
        <f>'Planned Care Activity'!V29</f>
        <v>0</v>
      </c>
    </row>
    <row r="177" spans="1:64" hidden="1">
      <c r="A177" t="str">
        <f>'[1]Front Sheet and Checklist'!$C$5</f>
        <v>(please select from drop down)</v>
      </c>
      <c r="B177" t="s">
        <v>243</v>
      </c>
      <c r="C177" t="s">
        <v>245</v>
      </c>
      <c r="D177" t="str">
        <f>'Planned Care Activity'!$B$28&amp;" "&amp;'Planned Care Activity'!$C$28</f>
        <v xml:space="preserve">Face to Face Core sessions </v>
      </c>
      <c r="F177">
        <f>'Planned Care Activity'!D30</f>
        <v>0</v>
      </c>
      <c r="S177">
        <f t="shared" si="1"/>
        <v>0</v>
      </c>
      <c r="AG177">
        <f>'Planned Care Activity'!E30</f>
        <v>20</v>
      </c>
      <c r="AH177">
        <f>'Planned Care Activity'!F30</f>
        <v>243</v>
      </c>
      <c r="AI177">
        <f>'Planned Care Activity'!G30</f>
        <v>0</v>
      </c>
      <c r="AJ177">
        <f>'Planned Care Activity'!L30</f>
        <v>0</v>
      </c>
      <c r="AK177">
        <f>'Planned Care Activity'!M30</f>
        <v>0</v>
      </c>
      <c r="AL177">
        <f>'Planned Care Activity'!N30</f>
        <v>0</v>
      </c>
      <c r="AM177">
        <f>'Planned Care Activity'!O30</f>
        <v>0</v>
      </c>
      <c r="AN177">
        <f>'Planned Care Activity'!H30</f>
        <v>0</v>
      </c>
      <c r="AO177">
        <f>'Planned Care Activity'!I30</f>
        <v>0</v>
      </c>
      <c r="AP177">
        <f>'Planned Care Activity'!J30</f>
        <v>0</v>
      </c>
      <c r="AQ177">
        <f>'Planned Care Activity'!R30</f>
        <v>0</v>
      </c>
      <c r="AR177">
        <f>'Planned Care Activity'!S30</f>
        <v>0</v>
      </c>
      <c r="AS177">
        <f>'Planned Care Activity'!T30</f>
        <v>0</v>
      </c>
      <c r="AT177">
        <f>'Planned Care Activity'!U30</f>
        <v>0</v>
      </c>
      <c r="AU177">
        <f>'Planned Care Activity'!V30</f>
        <v>0</v>
      </c>
    </row>
    <row r="178" spans="1:64" hidden="1">
      <c r="A178" t="str">
        <f>'[1]Front Sheet and Checklist'!$C$5</f>
        <v>(please select from drop down)</v>
      </c>
      <c r="B178" t="s">
        <v>243</v>
      </c>
      <c r="C178" t="s">
        <v>245</v>
      </c>
      <c r="D178" t="str">
        <f>'Planned Care Activity'!$B$28&amp;" "&amp;'Planned Care Activity'!$C$28</f>
        <v xml:space="preserve">Face to Face Core sessions </v>
      </c>
      <c r="F178">
        <f>'Planned Care Activity'!D31</f>
        <v>343</v>
      </c>
      <c r="S178">
        <f t="shared" si="1"/>
        <v>0</v>
      </c>
      <c r="AG178">
        <f>'Planned Care Activity'!E31</f>
        <v>1206</v>
      </c>
      <c r="AH178">
        <f>'Planned Care Activity'!F31</f>
        <v>239</v>
      </c>
      <c r="AI178">
        <f>'Planned Care Activity'!G31</f>
        <v>0</v>
      </c>
      <c r="AJ178">
        <f>'Planned Care Activity'!L31</f>
        <v>0</v>
      </c>
      <c r="AK178">
        <f>'Planned Care Activity'!M31</f>
        <v>0</v>
      </c>
      <c r="AL178">
        <f>'Planned Care Activity'!N31</f>
        <v>0</v>
      </c>
      <c r="AM178">
        <f>'Planned Care Activity'!O31</f>
        <v>0</v>
      </c>
      <c r="AN178">
        <f>'Planned Care Activity'!H31</f>
        <v>0</v>
      </c>
      <c r="AO178">
        <f>'Planned Care Activity'!I31</f>
        <v>0</v>
      </c>
      <c r="AP178">
        <f>'Planned Care Activity'!J31</f>
        <v>0</v>
      </c>
      <c r="AQ178">
        <f>'Planned Care Activity'!R31</f>
        <v>325</v>
      </c>
      <c r="AR178">
        <f>'Planned Care Activity'!S31</f>
        <v>549</v>
      </c>
      <c r="AS178">
        <f>'Planned Care Activity'!T31</f>
        <v>58</v>
      </c>
      <c r="AT178">
        <f>'Planned Care Activity'!U31</f>
        <v>498</v>
      </c>
      <c r="AU178">
        <f>'Planned Care Activity'!V31</f>
        <v>0</v>
      </c>
    </row>
    <row r="179" spans="1:64" hidden="1">
      <c r="A179" t="str">
        <f>'[1]Front Sheet and Checklist'!$C$5</f>
        <v>(please select from drop down)</v>
      </c>
      <c r="B179" t="s">
        <v>243</v>
      </c>
      <c r="C179" t="s">
        <v>245</v>
      </c>
      <c r="D179" t="str">
        <f>'Planned Care Activity'!$B$28&amp;" "&amp;'Planned Care Activity'!$C$28</f>
        <v xml:space="preserve">Face to Face Core sessions </v>
      </c>
      <c r="F179">
        <f>'Planned Care Activity'!D32</f>
        <v>321358</v>
      </c>
      <c r="S179">
        <f t="shared" si="1"/>
        <v>440615</v>
      </c>
      <c r="AG179">
        <f>'Planned Care Activity'!E32</f>
        <v>227056</v>
      </c>
      <c r="AH179">
        <f>'Planned Care Activity'!F32</f>
        <v>261190</v>
      </c>
      <c r="AI179">
        <f>'Planned Care Activity'!G32</f>
        <v>251780</v>
      </c>
      <c r="AJ179">
        <f>'Planned Care Activity'!L32</f>
        <v>62945</v>
      </c>
      <c r="AK179">
        <f>'Planned Care Activity'!M32</f>
        <v>62945</v>
      </c>
      <c r="AL179">
        <f>'Planned Care Activity'!N32</f>
        <v>62945</v>
      </c>
      <c r="AM179">
        <f>'Planned Care Activity'!O32</f>
        <v>251780</v>
      </c>
      <c r="AN179">
        <f>'Planned Care Activity'!H32</f>
        <v>0</v>
      </c>
      <c r="AO179">
        <f>'Planned Care Activity'!I32</f>
        <v>0</v>
      </c>
      <c r="AP179">
        <f>'Planned Care Activity'!J32</f>
        <v>0</v>
      </c>
      <c r="AQ179">
        <f>'Planned Care Activity'!R32</f>
        <v>73968</v>
      </c>
      <c r="AR179">
        <f>'Planned Care Activity'!S32</f>
        <v>75059</v>
      </c>
      <c r="AS179">
        <f>'Planned Care Activity'!T32</f>
        <v>74729</v>
      </c>
      <c r="AT179">
        <f>'Planned Care Activity'!U32</f>
        <v>293404</v>
      </c>
      <c r="AU179">
        <f>'Planned Care Activity'!V32</f>
        <v>0</v>
      </c>
    </row>
    <row r="180" spans="1:64" hidden="1">
      <c r="A180" t="str">
        <f>'[1]Front Sheet and Checklist'!$C$5</f>
        <v>(please select from drop down)</v>
      </c>
      <c r="B180" t="s">
        <v>243</v>
      </c>
      <c r="C180" t="s">
        <v>245</v>
      </c>
      <c r="D180" t="str">
        <f>'Planned Care Activity'!$B$28&amp;" "&amp;'Planned Care Activity'!$C$33</f>
        <v xml:space="preserve">Face to Face Core sessions </v>
      </c>
      <c r="F180">
        <f>'Planned Care Activity'!D33</f>
        <v>0</v>
      </c>
      <c r="S180">
        <f t="shared" si="1"/>
        <v>86982</v>
      </c>
      <c r="AG180">
        <f>'Planned Care Activity'!E33</f>
        <v>64245</v>
      </c>
      <c r="AH180">
        <f>'Planned Care Activity'!F33</f>
        <v>50924</v>
      </c>
      <c r="AI180">
        <f>'Planned Care Activity'!G33</f>
        <v>49704</v>
      </c>
      <c r="AJ180">
        <f>'Planned Care Activity'!L33</f>
        <v>12426</v>
      </c>
      <c r="AK180">
        <f>'Planned Care Activity'!M33</f>
        <v>12426</v>
      </c>
      <c r="AL180">
        <f>'Planned Care Activity'!N33</f>
        <v>12426</v>
      </c>
      <c r="AM180">
        <f>'Planned Care Activity'!O33</f>
        <v>49704</v>
      </c>
      <c r="AN180">
        <f>'Planned Care Activity'!H33</f>
        <v>0</v>
      </c>
      <c r="AO180">
        <f>'Planned Care Activity'!I33</f>
        <v>0</v>
      </c>
      <c r="AP180">
        <f>'Planned Care Activity'!J33</f>
        <v>0</v>
      </c>
      <c r="AQ180">
        <f>'Planned Care Activity'!R33</f>
        <v>14386</v>
      </c>
      <c r="AR180">
        <f>'Planned Care Activity'!S33</f>
        <v>14630</v>
      </c>
      <c r="AS180">
        <f>'Planned Care Activity'!T33</f>
        <v>14080</v>
      </c>
      <c r="AT180">
        <f>'Planned Care Activity'!U33</f>
        <v>56666</v>
      </c>
      <c r="AU180">
        <f>'Planned Care Activity'!V33</f>
        <v>0</v>
      </c>
    </row>
    <row r="181" spans="1:64" hidden="1">
      <c r="A181" t="str">
        <f>'[1]Front Sheet and Checklist'!$C$5</f>
        <v>(please select from drop down)</v>
      </c>
      <c r="B181" t="s">
        <v>243</v>
      </c>
      <c r="C181" t="s">
        <v>245</v>
      </c>
      <c r="D181" t="str">
        <f>'Planned Care Activity'!$B$28&amp;" "&amp;'Planned Care Activity'!$C$33</f>
        <v xml:space="preserve">Face to Face Core sessions </v>
      </c>
      <c r="F181">
        <f>'Planned Care Activity'!D34</f>
        <v>0</v>
      </c>
      <c r="S181">
        <f t="shared" si="1"/>
        <v>0</v>
      </c>
      <c r="AG181">
        <f>'Planned Care Activity'!E34</f>
        <v>110</v>
      </c>
      <c r="AH181" t="str">
        <f>'Planned Care Activity'!F34</f>
        <v xml:space="preserve">                    -  </v>
      </c>
      <c r="AI181">
        <f>'Planned Care Activity'!G34</f>
        <v>0</v>
      </c>
      <c r="AJ181">
        <f>'Planned Care Activity'!L34</f>
        <v>0</v>
      </c>
      <c r="AK181">
        <f>'Planned Care Activity'!M34</f>
        <v>0</v>
      </c>
      <c r="AL181">
        <f>'Planned Care Activity'!N34</f>
        <v>0</v>
      </c>
      <c r="AM181">
        <f>'Planned Care Activity'!O34</f>
        <v>0</v>
      </c>
      <c r="AN181">
        <f>'Planned Care Activity'!H34</f>
        <v>0</v>
      </c>
      <c r="AO181">
        <f>'Planned Care Activity'!I34</f>
        <v>0</v>
      </c>
      <c r="AP181">
        <f>'Planned Care Activity'!J34</f>
        <v>0</v>
      </c>
      <c r="AQ181">
        <f>'Planned Care Activity'!R34</f>
        <v>0</v>
      </c>
      <c r="AR181">
        <f>'Planned Care Activity'!S34</f>
        <v>0</v>
      </c>
      <c r="AS181">
        <f>'Planned Care Activity'!T34</f>
        <v>0</v>
      </c>
      <c r="AT181">
        <f>'Planned Care Activity'!U34</f>
        <v>0</v>
      </c>
      <c r="AU181">
        <f>'Planned Care Activity'!V34</f>
        <v>0</v>
      </c>
    </row>
    <row r="182" spans="1:64" hidden="1">
      <c r="A182" t="str">
        <f>'[1]Front Sheet and Checklist'!$C$5</f>
        <v>(please select from drop down)</v>
      </c>
      <c r="B182" t="s">
        <v>243</v>
      </c>
      <c r="C182" t="s">
        <v>245</v>
      </c>
      <c r="D182" t="str">
        <f>'Planned Care Activity'!$B$28&amp;" "&amp;'Planned Care Activity'!$C$33</f>
        <v xml:space="preserve">Face to Face Core sessions </v>
      </c>
      <c r="F182">
        <f>'Planned Care Activity'!D35</f>
        <v>0</v>
      </c>
      <c r="S182">
        <f t="shared" si="1"/>
        <v>0</v>
      </c>
      <c r="AG182">
        <f>'Planned Care Activity'!E35</f>
        <v>0</v>
      </c>
      <c r="AH182" t="str">
        <f>'Planned Care Activity'!F35</f>
        <v xml:space="preserve">                    -  </v>
      </c>
      <c r="AI182">
        <f>'Planned Care Activity'!G35</f>
        <v>0</v>
      </c>
      <c r="AJ182">
        <f>'Planned Care Activity'!L35</f>
        <v>0</v>
      </c>
      <c r="AK182">
        <f>'Planned Care Activity'!M35</f>
        <v>0</v>
      </c>
      <c r="AL182">
        <f>'Planned Care Activity'!N35</f>
        <v>0</v>
      </c>
      <c r="AM182">
        <f>'Planned Care Activity'!O35</f>
        <v>0</v>
      </c>
      <c r="AN182">
        <f>'Planned Care Activity'!H35</f>
        <v>0</v>
      </c>
      <c r="AO182">
        <f>'Planned Care Activity'!I35</f>
        <v>0</v>
      </c>
      <c r="AP182">
        <f>'Planned Care Activity'!J35</f>
        <v>0</v>
      </c>
      <c r="AQ182">
        <f>'Planned Care Activity'!R35</f>
        <v>0</v>
      </c>
      <c r="AR182">
        <f>'Planned Care Activity'!S35</f>
        <v>0</v>
      </c>
      <c r="AS182">
        <f>'Planned Care Activity'!T35</f>
        <v>0</v>
      </c>
      <c r="AT182">
        <f>'Planned Care Activity'!U35</f>
        <v>0</v>
      </c>
      <c r="AU182">
        <f>'Planned Care Activity'!V35</f>
        <v>0</v>
      </c>
    </row>
    <row r="183" spans="1:64" hidden="1">
      <c r="A183" t="str">
        <f>'[1]Front Sheet and Checklist'!$C$5</f>
        <v>(please select from drop down)</v>
      </c>
      <c r="B183" t="s">
        <v>243</v>
      </c>
      <c r="C183" t="s">
        <v>245</v>
      </c>
      <c r="D183" t="str">
        <f>'Planned Care Activity'!$B$28&amp;" "&amp;'Planned Care Activity'!$C$33</f>
        <v xml:space="preserve">Face to Face Core sessions </v>
      </c>
      <c r="F183">
        <f>'Planned Care Activity'!D36</f>
        <v>0</v>
      </c>
      <c r="S183">
        <f t="shared" si="1"/>
        <v>0</v>
      </c>
      <c r="AG183">
        <f>'Planned Care Activity'!E36</f>
        <v>1131</v>
      </c>
      <c r="AH183">
        <f>'Planned Care Activity'!F36</f>
        <v>1194</v>
      </c>
      <c r="AI183">
        <f>'Planned Care Activity'!G36</f>
        <v>0</v>
      </c>
      <c r="AJ183">
        <f>'Planned Care Activity'!L36</f>
        <v>0</v>
      </c>
      <c r="AK183">
        <f>'Planned Care Activity'!M36</f>
        <v>0</v>
      </c>
      <c r="AL183">
        <f>'Planned Care Activity'!N36</f>
        <v>0</v>
      </c>
      <c r="AM183">
        <f>'Planned Care Activity'!O36</f>
        <v>0</v>
      </c>
      <c r="AN183">
        <f>'Planned Care Activity'!H36</f>
        <v>0</v>
      </c>
      <c r="AO183">
        <f>'Planned Care Activity'!I36</f>
        <v>0</v>
      </c>
      <c r="AP183">
        <f>'Planned Care Activity'!J36</f>
        <v>0</v>
      </c>
      <c r="AQ183">
        <f>'Planned Care Activity'!R36</f>
        <v>0</v>
      </c>
      <c r="AR183">
        <f>'Planned Care Activity'!S36</f>
        <v>0</v>
      </c>
      <c r="AS183">
        <f>'Planned Care Activity'!T36</f>
        <v>0</v>
      </c>
      <c r="AT183">
        <f>'Planned Care Activity'!U36</f>
        <v>0</v>
      </c>
      <c r="AU183">
        <f>'Planned Care Activity'!V36</f>
        <v>0</v>
      </c>
    </row>
    <row r="184" spans="1:64" hidden="1">
      <c r="A184" t="str">
        <f>'[1]Front Sheet and Checklist'!$C$5</f>
        <v>(please select from drop down)</v>
      </c>
      <c r="B184" t="s">
        <v>243</v>
      </c>
      <c r="C184" t="s">
        <v>245</v>
      </c>
      <c r="D184" t="str">
        <f>'Planned Care Activity'!$B$28&amp;" "&amp;'Planned Care Activity'!$C$33</f>
        <v xml:space="preserve">Face to Face Core sessions </v>
      </c>
      <c r="F184">
        <f>'Planned Care Activity'!D37</f>
        <v>0</v>
      </c>
      <c r="S184">
        <f t="shared" si="1"/>
        <v>86982</v>
      </c>
      <c r="AG184">
        <f>'Planned Care Activity'!E37</f>
        <v>65486</v>
      </c>
      <c r="AH184">
        <f>'Planned Care Activity'!F37</f>
        <v>52118</v>
      </c>
      <c r="AI184">
        <f>'Planned Care Activity'!G37</f>
        <v>49704</v>
      </c>
      <c r="AJ184">
        <f>'Planned Care Activity'!L37</f>
        <v>12426</v>
      </c>
      <c r="AK184">
        <f>'Planned Care Activity'!M37</f>
        <v>12426</v>
      </c>
      <c r="AL184">
        <f>'Planned Care Activity'!N37</f>
        <v>12426</v>
      </c>
      <c r="AM184">
        <f>'Planned Care Activity'!O37</f>
        <v>49704</v>
      </c>
      <c r="AN184">
        <f>'Planned Care Activity'!H37</f>
        <v>0</v>
      </c>
      <c r="AO184">
        <f>'Planned Care Activity'!I37</f>
        <v>0</v>
      </c>
      <c r="AP184">
        <f>'Planned Care Activity'!J37</f>
        <v>0</v>
      </c>
      <c r="AQ184">
        <f>'Planned Care Activity'!R37</f>
        <v>14386</v>
      </c>
      <c r="AR184">
        <f>'Planned Care Activity'!S37</f>
        <v>14630</v>
      </c>
      <c r="AS184">
        <f>'Planned Care Activity'!T37</f>
        <v>14080</v>
      </c>
      <c r="AT184">
        <f>'Planned Care Activity'!U37</f>
        <v>56666</v>
      </c>
      <c r="AU184">
        <f>'Planned Care Activity'!V37</f>
        <v>0</v>
      </c>
    </row>
    <row r="185" spans="1:64" hidden="1">
      <c r="A185" t="str">
        <f>'[1]Front Sheet and Checklist'!$C$5</f>
        <v>(please select from drop down)</v>
      </c>
      <c r="B185" t="s">
        <v>243</v>
      </c>
      <c r="C185" t="s">
        <v>246</v>
      </c>
      <c r="D185" t="str">
        <f>'Planned Care Activity'!$B$38&amp;" "&amp;'Planned Care Activity'!C38</f>
        <v>CT Total</v>
      </c>
      <c r="F185">
        <f>'Planned Care Activity'!D38</f>
        <v>40372</v>
      </c>
      <c r="S185">
        <f t="shared" si="1"/>
        <v>95802</v>
      </c>
      <c r="AG185">
        <f>'Planned Care Activity'!E38</f>
        <v>48880</v>
      </c>
      <c r="AH185">
        <f>'Planned Care Activity'!F38</f>
        <v>54312</v>
      </c>
      <c r="AI185">
        <f>'Planned Care Activity'!G38</f>
        <v>54744</v>
      </c>
      <c r="AJ185">
        <f>'Planned Care Activity'!L38</f>
        <v>13686</v>
      </c>
      <c r="AK185">
        <f>'Planned Care Activity'!M38</f>
        <v>13686</v>
      </c>
      <c r="AL185">
        <f>'Planned Care Activity'!N38</f>
        <v>13686</v>
      </c>
      <c r="AM185">
        <f>'Planned Care Activity'!O38</f>
        <v>54744</v>
      </c>
      <c r="AN185">
        <f>'Planned Care Activity'!H38</f>
        <v>0</v>
      </c>
      <c r="AO185">
        <f>'Planned Care Activity'!I38</f>
        <v>0</v>
      </c>
      <c r="AP185">
        <f>'Planned Care Activity'!J38</f>
        <v>0</v>
      </c>
      <c r="AQ185">
        <f>'Planned Care Activity'!R38</f>
        <v>14551</v>
      </c>
      <c r="AR185">
        <f>'Planned Care Activity'!S38</f>
        <v>14983</v>
      </c>
      <c r="AS185">
        <f>'Planned Care Activity'!T38</f>
        <v>14335</v>
      </c>
      <c r="AT185">
        <f>'Planned Care Activity'!U38</f>
        <v>57347</v>
      </c>
      <c r="AU185">
        <f>'Planned Care Activity'!V38</f>
        <v>0</v>
      </c>
    </row>
    <row r="186" spans="1:64" hidden="1">
      <c r="A186" t="str">
        <f>'[1]Front Sheet and Checklist'!$C$5</f>
        <v>(please select from drop down)</v>
      </c>
      <c r="B186" t="s">
        <v>243</v>
      </c>
      <c r="C186" t="s">
        <v>246</v>
      </c>
      <c r="D186" t="str">
        <f>'Planned Care Activity'!$B$38&amp;" "&amp;'Planned Care Activity'!C39</f>
        <v>CT Total</v>
      </c>
      <c r="F186">
        <f>'Planned Care Activity'!D39</f>
        <v>21840</v>
      </c>
      <c r="S186">
        <f t="shared" si="1"/>
        <v>47124</v>
      </c>
      <c r="AG186">
        <f>'Planned Care Activity'!E39</f>
        <v>22788</v>
      </c>
      <c r="AH186">
        <f>'Planned Care Activity'!F39</f>
        <v>26570</v>
      </c>
      <c r="AI186">
        <f>'Planned Care Activity'!G39</f>
        <v>26928</v>
      </c>
      <c r="AJ186">
        <f>'Planned Care Activity'!L39</f>
        <v>6732</v>
      </c>
      <c r="AK186">
        <f>'Planned Care Activity'!M39</f>
        <v>6732</v>
      </c>
      <c r="AL186">
        <f>'Planned Care Activity'!N39</f>
        <v>6732</v>
      </c>
      <c r="AM186">
        <f>'Planned Care Activity'!O39</f>
        <v>26928</v>
      </c>
      <c r="AN186">
        <f>'Planned Care Activity'!H39</f>
        <v>0</v>
      </c>
      <c r="AO186">
        <f>'Planned Care Activity'!I39</f>
        <v>0</v>
      </c>
      <c r="AP186">
        <f>'Planned Care Activity'!J39</f>
        <v>0</v>
      </c>
      <c r="AQ186">
        <f>'Planned Care Activity'!R39</f>
        <v>6869</v>
      </c>
      <c r="AR186">
        <f>'Planned Care Activity'!S39</f>
        <v>6507</v>
      </c>
      <c r="AS186">
        <f>'Planned Care Activity'!T39</f>
        <v>6034</v>
      </c>
      <c r="AT186">
        <f>'Planned Care Activity'!U39</f>
        <v>26491</v>
      </c>
      <c r="AU186">
        <f>'Planned Care Activity'!V39</f>
        <v>0</v>
      </c>
    </row>
    <row r="187" spans="1:64" hidden="1">
      <c r="A187" t="str">
        <f>'[1]Front Sheet and Checklist'!$C$5</f>
        <v>(please select from drop down)</v>
      </c>
      <c r="B187" t="s">
        <v>243</v>
      </c>
      <c r="C187" t="s">
        <v>246</v>
      </c>
      <c r="D187" t="str">
        <f>'Planned Care Activity'!$B$38&amp;" "&amp;'Planned Care Activity'!C40</f>
        <v>CT Total</v>
      </c>
      <c r="F187">
        <f>'Planned Care Activity'!D40</f>
        <v>41046</v>
      </c>
      <c r="S187">
        <f t="shared" si="1"/>
        <v>71092</v>
      </c>
      <c r="AG187">
        <f>'Planned Care Activity'!E40</f>
        <v>37290</v>
      </c>
      <c r="AH187">
        <f>'Planned Care Activity'!F40</f>
        <v>39608</v>
      </c>
      <c r="AI187">
        <f>'Planned Care Activity'!G40</f>
        <v>40624</v>
      </c>
      <c r="AJ187">
        <f>'Planned Care Activity'!L40</f>
        <v>10156</v>
      </c>
      <c r="AK187">
        <f>'Planned Care Activity'!M40</f>
        <v>10156</v>
      </c>
      <c r="AL187">
        <f>'Planned Care Activity'!N40</f>
        <v>10156</v>
      </c>
      <c r="AM187">
        <f>'Planned Care Activity'!O40</f>
        <v>40624</v>
      </c>
      <c r="AN187">
        <f>'Planned Care Activity'!H40</f>
        <v>0</v>
      </c>
      <c r="AO187">
        <f>'Planned Care Activity'!I40</f>
        <v>0</v>
      </c>
      <c r="AP187">
        <f>'Planned Care Activity'!J40</f>
        <v>0</v>
      </c>
      <c r="AQ187">
        <f>'Planned Care Activity'!R40</f>
        <v>9782</v>
      </c>
      <c r="AR187">
        <f>'Planned Care Activity'!S40</f>
        <v>9453</v>
      </c>
      <c r="AS187">
        <f>'Planned Care Activity'!T40</f>
        <v>9776</v>
      </c>
      <c r="AT187">
        <f>'Planned Care Activity'!U40</f>
        <v>38924</v>
      </c>
      <c r="AU187">
        <f>'Planned Care Activity'!V40</f>
        <v>0</v>
      </c>
    </row>
    <row r="188" spans="1:64" hidden="1">
      <c r="A188" t="str">
        <f>'[1]Front Sheet and Checklist'!$C$5</f>
        <v>(please select from drop down)</v>
      </c>
      <c r="B188" t="s">
        <v>243</v>
      </c>
      <c r="C188" t="s">
        <v>246</v>
      </c>
      <c r="D188" t="str">
        <f>'Planned Care Activity'!$B$38&amp;" "&amp;'Planned Care Activity'!C41</f>
        <v>CT Total</v>
      </c>
      <c r="F188">
        <f>'Planned Care Activity'!D41</f>
        <v>9667</v>
      </c>
      <c r="S188">
        <f t="shared" si="1"/>
        <v>23457</v>
      </c>
      <c r="AG188">
        <f>'Planned Care Activity'!E41</f>
        <v>11443</v>
      </c>
      <c r="AH188">
        <f>'Planned Care Activity'!F41</f>
        <v>13351</v>
      </c>
      <c r="AI188">
        <f>'Planned Care Activity'!G41</f>
        <v>13404</v>
      </c>
      <c r="AJ188">
        <f>'Planned Care Activity'!L41</f>
        <v>3351</v>
      </c>
      <c r="AK188">
        <f>'Planned Care Activity'!M41</f>
        <v>3351</v>
      </c>
      <c r="AL188">
        <f>'Planned Care Activity'!N41</f>
        <v>3351</v>
      </c>
      <c r="AM188">
        <f>'Planned Care Activity'!O41</f>
        <v>13404</v>
      </c>
      <c r="AN188">
        <f>'Planned Care Activity'!H41</f>
        <v>0</v>
      </c>
      <c r="AO188">
        <f>'Planned Care Activity'!I41</f>
        <v>0</v>
      </c>
      <c r="AP188">
        <f>'Planned Care Activity'!J41</f>
        <v>0</v>
      </c>
      <c r="AQ188">
        <f>'Planned Care Activity'!R41</f>
        <v>3786</v>
      </c>
      <c r="AR188">
        <f>'Planned Care Activity'!S41</f>
        <v>3821</v>
      </c>
      <c r="AS188">
        <f>'Planned Care Activity'!T41</f>
        <v>3772</v>
      </c>
      <c r="AT188">
        <f>'Planned Care Activity'!U41</f>
        <v>15155</v>
      </c>
      <c r="AU188">
        <f>'Planned Care Activity'!V41</f>
        <v>0</v>
      </c>
    </row>
    <row r="189" spans="1:64">
      <c r="A189" t="str">
        <f>'[1]Front Sheet and Checklist'!$C$5</f>
        <v>(please select from drop down)</v>
      </c>
      <c r="B189" t="s">
        <v>8</v>
      </c>
      <c r="C189" t="str">
        <f>Vaccinations!$C$6</f>
        <v>A - Total COVID Vaccine Population</v>
      </c>
      <c r="F189" t="str">
        <f>Vaccinations!C10</f>
        <v>Severely Immunosuppressed</v>
      </c>
      <c r="BH189">
        <f>Vaccinations!D10</f>
        <v>13459</v>
      </c>
      <c r="BI189" t="str">
        <f>Vaccinations!E10</f>
        <v>P</v>
      </c>
      <c r="BJ189" t="str">
        <f>Vaccinations!F10</f>
        <v>P</v>
      </c>
      <c r="BK189">
        <f>Vaccinations!G10</f>
        <v>10129</v>
      </c>
      <c r="BL189">
        <f>Vaccinations!H10</f>
        <v>12648</v>
      </c>
    </row>
    <row r="190" spans="1:64">
      <c r="A190" t="str">
        <f>'[1]Front Sheet and Checklist'!$C$5</f>
        <v>(please select from drop down)</v>
      </c>
      <c r="B190" t="s">
        <v>8</v>
      </c>
      <c r="C190" t="str">
        <f>Vaccinations!$C$6</f>
        <v>A - Total COVID Vaccine Population</v>
      </c>
      <c r="F190" t="str">
        <f>Vaccinations!C11</f>
        <v>Care home residents</v>
      </c>
      <c r="BH190">
        <f>Vaccinations!D11</f>
        <v>2193</v>
      </c>
      <c r="BI190" t="str">
        <f>Vaccinations!E11</f>
        <v>P</v>
      </c>
      <c r="BJ190" t="str">
        <f>Vaccinations!F11</f>
        <v>P</v>
      </c>
      <c r="BK190">
        <f>Vaccinations!G11</f>
        <v>2203</v>
      </c>
      <c r="BL190">
        <f>Vaccinations!H11</f>
        <v>2123</v>
      </c>
    </row>
    <row r="191" spans="1:64">
      <c r="A191" t="str">
        <f>'[1]Front Sheet and Checklist'!$C$5</f>
        <v>(please select from drop down)</v>
      </c>
      <c r="B191" t="s">
        <v>8</v>
      </c>
      <c r="C191" t="str">
        <f>Vaccinations!$C$6</f>
        <v>A - Total COVID Vaccine Population</v>
      </c>
      <c r="F191" t="str">
        <f>Vaccinations!C12</f>
        <v>Care home workers</v>
      </c>
      <c r="BH191">
        <f>Vaccinations!D12</f>
        <v>4557</v>
      </c>
      <c r="BI191" t="str">
        <f>Vaccinations!E12</f>
        <v>NP</v>
      </c>
      <c r="BJ191" t="str">
        <f>Vaccinations!F12</f>
        <v>NP</v>
      </c>
      <c r="BK191" t="str">
        <f>Vaccinations!G12</f>
        <v>N/A</v>
      </c>
      <c r="BL191">
        <f>Vaccinations!H12</f>
        <v>4557</v>
      </c>
    </row>
    <row r="192" spans="1:64">
      <c r="A192" t="str">
        <f>'[1]Front Sheet and Checklist'!$C$5</f>
        <v>(please select from drop down)</v>
      </c>
      <c r="B192" t="s">
        <v>8</v>
      </c>
      <c r="C192" t="str">
        <f>Vaccinations!$C$6</f>
        <v>A - Total COVID Vaccine Population</v>
      </c>
      <c r="F192" t="str">
        <f>Vaccinations!C13</f>
        <v>80 years and older</v>
      </c>
      <c r="BH192">
        <f>Vaccinations!D13</f>
        <v>21517</v>
      </c>
      <c r="BI192" t="str">
        <f>Vaccinations!E13</f>
        <v>P</v>
      </c>
      <c r="BJ192" t="str">
        <f>Vaccinations!F13</f>
        <v>P</v>
      </c>
      <c r="BK192">
        <f>Vaccinations!G13</f>
        <v>21015</v>
      </c>
      <c r="BL192">
        <f>Vaccinations!H13</f>
        <v>20182</v>
      </c>
    </row>
    <row r="193" spans="1:64">
      <c r="A193" t="str">
        <f>'[1]Front Sheet and Checklist'!$C$5</f>
        <v>(please select from drop down)</v>
      </c>
      <c r="B193" t="s">
        <v>8</v>
      </c>
      <c r="C193" t="str">
        <f>Vaccinations!$C$6</f>
        <v>A - Total COVID Vaccine Population</v>
      </c>
      <c r="F193" t="str">
        <f>Vaccinations!C14</f>
        <v>Frontline Health care workers</v>
      </c>
      <c r="BH193">
        <f>Vaccinations!D14</f>
        <v>21581</v>
      </c>
      <c r="BI193" t="str">
        <f>Vaccinations!E14</f>
        <v>NP</v>
      </c>
      <c r="BJ193" t="str">
        <f>Vaccinations!F14</f>
        <v>NP</v>
      </c>
      <c r="BK193" t="str">
        <f>Vaccinations!G14</f>
        <v>N/A</v>
      </c>
      <c r="BL193">
        <f>Vaccinations!H14</f>
        <v>0</v>
      </c>
    </row>
    <row r="194" spans="1:64">
      <c r="A194" t="str">
        <f>'[1]Front Sheet and Checklist'!$C$5</f>
        <v>(please select from drop down)</v>
      </c>
      <c r="B194" t="s">
        <v>8</v>
      </c>
      <c r="C194" t="str">
        <f>Vaccinations!$C$6</f>
        <v>A - Total COVID Vaccine Population</v>
      </c>
      <c r="F194" t="str">
        <f>Vaccinations!C15</f>
        <v>Frontline Social care workers</v>
      </c>
      <c r="BH194">
        <f>Vaccinations!D15</f>
        <v>4333</v>
      </c>
      <c r="BI194" t="str">
        <f>Vaccinations!E15</f>
        <v>NP</v>
      </c>
      <c r="BJ194" t="str">
        <f>Vaccinations!F15</f>
        <v>NP</v>
      </c>
      <c r="BK194" t="str">
        <f>Vaccinations!G15</f>
        <v>N/A</v>
      </c>
      <c r="BL194">
        <f>Vaccinations!H15</f>
        <v>0</v>
      </c>
    </row>
    <row r="195" spans="1:64">
      <c r="A195" t="str">
        <f>'[1]Front Sheet and Checklist'!$C$5</f>
        <v>(please select from drop down)</v>
      </c>
      <c r="B195" t="s">
        <v>8</v>
      </c>
      <c r="C195" t="str">
        <f>Vaccinations!$C$6</f>
        <v>A - Total COVID Vaccine Population</v>
      </c>
      <c r="F195" t="str">
        <f>Vaccinations!C16</f>
        <v>Ages 75-79</v>
      </c>
      <c r="BH195">
        <f>Vaccinations!D16</f>
        <v>17516</v>
      </c>
      <c r="BI195" t="str">
        <f>Vaccinations!E16</f>
        <v>P</v>
      </c>
      <c r="BJ195" t="str">
        <f>Vaccinations!F16</f>
        <v>P</v>
      </c>
      <c r="BK195">
        <f>Vaccinations!G16</f>
        <v>17809</v>
      </c>
      <c r="BL195">
        <f>Vaccinations!H16</f>
        <v>16733</v>
      </c>
    </row>
    <row r="196" spans="1:64">
      <c r="A196" t="str">
        <f>'[1]Front Sheet and Checklist'!$C$5</f>
        <v>(please select from drop down)</v>
      </c>
      <c r="B196" t="s">
        <v>8</v>
      </c>
      <c r="C196" t="str">
        <f>Vaccinations!$C$6</f>
        <v>A - Total COVID Vaccine Population</v>
      </c>
      <c r="F196" t="str">
        <f>Vaccinations!C17</f>
        <v>Ages 70-74</v>
      </c>
      <c r="BH196">
        <f>Vaccinations!D17</f>
        <v>18287</v>
      </c>
      <c r="BI196" t="str">
        <f>Vaccinations!E17</f>
        <v>NP</v>
      </c>
      <c r="BJ196" t="str">
        <f>Vaccinations!F17</f>
        <v>P</v>
      </c>
      <c r="BK196" t="str">
        <f>Vaccinations!G17</f>
        <v>N/A</v>
      </c>
      <c r="BL196">
        <f>Vaccinations!H17</f>
        <v>18287</v>
      </c>
    </row>
    <row r="197" spans="1:64">
      <c r="A197" t="str">
        <f>'[1]Front Sheet and Checklist'!$C$5</f>
        <v>(please select from drop down)</v>
      </c>
      <c r="B197" t="s">
        <v>8</v>
      </c>
      <c r="C197" t="str">
        <f>Vaccinations!$C$6</f>
        <v>A - Total COVID Vaccine Population</v>
      </c>
      <c r="F197" t="str">
        <f>Vaccinations!C18</f>
        <v>Clinically extremely vulnerable aged 16-69 years</v>
      </c>
      <c r="BH197">
        <f>Vaccinations!D18</f>
        <v>17855</v>
      </c>
      <c r="BI197" t="str">
        <f>Vaccinations!E18</f>
        <v>NP</v>
      </c>
      <c r="BJ197" t="str">
        <f>Vaccinations!F18</f>
        <v>P</v>
      </c>
      <c r="BK197" t="str">
        <f>Vaccinations!G18</f>
        <v>N/A</v>
      </c>
      <c r="BL197">
        <f>Vaccinations!H18</f>
        <v>17855</v>
      </c>
    </row>
    <row r="198" spans="1:64">
      <c r="A198" t="str">
        <f>'[1]Front Sheet and Checklist'!$C$5</f>
        <v>(please select from drop down)</v>
      </c>
      <c r="B198" t="s">
        <v>8</v>
      </c>
      <c r="C198" t="str">
        <f>Vaccinations!$C$6</f>
        <v>A - Total COVID Vaccine Population</v>
      </c>
      <c r="F198" t="str">
        <f>Vaccinations!C19</f>
        <v>Ages 65-69</v>
      </c>
      <c r="BH198">
        <f>Vaccinations!D19</f>
        <v>16114</v>
      </c>
      <c r="BI198" t="str">
        <f>Vaccinations!E19</f>
        <v>NP</v>
      </c>
      <c r="BJ198" t="str">
        <f>Vaccinations!F19</f>
        <v>P</v>
      </c>
      <c r="BK198" t="str">
        <f>Vaccinations!G19</f>
        <v>N/A</v>
      </c>
      <c r="BL198">
        <f>Vaccinations!H19</f>
        <v>16114</v>
      </c>
    </row>
    <row r="199" spans="1:64">
      <c r="A199" t="str">
        <f>'[1]Front Sheet and Checklist'!$C$5</f>
        <v>(please select from drop down)</v>
      </c>
      <c r="B199" t="s">
        <v>8</v>
      </c>
      <c r="C199" t="str">
        <f>Vaccinations!$C$6</f>
        <v>A - Total COVID Vaccine Population</v>
      </c>
      <c r="F199" t="str">
        <f>Vaccinations!C20</f>
        <v>Clinical risk groups aged 16-64 years</v>
      </c>
      <c r="BH199">
        <f>Vaccinations!D20</f>
        <v>45436</v>
      </c>
      <c r="BI199" t="str">
        <f>Vaccinations!E20</f>
        <v>NP</v>
      </c>
      <c r="BJ199" t="str">
        <f>Vaccinations!F20</f>
        <v>P</v>
      </c>
      <c r="BK199" t="str">
        <f>Vaccinations!G20</f>
        <v>N/A</v>
      </c>
      <c r="BL199">
        <f>Vaccinations!H20</f>
        <v>45436</v>
      </c>
    </row>
    <row r="200" spans="1:64">
      <c r="A200" t="str">
        <f>'[1]Front Sheet and Checklist'!$C$5</f>
        <v>(please select from drop down)</v>
      </c>
      <c r="B200" t="s">
        <v>8</v>
      </c>
      <c r="C200" t="str">
        <f>Vaccinations!$C$6</f>
        <v>A - Total COVID Vaccine Population</v>
      </c>
      <c r="F200" t="str">
        <f>Vaccinations!C21</f>
        <v>Clinical risk groups aged 12-15 years</v>
      </c>
      <c r="BH200">
        <f>Vaccinations!D21</f>
        <v>785</v>
      </c>
      <c r="BI200" t="str">
        <f>Vaccinations!E21</f>
        <v>NP</v>
      </c>
      <c r="BJ200" t="str">
        <f>Vaccinations!F21</f>
        <v>P</v>
      </c>
      <c r="BK200" t="str">
        <f>Vaccinations!G21</f>
        <v>N/A</v>
      </c>
      <c r="BL200">
        <f>Vaccinations!H21</f>
        <v>785</v>
      </c>
    </row>
    <row r="201" spans="1:64">
      <c r="A201" t="str">
        <f>'[1]Front Sheet and Checklist'!$C$5</f>
        <v>(please select from drop down)</v>
      </c>
      <c r="B201" t="s">
        <v>8</v>
      </c>
      <c r="C201" t="str">
        <f>Vaccinations!$C$6</f>
        <v>A - Total COVID Vaccine Population</v>
      </c>
      <c r="F201" t="str">
        <f>Vaccinations!C22</f>
        <v>Clinical risk groups aged 5-11 years</v>
      </c>
      <c r="BH201">
        <f>Vaccinations!D22</f>
        <v>1198</v>
      </c>
      <c r="BI201" t="str">
        <f>Vaccinations!E22</f>
        <v>NP</v>
      </c>
      <c r="BJ201" t="str">
        <f>Vaccinations!F22</f>
        <v>P</v>
      </c>
      <c r="BK201" t="str">
        <f>Vaccinations!G22</f>
        <v>N/A</v>
      </c>
      <c r="BL201">
        <f>Vaccinations!H22</f>
        <v>1198</v>
      </c>
    </row>
    <row r="202" spans="1:64">
      <c r="A202" t="str">
        <f>'[1]Front Sheet and Checklist'!$C$5</f>
        <v>(please select from drop down)</v>
      </c>
      <c r="B202" t="s">
        <v>8</v>
      </c>
      <c r="C202" t="str">
        <f>Vaccinations!$C$6</f>
        <v>A - Total COVID Vaccine Population</v>
      </c>
      <c r="F202" t="str">
        <f>Vaccinations!C23</f>
        <v>Ages 60-64</v>
      </c>
      <c r="BH202">
        <f>Vaccinations!D23</f>
        <v>13433</v>
      </c>
      <c r="BI202" t="str">
        <f>Vaccinations!E23</f>
        <v>NP</v>
      </c>
      <c r="BJ202" t="str">
        <f>Vaccinations!F23</f>
        <v>NP</v>
      </c>
      <c r="BK202" t="str">
        <f>Vaccinations!G23</f>
        <v>N/A</v>
      </c>
      <c r="BL202">
        <f>Vaccinations!H23</f>
        <v>0</v>
      </c>
    </row>
    <row r="203" spans="1:64">
      <c r="A203" t="str">
        <f>'[1]Front Sheet and Checklist'!$C$5</f>
        <v>(please select from drop down)</v>
      </c>
      <c r="B203" t="s">
        <v>8</v>
      </c>
      <c r="C203" t="str">
        <f>Vaccinations!$C$6</f>
        <v>A - Total COVID Vaccine Population</v>
      </c>
      <c r="F203" t="str">
        <f>Vaccinations!C24</f>
        <v>Ages 55-59</v>
      </c>
      <c r="BH203">
        <f>Vaccinations!D24</f>
        <v>15719</v>
      </c>
      <c r="BI203" t="str">
        <f>Vaccinations!E24</f>
        <v>NP</v>
      </c>
      <c r="BJ203" t="str">
        <f>Vaccinations!F24</f>
        <v>NP</v>
      </c>
      <c r="BK203" t="str">
        <f>Vaccinations!G24</f>
        <v>N/A</v>
      </c>
      <c r="BL203">
        <f>Vaccinations!H24</f>
        <v>0</v>
      </c>
    </row>
    <row r="204" spans="1:64">
      <c r="A204" t="str">
        <f>'[1]Front Sheet and Checklist'!$C$5</f>
        <v>(please select from drop down)</v>
      </c>
      <c r="B204" t="s">
        <v>8</v>
      </c>
      <c r="C204" t="str">
        <f>Vaccinations!$C$6</f>
        <v>A - Total COVID Vaccine Population</v>
      </c>
      <c r="F204" t="str">
        <f>Vaccinations!C25</f>
        <v>Ages 50-54</v>
      </c>
      <c r="BH204">
        <f>Vaccinations!D25</f>
        <v>16184</v>
      </c>
      <c r="BI204" t="str">
        <f>Vaccinations!E25</f>
        <v>NP</v>
      </c>
      <c r="BJ204" t="str">
        <f>Vaccinations!F25</f>
        <v>NP</v>
      </c>
      <c r="BK204" t="str">
        <f>Vaccinations!G25</f>
        <v>N/A</v>
      </c>
      <c r="BL204">
        <f>Vaccinations!H25</f>
        <v>0</v>
      </c>
    </row>
    <row r="205" spans="1:64">
      <c r="A205" t="str">
        <f>'[1]Front Sheet and Checklist'!$C$5</f>
        <v>(please select from drop down)</v>
      </c>
      <c r="B205" t="s">
        <v>8</v>
      </c>
      <c r="C205" t="str">
        <f>Vaccinations!$C$6</f>
        <v>A - Total COVID Vaccine Population</v>
      </c>
      <c r="F205" t="str">
        <f>Vaccinations!C26</f>
        <v>Ages 40-49</v>
      </c>
      <c r="BH205">
        <f>Vaccinations!D26</f>
        <v>33516</v>
      </c>
      <c r="BI205" t="str">
        <f>Vaccinations!E26</f>
        <v>NP</v>
      </c>
      <c r="BJ205" t="str">
        <f>Vaccinations!F26</f>
        <v>NP</v>
      </c>
      <c r="BK205" t="str">
        <f>Vaccinations!G26</f>
        <v>N/A</v>
      </c>
      <c r="BL205" t="str">
        <f>Vaccinations!H26</f>
        <v>N/A</v>
      </c>
    </row>
    <row r="206" spans="1:64">
      <c r="A206" t="str">
        <f>'[1]Front Sheet and Checklist'!$C$5</f>
        <v>(please select from drop down)</v>
      </c>
      <c r="B206" t="s">
        <v>8</v>
      </c>
      <c r="C206" t="str">
        <f>Vaccinations!$C$6</f>
        <v>A - Total COVID Vaccine Population</v>
      </c>
      <c r="F206" t="str">
        <f>Vaccinations!C27</f>
        <v>Ages 30-39</v>
      </c>
      <c r="BH206">
        <f>Vaccinations!D27</f>
        <v>42669</v>
      </c>
      <c r="BI206" t="str">
        <f>Vaccinations!E27</f>
        <v>NP</v>
      </c>
      <c r="BJ206" t="str">
        <f>Vaccinations!F27</f>
        <v>NP</v>
      </c>
      <c r="BK206" t="str">
        <f>Vaccinations!G27</f>
        <v>N/A</v>
      </c>
      <c r="BL206" t="str">
        <f>Vaccinations!H27</f>
        <v>N/A</v>
      </c>
    </row>
    <row r="207" spans="1:64">
      <c r="A207" t="str">
        <f>'[1]Front Sheet and Checklist'!$C$5</f>
        <v>(please select from drop down)</v>
      </c>
      <c r="B207" t="s">
        <v>8</v>
      </c>
      <c r="C207" t="str">
        <f>Vaccinations!$C$6</f>
        <v>A - Total COVID Vaccine Population</v>
      </c>
      <c r="F207" t="str">
        <f>Vaccinations!C28</f>
        <v xml:space="preserve">Ages 18-29 </v>
      </c>
      <c r="BH207">
        <f>Vaccinations!D28</f>
        <v>59245</v>
      </c>
      <c r="BI207" t="str">
        <f>Vaccinations!E28</f>
        <v>NP</v>
      </c>
      <c r="BJ207" t="str">
        <f>Vaccinations!F28</f>
        <v>NP</v>
      </c>
      <c r="BK207" t="str">
        <f>Vaccinations!G28</f>
        <v>N/A</v>
      </c>
      <c r="BL207" t="str">
        <f>Vaccinations!H28</f>
        <v>N/A</v>
      </c>
    </row>
    <row r="208" spans="1:64">
      <c r="A208" t="str">
        <f>'[1]Front Sheet and Checklist'!$C$5</f>
        <v>(please select from drop down)</v>
      </c>
      <c r="B208" t="s">
        <v>8</v>
      </c>
      <c r="C208" t="str">
        <f>Vaccinations!$C$6</f>
        <v>A - Total COVID Vaccine Population</v>
      </c>
      <c r="F208" t="str">
        <f>Vaccinations!C29</f>
        <v xml:space="preserve">Ages 16-17 </v>
      </c>
      <c r="BH208">
        <f>Vaccinations!D29</f>
        <v>8392</v>
      </c>
      <c r="BI208" t="str">
        <f>Vaccinations!E29</f>
        <v>NP</v>
      </c>
      <c r="BJ208" t="str">
        <f>Vaccinations!F29</f>
        <v>NP</v>
      </c>
      <c r="BK208" t="str">
        <f>Vaccinations!G29</f>
        <v>N/A</v>
      </c>
      <c r="BL208" t="str">
        <f>Vaccinations!H29</f>
        <v>N/A</v>
      </c>
    </row>
    <row r="209" spans="1:64">
      <c r="A209" t="str">
        <f>'[1]Front Sheet and Checklist'!$C$5</f>
        <v>(please select from drop down)</v>
      </c>
      <c r="B209" t="s">
        <v>8</v>
      </c>
      <c r="C209" t="str">
        <f>Vaccinations!$C$6</f>
        <v>A - Total COVID Vaccine Population</v>
      </c>
      <c r="F209" t="str">
        <f>Vaccinations!C30</f>
        <v>Ages 12-15</v>
      </c>
      <c r="BH209">
        <f>Vaccinations!D30</f>
        <v>17468</v>
      </c>
      <c r="BI209" t="str">
        <f>Vaccinations!E30</f>
        <v>NP</v>
      </c>
      <c r="BJ209" t="str">
        <f>Vaccinations!F30</f>
        <v>NP</v>
      </c>
      <c r="BK209" t="str">
        <f>Vaccinations!G30</f>
        <v>N/A</v>
      </c>
      <c r="BL209" t="str">
        <f>Vaccinations!H30</f>
        <v>N/A</v>
      </c>
    </row>
    <row r="210" spans="1:64">
      <c r="A210" t="str">
        <f>'[1]Front Sheet and Checklist'!$C$5</f>
        <v>(please select from drop down)</v>
      </c>
      <c r="B210" t="s">
        <v>8</v>
      </c>
      <c r="C210" t="str">
        <f>Vaccinations!$C$6</f>
        <v>A - Total COVID Vaccine Population</v>
      </c>
      <c r="F210" t="str">
        <f>Vaccinations!C31</f>
        <v>Ages 5-11</v>
      </c>
      <c r="BH210">
        <f>Vaccinations!D31</f>
        <v>26777</v>
      </c>
      <c r="BI210" t="str">
        <f>Vaccinations!E31</f>
        <v>NP</v>
      </c>
      <c r="BJ210" t="str">
        <f>Vaccinations!F31</f>
        <v>NP</v>
      </c>
      <c r="BK210" t="str">
        <f>Vaccinations!G31</f>
        <v>N/A</v>
      </c>
      <c r="BL210" t="str">
        <f>Vaccinations!H31</f>
        <v>N/A</v>
      </c>
    </row>
    <row r="211" spans="1:64">
      <c r="A211" t="str">
        <f>'[1]Front Sheet and Checklist'!$C$5</f>
        <v>(please select from drop down)</v>
      </c>
      <c r="B211" t="s">
        <v>8</v>
      </c>
      <c r="C211" t="str">
        <f>Vaccinations!$C$6</f>
        <v>A - Total COVID Vaccine Population</v>
      </c>
      <c r="F211" t="str">
        <f>Vaccinations!C32</f>
        <v>Total COVID Vaccine Population</v>
      </c>
      <c r="BH211">
        <f>Vaccinations!D32</f>
        <v>418234</v>
      </c>
      <c r="BI211">
        <f>Vaccinations!E32</f>
        <v>0</v>
      </c>
      <c r="BJ211">
        <f>Vaccinations!F32</f>
        <v>0</v>
      </c>
      <c r="BK211">
        <f>Vaccinations!G32</f>
        <v>51156</v>
      </c>
      <c r="BL211">
        <f>Vaccinations!H32</f>
        <v>155918</v>
      </c>
    </row>
    <row r="212" spans="1:64">
      <c r="A212" t="str">
        <f>'[1]Front Sheet and Checklist'!$C$5</f>
        <v>(please select from drop down)</v>
      </c>
      <c r="B212" t="s">
        <v>8</v>
      </c>
      <c r="C212" t="str">
        <f>Vaccinations!$B$35</f>
        <v>A2 - Eligible COVID Booster Vaccination</v>
      </c>
      <c r="F212" t="str">
        <f>Vaccinations!C38</f>
        <v>Severely Immunosuppressed</v>
      </c>
      <c r="G212">
        <f>Vaccinations!E38</f>
        <v>0</v>
      </c>
      <c r="H212">
        <f>Vaccinations!F38</f>
        <v>0</v>
      </c>
      <c r="I212">
        <f>Vaccinations!G38</f>
        <v>0</v>
      </c>
      <c r="J212">
        <f>Vaccinations!H38</f>
        <v>0</v>
      </c>
      <c r="K212">
        <f>Vaccinations!I38</f>
        <v>0</v>
      </c>
      <c r="L212">
        <f>Vaccinations!J38</f>
        <v>0</v>
      </c>
      <c r="M212">
        <f>Vaccinations!K38</f>
        <v>2926</v>
      </c>
      <c r="N212">
        <f>Vaccinations!L38</f>
        <v>918</v>
      </c>
      <c r="O212">
        <f>Vaccinations!M38</f>
        <v>339</v>
      </c>
      <c r="P212">
        <f>Vaccinations!N38</f>
        <v>110</v>
      </c>
      <c r="Q212">
        <f>Vaccinations!O38</f>
        <v>13</v>
      </c>
      <c r="R212">
        <f>Vaccinations!P38</f>
        <v>1</v>
      </c>
      <c r="S212">
        <f>Vaccinations!Q38</f>
        <v>4307</v>
      </c>
    </row>
    <row r="213" spans="1:64">
      <c r="A213" t="str">
        <f>'[1]Front Sheet and Checklist'!$C$5</f>
        <v>(please select from drop down)</v>
      </c>
      <c r="B213" t="s">
        <v>8</v>
      </c>
      <c r="C213" t="str">
        <f>Vaccinations!$B$35</f>
        <v>A2 - Eligible COVID Booster Vaccination</v>
      </c>
      <c r="F213" t="str">
        <f>Vaccinations!C39</f>
        <v>Care home residents</v>
      </c>
      <c r="G213">
        <f>Vaccinations!E39</f>
        <v>0</v>
      </c>
      <c r="H213">
        <f>Vaccinations!F39</f>
        <v>0</v>
      </c>
      <c r="I213">
        <f>Vaccinations!G39</f>
        <v>0</v>
      </c>
      <c r="J213">
        <f>Vaccinations!H39</f>
        <v>0</v>
      </c>
      <c r="K213">
        <f>Vaccinations!I39</f>
        <v>0</v>
      </c>
      <c r="L213">
        <f>Vaccinations!J39</f>
        <v>0</v>
      </c>
      <c r="M213">
        <f>Vaccinations!K39</f>
        <v>1085</v>
      </c>
      <c r="N213">
        <f>Vaccinations!L39</f>
        <v>377</v>
      </c>
      <c r="O213">
        <f>Vaccinations!M39</f>
        <v>600</v>
      </c>
      <c r="P213">
        <f>Vaccinations!N39</f>
        <v>15</v>
      </c>
      <c r="Q213">
        <f>Vaccinations!O39</f>
        <v>9</v>
      </c>
      <c r="R213">
        <f>Vaccinations!P39</f>
        <v>0</v>
      </c>
      <c r="S213">
        <f>Vaccinations!Q39</f>
        <v>2086</v>
      </c>
    </row>
    <row r="214" spans="1:64">
      <c r="A214" t="str">
        <f>'[1]Front Sheet and Checklist'!$C$5</f>
        <v>(please select from drop down)</v>
      </c>
      <c r="B214" t="s">
        <v>8</v>
      </c>
      <c r="C214" t="str">
        <f>Vaccinations!$B$35</f>
        <v>A2 - Eligible COVID Booster Vaccination</v>
      </c>
      <c r="F214" t="str">
        <f>Vaccinations!C40</f>
        <v>Care home workers</v>
      </c>
      <c r="G214">
        <f>Vaccinations!E40</f>
        <v>0</v>
      </c>
      <c r="H214">
        <f>Vaccinations!F40</f>
        <v>0</v>
      </c>
      <c r="I214">
        <f>Vaccinations!G40</f>
        <v>0</v>
      </c>
      <c r="J214">
        <f>Vaccinations!H40</f>
        <v>0</v>
      </c>
      <c r="K214">
        <f>Vaccinations!I40</f>
        <v>0</v>
      </c>
      <c r="L214">
        <f>Vaccinations!J40</f>
        <v>0</v>
      </c>
      <c r="M214">
        <f>Vaccinations!K40</f>
        <v>16</v>
      </c>
      <c r="N214">
        <f>Vaccinations!L40</f>
        <v>20</v>
      </c>
      <c r="O214">
        <f>Vaccinations!M40</f>
        <v>10</v>
      </c>
      <c r="P214">
        <f>Vaccinations!N40</f>
        <v>0</v>
      </c>
      <c r="Q214">
        <f>Vaccinations!O40</f>
        <v>0</v>
      </c>
      <c r="R214">
        <f>Vaccinations!P40</f>
        <v>0</v>
      </c>
      <c r="S214">
        <f>Vaccinations!Q40</f>
        <v>46</v>
      </c>
    </row>
    <row r="215" spans="1:64">
      <c r="A215" t="str">
        <f>'[1]Front Sheet and Checklist'!$C$5</f>
        <v>(please select from drop down)</v>
      </c>
      <c r="B215" t="s">
        <v>8</v>
      </c>
      <c r="C215" t="str">
        <f>Vaccinations!$B$35</f>
        <v>A2 - Eligible COVID Booster Vaccination</v>
      </c>
      <c r="F215" t="str">
        <f>Vaccinations!C41</f>
        <v>80 years and older</v>
      </c>
      <c r="G215">
        <f>Vaccinations!E41</f>
        <v>0</v>
      </c>
      <c r="H215">
        <f>Vaccinations!F41</f>
        <v>0</v>
      </c>
      <c r="I215">
        <f>Vaccinations!G41</f>
        <v>0</v>
      </c>
      <c r="J215">
        <f>Vaccinations!H41</f>
        <v>0</v>
      </c>
      <c r="K215">
        <f>Vaccinations!I41</f>
        <v>0</v>
      </c>
      <c r="L215">
        <f>Vaccinations!J41</f>
        <v>0</v>
      </c>
      <c r="M215">
        <f>Vaccinations!K41</f>
        <v>10927</v>
      </c>
      <c r="N215">
        <f>Vaccinations!L41</f>
        <v>1752</v>
      </c>
      <c r="O215">
        <f>Vaccinations!M41</f>
        <v>749</v>
      </c>
      <c r="P215">
        <f>Vaccinations!N41</f>
        <v>156</v>
      </c>
      <c r="Q215">
        <f>Vaccinations!O41</f>
        <v>7</v>
      </c>
      <c r="R215">
        <f>Vaccinations!P41</f>
        <v>1</v>
      </c>
      <c r="S215">
        <f>Vaccinations!Q41</f>
        <v>13592</v>
      </c>
    </row>
    <row r="216" spans="1:64">
      <c r="A216" t="str">
        <f>'[1]Front Sheet and Checklist'!$C$5</f>
        <v>(please select from drop down)</v>
      </c>
      <c r="B216" t="s">
        <v>8</v>
      </c>
      <c r="C216" t="str">
        <f>Vaccinations!$B$35</f>
        <v>A2 - Eligible COVID Booster Vaccination</v>
      </c>
      <c r="F216" t="str">
        <f>Vaccinations!C42</f>
        <v>Frontline Health care workers</v>
      </c>
      <c r="G216">
        <f>Vaccinations!E42</f>
        <v>0</v>
      </c>
      <c r="H216">
        <f>Vaccinations!F42</f>
        <v>0</v>
      </c>
      <c r="I216">
        <f>Vaccinations!G42</f>
        <v>0</v>
      </c>
      <c r="J216">
        <f>Vaccinations!H42</f>
        <v>0</v>
      </c>
      <c r="K216">
        <f>Vaccinations!I42</f>
        <v>0</v>
      </c>
      <c r="L216">
        <f>Vaccinations!J42</f>
        <v>0</v>
      </c>
      <c r="M216">
        <f>Vaccinations!K42</f>
        <v>1372</v>
      </c>
      <c r="N216">
        <f>Vaccinations!L42</f>
        <v>1500</v>
      </c>
      <c r="O216">
        <f>Vaccinations!M42</f>
        <v>266</v>
      </c>
      <c r="P216">
        <f>Vaccinations!N42</f>
        <v>1</v>
      </c>
      <c r="Q216">
        <f>Vaccinations!O42</f>
        <v>2</v>
      </c>
      <c r="R216">
        <f>Vaccinations!P42</f>
        <v>1</v>
      </c>
      <c r="S216">
        <f>Vaccinations!Q42</f>
        <v>3142</v>
      </c>
    </row>
    <row r="217" spans="1:64">
      <c r="A217" t="str">
        <f>'[1]Front Sheet and Checklist'!$C$5</f>
        <v>(please select from drop down)</v>
      </c>
      <c r="B217" t="s">
        <v>8</v>
      </c>
      <c r="C217" t="str">
        <f>Vaccinations!$B$35</f>
        <v>A2 - Eligible COVID Booster Vaccination</v>
      </c>
      <c r="F217" t="str">
        <f>Vaccinations!C43</f>
        <v>Frontline Social care workers</v>
      </c>
      <c r="G217">
        <f>Vaccinations!E43</f>
        <v>0</v>
      </c>
      <c r="H217">
        <f>Vaccinations!F43</f>
        <v>0</v>
      </c>
      <c r="I217">
        <f>Vaccinations!G43</f>
        <v>0</v>
      </c>
      <c r="J217">
        <f>Vaccinations!H43</f>
        <v>0</v>
      </c>
      <c r="K217">
        <f>Vaccinations!I43</f>
        <v>0</v>
      </c>
      <c r="L217">
        <f>Vaccinations!J43</f>
        <v>0</v>
      </c>
      <c r="M217">
        <f>Vaccinations!K43</f>
        <v>14</v>
      </c>
      <c r="N217">
        <f>Vaccinations!L43</f>
        <v>30</v>
      </c>
      <c r="O217">
        <f>Vaccinations!M43</f>
        <v>20</v>
      </c>
      <c r="P217">
        <f>Vaccinations!N43</f>
        <v>0</v>
      </c>
      <c r="Q217">
        <f>Vaccinations!O43</f>
        <v>0</v>
      </c>
      <c r="R217">
        <f>Vaccinations!P43</f>
        <v>0</v>
      </c>
      <c r="S217">
        <f>Vaccinations!Q43</f>
        <v>64</v>
      </c>
    </row>
    <row r="218" spans="1:64">
      <c r="A218" t="str">
        <f>'[1]Front Sheet and Checklist'!$C$5</f>
        <v>(please select from drop down)</v>
      </c>
      <c r="B218" t="s">
        <v>8</v>
      </c>
      <c r="C218" t="str">
        <f>Vaccinations!$B$35</f>
        <v>A2 - Eligible COVID Booster Vaccination</v>
      </c>
      <c r="F218" t="str">
        <f>Vaccinations!C44</f>
        <v>Ages 75-79</v>
      </c>
      <c r="G218">
        <f>Vaccinations!E44</f>
        <v>0</v>
      </c>
      <c r="H218">
        <f>Vaccinations!F44</f>
        <v>0</v>
      </c>
      <c r="I218">
        <f>Vaccinations!G44</f>
        <v>0</v>
      </c>
      <c r="J218">
        <f>Vaccinations!H44</f>
        <v>0</v>
      </c>
      <c r="K218">
        <f>Vaccinations!I44</f>
        <v>0</v>
      </c>
      <c r="L218">
        <f>Vaccinations!J44</f>
        <v>0</v>
      </c>
      <c r="M218">
        <f>Vaccinations!K44</f>
        <v>9679</v>
      </c>
      <c r="N218">
        <f>Vaccinations!L44</f>
        <v>1297</v>
      </c>
      <c r="O218">
        <f>Vaccinations!M44</f>
        <v>424</v>
      </c>
      <c r="P218">
        <f>Vaccinations!N44</f>
        <v>83</v>
      </c>
      <c r="Q218">
        <f>Vaccinations!O44</f>
        <v>5</v>
      </c>
      <c r="R218">
        <f>Vaccinations!P44</f>
        <v>0</v>
      </c>
      <c r="S218">
        <f>Vaccinations!Q44</f>
        <v>11488</v>
      </c>
    </row>
    <row r="219" spans="1:64">
      <c r="A219" t="str">
        <f>'[1]Front Sheet and Checklist'!$C$5</f>
        <v>(please select from drop down)</v>
      </c>
      <c r="B219" t="s">
        <v>8</v>
      </c>
      <c r="C219" t="str">
        <f>Vaccinations!$B$35</f>
        <v>A2 - Eligible COVID Booster Vaccination</v>
      </c>
      <c r="F219" t="str">
        <f>Vaccinations!C45</f>
        <v>Ages 70-74</v>
      </c>
      <c r="G219">
        <f>Vaccinations!E45</f>
        <v>0</v>
      </c>
      <c r="H219">
        <f>Vaccinations!F45</f>
        <v>0</v>
      </c>
      <c r="I219">
        <f>Vaccinations!G45</f>
        <v>0</v>
      </c>
      <c r="J219">
        <f>Vaccinations!H45</f>
        <v>0</v>
      </c>
      <c r="K219">
        <f>Vaccinations!I45</f>
        <v>0</v>
      </c>
      <c r="L219">
        <f>Vaccinations!J45</f>
        <v>0</v>
      </c>
      <c r="M219">
        <f>Vaccinations!K45</f>
        <v>8040</v>
      </c>
      <c r="N219">
        <f>Vaccinations!L45</f>
        <v>2295</v>
      </c>
      <c r="O219">
        <f>Vaccinations!M45</f>
        <v>563</v>
      </c>
      <c r="P219">
        <f>Vaccinations!N45</f>
        <v>101</v>
      </c>
      <c r="Q219">
        <f>Vaccinations!O45</f>
        <v>6</v>
      </c>
      <c r="R219">
        <f>Vaccinations!P45</f>
        <v>1</v>
      </c>
      <c r="S219">
        <f>Vaccinations!Q45</f>
        <v>11006</v>
      </c>
    </row>
    <row r="220" spans="1:64">
      <c r="A220" t="str">
        <f>'[1]Front Sheet and Checklist'!$C$5</f>
        <v>(please select from drop down)</v>
      </c>
      <c r="B220" t="s">
        <v>8</v>
      </c>
      <c r="C220" t="str">
        <f>Vaccinations!$B$35</f>
        <v>A2 - Eligible COVID Booster Vaccination</v>
      </c>
      <c r="F220" t="str">
        <f>Vaccinations!C46</f>
        <v>Clinically extremely vulnerable aged 16-69 years</v>
      </c>
      <c r="G220">
        <f>Vaccinations!E46</f>
        <v>0</v>
      </c>
      <c r="H220">
        <f>Vaccinations!F46</f>
        <v>0</v>
      </c>
      <c r="I220">
        <f>Vaccinations!G46</f>
        <v>0</v>
      </c>
      <c r="J220">
        <f>Vaccinations!H46</f>
        <v>0</v>
      </c>
      <c r="K220">
        <f>Vaccinations!I46</f>
        <v>0</v>
      </c>
      <c r="L220">
        <f>Vaccinations!J46</f>
        <v>0</v>
      </c>
      <c r="M220">
        <f>Vaccinations!K46</f>
        <v>5281</v>
      </c>
      <c r="N220">
        <f>Vaccinations!L46</f>
        <v>2719</v>
      </c>
      <c r="O220">
        <f>Vaccinations!M46</f>
        <v>1853</v>
      </c>
      <c r="P220">
        <f>Vaccinations!N46</f>
        <v>459</v>
      </c>
      <c r="Q220">
        <f>Vaccinations!O46</f>
        <v>29</v>
      </c>
      <c r="R220">
        <f>Vaccinations!P46</f>
        <v>3</v>
      </c>
      <c r="S220">
        <f>Vaccinations!Q46</f>
        <v>10344</v>
      </c>
    </row>
    <row r="221" spans="1:64">
      <c r="A221" t="str">
        <f>'[1]Front Sheet and Checklist'!$C$5</f>
        <v>(please select from drop down)</v>
      </c>
      <c r="B221" t="s">
        <v>8</v>
      </c>
      <c r="C221" t="str">
        <f>Vaccinations!$B$35</f>
        <v>A2 - Eligible COVID Booster Vaccination</v>
      </c>
      <c r="F221" t="str">
        <f>Vaccinations!C47</f>
        <v>Ages 65-69</v>
      </c>
      <c r="G221">
        <f>Vaccinations!E47</f>
        <v>0</v>
      </c>
      <c r="H221">
        <f>Vaccinations!F47</f>
        <v>0</v>
      </c>
      <c r="I221">
        <f>Vaccinations!G47</f>
        <v>0</v>
      </c>
      <c r="J221">
        <f>Vaccinations!H47</f>
        <v>0</v>
      </c>
      <c r="K221">
        <f>Vaccinations!I47</f>
        <v>0</v>
      </c>
      <c r="L221">
        <f>Vaccinations!J47</f>
        <v>0</v>
      </c>
      <c r="M221">
        <f>Vaccinations!K47</f>
        <v>6431</v>
      </c>
      <c r="N221">
        <f>Vaccinations!L47</f>
        <v>2933</v>
      </c>
      <c r="O221">
        <f>Vaccinations!M47</f>
        <v>779</v>
      </c>
      <c r="P221">
        <f>Vaccinations!N47</f>
        <v>176</v>
      </c>
      <c r="Q221">
        <f>Vaccinations!O47</f>
        <v>8</v>
      </c>
      <c r="R221">
        <f>Vaccinations!P47</f>
        <v>0</v>
      </c>
      <c r="S221">
        <f>Vaccinations!Q47</f>
        <v>10327</v>
      </c>
    </row>
    <row r="222" spans="1:64">
      <c r="A222" t="str">
        <f>'[1]Front Sheet and Checklist'!$C$5</f>
        <v>(please select from drop down)</v>
      </c>
      <c r="B222" t="s">
        <v>8</v>
      </c>
      <c r="C222" t="str">
        <f>Vaccinations!$B$35</f>
        <v>A2 - Eligible COVID Booster Vaccination</v>
      </c>
      <c r="F222" t="str">
        <f>Vaccinations!C48</f>
        <v>Clinical risk groups aged 16-64 years</v>
      </c>
      <c r="G222">
        <f>Vaccinations!E48</f>
        <v>0</v>
      </c>
      <c r="H222">
        <f>Vaccinations!F48</f>
        <v>0</v>
      </c>
      <c r="I222">
        <f>Vaccinations!G48</f>
        <v>0</v>
      </c>
      <c r="J222">
        <f>Vaccinations!H48</f>
        <v>0</v>
      </c>
      <c r="K222">
        <f>Vaccinations!I48</f>
        <v>0</v>
      </c>
      <c r="L222">
        <f>Vaccinations!J48</f>
        <v>0</v>
      </c>
      <c r="M222">
        <f>Vaccinations!K48</f>
        <v>0</v>
      </c>
      <c r="N222">
        <f>Vaccinations!L48</f>
        <v>0</v>
      </c>
      <c r="O222">
        <f>Vaccinations!M48</f>
        <v>0</v>
      </c>
      <c r="P222">
        <f>Vaccinations!N48</f>
        <v>0</v>
      </c>
      <c r="Q222">
        <f>Vaccinations!O48</f>
        <v>0</v>
      </c>
      <c r="R222">
        <f>Vaccinations!P48</f>
        <v>0</v>
      </c>
      <c r="S222">
        <f>Vaccinations!Q48</f>
        <v>0</v>
      </c>
    </row>
    <row r="223" spans="1:64">
      <c r="A223" t="str">
        <f>'[1]Front Sheet and Checklist'!$C$5</f>
        <v>(please select from drop down)</v>
      </c>
      <c r="B223" t="s">
        <v>8</v>
      </c>
      <c r="C223" t="str">
        <f>Vaccinations!$B$35</f>
        <v>A2 - Eligible COVID Booster Vaccination</v>
      </c>
      <c r="F223" t="str">
        <f>Vaccinations!C49</f>
        <v>Clinical risk groups aged 12-15 years</v>
      </c>
      <c r="G223">
        <f>Vaccinations!E49</f>
        <v>0</v>
      </c>
      <c r="H223">
        <f>Vaccinations!F49</f>
        <v>0</v>
      </c>
      <c r="I223">
        <f>Vaccinations!G49</f>
        <v>0</v>
      </c>
      <c r="J223">
        <f>Vaccinations!H49</f>
        <v>0</v>
      </c>
      <c r="K223">
        <f>Vaccinations!I49</f>
        <v>0</v>
      </c>
      <c r="L223">
        <f>Vaccinations!J49</f>
        <v>0</v>
      </c>
      <c r="M223">
        <f>Vaccinations!K49</f>
        <v>2</v>
      </c>
      <c r="N223">
        <f>Vaccinations!L49</f>
        <v>5</v>
      </c>
      <c r="O223">
        <f>Vaccinations!M49</f>
        <v>19</v>
      </c>
      <c r="P223">
        <f>Vaccinations!N49</f>
        <v>7</v>
      </c>
      <c r="Q223">
        <f>Vaccinations!O49</f>
        <v>2</v>
      </c>
      <c r="R223">
        <f>Vaccinations!P49</f>
        <v>1</v>
      </c>
      <c r="S223">
        <f>Vaccinations!Q49</f>
        <v>36</v>
      </c>
    </row>
    <row r="224" spans="1:64">
      <c r="A224" t="str">
        <f>'[1]Front Sheet and Checklist'!$C$5</f>
        <v>(please select from drop down)</v>
      </c>
      <c r="B224" t="s">
        <v>8</v>
      </c>
      <c r="C224" t="str">
        <f>Vaccinations!$B$35</f>
        <v>A2 - Eligible COVID Booster Vaccination</v>
      </c>
      <c r="F224" t="str">
        <f>Vaccinations!C50</f>
        <v>Clinical risk groups aged 5-11 years</v>
      </c>
      <c r="G224">
        <f>Vaccinations!E50</f>
        <v>0</v>
      </c>
      <c r="H224">
        <f>Vaccinations!F50</f>
        <v>0</v>
      </c>
      <c r="I224">
        <f>Vaccinations!G50</f>
        <v>0</v>
      </c>
      <c r="J224">
        <f>Vaccinations!H50</f>
        <v>0</v>
      </c>
      <c r="K224">
        <f>Vaccinations!I50</f>
        <v>0</v>
      </c>
      <c r="L224">
        <f>Vaccinations!J50</f>
        <v>0</v>
      </c>
      <c r="M224">
        <f>Vaccinations!K50</f>
        <v>0</v>
      </c>
      <c r="N224">
        <f>Vaccinations!L50</f>
        <v>0</v>
      </c>
      <c r="O224">
        <f>Vaccinations!M50</f>
        <v>0</v>
      </c>
      <c r="P224">
        <f>Vaccinations!N50</f>
        <v>0</v>
      </c>
      <c r="Q224">
        <f>Vaccinations!O50</f>
        <v>0</v>
      </c>
      <c r="R224">
        <f>Vaccinations!P50</f>
        <v>0</v>
      </c>
      <c r="S224">
        <f>Vaccinations!Q50</f>
        <v>0</v>
      </c>
    </row>
    <row r="225" spans="1:64">
      <c r="A225" t="str">
        <f>'[1]Front Sheet and Checklist'!$C$5</f>
        <v>(please select from drop down)</v>
      </c>
      <c r="B225" t="s">
        <v>8</v>
      </c>
      <c r="C225" t="str">
        <f>Vaccinations!$B$35</f>
        <v>A2 - Eligible COVID Booster Vaccination</v>
      </c>
      <c r="F225" t="str">
        <f>Vaccinations!C51</f>
        <v>Ages 60-64</v>
      </c>
      <c r="G225">
        <f>Vaccinations!E51</f>
        <v>0</v>
      </c>
      <c r="H225">
        <f>Vaccinations!F51</f>
        <v>0</v>
      </c>
      <c r="I225">
        <f>Vaccinations!G51</f>
        <v>0</v>
      </c>
      <c r="J225">
        <f>Vaccinations!H51</f>
        <v>0</v>
      </c>
      <c r="K225">
        <f>Vaccinations!I51</f>
        <v>0</v>
      </c>
      <c r="L225">
        <f>Vaccinations!J51</f>
        <v>0</v>
      </c>
      <c r="M225">
        <f>Vaccinations!K51</f>
        <v>0</v>
      </c>
      <c r="N225">
        <f>Vaccinations!L51</f>
        <v>62</v>
      </c>
      <c r="O225">
        <f>Vaccinations!M51</f>
        <v>30</v>
      </c>
      <c r="P225">
        <f>Vaccinations!N51</f>
        <v>0</v>
      </c>
      <c r="Q225">
        <f>Vaccinations!O51</f>
        <v>0</v>
      </c>
      <c r="R225">
        <f>Vaccinations!P51</f>
        <v>0</v>
      </c>
      <c r="S225">
        <f>Vaccinations!Q51</f>
        <v>92</v>
      </c>
    </row>
    <row r="226" spans="1:64">
      <c r="A226" t="str">
        <f>'[1]Front Sheet and Checklist'!$C$5</f>
        <v>(please select from drop down)</v>
      </c>
      <c r="B226" t="s">
        <v>8</v>
      </c>
      <c r="C226" t="str">
        <f>Vaccinations!$B$35</f>
        <v>A2 - Eligible COVID Booster Vaccination</v>
      </c>
      <c r="F226" t="str">
        <f>Vaccinations!C52</f>
        <v>Ages 55-59</v>
      </c>
      <c r="G226">
        <f>Vaccinations!E52</f>
        <v>0</v>
      </c>
      <c r="H226">
        <f>Vaccinations!F52</f>
        <v>0</v>
      </c>
      <c r="I226">
        <f>Vaccinations!G52</f>
        <v>0</v>
      </c>
      <c r="J226">
        <f>Vaccinations!H52</f>
        <v>0</v>
      </c>
      <c r="K226">
        <f>Vaccinations!I52</f>
        <v>0</v>
      </c>
      <c r="L226">
        <f>Vaccinations!J52</f>
        <v>0</v>
      </c>
      <c r="M226">
        <f>Vaccinations!K52</f>
        <v>0</v>
      </c>
      <c r="N226">
        <f>Vaccinations!L52</f>
        <v>0</v>
      </c>
      <c r="O226">
        <f>Vaccinations!M52</f>
        <v>0</v>
      </c>
      <c r="P226">
        <f>Vaccinations!N52</f>
        <v>0</v>
      </c>
      <c r="Q226">
        <f>Vaccinations!O52</f>
        <v>0</v>
      </c>
      <c r="R226">
        <f>Vaccinations!P52</f>
        <v>0</v>
      </c>
      <c r="S226">
        <f>Vaccinations!Q52</f>
        <v>0</v>
      </c>
    </row>
    <row r="227" spans="1:64">
      <c r="A227" t="str">
        <f>'[1]Front Sheet and Checklist'!$C$5</f>
        <v>(please select from drop down)</v>
      </c>
      <c r="B227" t="s">
        <v>8</v>
      </c>
      <c r="C227" t="str">
        <f>Vaccinations!$B$35</f>
        <v>A2 - Eligible COVID Booster Vaccination</v>
      </c>
      <c r="F227" t="str">
        <f>Vaccinations!C53</f>
        <v>Ages 50-54</v>
      </c>
      <c r="G227">
        <f>Vaccinations!E53</f>
        <v>0</v>
      </c>
      <c r="H227">
        <f>Vaccinations!F53</f>
        <v>0</v>
      </c>
      <c r="I227">
        <f>Vaccinations!G53</f>
        <v>0</v>
      </c>
      <c r="J227">
        <f>Vaccinations!H53</f>
        <v>0</v>
      </c>
      <c r="K227">
        <f>Vaccinations!I53</f>
        <v>0</v>
      </c>
      <c r="L227">
        <f>Vaccinations!J53</f>
        <v>0</v>
      </c>
      <c r="M227">
        <f>Vaccinations!K53</f>
        <v>0</v>
      </c>
      <c r="N227">
        <f>Vaccinations!L53</f>
        <v>0</v>
      </c>
      <c r="O227">
        <f>Vaccinations!M53</f>
        <v>0</v>
      </c>
      <c r="P227">
        <f>Vaccinations!N53</f>
        <v>0</v>
      </c>
      <c r="Q227">
        <f>Vaccinations!O53</f>
        <v>0</v>
      </c>
      <c r="R227">
        <f>Vaccinations!P53</f>
        <v>0</v>
      </c>
      <c r="S227">
        <f>Vaccinations!Q53</f>
        <v>0</v>
      </c>
    </row>
    <row r="228" spans="1:64">
      <c r="A228" t="str">
        <f>'[1]Front Sheet and Checklist'!$C$5</f>
        <v>(please select from drop down)</v>
      </c>
      <c r="B228" t="s">
        <v>8</v>
      </c>
      <c r="C228" t="str">
        <f>Vaccinations!$B$35</f>
        <v>A2 - Eligible COVID Booster Vaccination</v>
      </c>
      <c r="F228" t="str">
        <f>Vaccinations!C54</f>
        <v>Total COVID Vaccines planned to administer</v>
      </c>
      <c r="G228">
        <f>Vaccinations!E54</f>
        <v>0</v>
      </c>
      <c r="H228">
        <f>Vaccinations!F54</f>
        <v>0</v>
      </c>
      <c r="I228">
        <f>Vaccinations!G54</f>
        <v>0</v>
      </c>
      <c r="J228">
        <f>Vaccinations!H54</f>
        <v>0</v>
      </c>
      <c r="K228">
        <f>Vaccinations!I54</f>
        <v>0</v>
      </c>
      <c r="L228">
        <f>Vaccinations!J54</f>
        <v>0</v>
      </c>
      <c r="M228">
        <f>Vaccinations!K54</f>
        <v>45773</v>
      </c>
      <c r="N228">
        <f>Vaccinations!L54</f>
        <v>13908</v>
      </c>
      <c r="O228">
        <f>Vaccinations!M54</f>
        <v>5652</v>
      </c>
      <c r="P228">
        <f>Vaccinations!N54</f>
        <v>1108</v>
      </c>
      <c r="Q228">
        <f>Vaccinations!O54</f>
        <v>81</v>
      </c>
      <c r="R228">
        <f>Vaccinations!P54</f>
        <v>8</v>
      </c>
      <c r="S228">
        <f>Vaccinations!Q54</f>
        <v>66530</v>
      </c>
    </row>
    <row r="229" spans="1:64">
      <c r="A229" t="str">
        <f>'[1]Front Sheet and Checklist'!$C$5</f>
        <v>(please select from drop down)</v>
      </c>
      <c r="B229" t="s">
        <v>8</v>
      </c>
      <c r="C229" t="str">
        <f>Vaccinations!$B$57</f>
        <v>A3 - COVID Service Model Breakdown</v>
      </c>
      <c r="F229" t="str">
        <f>Vaccinations!C60</f>
        <v>LHB Vaccination and Mobile Outreach</v>
      </c>
      <c r="G229">
        <f>Vaccinations!E60</f>
        <v>0</v>
      </c>
      <c r="H229">
        <f>Vaccinations!F60</f>
        <v>0</v>
      </c>
      <c r="I229">
        <f>Vaccinations!G60</f>
        <v>0</v>
      </c>
      <c r="J229">
        <f>Vaccinations!H60</f>
        <v>0</v>
      </c>
      <c r="K229">
        <f>Vaccinations!I60</f>
        <v>0</v>
      </c>
      <c r="L229">
        <f>Vaccinations!J60</f>
        <v>0</v>
      </c>
      <c r="M229">
        <f>Vaccinations!K60</f>
        <v>277</v>
      </c>
      <c r="N229">
        <f>Vaccinations!L60</f>
        <v>2704</v>
      </c>
      <c r="O229">
        <f>Vaccinations!M60</f>
        <v>1804</v>
      </c>
      <c r="P229">
        <f>Vaccinations!N60</f>
        <v>108</v>
      </c>
      <c r="Q229">
        <f>Vaccinations!O60</f>
        <v>0</v>
      </c>
      <c r="R229">
        <f>Vaccinations!P60</f>
        <v>0</v>
      </c>
      <c r="S229">
        <f>Vaccinations!Q60</f>
        <v>4893</v>
      </c>
    </row>
    <row r="230" spans="1:64">
      <c r="A230" t="str">
        <f>'[1]Front Sheet and Checklist'!$C$5</f>
        <v>(please select from drop down)</v>
      </c>
      <c r="B230" t="s">
        <v>8</v>
      </c>
      <c r="C230" t="str">
        <f>Vaccinations!$B$57</f>
        <v>A3 - COVID Service Model Breakdown</v>
      </c>
      <c r="F230" t="str">
        <f>Vaccinations!C61</f>
        <v>GP Commissioned</v>
      </c>
      <c r="G230">
        <f>Vaccinations!E61</f>
        <v>0</v>
      </c>
      <c r="H230">
        <f>Vaccinations!F61</f>
        <v>0</v>
      </c>
      <c r="I230">
        <f>Vaccinations!G61</f>
        <v>0</v>
      </c>
      <c r="J230">
        <f>Vaccinations!H61</f>
        <v>0</v>
      </c>
      <c r="K230">
        <f>Vaccinations!I61</f>
        <v>0</v>
      </c>
      <c r="L230">
        <f>Vaccinations!J61</f>
        <v>0</v>
      </c>
      <c r="M230">
        <f>Vaccinations!K61</f>
        <v>27729</v>
      </c>
      <c r="N230">
        <f>Vaccinations!L61</f>
        <v>4871</v>
      </c>
      <c r="O230">
        <f>Vaccinations!M61</f>
        <v>546</v>
      </c>
      <c r="P230">
        <f>Vaccinations!N61</f>
        <v>0</v>
      </c>
      <c r="Q230">
        <f>Vaccinations!O61</f>
        <v>0</v>
      </c>
      <c r="R230">
        <f>Vaccinations!P61</f>
        <v>0</v>
      </c>
      <c r="S230">
        <f>Vaccinations!Q61</f>
        <v>33146</v>
      </c>
    </row>
    <row r="231" spans="1:64">
      <c r="A231" t="str">
        <f>'[1]Front Sheet and Checklist'!$C$5</f>
        <v>(please select from drop down)</v>
      </c>
      <c r="B231" t="s">
        <v>8</v>
      </c>
      <c r="C231" t="str">
        <f>Vaccinations!$B$57</f>
        <v>A3 - COVID Service Model Breakdown</v>
      </c>
      <c r="F231" t="str">
        <f>Vaccinations!C62</f>
        <v>Pharmacy Commissioned</v>
      </c>
      <c r="G231">
        <f>Vaccinations!E62</f>
        <v>0</v>
      </c>
      <c r="H231">
        <f>Vaccinations!F62</f>
        <v>0</v>
      </c>
      <c r="I231">
        <f>Vaccinations!G62</f>
        <v>0</v>
      </c>
      <c r="J231">
        <f>Vaccinations!H62</f>
        <v>0</v>
      </c>
      <c r="K231">
        <f>Vaccinations!I62</f>
        <v>0</v>
      </c>
      <c r="L231">
        <f>Vaccinations!J62</f>
        <v>0</v>
      </c>
      <c r="M231">
        <f>Vaccinations!K62</f>
        <v>17767</v>
      </c>
      <c r="N231">
        <f>Vaccinations!L62</f>
        <v>6333</v>
      </c>
      <c r="O231">
        <f>Vaccinations!M62</f>
        <v>3302</v>
      </c>
      <c r="P231">
        <f>Vaccinations!N62</f>
        <v>1000</v>
      </c>
      <c r="Q231">
        <f>Vaccinations!O62</f>
        <v>81</v>
      </c>
      <c r="R231">
        <f>Vaccinations!P62</f>
        <v>8</v>
      </c>
      <c r="S231">
        <f>Vaccinations!Q62</f>
        <v>28491</v>
      </c>
    </row>
    <row r="232" spans="1:64">
      <c r="A232" t="str">
        <f>'[1]Front Sheet and Checklist'!$C$5</f>
        <v>(please select from drop down)</v>
      </c>
      <c r="B232" t="s">
        <v>8</v>
      </c>
      <c r="C232" t="str">
        <f>Vaccinations!$B$57</f>
        <v>A3 - COVID Service Model Breakdown</v>
      </c>
      <c r="F232" t="str">
        <f>Vaccinations!C63</f>
        <v xml:space="preserve">Other </v>
      </c>
      <c r="G232">
        <f>Vaccinations!E63</f>
        <v>0</v>
      </c>
      <c r="H232">
        <f>Vaccinations!F63</f>
        <v>0</v>
      </c>
      <c r="I232">
        <f>Vaccinations!G63</f>
        <v>0</v>
      </c>
      <c r="J232">
        <f>Vaccinations!H63</f>
        <v>0</v>
      </c>
      <c r="K232">
        <f>Vaccinations!I63</f>
        <v>0</v>
      </c>
      <c r="L232">
        <f>Vaccinations!J63</f>
        <v>0</v>
      </c>
      <c r="M232">
        <f>Vaccinations!K63</f>
        <v>0</v>
      </c>
      <c r="N232">
        <f>Vaccinations!L63</f>
        <v>0</v>
      </c>
      <c r="O232">
        <f>Vaccinations!M63</f>
        <v>0</v>
      </c>
      <c r="P232">
        <f>Vaccinations!N63</f>
        <v>0</v>
      </c>
      <c r="Q232">
        <f>Vaccinations!O63</f>
        <v>0</v>
      </c>
      <c r="R232">
        <f>Vaccinations!P63</f>
        <v>0</v>
      </c>
      <c r="S232">
        <f>Vaccinations!Q63</f>
        <v>0</v>
      </c>
    </row>
    <row r="233" spans="1:64">
      <c r="A233" t="str">
        <f>'[1]Front Sheet and Checklist'!$C$5</f>
        <v>(please select from drop down)</v>
      </c>
      <c r="B233" t="s">
        <v>8</v>
      </c>
      <c r="C233" t="str">
        <f>Vaccinations!$B$57</f>
        <v>A3 - COVID Service Model Breakdown</v>
      </c>
      <c r="F233" t="str">
        <f>Vaccinations!C64</f>
        <v>Total of Breakdown by Service Model (Total to match Line Ref 44)</v>
      </c>
      <c r="G233">
        <f>Vaccinations!E64</f>
        <v>0</v>
      </c>
      <c r="H233">
        <f>Vaccinations!F64</f>
        <v>0</v>
      </c>
      <c r="I233">
        <f>Vaccinations!G64</f>
        <v>0</v>
      </c>
      <c r="J233">
        <f>Vaccinations!H64</f>
        <v>0</v>
      </c>
      <c r="K233">
        <f>Vaccinations!I64</f>
        <v>0</v>
      </c>
      <c r="L233">
        <f>Vaccinations!J64</f>
        <v>0</v>
      </c>
      <c r="M233">
        <f>Vaccinations!K64</f>
        <v>45773</v>
      </c>
      <c r="N233">
        <f>Vaccinations!L64</f>
        <v>13908</v>
      </c>
      <c r="O233">
        <f>Vaccinations!M64</f>
        <v>5652</v>
      </c>
      <c r="P233">
        <f>Vaccinations!N64</f>
        <v>1108</v>
      </c>
      <c r="Q233">
        <f>Vaccinations!O64</f>
        <v>81</v>
      </c>
      <c r="R233">
        <f>Vaccinations!P64</f>
        <v>8</v>
      </c>
      <c r="S233">
        <f>Vaccinations!Q64</f>
        <v>66530</v>
      </c>
    </row>
    <row r="234" spans="1:64">
      <c r="A234" t="str">
        <f>'[1]Front Sheet and Checklist'!$C$5</f>
        <v>(please select from drop down)</v>
      </c>
      <c r="B234" t="s">
        <v>8</v>
      </c>
      <c r="C234" t="str">
        <f>Vaccinations!$B$57</f>
        <v>A3 - COVID Service Model Breakdown</v>
      </c>
      <c r="F234" t="str">
        <f>Vaccinations!C65</f>
        <v xml:space="preserve"> Calculation Check should be Zero (Difference between Line Ref 44 and 39) </v>
      </c>
      <c r="G234">
        <f>Vaccinations!E65</f>
        <v>0</v>
      </c>
      <c r="H234">
        <f>Vaccinations!F65</f>
        <v>0</v>
      </c>
      <c r="I234">
        <f>Vaccinations!G65</f>
        <v>0</v>
      </c>
      <c r="J234">
        <f>Vaccinations!H65</f>
        <v>0</v>
      </c>
      <c r="K234">
        <f>Vaccinations!I65</f>
        <v>0</v>
      </c>
      <c r="L234">
        <f>Vaccinations!J65</f>
        <v>0</v>
      </c>
      <c r="M234">
        <f>Vaccinations!K65</f>
        <v>0</v>
      </c>
      <c r="N234">
        <f>Vaccinations!L65</f>
        <v>0</v>
      </c>
      <c r="O234">
        <f>Vaccinations!M65</f>
        <v>0</v>
      </c>
      <c r="P234">
        <f>Vaccinations!N65</f>
        <v>0</v>
      </c>
      <c r="Q234">
        <f>Vaccinations!O65</f>
        <v>0</v>
      </c>
      <c r="R234">
        <f>Vaccinations!P65</f>
        <v>0</v>
      </c>
      <c r="S234">
        <f>Vaccinations!Q65</f>
        <v>0</v>
      </c>
    </row>
    <row r="235" spans="1:64">
      <c r="A235" t="str">
        <f>'[1]Front Sheet and Checklist'!$C$5</f>
        <v>(please select from drop down)</v>
      </c>
      <c r="B235" t="s">
        <v>8</v>
      </c>
      <c r="C235" t="str">
        <f>Vaccinations!$B$69</f>
        <v>B1 - Total Flu Vaccine Population</v>
      </c>
      <c r="F235" t="str">
        <f>Vaccinations!C73</f>
        <v>Severely Immunosuppressed</v>
      </c>
      <c r="BH235">
        <f>Vaccinations!D73</f>
        <v>10497</v>
      </c>
      <c r="BJ235">
        <f>Vaccinations!F73</f>
        <v>10497</v>
      </c>
      <c r="BL235">
        <f>Vaccinations!H73</f>
        <v>0</v>
      </c>
    </row>
    <row r="236" spans="1:64">
      <c r="A236" t="str">
        <f>'[1]Front Sheet and Checklist'!$C$5</f>
        <v>(please select from drop down)</v>
      </c>
      <c r="B236" t="s">
        <v>8</v>
      </c>
      <c r="C236" t="str">
        <f>Vaccinations!$B$69</f>
        <v>B1 - Total Flu Vaccine Population</v>
      </c>
      <c r="F236" t="str">
        <f>Vaccinations!C74</f>
        <v>Care home residents</v>
      </c>
      <c r="BH236">
        <f>Vaccinations!D74</f>
        <v>2095</v>
      </c>
      <c r="BJ236">
        <f>Vaccinations!F74</f>
        <v>2095</v>
      </c>
      <c r="BL236">
        <f>Vaccinations!H74</f>
        <v>0</v>
      </c>
    </row>
    <row r="237" spans="1:64">
      <c r="A237" t="str">
        <f>'[1]Front Sheet and Checklist'!$C$5</f>
        <v>(please select from drop down)</v>
      </c>
      <c r="B237" t="s">
        <v>8</v>
      </c>
      <c r="C237" t="str">
        <f>Vaccinations!$B$69</f>
        <v>B1 - Total Flu Vaccine Population</v>
      </c>
      <c r="F237" t="str">
        <f>Vaccinations!C75</f>
        <v>Care home workers</v>
      </c>
      <c r="BH237">
        <f>Vaccinations!D75</f>
        <v>19</v>
      </c>
      <c r="BJ237">
        <f>Vaccinations!F75</f>
        <v>19</v>
      </c>
      <c r="BL237">
        <f>Vaccinations!H75</f>
        <v>0</v>
      </c>
    </row>
    <row r="238" spans="1:64">
      <c r="A238" t="str">
        <f>'[1]Front Sheet and Checklist'!$C$5</f>
        <v>(please select from drop down)</v>
      </c>
      <c r="B238" t="s">
        <v>8</v>
      </c>
      <c r="C238" t="str">
        <f>Vaccinations!$B$69</f>
        <v>B1 - Total Flu Vaccine Population</v>
      </c>
      <c r="F238" t="str">
        <f>Vaccinations!C76</f>
        <v>80 years and older</v>
      </c>
      <c r="BH238">
        <f>Vaccinations!D76</f>
        <v>22604</v>
      </c>
      <c r="BJ238">
        <f>Vaccinations!F76</f>
        <v>22604</v>
      </c>
      <c r="BL238">
        <f>Vaccinations!H76</f>
        <v>0</v>
      </c>
    </row>
    <row r="239" spans="1:64">
      <c r="A239" t="str">
        <f>'[1]Front Sheet and Checklist'!$C$5</f>
        <v>(please select from drop down)</v>
      </c>
      <c r="B239" t="s">
        <v>8</v>
      </c>
      <c r="C239" t="str">
        <f>Vaccinations!$B$69</f>
        <v>B1 - Total Flu Vaccine Population</v>
      </c>
      <c r="F239" t="str">
        <f>Vaccinations!C77</f>
        <v>Frontline Health care workers</v>
      </c>
      <c r="BH239">
        <f>Vaccinations!D77</f>
        <v>14132</v>
      </c>
      <c r="BJ239">
        <f>Vaccinations!F77</f>
        <v>0</v>
      </c>
      <c r="BL239">
        <f>Vaccinations!H77</f>
        <v>0</v>
      </c>
    </row>
    <row r="240" spans="1:64">
      <c r="A240" t="str">
        <f>'[1]Front Sheet and Checklist'!$C$5</f>
        <v>(please select from drop down)</v>
      </c>
      <c r="B240" t="s">
        <v>8</v>
      </c>
      <c r="C240" t="str">
        <f>Vaccinations!$B$69</f>
        <v>B1 - Total Flu Vaccine Population</v>
      </c>
      <c r="F240" t="str">
        <f>Vaccinations!C78</f>
        <v>Frontline Social care workers</v>
      </c>
      <c r="BH240">
        <f>Vaccinations!D78</f>
        <v>16</v>
      </c>
      <c r="BJ240">
        <f>Vaccinations!F78</f>
        <v>0</v>
      </c>
      <c r="BL240">
        <f>Vaccinations!H78</f>
        <v>0</v>
      </c>
    </row>
    <row r="241" spans="1:64">
      <c r="A241" t="str">
        <f>'[1]Front Sheet and Checklist'!$C$5</f>
        <v>(please select from drop down)</v>
      </c>
      <c r="B241" t="s">
        <v>8</v>
      </c>
      <c r="C241" t="str">
        <f>Vaccinations!$B$69</f>
        <v>B1 - Total Flu Vaccine Population</v>
      </c>
      <c r="F241" t="str">
        <f>Vaccinations!C79</f>
        <v>Ages 75-79</v>
      </c>
      <c r="BH241">
        <f>Vaccinations!D79</f>
        <v>18435</v>
      </c>
      <c r="BJ241">
        <f>Vaccinations!F79</f>
        <v>18435</v>
      </c>
      <c r="BL241">
        <f>Vaccinations!H79</f>
        <v>0</v>
      </c>
    </row>
    <row r="242" spans="1:64">
      <c r="A242" t="str">
        <f>'[1]Front Sheet and Checklist'!$C$5</f>
        <v>(please select from drop down)</v>
      </c>
      <c r="B242" t="s">
        <v>8</v>
      </c>
      <c r="C242" t="str">
        <f>Vaccinations!$B$69</f>
        <v>B1 - Total Flu Vaccine Population</v>
      </c>
      <c r="F242" t="str">
        <f>Vaccinations!C80</f>
        <v>Ages 70-74</v>
      </c>
      <c r="BH242">
        <f>Vaccinations!D80</f>
        <v>19519</v>
      </c>
      <c r="BJ242">
        <f>Vaccinations!F80</f>
        <v>19519</v>
      </c>
      <c r="BL242">
        <f>Vaccinations!H80</f>
        <v>0</v>
      </c>
    </row>
    <row r="243" spans="1:64">
      <c r="A243" t="str">
        <f>'[1]Front Sheet and Checklist'!$C$5</f>
        <v>(please select from drop down)</v>
      </c>
      <c r="B243" t="s">
        <v>8</v>
      </c>
      <c r="C243" t="str">
        <f>Vaccinations!$B$69</f>
        <v>B1 - Total Flu Vaccine Population</v>
      </c>
      <c r="F243" t="str">
        <f>Vaccinations!C81</f>
        <v>Clinically extremely vulnerable aged 16-69 years</v>
      </c>
      <c r="BH243">
        <f>Vaccinations!D81</f>
        <v>0</v>
      </c>
      <c r="BJ243">
        <f>Vaccinations!F81</f>
        <v>0</v>
      </c>
      <c r="BL243">
        <f>Vaccinations!H81</f>
        <v>0</v>
      </c>
    </row>
    <row r="244" spans="1:64">
      <c r="A244" t="str">
        <f>'[1]Front Sheet and Checklist'!$C$5</f>
        <v>(please select from drop down)</v>
      </c>
      <c r="B244" t="s">
        <v>8</v>
      </c>
      <c r="C244" t="str">
        <f>Vaccinations!$B$69</f>
        <v>B1 - Total Flu Vaccine Population</v>
      </c>
      <c r="F244" t="str">
        <f>Vaccinations!C82</f>
        <v>Ages 65-69</v>
      </c>
      <c r="BH244">
        <f>Vaccinations!D82</f>
        <v>23034</v>
      </c>
      <c r="BJ244">
        <f>Vaccinations!F82</f>
        <v>23034</v>
      </c>
      <c r="BL244">
        <f>Vaccinations!H82</f>
        <v>0</v>
      </c>
    </row>
    <row r="245" spans="1:64">
      <c r="A245" t="str">
        <f>'[1]Front Sheet and Checklist'!$C$5</f>
        <v>(please select from drop down)</v>
      </c>
      <c r="B245" t="s">
        <v>8</v>
      </c>
      <c r="C245" t="str">
        <f>Vaccinations!$B$69</f>
        <v>B1 - Total Flu Vaccine Population</v>
      </c>
      <c r="F245" t="str">
        <f>Vaccinations!C83</f>
        <v>Clinical risk groups aged 16-64 years</v>
      </c>
      <c r="BH245">
        <f>Vaccinations!D83</f>
        <v>46590</v>
      </c>
      <c r="BJ245">
        <f>Vaccinations!F83</f>
        <v>46590</v>
      </c>
      <c r="BL245">
        <f>Vaccinations!H83</f>
        <v>0</v>
      </c>
    </row>
    <row r="246" spans="1:64">
      <c r="A246" t="str">
        <f>'[1]Front Sheet and Checklist'!$C$5</f>
        <v>(please select from drop down)</v>
      </c>
      <c r="B246" t="s">
        <v>8</v>
      </c>
      <c r="C246" t="str">
        <f>Vaccinations!$B$69</f>
        <v>B1 - Total Flu Vaccine Population</v>
      </c>
      <c r="F246" t="str">
        <f>Vaccinations!C84</f>
        <v>Clinical risk groups aged 12-15 years</v>
      </c>
      <c r="BH246">
        <f>Vaccinations!D84</f>
        <v>954</v>
      </c>
      <c r="BJ246">
        <f>Vaccinations!F84</f>
        <v>954</v>
      </c>
      <c r="BL246">
        <f>Vaccinations!H84</f>
        <v>0</v>
      </c>
    </row>
    <row r="247" spans="1:64">
      <c r="A247" t="str">
        <f>'[1]Front Sheet and Checklist'!$C$5</f>
        <v>(please select from drop down)</v>
      </c>
      <c r="B247" t="s">
        <v>8</v>
      </c>
      <c r="C247" t="str">
        <f>Vaccinations!$B$69</f>
        <v>B1 - Total Flu Vaccine Population</v>
      </c>
      <c r="F247" t="str">
        <f>Vaccinations!C85</f>
        <v>Clinical risk groups aged 5-11 years</v>
      </c>
      <c r="BH247">
        <f>Vaccinations!D85</f>
        <v>993</v>
      </c>
      <c r="BJ247">
        <f>Vaccinations!F85</f>
        <v>993</v>
      </c>
      <c r="BL247">
        <f>Vaccinations!H85</f>
        <v>0</v>
      </c>
    </row>
    <row r="248" spans="1:64">
      <c r="A248" t="str">
        <f>'[1]Front Sheet and Checklist'!$C$5</f>
        <v>(please select from drop down)</v>
      </c>
      <c r="B248" t="s">
        <v>8</v>
      </c>
      <c r="C248" t="str">
        <f>Vaccinations!$B$69</f>
        <v>B1 - Total Flu Vaccine Population</v>
      </c>
      <c r="F248" t="str">
        <f>Vaccinations!C86</f>
        <v>Ages 60-64</v>
      </c>
      <c r="BH248">
        <f>Vaccinations!D86</f>
        <v>0</v>
      </c>
      <c r="BJ248">
        <f>Vaccinations!F86</f>
        <v>0</v>
      </c>
      <c r="BL248">
        <f>Vaccinations!H86</f>
        <v>0</v>
      </c>
    </row>
    <row r="249" spans="1:64">
      <c r="A249" t="str">
        <f>'[1]Front Sheet and Checklist'!$C$5</f>
        <v>(please select from drop down)</v>
      </c>
      <c r="B249" t="s">
        <v>8</v>
      </c>
      <c r="C249" t="str">
        <f>Vaccinations!$B$69</f>
        <v>B1 - Total Flu Vaccine Population</v>
      </c>
      <c r="F249" t="str">
        <f>Vaccinations!C87</f>
        <v>Ages 55-59</v>
      </c>
      <c r="BH249">
        <f>Vaccinations!D87</f>
        <v>0</v>
      </c>
      <c r="BJ249">
        <f>Vaccinations!F87</f>
        <v>0</v>
      </c>
      <c r="BL249">
        <f>Vaccinations!H87</f>
        <v>0</v>
      </c>
    </row>
    <row r="250" spans="1:64">
      <c r="A250" t="str">
        <f>'[1]Front Sheet and Checklist'!$C$5</f>
        <v>(please select from drop down)</v>
      </c>
      <c r="B250" t="s">
        <v>8</v>
      </c>
      <c r="C250" t="str">
        <f>Vaccinations!$B$69</f>
        <v>B1 - Total Flu Vaccine Population</v>
      </c>
      <c r="F250" t="str">
        <f>Vaccinations!C88</f>
        <v>Ages 50-54</v>
      </c>
      <c r="BH250">
        <f>Vaccinations!D88</f>
        <v>0</v>
      </c>
      <c r="BJ250">
        <f>Vaccinations!F88</f>
        <v>0</v>
      </c>
      <c r="BL250">
        <f>Vaccinations!H88</f>
        <v>0</v>
      </c>
    </row>
    <row r="251" spans="1:64">
      <c r="A251" t="str">
        <f>'[1]Front Sheet and Checklist'!$C$5</f>
        <v>(please select from drop down)</v>
      </c>
      <c r="B251" t="s">
        <v>8</v>
      </c>
      <c r="C251" t="str">
        <f>Vaccinations!$B$69</f>
        <v>B1 - Total Flu Vaccine Population</v>
      </c>
      <c r="F251" t="str">
        <f>Vaccinations!C89</f>
        <v>Ages 40-49</v>
      </c>
      <c r="BH251">
        <f>Vaccinations!D89</f>
        <v>0</v>
      </c>
      <c r="BJ251">
        <f>Vaccinations!F89</f>
        <v>0</v>
      </c>
      <c r="BL251">
        <f>Vaccinations!H89</f>
        <v>0</v>
      </c>
    </row>
    <row r="252" spans="1:64">
      <c r="A252" t="str">
        <f>'[1]Front Sheet and Checklist'!$C$5</f>
        <v>(please select from drop down)</v>
      </c>
      <c r="B252" t="s">
        <v>8</v>
      </c>
      <c r="C252" t="str">
        <f>Vaccinations!$B$69</f>
        <v>B1 - Total Flu Vaccine Population</v>
      </c>
      <c r="F252" t="str">
        <f>Vaccinations!C90</f>
        <v>Ages 30-39</v>
      </c>
      <c r="BH252">
        <f>Vaccinations!D90</f>
        <v>0</v>
      </c>
      <c r="BJ252">
        <f>Vaccinations!F90</f>
        <v>0</v>
      </c>
      <c r="BL252">
        <f>Vaccinations!H90</f>
        <v>0</v>
      </c>
    </row>
    <row r="253" spans="1:64">
      <c r="A253" t="str">
        <f>'[1]Front Sheet and Checklist'!$C$5</f>
        <v>(please select from drop down)</v>
      </c>
      <c r="B253" t="s">
        <v>8</v>
      </c>
      <c r="C253" t="str">
        <f>Vaccinations!$B$69</f>
        <v>B1 - Total Flu Vaccine Population</v>
      </c>
      <c r="F253" t="str">
        <f>Vaccinations!C91</f>
        <v xml:space="preserve">Ages 18-29 </v>
      </c>
      <c r="BH253">
        <f>Vaccinations!D91</f>
        <v>0</v>
      </c>
      <c r="BJ253">
        <f>Vaccinations!F91</f>
        <v>0</v>
      </c>
      <c r="BL253">
        <f>Vaccinations!H91</f>
        <v>0</v>
      </c>
    </row>
    <row r="254" spans="1:64">
      <c r="A254" t="str">
        <f>'[1]Front Sheet and Checklist'!$C$5</f>
        <v>(please select from drop down)</v>
      </c>
      <c r="B254" t="s">
        <v>8</v>
      </c>
      <c r="C254" t="str">
        <f>Vaccinations!$B$69</f>
        <v>B1 - Total Flu Vaccine Population</v>
      </c>
      <c r="F254" t="str">
        <f>Vaccinations!C92</f>
        <v xml:space="preserve">Ages 16-17 </v>
      </c>
      <c r="BH254">
        <f>Vaccinations!D92</f>
        <v>0</v>
      </c>
      <c r="BJ254">
        <f>Vaccinations!F92</f>
        <v>0</v>
      </c>
      <c r="BL254">
        <f>Vaccinations!H92</f>
        <v>0</v>
      </c>
    </row>
    <row r="255" spans="1:64">
      <c r="A255" t="str">
        <f>'[1]Front Sheet and Checklist'!$C$5</f>
        <v>(please select from drop down)</v>
      </c>
      <c r="B255" t="s">
        <v>8</v>
      </c>
      <c r="C255" t="str">
        <f>Vaccinations!$B$69</f>
        <v>B1 - Total Flu Vaccine Population</v>
      </c>
      <c r="F255" t="str">
        <f>Vaccinations!C93</f>
        <v>Ages 12-15</v>
      </c>
      <c r="BH255">
        <f>Vaccinations!D93</f>
        <v>22393</v>
      </c>
      <c r="BJ255">
        <f>Vaccinations!F93</f>
        <v>22393</v>
      </c>
      <c r="BL255">
        <f>Vaccinations!H93</f>
        <v>0</v>
      </c>
    </row>
    <row r="256" spans="1:64">
      <c r="A256" t="str">
        <f>'[1]Front Sheet and Checklist'!$C$5</f>
        <v>(please select from drop down)</v>
      </c>
      <c r="B256" t="s">
        <v>8</v>
      </c>
      <c r="C256" t="str">
        <f>Vaccinations!$B$69</f>
        <v>B1 - Total Flu Vaccine Population</v>
      </c>
      <c r="F256" t="str">
        <f>Vaccinations!C94</f>
        <v>Ages 5-11</v>
      </c>
      <c r="BH256">
        <f>Vaccinations!D94</f>
        <v>25987</v>
      </c>
      <c r="BJ256">
        <f>Vaccinations!F94</f>
        <v>25987</v>
      </c>
      <c r="BL256">
        <f>Vaccinations!H94</f>
        <v>0</v>
      </c>
    </row>
    <row r="257" spans="1:64">
      <c r="A257" t="str">
        <f>'[1]Front Sheet and Checklist'!$C$5</f>
        <v>(please select from drop down)</v>
      </c>
      <c r="B257" t="s">
        <v>8</v>
      </c>
      <c r="C257" t="str">
        <f>Vaccinations!$B$69</f>
        <v>B1 - Total Flu Vaccine Population</v>
      </c>
      <c r="F257" t="str">
        <f>Vaccinations!C95</f>
        <v>Pre-school</v>
      </c>
      <c r="BH257">
        <f>Vaccinations!D95</f>
        <v>0</v>
      </c>
      <c r="BJ257">
        <f>Vaccinations!F95</f>
        <v>0</v>
      </c>
      <c r="BL257">
        <f>Vaccinations!H95</f>
        <v>0</v>
      </c>
    </row>
    <row r="258" spans="1:64">
      <c r="A258" t="str">
        <f>'[1]Front Sheet and Checklist'!$C$5</f>
        <v>(please select from drop down)</v>
      </c>
      <c r="B258" t="s">
        <v>8</v>
      </c>
      <c r="C258" t="str">
        <f>Vaccinations!$B$69</f>
        <v>B1 - Total Flu Vaccine Population</v>
      </c>
      <c r="F258" t="str">
        <f>Vaccinations!C96</f>
        <v>Ages 2-3</v>
      </c>
      <c r="BH258">
        <f>Vaccinations!D96</f>
        <v>7225</v>
      </c>
      <c r="BJ258">
        <f>Vaccinations!F96</f>
        <v>7225</v>
      </c>
      <c r="BL258">
        <f>Vaccinations!H96</f>
        <v>0</v>
      </c>
    </row>
    <row r="259" spans="1:64">
      <c r="A259" t="str">
        <f>'[1]Front Sheet and Checklist'!$C$5</f>
        <v>(please select from drop down)</v>
      </c>
      <c r="B259" t="s">
        <v>8</v>
      </c>
      <c r="C259" t="str">
        <f>Vaccinations!$B$69</f>
        <v>B1 - Total Flu Vaccine Population</v>
      </c>
      <c r="F259" t="str">
        <f>Vaccinations!C97</f>
        <v>Total Flu Vaccine Population</v>
      </c>
      <c r="BH259">
        <f>Vaccinations!D97</f>
        <v>214493</v>
      </c>
      <c r="BJ259">
        <f>Vaccinations!F97</f>
        <v>0</v>
      </c>
      <c r="BL259">
        <f>Vaccinations!H97</f>
        <v>0</v>
      </c>
    </row>
    <row r="260" spans="1:64">
      <c r="A260" t="str">
        <f>'[1]Front Sheet and Checklist'!$C$5</f>
        <v>(please select from drop down)</v>
      </c>
      <c r="B260" t="s">
        <v>8</v>
      </c>
      <c r="C260" t="str">
        <f>Vaccinations!$B$100</f>
        <v>B2 - Eligible Flu Vaccination</v>
      </c>
      <c r="F260" t="str">
        <f>Vaccinations!C103</f>
        <v>Severely Immunosuppressed</v>
      </c>
      <c r="G260">
        <f>Vaccinations!E103</f>
        <v>0</v>
      </c>
      <c r="H260">
        <f>Vaccinations!F103</f>
        <v>0</v>
      </c>
      <c r="I260">
        <f>Vaccinations!G103</f>
        <v>0</v>
      </c>
      <c r="J260">
        <f>Vaccinations!H103</f>
        <v>0</v>
      </c>
      <c r="K260">
        <f>Vaccinations!I103</f>
        <v>0</v>
      </c>
      <c r="L260">
        <f>Vaccinations!J103</f>
        <v>0</v>
      </c>
      <c r="M260">
        <f>Vaccinations!K103</f>
        <v>0</v>
      </c>
      <c r="N260">
        <f>Vaccinations!L103</f>
        <v>0</v>
      </c>
      <c r="O260">
        <f>Vaccinations!M103</f>
        <v>500</v>
      </c>
      <c r="P260">
        <f>Vaccinations!N103</f>
        <v>0</v>
      </c>
      <c r="Q260">
        <f>Vaccinations!O103</f>
        <v>0</v>
      </c>
      <c r="R260">
        <f>Vaccinations!P103</f>
        <v>0</v>
      </c>
      <c r="S260">
        <f>Vaccinations!Q103</f>
        <v>500</v>
      </c>
    </row>
    <row r="261" spans="1:64">
      <c r="A261" t="str">
        <f>'[1]Front Sheet and Checklist'!$C$5</f>
        <v>(please select from drop down)</v>
      </c>
      <c r="B261" t="s">
        <v>8</v>
      </c>
      <c r="C261" t="str">
        <f>Vaccinations!$B$100</f>
        <v>B2 - Eligible Flu Vaccination</v>
      </c>
      <c r="F261" t="str">
        <f>Vaccinations!C104</f>
        <v>Care home residents</v>
      </c>
      <c r="G261">
        <f>Vaccinations!E104</f>
        <v>0</v>
      </c>
      <c r="H261">
        <f>Vaccinations!F104</f>
        <v>0</v>
      </c>
      <c r="I261">
        <f>Vaccinations!G104</f>
        <v>0</v>
      </c>
      <c r="J261">
        <f>Vaccinations!H104</f>
        <v>0</v>
      </c>
      <c r="K261">
        <f>Vaccinations!I104</f>
        <v>0</v>
      </c>
      <c r="L261">
        <f>Vaccinations!J104</f>
        <v>0</v>
      </c>
      <c r="M261">
        <f>Vaccinations!K104</f>
        <v>1200</v>
      </c>
      <c r="N261">
        <f>Vaccinations!L104</f>
        <v>600</v>
      </c>
      <c r="O261">
        <f>Vaccinations!M104</f>
        <v>200</v>
      </c>
      <c r="P261">
        <f>Vaccinations!N104</f>
        <v>0</v>
      </c>
      <c r="Q261">
        <f>Vaccinations!O104</f>
        <v>0</v>
      </c>
      <c r="R261">
        <f>Vaccinations!P104</f>
        <v>0</v>
      </c>
      <c r="S261">
        <f>Vaccinations!Q104</f>
        <v>2000</v>
      </c>
    </row>
    <row r="262" spans="1:64">
      <c r="A262" t="str">
        <f>'[1]Front Sheet and Checklist'!$C$5</f>
        <v>(please select from drop down)</v>
      </c>
      <c r="B262" t="s">
        <v>8</v>
      </c>
      <c r="C262" t="str">
        <f>Vaccinations!$B$100</f>
        <v>B2 - Eligible Flu Vaccination</v>
      </c>
      <c r="F262" t="str">
        <f>Vaccinations!C105</f>
        <v>Care home workers</v>
      </c>
      <c r="G262">
        <f>Vaccinations!E105</f>
        <v>0</v>
      </c>
      <c r="H262">
        <f>Vaccinations!F105</f>
        <v>0</v>
      </c>
      <c r="I262">
        <f>Vaccinations!G105</f>
        <v>0</v>
      </c>
      <c r="J262">
        <f>Vaccinations!H105</f>
        <v>0</v>
      </c>
      <c r="K262">
        <f>Vaccinations!I105</f>
        <v>0</v>
      </c>
      <c r="L262">
        <f>Vaccinations!J105</f>
        <v>0</v>
      </c>
      <c r="M262">
        <f>Vaccinations!K105</f>
        <v>0</v>
      </c>
      <c r="N262">
        <f>Vaccinations!L105</f>
        <v>0</v>
      </c>
      <c r="O262">
        <f>Vaccinations!M105</f>
        <v>0</v>
      </c>
      <c r="P262">
        <f>Vaccinations!N105</f>
        <v>0</v>
      </c>
      <c r="Q262">
        <f>Vaccinations!O105</f>
        <v>0</v>
      </c>
      <c r="R262">
        <f>Vaccinations!P105</f>
        <v>0</v>
      </c>
      <c r="S262">
        <f>Vaccinations!Q105</f>
        <v>0</v>
      </c>
    </row>
    <row r="263" spans="1:64">
      <c r="A263" t="str">
        <f>'[1]Front Sheet and Checklist'!$C$5</f>
        <v>(please select from drop down)</v>
      </c>
      <c r="B263" t="s">
        <v>8</v>
      </c>
      <c r="C263" t="str">
        <f>Vaccinations!$B$100</f>
        <v>B2 - Eligible Flu Vaccination</v>
      </c>
      <c r="F263" t="str">
        <f>Vaccinations!C106</f>
        <v>80 years and older</v>
      </c>
      <c r="G263">
        <f>Vaccinations!E106</f>
        <v>0</v>
      </c>
      <c r="H263">
        <f>Vaccinations!F106</f>
        <v>0</v>
      </c>
      <c r="I263">
        <f>Vaccinations!G106</f>
        <v>0</v>
      </c>
      <c r="J263">
        <f>Vaccinations!H106</f>
        <v>0</v>
      </c>
      <c r="K263">
        <f>Vaccinations!I106</f>
        <v>0</v>
      </c>
      <c r="L263">
        <f>Vaccinations!J106</f>
        <v>0</v>
      </c>
      <c r="M263">
        <f>Vaccinations!K106</f>
        <v>6470</v>
      </c>
      <c r="N263">
        <f>Vaccinations!L106</f>
        <v>7000</v>
      </c>
      <c r="O263">
        <f>Vaccinations!M106</f>
        <v>4504</v>
      </c>
      <c r="P263">
        <f>Vaccinations!N106</f>
        <v>0</v>
      </c>
      <c r="Q263">
        <f>Vaccinations!O106</f>
        <v>0</v>
      </c>
      <c r="R263">
        <f>Vaccinations!P106</f>
        <v>0</v>
      </c>
      <c r="S263">
        <f>Vaccinations!Q106</f>
        <v>17974</v>
      </c>
    </row>
    <row r="264" spans="1:64">
      <c r="A264" t="str">
        <f>'[1]Front Sheet and Checklist'!$C$5</f>
        <v>(please select from drop down)</v>
      </c>
      <c r="B264" t="s">
        <v>8</v>
      </c>
      <c r="C264" t="str">
        <f>Vaccinations!$B$100</f>
        <v>B2 - Eligible Flu Vaccination</v>
      </c>
      <c r="F264" t="str">
        <f>Vaccinations!C107</f>
        <v>Frontline Health care workers</v>
      </c>
      <c r="G264">
        <f>Vaccinations!E107</f>
        <v>0</v>
      </c>
      <c r="H264">
        <f>Vaccinations!F107</f>
        <v>0</v>
      </c>
      <c r="I264">
        <f>Vaccinations!G107</f>
        <v>0</v>
      </c>
      <c r="J264">
        <f>Vaccinations!H107</f>
        <v>0</v>
      </c>
      <c r="K264">
        <f>Vaccinations!I107</f>
        <v>0</v>
      </c>
      <c r="L264">
        <f>Vaccinations!J107</f>
        <v>0</v>
      </c>
      <c r="M264">
        <f>Vaccinations!K107</f>
        <v>2667</v>
      </c>
      <c r="N264">
        <f>Vaccinations!L107</f>
        <v>1171</v>
      </c>
      <c r="O264">
        <f>Vaccinations!M107</f>
        <v>1250</v>
      </c>
      <c r="P264">
        <f>Vaccinations!N107</f>
        <v>0</v>
      </c>
      <c r="Q264">
        <f>Vaccinations!O107</f>
        <v>0</v>
      </c>
      <c r="R264">
        <f>Vaccinations!P107</f>
        <v>0</v>
      </c>
      <c r="S264">
        <f>Vaccinations!Q107</f>
        <v>5088</v>
      </c>
    </row>
    <row r="265" spans="1:64">
      <c r="A265" t="str">
        <f>'[1]Front Sheet and Checklist'!$C$5</f>
        <v>(please select from drop down)</v>
      </c>
      <c r="B265" t="s">
        <v>8</v>
      </c>
      <c r="C265" t="str">
        <f>Vaccinations!$B$100</f>
        <v>B2 - Eligible Flu Vaccination</v>
      </c>
      <c r="F265" t="str">
        <f>Vaccinations!C108</f>
        <v>Frontline Social care workers</v>
      </c>
      <c r="G265">
        <f>Vaccinations!E108</f>
        <v>0</v>
      </c>
      <c r="H265">
        <f>Vaccinations!F108</f>
        <v>0</v>
      </c>
      <c r="I265">
        <f>Vaccinations!G108</f>
        <v>0</v>
      </c>
      <c r="J265">
        <f>Vaccinations!H108</f>
        <v>0</v>
      </c>
      <c r="K265">
        <f>Vaccinations!I108</f>
        <v>0</v>
      </c>
      <c r="L265">
        <f>Vaccinations!J108</f>
        <v>0</v>
      </c>
      <c r="M265">
        <f>Vaccinations!K108</f>
        <v>0</v>
      </c>
      <c r="N265">
        <f>Vaccinations!L108</f>
        <v>0</v>
      </c>
      <c r="O265">
        <f>Vaccinations!M108</f>
        <v>0</v>
      </c>
      <c r="P265">
        <f>Vaccinations!N108</f>
        <v>0</v>
      </c>
      <c r="Q265">
        <f>Vaccinations!O108</f>
        <v>0</v>
      </c>
      <c r="R265">
        <f>Vaccinations!P108</f>
        <v>0</v>
      </c>
      <c r="S265">
        <f>Vaccinations!Q108</f>
        <v>0</v>
      </c>
    </row>
    <row r="266" spans="1:64">
      <c r="A266" t="str">
        <f>'[1]Front Sheet and Checklist'!$C$5</f>
        <v>(please select from drop down)</v>
      </c>
      <c r="B266" t="s">
        <v>8</v>
      </c>
      <c r="C266" t="str">
        <f>Vaccinations!$B$100</f>
        <v>B2 - Eligible Flu Vaccination</v>
      </c>
      <c r="F266" t="str">
        <f>Vaccinations!C109</f>
        <v>Ages 75-79</v>
      </c>
      <c r="G266">
        <f>Vaccinations!E109</f>
        <v>0</v>
      </c>
      <c r="H266">
        <f>Vaccinations!F109</f>
        <v>0</v>
      </c>
      <c r="I266">
        <f>Vaccinations!G109</f>
        <v>0</v>
      </c>
      <c r="J266">
        <f>Vaccinations!H109</f>
        <v>0</v>
      </c>
      <c r="K266">
        <f>Vaccinations!I109</f>
        <v>0</v>
      </c>
      <c r="L266">
        <f>Vaccinations!J109</f>
        <v>0</v>
      </c>
      <c r="M266">
        <f>Vaccinations!K109</f>
        <v>0</v>
      </c>
      <c r="N266">
        <f>Vaccinations!L109</f>
        <v>0</v>
      </c>
      <c r="O266">
        <f>Vaccinations!M109</f>
        <v>0</v>
      </c>
      <c r="P266">
        <f>Vaccinations!N109</f>
        <v>0</v>
      </c>
      <c r="Q266">
        <f>Vaccinations!O109</f>
        <v>0</v>
      </c>
      <c r="R266">
        <f>Vaccinations!P109</f>
        <v>0</v>
      </c>
      <c r="S266">
        <f>Vaccinations!Q109</f>
        <v>0</v>
      </c>
    </row>
    <row r="267" spans="1:64">
      <c r="A267" t="str">
        <f>'[1]Front Sheet and Checklist'!$C$5</f>
        <v>(please select from drop down)</v>
      </c>
      <c r="B267" t="s">
        <v>8</v>
      </c>
      <c r="C267" t="str">
        <f>Vaccinations!$B$100</f>
        <v>B2 - Eligible Flu Vaccination</v>
      </c>
      <c r="F267" t="str">
        <f>Vaccinations!C110</f>
        <v>Ages 70-74</v>
      </c>
      <c r="G267">
        <f>Vaccinations!E110</f>
        <v>0</v>
      </c>
      <c r="H267">
        <f>Vaccinations!F110</f>
        <v>0</v>
      </c>
      <c r="I267">
        <f>Vaccinations!G110</f>
        <v>0</v>
      </c>
      <c r="J267">
        <f>Vaccinations!H110</f>
        <v>0</v>
      </c>
      <c r="K267">
        <f>Vaccinations!I110</f>
        <v>0</v>
      </c>
      <c r="L267">
        <f>Vaccinations!J110</f>
        <v>0</v>
      </c>
      <c r="M267">
        <f>Vaccinations!K110</f>
        <v>18911</v>
      </c>
      <c r="N267">
        <f>Vaccinations!L110</f>
        <v>18435</v>
      </c>
      <c r="O267">
        <f>Vaccinations!M110</f>
        <v>8006</v>
      </c>
      <c r="P267">
        <f>Vaccinations!N110</f>
        <v>0</v>
      </c>
      <c r="Q267">
        <f>Vaccinations!O110</f>
        <v>0</v>
      </c>
      <c r="R267">
        <f>Vaccinations!P110</f>
        <v>0</v>
      </c>
      <c r="S267">
        <f>Vaccinations!Q110</f>
        <v>45352</v>
      </c>
    </row>
    <row r="268" spans="1:64">
      <c r="A268" t="str">
        <f>'[1]Front Sheet and Checklist'!$C$5</f>
        <v>(please select from drop down)</v>
      </c>
      <c r="B268" t="s">
        <v>8</v>
      </c>
      <c r="C268" t="str">
        <f>Vaccinations!$B$100</f>
        <v>B2 - Eligible Flu Vaccination</v>
      </c>
      <c r="F268" t="str">
        <f>Vaccinations!C111</f>
        <v>Clinically extremely vulnerable aged 16-69 years</v>
      </c>
      <c r="G268">
        <f>Vaccinations!E111</f>
        <v>0</v>
      </c>
      <c r="H268">
        <f>Vaccinations!F111</f>
        <v>0</v>
      </c>
      <c r="I268">
        <f>Vaccinations!G111</f>
        <v>0</v>
      </c>
      <c r="J268">
        <f>Vaccinations!H111</f>
        <v>0</v>
      </c>
      <c r="K268">
        <f>Vaccinations!I111</f>
        <v>0</v>
      </c>
      <c r="L268">
        <f>Vaccinations!J111</f>
        <v>0</v>
      </c>
      <c r="M268">
        <f>Vaccinations!K111</f>
        <v>0</v>
      </c>
      <c r="N268">
        <f>Vaccinations!L111</f>
        <v>0</v>
      </c>
      <c r="O268">
        <f>Vaccinations!M111</f>
        <v>0</v>
      </c>
      <c r="P268">
        <f>Vaccinations!N111</f>
        <v>0</v>
      </c>
      <c r="Q268">
        <f>Vaccinations!O111</f>
        <v>0</v>
      </c>
      <c r="R268">
        <f>Vaccinations!P111</f>
        <v>0</v>
      </c>
      <c r="S268">
        <f>Vaccinations!Q111</f>
        <v>0</v>
      </c>
    </row>
    <row r="269" spans="1:64">
      <c r="A269" t="str">
        <f>'[1]Front Sheet and Checklist'!$C$5</f>
        <v>(please select from drop down)</v>
      </c>
      <c r="B269" t="s">
        <v>8</v>
      </c>
      <c r="C269" t="str">
        <f>Vaccinations!$B$100</f>
        <v>B2 - Eligible Flu Vaccination</v>
      </c>
      <c r="F269" t="str">
        <f>Vaccinations!C112</f>
        <v>Ages 65-69</v>
      </c>
      <c r="G269">
        <f>Vaccinations!E112</f>
        <v>0</v>
      </c>
      <c r="H269">
        <f>Vaccinations!F112</f>
        <v>0</v>
      </c>
      <c r="I269">
        <f>Vaccinations!G112</f>
        <v>0</v>
      </c>
      <c r="J269">
        <f>Vaccinations!H112</f>
        <v>0</v>
      </c>
      <c r="K269">
        <f>Vaccinations!I112</f>
        <v>0</v>
      </c>
      <c r="L269">
        <f>Vaccinations!J112</f>
        <v>0</v>
      </c>
      <c r="M269">
        <f>Vaccinations!K112</f>
        <v>23245</v>
      </c>
      <c r="N269">
        <f>Vaccinations!L112</f>
        <v>23034</v>
      </c>
      <c r="O269">
        <f>Vaccinations!M112</f>
        <v>5343</v>
      </c>
      <c r="P269">
        <f>Vaccinations!N112</f>
        <v>4251</v>
      </c>
      <c r="Q269">
        <f>Vaccinations!O112</f>
        <v>2000</v>
      </c>
      <c r="R269">
        <f>Vaccinations!P112</f>
        <v>0</v>
      </c>
      <c r="S269">
        <f>Vaccinations!Q112</f>
        <v>57873</v>
      </c>
    </row>
    <row r="270" spans="1:64">
      <c r="A270" t="str">
        <f>'[1]Front Sheet and Checklist'!$C$5</f>
        <v>(please select from drop down)</v>
      </c>
      <c r="B270" t="s">
        <v>8</v>
      </c>
      <c r="C270" t="str">
        <f>Vaccinations!$B$100</f>
        <v>B2 - Eligible Flu Vaccination</v>
      </c>
      <c r="F270" t="str">
        <f>Vaccinations!C113</f>
        <v>Clinical risk groups aged 16-64 years</v>
      </c>
      <c r="G270">
        <f>Vaccinations!E113</f>
        <v>0</v>
      </c>
      <c r="H270">
        <f>Vaccinations!F113</f>
        <v>0</v>
      </c>
      <c r="I270">
        <f>Vaccinations!G113</f>
        <v>0</v>
      </c>
      <c r="J270">
        <f>Vaccinations!H113</f>
        <v>0</v>
      </c>
      <c r="K270">
        <f>Vaccinations!I113</f>
        <v>0</v>
      </c>
      <c r="L270">
        <f>Vaccinations!J113</f>
        <v>0</v>
      </c>
      <c r="M270">
        <f>Vaccinations!K113</f>
        <v>11468</v>
      </c>
      <c r="N270">
        <f>Vaccinations!L113</f>
        <v>7279</v>
      </c>
      <c r="O270">
        <f>Vaccinations!M113</f>
        <v>1250</v>
      </c>
      <c r="P270">
        <f>Vaccinations!N113</f>
        <v>0</v>
      </c>
      <c r="Q270">
        <f>Vaccinations!O113</f>
        <v>0</v>
      </c>
      <c r="R270">
        <f>Vaccinations!P113</f>
        <v>0</v>
      </c>
      <c r="S270">
        <f>Vaccinations!Q113</f>
        <v>19997</v>
      </c>
    </row>
    <row r="271" spans="1:64">
      <c r="A271" t="str">
        <f>'[1]Front Sheet and Checklist'!$C$5</f>
        <v>(please select from drop down)</v>
      </c>
      <c r="B271" t="s">
        <v>8</v>
      </c>
      <c r="C271" t="str">
        <f>Vaccinations!$B$100</f>
        <v>B2 - Eligible Flu Vaccination</v>
      </c>
      <c r="F271" t="str">
        <f>Vaccinations!C114</f>
        <v>Clinical risk groups aged 12-15 years</v>
      </c>
      <c r="G271">
        <f>Vaccinations!E114</f>
        <v>0</v>
      </c>
      <c r="H271">
        <f>Vaccinations!F114</f>
        <v>0</v>
      </c>
      <c r="I271">
        <f>Vaccinations!G114</f>
        <v>0</v>
      </c>
      <c r="J271">
        <f>Vaccinations!H114</f>
        <v>0</v>
      </c>
      <c r="K271">
        <f>Vaccinations!I114</f>
        <v>0</v>
      </c>
      <c r="L271">
        <f>Vaccinations!J114</f>
        <v>0</v>
      </c>
      <c r="M271">
        <f>Vaccinations!K114</f>
        <v>200</v>
      </c>
      <c r="N271">
        <f>Vaccinations!L114</f>
        <v>0</v>
      </c>
      <c r="O271">
        <f>Vaccinations!M114</f>
        <v>1000</v>
      </c>
      <c r="P271">
        <f>Vaccinations!N114</f>
        <v>0</v>
      </c>
      <c r="Q271">
        <f>Vaccinations!O114</f>
        <v>0</v>
      </c>
      <c r="R271">
        <f>Vaccinations!P114</f>
        <v>0</v>
      </c>
      <c r="S271">
        <f>Vaccinations!Q114</f>
        <v>1200</v>
      </c>
    </row>
    <row r="272" spans="1:64">
      <c r="A272" t="str">
        <f>'[1]Front Sheet and Checklist'!$C$5</f>
        <v>(please select from drop down)</v>
      </c>
      <c r="B272" t="s">
        <v>8</v>
      </c>
      <c r="C272" t="str">
        <f>Vaccinations!$B$100</f>
        <v>B2 - Eligible Flu Vaccination</v>
      </c>
      <c r="F272" t="str">
        <f>Vaccinations!C115</f>
        <v>Clinical risk groups aged 5-11 years</v>
      </c>
      <c r="G272">
        <f>Vaccinations!E115</f>
        <v>0</v>
      </c>
      <c r="H272">
        <f>Vaccinations!F115</f>
        <v>0</v>
      </c>
      <c r="I272">
        <f>Vaccinations!G115</f>
        <v>0</v>
      </c>
      <c r="J272">
        <f>Vaccinations!H115</f>
        <v>0</v>
      </c>
      <c r="K272">
        <f>Vaccinations!I115</f>
        <v>0</v>
      </c>
      <c r="L272">
        <f>Vaccinations!J115</f>
        <v>0</v>
      </c>
      <c r="M272">
        <f>Vaccinations!K115</f>
        <v>0</v>
      </c>
      <c r="N272">
        <f>Vaccinations!L115</f>
        <v>0</v>
      </c>
      <c r="O272">
        <f>Vaccinations!M115</f>
        <v>0</v>
      </c>
      <c r="P272">
        <f>Vaccinations!N115</f>
        <v>0</v>
      </c>
      <c r="Q272">
        <f>Vaccinations!O115</f>
        <v>0</v>
      </c>
      <c r="R272">
        <f>Vaccinations!P115</f>
        <v>0</v>
      </c>
      <c r="S272">
        <f>Vaccinations!Q115</f>
        <v>0</v>
      </c>
    </row>
    <row r="273" spans="1:19">
      <c r="A273" t="str">
        <f>'[1]Front Sheet and Checklist'!$C$5</f>
        <v>(please select from drop down)</v>
      </c>
      <c r="B273" t="s">
        <v>8</v>
      </c>
      <c r="C273" t="str">
        <f>Vaccinations!$B$100</f>
        <v>B2 - Eligible Flu Vaccination</v>
      </c>
      <c r="F273" t="str">
        <f>Vaccinations!C116</f>
        <v>Ages 60-64</v>
      </c>
      <c r="G273">
        <f>Vaccinations!E116</f>
        <v>0</v>
      </c>
      <c r="H273">
        <f>Vaccinations!F116</f>
        <v>0</v>
      </c>
      <c r="I273">
        <f>Vaccinations!G116</f>
        <v>0</v>
      </c>
      <c r="J273">
        <f>Vaccinations!H116</f>
        <v>0</v>
      </c>
      <c r="K273">
        <f>Vaccinations!I116</f>
        <v>0</v>
      </c>
      <c r="L273">
        <f>Vaccinations!J116</f>
        <v>0</v>
      </c>
      <c r="M273">
        <f>Vaccinations!K116</f>
        <v>0</v>
      </c>
      <c r="N273">
        <f>Vaccinations!L116</f>
        <v>0</v>
      </c>
      <c r="O273">
        <f>Vaccinations!M116</f>
        <v>0</v>
      </c>
      <c r="P273">
        <f>Vaccinations!N116</f>
        <v>0</v>
      </c>
      <c r="Q273">
        <f>Vaccinations!O116</f>
        <v>0</v>
      </c>
      <c r="R273">
        <f>Vaccinations!P116</f>
        <v>0</v>
      </c>
      <c r="S273">
        <f>Vaccinations!Q116</f>
        <v>0</v>
      </c>
    </row>
    <row r="274" spans="1:19">
      <c r="A274" t="str">
        <f>'[1]Front Sheet and Checklist'!$C$5</f>
        <v>(please select from drop down)</v>
      </c>
      <c r="B274" t="s">
        <v>8</v>
      </c>
      <c r="C274" t="str">
        <f>Vaccinations!$B$100</f>
        <v>B2 - Eligible Flu Vaccination</v>
      </c>
      <c r="F274" t="str">
        <f>Vaccinations!C117</f>
        <v>Ages 55-59</v>
      </c>
      <c r="G274">
        <f>Vaccinations!E117</f>
        <v>0</v>
      </c>
      <c r="H274">
        <f>Vaccinations!F117</f>
        <v>0</v>
      </c>
      <c r="I274">
        <f>Vaccinations!G117</f>
        <v>0</v>
      </c>
      <c r="J274">
        <f>Vaccinations!H117</f>
        <v>0</v>
      </c>
      <c r="K274">
        <f>Vaccinations!I117</f>
        <v>0</v>
      </c>
      <c r="L274">
        <f>Vaccinations!J117</f>
        <v>0</v>
      </c>
      <c r="M274">
        <f>Vaccinations!K117</f>
        <v>0</v>
      </c>
      <c r="N274">
        <f>Vaccinations!L117</f>
        <v>0</v>
      </c>
      <c r="O274">
        <f>Vaccinations!M117</f>
        <v>0</v>
      </c>
      <c r="P274">
        <f>Vaccinations!N117</f>
        <v>0</v>
      </c>
      <c r="Q274">
        <f>Vaccinations!O117</f>
        <v>0</v>
      </c>
      <c r="R274">
        <f>Vaccinations!P117</f>
        <v>0</v>
      </c>
      <c r="S274">
        <f>Vaccinations!Q117</f>
        <v>0</v>
      </c>
    </row>
    <row r="275" spans="1:19">
      <c r="A275" t="str">
        <f>'[1]Front Sheet and Checklist'!$C$5</f>
        <v>(please select from drop down)</v>
      </c>
      <c r="B275" t="s">
        <v>8</v>
      </c>
      <c r="C275" t="str">
        <f>Vaccinations!$B$100</f>
        <v>B2 - Eligible Flu Vaccination</v>
      </c>
      <c r="F275" t="str">
        <f>Vaccinations!C118</f>
        <v>Ages 50-54</v>
      </c>
      <c r="G275">
        <f>Vaccinations!E118</f>
        <v>0</v>
      </c>
      <c r="H275">
        <f>Vaccinations!F118</f>
        <v>0</v>
      </c>
      <c r="I275">
        <f>Vaccinations!G118</f>
        <v>0</v>
      </c>
      <c r="J275">
        <f>Vaccinations!H118</f>
        <v>0</v>
      </c>
      <c r="K275">
        <f>Vaccinations!I118</f>
        <v>0</v>
      </c>
      <c r="L275">
        <f>Vaccinations!J118</f>
        <v>0</v>
      </c>
      <c r="M275">
        <f>Vaccinations!K118</f>
        <v>0</v>
      </c>
      <c r="N275">
        <f>Vaccinations!L118</f>
        <v>0</v>
      </c>
      <c r="O275">
        <f>Vaccinations!M118</f>
        <v>0</v>
      </c>
      <c r="P275">
        <f>Vaccinations!N118</f>
        <v>0</v>
      </c>
      <c r="Q275">
        <f>Vaccinations!O118</f>
        <v>0</v>
      </c>
      <c r="R275">
        <f>Vaccinations!P118</f>
        <v>0</v>
      </c>
      <c r="S275">
        <f>Vaccinations!Q118</f>
        <v>0</v>
      </c>
    </row>
    <row r="276" spans="1:19">
      <c r="A276" t="str">
        <f>'[1]Front Sheet and Checklist'!$C$5</f>
        <v>(please select from drop down)</v>
      </c>
      <c r="B276" t="s">
        <v>8</v>
      </c>
      <c r="C276" t="str">
        <f>Vaccinations!$B$100</f>
        <v>B2 - Eligible Flu Vaccination</v>
      </c>
      <c r="F276" t="str">
        <f>Vaccinations!C119</f>
        <v xml:space="preserve">Ages 16-17 </v>
      </c>
      <c r="G276">
        <f>Vaccinations!E119</f>
        <v>0</v>
      </c>
      <c r="H276">
        <f>Vaccinations!F119</f>
        <v>0</v>
      </c>
      <c r="I276">
        <f>Vaccinations!G119</f>
        <v>0</v>
      </c>
      <c r="J276">
        <f>Vaccinations!H119</f>
        <v>0</v>
      </c>
      <c r="K276">
        <f>Vaccinations!I119</f>
        <v>0</v>
      </c>
      <c r="L276">
        <f>Vaccinations!J119</f>
        <v>0</v>
      </c>
      <c r="M276">
        <f>Vaccinations!K119</f>
        <v>0</v>
      </c>
      <c r="N276">
        <f>Vaccinations!L119</f>
        <v>0</v>
      </c>
      <c r="O276">
        <f>Vaccinations!M119</f>
        <v>0</v>
      </c>
      <c r="P276">
        <f>Vaccinations!N119</f>
        <v>0</v>
      </c>
      <c r="Q276">
        <f>Vaccinations!O119</f>
        <v>0</v>
      </c>
      <c r="R276">
        <f>Vaccinations!P119</f>
        <v>0</v>
      </c>
      <c r="S276">
        <f>Vaccinations!Q119</f>
        <v>0</v>
      </c>
    </row>
    <row r="277" spans="1:19">
      <c r="A277" t="str">
        <f>'[1]Front Sheet and Checklist'!$C$5</f>
        <v>(please select from drop down)</v>
      </c>
      <c r="B277" t="s">
        <v>8</v>
      </c>
      <c r="C277" t="str">
        <f>Vaccinations!$B$100</f>
        <v>B2 - Eligible Flu Vaccination</v>
      </c>
      <c r="F277" t="str">
        <f>Vaccinations!C120</f>
        <v>Ages 12-15</v>
      </c>
      <c r="G277">
        <f>Vaccinations!E120</f>
        <v>0</v>
      </c>
      <c r="H277">
        <f>Vaccinations!F120</f>
        <v>0</v>
      </c>
      <c r="I277">
        <f>Vaccinations!G120</f>
        <v>0</v>
      </c>
      <c r="J277">
        <f>Vaccinations!H120</f>
        <v>0</v>
      </c>
      <c r="K277">
        <f>Vaccinations!I120</f>
        <v>0</v>
      </c>
      <c r="L277">
        <f>Vaccinations!J120</f>
        <v>0</v>
      </c>
      <c r="M277">
        <f>Vaccinations!K120</f>
        <v>1922</v>
      </c>
      <c r="N277">
        <f>Vaccinations!L120</f>
        <v>5078</v>
      </c>
      <c r="O277">
        <f>Vaccinations!M120</f>
        <v>3227</v>
      </c>
      <c r="P277">
        <f>Vaccinations!N120</f>
        <v>0</v>
      </c>
      <c r="Q277">
        <f>Vaccinations!O120</f>
        <v>0</v>
      </c>
      <c r="R277">
        <f>Vaccinations!P120</f>
        <v>0</v>
      </c>
      <c r="S277">
        <f>Vaccinations!Q120</f>
        <v>10227</v>
      </c>
    </row>
    <row r="278" spans="1:19">
      <c r="A278" t="str">
        <f>'[1]Front Sheet and Checklist'!$C$5</f>
        <v>(please select from drop down)</v>
      </c>
      <c r="B278" t="s">
        <v>8</v>
      </c>
      <c r="C278" t="str">
        <f>Vaccinations!$B$100</f>
        <v>B2 - Eligible Flu Vaccination</v>
      </c>
      <c r="F278" t="str">
        <f>Vaccinations!C121</f>
        <v>Ages 5-11</v>
      </c>
      <c r="G278">
        <f>Vaccinations!E121</f>
        <v>0</v>
      </c>
      <c r="H278">
        <f>Vaccinations!F121</f>
        <v>0</v>
      </c>
      <c r="I278">
        <f>Vaccinations!G121</f>
        <v>0</v>
      </c>
      <c r="J278">
        <f>Vaccinations!H121</f>
        <v>0</v>
      </c>
      <c r="K278">
        <f>Vaccinations!I121</f>
        <v>0</v>
      </c>
      <c r="L278">
        <f>Vaccinations!J121</f>
        <v>0</v>
      </c>
      <c r="M278">
        <f>Vaccinations!K121</f>
        <v>663</v>
      </c>
      <c r="N278">
        <f>Vaccinations!L121</f>
        <v>6000</v>
      </c>
      <c r="O278">
        <f>Vaccinations!M121</f>
        <v>5995</v>
      </c>
      <c r="P278">
        <f>Vaccinations!N121</f>
        <v>1531</v>
      </c>
      <c r="Q278">
        <f>Vaccinations!O121</f>
        <v>0</v>
      </c>
      <c r="R278">
        <f>Vaccinations!P121</f>
        <v>0</v>
      </c>
      <c r="S278">
        <f>Vaccinations!Q121</f>
        <v>14189</v>
      </c>
    </row>
    <row r="279" spans="1:19">
      <c r="A279" t="str">
        <f>'[1]Front Sheet and Checklist'!$C$5</f>
        <v>(please select from drop down)</v>
      </c>
      <c r="B279" t="s">
        <v>8</v>
      </c>
      <c r="C279" t="str">
        <f>Vaccinations!$B$100</f>
        <v>B2 - Eligible Flu Vaccination</v>
      </c>
      <c r="F279" t="str">
        <f>Vaccinations!C122</f>
        <v>Pre-school</v>
      </c>
      <c r="G279">
        <f>Vaccinations!E122</f>
        <v>0</v>
      </c>
      <c r="H279">
        <f>Vaccinations!F122</f>
        <v>0</v>
      </c>
      <c r="I279">
        <f>Vaccinations!G122</f>
        <v>0</v>
      </c>
      <c r="J279">
        <f>Vaccinations!H122</f>
        <v>0</v>
      </c>
      <c r="K279">
        <f>Vaccinations!I122</f>
        <v>0</v>
      </c>
      <c r="L279">
        <f>Vaccinations!J122</f>
        <v>0</v>
      </c>
      <c r="M279">
        <f>Vaccinations!K122</f>
        <v>0</v>
      </c>
      <c r="N279">
        <f>Vaccinations!L122</f>
        <v>0</v>
      </c>
      <c r="O279">
        <f>Vaccinations!M122</f>
        <v>0</v>
      </c>
      <c r="P279">
        <f>Vaccinations!N122</f>
        <v>0</v>
      </c>
      <c r="Q279">
        <f>Vaccinations!O122</f>
        <v>0</v>
      </c>
      <c r="R279">
        <f>Vaccinations!P122</f>
        <v>0</v>
      </c>
      <c r="S279">
        <f>Vaccinations!Q122</f>
        <v>0</v>
      </c>
    </row>
    <row r="280" spans="1:19">
      <c r="A280" t="str">
        <f>'[1]Front Sheet and Checklist'!$C$5</f>
        <v>(please select from drop down)</v>
      </c>
      <c r="B280" t="s">
        <v>8</v>
      </c>
      <c r="C280" t="str">
        <f>Vaccinations!$B$100</f>
        <v>B2 - Eligible Flu Vaccination</v>
      </c>
      <c r="F280" t="str">
        <f>Vaccinations!C123</f>
        <v>Ages 2-3</v>
      </c>
      <c r="G280">
        <f>Vaccinations!E123</f>
        <v>0</v>
      </c>
      <c r="H280">
        <f>Vaccinations!F123</f>
        <v>0</v>
      </c>
      <c r="I280">
        <f>Vaccinations!G123</f>
        <v>0</v>
      </c>
      <c r="J280">
        <f>Vaccinations!H123</f>
        <v>0</v>
      </c>
      <c r="K280">
        <f>Vaccinations!I123</f>
        <v>0</v>
      </c>
      <c r="L280">
        <f>Vaccinations!J123</f>
        <v>0</v>
      </c>
      <c r="M280">
        <f>Vaccinations!K123</f>
        <v>1919</v>
      </c>
      <c r="N280">
        <f>Vaccinations!L123</f>
        <v>0</v>
      </c>
      <c r="O280">
        <f>Vaccinations!M123</f>
        <v>0</v>
      </c>
      <c r="P280">
        <f>Vaccinations!N123</f>
        <v>350</v>
      </c>
      <c r="Q280">
        <f>Vaccinations!O123</f>
        <v>356</v>
      </c>
      <c r="R280">
        <f>Vaccinations!P123</f>
        <v>0</v>
      </c>
      <c r="S280">
        <f>Vaccinations!Q123</f>
        <v>2625</v>
      </c>
    </row>
    <row r="281" spans="1:19">
      <c r="A281" t="str">
        <f>'[1]Front Sheet and Checklist'!$C$5</f>
        <v>(please select from drop down)</v>
      </c>
      <c r="B281" t="s">
        <v>8</v>
      </c>
      <c r="C281" t="str">
        <f>Vaccinations!$B$100</f>
        <v>B2 - Eligible Flu Vaccination</v>
      </c>
      <c r="F281" t="str">
        <f>Vaccinations!C124</f>
        <v>Total Flu Vaccines planned to administer</v>
      </c>
      <c r="G281">
        <f>Vaccinations!E124</f>
        <v>0</v>
      </c>
      <c r="H281">
        <f>Vaccinations!F124</f>
        <v>0</v>
      </c>
      <c r="I281">
        <f>Vaccinations!G124</f>
        <v>0</v>
      </c>
      <c r="J281">
        <f>Vaccinations!H124</f>
        <v>0</v>
      </c>
      <c r="K281">
        <f>Vaccinations!I124</f>
        <v>0</v>
      </c>
      <c r="L281">
        <f>Vaccinations!J124</f>
        <v>0</v>
      </c>
      <c r="M281">
        <f>Vaccinations!K124</f>
        <v>68665</v>
      </c>
      <c r="N281">
        <f>Vaccinations!L124</f>
        <v>68597</v>
      </c>
      <c r="O281">
        <f>Vaccinations!M124</f>
        <v>31275</v>
      </c>
      <c r="P281">
        <f>Vaccinations!N124</f>
        <v>6132</v>
      </c>
      <c r="Q281">
        <f>Vaccinations!O124</f>
        <v>2356</v>
      </c>
      <c r="R281">
        <f>Vaccinations!P124</f>
        <v>0</v>
      </c>
      <c r="S281">
        <f>Vaccinations!Q124</f>
        <v>177025</v>
      </c>
    </row>
    <row r="282" spans="1:19">
      <c r="A282" t="str">
        <f>'[1]Front Sheet and Checklist'!$C$5</f>
        <v>(please select from drop down)</v>
      </c>
      <c r="B282" t="s">
        <v>8</v>
      </c>
      <c r="C282" t="str">
        <f>Vaccinations!$B$127</f>
        <v>B3 - Flu Service Model Breakdown</v>
      </c>
      <c r="F282" t="str">
        <f>Vaccinations!C130</f>
        <v>Mass Vaccination and Mobile Outreach</v>
      </c>
      <c r="G282">
        <f>Vaccinations!E130</f>
        <v>0</v>
      </c>
      <c r="H282">
        <f>Vaccinations!F130</f>
        <v>0</v>
      </c>
      <c r="I282">
        <f>Vaccinations!G130</f>
        <v>0</v>
      </c>
      <c r="J282">
        <f>Vaccinations!H130</f>
        <v>0</v>
      </c>
      <c r="K282">
        <f>Vaccinations!I130</f>
        <v>0</v>
      </c>
      <c r="L282">
        <f>Vaccinations!J130</f>
        <v>0</v>
      </c>
      <c r="M282">
        <f>Vaccinations!K130</f>
        <v>0</v>
      </c>
      <c r="N282">
        <f>Vaccinations!L130</f>
        <v>0</v>
      </c>
      <c r="O282">
        <f>Vaccinations!M130</f>
        <v>0</v>
      </c>
      <c r="P282">
        <f>Vaccinations!N130</f>
        <v>50</v>
      </c>
      <c r="Q282">
        <f>Vaccinations!O130</f>
        <v>56</v>
      </c>
      <c r="R282">
        <f>Vaccinations!P130</f>
        <v>0</v>
      </c>
      <c r="S282">
        <f>Vaccinations!Q130</f>
        <v>106</v>
      </c>
    </row>
    <row r="283" spans="1:19">
      <c r="A283" t="str">
        <f>'[1]Front Sheet and Checklist'!$C$5</f>
        <v>(please select from drop down)</v>
      </c>
      <c r="B283" t="s">
        <v>8</v>
      </c>
      <c r="C283" t="str">
        <f>Vaccinations!$B$127</f>
        <v>B3 - Flu Service Model Breakdown</v>
      </c>
      <c r="F283" t="str">
        <f>Vaccinations!C131</f>
        <v>GP Commissioned</v>
      </c>
      <c r="G283">
        <f>Vaccinations!E131</f>
        <v>0</v>
      </c>
      <c r="H283">
        <f>Vaccinations!F131</f>
        <v>0</v>
      </c>
      <c r="I283">
        <f>Vaccinations!G131</f>
        <v>0</v>
      </c>
      <c r="J283">
        <f>Vaccinations!H131</f>
        <v>0</v>
      </c>
      <c r="K283">
        <f>Vaccinations!I131</f>
        <v>0</v>
      </c>
      <c r="L283">
        <f>Vaccinations!J131</f>
        <v>0</v>
      </c>
      <c r="M283">
        <f>Vaccinations!K131</f>
        <v>46629</v>
      </c>
      <c r="N283">
        <f>Vaccinations!L131</f>
        <v>40000</v>
      </c>
      <c r="O283">
        <f>Vaccinations!M131</f>
        <v>6048</v>
      </c>
      <c r="P283">
        <f>Vaccinations!N131</f>
        <v>300</v>
      </c>
      <c r="Q283">
        <f>Vaccinations!O131</f>
        <v>300</v>
      </c>
      <c r="R283">
        <f>Vaccinations!P131</f>
        <v>0</v>
      </c>
      <c r="S283">
        <f>Vaccinations!Q131</f>
        <v>93277</v>
      </c>
    </row>
    <row r="284" spans="1:19">
      <c r="A284" t="str">
        <f>'[1]Front Sheet and Checklist'!$C$5</f>
        <v>(please select from drop down)</v>
      </c>
      <c r="B284" t="s">
        <v>8</v>
      </c>
      <c r="C284" t="str">
        <f>Vaccinations!$B$127</f>
        <v>B3 - Flu Service Model Breakdown</v>
      </c>
      <c r="F284" t="str">
        <f>Vaccinations!C132</f>
        <v>Pharmacy Commissioned</v>
      </c>
      <c r="G284">
        <f>Vaccinations!E132</f>
        <v>0</v>
      </c>
      <c r="H284">
        <f>Vaccinations!F132</f>
        <v>0</v>
      </c>
      <c r="I284">
        <f>Vaccinations!G132</f>
        <v>0</v>
      </c>
      <c r="J284">
        <f>Vaccinations!H132</f>
        <v>0</v>
      </c>
      <c r="K284">
        <f>Vaccinations!I132</f>
        <v>0</v>
      </c>
      <c r="L284">
        <f>Vaccinations!J132</f>
        <v>0</v>
      </c>
      <c r="M284">
        <f>Vaccinations!K132</f>
        <v>18856</v>
      </c>
      <c r="N284">
        <f>Vaccinations!L132</f>
        <v>15000</v>
      </c>
      <c r="O284">
        <f>Vaccinations!M132</f>
        <v>15000</v>
      </c>
      <c r="P284">
        <f>Vaccinations!N132</f>
        <v>4000</v>
      </c>
      <c r="Q284">
        <f>Vaccinations!O132</f>
        <v>1900</v>
      </c>
      <c r="R284">
        <f>Vaccinations!P132</f>
        <v>0</v>
      </c>
      <c r="S284">
        <f>Vaccinations!Q132</f>
        <v>54756</v>
      </c>
    </row>
    <row r="285" spans="1:19">
      <c r="A285" t="str">
        <f>'[1]Front Sheet and Checklist'!$C$5</f>
        <v>(please select from drop down)</v>
      </c>
      <c r="B285" t="s">
        <v>8</v>
      </c>
      <c r="C285" t="str">
        <f>Vaccinations!$B$127</f>
        <v>B3 - Flu Service Model Breakdown</v>
      </c>
      <c r="F285" t="str">
        <f>Vaccinations!C133</f>
        <v>School Nurses</v>
      </c>
      <c r="G285">
        <f>Vaccinations!E133</f>
        <v>0</v>
      </c>
      <c r="H285">
        <f>Vaccinations!F133</f>
        <v>0</v>
      </c>
      <c r="I285">
        <f>Vaccinations!G133</f>
        <v>0</v>
      </c>
      <c r="J285">
        <f>Vaccinations!H133</f>
        <v>0</v>
      </c>
      <c r="K285">
        <f>Vaccinations!I133</f>
        <v>0</v>
      </c>
      <c r="L285">
        <f>Vaccinations!J133</f>
        <v>0</v>
      </c>
      <c r="M285">
        <f>Vaccinations!K133</f>
        <v>2580</v>
      </c>
      <c r="N285">
        <f>Vaccinations!L133</f>
        <v>13197</v>
      </c>
      <c r="O285">
        <f>Vaccinations!M133</f>
        <v>10227</v>
      </c>
      <c r="P285">
        <f>Vaccinations!N133</f>
        <v>1531</v>
      </c>
      <c r="Q285">
        <f>Vaccinations!O133</f>
        <v>0</v>
      </c>
      <c r="R285">
        <f>Vaccinations!P133</f>
        <v>0</v>
      </c>
      <c r="S285">
        <f>Vaccinations!Q133</f>
        <v>27535</v>
      </c>
    </row>
    <row r="286" spans="1:19">
      <c r="A286" t="str">
        <f>'[1]Front Sheet and Checklist'!$C$5</f>
        <v>(please select from drop down)</v>
      </c>
      <c r="B286" t="s">
        <v>8</v>
      </c>
      <c r="C286" t="str">
        <f>Vaccinations!$B$127</f>
        <v>B3 - Flu Service Model Breakdown</v>
      </c>
      <c r="F286" t="str">
        <f>Vaccinations!C134</f>
        <v>Occupational Health Teams</v>
      </c>
      <c r="G286">
        <f>Vaccinations!E134</f>
        <v>0</v>
      </c>
      <c r="H286">
        <f>Vaccinations!F134</f>
        <v>0</v>
      </c>
      <c r="I286">
        <f>Vaccinations!G134</f>
        <v>0</v>
      </c>
      <c r="J286">
        <f>Vaccinations!H134</f>
        <v>0</v>
      </c>
      <c r="K286">
        <f>Vaccinations!I134</f>
        <v>0</v>
      </c>
      <c r="L286">
        <f>Vaccinations!J134</f>
        <v>0</v>
      </c>
      <c r="M286">
        <f>Vaccinations!K134</f>
        <v>600</v>
      </c>
      <c r="N286">
        <f>Vaccinations!L134</f>
        <v>400</v>
      </c>
      <c r="O286">
        <f>Vaccinations!M134</f>
        <v>0</v>
      </c>
      <c r="P286">
        <f>Vaccinations!N134</f>
        <v>0</v>
      </c>
      <c r="Q286">
        <f>Vaccinations!O134</f>
        <v>0</v>
      </c>
      <c r="R286">
        <f>Vaccinations!P134</f>
        <v>0</v>
      </c>
      <c r="S286">
        <f>Vaccinations!Q134</f>
        <v>1000</v>
      </c>
    </row>
    <row r="287" spans="1:19">
      <c r="A287" t="str">
        <f>'[1]Front Sheet and Checklist'!$C$5</f>
        <v>(please select from drop down)</v>
      </c>
      <c r="B287" t="s">
        <v>8</v>
      </c>
      <c r="C287" t="str">
        <f>Vaccinations!$B$127</f>
        <v>B3 - Flu Service Model Breakdown</v>
      </c>
      <c r="F287" t="str">
        <f>Vaccinations!C135</f>
        <v xml:space="preserve">Other </v>
      </c>
      <c r="G287">
        <f>Vaccinations!E135</f>
        <v>0</v>
      </c>
      <c r="H287">
        <f>Vaccinations!F135</f>
        <v>0</v>
      </c>
      <c r="I287">
        <f>Vaccinations!G135</f>
        <v>0</v>
      </c>
      <c r="J287">
        <f>Vaccinations!H135</f>
        <v>0</v>
      </c>
      <c r="K287">
        <f>Vaccinations!I135</f>
        <v>0</v>
      </c>
      <c r="L287">
        <f>Vaccinations!J135</f>
        <v>0</v>
      </c>
      <c r="M287">
        <f>Vaccinations!K135</f>
        <v>0</v>
      </c>
      <c r="N287">
        <f>Vaccinations!L135</f>
        <v>0</v>
      </c>
      <c r="O287">
        <f>Vaccinations!M135</f>
        <v>0</v>
      </c>
      <c r="P287">
        <f>Vaccinations!N135</f>
        <v>251</v>
      </c>
      <c r="Q287">
        <f>Vaccinations!O135</f>
        <v>100</v>
      </c>
      <c r="R287">
        <f>Vaccinations!P135</f>
        <v>0</v>
      </c>
      <c r="S287">
        <f>Vaccinations!Q135</f>
        <v>351</v>
      </c>
    </row>
    <row r="288" spans="1:19">
      <c r="A288" t="str">
        <f>'[1]Front Sheet and Checklist'!$C$5</f>
        <v>(please select from drop down)</v>
      </c>
      <c r="B288" t="s">
        <v>8</v>
      </c>
      <c r="C288" t="str">
        <f>Vaccinations!$B$127</f>
        <v>B3 - Flu Service Model Breakdown</v>
      </c>
      <c r="F288" t="str">
        <f>Vaccinations!C136</f>
        <v>Total of Breakdown by Service Model (Total to match Line Ref 44)</v>
      </c>
      <c r="G288">
        <f>Vaccinations!E136</f>
        <v>0</v>
      </c>
      <c r="H288">
        <f>Vaccinations!F136</f>
        <v>0</v>
      </c>
      <c r="I288">
        <f>Vaccinations!G136</f>
        <v>0</v>
      </c>
      <c r="J288">
        <f>Vaccinations!H136</f>
        <v>0</v>
      </c>
      <c r="K288">
        <f>Vaccinations!I136</f>
        <v>0</v>
      </c>
      <c r="L288">
        <f>Vaccinations!J136</f>
        <v>0</v>
      </c>
      <c r="M288">
        <f>Vaccinations!K136</f>
        <v>68665</v>
      </c>
      <c r="N288">
        <f>Vaccinations!L136</f>
        <v>68597</v>
      </c>
      <c r="O288">
        <f>Vaccinations!M136</f>
        <v>31275</v>
      </c>
      <c r="P288">
        <f>Vaccinations!N136</f>
        <v>6132</v>
      </c>
      <c r="Q288">
        <f>Vaccinations!O136</f>
        <v>2356</v>
      </c>
      <c r="R288">
        <f>Vaccinations!P136</f>
        <v>0</v>
      </c>
      <c r="S288">
        <f>Vaccinations!Q136</f>
        <v>177025</v>
      </c>
    </row>
    <row r="289" spans="1:59">
      <c r="A289" t="str">
        <f>'[1]Front Sheet and Checklist'!$C$5</f>
        <v>(please select from drop down)</v>
      </c>
      <c r="B289" t="s">
        <v>8</v>
      </c>
      <c r="C289" t="str">
        <f>Vaccinations!$B$127</f>
        <v>B3 - Flu Service Model Breakdown</v>
      </c>
      <c r="F289" t="str">
        <f>Vaccinations!C137</f>
        <v xml:space="preserve"> Calculation Check should be Zero (Difference between Line Ref 44 and 49) </v>
      </c>
      <c r="G289">
        <f>Vaccinations!E137</f>
        <v>0</v>
      </c>
      <c r="H289">
        <f>Vaccinations!F137</f>
        <v>0</v>
      </c>
      <c r="I289">
        <f>Vaccinations!G137</f>
        <v>0</v>
      </c>
      <c r="J289">
        <f>Vaccinations!H137</f>
        <v>0</v>
      </c>
      <c r="K289">
        <f>Vaccinations!I137</f>
        <v>0</v>
      </c>
      <c r="L289">
        <f>Vaccinations!J137</f>
        <v>0</v>
      </c>
      <c r="M289">
        <f>Vaccinations!K137</f>
        <v>0</v>
      </c>
      <c r="N289">
        <f>Vaccinations!L137</f>
        <v>0</v>
      </c>
      <c r="O289">
        <f>Vaccinations!M137</f>
        <v>0</v>
      </c>
      <c r="P289">
        <f>Vaccinations!N137</f>
        <v>0</v>
      </c>
      <c r="Q289">
        <f>Vaccinations!O137</f>
        <v>0</v>
      </c>
      <c r="R289">
        <f>Vaccinations!P137</f>
        <v>0</v>
      </c>
      <c r="S289">
        <f>Vaccinations!Q137</f>
        <v>0</v>
      </c>
    </row>
    <row r="290" spans="1:59" hidden="1">
      <c r="A290" t="str">
        <f>'[1]Front Sheet and Checklist'!$C$5</f>
        <v>(please select from drop down)</v>
      </c>
      <c r="B290" t="s">
        <v>11</v>
      </c>
      <c r="D290" t="str">
        <f>'Primary Care Activity'!$B$5</f>
        <v>1. Community Services</v>
      </c>
      <c r="F290" t="str">
        <f>'Primary Care Activity'!B6</f>
        <v>Planned increase in the proportion of patients discharged from hospital to their usual place of residence</v>
      </c>
      <c r="G290">
        <f>'Primary Care Activity'!I6</f>
        <v>0</v>
      </c>
      <c r="H290">
        <f>'Primary Care Activity'!J6</f>
        <v>0</v>
      </c>
      <c r="I290">
        <f>'Primary Care Activity'!K6</f>
        <v>0</v>
      </c>
      <c r="J290">
        <f>'Primary Care Activity'!L6</f>
        <v>0</v>
      </c>
      <c r="K290">
        <f>'Primary Care Activity'!M6</f>
        <v>0</v>
      </c>
      <c r="L290">
        <f>'Primary Care Activity'!N6</f>
        <v>0</v>
      </c>
      <c r="M290">
        <f>'Primary Care Activity'!O6</f>
        <v>0</v>
      </c>
      <c r="N290">
        <f>'Primary Care Activity'!P6</f>
        <v>0</v>
      </c>
      <c r="O290">
        <f>'Primary Care Activity'!Q6</f>
        <v>0</v>
      </c>
      <c r="P290">
        <f>'Primary Care Activity'!R6</f>
        <v>0</v>
      </c>
      <c r="Q290">
        <f>'Primary Care Activity'!S6</f>
        <v>0</v>
      </c>
      <c r="R290">
        <f>'Primary Care Activity'!T6</f>
        <v>0</v>
      </c>
      <c r="S290">
        <f>'Primary Care Activity'!U6</f>
        <v>0</v>
      </c>
      <c r="AH290">
        <f>'Primary Care Activity'!C6</f>
        <v>0</v>
      </c>
      <c r="AI290">
        <f>'Primary Care Activity'!D6</f>
        <v>0</v>
      </c>
      <c r="AN290">
        <f>'Primary Care Activity'!E6</f>
        <v>0</v>
      </c>
      <c r="AO290">
        <f>'Primary Care Activity'!F6</f>
        <v>0</v>
      </c>
      <c r="AP290">
        <f>'Primary Care Activity'!G6</f>
        <v>0</v>
      </c>
      <c r="AU290">
        <f>'Primary Care Activity'!AI6</f>
        <v>0</v>
      </c>
      <c r="AV290">
        <f>'Primary Care Activity'!W6</f>
        <v>0</v>
      </c>
      <c r="AW290">
        <f>'Primary Care Activity'!X6</f>
        <v>0</v>
      </c>
      <c r="AX290">
        <f>'Primary Care Activity'!Y6</f>
        <v>0</v>
      </c>
      <c r="AY290">
        <f>'Primary Care Activity'!Z6</f>
        <v>0</v>
      </c>
      <c r="AZ290">
        <f>'Primary Care Activity'!AA6</f>
        <v>0</v>
      </c>
      <c r="BA290">
        <f>'Primary Care Activity'!AB6</f>
        <v>0</v>
      </c>
      <c r="BB290">
        <f>'Primary Care Activity'!AC6</f>
        <v>0</v>
      </c>
      <c r="BC290">
        <f>'Primary Care Activity'!AD6</f>
        <v>0</v>
      </c>
      <c r="BD290">
        <f>'Primary Care Activity'!AE6</f>
        <v>0</v>
      </c>
      <c r="BE290">
        <f>'Primary Care Activity'!AF6</f>
        <v>0</v>
      </c>
      <c r="BF290">
        <f>'Primary Care Activity'!AG6</f>
        <v>0</v>
      </c>
      <c r="BG290">
        <f>'Primary Care Activity'!AH6</f>
        <v>0</v>
      </c>
    </row>
    <row r="291" spans="1:59" hidden="1">
      <c r="A291" t="str">
        <f>'[1]Front Sheet and Checklist'!$C$5</f>
        <v>(please select from drop down)</v>
      </c>
      <c r="B291" t="s">
        <v>11</v>
      </c>
      <c r="D291" t="str">
        <f>'Primary Care Activity'!$B$5</f>
        <v>1. Community Services</v>
      </c>
      <c r="F291" t="str">
        <f>'Primary Care Activity'!B7</f>
        <v>Total number of referrals to enhanced Community Care</v>
      </c>
      <c r="G291">
        <f>'Primary Care Activity'!I7</f>
        <v>0</v>
      </c>
      <c r="H291">
        <f>'Primary Care Activity'!J7</f>
        <v>0</v>
      </c>
      <c r="I291">
        <f>'Primary Care Activity'!K7</f>
        <v>0</v>
      </c>
      <c r="J291">
        <f>'Primary Care Activity'!L7</f>
        <v>0</v>
      </c>
      <c r="K291">
        <f>'Primary Care Activity'!M7</f>
        <v>0</v>
      </c>
      <c r="L291">
        <f>'Primary Care Activity'!N7</f>
        <v>0</v>
      </c>
      <c r="M291">
        <f>'Primary Care Activity'!O7</f>
        <v>0</v>
      </c>
      <c r="N291">
        <f>'Primary Care Activity'!P7</f>
        <v>0</v>
      </c>
      <c r="O291">
        <f>'Primary Care Activity'!Q7</f>
        <v>0</v>
      </c>
      <c r="P291">
        <f>'Primary Care Activity'!R7</f>
        <v>0</v>
      </c>
      <c r="Q291">
        <f>'Primary Care Activity'!S7</f>
        <v>0</v>
      </c>
      <c r="R291">
        <f>'Primary Care Activity'!T7</f>
        <v>0</v>
      </c>
      <c r="S291">
        <f>'Primary Care Activity'!U7</f>
        <v>0</v>
      </c>
      <c r="AH291">
        <f>'Primary Care Activity'!C7</f>
        <v>0</v>
      </c>
      <c r="AI291">
        <f>'Primary Care Activity'!D7</f>
        <v>0</v>
      </c>
      <c r="AN291">
        <f>'Primary Care Activity'!E7</f>
        <v>0</v>
      </c>
      <c r="AO291">
        <f>'Primary Care Activity'!F7</f>
        <v>0</v>
      </c>
      <c r="AP291">
        <f>'Primary Care Activity'!G7</f>
        <v>0</v>
      </c>
      <c r="AU291">
        <f>'Primary Care Activity'!AI7</f>
        <v>7539</v>
      </c>
      <c r="AV291">
        <f>'Primary Care Activity'!W7</f>
        <v>706</v>
      </c>
      <c r="AW291">
        <f>'Primary Care Activity'!X7</f>
        <v>631</v>
      </c>
      <c r="AX291">
        <f>'Primary Care Activity'!Y7</f>
        <v>592</v>
      </c>
      <c r="AY291">
        <f>'Primary Care Activity'!Z7</f>
        <v>606</v>
      </c>
      <c r="AZ291">
        <f>'Primary Care Activity'!AA7</f>
        <v>681</v>
      </c>
      <c r="BA291">
        <f>'Primary Care Activity'!AB7</f>
        <v>647</v>
      </c>
      <c r="BB291">
        <f>'Primary Care Activity'!AC7</f>
        <v>623</v>
      </c>
      <c r="BC291">
        <f>'Primary Care Activity'!AD7</f>
        <v>695</v>
      </c>
      <c r="BD291">
        <f>'Primary Care Activity'!AE7</f>
        <v>624</v>
      </c>
      <c r="BE291">
        <f>'Primary Care Activity'!AF7</f>
        <v>654</v>
      </c>
      <c r="BF291">
        <f>'Primary Care Activity'!AG7</f>
        <v>524</v>
      </c>
      <c r="BG291">
        <f>'Primary Care Activity'!AH7</f>
        <v>556</v>
      </c>
    </row>
    <row r="292" spans="1:59" hidden="1">
      <c r="A292" t="str">
        <f>'[1]Front Sheet and Checklist'!$C$5</f>
        <v>(please select from drop down)</v>
      </c>
      <c r="B292" t="s">
        <v>11</v>
      </c>
      <c r="D292" t="str">
        <f>'Primary Care Activity'!$B$5</f>
        <v>1. Community Services</v>
      </c>
      <c r="F292" t="str">
        <f>'Primary Care Activity'!B8</f>
        <v>AVLOS for these referred enhanced Community Care</v>
      </c>
      <c r="G292">
        <f>'Primary Care Activity'!I8</f>
        <v>0</v>
      </c>
      <c r="H292">
        <f>'Primary Care Activity'!J8</f>
        <v>0</v>
      </c>
      <c r="I292">
        <f>'Primary Care Activity'!K8</f>
        <v>0</v>
      </c>
      <c r="J292">
        <f>'Primary Care Activity'!L8</f>
        <v>0</v>
      </c>
      <c r="K292">
        <f>'Primary Care Activity'!M8</f>
        <v>0</v>
      </c>
      <c r="L292">
        <f>'Primary Care Activity'!N8</f>
        <v>0</v>
      </c>
      <c r="M292">
        <f>'Primary Care Activity'!O8</f>
        <v>0</v>
      </c>
      <c r="N292">
        <f>'Primary Care Activity'!P8</f>
        <v>0</v>
      </c>
      <c r="O292">
        <f>'Primary Care Activity'!Q8</f>
        <v>0</v>
      </c>
      <c r="P292">
        <f>'Primary Care Activity'!R8</f>
        <v>0</v>
      </c>
      <c r="Q292">
        <f>'Primary Care Activity'!S8</f>
        <v>0</v>
      </c>
      <c r="R292">
        <f>'Primary Care Activity'!T8</f>
        <v>0</v>
      </c>
      <c r="S292">
        <f>'Primary Care Activity'!U8</f>
        <v>0</v>
      </c>
      <c r="AH292">
        <f>'Primary Care Activity'!C8</f>
        <v>0</v>
      </c>
      <c r="AI292">
        <f>'Primary Care Activity'!D8</f>
        <v>0</v>
      </c>
      <c r="AN292">
        <f>'Primary Care Activity'!E8</f>
        <v>0</v>
      </c>
      <c r="AO292">
        <f>'Primary Care Activity'!F8</f>
        <v>0</v>
      </c>
      <c r="AP292">
        <f>'Primary Care Activity'!G8</f>
        <v>0</v>
      </c>
      <c r="AU292">
        <f>'Primary Care Activity'!AI8</f>
        <v>626</v>
      </c>
      <c r="AV292">
        <f>'Primary Care Activity'!W8</f>
        <v>58</v>
      </c>
      <c r="AW292">
        <f>'Primary Care Activity'!X8</f>
        <v>71</v>
      </c>
      <c r="AX292">
        <f>'Primary Care Activity'!Y8</f>
        <v>85</v>
      </c>
      <c r="AY292">
        <f>'Primary Care Activity'!Z8</f>
        <v>68</v>
      </c>
      <c r="AZ292">
        <f>'Primary Care Activity'!AA8</f>
        <v>39</v>
      </c>
      <c r="BA292">
        <f>'Primary Care Activity'!AB8</f>
        <v>138</v>
      </c>
      <c r="BB292">
        <f>'Primary Care Activity'!AC8</f>
        <v>38</v>
      </c>
      <c r="BC292">
        <f>'Primary Care Activity'!AD8</f>
        <v>47</v>
      </c>
      <c r="BD292">
        <f>'Primary Care Activity'!AE8</f>
        <v>42</v>
      </c>
      <c r="BE292">
        <f>'Primary Care Activity'!AF8</f>
        <v>13</v>
      </c>
      <c r="BF292">
        <f>'Primary Care Activity'!AG8</f>
        <v>13</v>
      </c>
      <c r="BG292">
        <f>'Primary Care Activity'!AH8</f>
        <v>14</v>
      </c>
    </row>
    <row r="293" spans="1:59" hidden="1">
      <c r="A293" t="str">
        <f>'[1]Front Sheet and Checklist'!$C$5</f>
        <v>(please select from drop down)</v>
      </c>
      <c r="B293" t="s">
        <v>11</v>
      </c>
      <c r="D293" t="str">
        <f>'Primary Care Activity'!$B$5</f>
        <v>1. Community Services</v>
      </c>
      <c r="F293" t="str">
        <f>'Primary Care Activity'!B9</f>
        <v>District Nursing Total Number of referrals accepted - WEEKDAY</v>
      </c>
      <c r="G293">
        <f>'Primary Care Activity'!I9</f>
        <v>4050</v>
      </c>
      <c r="H293">
        <f>'Primary Care Activity'!J9</f>
        <v>4288</v>
      </c>
      <c r="I293">
        <f>'Primary Care Activity'!K9</f>
        <v>4069</v>
      </c>
      <c r="J293">
        <f>'Primary Care Activity'!L9</f>
        <v>4307</v>
      </c>
      <c r="K293">
        <f>'Primary Care Activity'!M9</f>
        <v>4088</v>
      </c>
      <c r="L293">
        <f>'Primary Care Activity'!N9</f>
        <v>4326</v>
      </c>
      <c r="M293">
        <f>'Primary Care Activity'!O9</f>
        <v>4107</v>
      </c>
      <c r="N293">
        <f>'Primary Care Activity'!P9</f>
        <v>4345</v>
      </c>
      <c r="O293">
        <f>'Primary Care Activity'!Q9</f>
        <v>4126</v>
      </c>
      <c r="P293">
        <f>'Primary Care Activity'!R9</f>
        <v>4364</v>
      </c>
      <c r="Q293">
        <f>'Primary Care Activity'!S9</f>
        <v>4145</v>
      </c>
      <c r="R293">
        <f>'Primary Care Activity'!T9</f>
        <v>4383</v>
      </c>
      <c r="S293">
        <f>'Primary Care Activity'!U9</f>
        <v>50598</v>
      </c>
      <c r="AH293">
        <f>'Primary Care Activity'!C9</f>
        <v>0</v>
      </c>
      <c r="AI293">
        <f>'Primary Care Activity'!D9</f>
        <v>0</v>
      </c>
      <c r="AN293">
        <f>'Primary Care Activity'!E9</f>
        <v>50598</v>
      </c>
      <c r="AO293">
        <f>'Primary Care Activity'!F9</f>
        <v>0</v>
      </c>
      <c r="AP293">
        <f>'Primary Care Activity'!G9</f>
        <v>0</v>
      </c>
      <c r="AU293">
        <f>'Primary Care Activity'!AI9</f>
        <v>48948</v>
      </c>
      <c r="AV293">
        <f>'Primary Care Activity'!W9</f>
        <v>4357</v>
      </c>
      <c r="AW293">
        <f>'Primary Care Activity'!X9</f>
        <v>4406</v>
      </c>
      <c r="AX293">
        <f>'Primary Care Activity'!Y9</f>
        <v>4087</v>
      </c>
      <c r="AY293">
        <f>'Primary Care Activity'!Z9</f>
        <v>4657</v>
      </c>
      <c r="AZ293">
        <f>'Primary Care Activity'!AA9</f>
        <v>3954</v>
      </c>
      <c r="BA293">
        <f>'Primary Care Activity'!AB9</f>
        <v>3912</v>
      </c>
      <c r="BB293">
        <f>'Primary Care Activity'!AC9</f>
        <v>4220</v>
      </c>
      <c r="BC293">
        <f>'Primary Care Activity'!AD9</f>
        <v>3793</v>
      </c>
      <c r="BD293">
        <f>'Primary Care Activity'!AE9</f>
        <v>3614</v>
      </c>
      <c r="BE293">
        <f>'Primary Care Activity'!AF9</f>
        <v>4196</v>
      </c>
      <c r="BF293">
        <f>'Primary Care Activity'!AG9</f>
        <v>3824</v>
      </c>
      <c r="BG293">
        <f>'Primary Care Activity'!AH9</f>
        <v>3928</v>
      </c>
    </row>
    <row r="294" spans="1:59" hidden="1">
      <c r="A294" t="str">
        <f>'[1]Front Sheet and Checklist'!$C$5</f>
        <v>(please select from drop down)</v>
      </c>
      <c r="B294" t="s">
        <v>11</v>
      </c>
      <c r="D294" t="str">
        <f>'Primary Care Activity'!$B$5</f>
        <v>1. Community Services</v>
      </c>
      <c r="F294" t="str">
        <f>'Primary Care Activity'!B10</f>
        <v>District Nursing Total Number of referrals accepted - WEEKEND</v>
      </c>
      <c r="G294">
        <f>'Primary Care Activity'!I10</f>
        <v>295</v>
      </c>
      <c r="H294">
        <f>'Primary Care Activity'!J10</f>
        <v>294</v>
      </c>
      <c r="I294">
        <f>'Primary Care Activity'!K10</f>
        <v>292</v>
      </c>
      <c r="J294">
        <f>'Primary Care Activity'!L10</f>
        <v>291</v>
      </c>
      <c r="K294">
        <f>'Primary Care Activity'!M10</f>
        <v>290</v>
      </c>
      <c r="L294">
        <f>'Primary Care Activity'!N10</f>
        <v>288</v>
      </c>
      <c r="M294">
        <f>'Primary Care Activity'!O10</f>
        <v>287</v>
      </c>
      <c r="N294">
        <f>'Primary Care Activity'!P10</f>
        <v>286</v>
      </c>
      <c r="O294">
        <f>'Primary Care Activity'!Q10</f>
        <v>285</v>
      </c>
      <c r="P294">
        <f>'Primary Care Activity'!R10</f>
        <v>283</v>
      </c>
      <c r="Q294">
        <f>'Primary Care Activity'!S10</f>
        <v>282</v>
      </c>
      <c r="R294">
        <f>'Primary Care Activity'!T10</f>
        <v>281</v>
      </c>
      <c r="S294">
        <f>'Primary Care Activity'!U10</f>
        <v>3454</v>
      </c>
      <c r="AH294">
        <f>'Primary Care Activity'!C10</f>
        <v>0</v>
      </c>
      <c r="AI294">
        <f>'Primary Care Activity'!D10</f>
        <v>0</v>
      </c>
      <c r="AN294">
        <f>'Primary Care Activity'!E10</f>
        <v>3454</v>
      </c>
      <c r="AO294">
        <f>'Primary Care Activity'!F10</f>
        <v>0</v>
      </c>
      <c r="AP294">
        <f>'Primary Care Activity'!G10</f>
        <v>0</v>
      </c>
      <c r="AU294">
        <f>'Primary Care Activity'!AI10</f>
        <v>3452</v>
      </c>
      <c r="AV294">
        <f>'Primary Care Activity'!W10</f>
        <v>257</v>
      </c>
      <c r="AW294">
        <f>'Primary Care Activity'!X10</f>
        <v>249</v>
      </c>
      <c r="AX294">
        <f>'Primary Care Activity'!Y10</f>
        <v>398</v>
      </c>
      <c r="AY294">
        <f>'Primary Care Activity'!Z10</f>
        <v>233</v>
      </c>
      <c r="AZ294">
        <f>'Primary Care Activity'!AA10</f>
        <v>246</v>
      </c>
      <c r="BA294">
        <f>'Primary Care Activity'!AB10</f>
        <v>291</v>
      </c>
      <c r="BB294">
        <f>'Primary Care Activity'!AC10</f>
        <v>248</v>
      </c>
      <c r="BC294">
        <f>'Primary Care Activity'!AD10</f>
        <v>301</v>
      </c>
      <c r="BD294">
        <f>'Primary Care Activity'!AE10</f>
        <v>292</v>
      </c>
      <c r="BE294">
        <f>'Primary Care Activity'!AF10</f>
        <v>292</v>
      </c>
      <c r="BF294">
        <f>'Primary Care Activity'!AG10</f>
        <v>286</v>
      </c>
      <c r="BG294">
        <f>'Primary Care Activity'!AH10</f>
        <v>359</v>
      </c>
    </row>
    <row r="295" spans="1:59" hidden="1">
      <c r="A295" t="str">
        <f>'[1]Front Sheet and Checklist'!$C$5</f>
        <v>(please select from drop down)</v>
      </c>
      <c r="B295" t="s">
        <v>11</v>
      </c>
      <c r="D295" t="str">
        <f>'Primary Care Activity'!$B$5</f>
        <v>1. Community Services</v>
      </c>
      <c r="F295" t="str">
        <f>'Primary Care Activity'!B11</f>
        <v>District Nursing Total number of service users on the caseload</v>
      </c>
      <c r="G295">
        <f>'Primary Care Activity'!I11</f>
        <v>5903</v>
      </c>
      <c r="H295">
        <f>'Primary Care Activity'!J11</f>
        <v>5903</v>
      </c>
      <c r="I295">
        <f>'Primary Care Activity'!K11</f>
        <v>5903</v>
      </c>
      <c r="J295">
        <f>'Primary Care Activity'!L11</f>
        <v>5903</v>
      </c>
      <c r="K295">
        <f>'Primary Care Activity'!M11</f>
        <v>5903</v>
      </c>
      <c r="L295">
        <f>'Primary Care Activity'!N11</f>
        <v>5903</v>
      </c>
      <c r="M295">
        <f>'Primary Care Activity'!O11</f>
        <v>5903</v>
      </c>
      <c r="N295">
        <f>'Primary Care Activity'!P11</f>
        <v>5903</v>
      </c>
      <c r="O295">
        <f>'Primary Care Activity'!Q11</f>
        <v>5903</v>
      </c>
      <c r="P295">
        <f>'Primary Care Activity'!R11</f>
        <v>5903</v>
      </c>
      <c r="Q295">
        <f>'Primary Care Activity'!S11</f>
        <v>5903</v>
      </c>
      <c r="R295">
        <f>'Primary Care Activity'!T11</f>
        <v>5903</v>
      </c>
      <c r="S295">
        <f>'Primary Care Activity'!U11</f>
        <v>70836</v>
      </c>
      <c r="AH295">
        <f>'Primary Care Activity'!C11</f>
        <v>0</v>
      </c>
      <c r="AI295">
        <f>'Primary Care Activity'!D11</f>
        <v>70836</v>
      </c>
      <c r="AN295">
        <f>'Primary Care Activity'!E11</f>
        <v>70836</v>
      </c>
      <c r="AO295">
        <f>'Primary Care Activity'!F11</f>
        <v>0</v>
      </c>
      <c r="AP295">
        <f>'Primary Care Activity'!G11</f>
        <v>0</v>
      </c>
      <c r="AU295">
        <f>'Primary Care Activity'!AI11</f>
        <v>67726</v>
      </c>
      <c r="AV295">
        <f>'Primary Care Activity'!W11</f>
        <v>5900</v>
      </c>
      <c r="AW295">
        <f>'Primary Care Activity'!X11</f>
        <v>5695</v>
      </c>
      <c r="AX295">
        <f>'Primary Care Activity'!Y11</f>
        <v>5829</v>
      </c>
      <c r="AY295">
        <f>'Primary Care Activity'!Z11</f>
        <v>6144</v>
      </c>
      <c r="AZ295">
        <f>'Primary Care Activity'!AA11</f>
        <v>6272</v>
      </c>
      <c r="BA295">
        <f>'Primary Care Activity'!AB11</f>
        <v>6388</v>
      </c>
      <c r="BB295">
        <f>'Primary Care Activity'!AC11</f>
        <v>6143</v>
      </c>
      <c r="BC295">
        <f>'Primary Care Activity'!AD11</f>
        <v>5274</v>
      </c>
      <c r="BD295">
        <f>'Primary Care Activity'!AE11</f>
        <v>4991</v>
      </c>
      <c r="BE295">
        <f>'Primary Care Activity'!AF11</f>
        <v>5081</v>
      </c>
      <c r="BF295">
        <f>'Primary Care Activity'!AG11</f>
        <v>5022</v>
      </c>
      <c r="BG295">
        <f>'Primary Care Activity'!AH11</f>
        <v>4987</v>
      </c>
    </row>
    <row r="296" spans="1:59" hidden="1">
      <c r="A296" t="str">
        <f>'[1]Front Sheet and Checklist'!$C$5</f>
        <v>(please select from drop down)</v>
      </c>
      <c r="B296" t="s">
        <v>11</v>
      </c>
      <c r="D296" t="str">
        <f>'Primary Care Activity'!$B$5</f>
        <v>1. Community Services</v>
      </c>
      <c r="F296" t="str">
        <f>'Primary Care Activity'!B12</f>
        <v>District Nursing Total number of Direct patient visits undertaken by District Nursing Services - WEEKDAY</v>
      </c>
      <c r="G296">
        <f>'Primary Care Activity'!I12</f>
        <v>17905</v>
      </c>
      <c r="H296">
        <f>'Primary Care Activity'!J12</f>
        <v>17905</v>
      </c>
      <c r="I296">
        <f>'Primary Care Activity'!K12</f>
        <v>17905</v>
      </c>
      <c r="J296">
        <f>'Primary Care Activity'!L12</f>
        <v>17905</v>
      </c>
      <c r="K296">
        <f>'Primary Care Activity'!M12</f>
        <v>17905</v>
      </c>
      <c r="L296">
        <f>'Primary Care Activity'!N12</f>
        <v>17905</v>
      </c>
      <c r="M296">
        <f>'Primary Care Activity'!O12</f>
        <v>17905</v>
      </c>
      <c r="N296">
        <f>'Primary Care Activity'!P12</f>
        <v>17905</v>
      </c>
      <c r="O296">
        <f>'Primary Care Activity'!Q12</f>
        <v>17905</v>
      </c>
      <c r="P296">
        <f>'Primary Care Activity'!R12</f>
        <v>17905</v>
      </c>
      <c r="Q296">
        <f>'Primary Care Activity'!S12</f>
        <v>17905</v>
      </c>
      <c r="R296">
        <f>'Primary Care Activity'!T12</f>
        <v>17905</v>
      </c>
      <c r="S296">
        <f>'Primary Care Activity'!U12</f>
        <v>214860</v>
      </c>
      <c r="AH296">
        <f>'Primary Care Activity'!C12</f>
        <v>199658</v>
      </c>
      <c r="AI296">
        <f>'Primary Care Activity'!D12</f>
        <v>214859</v>
      </c>
      <c r="AN296">
        <f>'Primary Care Activity'!E12</f>
        <v>214860</v>
      </c>
      <c r="AO296">
        <f>'Primary Care Activity'!F12</f>
        <v>0</v>
      </c>
      <c r="AP296">
        <f>'Primary Care Activity'!G12</f>
        <v>0</v>
      </c>
      <c r="AU296">
        <f>'Primary Care Activity'!AI12</f>
        <v>215916</v>
      </c>
      <c r="AV296">
        <f>'Primary Care Activity'!W12</f>
        <v>18516</v>
      </c>
      <c r="AW296">
        <f>'Primary Care Activity'!X12</f>
        <v>19332</v>
      </c>
      <c r="AX296">
        <f>'Primary Care Activity'!Y12</f>
        <v>16910</v>
      </c>
      <c r="AY296">
        <f>'Primary Care Activity'!Z12</f>
        <v>19127</v>
      </c>
      <c r="AZ296">
        <f>'Primary Care Activity'!AA12</f>
        <v>17512</v>
      </c>
      <c r="BA296">
        <f>'Primary Care Activity'!AB12</f>
        <v>17085</v>
      </c>
      <c r="BB296">
        <f>'Primary Care Activity'!AC12</f>
        <v>18312</v>
      </c>
      <c r="BC296">
        <f>'Primary Care Activity'!AD12</f>
        <v>17005</v>
      </c>
      <c r="BD296">
        <f>'Primary Care Activity'!AE12</f>
        <v>18556</v>
      </c>
      <c r="BE296">
        <f>'Primary Care Activity'!AF12</f>
        <v>19383</v>
      </c>
      <c r="BF296">
        <f>'Primary Care Activity'!AG12</f>
        <v>16916</v>
      </c>
      <c r="BG296">
        <f>'Primary Care Activity'!AH12</f>
        <v>17262</v>
      </c>
    </row>
    <row r="297" spans="1:59" hidden="1">
      <c r="A297" t="str">
        <f>'[1]Front Sheet and Checklist'!$C$5</f>
        <v>(please select from drop down)</v>
      </c>
      <c r="B297" t="s">
        <v>11</v>
      </c>
      <c r="D297" t="str">
        <f>'Primary Care Activity'!$B$5</f>
        <v>1. Community Services</v>
      </c>
      <c r="F297" t="str">
        <f>'Primary Care Activity'!B13</f>
        <v>District Nursing Total number of Direct patient visits undertaken by District Nursing Services - WEEKEND</v>
      </c>
      <c r="G297">
        <f>'Primary Care Activity'!I13</f>
        <v>3518</v>
      </c>
      <c r="H297">
        <f>'Primary Care Activity'!J13</f>
        <v>3518</v>
      </c>
      <c r="I297">
        <f>'Primary Care Activity'!K13</f>
        <v>3518</v>
      </c>
      <c r="J297">
        <f>'Primary Care Activity'!L13</f>
        <v>3518</v>
      </c>
      <c r="K297">
        <f>'Primary Care Activity'!M13</f>
        <v>3518</v>
      </c>
      <c r="L297">
        <f>'Primary Care Activity'!N13</f>
        <v>3518</v>
      </c>
      <c r="M297">
        <f>'Primary Care Activity'!O13</f>
        <v>3518</v>
      </c>
      <c r="N297">
        <f>'Primary Care Activity'!P13</f>
        <v>3518</v>
      </c>
      <c r="O297">
        <f>'Primary Care Activity'!Q13</f>
        <v>3518</v>
      </c>
      <c r="P297">
        <f>'Primary Care Activity'!R13</f>
        <v>3518</v>
      </c>
      <c r="Q297">
        <f>'Primary Care Activity'!S13</f>
        <v>3518</v>
      </c>
      <c r="R297">
        <f>'Primary Care Activity'!T13</f>
        <v>3518</v>
      </c>
      <c r="S297">
        <f>'Primary Care Activity'!U13</f>
        <v>42216</v>
      </c>
      <c r="AH297">
        <f>'Primary Care Activity'!C13</f>
        <v>36854</v>
      </c>
      <c r="AI297">
        <f>'Primary Care Activity'!D13</f>
        <v>42220</v>
      </c>
      <c r="AN297">
        <f>'Primary Care Activity'!E13</f>
        <v>42216</v>
      </c>
      <c r="AO297">
        <f>'Primary Care Activity'!F13</f>
        <v>0</v>
      </c>
      <c r="AP297">
        <f>'Primary Care Activity'!G13</f>
        <v>0</v>
      </c>
      <c r="AU297">
        <f>'Primary Care Activity'!AI13</f>
        <v>43123</v>
      </c>
      <c r="AV297">
        <f>'Primary Care Activity'!W13</f>
        <v>3257</v>
      </c>
      <c r="AW297">
        <f>'Primary Care Activity'!X13</f>
        <v>3150</v>
      </c>
      <c r="AX297">
        <f>'Primary Care Activity'!Y13</f>
        <v>4120</v>
      </c>
      <c r="AY297">
        <f>'Primary Care Activity'!Z13</f>
        <v>3151</v>
      </c>
      <c r="AZ297">
        <f>'Primary Care Activity'!AA13</f>
        <v>3499</v>
      </c>
      <c r="BA297">
        <f>'Primary Care Activity'!AB13</f>
        <v>3545</v>
      </c>
      <c r="BB297">
        <f>'Primary Care Activity'!AC13</f>
        <v>3268</v>
      </c>
      <c r="BC297">
        <f>'Primary Care Activity'!AD13</f>
        <v>3686</v>
      </c>
      <c r="BD297">
        <f>'Primary Care Activity'!AE13</f>
        <v>4451</v>
      </c>
      <c r="BE297">
        <f>'Primary Care Activity'!AF13</f>
        <v>3474</v>
      </c>
      <c r="BF297">
        <f>'Primary Care Activity'!AG13</f>
        <v>3363</v>
      </c>
      <c r="BG297">
        <f>'Primary Care Activity'!AH13</f>
        <v>4159</v>
      </c>
    </row>
    <row r="298" spans="1:59" hidden="1">
      <c r="A298" t="str">
        <f>'[1]Front Sheet and Checklist'!$C$5</f>
        <v>(please select from drop down)</v>
      </c>
      <c r="B298" t="s">
        <v>11</v>
      </c>
      <c r="D298" t="str">
        <f>'Primary Care Activity'!$B$5</f>
        <v>1. Community Services</v>
      </c>
      <c r="F298" t="str">
        <f>'Primary Care Activity'!B14</f>
        <v>District Nursing Number of visits undertaken by District Nursing Services with Welsh Level of Care acuity Score {1,2,3,4,5} - WEEKDAY</v>
      </c>
      <c r="G298">
        <f>'Primary Care Activity'!I14</f>
        <v>17744</v>
      </c>
      <c r="H298">
        <f>'Primary Care Activity'!J14</f>
        <v>17744</v>
      </c>
      <c r="I298">
        <f>'Primary Care Activity'!K14</f>
        <v>17744</v>
      </c>
      <c r="J298">
        <f>'Primary Care Activity'!L14</f>
        <v>17744</v>
      </c>
      <c r="K298">
        <f>'Primary Care Activity'!M14</f>
        <v>17744</v>
      </c>
      <c r="L298">
        <f>'Primary Care Activity'!N14</f>
        <v>17744</v>
      </c>
      <c r="M298">
        <f>'Primary Care Activity'!O14</f>
        <v>17744</v>
      </c>
      <c r="N298">
        <f>'Primary Care Activity'!P14</f>
        <v>17744</v>
      </c>
      <c r="O298">
        <f>'Primary Care Activity'!Q14</f>
        <v>17744</v>
      </c>
      <c r="P298">
        <f>'Primary Care Activity'!R14</f>
        <v>17744</v>
      </c>
      <c r="Q298">
        <f>'Primary Care Activity'!S14</f>
        <v>17744</v>
      </c>
      <c r="R298">
        <f>'Primary Care Activity'!T14</f>
        <v>17744</v>
      </c>
      <c r="S298">
        <f>'Primary Care Activity'!U14</f>
        <v>212928</v>
      </c>
      <c r="AH298">
        <f>'Primary Care Activity'!C14</f>
        <v>86139</v>
      </c>
      <c r="AI298">
        <f>'Primary Care Activity'!D14</f>
        <v>212933</v>
      </c>
      <c r="AN298">
        <f>'Primary Care Activity'!E14</f>
        <v>212928</v>
      </c>
      <c r="AO298">
        <f>'Primary Care Activity'!F14</f>
        <v>0</v>
      </c>
      <c r="AP298">
        <f>'Primary Care Activity'!G14</f>
        <v>0</v>
      </c>
      <c r="AU298">
        <f>'Primary Care Activity'!AI14</f>
        <v>216178</v>
      </c>
      <c r="AV298">
        <f>'Primary Care Activity'!W14</f>
        <v>18860</v>
      </c>
      <c r="AW298">
        <f>'Primary Care Activity'!X14</f>
        <v>19491</v>
      </c>
      <c r="AX298">
        <f>'Primary Care Activity'!Y14</f>
        <v>17240</v>
      </c>
      <c r="AY298">
        <f>'Primary Care Activity'!Z14</f>
        <v>19292</v>
      </c>
      <c r="AZ298">
        <f>'Primary Care Activity'!AA14</f>
        <v>17582</v>
      </c>
      <c r="BA298">
        <f>'Primary Care Activity'!AB14</f>
        <v>16900</v>
      </c>
      <c r="BB298">
        <f>'Primary Care Activity'!AC14</f>
        <v>18218</v>
      </c>
      <c r="BC298">
        <f>'Primary Care Activity'!AD14</f>
        <v>17092</v>
      </c>
      <c r="BD298">
        <f>'Primary Care Activity'!AE14</f>
        <v>17366</v>
      </c>
      <c r="BE298">
        <f>'Primary Care Activity'!AF14</f>
        <v>19499</v>
      </c>
      <c r="BF298">
        <f>'Primary Care Activity'!AG14</f>
        <v>17073</v>
      </c>
      <c r="BG298">
        <f>'Primary Care Activity'!AH14</f>
        <v>17565</v>
      </c>
    </row>
    <row r="299" spans="1:59" hidden="1">
      <c r="A299" t="str">
        <f>'[1]Front Sheet and Checklist'!$C$5</f>
        <v>(please select from drop down)</v>
      </c>
      <c r="B299" t="s">
        <v>11</v>
      </c>
      <c r="D299" t="str">
        <f>'Primary Care Activity'!$B$5</f>
        <v>1. Community Services</v>
      </c>
      <c r="F299" t="str">
        <f>'Primary Care Activity'!B15</f>
        <v>District Nursing Number of visits undertaken by District Nursing Services with Welsh Level of Care acuity Score {1,2,3,4,5} - WEEKEND</v>
      </c>
      <c r="G299">
        <f>'Primary Care Activity'!I15</f>
        <v>3597</v>
      </c>
      <c r="H299">
        <f>'Primary Care Activity'!J15</f>
        <v>3597</v>
      </c>
      <c r="I299">
        <f>'Primary Care Activity'!K15</f>
        <v>3597</v>
      </c>
      <c r="J299">
        <f>'Primary Care Activity'!L15</f>
        <v>3597</v>
      </c>
      <c r="K299">
        <f>'Primary Care Activity'!M15</f>
        <v>3597</v>
      </c>
      <c r="L299">
        <f>'Primary Care Activity'!N15</f>
        <v>3597</v>
      </c>
      <c r="M299">
        <f>'Primary Care Activity'!O15</f>
        <v>3597</v>
      </c>
      <c r="N299">
        <f>'Primary Care Activity'!P15</f>
        <v>3597</v>
      </c>
      <c r="O299">
        <f>'Primary Care Activity'!Q15</f>
        <v>3597</v>
      </c>
      <c r="P299">
        <f>'Primary Care Activity'!R15</f>
        <v>3597</v>
      </c>
      <c r="Q299">
        <f>'Primary Care Activity'!S15</f>
        <v>3597</v>
      </c>
      <c r="R299">
        <f>'Primary Care Activity'!T15</f>
        <v>3597</v>
      </c>
      <c r="S299">
        <f>'Primary Care Activity'!U15</f>
        <v>43164</v>
      </c>
      <c r="AH299">
        <f>'Primary Care Activity'!C15</f>
        <v>15532</v>
      </c>
      <c r="AI299">
        <f>'Primary Care Activity'!D15</f>
        <v>43167</v>
      </c>
      <c r="AN299">
        <f>'Primary Care Activity'!E15</f>
        <v>43164</v>
      </c>
      <c r="AO299">
        <f>'Primary Care Activity'!F15</f>
        <v>0</v>
      </c>
      <c r="AP299">
        <f>'Primary Care Activity'!G15</f>
        <v>0</v>
      </c>
      <c r="AU299">
        <f>'Primary Care Activity'!AI15</f>
        <v>45495</v>
      </c>
      <c r="AV299">
        <f>'Primary Care Activity'!W15</f>
        <v>3386</v>
      </c>
      <c r="AW299">
        <f>'Primary Care Activity'!X15</f>
        <v>3312</v>
      </c>
      <c r="AX299">
        <f>'Primary Care Activity'!Y15</f>
        <v>4452</v>
      </c>
      <c r="AY299">
        <f>'Primary Care Activity'!Z15</f>
        <v>3406</v>
      </c>
      <c r="AZ299">
        <f>'Primary Care Activity'!AA15</f>
        <v>3711</v>
      </c>
      <c r="BA299">
        <f>'Primary Care Activity'!AB15</f>
        <v>3712</v>
      </c>
      <c r="BB299">
        <f>'Primary Care Activity'!AC15</f>
        <v>3488</v>
      </c>
      <c r="BC299">
        <f>'Primary Care Activity'!AD15</f>
        <v>3922</v>
      </c>
      <c r="BD299">
        <f>'Primary Care Activity'!AE15</f>
        <v>4222</v>
      </c>
      <c r="BE299">
        <f>'Primary Care Activity'!AF15</f>
        <v>3781</v>
      </c>
      <c r="BF299">
        <f>'Primary Care Activity'!AG15</f>
        <v>3603</v>
      </c>
      <c r="BG299">
        <f>'Primary Care Activity'!AH15</f>
        <v>4500</v>
      </c>
    </row>
    <row r="300" spans="1:59" hidden="1">
      <c r="A300" t="str">
        <f>'[1]Front Sheet and Checklist'!$C$5</f>
        <v>(please select from drop down)</v>
      </c>
      <c r="B300" t="s">
        <v>11</v>
      </c>
      <c r="D300" t="str">
        <f>'Primary Care Activity'!$B$5</f>
        <v>1. Community Services</v>
      </c>
      <c r="F300" t="str">
        <f>'Primary Care Activity'!B16</f>
        <v>District Nursing Total funded Registered Nurses (WTE)</v>
      </c>
      <c r="G300">
        <f>'Primary Care Activity'!I16</f>
        <v>185</v>
      </c>
      <c r="H300">
        <f>'Primary Care Activity'!J16</f>
        <v>185</v>
      </c>
      <c r="I300">
        <f>'Primary Care Activity'!K16</f>
        <v>185</v>
      </c>
      <c r="J300">
        <f>'Primary Care Activity'!L16</f>
        <v>185</v>
      </c>
      <c r="K300">
        <f>'Primary Care Activity'!M16</f>
        <v>185</v>
      </c>
      <c r="L300">
        <f>'Primary Care Activity'!N16</f>
        <v>185</v>
      </c>
      <c r="M300">
        <f>'Primary Care Activity'!O16</f>
        <v>185</v>
      </c>
      <c r="N300">
        <f>'Primary Care Activity'!P16</f>
        <v>185</v>
      </c>
      <c r="O300">
        <f>'Primary Care Activity'!Q16</f>
        <v>185</v>
      </c>
      <c r="P300">
        <f>'Primary Care Activity'!R16</f>
        <v>185</v>
      </c>
      <c r="Q300">
        <f>'Primary Care Activity'!S16</f>
        <v>185</v>
      </c>
      <c r="R300">
        <f>'Primary Care Activity'!T16</f>
        <v>185</v>
      </c>
      <c r="S300">
        <f>'Primary Care Activity'!U16</f>
        <v>2220</v>
      </c>
      <c r="AH300">
        <f>'Primary Care Activity'!C16</f>
        <v>0</v>
      </c>
      <c r="AI300">
        <f>'Primary Care Activity'!D16</f>
        <v>185</v>
      </c>
      <c r="AN300">
        <f>'Primary Care Activity'!E16</f>
        <v>185</v>
      </c>
      <c r="AO300">
        <f>'Primary Care Activity'!F16</f>
        <v>0</v>
      </c>
      <c r="AP300">
        <f>'Primary Care Activity'!G16</f>
        <v>0</v>
      </c>
      <c r="AU300">
        <f>'Primary Care Activity'!AI16</f>
        <v>2235.27</v>
      </c>
      <c r="AV300">
        <f>'Primary Care Activity'!W16</f>
        <v>175.81</v>
      </c>
      <c r="AW300">
        <f>'Primary Care Activity'!X16</f>
        <v>178</v>
      </c>
      <c r="AX300">
        <f>'Primary Care Activity'!Y16</f>
        <v>177.92</v>
      </c>
      <c r="AY300">
        <f>'Primary Care Activity'!Z16</f>
        <v>189</v>
      </c>
      <c r="AZ300">
        <f>'Primary Care Activity'!AA16</f>
        <v>189.54</v>
      </c>
      <c r="BA300">
        <f>'Primary Care Activity'!AB16</f>
        <v>190</v>
      </c>
      <c r="BB300">
        <f>'Primary Care Activity'!AC16</f>
        <v>190</v>
      </c>
      <c r="BC300">
        <f>'Primary Care Activity'!AD16</f>
        <v>189</v>
      </c>
      <c r="BD300">
        <f>'Primary Care Activity'!AE16</f>
        <v>189</v>
      </c>
      <c r="BE300">
        <f>'Primary Care Activity'!AF16</f>
        <v>189</v>
      </c>
      <c r="BF300">
        <f>'Primary Care Activity'!AG16</f>
        <v>189</v>
      </c>
      <c r="BG300">
        <f>'Primary Care Activity'!AH16</f>
        <v>189</v>
      </c>
    </row>
    <row r="301" spans="1:59" hidden="1">
      <c r="A301" t="str">
        <f>'[1]Front Sheet and Checklist'!$C$5</f>
        <v>(please select from drop down)</v>
      </c>
      <c r="B301" t="s">
        <v>11</v>
      </c>
      <c r="D301" t="str">
        <f>'Primary Care Activity'!$B$5</f>
        <v>1. Community Services</v>
      </c>
      <c r="F301" t="str">
        <f>'Primary Care Activity'!B17</f>
        <v>District Nursing Total funded Healthcare Support Workers (WTE)</v>
      </c>
      <c r="G301">
        <f>'Primary Care Activity'!I17</f>
        <v>112</v>
      </c>
      <c r="H301">
        <f>'Primary Care Activity'!J17</f>
        <v>112</v>
      </c>
      <c r="I301">
        <f>'Primary Care Activity'!K17</f>
        <v>112</v>
      </c>
      <c r="J301">
        <f>'Primary Care Activity'!L17</f>
        <v>112</v>
      </c>
      <c r="K301">
        <f>'Primary Care Activity'!M17</f>
        <v>112</v>
      </c>
      <c r="L301">
        <f>'Primary Care Activity'!N17</f>
        <v>112</v>
      </c>
      <c r="M301">
        <f>'Primary Care Activity'!O17</f>
        <v>112</v>
      </c>
      <c r="N301">
        <f>'Primary Care Activity'!P17</f>
        <v>112</v>
      </c>
      <c r="O301">
        <f>'Primary Care Activity'!Q17</f>
        <v>112</v>
      </c>
      <c r="P301">
        <f>'Primary Care Activity'!R17</f>
        <v>112</v>
      </c>
      <c r="Q301">
        <f>'Primary Care Activity'!S17</f>
        <v>112</v>
      </c>
      <c r="R301">
        <f>'Primary Care Activity'!T17</f>
        <v>112</v>
      </c>
      <c r="S301">
        <f>'Primary Care Activity'!U17</f>
        <v>1344</v>
      </c>
      <c r="AH301">
        <f>'Primary Care Activity'!C17</f>
        <v>0</v>
      </c>
      <c r="AI301">
        <f>'Primary Care Activity'!D17</f>
        <v>112</v>
      </c>
      <c r="AN301">
        <f>'Primary Care Activity'!E17</f>
        <v>112</v>
      </c>
      <c r="AO301">
        <f>'Primary Care Activity'!F17</f>
        <v>0</v>
      </c>
      <c r="AP301">
        <f>'Primary Care Activity'!G17</f>
        <v>0</v>
      </c>
      <c r="AU301">
        <f>'Primary Care Activity'!AI17</f>
        <v>1343.33</v>
      </c>
      <c r="AV301">
        <f>'Primary Care Activity'!W17</f>
        <v>107.67</v>
      </c>
      <c r="AW301">
        <f>'Primary Care Activity'!X17</f>
        <v>109</v>
      </c>
      <c r="AX301">
        <f>'Primary Care Activity'!Y17</f>
        <v>109.51</v>
      </c>
      <c r="AY301">
        <f>'Primary Care Activity'!Z17</f>
        <v>113</v>
      </c>
      <c r="AZ301">
        <f>'Primary Care Activity'!AA17</f>
        <v>113</v>
      </c>
      <c r="BA301">
        <f>'Primary Care Activity'!AB17</f>
        <v>113.15</v>
      </c>
      <c r="BB301">
        <f>'Primary Care Activity'!AC17</f>
        <v>113</v>
      </c>
      <c r="BC301">
        <f>'Primary Care Activity'!AD17</f>
        <v>113</v>
      </c>
      <c r="BD301">
        <f>'Primary Care Activity'!AE17</f>
        <v>113</v>
      </c>
      <c r="BE301">
        <f>'Primary Care Activity'!AF17</f>
        <v>113</v>
      </c>
      <c r="BF301">
        <f>'Primary Care Activity'!AG17</f>
        <v>113</v>
      </c>
      <c r="BG301">
        <f>'Primary Care Activity'!AH17</f>
        <v>113</v>
      </c>
    </row>
    <row r="302" spans="1:59" hidden="1">
      <c r="A302" t="str">
        <f>'[1]Front Sheet and Checklist'!$C$5</f>
        <v>(please select from drop down)</v>
      </c>
      <c r="B302" t="s">
        <v>11</v>
      </c>
      <c r="D302" t="str">
        <f>'Primary Care Activity'!$B$5</f>
        <v>1. Community Services</v>
      </c>
      <c r="F302" t="str">
        <f>'Primary Care Activity'!B18</f>
        <v>District Nursing Total funded Admin (WTE)</v>
      </c>
      <c r="G302">
        <f>'Primary Care Activity'!I18</f>
        <v>5</v>
      </c>
      <c r="H302">
        <f>'Primary Care Activity'!J18</f>
        <v>5</v>
      </c>
      <c r="I302">
        <f>'Primary Care Activity'!K18</f>
        <v>5</v>
      </c>
      <c r="J302">
        <f>'Primary Care Activity'!L18</f>
        <v>5</v>
      </c>
      <c r="K302">
        <f>'Primary Care Activity'!M18</f>
        <v>5</v>
      </c>
      <c r="L302">
        <f>'Primary Care Activity'!N18</f>
        <v>5</v>
      </c>
      <c r="M302">
        <f>'Primary Care Activity'!O18</f>
        <v>5</v>
      </c>
      <c r="N302">
        <f>'Primary Care Activity'!P18</f>
        <v>5</v>
      </c>
      <c r="O302">
        <f>'Primary Care Activity'!Q18</f>
        <v>5</v>
      </c>
      <c r="P302">
        <f>'Primary Care Activity'!R18</f>
        <v>5</v>
      </c>
      <c r="Q302">
        <f>'Primary Care Activity'!S18</f>
        <v>5</v>
      </c>
      <c r="R302">
        <f>'Primary Care Activity'!T18</f>
        <v>5</v>
      </c>
      <c r="S302">
        <f>'Primary Care Activity'!U18</f>
        <v>60</v>
      </c>
      <c r="AH302">
        <f>'Primary Care Activity'!C18</f>
        <v>0</v>
      </c>
      <c r="AI302">
        <f>'Primary Care Activity'!D18</f>
        <v>5</v>
      </c>
      <c r="AN302">
        <f>'Primary Care Activity'!E18</f>
        <v>5</v>
      </c>
      <c r="AO302">
        <f>'Primary Care Activity'!F18</f>
        <v>0</v>
      </c>
      <c r="AP302">
        <f>'Primary Care Activity'!G18</f>
        <v>0</v>
      </c>
      <c r="AU302">
        <f>'Primary Care Activity'!AI18</f>
        <v>139.32</v>
      </c>
      <c r="AV302">
        <f>'Primary Care Activity'!W18</f>
        <v>6.48</v>
      </c>
      <c r="AW302">
        <f>'Primary Care Activity'!X18</f>
        <v>7.48</v>
      </c>
      <c r="AX302">
        <f>'Primary Care Activity'!Y18</f>
        <v>7.48</v>
      </c>
      <c r="AY302">
        <f>'Primary Care Activity'!Z18</f>
        <v>13</v>
      </c>
      <c r="AZ302">
        <f>'Primary Care Activity'!AA18</f>
        <v>13.44</v>
      </c>
      <c r="BA302">
        <f>'Primary Care Activity'!AB18</f>
        <v>13.44</v>
      </c>
      <c r="BB302">
        <f>'Primary Care Activity'!AC18</f>
        <v>13</v>
      </c>
      <c r="BC302">
        <f>'Primary Care Activity'!AD18</f>
        <v>13</v>
      </c>
      <c r="BD302">
        <f>'Primary Care Activity'!AE18</f>
        <v>13</v>
      </c>
      <c r="BE302">
        <f>'Primary Care Activity'!AF18</f>
        <v>13</v>
      </c>
      <c r="BF302">
        <f>'Primary Care Activity'!AG18</f>
        <v>13</v>
      </c>
      <c r="BG302">
        <f>'Primary Care Activity'!AH18</f>
        <v>13</v>
      </c>
    </row>
    <row r="303" spans="1:59" hidden="1">
      <c r="A303" t="str">
        <f>'[1]Front Sheet and Checklist'!$C$5</f>
        <v>(please select from drop down)</v>
      </c>
      <c r="B303" t="s">
        <v>11</v>
      </c>
      <c r="F303">
        <f>'Primary Care Activity'!B19</f>
        <v>0</v>
      </c>
      <c r="G303">
        <f>'Primary Care Activity'!I19</f>
        <v>0</v>
      </c>
      <c r="H303">
        <f>'Primary Care Activity'!J19</f>
        <v>0</v>
      </c>
      <c r="I303">
        <f>'Primary Care Activity'!K19</f>
        <v>0</v>
      </c>
      <c r="J303">
        <f>'Primary Care Activity'!L19</f>
        <v>0</v>
      </c>
      <c r="K303">
        <f>'Primary Care Activity'!M19</f>
        <v>0</v>
      </c>
      <c r="L303">
        <f>'Primary Care Activity'!N19</f>
        <v>0</v>
      </c>
      <c r="M303">
        <f>'Primary Care Activity'!O19</f>
        <v>0</v>
      </c>
      <c r="N303">
        <f>'Primary Care Activity'!P19</f>
        <v>0</v>
      </c>
      <c r="O303">
        <f>'Primary Care Activity'!Q19</f>
        <v>0</v>
      </c>
      <c r="P303">
        <f>'Primary Care Activity'!R19</f>
        <v>0</v>
      </c>
      <c r="Q303">
        <f>'Primary Care Activity'!S19</f>
        <v>0</v>
      </c>
      <c r="R303">
        <f>'Primary Care Activity'!T19</f>
        <v>0</v>
      </c>
      <c r="S303">
        <f>'Primary Care Activity'!U19</f>
        <v>0</v>
      </c>
      <c r="AH303">
        <f>'Primary Care Activity'!C19</f>
        <v>0</v>
      </c>
      <c r="AI303">
        <f>'Primary Care Activity'!D19</f>
        <v>0</v>
      </c>
      <c r="AN303">
        <f>'Primary Care Activity'!E19</f>
        <v>0</v>
      </c>
      <c r="AO303">
        <f>'Primary Care Activity'!F19</f>
        <v>0</v>
      </c>
      <c r="AP303">
        <f>'Primary Care Activity'!G19</f>
        <v>0</v>
      </c>
      <c r="AU303">
        <f>'Primary Care Activity'!AI19</f>
        <v>0</v>
      </c>
      <c r="AV303">
        <f>'Primary Care Activity'!W19</f>
        <v>0</v>
      </c>
      <c r="AW303">
        <f>'Primary Care Activity'!X19</f>
        <v>0</v>
      </c>
      <c r="AX303">
        <f>'Primary Care Activity'!Y19</f>
        <v>0</v>
      </c>
      <c r="AY303">
        <f>'Primary Care Activity'!Z19</f>
        <v>0</v>
      </c>
      <c r="AZ303">
        <f>'Primary Care Activity'!AA19</f>
        <v>0</v>
      </c>
      <c r="BA303">
        <f>'Primary Care Activity'!AB19</f>
        <v>0</v>
      </c>
      <c r="BB303">
        <f>'Primary Care Activity'!AC19</f>
        <v>0</v>
      </c>
      <c r="BC303">
        <f>'Primary Care Activity'!AD19</f>
        <v>0</v>
      </c>
      <c r="BD303">
        <f>'Primary Care Activity'!AE19</f>
        <v>0</v>
      </c>
      <c r="BE303">
        <f>'Primary Care Activity'!AF19</f>
        <v>0</v>
      </c>
      <c r="BF303">
        <f>'Primary Care Activity'!AG19</f>
        <v>0</v>
      </c>
      <c r="BG303">
        <f>'Primary Care Activity'!AH19</f>
        <v>0</v>
      </c>
    </row>
    <row r="304" spans="1:59" hidden="1">
      <c r="A304" t="str">
        <f>'[1]Front Sheet and Checklist'!$C$5</f>
        <v>(please select from drop down)</v>
      </c>
      <c r="B304" t="s">
        <v>11</v>
      </c>
      <c r="D304" t="str">
        <f>'Primary Care Activity'!$B$20</f>
        <v>2. Pathway</v>
      </c>
      <c r="F304" t="str">
        <f>'Primary Care Activity'!B20</f>
        <v>2. Pathway</v>
      </c>
      <c r="G304">
        <f>'Primary Care Activity'!I20</f>
        <v>0</v>
      </c>
      <c r="H304">
        <f>'Primary Care Activity'!J20</f>
        <v>0</v>
      </c>
      <c r="I304">
        <f>'Primary Care Activity'!K20</f>
        <v>0</v>
      </c>
      <c r="J304">
        <f>'Primary Care Activity'!L20</f>
        <v>0</v>
      </c>
      <c r="K304">
        <f>'Primary Care Activity'!M20</f>
        <v>0</v>
      </c>
      <c r="L304">
        <f>'Primary Care Activity'!N20</f>
        <v>0</v>
      </c>
      <c r="M304">
        <f>'Primary Care Activity'!O20</f>
        <v>0</v>
      </c>
      <c r="N304">
        <f>'Primary Care Activity'!P20</f>
        <v>0</v>
      </c>
      <c r="O304">
        <f>'Primary Care Activity'!Q20</f>
        <v>0</v>
      </c>
      <c r="P304">
        <f>'Primary Care Activity'!R20</f>
        <v>0</v>
      </c>
      <c r="Q304">
        <f>'Primary Care Activity'!S20</f>
        <v>0</v>
      </c>
      <c r="R304">
        <f>'Primary Care Activity'!T20</f>
        <v>0</v>
      </c>
      <c r="S304">
        <f>'Primary Care Activity'!U20</f>
        <v>0</v>
      </c>
      <c r="AH304">
        <f>'Primary Care Activity'!C20</f>
        <v>0</v>
      </c>
      <c r="AI304">
        <f>'Primary Care Activity'!D20</f>
        <v>0</v>
      </c>
      <c r="AN304">
        <f>'Primary Care Activity'!E20</f>
        <v>0</v>
      </c>
      <c r="AO304">
        <f>'Primary Care Activity'!F20</f>
        <v>0</v>
      </c>
      <c r="AP304">
        <f>'Primary Care Activity'!G20</f>
        <v>0</v>
      </c>
      <c r="AU304">
        <f>'Primary Care Activity'!AI20</f>
        <v>0</v>
      </c>
      <c r="AV304">
        <f>'Primary Care Activity'!W20</f>
        <v>0</v>
      </c>
      <c r="AW304">
        <f>'Primary Care Activity'!X20</f>
        <v>0</v>
      </c>
      <c r="AX304">
        <f>'Primary Care Activity'!Y20</f>
        <v>0</v>
      </c>
      <c r="AY304">
        <f>'Primary Care Activity'!Z20</f>
        <v>0</v>
      </c>
      <c r="AZ304">
        <f>'Primary Care Activity'!AA20</f>
        <v>0</v>
      </c>
      <c r="BA304">
        <f>'Primary Care Activity'!AB20</f>
        <v>0</v>
      </c>
      <c r="BB304">
        <f>'Primary Care Activity'!AC20</f>
        <v>0</v>
      </c>
      <c r="BC304">
        <f>'Primary Care Activity'!AD20</f>
        <v>0</v>
      </c>
      <c r="BD304">
        <f>'Primary Care Activity'!AE20</f>
        <v>0</v>
      </c>
      <c r="BE304">
        <f>'Primary Care Activity'!AF20</f>
        <v>0</v>
      </c>
      <c r="BF304">
        <f>'Primary Care Activity'!AG20</f>
        <v>0</v>
      </c>
      <c r="BG304">
        <f>'Primary Care Activity'!AH20</f>
        <v>0</v>
      </c>
    </row>
    <row r="305" spans="1:59" hidden="1">
      <c r="A305" t="str">
        <f>'[1]Front Sheet and Checklist'!$C$5</f>
        <v>(please select from drop down)</v>
      </c>
      <c r="B305" t="s">
        <v>11</v>
      </c>
      <c r="D305" t="str">
        <f>'Primary Care Activity'!$B$20</f>
        <v>2. Pathway</v>
      </c>
      <c r="F305" t="str">
        <f>'Primary Care Activity'!B21</f>
        <v xml:space="preserve">% of Babies six week check complete </v>
      </c>
      <c r="G305">
        <f>'Primary Care Activity'!I21</f>
        <v>0</v>
      </c>
      <c r="H305">
        <f>'Primary Care Activity'!J21</f>
        <v>0</v>
      </c>
      <c r="I305">
        <f>'Primary Care Activity'!K21</f>
        <v>0</v>
      </c>
      <c r="J305">
        <f>'Primary Care Activity'!L21</f>
        <v>0</v>
      </c>
      <c r="K305">
        <f>'Primary Care Activity'!M21</f>
        <v>0</v>
      </c>
      <c r="L305">
        <f>'Primary Care Activity'!N21</f>
        <v>0</v>
      </c>
      <c r="M305">
        <f>'Primary Care Activity'!O21</f>
        <v>0</v>
      </c>
      <c r="N305">
        <f>'Primary Care Activity'!P21</f>
        <v>0</v>
      </c>
      <c r="O305">
        <f>'Primary Care Activity'!Q21</f>
        <v>0</v>
      </c>
      <c r="P305">
        <f>'Primary Care Activity'!R21</f>
        <v>0</v>
      </c>
      <c r="Q305">
        <f>'Primary Care Activity'!S21</f>
        <v>0</v>
      </c>
      <c r="R305">
        <f>'Primary Care Activity'!T21</f>
        <v>0</v>
      </c>
      <c r="S305">
        <f>'Primary Care Activity'!U21</f>
        <v>0</v>
      </c>
      <c r="AH305">
        <f>'Primary Care Activity'!C21</f>
        <v>0</v>
      </c>
      <c r="AI305">
        <f>'Primary Care Activity'!D21</f>
        <v>0</v>
      </c>
      <c r="AN305">
        <f>'Primary Care Activity'!E21</f>
        <v>0</v>
      </c>
      <c r="AO305">
        <f>'Primary Care Activity'!F21</f>
        <v>0</v>
      </c>
      <c r="AP305">
        <f>'Primary Care Activity'!G21</f>
        <v>0</v>
      </c>
      <c r="AU305">
        <f>'Primary Care Activity'!AI21</f>
        <v>0</v>
      </c>
      <c r="AV305">
        <f>'Primary Care Activity'!W21</f>
        <v>0</v>
      </c>
      <c r="AW305">
        <f>'Primary Care Activity'!X21</f>
        <v>0</v>
      </c>
      <c r="AX305">
        <f>'Primary Care Activity'!Y21</f>
        <v>0</v>
      </c>
      <c r="AY305">
        <f>'Primary Care Activity'!Z21</f>
        <v>0</v>
      </c>
      <c r="AZ305">
        <f>'Primary Care Activity'!AA21</f>
        <v>0</v>
      </c>
      <c r="BA305">
        <f>'Primary Care Activity'!AB21</f>
        <v>0</v>
      </c>
      <c r="BB305">
        <f>'Primary Care Activity'!AC21</f>
        <v>0</v>
      </c>
      <c r="BC305">
        <f>'Primary Care Activity'!AD21</f>
        <v>0</v>
      </c>
      <c r="BD305">
        <f>'Primary Care Activity'!AE21</f>
        <v>0</v>
      </c>
      <c r="BE305">
        <f>'Primary Care Activity'!AF21</f>
        <v>0</v>
      </c>
      <c r="BF305">
        <f>'Primary Care Activity'!AG21</f>
        <v>0</v>
      </c>
      <c r="BG305">
        <f>'Primary Care Activity'!AH21</f>
        <v>0</v>
      </c>
    </row>
    <row r="306" spans="1:59" hidden="1">
      <c r="A306" t="str">
        <f>'[1]Front Sheet and Checklist'!$C$5</f>
        <v>(please select from drop down)</v>
      </c>
      <c r="B306" t="s">
        <v>11</v>
      </c>
      <c r="D306" t="str">
        <f>'Primary Care Activity'!$B$20</f>
        <v>2. Pathway</v>
      </c>
      <c r="F306" t="str">
        <f>'Primary Care Activity'!B22</f>
        <v>Number of patients who die in the community (planned deaths – e.g. having used rapid discharge/ palliative care teams / community resources etc.)</v>
      </c>
      <c r="G306">
        <f>'Primary Care Activity'!I22</f>
        <v>0</v>
      </c>
      <c r="H306">
        <f>'Primary Care Activity'!J22</f>
        <v>0</v>
      </c>
      <c r="I306">
        <f>'Primary Care Activity'!K22</f>
        <v>0</v>
      </c>
      <c r="J306">
        <f>'Primary Care Activity'!L22</f>
        <v>0</v>
      </c>
      <c r="K306">
        <f>'Primary Care Activity'!M22</f>
        <v>0</v>
      </c>
      <c r="L306">
        <f>'Primary Care Activity'!N22</f>
        <v>0</v>
      </c>
      <c r="M306">
        <f>'Primary Care Activity'!O22</f>
        <v>0</v>
      </c>
      <c r="N306">
        <f>'Primary Care Activity'!P22</f>
        <v>0</v>
      </c>
      <c r="O306">
        <f>'Primary Care Activity'!Q22</f>
        <v>0</v>
      </c>
      <c r="P306">
        <f>'Primary Care Activity'!R22</f>
        <v>0</v>
      </c>
      <c r="Q306">
        <f>'Primary Care Activity'!S22</f>
        <v>0</v>
      </c>
      <c r="R306">
        <f>'Primary Care Activity'!T22</f>
        <v>0</v>
      </c>
      <c r="S306">
        <f>'Primary Care Activity'!U22</f>
        <v>0</v>
      </c>
      <c r="AH306">
        <f>'Primary Care Activity'!C22</f>
        <v>0</v>
      </c>
      <c r="AI306">
        <f>'Primary Care Activity'!D22</f>
        <v>0</v>
      </c>
      <c r="AN306">
        <f>'Primary Care Activity'!E22</f>
        <v>0</v>
      </c>
      <c r="AO306">
        <f>'Primary Care Activity'!F22</f>
        <v>0</v>
      </c>
      <c r="AP306">
        <f>'Primary Care Activity'!G22</f>
        <v>0</v>
      </c>
      <c r="AU306">
        <f>'Primary Care Activity'!AI22</f>
        <v>0</v>
      </c>
      <c r="AV306">
        <f>'Primary Care Activity'!W22</f>
        <v>0</v>
      </c>
      <c r="AW306">
        <f>'Primary Care Activity'!X22</f>
        <v>0</v>
      </c>
      <c r="AX306">
        <f>'Primary Care Activity'!Y22</f>
        <v>0</v>
      </c>
      <c r="AY306">
        <f>'Primary Care Activity'!Z22</f>
        <v>0</v>
      </c>
      <c r="AZ306">
        <f>'Primary Care Activity'!AA22</f>
        <v>0</v>
      </c>
      <c r="BA306">
        <f>'Primary Care Activity'!AB22</f>
        <v>0</v>
      </c>
      <c r="BB306">
        <f>'Primary Care Activity'!AC22</f>
        <v>0</v>
      </c>
      <c r="BC306">
        <f>'Primary Care Activity'!AD22</f>
        <v>0</v>
      </c>
      <c r="BD306">
        <f>'Primary Care Activity'!AE22</f>
        <v>0</v>
      </c>
      <c r="BE306">
        <f>'Primary Care Activity'!AF22</f>
        <v>0</v>
      </c>
      <c r="BF306">
        <f>'Primary Care Activity'!AG22</f>
        <v>0</v>
      </c>
      <c r="BG306">
        <f>'Primary Care Activity'!AH22</f>
        <v>0</v>
      </c>
    </row>
    <row r="307" spans="1:59" hidden="1">
      <c r="A307" t="str">
        <f>'[1]Front Sheet and Checklist'!$C$5</f>
        <v>(please select from drop down)</v>
      </c>
      <c r="B307" t="s">
        <v>11</v>
      </c>
      <c r="D307" t="str">
        <f>'Primary Care Activity'!$B$20</f>
        <v>2. Pathway</v>
      </c>
      <c r="F307" t="str">
        <f>'Primary Care Activity'!B23</f>
        <v>Community: Total number of tests relating to sexual health conditions (Syphilis and Chlamydia)</v>
      </c>
      <c r="G307">
        <f>'Primary Care Activity'!I23</f>
        <v>2927</v>
      </c>
      <c r="H307">
        <f>'Primary Care Activity'!J23</f>
        <v>2927</v>
      </c>
      <c r="I307">
        <f>'Primary Care Activity'!K23</f>
        <v>2927</v>
      </c>
      <c r="J307">
        <f>'Primary Care Activity'!L23</f>
        <v>2927</v>
      </c>
      <c r="K307">
        <f>'Primary Care Activity'!M23</f>
        <v>2927</v>
      </c>
      <c r="L307">
        <f>'Primary Care Activity'!N23</f>
        <v>2927</v>
      </c>
      <c r="M307">
        <f>'Primary Care Activity'!O23</f>
        <v>2927</v>
      </c>
      <c r="N307">
        <f>'Primary Care Activity'!P23</f>
        <v>2927</v>
      </c>
      <c r="O307">
        <f>'Primary Care Activity'!Q23</f>
        <v>2927</v>
      </c>
      <c r="P307">
        <f>'Primary Care Activity'!R23</f>
        <v>2927</v>
      </c>
      <c r="Q307">
        <f>'Primary Care Activity'!S23</f>
        <v>2927</v>
      </c>
      <c r="R307">
        <f>'Primary Care Activity'!T23</f>
        <v>2927</v>
      </c>
      <c r="S307">
        <f>'Primary Care Activity'!U23</f>
        <v>35124</v>
      </c>
      <c r="AH307">
        <f>'Primary Care Activity'!C23</f>
        <v>28407</v>
      </c>
      <c r="AI307">
        <f>'Primary Care Activity'!D23</f>
        <v>35122</v>
      </c>
      <c r="AN307">
        <f>'Primary Care Activity'!E23</f>
        <v>35124</v>
      </c>
      <c r="AO307">
        <f>'Primary Care Activity'!F23</f>
        <v>0</v>
      </c>
      <c r="AP307">
        <f>'Primary Care Activity'!G23</f>
        <v>0</v>
      </c>
      <c r="AU307">
        <f>'Primary Care Activity'!AI23</f>
        <v>9841</v>
      </c>
      <c r="AV307">
        <f>'Primary Care Activity'!W23</f>
        <v>2929</v>
      </c>
      <c r="AW307">
        <f>'Primary Care Activity'!X23</f>
        <v>3488</v>
      </c>
      <c r="AX307">
        <f>'Primary Care Activity'!Y23</f>
        <v>3424</v>
      </c>
      <c r="AY307">
        <f>'Primary Care Activity'!Z23</f>
        <v>0</v>
      </c>
      <c r="AZ307">
        <f>'Primary Care Activity'!AA23</f>
        <v>0</v>
      </c>
      <c r="BA307">
        <f>'Primary Care Activity'!AB23</f>
        <v>0</v>
      </c>
      <c r="BB307">
        <f>'Primary Care Activity'!AC23</f>
        <v>0</v>
      </c>
      <c r="BC307">
        <f>'Primary Care Activity'!AD23</f>
        <v>0</v>
      </c>
      <c r="BD307">
        <f>'Primary Care Activity'!AE23</f>
        <v>0</v>
      </c>
      <c r="BE307">
        <f>'Primary Care Activity'!AF23</f>
        <v>0</v>
      </c>
      <c r="BF307">
        <f>'Primary Care Activity'!AG23</f>
        <v>0</v>
      </c>
      <c r="BG307">
        <f>'Primary Care Activity'!AH23</f>
        <v>0</v>
      </c>
    </row>
    <row r="308" spans="1:59" hidden="1">
      <c r="A308" t="str">
        <f>'[1]Front Sheet and Checklist'!$C$5</f>
        <v>(please select from drop down)</v>
      </c>
      <c r="B308" t="s">
        <v>11</v>
      </c>
      <c r="D308" t="str">
        <f>'Primary Care Activity'!$B$20</f>
        <v>2. Pathway</v>
      </c>
      <c r="F308" t="str">
        <f>'Primary Care Activity'!B24</f>
        <v xml:space="preserve">Proportion of diabetes patients that have received all eight diabetes care processes </v>
      </c>
      <c r="G308">
        <f>'Primary Care Activity'!I24</f>
        <v>0</v>
      </c>
      <c r="H308">
        <f>'Primary Care Activity'!J24</f>
        <v>0</v>
      </c>
      <c r="I308">
        <f>'Primary Care Activity'!K24</f>
        <v>0</v>
      </c>
      <c r="J308">
        <f>'Primary Care Activity'!L24</f>
        <v>0</v>
      </c>
      <c r="K308">
        <f>'Primary Care Activity'!M24</f>
        <v>0</v>
      </c>
      <c r="L308">
        <f>'Primary Care Activity'!N24</f>
        <v>0</v>
      </c>
      <c r="M308">
        <f>'Primary Care Activity'!O24</f>
        <v>0</v>
      </c>
      <c r="N308">
        <f>'Primary Care Activity'!P24</f>
        <v>0</v>
      </c>
      <c r="O308">
        <f>'Primary Care Activity'!Q24</f>
        <v>0</v>
      </c>
      <c r="P308">
        <f>'Primary Care Activity'!R24</f>
        <v>0</v>
      </c>
      <c r="Q308">
        <f>'Primary Care Activity'!S24</f>
        <v>0</v>
      </c>
      <c r="R308">
        <f>'Primary Care Activity'!T24</f>
        <v>0</v>
      </c>
      <c r="S308">
        <f>'Primary Care Activity'!U24</f>
        <v>0</v>
      </c>
      <c r="AH308">
        <f>'Primary Care Activity'!C24</f>
        <v>0</v>
      </c>
      <c r="AI308">
        <f>'Primary Care Activity'!D24</f>
        <v>0</v>
      </c>
      <c r="AN308">
        <f>'Primary Care Activity'!E24</f>
        <v>0</v>
      </c>
      <c r="AO308">
        <f>'Primary Care Activity'!F24</f>
        <v>0</v>
      </c>
      <c r="AP308">
        <f>'Primary Care Activity'!G24</f>
        <v>0</v>
      </c>
      <c r="AU308">
        <f>'Primary Care Activity'!AI24</f>
        <v>0.83230000000000004</v>
      </c>
      <c r="AV308">
        <f>'Primary Care Activity'!W24</f>
        <v>0</v>
      </c>
      <c r="AW308">
        <f>'Primary Care Activity'!X24</f>
        <v>0</v>
      </c>
      <c r="AX308">
        <f>'Primary Care Activity'!Y24</f>
        <v>0.41020000000000001</v>
      </c>
      <c r="AY308">
        <f>'Primary Care Activity'!Z24</f>
        <v>0</v>
      </c>
      <c r="AZ308">
        <f>'Primary Care Activity'!AA24</f>
        <v>0</v>
      </c>
      <c r="BA308">
        <f>'Primary Care Activity'!AB24</f>
        <v>0.42209999999999998</v>
      </c>
      <c r="BB308">
        <f>'Primary Care Activity'!AC24</f>
        <v>0</v>
      </c>
      <c r="BC308">
        <f>'Primary Care Activity'!AD24</f>
        <v>0</v>
      </c>
      <c r="BD308">
        <f>'Primary Care Activity'!AE24</f>
        <v>0</v>
      </c>
      <c r="BE308">
        <f>'Primary Care Activity'!AF24</f>
        <v>0</v>
      </c>
      <c r="BF308">
        <f>'Primary Care Activity'!AG24</f>
        <v>0</v>
      </c>
      <c r="BG308">
        <f>'Primary Care Activity'!AH24</f>
        <v>0</v>
      </c>
    </row>
    <row r="309" spans="1:59" hidden="1">
      <c r="A309" t="str">
        <f>'[1]Front Sheet and Checklist'!$C$5</f>
        <v>(please select from drop down)</v>
      </c>
      <c r="B309" t="s">
        <v>11</v>
      </c>
      <c r="D309" t="str">
        <f>'Primary Care Activity'!$B$20</f>
        <v>2. Pathway</v>
      </c>
      <c r="F309" t="str">
        <f>'Primary Care Activity'!B25</f>
        <v xml:space="preserve">Proportion of diabetes patients that have received all four treatment to target outcomes </v>
      </c>
      <c r="G309">
        <f>'Primary Care Activity'!I25</f>
        <v>0</v>
      </c>
      <c r="H309">
        <f>'Primary Care Activity'!J25</f>
        <v>0</v>
      </c>
      <c r="I309">
        <f>'Primary Care Activity'!K25</f>
        <v>0</v>
      </c>
      <c r="J309">
        <f>'Primary Care Activity'!L25</f>
        <v>0</v>
      </c>
      <c r="K309">
        <f>'Primary Care Activity'!M25</f>
        <v>0</v>
      </c>
      <c r="L309">
        <f>'Primary Care Activity'!N25</f>
        <v>0</v>
      </c>
      <c r="M309">
        <f>'Primary Care Activity'!O25</f>
        <v>0</v>
      </c>
      <c r="N309">
        <f>'Primary Care Activity'!P25</f>
        <v>0</v>
      </c>
      <c r="O309">
        <f>'Primary Care Activity'!Q25</f>
        <v>0</v>
      </c>
      <c r="P309">
        <f>'Primary Care Activity'!R25</f>
        <v>0</v>
      </c>
      <c r="Q309">
        <f>'Primary Care Activity'!S25</f>
        <v>0</v>
      </c>
      <c r="R309">
        <f>'Primary Care Activity'!T25</f>
        <v>0</v>
      </c>
      <c r="S309">
        <f>'Primary Care Activity'!U25</f>
        <v>0</v>
      </c>
      <c r="AH309">
        <f>'Primary Care Activity'!C25</f>
        <v>0</v>
      </c>
      <c r="AI309">
        <f>'Primary Care Activity'!D25</f>
        <v>0</v>
      </c>
      <c r="AN309">
        <f>'Primary Care Activity'!E25</f>
        <v>0</v>
      </c>
      <c r="AO309">
        <f>'Primary Care Activity'!F25</f>
        <v>0</v>
      </c>
      <c r="AP309">
        <f>'Primary Care Activity'!G25</f>
        <v>0</v>
      </c>
      <c r="AU309">
        <f>'Primary Care Activity'!AI25</f>
        <v>0</v>
      </c>
      <c r="AV309">
        <f>'Primary Care Activity'!W25</f>
        <v>0</v>
      </c>
      <c r="AW309">
        <f>'Primary Care Activity'!X25</f>
        <v>0</v>
      </c>
      <c r="AX309">
        <f>'Primary Care Activity'!Y25</f>
        <v>0</v>
      </c>
      <c r="AY309">
        <f>'Primary Care Activity'!Z25</f>
        <v>0</v>
      </c>
      <c r="AZ309">
        <f>'Primary Care Activity'!AA25</f>
        <v>0</v>
      </c>
      <c r="BA309">
        <f>'Primary Care Activity'!AB25</f>
        <v>0</v>
      </c>
      <c r="BB309">
        <f>'Primary Care Activity'!AC25</f>
        <v>0</v>
      </c>
      <c r="BC309">
        <f>'Primary Care Activity'!AD25</f>
        <v>0</v>
      </c>
      <c r="BD309">
        <f>'Primary Care Activity'!AE25</f>
        <v>0</v>
      </c>
      <c r="BE309">
        <f>'Primary Care Activity'!AF25</f>
        <v>0</v>
      </c>
      <c r="BF309">
        <f>'Primary Care Activity'!AG25</f>
        <v>0</v>
      </c>
      <c r="BG309">
        <f>'Primary Care Activity'!AH25</f>
        <v>0</v>
      </c>
    </row>
    <row r="310" spans="1:59" hidden="1">
      <c r="A310" t="str">
        <f>'[1]Front Sheet and Checklist'!$C$5</f>
        <v>(please select from drop down)</v>
      </c>
      <c r="B310" t="s">
        <v>11</v>
      </c>
      <c r="D310" t="str">
        <f>'Primary Care Activity'!$B$20</f>
        <v>2. Pathway</v>
      </c>
      <c r="F310" t="str">
        <f>'Primary Care Activity'!B26</f>
        <v xml:space="preserve">Healthy Days at Home Wales - Planned number of HDAHW Wales </v>
      </c>
      <c r="G310">
        <f>'Primary Care Activity'!I26</f>
        <v>0</v>
      </c>
      <c r="H310">
        <f>'Primary Care Activity'!J26</f>
        <v>0</v>
      </c>
      <c r="I310">
        <f>'Primary Care Activity'!K26</f>
        <v>0</v>
      </c>
      <c r="J310">
        <f>'Primary Care Activity'!L26</f>
        <v>0</v>
      </c>
      <c r="K310">
        <f>'Primary Care Activity'!M26</f>
        <v>0</v>
      </c>
      <c r="L310">
        <f>'Primary Care Activity'!N26</f>
        <v>0</v>
      </c>
      <c r="M310">
        <f>'Primary Care Activity'!O26</f>
        <v>0</v>
      </c>
      <c r="N310">
        <f>'Primary Care Activity'!P26</f>
        <v>0</v>
      </c>
      <c r="O310">
        <f>'Primary Care Activity'!Q26</f>
        <v>0</v>
      </c>
      <c r="P310">
        <f>'Primary Care Activity'!R26</f>
        <v>0</v>
      </c>
      <c r="Q310">
        <f>'Primary Care Activity'!S26</f>
        <v>0</v>
      </c>
      <c r="R310">
        <f>'Primary Care Activity'!T26</f>
        <v>0</v>
      </c>
      <c r="S310">
        <f>'Primary Care Activity'!U26</f>
        <v>0</v>
      </c>
      <c r="AH310">
        <f>'Primary Care Activity'!C26</f>
        <v>0</v>
      </c>
      <c r="AI310">
        <f>'Primary Care Activity'!D26</f>
        <v>0</v>
      </c>
      <c r="AN310">
        <f>'Primary Care Activity'!E26</f>
        <v>0</v>
      </c>
      <c r="AO310">
        <f>'Primary Care Activity'!F26</f>
        <v>0</v>
      </c>
      <c r="AP310">
        <f>'Primary Care Activity'!G26</f>
        <v>0</v>
      </c>
      <c r="AU310">
        <f>'Primary Care Activity'!AI26</f>
        <v>0</v>
      </c>
      <c r="AV310">
        <f>'Primary Care Activity'!W26</f>
        <v>0</v>
      </c>
      <c r="AW310">
        <f>'Primary Care Activity'!X26</f>
        <v>0</v>
      </c>
      <c r="AX310">
        <f>'Primary Care Activity'!Y26</f>
        <v>0</v>
      </c>
      <c r="AY310">
        <f>'Primary Care Activity'!Z26</f>
        <v>0</v>
      </c>
      <c r="AZ310">
        <f>'Primary Care Activity'!AA26</f>
        <v>0</v>
      </c>
      <c r="BA310">
        <f>'Primary Care Activity'!AB26</f>
        <v>0</v>
      </c>
      <c r="BB310">
        <f>'Primary Care Activity'!AC26</f>
        <v>0</v>
      </c>
      <c r="BC310">
        <f>'Primary Care Activity'!AD26</f>
        <v>0</v>
      </c>
      <c r="BD310">
        <f>'Primary Care Activity'!AE26</f>
        <v>0</v>
      </c>
      <c r="BE310">
        <f>'Primary Care Activity'!AF26</f>
        <v>0</v>
      </c>
      <c r="BF310">
        <f>'Primary Care Activity'!AG26</f>
        <v>0</v>
      </c>
      <c r="BG310">
        <f>'Primary Care Activity'!AH26</f>
        <v>0</v>
      </c>
    </row>
    <row r="311" spans="1:59" hidden="1">
      <c r="A311" t="str">
        <f>'[1]Front Sheet and Checklist'!$C$5</f>
        <v>(please select from drop down)</v>
      </c>
      <c r="B311" t="s">
        <v>11</v>
      </c>
      <c r="F311">
        <f>'Primary Care Activity'!B27</f>
        <v>0</v>
      </c>
      <c r="G311">
        <f>'Primary Care Activity'!I27</f>
        <v>0</v>
      </c>
      <c r="H311">
        <f>'Primary Care Activity'!J27</f>
        <v>0</v>
      </c>
      <c r="I311">
        <f>'Primary Care Activity'!K27</f>
        <v>0</v>
      </c>
      <c r="J311">
        <f>'Primary Care Activity'!L27</f>
        <v>0</v>
      </c>
      <c r="K311">
        <f>'Primary Care Activity'!M27</f>
        <v>0</v>
      </c>
      <c r="L311">
        <f>'Primary Care Activity'!N27</f>
        <v>0</v>
      </c>
      <c r="M311">
        <f>'Primary Care Activity'!O27</f>
        <v>0</v>
      </c>
      <c r="N311">
        <f>'Primary Care Activity'!P27</f>
        <v>0</v>
      </c>
      <c r="O311">
        <f>'Primary Care Activity'!Q27</f>
        <v>0</v>
      </c>
      <c r="P311">
        <f>'Primary Care Activity'!R27</f>
        <v>0</v>
      </c>
      <c r="Q311">
        <f>'Primary Care Activity'!S27</f>
        <v>0</v>
      </c>
      <c r="R311">
        <f>'Primary Care Activity'!T27</f>
        <v>0</v>
      </c>
      <c r="S311">
        <f>'Primary Care Activity'!U27</f>
        <v>0</v>
      </c>
      <c r="AH311">
        <f>'Primary Care Activity'!C27</f>
        <v>0</v>
      </c>
      <c r="AI311">
        <f>'Primary Care Activity'!D27</f>
        <v>0</v>
      </c>
      <c r="AN311">
        <f>'Primary Care Activity'!E27</f>
        <v>0</v>
      </c>
      <c r="AO311">
        <f>'Primary Care Activity'!F27</f>
        <v>0</v>
      </c>
      <c r="AP311">
        <f>'Primary Care Activity'!G27</f>
        <v>0</v>
      </c>
      <c r="AU311">
        <f>'Primary Care Activity'!AI27</f>
        <v>0</v>
      </c>
      <c r="AV311">
        <f>'Primary Care Activity'!W27</f>
        <v>0</v>
      </c>
      <c r="AW311">
        <f>'Primary Care Activity'!X27</f>
        <v>0</v>
      </c>
      <c r="AX311">
        <f>'Primary Care Activity'!Y27</f>
        <v>0</v>
      </c>
      <c r="AY311">
        <f>'Primary Care Activity'!Z27</f>
        <v>0</v>
      </c>
      <c r="AZ311">
        <f>'Primary Care Activity'!AA27</f>
        <v>0</v>
      </c>
      <c r="BA311">
        <f>'Primary Care Activity'!AB27</f>
        <v>0</v>
      </c>
      <c r="BB311">
        <f>'Primary Care Activity'!AC27</f>
        <v>0</v>
      </c>
      <c r="BC311">
        <f>'Primary Care Activity'!AD27</f>
        <v>0</v>
      </c>
      <c r="BD311">
        <f>'Primary Care Activity'!AE27</f>
        <v>0</v>
      </c>
      <c r="BE311">
        <f>'Primary Care Activity'!AF27</f>
        <v>0</v>
      </c>
      <c r="BF311">
        <f>'Primary Care Activity'!AG27</f>
        <v>0</v>
      </c>
      <c r="BG311">
        <f>'Primary Care Activity'!AH27</f>
        <v>0</v>
      </c>
    </row>
    <row r="312" spans="1:59" hidden="1">
      <c r="A312" t="str">
        <f>'[1]Front Sheet and Checklist'!$C$5</f>
        <v>(please select from drop down)</v>
      </c>
      <c r="B312" t="s">
        <v>11</v>
      </c>
      <c r="D312" t="str">
        <f>'Primary Care Activity'!$B$28</f>
        <v>3. GMS</v>
      </c>
      <c r="F312" t="str">
        <f>'Primary Care Activity'!B28</f>
        <v>3. GMS</v>
      </c>
      <c r="G312">
        <f>'Primary Care Activity'!I28</f>
        <v>0</v>
      </c>
      <c r="H312">
        <f>'Primary Care Activity'!J28</f>
        <v>0</v>
      </c>
      <c r="I312">
        <f>'Primary Care Activity'!K28</f>
        <v>0</v>
      </c>
      <c r="J312">
        <f>'Primary Care Activity'!L28</f>
        <v>0</v>
      </c>
      <c r="K312">
        <f>'Primary Care Activity'!M28</f>
        <v>0</v>
      </c>
      <c r="L312">
        <f>'Primary Care Activity'!N28</f>
        <v>0</v>
      </c>
      <c r="M312">
        <f>'Primary Care Activity'!O28</f>
        <v>0</v>
      </c>
      <c r="N312">
        <f>'Primary Care Activity'!P28</f>
        <v>0</v>
      </c>
      <c r="O312">
        <f>'Primary Care Activity'!Q28</f>
        <v>0</v>
      </c>
      <c r="P312">
        <f>'Primary Care Activity'!R28</f>
        <v>0</v>
      </c>
      <c r="Q312">
        <f>'Primary Care Activity'!S28</f>
        <v>0</v>
      </c>
      <c r="R312">
        <f>'Primary Care Activity'!T28</f>
        <v>0</v>
      </c>
      <c r="S312">
        <f>'Primary Care Activity'!U28</f>
        <v>0</v>
      </c>
      <c r="AH312">
        <f>'Primary Care Activity'!C28</f>
        <v>0</v>
      </c>
      <c r="AI312">
        <f>'Primary Care Activity'!D28</f>
        <v>0</v>
      </c>
      <c r="AN312">
        <f>'Primary Care Activity'!E28</f>
        <v>0</v>
      </c>
      <c r="AO312">
        <f>'Primary Care Activity'!F28</f>
        <v>0</v>
      </c>
      <c r="AP312">
        <f>'Primary Care Activity'!G28</f>
        <v>0</v>
      </c>
      <c r="AU312">
        <f>'Primary Care Activity'!AI28</f>
        <v>0</v>
      </c>
      <c r="AV312">
        <f>'Primary Care Activity'!W28</f>
        <v>0</v>
      </c>
      <c r="AW312">
        <f>'Primary Care Activity'!X28</f>
        <v>0</v>
      </c>
      <c r="AX312">
        <f>'Primary Care Activity'!Y28</f>
        <v>0</v>
      </c>
      <c r="AY312">
        <f>'Primary Care Activity'!Z28</f>
        <v>0</v>
      </c>
      <c r="AZ312">
        <f>'Primary Care Activity'!AA28</f>
        <v>0</v>
      </c>
      <c r="BA312">
        <f>'Primary Care Activity'!AB28</f>
        <v>0</v>
      </c>
      <c r="BB312">
        <f>'Primary Care Activity'!AC28</f>
        <v>0</v>
      </c>
      <c r="BC312">
        <f>'Primary Care Activity'!AD28</f>
        <v>0</v>
      </c>
      <c r="BD312">
        <f>'Primary Care Activity'!AE28</f>
        <v>0</v>
      </c>
      <c r="BE312">
        <f>'Primary Care Activity'!AF28</f>
        <v>0</v>
      </c>
      <c r="BF312">
        <f>'Primary Care Activity'!AG28</f>
        <v>0</v>
      </c>
      <c r="BG312">
        <f>'Primary Care Activity'!AH28</f>
        <v>0</v>
      </c>
    </row>
    <row r="313" spans="1:59" hidden="1">
      <c r="A313" t="str">
        <f>'[1]Front Sheet and Checklist'!$C$5</f>
        <v>(please select from drop down)</v>
      </c>
      <c r="B313" t="s">
        <v>11</v>
      </c>
      <c r="D313" t="str">
        <f>'Primary Care Activity'!$B$28</f>
        <v>3. GMS</v>
      </c>
      <c r="F313" t="str">
        <f>'Primary Care Activity'!B29</f>
        <v xml:space="preserve">DSS for Care Homes – % of practices contracted </v>
      </c>
      <c r="G313">
        <f>'Primary Care Activity'!I29</f>
        <v>0.69</v>
      </c>
      <c r="H313">
        <f>'Primary Care Activity'!J29</f>
        <v>0.69</v>
      </c>
      <c r="I313">
        <f>'Primary Care Activity'!K29</f>
        <v>0.69</v>
      </c>
      <c r="J313">
        <f>'Primary Care Activity'!L29</f>
        <v>0.69</v>
      </c>
      <c r="K313">
        <f>'Primary Care Activity'!M29</f>
        <v>0.69</v>
      </c>
      <c r="L313">
        <f>'Primary Care Activity'!N29</f>
        <v>0.69</v>
      </c>
      <c r="M313">
        <f>'Primary Care Activity'!O29</f>
        <v>0.69</v>
      </c>
      <c r="N313">
        <f>'Primary Care Activity'!P29</f>
        <v>0.69</v>
      </c>
      <c r="O313">
        <f>'Primary Care Activity'!Q29</f>
        <v>0.69</v>
      </c>
      <c r="P313">
        <f>'Primary Care Activity'!R29</f>
        <v>0.69</v>
      </c>
      <c r="Q313">
        <f>'Primary Care Activity'!S29</f>
        <v>0.69</v>
      </c>
      <c r="R313">
        <f>'Primary Care Activity'!T29</f>
        <v>0.69</v>
      </c>
      <c r="S313">
        <f>'Primary Care Activity'!U29</f>
        <v>0.68999999999999984</v>
      </c>
      <c r="AH313">
        <f>'Primary Care Activity'!C29</f>
        <v>0.69</v>
      </c>
      <c r="AI313">
        <f>'Primary Care Activity'!D29</f>
        <v>0.69</v>
      </c>
      <c r="AN313">
        <f>'Primary Care Activity'!E29</f>
        <v>0.68999999999999984</v>
      </c>
      <c r="AO313">
        <f>'Primary Care Activity'!F29</f>
        <v>0</v>
      </c>
      <c r="AP313">
        <f>'Primary Care Activity'!G29</f>
        <v>0</v>
      </c>
      <c r="AU313">
        <f>'Primary Care Activity'!AI29</f>
        <v>8.2799999999999976</v>
      </c>
      <c r="AV313">
        <f>'Primary Care Activity'!W29</f>
        <v>0.69</v>
      </c>
      <c r="AW313">
        <f>'Primary Care Activity'!X29</f>
        <v>0.69</v>
      </c>
      <c r="AX313">
        <f>'Primary Care Activity'!Y29</f>
        <v>0.69</v>
      </c>
      <c r="AY313">
        <f>'Primary Care Activity'!Z29</f>
        <v>0.69</v>
      </c>
      <c r="AZ313">
        <f>'Primary Care Activity'!AA29</f>
        <v>0.69</v>
      </c>
      <c r="BA313">
        <f>'Primary Care Activity'!AB29</f>
        <v>0.69</v>
      </c>
      <c r="BB313">
        <f>'Primary Care Activity'!AC29</f>
        <v>0.69</v>
      </c>
      <c r="BC313">
        <f>'Primary Care Activity'!AD29</f>
        <v>0.69</v>
      </c>
      <c r="BD313">
        <f>'Primary Care Activity'!AE29</f>
        <v>0.69</v>
      </c>
      <c r="BE313">
        <f>'Primary Care Activity'!AF29</f>
        <v>0.69</v>
      </c>
      <c r="BF313">
        <f>'Primary Care Activity'!AG29</f>
        <v>0.69</v>
      </c>
      <c r="BG313">
        <f>'Primary Care Activity'!AH29</f>
        <v>0.69</v>
      </c>
    </row>
    <row r="314" spans="1:59" hidden="1">
      <c r="A314" t="str">
        <f>'[1]Front Sheet and Checklist'!$C$5</f>
        <v>(please select from drop down)</v>
      </c>
      <c r="B314" t="s">
        <v>11</v>
      </c>
      <c r="D314" t="str">
        <f>'Primary Care Activity'!$B$28</f>
        <v>3. GMS</v>
      </c>
      <c r="F314" t="str">
        <f>'Primary Care Activity'!B30</f>
        <v>Total number of prescriptions issued as 56-day duration as a percentage of total eligible repeat prescriptions issued.</v>
      </c>
      <c r="G314">
        <f>'Primary Care Activity'!I30</f>
        <v>0</v>
      </c>
      <c r="H314">
        <f>'Primary Care Activity'!J30</f>
        <v>0</v>
      </c>
      <c r="I314">
        <f>'Primary Care Activity'!K30</f>
        <v>0</v>
      </c>
      <c r="J314">
        <f>'Primary Care Activity'!L30</f>
        <v>0</v>
      </c>
      <c r="K314">
        <f>'Primary Care Activity'!M30</f>
        <v>0</v>
      </c>
      <c r="L314">
        <f>'Primary Care Activity'!N30</f>
        <v>0</v>
      </c>
      <c r="M314">
        <f>'Primary Care Activity'!O30</f>
        <v>0</v>
      </c>
      <c r="N314">
        <f>'Primary Care Activity'!P30</f>
        <v>0</v>
      </c>
      <c r="O314">
        <f>'Primary Care Activity'!Q30</f>
        <v>0</v>
      </c>
      <c r="P314">
        <f>'Primary Care Activity'!R30</f>
        <v>0</v>
      </c>
      <c r="Q314">
        <f>'Primary Care Activity'!S30</f>
        <v>0</v>
      </c>
      <c r="R314" t="str">
        <f>'Primary Care Activity'!T30</f>
        <v>N/A</v>
      </c>
      <c r="S314">
        <f>'Primary Care Activity'!U30</f>
        <v>0</v>
      </c>
      <c r="AH314">
        <f>'Primary Care Activity'!C30</f>
        <v>0</v>
      </c>
      <c r="AI314">
        <f>'Primary Care Activity'!D30</f>
        <v>0</v>
      </c>
      <c r="AN314">
        <f>'Primary Care Activity'!E30</f>
        <v>0</v>
      </c>
      <c r="AO314">
        <f>'Primary Care Activity'!F30</f>
        <v>0</v>
      </c>
      <c r="AP314">
        <f>'Primary Care Activity'!G30</f>
        <v>0</v>
      </c>
      <c r="AU314">
        <f>'Primary Care Activity'!AI30</f>
        <v>0</v>
      </c>
      <c r="AV314">
        <f>'Primary Care Activity'!W30</f>
        <v>0</v>
      </c>
      <c r="AW314">
        <f>'Primary Care Activity'!X30</f>
        <v>0</v>
      </c>
      <c r="AX314">
        <f>'Primary Care Activity'!Y30</f>
        <v>0</v>
      </c>
      <c r="AY314">
        <f>'Primary Care Activity'!Z30</f>
        <v>0</v>
      </c>
      <c r="AZ314">
        <f>'Primary Care Activity'!AA30</f>
        <v>0</v>
      </c>
      <c r="BA314">
        <f>'Primary Care Activity'!AB30</f>
        <v>0</v>
      </c>
      <c r="BB314">
        <f>'Primary Care Activity'!AC30</f>
        <v>0</v>
      </c>
      <c r="BC314">
        <f>'Primary Care Activity'!AD30</f>
        <v>0</v>
      </c>
      <c r="BD314">
        <f>'Primary Care Activity'!AE30</f>
        <v>0</v>
      </c>
      <c r="BE314">
        <f>'Primary Care Activity'!AF30</f>
        <v>0</v>
      </c>
      <c r="BF314">
        <f>'Primary Care Activity'!AG30</f>
        <v>0</v>
      </c>
      <c r="BG314">
        <f>'Primary Care Activity'!AH30</f>
        <v>0</v>
      </c>
    </row>
    <row r="315" spans="1:59" hidden="1">
      <c r="A315" t="str">
        <f>'[1]Front Sheet and Checklist'!$C$5</f>
        <v>(please select from drop down)</v>
      </c>
      <c r="B315" t="s">
        <v>11</v>
      </c>
      <c r="D315" t="str">
        <f>'Primary Care Activity'!$B$28</f>
        <v>3. GMS</v>
      </c>
      <c r="F315" t="str">
        <f>'Primary Care Activity'!B31</f>
        <v>WTE doctors in General Practice per 10,000 weighted patients.</v>
      </c>
      <c r="G315">
        <f>'Primary Care Activity'!I31</f>
        <v>4.63</v>
      </c>
      <c r="H315">
        <f>'Primary Care Activity'!J31</f>
        <v>4.63</v>
      </c>
      <c r="I315">
        <f>'Primary Care Activity'!K31</f>
        <v>4.63</v>
      </c>
      <c r="J315">
        <f>'Primary Care Activity'!L31</f>
        <v>4.63</v>
      </c>
      <c r="K315">
        <f>'Primary Care Activity'!M31</f>
        <v>4.63</v>
      </c>
      <c r="L315">
        <f>'Primary Care Activity'!N31</f>
        <v>4.63</v>
      </c>
      <c r="M315">
        <f>'Primary Care Activity'!O31</f>
        <v>4.63</v>
      </c>
      <c r="N315">
        <f>'Primary Care Activity'!P31</f>
        <v>4.63</v>
      </c>
      <c r="O315">
        <f>'Primary Care Activity'!Q31</f>
        <v>4.63</v>
      </c>
      <c r="P315">
        <f>'Primary Care Activity'!R31</f>
        <v>4.63</v>
      </c>
      <c r="Q315">
        <f>'Primary Care Activity'!S31</f>
        <v>4.63</v>
      </c>
      <c r="R315">
        <f>'Primary Care Activity'!T31</f>
        <v>4.63</v>
      </c>
      <c r="S315">
        <f>'Primary Care Activity'!U31</f>
        <v>55.560000000000009</v>
      </c>
      <c r="AH315">
        <f>'Primary Care Activity'!C31</f>
        <v>4.63</v>
      </c>
      <c r="AI315">
        <f>'Primary Care Activity'!D31</f>
        <v>4.63</v>
      </c>
      <c r="AN315">
        <f>'Primary Care Activity'!E31</f>
        <v>55.560000000000009</v>
      </c>
      <c r="AO315">
        <f>'Primary Care Activity'!F31</f>
        <v>0</v>
      </c>
      <c r="AP315">
        <f>'Primary Care Activity'!G31</f>
        <v>0</v>
      </c>
      <c r="AU315">
        <f>'Primary Care Activity'!AI31</f>
        <v>76.399999999999991</v>
      </c>
      <c r="AV315">
        <f>'Primary Care Activity'!W31</f>
        <v>5</v>
      </c>
      <c r="AW315">
        <f>'Primary Care Activity'!X31</f>
        <v>5</v>
      </c>
      <c r="AX315">
        <f>'Primary Care Activity'!Y31</f>
        <v>5</v>
      </c>
      <c r="AY315">
        <f>'Primary Care Activity'!Z31</f>
        <v>6.8</v>
      </c>
      <c r="AZ315">
        <f>'Primary Care Activity'!AA31</f>
        <v>6.8</v>
      </c>
      <c r="BA315">
        <f>'Primary Care Activity'!AB31</f>
        <v>6.8</v>
      </c>
      <c r="BB315">
        <f>'Primary Care Activity'!AC31</f>
        <v>6.9</v>
      </c>
      <c r="BC315">
        <f>'Primary Care Activity'!AD31</f>
        <v>6.8</v>
      </c>
      <c r="BD315">
        <f>'Primary Care Activity'!AE31</f>
        <v>6.8</v>
      </c>
      <c r="BE315">
        <f>'Primary Care Activity'!AF31</f>
        <v>6.8</v>
      </c>
      <c r="BF315">
        <f>'Primary Care Activity'!AG31</f>
        <v>6.8</v>
      </c>
      <c r="BG315">
        <f>'Primary Care Activity'!AH31</f>
        <v>6.9</v>
      </c>
    </row>
    <row r="316" spans="1:59" hidden="1">
      <c r="A316" t="str">
        <f>'[1]Front Sheet and Checklist'!$C$5</f>
        <v>(please select from drop down)</v>
      </c>
      <c r="B316" t="s">
        <v>11</v>
      </c>
      <c r="D316" t="str">
        <f>'Primary Care Activity'!$B$28</f>
        <v>3. GMS</v>
      </c>
      <c r="F316" t="str">
        <f>'Primary Care Activity'!B32</f>
        <v>Number of direct patient care staff in GP practices.</v>
      </c>
      <c r="G316">
        <f>'Primary Care Activity'!I32</f>
        <v>110</v>
      </c>
      <c r="H316">
        <f>'Primary Care Activity'!J32</f>
        <v>110</v>
      </c>
      <c r="I316">
        <f>'Primary Care Activity'!K32</f>
        <v>110</v>
      </c>
      <c r="J316">
        <f>'Primary Care Activity'!L32</f>
        <v>110</v>
      </c>
      <c r="K316">
        <f>'Primary Care Activity'!M32</f>
        <v>110</v>
      </c>
      <c r="L316">
        <f>'Primary Care Activity'!N32</f>
        <v>110</v>
      </c>
      <c r="M316">
        <f>'Primary Care Activity'!O32</f>
        <v>110</v>
      </c>
      <c r="N316">
        <f>'Primary Care Activity'!P32</f>
        <v>110</v>
      </c>
      <c r="O316">
        <f>'Primary Care Activity'!Q32</f>
        <v>110</v>
      </c>
      <c r="P316">
        <f>'Primary Care Activity'!R32</f>
        <v>110</v>
      </c>
      <c r="Q316">
        <f>'Primary Care Activity'!S32</f>
        <v>110</v>
      </c>
      <c r="R316">
        <f>'Primary Care Activity'!T32</f>
        <v>110</v>
      </c>
      <c r="S316">
        <f>'Primary Care Activity'!U32</f>
        <v>1320</v>
      </c>
      <c r="AH316">
        <f>'Primary Care Activity'!C32</f>
        <v>110</v>
      </c>
      <c r="AI316">
        <f>'Primary Care Activity'!D32</f>
        <v>110</v>
      </c>
      <c r="AN316">
        <f>'Primary Care Activity'!E32</f>
        <v>1320</v>
      </c>
      <c r="AO316">
        <f>'Primary Care Activity'!F32</f>
        <v>0</v>
      </c>
      <c r="AP316">
        <f>'Primary Care Activity'!G32</f>
        <v>0</v>
      </c>
      <c r="AU316">
        <f>'Primary Care Activity'!AI32</f>
        <v>947</v>
      </c>
      <c r="AV316">
        <f>'Primary Care Activity'!W32</f>
        <v>0</v>
      </c>
      <c r="AW316">
        <f>'Primary Care Activity'!X32</f>
        <v>0</v>
      </c>
      <c r="AX316">
        <f>'Primary Care Activity'!Y32</f>
        <v>0</v>
      </c>
      <c r="AY316">
        <f>'Primary Care Activity'!Z32</f>
        <v>109</v>
      </c>
      <c r="AZ316">
        <f>'Primary Care Activity'!AA32</f>
        <v>108</v>
      </c>
      <c r="BA316">
        <f>'Primary Care Activity'!AB32</f>
        <v>107</v>
      </c>
      <c r="BB316">
        <f>'Primary Care Activity'!AC32</f>
        <v>110</v>
      </c>
      <c r="BC316">
        <f>'Primary Care Activity'!AD32</f>
        <v>105</v>
      </c>
      <c r="BD316">
        <f>'Primary Care Activity'!AE32</f>
        <v>102</v>
      </c>
      <c r="BE316">
        <f>'Primary Care Activity'!AF32</f>
        <v>102</v>
      </c>
      <c r="BF316">
        <f>'Primary Care Activity'!AG32</f>
        <v>102</v>
      </c>
      <c r="BG316">
        <f>'Primary Care Activity'!AH32</f>
        <v>102</v>
      </c>
    </row>
    <row r="317" spans="1:59" hidden="1">
      <c r="A317" t="str">
        <f>'[1]Front Sheet and Checklist'!$C$5</f>
        <v>(please select from drop down)</v>
      </c>
      <c r="B317" t="s">
        <v>11</v>
      </c>
      <c r="D317" t="str">
        <f>'Primary Care Activity'!$B$28</f>
        <v>3. GMS</v>
      </c>
      <c r="F317" t="str">
        <f>'Primary Care Activity'!B33</f>
        <v xml:space="preserve">Proportion of people aged 14 and over with a learning disability on the GP register receiving an annual health check </v>
      </c>
      <c r="G317">
        <f>'Primary Care Activity'!I33</f>
        <v>0</v>
      </c>
      <c r="H317">
        <f>'Primary Care Activity'!J33</f>
        <v>0</v>
      </c>
      <c r="I317">
        <f>'Primary Care Activity'!K33</f>
        <v>0</v>
      </c>
      <c r="J317">
        <f>'Primary Care Activity'!L33</f>
        <v>0</v>
      </c>
      <c r="K317">
        <f>'Primary Care Activity'!M33</f>
        <v>0</v>
      </c>
      <c r="L317">
        <f>'Primary Care Activity'!N33</f>
        <v>0</v>
      </c>
      <c r="M317">
        <f>'Primary Care Activity'!O33</f>
        <v>0</v>
      </c>
      <c r="N317">
        <f>'Primary Care Activity'!P33</f>
        <v>0</v>
      </c>
      <c r="O317">
        <f>'Primary Care Activity'!Q33</f>
        <v>0</v>
      </c>
      <c r="P317">
        <f>'Primary Care Activity'!R33</f>
        <v>0</v>
      </c>
      <c r="Q317">
        <f>'Primary Care Activity'!S33</f>
        <v>0</v>
      </c>
      <c r="R317" t="str">
        <f>'Primary Care Activity'!T33</f>
        <v>N/A</v>
      </c>
      <c r="S317">
        <f>'Primary Care Activity'!U33</f>
        <v>0</v>
      </c>
      <c r="AH317">
        <f>'Primary Care Activity'!C33</f>
        <v>0</v>
      </c>
      <c r="AI317">
        <f>'Primary Care Activity'!D33</f>
        <v>0</v>
      </c>
      <c r="AN317">
        <f>'Primary Care Activity'!E33</f>
        <v>0</v>
      </c>
      <c r="AO317">
        <f>'Primary Care Activity'!F33</f>
        <v>0</v>
      </c>
      <c r="AP317">
        <f>'Primary Care Activity'!G33</f>
        <v>0</v>
      </c>
      <c r="AU317">
        <f>'Primary Care Activity'!AI33</f>
        <v>0</v>
      </c>
      <c r="AV317">
        <f>'Primary Care Activity'!W33</f>
        <v>0</v>
      </c>
      <c r="AW317">
        <f>'Primary Care Activity'!X33</f>
        <v>0</v>
      </c>
      <c r="AX317">
        <f>'Primary Care Activity'!Y33</f>
        <v>0</v>
      </c>
      <c r="AY317">
        <f>'Primary Care Activity'!Z33</f>
        <v>0</v>
      </c>
      <c r="AZ317">
        <f>'Primary Care Activity'!AA33</f>
        <v>0</v>
      </c>
      <c r="BA317">
        <f>'Primary Care Activity'!AB33</f>
        <v>0</v>
      </c>
      <c r="BB317">
        <f>'Primary Care Activity'!AC33</f>
        <v>0</v>
      </c>
      <c r="BC317">
        <f>'Primary Care Activity'!AD33</f>
        <v>0</v>
      </c>
      <c r="BD317">
        <f>'Primary Care Activity'!AE33</f>
        <v>0</v>
      </c>
      <c r="BE317">
        <f>'Primary Care Activity'!AF33</f>
        <v>0</v>
      </c>
      <c r="BF317">
        <f>'Primary Care Activity'!AG33</f>
        <v>0</v>
      </c>
      <c r="BG317">
        <f>'Primary Care Activity'!AH33</f>
        <v>0</v>
      </c>
    </row>
    <row r="318" spans="1:59" hidden="1">
      <c r="A318" t="str">
        <f>'[1]Front Sheet and Checklist'!$C$5</f>
        <v>(please select from drop down)</v>
      </c>
      <c r="B318" t="s">
        <v>11</v>
      </c>
      <c r="D318" t="str">
        <f>'Primary Care Activity'!$B$28</f>
        <v>3. GMS</v>
      </c>
      <c r="F318" t="str">
        <f>'Primary Care Activity'!B34</f>
        <v xml:space="preserve">% of population who experience long-term conditions and disease prevalence - mandated for practices via the GMS contract. 
</v>
      </c>
      <c r="G318">
        <f>'Primary Care Activity'!I34</f>
        <v>0</v>
      </c>
      <c r="H318">
        <f>'Primary Care Activity'!J34</f>
        <v>0</v>
      </c>
      <c r="I318">
        <f>'Primary Care Activity'!K34</f>
        <v>0</v>
      </c>
      <c r="J318">
        <f>'Primary Care Activity'!L34</f>
        <v>0</v>
      </c>
      <c r="K318">
        <f>'Primary Care Activity'!M34</f>
        <v>0</v>
      </c>
      <c r="L318">
        <f>'Primary Care Activity'!N34</f>
        <v>0</v>
      </c>
      <c r="M318">
        <f>'Primary Care Activity'!O34</f>
        <v>0</v>
      </c>
      <c r="N318">
        <f>'Primary Care Activity'!P34</f>
        <v>0</v>
      </c>
      <c r="O318">
        <f>'Primary Care Activity'!Q34</f>
        <v>0</v>
      </c>
      <c r="P318">
        <f>'Primary Care Activity'!R34</f>
        <v>0</v>
      </c>
      <c r="Q318">
        <f>'Primary Care Activity'!S34</f>
        <v>0</v>
      </c>
      <c r="R318" t="str">
        <f>'Primary Care Activity'!T34</f>
        <v>N/A</v>
      </c>
      <c r="S318">
        <f>'Primary Care Activity'!U34</f>
        <v>0</v>
      </c>
      <c r="AH318">
        <f>'Primary Care Activity'!C34</f>
        <v>0</v>
      </c>
      <c r="AI318">
        <f>'Primary Care Activity'!D34</f>
        <v>0</v>
      </c>
      <c r="AN318">
        <f>'Primary Care Activity'!E34</f>
        <v>0</v>
      </c>
      <c r="AO318">
        <f>'Primary Care Activity'!F34</f>
        <v>0</v>
      </c>
      <c r="AP318">
        <f>'Primary Care Activity'!G34</f>
        <v>0</v>
      </c>
      <c r="AU318">
        <f>'Primary Care Activity'!AI34</f>
        <v>0</v>
      </c>
      <c r="AV318">
        <f>'Primary Care Activity'!W34</f>
        <v>0</v>
      </c>
      <c r="AW318">
        <f>'Primary Care Activity'!X34</f>
        <v>0</v>
      </c>
      <c r="AX318">
        <f>'Primary Care Activity'!Y34</f>
        <v>0</v>
      </c>
      <c r="AY318">
        <f>'Primary Care Activity'!Z34</f>
        <v>0</v>
      </c>
      <c r="AZ318">
        <f>'Primary Care Activity'!AA34</f>
        <v>0</v>
      </c>
      <c r="BA318">
        <f>'Primary Care Activity'!AB34</f>
        <v>0</v>
      </c>
      <c r="BB318">
        <f>'Primary Care Activity'!AC34</f>
        <v>0</v>
      </c>
      <c r="BC318">
        <f>'Primary Care Activity'!AD34</f>
        <v>0</v>
      </c>
      <c r="BD318">
        <f>'Primary Care Activity'!AE34</f>
        <v>0</v>
      </c>
      <c r="BE318">
        <f>'Primary Care Activity'!AF34</f>
        <v>0</v>
      </c>
      <c r="BF318">
        <f>'Primary Care Activity'!AG34</f>
        <v>0</v>
      </c>
      <c r="BG318">
        <f>'Primary Care Activity'!AH34</f>
        <v>0</v>
      </c>
    </row>
    <row r="319" spans="1:59" hidden="1">
      <c r="A319" t="str">
        <f>'[1]Front Sheet and Checklist'!$C$5</f>
        <v>(please select from drop down)</v>
      </c>
      <c r="B319" t="s">
        <v>11</v>
      </c>
      <c r="D319" t="str">
        <f>'Primary Care Activity'!$B$28</f>
        <v>3. GMS</v>
      </c>
      <c r="F319" t="str">
        <f>'Primary Care Activity'!B35</f>
        <v>% of GMS practices that are HB managed practices</v>
      </c>
      <c r="G319">
        <f>'Primary Care Activity'!I35</f>
        <v>0</v>
      </c>
      <c r="H319">
        <f>'Primary Care Activity'!J35</f>
        <v>0</v>
      </c>
      <c r="I319">
        <f>'Primary Care Activity'!K35</f>
        <v>0</v>
      </c>
      <c r="J319">
        <f>'Primary Care Activity'!L35</f>
        <v>0</v>
      </c>
      <c r="K319">
        <f>'Primary Care Activity'!M35</f>
        <v>0</v>
      </c>
      <c r="L319">
        <f>'Primary Care Activity'!N35</f>
        <v>0</v>
      </c>
      <c r="M319">
        <f>'Primary Care Activity'!O35</f>
        <v>0</v>
      </c>
      <c r="N319">
        <f>'Primary Care Activity'!P35</f>
        <v>0</v>
      </c>
      <c r="O319">
        <f>'Primary Care Activity'!Q35</f>
        <v>0</v>
      </c>
      <c r="P319">
        <f>'Primary Care Activity'!R35</f>
        <v>0</v>
      </c>
      <c r="Q319">
        <f>'Primary Care Activity'!S35</f>
        <v>0</v>
      </c>
      <c r="R319">
        <f>'Primary Care Activity'!T35</f>
        <v>0</v>
      </c>
      <c r="S319">
        <f>'Primary Care Activity'!U35</f>
        <v>0</v>
      </c>
      <c r="AH319">
        <f>'Primary Care Activity'!C35</f>
        <v>0.02</v>
      </c>
      <c r="AI319">
        <f>'Primary Care Activity'!D35</f>
        <v>0.02</v>
      </c>
      <c r="AN319">
        <f>'Primary Care Activity'!E35</f>
        <v>0</v>
      </c>
      <c r="AO319">
        <f>'Primary Care Activity'!F35</f>
        <v>0</v>
      </c>
      <c r="AP319">
        <f>'Primary Care Activity'!G35</f>
        <v>0</v>
      </c>
      <c r="AU319">
        <f>'Primary Care Activity'!AI35</f>
        <v>0.08</v>
      </c>
      <c r="AV319">
        <f>'Primary Care Activity'!W35</f>
        <v>0.02</v>
      </c>
      <c r="AW319">
        <f>'Primary Care Activity'!X35</f>
        <v>0.02</v>
      </c>
      <c r="AX319">
        <f>'Primary Care Activity'!Y35</f>
        <v>0.02</v>
      </c>
      <c r="AY319">
        <f>'Primary Care Activity'!Z35</f>
        <v>0.02</v>
      </c>
      <c r="AZ319">
        <f>'Primary Care Activity'!AA35</f>
        <v>0</v>
      </c>
      <c r="BA319">
        <f>'Primary Care Activity'!AB35</f>
        <v>0</v>
      </c>
      <c r="BB319">
        <f>'Primary Care Activity'!AC35</f>
        <v>0</v>
      </c>
      <c r="BC319">
        <f>'Primary Care Activity'!AD35</f>
        <v>0</v>
      </c>
      <c r="BD319">
        <f>'Primary Care Activity'!AE35</f>
        <v>0</v>
      </c>
      <c r="BE319">
        <f>'Primary Care Activity'!AF35</f>
        <v>0</v>
      </c>
      <c r="BF319">
        <f>'Primary Care Activity'!AG35</f>
        <v>0</v>
      </c>
      <c r="BG319">
        <f>'Primary Care Activity'!AH35</f>
        <v>0</v>
      </c>
    </row>
    <row r="320" spans="1:59" hidden="1">
      <c r="A320" t="str">
        <f>'[1]Front Sheet and Checklist'!$C$5</f>
        <v>(please select from drop down)</v>
      </c>
      <c r="B320" t="s">
        <v>11</v>
      </c>
      <c r="F320">
        <f>'Primary Care Activity'!B36</f>
        <v>0</v>
      </c>
      <c r="G320">
        <f>'Primary Care Activity'!I36</f>
        <v>0</v>
      </c>
      <c r="H320">
        <f>'Primary Care Activity'!J36</f>
        <v>0</v>
      </c>
      <c r="I320">
        <f>'Primary Care Activity'!K36</f>
        <v>0</v>
      </c>
      <c r="J320">
        <f>'Primary Care Activity'!L36</f>
        <v>0</v>
      </c>
      <c r="K320">
        <f>'Primary Care Activity'!M36</f>
        <v>0</v>
      </c>
      <c r="L320">
        <f>'Primary Care Activity'!N36</f>
        <v>0</v>
      </c>
      <c r="M320">
        <f>'Primary Care Activity'!O36</f>
        <v>0</v>
      </c>
      <c r="N320">
        <f>'Primary Care Activity'!P36</f>
        <v>0</v>
      </c>
      <c r="O320">
        <f>'Primary Care Activity'!Q36</f>
        <v>0</v>
      </c>
      <c r="P320">
        <f>'Primary Care Activity'!R36</f>
        <v>0</v>
      </c>
      <c r="Q320">
        <f>'Primary Care Activity'!S36</f>
        <v>0</v>
      </c>
      <c r="R320">
        <f>'Primary Care Activity'!T36</f>
        <v>0</v>
      </c>
      <c r="S320">
        <f>'Primary Care Activity'!U36</f>
        <v>0</v>
      </c>
      <c r="AH320">
        <f>'Primary Care Activity'!C36</f>
        <v>0</v>
      </c>
      <c r="AI320">
        <f>'Primary Care Activity'!D36</f>
        <v>0</v>
      </c>
      <c r="AN320">
        <f>'Primary Care Activity'!E36</f>
        <v>0</v>
      </c>
      <c r="AO320">
        <f>'Primary Care Activity'!F36</f>
        <v>0</v>
      </c>
      <c r="AP320">
        <f>'Primary Care Activity'!G36</f>
        <v>0</v>
      </c>
      <c r="AU320">
        <f>'Primary Care Activity'!AI36</f>
        <v>0</v>
      </c>
      <c r="AV320">
        <f>'Primary Care Activity'!W36</f>
        <v>0</v>
      </c>
      <c r="AW320">
        <f>'Primary Care Activity'!X36</f>
        <v>0</v>
      </c>
      <c r="AX320">
        <f>'Primary Care Activity'!Y36</f>
        <v>0</v>
      </c>
      <c r="AY320">
        <f>'Primary Care Activity'!Z36</f>
        <v>0</v>
      </c>
      <c r="AZ320">
        <f>'Primary Care Activity'!AA36</f>
        <v>0</v>
      </c>
      <c r="BA320">
        <f>'Primary Care Activity'!AB36</f>
        <v>0</v>
      </c>
      <c r="BB320">
        <f>'Primary Care Activity'!AC36</f>
        <v>0</v>
      </c>
      <c r="BC320">
        <f>'Primary Care Activity'!AD36</f>
        <v>0</v>
      </c>
      <c r="BD320">
        <f>'Primary Care Activity'!AE36</f>
        <v>0</v>
      </c>
      <c r="BE320">
        <f>'Primary Care Activity'!AF36</f>
        <v>0</v>
      </c>
      <c r="BF320">
        <f>'Primary Care Activity'!AG36</f>
        <v>0</v>
      </c>
      <c r="BG320">
        <f>'Primary Care Activity'!AH36</f>
        <v>0</v>
      </c>
    </row>
    <row r="321" spans="1:59" hidden="1">
      <c r="A321" t="str">
        <f>'[1]Front Sheet and Checklist'!$C$5</f>
        <v>(please select from drop down)</v>
      </c>
      <c r="B321" t="s">
        <v>11</v>
      </c>
      <c r="D321" t="str">
        <f>'Primary Care Activity'!$B$37</f>
        <v>4. Dental Services</v>
      </c>
      <c r="F321" t="str">
        <f>'Primary Care Activity'!B37</f>
        <v>4. Dental Services</v>
      </c>
      <c r="G321">
        <f>'Primary Care Activity'!I37</f>
        <v>0</v>
      </c>
      <c r="H321">
        <f>'Primary Care Activity'!J37</f>
        <v>0</v>
      </c>
      <c r="I321">
        <f>'Primary Care Activity'!K37</f>
        <v>0</v>
      </c>
      <c r="J321">
        <f>'Primary Care Activity'!L37</f>
        <v>0</v>
      </c>
      <c r="K321">
        <f>'Primary Care Activity'!M37</f>
        <v>0</v>
      </c>
      <c r="L321">
        <f>'Primary Care Activity'!N37</f>
        <v>0</v>
      </c>
      <c r="M321">
        <f>'Primary Care Activity'!O37</f>
        <v>0</v>
      </c>
      <c r="N321">
        <f>'Primary Care Activity'!P37</f>
        <v>0</v>
      </c>
      <c r="O321">
        <f>'Primary Care Activity'!Q37</f>
        <v>0</v>
      </c>
      <c r="P321">
        <f>'Primary Care Activity'!R37</f>
        <v>0</v>
      </c>
      <c r="Q321">
        <f>'Primary Care Activity'!S37</f>
        <v>0</v>
      </c>
      <c r="R321">
        <f>'Primary Care Activity'!T37</f>
        <v>0</v>
      </c>
      <c r="S321">
        <f>'Primary Care Activity'!U37</f>
        <v>0</v>
      </c>
      <c r="AH321">
        <f>'Primary Care Activity'!C37</f>
        <v>0</v>
      </c>
      <c r="AI321">
        <f>'Primary Care Activity'!D37</f>
        <v>0</v>
      </c>
      <c r="AN321">
        <f>'Primary Care Activity'!E37</f>
        <v>0</v>
      </c>
      <c r="AO321">
        <f>'Primary Care Activity'!F37</f>
        <v>0</v>
      </c>
      <c r="AP321">
        <f>'Primary Care Activity'!G37</f>
        <v>0</v>
      </c>
      <c r="AU321">
        <f>'Primary Care Activity'!AI37</f>
        <v>0</v>
      </c>
      <c r="AV321">
        <f>'Primary Care Activity'!W37</f>
        <v>0</v>
      </c>
      <c r="AW321">
        <f>'Primary Care Activity'!X37</f>
        <v>0</v>
      </c>
      <c r="AX321">
        <f>'Primary Care Activity'!Y37</f>
        <v>0</v>
      </c>
      <c r="AY321">
        <f>'Primary Care Activity'!Z37</f>
        <v>0</v>
      </c>
      <c r="AZ321">
        <f>'Primary Care Activity'!AA37</f>
        <v>0</v>
      </c>
      <c r="BA321">
        <f>'Primary Care Activity'!AB37</f>
        <v>0</v>
      </c>
      <c r="BB321">
        <f>'Primary Care Activity'!AC37</f>
        <v>0</v>
      </c>
      <c r="BC321">
        <f>'Primary Care Activity'!AD37</f>
        <v>0</v>
      </c>
      <c r="BD321">
        <f>'Primary Care Activity'!AE37</f>
        <v>0</v>
      </c>
      <c r="BE321">
        <f>'Primary Care Activity'!AF37</f>
        <v>0</v>
      </c>
      <c r="BF321">
        <f>'Primary Care Activity'!AG37</f>
        <v>0</v>
      </c>
      <c r="BG321">
        <f>'Primary Care Activity'!AH37</f>
        <v>0</v>
      </c>
    </row>
    <row r="322" spans="1:59" hidden="1">
      <c r="A322" t="str">
        <f>'[1]Front Sheet and Checklist'!$C$5</f>
        <v>(please select from drop down)</v>
      </c>
      <c r="B322" t="s">
        <v>11</v>
      </c>
      <c r="D322" t="str">
        <f>'Primary Care Activity'!$B$37</f>
        <v>4. Dental Services</v>
      </c>
      <c r="F322" t="str">
        <f>'Primary Care Activity'!B38</f>
        <v>% of population (adult) receiving NHS dental care over a 24-month period - General Dental Services (GDS)</v>
      </c>
      <c r="G322">
        <f>'Primary Care Activity'!I38</f>
        <v>0</v>
      </c>
      <c r="H322">
        <f>'Primary Care Activity'!J38</f>
        <v>0</v>
      </c>
      <c r="I322">
        <f>'Primary Care Activity'!K38</f>
        <v>0</v>
      </c>
      <c r="J322">
        <f>'Primary Care Activity'!L38</f>
        <v>0</v>
      </c>
      <c r="K322">
        <f>'Primary Care Activity'!M38</f>
        <v>0</v>
      </c>
      <c r="L322">
        <f>'Primary Care Activity'!N38</f>
        <v>0</v>
      </c>
      <c r="M322">
        <f>'Primary Care Activity'!O38</f>
        <v>0</v>
      </c>
      <c r="N322">
        <f>'Primary Care Activity'!P38</f>
        <v>0</v>
      </c>
      <c r="O322">
        <f>'Primary Care Activity'!Q38</f>
        <v>0</v>
      </c>
      <c r="P322">
        <f>'Primary Care Activity'!R38</f>
        <v>0</v>
      </c>
      <c r="Q322">
        <f>'Primary Care Activity'!S38</f>
        <v>0</v>
      </c>
      <c r="R322">
        <f>'Primary Care Activity'!T38</f>
        <v>0</v>
      </c>
      <c r="S322">
        <f>'Primary Care Activity'!U38</f>
        <v>0</v>
      </c>
      <c r="AH322">
        <f>'Primary Care Activity'!C38</f>
        <v>0.433</v>
      </c>
      <c r="AI322">
        <f>'Primary Care Activity'!D38</f>
        <v>0.433</v>
      </c>
      <c r="AN322">
        <f>'Primary Care Activity'!E38</f>
        <v>0</v>
      </c>
      <c r="AO322">
        <f>'Primary Care Activity'!F38</f>
        <v>0</v>
      </c>
      <c r="AP322">
        <f>'Primary Care Activity'!G38</f>
        <v>0</v>
      </c>
      <c r="AU322">
        <f>'Primary Care Activity'!AI38</f>
        <v>0</v>
      </c>
      <c r="AV322">
        <f>'Primary Care Activity'!W38</f>
        <v>0</v>
      </c>
      <c r="AW322">
        <f>'Primary Care Activity'!X38</f>
        <v>0</v>
      </c>
      <c r="AX322">
        <f>'Primary Care Activity'!Y38</f>
        <v>0</v>
      </c>
      <c r="AY322">
        <f>'Primary Care Activity'!Z38</f>
        <v>0</v>
      </c>
      <c r="AZ322">
        <f>'Primary Care Activity'!AA38</f>
        <v>0</v>
      </c>
      <c r="BA322">
        <f>'Primary Care Activity'!AB38</f>
        <v>0</v>
      </c>
      <c r="BB322">
        <f>'Primary Care Activity'!AC38</f>
        <v>0</v>
      </c>
      <c r="BC322">
        <f>'Primary Care Activity'!AD38</f>
        <v>0</v>
      </c>
      <c r="BD322">
        <f>'Primary Care Activity'!AE38</f>
        <v>0</v>
      </c>
      <c r="BE322">
        <f>'Primary Care Activity'!AF38</f>
        <v>0</v>
      </c>
      <c r="BF322">
        <f>'Primary Care Activity'!AG38</f>
        <v>0</v>
      </c>
      <c r="BG322">
        <f>'Primary Care Activity'!AH38</f>
        <v>0</v>
      </c>
    </row>
    <row r="323" spans="1:59" hidden="1">
      <c r="A323" t="str">
        <f>'[1]Front Sheet and Checklist'!$C$5</f>
        <v>(please select from drop down)</v>
      </c>
      <c r="B323" t="s">
        <v>11</v>
      </c>
      <c r="D323" t="str">
        <f>'Primary Care Activity'!$B$37</f>
        <v>4. Dental Services</v>
      </c>
      <c r="F323" t="str">
        <f>'Primary Care Activity'!B39</f>
        <v>% of population (child) receiving NHS dental care over a 12-month period - General Dental Services (GDS)</v>
      </c>
      <c r="G323">
        <f>'Primary Care Activity'!I39</f>
        <v>0</v>
      </c>
      <c r="H323">
        <f>'Primary Care Activity'!J39</f>
        <v>0</v>
      </c>
      <c r="I323">
        <f>'Primary Care Activity'!K39</f>
        <v>0</v>
      </c>
      <c r="J323">
        <f>'Primary Care Activity'!L39</f>
        <v>0</v>
      </c>
      <c r="K323">
        <f>'Primary Care Activity'!M39</f>
        <v>0</v>
      </c>
      <c r="L323">
        <f>'Primary Care Activity'!N39</f>
        <v>0</v>
      </c>
      <c r="M323">
        <f>'Primary Care Activity'!O39</f>
        <v>0</v>
      </c>
      <c r="N323">
        <f>'Primary Care Activity'!P39</f>
        <v>0</v>
      </c>
      <c r="O323">
        <f>'Primary Care Activity'!Q39</f>
        <v>0</v>
      </c>
      <c r="P323">
        <f>'Primary Care Activity'!R39</f>
        <v>0</v>
      </c>
      <c r="Q323">
        <f>'Primary Care Activity'!S39</f>
        <v>0</v>
      </c>
      <c r="R323">
        <f>'Primary Care Activity'!T39</f>
        <v>0</v>
      </c>
      <c r="S323">
        <f>'Primary Care Activity'!U39</f>
        <v>0</v>
      </c>
      <c r="AH323">
        <f>'Primary Care Activity'!C39</f>
        <v>0.627</v>
      </c>
      <c r="AI323">
        <f>'Primary Care Activity'!D39</f>
        <v>0.627</v>
      </c>
      <c r="AN323">
        <f>'Primary Care Activity'!E39</f>
        <v>0</v>
      </c>
      <c r="AO323">
        <f>'Primary Care Activity'!F39</f>
        <v>0</v>
      </c>
      <c r="AP323">
        <f>'Primary Care Activity'!G39</f>
        <v>0</v>
      </c>
      <c r="AU323">
        <f>'Primary Care Activity'!AI39</f>
        <v>0</v>
      </c>
      <c r="AV323">
        <f>'Primary Care Activity'!W39</f>
        <v>0</v>
      </c>
      <c r="AW323">
        <f>'Primary Care Activity'!X39</f>
        <v>0</v>
      </c>
      <c r="AX323">
        <f>'Primary Care Activity'!Y39</f>
        <v>0</v>
      </c>
      <c r="AY323">
        <f>'Primary Care Activity'!Z39</f>
        <v>0</v>
      </c>
      <c r="AZ323">
        <f>'Primary Care Activity'!AA39</f>
        <v>0</v>
      </c>
      <c r="BA323">
        <f>'Primary Care Activity'!AB39</f>
        <v>0</v>
      </c>
      <c r="BB323">
        <f>'Primary Care Activity'!AC39</f>
        <v>0</v>
      </c>
      <c r="BC323">
        <f>'Primary Care Activity'!AD39</f>
        <v>0</v>
      </c>
      <c r="BD323">
        <f>'Primary Care Activity'!AE39</f>
        <v>0</v>
      </c>
      <c r="BE323">
        <f>'Primary Care Activity'!AF39</f>
        <v>0</v>
      </c>
      <c r="BF323">
        <f>'Primary Care Activity'!AG39</f>
        <v>0</v>
      </c>
      <c r="BG323">
        <f>'Primary Care Activity'!AH39</f>
        <v>0</v>
      </c>
    </row>
    <row r="324" spans="1:59" hidden="1">
      <c r="A324" t="str">
        <f>'[1]Front Sheet and Checklist'!$C$5</f>
        <v>(please select from drop down)</v>
      </c>
      <c r="B324" t="s">
        <v>11</v>
      </c>
      <c r="D324" t="str">
        <f>'Primary Care Activity'!$B$37</f>
        <v>4. Dental Services</v>
      </c>
      <c r="F324" t="str">
        <f>'Primary Care Activity'!B40</f>
        <v>% of population (adult) receiving NHS dental care over a 12-month period - Community Dental Services (CDS)</v>
      </c>
      <c r="G324">
        <f>'Primary Care Activity'!I40</f>
        <v>0</v>
      </c>
      <c r="H324">
        <f>'Primary Care Activity'!J40</f>
        <v>0</v>
      </c>
      <c r="I324">
        <f>'Primary Care Activity'!K40</f>
        <v>0</v>
      </c>
      <c r="J324">
        <f>'Primary Care Activity'!L40</f>
        <v>0</v>
      </c>
      <c r="K324">
        <f>'Primary Care Activity'!M40</f>
        <v>0</v>
      </c>
      <c r="L324">
        <f>'Primary Care Activity'!N40</f>
        <v>0</v>
      </c>
      <c r="M324">
        <f>'Primary Care Activity'!O40</f>
        <v>0</v>
      </c>
      <c r="N324">
        <f>'Primary Care Activity'!P40</f>
        <v>0</v>
      </c>
      <c r="O324">
        <f>'Primary Care Activity'!Q40</f>
        <v>0</v>
      </c>
      <c r="P324">
        <f>'Primary Care Activity'!R40</f>
        <v>0</v>
      </c>
      <c r="Q324">
        <f>'Primary Care Activity'!S40</f>
        <v>0</v>
      </c>
      <c r="R324">
        <f>'Primary Care Activity'!T40</f>
        <v>0</v>
      </c>
      <c r="S324">
        <f>'Primary Care Activity'!U40</f>
        <v>0</v>
      </c>
      <c r="AH324">
        <f>'Primary Care Activity'!C40</f>
        <v>0</v>
      </c>
      <c r="AI324">
        <f>'Primary Care Activity'!D40</f>
        <v>0</v>
      </c>
      <c r="AN324">
        <f>'Primary Care Activity'!E40</f>
        <v>0</v>
      </c>
      <c r="AO324">
        <f>'Primary Care Activity'!F40</f>
        <v>0</v>
      </c>
      <c r="AP324">
        <f>'Primary Care Activity'!G40</f>
        <v>0</v>
      </c>
      <c r="AU324">
        <f>'Primary Care Activity'!AI40</f>
        <v>0</v>
      </c>
      <c r="AV324">
        <f>'Primary Care Activity'!W40</f>
        <v>0</v>
      </c>
      <c r="AW324">
        <f>'Primary Care Activity'!X40</f>
        <v>0</v>
      </c>
      <c r="AX324">
        <f>'Primary Care Activity'!Y40</f>
        <v>0</v>
      </c>
      <c r="AY324">
        <f>'Primary Care Activity'!Z40</f>
        <v>0</v>
      </c>
      <c r="AZ324">
        <f>'Primary Care Activity'!AA40</f>
        <v>0</v>
      </c>
      <c r="BA324">
        <f>'Primary Care Activity'!AB40</f>
        <v>0</v>
      </c>
      <c r="BB324">
        <f>'Primary Care Activity'!AC40</f>
        <v>0</v>
      </c>
      <c r="BC324">
        <f>'Primary Care Activity'!AD40</f>
        <v>0</v>
      </c>
      <c r="BD324">
        <f>'Primary Care Activity'!AE40</f>
        <v>0</v>
      </c>
      <c r="BE324">
        <f>'Primary Care Activity'!AF40</f>
        <v>0</v>
      </c>
      <c r="BF324">
        <f>'Primary Care Activity'!AG40</f>
        <v>0</v>
      </c>
      <c r="BG324">
        <f>'Primary Care Activity'!AH40</f>
        <v>0</v>
      </c>
    </row>
    <row r="325" spans="1:59" hidden="1">
      <c r="A325" t="str">
        <f>'[1]Front Sheet and Checklist'!$C$5</f>
        <v>(please select from drop down)</v>
      </c>
      <c r="B325" t="s">
        <v>11</v>
      </c>
      <c r="D325" t="str">
        <f>'Primary Care Activity'!$B$37</f>
        <v>4. Dental Services</v>
      </c>
      <c r="F325" t="str">
        <f>'Primary Care Activity'!B41</f>
        <v>% of population (child) receiving NHS dental care over a 12-month period - Community Dental Services (CDS)</v>
      </c>
      <c r="G325">
        <f>'Primary Care Activity'!I41</f>
        <v>0</v>
      </c>
      <c r="H325">
        <f>'Primary Care Activity'!J41</f>
        <v>0</v>
      </c>
      <c r="I325">
        <f>'Primary Care Activity'!K41</f>
        <v>0</v>
      </c>
      <c r="J325">
        <f>'Primary Care Activity'!L41</f>
        <v>0</v>
      </c>
      <c r="K325">
        <f>'Primary Care Activity'!M41</f>
        <v>0</v>
      </c>
      <c r="L325">
        <f>'Primary Care Activity'!N41</f>
        <v>0</v>
      </c>
      <c r="M325">
        <f>'Primary Care Activity'!O41</f>
        <v>0</v>
      </c>
      <c r="N325">
        <f>'Primary Care Activity'!P41</f>
        <v>0</v>
      </c>
      <c r="O325">
        <f>'Primary Care Activity'!Q41</f>
        <v>0</v>
      </c>
      <c r="P325">
        <f>'Primary Care Activity'!R41</f>
        <v>0</v>
      </c>
      <c r="Q325">
        <f>'Primary Care Activity'!S41</f>
        <v>0</v>
      </c>
      <c r="R325">
        <f>'Primary Care Activity'!T41</f>
        <v>0</v>
      </c>
      <c r="S325">
        <f>'Primary Care Activity'!U41</f>
        <v>0</v>
      </c>
      <c r="AH325">
        <f>'Primary Care Activity'!C41</f>
        <v>0</v>
      </c>
      <c r="AI325">
        <f>'Primary Care Activity'!D41</f>
        <v>0</v>
      </c>
      <c r="AN325">
        <f>'Primary Care Activity'!E41</f>
        <v>0</v>
      </c>
      <c r="AO325">
        <f>'Primary Care Activity'!F41</f>
        <v>0</v>
      </c>
      <c r="AP325">
        <f>'Primary Care Activity'!G41</f>
        <v>0</v>
      </c>
      <c r="AU325">
        <f>'Primary Care Activity'!AI41</f>
        <v>0</v>
      </c>
      <c r="AV325">
        <f>'Primary Care Activity'!W41</f>
        <v>0</v>
      </c>
      <c r="AW325">
        <f>'Primary Care Activity'!X41</f>
        <v>0</v>
      </c>
      <c r="AX325">
        <f>'Primary Care Activity'!Y41</f>
        <v>0</v>
      </c>
      <c r="AY325">
        <f>'Primary Care Activity'!Z41</f>
        <v>0</v>
      </c>
      <c r="AZ325">
        <f>'Primary Care Activity'!AA41</f>
        <v>0</v>
      </c>
      <c r="BA325">
        <f>'Primary Care Activity'!AB41</f>
        <v>0</v>
      </c>
      <c r="BB325">
        <f>'Primary Care Activity'!AC41</f>
        <v>0</v>
      </c>
      <c r="BC325">
        <f>'Primary Care Activity'!AD41</f>
        <v>0</v>
      </c>
      <c r="BD325">
        <f>'Primary Care Activity'!AE41</f>
        <v>0</v>
      </c>
      <c r="BE325">
        <f>'Primary Care Activity'!AF41</f>
        <v>0</v>
      </c>
      <c r="BF325">
        <f>'Primary Care Activity'!AG41</f>
        <v>0</v>
      </c>
      <c r="BG325">
        <f>'Primary Care Activity'!AH41</f>
        <v>0</v>
      </c>
    </row>
    <row r="326" spans="1:59" hidden="1">
      <c r="A326" t="str">
        <f>'[1]Front Sheet and Checklist'!$C$5</f>
        <v>(please select from drop down)</v>
      </c>
      <c r="B326" t="s">
        <v>11</v>
      </c>
      <c r="D326" t="str">
        <f>'Primary Care Activity'!$B$37</f>
        <v>4. Dental Services</v>
      </c>
      <c r="F326" t="str">
        <f>'Primary Care Activity'!B42</f>
        <v>Number of orthodontic cases started during the year</v>
      </c>
      <c r="G326">
        <f>'Primary Care Activity'!I42</f>
        <v>0</v>
      </c>
      <c r="H326">
        <f>'Primary Care Activity'!J42</f>
        <v>0</v>
      </c>
      <c r="I326">
        <f>'Primary Care Activity'!K42</f>
        <v>0</v>
      </c>
      <c r="J326">
        <f>'Primary Care Activity'!L42</f>
        <v>0</v>
      </c>
      <c r="K326">
        <f>'Primary Care Activity'!M42</f>
        <v>0</v>
      </c>
      <c r="L326">
        <f>'Primary Care Activity'!N42</f>
        <v>0</v>
      </c>
      <c r="M326">
        <f>'Primary Care Activity'!O42</f>
        <v>0</v>
      </c>
      <c r="N326">
        <f>'Primary Care Activity'!P42</f>
        <v>0</v>
      </c>
      <c r="O326">
        <f>'Primary Care Activity'!Q42</f>
        <v>0</v>
      </c>
      <c r="P326">
        <f>'Primary Care Activity'!R42</f>
        <v>0</v>
      </c>
      <c r="Q326">
        <f>'Primary Care Activity'!S42</f>
        <v>0</v>
      </c>
      <c r="R326">
        <f>'Primary Care Activity'!T42</f>
        <v>0</v>
      </c>
      <c r="S326">
        <f>'Primary Care Activity'!U42</f>
        <v>0</v>
      </c>
      <c r="AH326">
        <f>'Primary Care Activity'!C42</f>
        <v>1790</v>
      </c>
      <c r="AI326">
        <f>'Primary Care Activity'!D42</f>
        <v>1829</v>
      </c>
      <c r="AN326">
        <f>'Primary Care Activity'!E42</f>
        <v>0</v>
      </c>
      <c r="AO326">
        <f>'Primary Care Activity'!F42</f>
        <v>0</v>
      </c>
      <c r="AP326">
        <f>'Primary Care Activity'!G42</f>
        <v>0</v>
      </c>
      <c r="AU326">
        <f>'Primary Care Activity'!AI42</f>
        <v>1705</v>
      </c>
      <c r="AV326">
        <f>'Primary Care Activity'!W42</f>
        <v>101</v>
      </c>
      <c r="AW326">
        <f>'Primary Care Activity'!X42</f>
        <v>214</v>
      </c>
      <c r="AX326">
        <f>'Primary Care Activity'!Y42</f>
        <v>148</v>
      </c>
      <c r="AY326">
        <f>'Primary Care Activity'!Z42</f>
        <v>227</v>
      </c>
      <c r="AZ326">
        <f>'Primary Care Activity'!AA42</f>
        <v>62</v>
      </c>
      <c r="BA326">
        <f>'Primary Care Activity'!AB42</f>
        <v>100</v>
      </c>
      <c r="BB326">
        <f>'Primary Care Activity'!AC42</f>
        <v>209</v>
      </c>
      <c r="BC326">
        <f>'Primary Care Activity'!AD42</f>
        <v>157</v>
      </c>
      <c r="BD326">
        <f>'Primary Care Activity'!AE42</f>
        <v>127</v>
      </c>
      <c r="BE326">
        <f>'Primary Care Activity'!AF42</f>
        <v>79</v>
      </c>
      <c r="BF326">
        <f>'Primary Care Activity'!AG42</f>
        <v>171</v>
      </c>
      <c r="BG326">
        <f>'Primary Care Activity'!AH42</f>
        <v>110</v>
      </c>
    </row>
    <row r="327" spans="1:59" hidden="1">
      <c r="A327" t="str">
        <f>'[1]Front Sheet and Checklist'!$C$5</f>
        <v>(please select from drop down)</v>
      </c>
      <c r="B327" t="s">
        <v>11</v>
      </c>
      <c r="D327" t="str">
        <f>'Primary Care Activity'!$B$37</f>
        <v>4. Dental Services</v>
      </c>
      <c r="F327" t="str">
        <f>'Primary Care Activity'!B43</f>
        <v>Number of contracts to be procured in year</v>
      </c>
      <c r="G327">
        <f>'Primary Care Activity'!I43</f>
        <v>0</v>
      </c>
      <c r="H327">
        <f>'Primary Care Activity'!J43</f>
        <v>0</v>
      </c>
      <c r="I327">
        <f>'Primary Care Activity'!K43</f>
        <v>0</v>
      </c>
      <c r="J327">
        <f>'Primary Care Activity'!L43</f>
        <v>0</v>
      </c>
      <c r="K327">
        <f>'Primary Care Activity'!M43</f>
        <v>0</v>
      </c>
      <c r="L327">
        <f>'Primary Care Activity'!N43</f>
        <v>0</v>
      </c>
      <c r="M327">
        <f>'Primary Care Activity'!O43</f>
        <v>0</v>
      </c>
      <c r="N327">
        <f>'Primary Care Activity'!P43</f>
        <v>0</v>
      </c>
      <c r="O327">
        <f>'Primary Care Activity'!Q43</f>
        <v>0</v>
      </c>
      <c r="P327">
        <f>'Primary Care Activity'!R43</f>
        <v>0</v>
      </c>
      <c r="Q327">
        <f>'Primary Care Activity'!S43</f>
        <v>0</v>
      </c>
      <c r="R327">
        <f>'Primary Care Activity'!T43</f>
        <v>0</v>
      </c>
      <c r="S327">
        <f>'Primary Care Activity'!U43</f>
        <v>0</v>
      </c>
      <c r="AH327">
        <f>'Primary Care Activity'!C43</f>
        <v>1</v>
      </c>
      <c r="AI327">
        <f>'Primary Care Activity'!D43</f>
        <v>2</v>
      </c>
      <c r="AN327">
        <f>'Primary Care Activity'!E43</f>
        <v>0</v>
      </c>
      <c r="AO327">
        <f>'Primary Care Activity'!F43</f>
        <v>0</v>
      </c>
      <c r="AP327">
        <f>'Primary Care Activity'!G43</f>
        <v>0</v>
      </c>
      <c r="AU327">
        <f>'Primary Care Activity'!AI43</f>
        <v>0</v>
      </c>
      <c r="AV327">
        <f>'Primary Care Activity'!W43</f>
        <v>0</v>
      </c>
      <c r="AW327">
        <f>'Primary Care Activity'!X43</f>
        <v>0</v>
      </c>
      <c r="AX327">
        <f>'Primary Care Activity'!Y43</f>
        <v>0</v>
      </c>
      <c r="AY327">
        <f>'Primary Care Activity'!Z43</f>
        <v>0</v>
      </c>
      <c r="AZ327">
        <f>'Primary Care Activity'!AA43</f>
        <v>0</v>
      </c>
      <c r="BA327">
        <f>'Primary Care Activity'!AB43</f>
        <v>0</v>
      </c>
      <c r="BB327">
        <f>'Primary Care Activity'!AC43</f>
        <v>0</v>
      </c>
      <c r="BC327">
        <f>'Primary Care Activity'!AD43</f>
        <v>0</v>
      </c>
      <c r="BD327">
        <f>'Primary Care Activity'!AE43</f>
        <v>0</v>
      </c>
      <c r="BE327">
        <f>'Primary Care Activity'!AF43</f>
        <v>0</v>
      </c>
      <c r="BF327">
        <f>'Primary Care Activity'!AG43</f>
        <v>0</v>
      </c>
      <c r="BG327">
        <f>'Primary Care Activity'!AH43</f>
        <v>0</v>
      </c>
    </row>
    <row r="328" spans="1:59" hidden="1">
      <c r="A328" t="str">
        <f>'[1]Front Sheet and Checklist'!$C$5</f>
        <v>(please select from drop down)</v>
      </c>
      <c r="B328" t="s">
        <v>11</v>
      </c>
      <c r="D328" t="str">
        <f>'Primary Care Activity'!$B$37</f>
        <v>4. Dental Services</v>
      </c>
      <c r="F328" t="str">
        <f>'Primary Care Activity'!B44</f>
        <v>Value of contracts to be procured in year (£)</v>
      </c>
      <c r="G328">
        <f>'Primary Care Activity'!I44</f>
        <v>2580</v>
      </c>
      <c r="H328">
        <f>'Primary Care Activity'!J44</f>
        <v>2580</v>
      </c>
      <c r="I328">
        <f>'Primary Care Activity'!K44</f>
        <v>2580</v>
      </c>
      <c r="J328">
        <f>'Primary Care Activity'!L44</f>
        <v>2580</v>
      </c>
      <c r="K328">
        <f>'Primary Care Activity'!M44</f>
        <v>2580</v>
      </c>
      <c r="L328">
        <f>'Primary Care Activity'!N44</f>
        <v>2580</v>
      </c>
      <c r="M328">
        <f>'Primary Care Activity'!O44</f>
        <v>2580</v>
      </c>
      <c r="N328">
        <f>'Primary Care Activity'!P44</f>
        <v>2580</v>
      </c>
      <c r="O328">
        <f>'Primary Care Activity'!Q44</f>
        <v>2580</v>
      </c>
      <c r="P328">
        <f>'Primary Care Activity'!R44</f>
        <v>2580</v>
      </c>
      <c r="Q328">
        <f>'Primary Care Activity'!S44</f>
        <v>2580</v>
      </c>
      <c r="R328">
        <f>'Primary Care Activity'!T44</f>
        <v>2580</v>
      </c>
      <c r="S328">
        <f>'Primary Care Activity'!U44</f>
        <v>30960</v>
      </c>
      <c r="AH328">
        <f>'Primary Care Activity'!C44</f>
        <v>97188</v>
      </c>
      <c r="AI328">
        <f>'Primary Care Activity'!D44</f>
        <v>824024</v>
      </c>
      <c r="AN328">
        <f>'Primary Care Activity'!E44</f>
        <v>30960</v>
      </c>
      <c r="AO328">
        <f>'Primary Care Activity'!F44</f>
        <v>0</v>
      </c>
      <c r="AP328">
        <f>'Primary Care Activity'!G44</f>
        <v>0</v>
      </c>
      <c r="AU328">
        <f>'Primary Care Activity'!AI44</f>
        <v>0</v>
      </c>
      <c r="AV328">
        <f>'Primary Care Activity'!W44</f>
        <v>0</v>
      </c>
      <c r="AW328">
        <f>'Primary Care Activity'!X44</f>
        <v>0</v>
      </c>
      <c r="AX328">
        <f>'Primary Care Activity'!Y44</f>
        <v>0</v>
      </c>
      <c r="AY328">
        <f>'Primary Care Activity'!Z44</f>
        <v>0</v>
      </c>
      <c r="AZ328">
        <f>'Primary Care Activity'!AA44</f>
        <v>0</v>
      </c>
      <c r="BA328">
        <f>'Primary Care Activity'!AB44</f>
        <v>0</v>
      </c>
      <c r="BB328">
        <f>'Primary Care Activity'!AC44</f>
        <v>0</v>
      </c>
      <c r="BC328">
        <f>'Primary Care Activity'!AD44</f>
        <v>0</v>
      </c>
      <c r="BD328">
        <f>'Primary Care Activity'!AE44</f>
        <v>0</v>
      </c>
      <c r="BE328">
        <f>'Primary Care Activity'!AF44</f>
        <v>0</v>
      </c>
      <c r="BF328">
        <f>'Primary Care Activity'!AG44</f>
        <v>0</v>
      </c>
      <c r="BG328">
        <f>'Primary Care Activity'!AH44</f>
        <v>0</v>
      </c>
    </row>
    <row r="329" spans="1:59" hidden="1">
      <c r="A329" t="str">
        <f>'[1]Front Sheet and Checklist'!$C$5</f>
        <v>(please select from drop down)</v>
      </c>
      <c r="B329" t="s">
        <v>11</v>
      </c>
      <c r="D329" t="str">
        <f>'Primary Care Activity'!$B$37</f>
        <v>4. Dental Services</v>
      </c>
      <c r="F329" t="str">
        <f>'Primary Care Activity'!B45</f>
        <v>Number of patients accessing urgent emergency services</v>
      </c>
      <c r="G329">
        <f>'Primary Care Activity'!I45</f>
        <v>0</v>
      </c>
      <c r="H329">
        <f>'Primary Care Activity'!J45</f>
        <v>0</v>
      </c>
      <c r="I329">
        <f>'Primary Care Activity'!K45</f>
        <v>0</v>
      </c>
      <c r="J329">
        <f>'Primary Care Activity'!L45</f>
        <v>0</v>
      </c>
      <c r="K329">
        <f>'Primary Care Activity'!M45</f>
        <v>0</v>
      </c>
      <c r="L329">
        <f>'Primary Care Activity'!N45</f>
        <v>0</v>
      </c>
      <c r="M329">
        <f>'Primary Care Activity'!O45</f>
        <v>0</v>
      </c>
      <c r="N329">
        <f>'Primary Care Activity'!P45</f>
        <v>0</v>
      </c>
      <c r="O329">
        <f>'Primary Care Activity'!Q45</f>
        <v>0</v>
      </c>
      <c r="P329">
        <f>'Primary Care Activity'!R45</f>
        <v>0</v>
      </c>
      <c r="Q329">
        <f>'Primary Care Activity'!S45</f>
        <v>0</v>
      </c>
      <c r="R329">
        <f>'Primary Care Activity'!T45</f>
        <v>0</v>
      </c>
      <c r="S329">
        <f>'Primary Care Activity'!U45</f>
        <v>0</v>
      </c>
      <c r="AH329">
        <f>'Primary Care Activity'!C45</f>
        <v>29331</v>
      </c>
      <c r="AI329">
        <f>'Primary Care Activity'!D45</f>
        <v>30965</v>
      </c>
      <c r="AN329">
        <f>'Primary Care Activity'!E45</f>
        <v>0</v>
      </c>
      <c r="AO329">
        <f>'Primary Care Activity'!F45</f>
        <v>0</v>
      </c>
      <c r="AP329">
        <f>'Primary Care Activity'!G45</f>
        <v>0</v>
      </c>
      <c r="AU329">
        <f>'Primary Care Activity'!AI45</f>
        <v>30992</v>
      </c>
      <c r="AV329">
        <f>'Primary Care Activity'!W45</f>
        <v>1707</v>
      </c>
      <c r="AW329">
        <f>'Primary Care Activity'!X45</f>
        <v>2424</v>
      </c>
      <c r="AX329">
        <f>'Primary Care Activity'!Y45</f>
        <v>2428</v>
      </c>
      <c r="AY329">
        <f>'Primary Care Activity'!Z45</f>
        <v>2861</v>
      </c>
      <c r="AZ329">
        <f>'Primary Care Activity'!AA45</f>
        <v>2289</v>
      </c>
      <c r="BA329">
        <f>'Primary Care Activity'!AB45</f>
        <v>2571</v>
      </c>
      <c r="BB329">
        <f>'Primary Care Activity'!AC45</f>
        <v>3223</v>
      </c>
      <c r="BC329">
        <f>'Primary Care Activity'!AD45</f>
        <v>2321</v>
      </c>
      <c r="BD329">
        <f>'Primary Care Activity'!AE45</f>
        <v>2460</v>
      </c>
      <c r="BE329">
        <f>'Primary Care Activity'!AF45</f>
        <v>3131</v>
      </c>
      <c r="BF329">
        <f>'Primary Care Activity'!AG45</f>
        <v>2757</v>
      </c>
      <c r="BG329">
        <f>'Primary Care Activity'!AH45</f>
        <v>2820</v>
      </c>
    </row>
    <row r="330" spans="1:59" hidden="1">
      <c r="A330" t="str">
        <f>'[1]Front Sheet and Checklist'!$C$5</f>
        <v>(please select from drop down)</v>
      </c>
      <c r="B330" t="s">
        <v>11</v>
      </c>
      <c r="D330" t="str">
        <f>'Primary Care Activity'!$B$37</f>
        <v>4. Dental Services</v>
      </c>
      <c r="F330" t="str">
        <f>'Primary Care Activity'!B46</f>
        <v>Prevalence of decayed, missing or filled teeth (%)”, in Year 1 Children</v>
      </c>
      <c r="G330">
        <f>'Primary Care Activity'!I46</f>
        <v>0</v>
      </c>
      <c r="H330">
        <f>'Primary Care Activity'!J46</f>
        <v>0</v>
      </c>
      <c r="I330">
        <f>'Primary Care Activity'!K46</f>
        <v>0</v>
      </c>
      <c r="J330">
        <f>'Primary Care Activity'!L46</f>
        <v>0</v>
      </c>
      <c r="K330">
        <f>'Primary Care Activity'!M46</f>
        <v>0</v>
      </c>
      <c r="L330">
        <f>'Primary Care Activity'!N46</f>
        <v>0</v>
      </c>
      <c r="M330">
        <f>'Primary Care Activity'!O46</f>
        <v>0</v>
      </c>
      <c r="N330">
        <f>'Primary Care Activity'!P46</f>
        <v>0</v>
      </c>
      <c r="O330">
        <f>'Primary Care Activity'!Q46</f>
        <v>0</v>
      </c>
      <c r="P330">
        <f>'Primary Care Activity'!R46</f>
        <v>0</v>
      </c>
      <c r="Q330">
        <f>'Primary Care Activity'!S46</f>
        <v>0</v>
      </c>
      <c r="R330">
        <f>'Primary Care Activity'!T46</f>
        <v>0</v>
      </c>
      <c r="S330">
        <f>'Primary Care Activity'!U46</f>
        <v>0</v>
      </c>
      <c r="AH330">
        <f>'Primary Care Activity'!C46</f>
        <v>0.29799999999999999</v>
      </c>
      <c r="AI330">
        <f>'Primary Care Activity'!D46</f>
        <v>0</v>
      </c>
      <c r="AN330">
        <f>'Primary Care Activity'!E46</f>
        <v>0</v>
      </c>
      <c r="AO330">
        <f>'Primary Care Activity'!F46</f>
        <v>0</v>
      </c>
      <c r="AP330">
        <f>'Primary Care Activity'!G46</f>
        <v>0</v>
      </c>
      <c r="AU330">
        <f>'Primary Care Activity'!AI46</f>
        <v>0</v>
      </c>
      <c r="AV330">
        <f>'Primary Care Activity'!W46</f>
        <v>0</v>
      </c>
      <c r="AW330">
        <f>'Primary Care Activity'!X46</f>
        <v>0</v>
      </c>
      <c r="AX330">
        <f>'Primary Care Activity'!Y46</f>
        <v>0</v>
      </c>
      <c r="AY330">
        <f>'Primary Care Activity'!Z46</f>
        <v>0</v>
      </c>
      <c r="AZ330">
        <f>'Primary Care Activity'!AA46</f>
        <v>0</v>
      </c>
      <c r="BA330">
        <f>'Primary Care Activity'!AB46</f>
        <v>0</v>
      </c>
      <c r="BB330">
        <f>'Primary Care Activity'!AC46</f>
        <v>0</v>
      </c>
      <c r="BC330">
        <f>'Primary Care Activity'!AD46</f>
        <v>0</v>
      </c>
      <c r="BD330">
        <f>'Primary Care Activity'!AE46</f>
        <v>0</v>
      </c>
      <c r="BE330">
        <f>'Primary Care Activity'!AF46</f>
        <v>0</v>
      </c>
      <c r="BF330">
        <f>'Primary Care Activity'!AG46</f>
        <v>0</v>
      </c>
      <c r="BG330">
        <f>'Primary Care Activity'!AH46</f>
        <v>0</v>
      </c>
    </row>
    <row r="331" spans="1:59" hidden="1">
      <c r="A331" t="str">
        <f>'[1]Front Sheet and Checklist'!$C$5</f>
        <v>(please select from drop down)</v>
      </c>
      <c r="B331" t="s">
        <v>11</v>
      </c>
      <c r="D331" t="str">
        <f>'Primary Care Activity'!$B$37</f>
        <v>4. Dental Services</v>
      </c>
      <c r="F331" t="str">
        <f>'Primary Care Activity'!B47</f>
        <v>Prevalence of decayed, missing or filled teeth (%)”, in Year 7 children</v>
      </c>
      <c r="G331">
        <f>'Primary Care Activity'!I47</f>
        <v>0</v>
      </c>
      <c r="H331">
        <f>'Primary Care Activity'!J47</f>
        <v>0</v>
      </c>
      <c r="I331">
        <f>'Primary Care Activity'!K47</f>
        <v>0</v>
      </c>
      <c r="J331">
        <f>'Primary Care Activity'!L47</f>
        <v>0</v>
      </c>
      <c r="K331">
        <f>'Primary Care Activity'!M47</f>
        <v>0</v>
      </c>
      <c r="L331">
        <f>'Primary Care Activity'!N47</f>
        <v>0</v>
      </c>
      <c r="M331">
        <f>'Primary Care Activity'!O47</f>
        <v>0</v>
      </c>
      <c r="N331">
        <f>'Primary Care Activity'!P47</f>
        <v>0</v>
      </c>
      <c r="O331">
        <f>'Primary Care Activity'!Q47</f>
        <v>0</v>
      </c>
      <c r="P331">
        <f>'Primary Care Activity'!R47</f>
        <v>0</v>
      </c>
      <c r="Q331">
        <f>'Primary Care Activity'!S47</f>
        <v>0</v>
      </c>
      <c r="R331">
        <f>'Primary Care Activity'!T47</f>
        <v>0</v>
      </c>
      <c r="S331">
        <f>'Primary Care Activity'!U47</f>
        <v>0</v>
      </c>
      <c r="AH331">
        <f>'Primary Care Activity'!C47</f>
        <v>0</v>
      </c>
      <c r="AI331">
        <f>'Primary Care Activity'!D47</f>
        <v>0</v>
      </c>
      <c r="AN331">
        <f>'Primary Care Activity'!E47</f>
        <v>0</v>
      </c>
      <c r="AO331">
        <f>'Primary Care Activity'!F47</f>
        <v>0</v>
      </c>
      <c r="AP331">
        <f>'Primary Care Activity'!G47</f>
        <v>0</v>
      </c>
      <c r="AU331">
        <f>'Primary Care Activity'!AI47</f>
        <v>0</v>
      </c>
      <c r="AV331">
        <f>'Primary Care Activity'!W47</f>
        <v>0</v>
      </c>
      <c r="AW331">
        <f>'Primary Care Activity'!X47</f>
        <v>0</v>
      </c>
      <c r="AX331">
        <f>'Primary Care Activity'!Y47</f>
        <v>0</v>
      </c>
      <c r="AY331">
        <f>'Primary Care Activity'!Z47</f>
        <v>0</v>
      </c>
      <c r="AZ331">
        <f>'Primary Care Activity'!AA47</f>
        <v>0</v>
      </c>
      <c r="BA331">
        <f>'Primary Care Activity'!AB47</f>
        <v>0</v>
      </c>
      <c r="BB331">
        <f>'Primary Care Activity'!AC47</f>
        <v>0</v>
      </c>
      <c r="BC331">
        <f>'Primary Care Activity'!AD47</f>
        <v>0</v>
      </c>
      <c r="BD331">
        <f>'Primary Care Activity'!AE47</f>
        <v>0</v>
      </c>
      <c r="BE331">
        <f>'Primary Care Activity'!AF47</f>
        <v>0</v>
      </c>
      <c r="BF331">
        <f>'Primary Care Activity'!AG47</f>
        <v>0</v>
      </c>
      <c r="BG331">
        <f>'Primary Care Activity'!AH47</f>
        <v>0</v>
      </c>
    </row>
    <row r="332" spans="1:59" hidden="1">
      <c r="A332" t="str">
        <f>'[1]Front Sheet and Checklist'!$C$5</f>
        <v>(please select from drop down)</v>
      </c>
      <c r="B332" t="s">
        <v>11</v>
      </c>
      <c r="D332" t="str">
        <f>'Primary Care Activity'!$B$37</f>
        <v>4. Dental Services</v>
      </c>
      <c r="F332" t="str">
        <f>'Primary Care Activity'!B48</f>
        <v>% of eligible schools and nurseries participating in toothbrushing programme</v>
      </c>
      <c r="G332">
        <f>'Primary Care Activity'!I48</f>
        <v>0</v>
      </c>
      <c r="H332">
        <f>'Primary Care Activity'!J48</f>
        <v>0</v>
      </c>
      <c r="I332">
        <f>'Primary Care Activity'!K48</f>
        <v>0</v>
      </c>
      <c r="J332">
        <f>'Primary Care Activity'!L48</f>
        <v>0</v>
      </c>
      <c r="K332">
        <f>'Primary Care Activity'!M48</f>
        <v>0</v>
      </c>
      <c r="L332">
        <f>'Primary Care Activity'!N48</f>
        <v>0</v>
      </c>
      <c r="M332">
        <f>'Primary Care Activity'!O48</f>
        <v>0</v>
      </c>
      <c r="N332">
        <f>'Primary Care Activity'!P48</f>
        <v>0</v>
      </c>
      <c r="O332">
        <f>'Primary Care Activity'!Q48</f>
        <v>0</v>
      </c>
      <c r="P332">
        <f>'Primary Care Activity'!R48</f>
        <v>0</v>
      </c>
      <c r="Q332">
        <f>'Primary Care Activity'!S48</f>
        <v>0</v>
      </c>
      <c r="R332">
        <f>'Primary Care Activity'!T48</f>
        <v>0</v>
      </c>
      <c r="S332">
        <f>'Primary Care Activity'!U48</f>
        <v>0</v>
      </c>
      <c r="AH332">
        <f>'Primary Care Activity'!C48</f>
        <v>0.57999999999999996</v>
      </c>
      <c r="AI332">
        <f>'Primary Care Activity'!D48</f>
        <v>0.67</v>
      </c>
      <c r="AN332">
        <f>'Primary Care Activity'!E48</f>
        <v>0</v>
      </c>
      <c r="AO332">
        <f>'Primary Care Activity'!F48</f>
        <v>0</v>
      </c>
      <c r="AP332">
        <f>'Primary Care Activity'!G48</f>
        <v>0</v>
      </c>
      <c r="AU332">
        <f>'Primary Care Activity'!AI48</f>
        <v>7.8149999999999977</v>
      </c>
      <c r="AV332">
        <f>'Primary Care Activity'!W48</f>
        <v>0.67</v>
      </c>
      <c r="AW332">
        <f>'Primary Care Activity'!X48</f>
        <v>0.67</v>
      </c>
      <c r="AX332">
        <f>'Primary Care Activity'!Y48</f>
        <v>0.67</v>
      </c>
      <c r="AY332">
        <f>'Primary Care Activity'!Z48</f>
        <v>0.64500000000000002</v>
      </c>
      <c r="AZ332">
        <f>'Primary Care Activity'!AA48</f>
        <v>0.64500000000000002</v>
      </c>
      <c r="BA332">
        <f>'Primary Care Activity'!AB48</f>
        <v>0.64500000000000002</v>
      </c>
      <c r="BB332">
        <f>'Primary Care Activity'!AC48</f>
        <v>0.64500000000000002</v>
      </c>
      <c r="BC332">
        <f>'Primary Care Activity'!AD48</f>
        <v>0.64500000000000002</v>
      </c>
      <c r="BD332">
        <f>'Primary Care Activity'!AE48</f>
        <v>0.64500000000000002</v>
      </c>
      <c r="BE332">
        <f>'Primary Care Activity'!AF48</f>
        <v>0.64500000000000002</v>
      </c>
      <c r="BF332">
        <f>'Primary Care Activity'!AG48</f>
        <v>0.64500000000000002</v>
      </c>
      <c r="BG332">
        <f>'Primary Care Activity'!AH48</f>
        <v>0.64500000000000002</v>
      </c>
    </row>
    <row r="333" spans="1:59" hidden="1">
      <c r="A333" t="str">
        <f>'[1]Front Sheet and Checklist'!$C$5</f>
        <v>(please select from drop down)</v>
      </c>
      <c r="B333" t="s">
        <v>11</v>
      </c>
      <c r="D333" t="str">
        <f>'Primary Care Activity'!$B$37</f>
        <v>4. Dental Services</v>
      </c>
      <c r="F333" t="str">
        <f>'Primary Care Activity'!B49</f>
        <v>% of eligible schools and nurseriesparticipating in fluoride varnish programme</v>
      </c>
      <c r="G333">
        <f>'Primary Care Activity'!I49</f>
        <v>0</v>
      </c>
      <c r="H333">
        <f>'Primary Care Activity'!J49</f>
        <v>0</v>
      </c>
      <c r="I333">
        <f>'Primary Care Activity'!K49</f>
        <v>0</v>
      </c>
      <c r="J333">
        <f>'Primary Care Activity'!L49</f>
        <v>0</v>
      </c>
      <c r="K333">
        <f>'Primary Care Activity'!M49</f>
        <v>0</v>
      </c>
      <c r="L333">
        <f>'Primary Care Activity'!N49</f>
        <v>0</v>
      </c>
      <c r="M333">
        <f>'Primary Care Activity'!O49</f>
        <v>0</v>
      </c>
      <c r="N333">
        <f>'Primary Care Activity'!P49</f>
        <v>0</v>
      </c>
      <c r="O333">
        <f>'Primary Care Activity'!Q49</f>
        <v>0</v>
      </c>
      <c r="P333">
        <f>'Primary Care Activity'!R49</f>
        <v>0</v>
      </c>
      <c r="Q333">
        <f>'Primary Care Activity'!S49</f>
        <v>0</v>
      </c>
      <c r="R333">
        <f>'Primary Care Activity'!T49</f>
        <v>0</v>
      </c>
      <c r="S333">
        <f>'Primary Care Activity'!U49</f>
        <v>0</v>
      </c>
      <c r="AH333">
        <f>'Primary Care Activity'!C49</f>
        <v>0.9</v>
      </c>
      <c r="AI333">
        <f>'Primary Care Activity'!D49</f>
        <v>0.98</v>
      </c>
      <c r="AN333">
        <f>'Primary Care Activity'!E49</f>
        <v>0</v>
      </c>
      <c r="AO333">
        <f>'Primary Care Activity'!F49</f>
        <v>0</v>
      </c>
      <c r="AP333">
        <f>'Primary Care Activity'!G49</f>
        <v>0</v>
      </c>
      <c r="AU333">
        <f>'Primary Care Activity'!AI49</f>
        <v>11.580000000000002</v>
      </c>
      <c r="AV333">
        <f>'Primary Care Activity'!W49</f>
        <v>0.98</v>
      </c>
      <c r="AW333">
        <f>'Primary Care Activity'!X49</f>
        <v>0.98</v>
      </c>
      <c r="AX333">
        <f>'Primary Care Activity'!Y49</f>
        <v>0.98</v>
      </c>
      <c r="AY333">
        <f>'Primary Care Activity'!Z49</f>
        <v>0.96</v>
      </c>
      <c r="AZ333">
        <f>'Primary Care Activity'!AA49</f>
        <v>0.96</v>
      </c>
      <c r="BA333">
        <f>'Primary Care Activity'!AB49</f>
        <v>0.96</v>
      </c>
      <c r="BB333">
        <f>'Primary Care Activity'!AC49</f>
        <v>0.96</v>
      </c>
      <c r="BC333">
        <f>'Primary Care Activity'!AD49</f>
        <v>0.96</v>
      </c>
      <c r="BD333">
        <f>'Primary Care Activity'!AE49</f>
        <v>0.96</v>
      </c>
      <c r="BE333">
        <f>'Primary Care Activity'!AF49</f>
        <v>0.96</v>
      </c>
      <c r="BF333">
        <f>'Primary Care Activity'!AG49</f>
        <v>0.96</v>
      </c>
      <c r="BG333">
        <f>'Primary Care Activity'!AH49</f>
        <v>0.96</v>
      </c>
    </row>
    <row r="334" spans="1:59" hidden="1">
      <c r="A334" t="str">
        <f>'[1]Front Sheet and Checklist'!$C$5</f>
        <v>(please select from drop down)</v>
      </c>
      <c r="B334" t="s">
        <v>11</v>
      </c>
      <c r="D334" t="str">
        <f>'Primary Care Activity'!$B$37</f>
        <v>4. Dental Services</v>
      </c>
      <c r="F334" t="str">
        <f>'Primary Care Activity'!B50</f>
        <v>% of Care/Nursing Homes participating in the Gwen am Byth programme</v>
      </c>
      <c r="G334">
        <f>'Primary Care Activity'!I50</f>
        <v>0</v>
      </c>
      <c r="H334">
        <f>'Primary Care Activity'!J50</f>
        <v>0</v>
      </c>
      <c r="I334">
        <f>'Primary Care Activity'!K50</f>
        <v>0</v>
      </c>
      <c r="J334">
        <f>'Primary Care Activity'!L50</f>
        <v>0</v>
      </c>
      <c r="K334">
        <f>'Primary Care Activity'!M50</f>
        <v>0</v>
      </c>
      <c r="L334">
        <f>'Primary Care Activity'!N50</f>
        <v>0</v>
      </c>
      <c r="M334">
        <f>'Primary Care Activity'!O50</f>
        <v>0</v>
      </c>
      <c r="N334">
        <f>'Primary Care Activity'!P50</f>
        <v>0</v>
      </c>
      <c r="O334">
        <f>'Primary Care Activity'!Q50</f>
        <v>0</v>
      </c>
      <c r="P334">
        <f>'Primary Care Activity'!R50</f>
        <v>0</v>
      </c>
      <c r="Q334">
        <f>'Primary Care Activity'!S50</f>
        <v>0</v>
      </c>
      <c r="R334">
        <f>'Primary Care Activity'!T50</f>
        <v>0</v>
      </c>
      <c r="S334">
        <f>'Primary Care Activity'!U50</f>
        <v>0</v>
      </c>
      <c r="AH334">
        <f>'Primary Care Activity'!C50</f>
        <v>1</v>
      </c>
      <c r="AI334">
        <f>'Primary Care Activity'!D50</f>
        <v>1</v>
      </c>
      <c r="AN334">
        <f>'Primary Care Activity'!E50</f>
        <v>0</v>
      </c>
      <c r="AO334">
        <f>'Primary Care Activity'!F50</f>
        <v>0</v>
      </c>
      <c r="AP334">
        <f>'Primary Care Activity'!G50</f>
        <v>0</v>
      </c>
      <c r="AU334">
        <f>'Primary Care Activity'!AI50</f>
        <v>9</v>
      </c>
      <c r="AV334">
        <f>'Primary Care Activity'!W50</f>
        <v>0</v>
      </c>
      <c r="AW334">
        <f>'Primary Care Activity'!X50</f>
        <v>0</v>
      </c>
      <c r="AX334">
        <f>'Primary Care Activity'!Y50</f>
        <v>0</v>
      </c>
      <c r="AY334">
        <f>'Primary Care Activity'!Z50</f>
        <v>1</v>
      </c>
      <c r="AZ334">
        <f>'Primary Care Activity'!AA50</f>
        <v>1</v>
      </c>
      <c r="BA334">
        <f>'Primary Care Activity'!AB50</f>
        <v>1</v>
      </c>
      <c r="BB334">
        <f>'Primary Care Activity'!AC50</f>
        <v>1</v>
      </c>
      <c r="BC334">
        <f>'Primary Care Activity'!AD50</f>
        <v>1</v>
      </c>
      <c r="BD334">
        <f>'Primary Care Activity'!AE50</f>
        <v>1</v>
      </c>
      <c r="BE334">
        <f>'Primary Care Activity'!AF50</f>
        <v>1</v>
      </c>
      <c r="BF334">
        <f>'Primary Care Activity'!AG50</f>
        <v>1</v>
      </c>
      <c r="BG334">
        <f>'Primary Care Activity'!AH50</f>
        <v>1</v>
      </c>
    </row>
    <row r="335" spans="1:59" hidden="1">
      <c r="A335" t="str">
        <f>'[1]Front Sheet and Checklist'!$C$5</f>
        <v>(please select from drop down)</v>
      </c>
      <c r="B335" t="s">
        <v>11</v>
      </c>
      <c r="F335">
        <f>'Primary Care Activity'!B51</f>
        <v>0</v>
      </c>
      <c r="G335">
        <f>'Primary Care Activity'!I51</f>
        <v>0</v>
      </c>
      <c r="H335">
        <f>'Primary Care Activity'!J51</f>
        <v>0</v>
      </c>
      <c r="I335">
        <f>'Primary Care Activity'!K51</f>
        <v>0</v>
      </c>
      <c r="J335">
        <f>'Primary Care Activity'!L51</f>
        <v>0</v>
      </c>
      <c r="K335">
        <f>'Primary Care Activity'!M51</f>
        <v>0</v>
      </c>
      <c r="L335">
        <f>'Primary Care Activity'!N51</f>
        <v>0</v>
      </c>
      <c r="M335">
        <f>'Primary Care Activity'!O51</f>
        <v>0</v>
      </c>
      <c r="N335">
        <f>'Primary Care Activity'!P51</f>
        <v>0</v>
      </c>
      <c r="O335">
        <f>'Primary Care Activity'!Q51</f>
        <v>0</v>
      </c>
      <c r="P335">
        <f>'Primary Care Activity'!R51</f>
        <v>0</v>
      </c>
      <c r="Q335">
        <f>'Primary Care Activity'!S51</f>
        <v>0</v>
      </c>
      <c r="R335">
        <f>'Primary Care Activity'!T51</f>
        <v>0</v>
      </c>
      <c r="S335">
        <f>'Primary Care Activity'!U51</f>
        <v>0</v>
      </c>
      <c r="AH335">
        <f>'Primary Care Activity'!C51</f>
        <v>0</v>
      </c>
      <c r="AI335">
        <f>'Primary Care Activity'!D51</f>
        <v>0</v>
      </c>
      <c r="AN335">
        <f>'Primary Care Activity'!E51</f>
        <v>0</v>
      </c>
      <c r="AO335">
        <f>'Primary Care Activity'!F51</f>
        <v>0</v>
      </c>
      <c r="AP335">
        <f>'Primary Care Activity'!G51</f>
        <v>0</v>
      </c>
      <c r="AU335">
        <f>'Primary Care Activity'!AI51</f>
        <v>0</v>
      </c>
      <c r="AV335">
        <f>'Primary Care Activity'!W51</f>
        <v>0</v>
      </c>
      <c r="AW335">
        <f>'Primary Care Activity'!X51</f>
        <v>0</v>
      </c>
      <c r="AX335">
        <f>'Primary Care Activity'!Y51</f>
        <v>0</v>
      </c>
      <c r="AY335">
        <f>'Primary Care Activity'!Z51</f>
        <v>0</v>
      </c>
      <c r="AZ335">
        <f>'Primary Care Activity'!AA51</f>
        <v>0</v>
      </c>
      <c r="BA335">
        <f>'Primary Care Activity'!AB51</f>
        <v>0</v>
      </c>
      <c r="BB335">
        <f>'Primary Care Activity'!AC51</f>
        <v>0</v>
      </c>
      <c r="BC335">
        <f>'Primary Care Activity'!AD51</f>
        <v>0</v>
      </c>
      <c r="BD335">
        <f>'Primary Care Activity'!AE51</f>
        <v>0</v>
      </c>
      <c r="BE335">
        <f>'Primary Care Activity'!AF51</f>
        <v>0</v>
      </c>
      <c r="BF335">
        <f>'Primary Care Activity'!AG51</f>
        <v>0</v>
      </c>
      <c r="BG335">
        <f>'Primary Care Activity'!AH51</f>
        <v>0</v>
      </c>
    </row>
    <row r="336" spans="1:59" hidden="1">
      <c r="A336" t="str">
        <f>'[1]Front Sheet and Checklist'!$C$5</f>
        <v>(please select from drop down)</v>
      </c>
      <c r="B336" t="s">
        <v>11</v>
      </c>
      <c r="D336" t="str">
        <f>'Primary Care Activity'!$B$52</f>
        <v>5. Pharmacy Services</v>
      </c>
      <c r="F336" t="str">
        <f>'Primary Care Activity'!B52</f>
        <v>5. Pharmacy Services</v>
      </c>
      <c r="G336">
        <f>'Primary Care Activity'!I52</f>
        <v>0</v>
      </c>
      <c r="H336">
        <f>'Primary Care Activity'!J52</f>
        <v>0</v>
      </c>
      <c r="I336">
        <f>'Primary Care Activity'!K52</f>
        <v>0</v>
      </c>
      <c r="J336">
        <f>'Primary Care Activity'!L52</f>
        <v>0</v>
      </c>
      <c r="K336">
        <f>'Primary Care Activity'!M52</f>
        <v>0</v>
      </c>
      <c r="L336">
        <f>'Primary Care Activity'!N52</f>
        <v>0</v>
      </c>
      <c r="M336">
        <f>'Primary Care Activity'!O52</f>
        <v>0</v>
      </c>
      <c r="N336">
        <f>'Primary Care Activity'!P52</f>
        <v>0</v>
      </c>
      <c r="O336">
        <f>'Primary Care Activity'!Q52</f>
        <v>0</v>
      </c>
      <c r="P336">
        <f>'Primary Care Activity'!R52</f>
        <v>0</v>
      </c>
      <c r="Q336">
        <f>'Primary Care Activity'!S52</f>
        <v>0</v>
      </c>
      <c r="R336">
        <f>'Primary Care Activity'!T52</f>
        <v>0</v>
      </c>
      <c r="S336">
        <f>'Primary Care Activity'!U52</f>
        <v>0</v>
      </c>
      <c r="AH336">
        <f>'Primary Care Activity'!C52</f>
        <v>0</v>
      </c>
      <c r="AI336">
        <f>'Primary Care Activity'!D52</f>
        <v>0</v>
      </c>
      <c r="AN336">
        <f>'Primary Care Activity'!E52</f>
        <v>0</v>
      </c>
      <c r="AO336">
        <f>'Primary Care Activity'!F52</f>
        <v>0</v>
      </c>
      <c r="AP336">
        <f>'Primary Care Activity'!G52</f>
        <v>0</v>
      </c>
      <c r="AU336">
        <f>'Primary Care Activity'!AI52</f>
        <v>0</v>
      </c>
      <c r="AV336">
        <f>'Primary Care Activity'!W52</f>
        <v>0</v>
      </c>
      <c r="AW336">
        <f>'Primary Care Activity'!X52</f>
        <v>0</v>
      </c>
      <c r="AX336">
        <f>'Primary Care Activity'!Y52</f>
        <v>0</v>
      </c>
      <c r="AY336">
        <f>'Primary Care Activity'!Z52</f>
        <v>0</v>
      </c>
      <c r="AZ336">
        <f>'Primary Care Activity'!AA52</f>
        <v>0</v>
      </c>
      <c r="BA336">
        <f>'Primary Care Activity'!AB52</f>
        <v>0</v>
      </c>
      <c r="BB336">
        <f>'Primary Care Activity'!AC52</f>
        <v>0</v>
      </c>
      <c r="BC336">
        <f>'Primary Care Activity'!AD52</f>
        <v>0</v>
      </c>
      <c r="BD336">
        <f>'Primary Care Activity'!AE52</f>
        <v>0</v>
      </c>
      <c r="BE336">
        <f>'Primary Care Activity'!AF52</f>
        <v>0</v>
      </c>
      <c r="BF336">
        <f>'Primary Care Activity'!AG52</f>
        <v>0</v>
      </c>
      <c r="BG336">
        <f>'Primary Care Activity'!AH52</f>
        <v>0</v>
      </c>
    </row>
    <row r="337" spans="1:59" hidden="1">
      <c r="A337" t="str">
        <f>'[1]Front Sheet and Checklist'!$C$5</f>
        <v>(please select from drop down)</v>
      </c>
      <c r="B337" t="s">
        <v>11</v>
      </c>
      <c r="D337" t="str">
        <f>'Primary Care Activity'!$B$52</f>
        <v>5. Pharmacy Services</v>
      </c>
      <c r="F337" t="str">
        <f>'Primary Care Activity'!B53</f>
        <v xml:space="preserve">Number of consultations undertaken by community pharmacy under the common aliments scheme </v>
      </c>
      <c r="G337">
        <f>'Primary Care Activity'!I53</f>
        <v>4166</v>
      </c>
      <c r="H337">
        <f>'Primary Care Activity'!J53</f>
        <v>4166</v>
      </c>
      <c r="I337">
        <f>'Primary Care Activity'!K53</f>
        <v>4166</v>
      </c>
      <c r="J337">
        <f>'Primary Care Activity'!L53</f>
        <v>4166</v>
      </c>
      <c r="K337">
        <f>'Primary Care Activity'!M53</f>
        <v>4166</v>
      </c>
      <c r="L337">
        <f>'Primary Care Activity'!N53</f>
        <v>4166</v>
      </c>
      <c r="M337">
        <f>'Primary Care Activity'!O53</f>
        <v>4166</v>
      </c>
      <c r="N337">
        <f>'Primary Care Activity'!P53</f>
        <v>4166</v>
      </c>
      <c r="O337">
        <f>'Primary Care Activity'!Q53</f>
        <v>4166</v>
      </c>
      <c r="P337">
        <f>'Primary Care Activity'!R53</f>
        <v>4166</v>
      </c>
      <c r="Q337">
        <f>'Primary Care Activity'!S53</f>
        <v>4166</v>
      </c>
      <c r="R337">
        <f>'Primary Care Activity'!T53</f>
        <v>4166</v>
      </c>
      <c r="S337">
        <f>'Primary Care Activity'!U53</f>
        <v>49992</v>
      </c>
      <c r="AH337">
        <f>'Primary Care Activity'!C53</f>
        <v>31343</v>
      </c>
      <c r="AI337">
        <f>'Primary Care Activity'!D53</f>
        <v>40000</v>
      </c>
      <c r="AN337">
        <f>'Primary Care Activity'!E53</f>
        <v>49992</v>
      </c>
      <c r="AO337">
        <f>'Primary Care Activity'!F53</f>
        <v>0</v>
      </c>
      <c r="AP337">
        <f>'Primary Care Activity'!G53</f>
        <v>0</v>
      </c>
      <c r="AU337">
        <f>'Primary Care Activity'!AI53</f>
        <v>59900</v>
      </c>
      <c r="AV337">
        <f>'Primary Care Activity'!W53</f>
        <v>4488</v>
      </c>
      <c r="AW337">
        <f>'Primary Care Activity'!X53</f>
        <v>4940</v>
      </c>
      <c r="AX337">
        <f>'Primary Care Activity'!Y53</f>
        <v>5187</v>
      </c>
      <c r="AY337">
        <f>'Primary Care Activity'!Z53</f>
        <v>4980</v>
      </c>
      <c r="AZ337">
        <f>'Primary Care Activity'!AA53</f>
        <v>4526</v>
      </c>
      <c r="BA337">
        <f>'Primary Care Activity'!AB53</f>
        <v>4659</v>
      </c>
      <c r="BB337">
        <f>'Primary Care Activity'!AC53</f>
        <v>5009</v>
      </c>
      <c r="BC337">
        <f>'Primary Care Activity'!AD53</f>
        <v>4925</v>
      </c>
      <c r="BD337">
        <f>'Primary Care Activity'!AE53</f>
        <v>4820</v>
      </c>
      <c r="BE337">
        <f>'Primary Care Activity'!AF53</f>
        <v>5272</v>
      </c>
      <c r="BF337">
        <f>'Primary Care Activity'!AG53</f>
        <v>5527</v>
      </c>
      <c r="BG337">
        <f>'Primary Care Activity'!AH53</f>
        <v>5567</v>
      </c>
    </row>
    <row r="338" spans="1:59" hidden="1">
      <c r="A338" t="str">
        <f>'[1]Front Sheet and Checklist'!$C$5</f>
        <v>(please select from drop down)</v>
      </c>
      <c r="B338" t="s">
        <v>11</v>
      </c>
      <c r="D338" t="str">
        <f>'Primary Care Activity'!$B$52</f>
        <v>5. Pharmacy Services</v>
      </c>
      <c r="F338" t="str">
        <f>'Primary Care Activity'!B54</f>
        <v>Total number of Community Pharmacies providing the 'Pharmacist Independent Prescribing Service'.</v>
      </c>
      <c r="G338">
        <f>'Primary Care Activity'!I54</f>
        <v>0</v>
      </c>
      <c r="H338">
        <f>'Primary Care Activity'!J54</f>
        <v>0</v>
      </c>
      <c r="I338">
        <f>'Primary Care Activity'!K54</f>
        <v>0</v>
      </c>
      <c r="J338">
        <f>'Primary Care Activity'!L54</f>
        <v>0</v>
      </c>
      <c r="K338">
        <f>'Primary Care Activity'!M54</f>
        <v>0</v>
      </c>
      <c r="L338">
        <f>'Primary Care Activity'!N54</f>
        <v>0</v>
      </c>
      <c r="M338">
        <f>'Primary Care Activity'!O54</f>
        <v>0</v>
      </c>
      <c r="N338">
        <f>'Primary Care Activity'!P54</f>
        <v>0</v>
      </c>
      <c r="O338">
        <f>'Primary Care Activity'!Q54</f>
        <v>0</v>
      </c>
      <c r="P338">
        <f>'Primary Care Activity'!R54</f>
        <v>0</v>
      </c>
      <c r="Q338">
        <f>'Primary Care Activity'!S54</f>
        <v>0</v>
      </c>
      <c r="R338">
        <f>'Primary Care Activity'!T54</f>
        <v>0</v>
      </c>
      <c r="S338">
        <f>'Primary Care Activity'!U54</f>
        <v>0</v>
      </c>
      <c r="AH338">
        <f>'Primary Care Activity'!C54</f>
        <v>12</v>
      </c>
      <c r="AI338">
        <f>'Primary Care Activity'!D54</f>
        <v>13</v>
      </c>
      <c r="AN338">
        <f>'Primary Care Activity'!E54</f>
        <v>20</v>
      </c>
      <c r="AO338">
        <f>'Primary Care Activity'!F54</f>
        <v>0</v>
      </c>
      <c r="AP338">
        <f>'Primary Care Activity'!G54</f>
        <v>0</v>
      </c>
      <c r="AU338">
        <f>'Primary Care Activity'!AI54</f>
        <v>300</v>
      </c>
      <c r="AV338">
        <f>'Primary Care Activity'!W54</f>
        <v>20</v>
      </c>
      <c r="AW338">
        <f>'Primary Care Activity'!X54</f>
        <v>21</v>
      </c>
      <c r="AX338">
        <f>'Primary Care Activity'!Y54</f>
        <v>20</v>
      </c>
      <c r="AY338">
        <f>'Primary Care Activity'!Z54</f>
        <v>20</v>
      </c>
      <c r="AZ338">
        <f>'Primary Care Activity'!AA54</f>
        <v>21</v>
      </c>
      <c r="BA338">
        <f>'Primary Care Activity'!AB54</f>
        <v>22</v>
      </c>
      <c r="BB338">
        <f>'Primary Care Activity'!AC54</f>
        <v>27</v>
      </c>
      <c r="BC338">
        <f>'Primary Care Activity'!AD54</f>
        <v>27</v>
      </c>
      <c r="BD338">
        <f>'Primary Care Activity'!AE54</f>
        <v>27</v>
      </c>
      <c r="BE338">
        <f>'Primary Care Activity'!AF54</f>
        <v>30</v>
      </c>
      <c r="BF338">
        <f>'Primary Care Activity'!AG54</f>
        <v>31</v>
      </c>
      <c r="BG338">
        <f>'Primary Care Activity'!AH54</f>
        <v>34</v>
      </c>
    </row>
    <row r="339" spans="1:59" hidden="1">
      <c r="A339" t="str">
        <f>'[1]Front Sheet and Checklist'!$C$5</f>
        <v>(please select from drop down)</v>
      </c>
      <c r="B339" t="s">
        <v>11</v>
      </c>
      <c r="D339" t="str">
        <f>'Primary Care Activity'!$B$52</f>
        <v>5. Pharmacy Services</v>
      </c>
      <c r="F339" t="str">
        <f>'Primary Care Activity'!B55</f>
        <v>Number of hours being commissioned for Out Of Hours pharmacy services</v>
      </c>
      <c r="G339">
        <f>'Primary Care Activity'!I55</f>
        <v>0</v>
      </c>
      <c r="H339">
        <f>'Primary Care Activity'!J55</f>
        <v>0</v>
      </c>
      <c r="I339">
        <f>'Primary Care Activity'!K55</f>
        <v>0</v>
      </c>
      <c r="J339">
        <f>'Primary Care Activity'!L55</f>
        <v>0</v>
      </c>
      <c r="K339">
        <f>'Primary Care Activity'!M55</f>
        <v>0</v>
      </c>
      <c r="L339">
        <f>'Primary Care Activity'!N55</f>
        <v>0</v>
      </c>
      <c r="M339">
        <f>'Primary Care Activity'!O55</f>
        <v>0</v>
      </c>
      <c r="N339">
        <f>'Primary Care Activity'!P55</f>
        <v>0</v>
      </c>
      <c r="O339">
        <f>'Primary Care Activity'!Q55</f>
        <v>0</v>
      </c>
      <c r="P339">
        <f>'Primary Care Activity'!R55</f>
        <v>0</v>
      </c>
      <c r="Q339">
        <f>'Primary Care Activity'!S55</f>
        <v>0</v>
      </c>
      <c r="R339">
        <f>'Primary Care Activity'!T55</f>
        <v>0</v>
      </c>
      <c r="S339">
        <f>'Primary Care Activity'!U55</f>
        <v>0</v>
      </c>
      <c r="AH339">
        <f>'Primary Care Activity'!C55</f>
        <v>17</v>
      </c>
      <c r="AI339">
        <f>'Primary Care Activity'!D55</f>
        <v>17</v>
      </c>
      <c r="AN339">
        <f>'Primary Care Activity'!E55</f>
        <v>22</v>
      </c>
      <c r="AO339">
        <f>'Primary Care Activity'!F55</f>
        <v>0</v>
      </c>
      <c r="AP339">
        <f>'Primary Care Activity'!G55</f>
        <v>0</v>
      </c>
      <c r="AU339">
        <f>'Primary Care Activity'!AI55</f>
        <v>264</v>
      </c>
      <c r="AV339">
        <f>'Primary Care Activity'!W55</f>
        <v>22</v>
      </c>
      <c r="AW339">
        <f>'Primary Care Activity'!X55</f>
        <v>22</v>
      </c>
      <c r="AX339">
        <f>'Primary Care Activity'!Y55</f>
        <v>22</v>
      </c>
      <c r="AY339">
        <f>'Primary Care Activity'!Z55</f>
        <v>22</v>
      </c>
      <c r="AZ339">
        <f>'Primary Care Activity'!AA55</f>
        <v>22</v>
      </c>
      <c r="BA339">
        <f>'Primary Care Activity'!AB55</f>
        <v>22</v>
      </c>
      <c r="BB339">
        <f>'Primary Care Activity'!AC55</f>
        <v>22</v>
      </c>
      <c r="BC339">
        <f>'Primary Care Activity'!AD55</f>
        <v>22</v>
      </c>
      <c r="BD339">
        <f>'Primary Care Activity'!AE55</f>
        <v>22</v>
      </c>
      <c r="BE339">
        <f>'Primary Care Activity'!AF55</f>
        <v>22</v>
      </c>
      <c r="BF339">
        <f>'Primary Care Activity'!AG55</f>
        <v>22</v>
      </c>
      <c r="BG339">
        <f>'Primary Care Activity'!AH55</f>
        <v>22</v>
      </c>
    </row>
    <row r="340" spans="1:59" hidden="1">
      <c r="A340" t="str">
        <f>'[1]Front Sheet and Checklist'!$C$5</f>
        <v>(please select from drop down)</v>
      </c>
      <c r="B340" t="s">
        <v>11</v>
      </c>
      <c r="D340" t="str">
        <f>'Primary Care Activity'!$B$52</f>
        <v>5. Pharmacy Services</v>
      </c>
      <c r="F340" t="str">
        <f>'Primary Care Activity'!B56</f>
        <v xml:space="preserve">Expected number of contract breaches for unauthorised closures </v>
      </c>
      <c r="G340">
        <f>'Primary Care Activity'!I56</f>
        <v>0</v>
      </c>
      <c r="H340">
        <f>'Primary Care Activity'!J56</f>
        <v>0</v>
      </c>
      <c r="I340">
        <f>'Primary Care Activity'!K56</f>
        <v>0</v>
      </c>
      <c r="J340">
        <f>'Primary Care Activity'!L56</f>
        <v>0</v>
      </c>
      <c r="K340">
        <f>'Primary Care Activity'!M56</f>
        <v>0</v>
      </c>
      <c r="L340">
        <f>'Primary Care Activity'!N56</f>
        <v>0</v>
      </c>
      <c r="M340">
        <f>'Primary Care Activity'!O56</f>
        <v>0</v>
      </c>
      <c r="N340">
        <f>'Primary Care Activity'!P56</f>
        <v>0</v>
      </c>
      <c r="O340">
        <f>'Primary Care Activity'!Q56</f>
        <v>0</v>
      </c>
      <c r="P340">
        <f>'Primary Care Activity'!R56</f>
        <v>0</v>
      </c>
      <c r="Q340">
        <f>'Primary Care Activity'!S56</f>
        <v>0</v>
      </c>
      <c r="R340">
        <f>'Primary Care Activity'!T56</f>
        <v>0</v>
      </c>
      <c r="S340">
        <f>'Primary Care Activity'!U56</f>
        <v>0</v>
      </c>
      <c r="AH340" t="str">
        <f>'Primary Care Activity'!C56</f>
        <v>N/A</v>
      </c>
      <c r="AI340" t="str">
        <f>'Primary Care Activity'!D56</f>
        <v>N/A</v>
      </c>
      <c r="AN340">
        <f>'Primary Care Activity'!E56</f>
        <v>0</v>
      </c>
      <c r="AO340">
        <f>'Primary Care Activity'!F56</f>
        <v>0</v>
      </c>
      <c r="AP340">
        <f>'Primary Care Activity'!G56</f>
        <v>0</v>
      </c>
      <c r="AU340">
        <f>'Primary Care Activity'!AI56</f>
        <v>1</v>
      </c>
      <c r="AV340">
        <f>'Primary Care Activity'!W56</f>
        <v>0</v>
      </c>
      <c r="AW340">
        <f>'Primary Care Activity'!X56</f>
        <v>0</v>
      </c>
      <c r="AX340">
        <f>'Primary Care Activity'!Y56</f>
        <v>0</v>
      </c>
      <c r="AY340">
        <f>'Primary Care Activity'!Z56</f>
        <v>0</v>
      </c>
      <c r="AZ340">
        <f>'Primary Care Activity'!AA56</f>
        <v>0</v>
      </c>
      <c r="BA340">
        <f>'Primary Care Activity'!AB56</f>
        <v>0</v>
      </c>
      <c r="BB340">
        <f>'Primary Care Activity'!AC56</f>
        <v>0</v>
      </c>
      <c r="BC340">
        <f>'Primary Care Activity'!AD56</f>
        <v>0</v>
      </c>
      <c r="BD340">
        <f>'Primary Care Activity'!AE56</f>
        <v>0</v>
      </c>
      <c r="BE340">
        <f>'Primary Care Activity'!AF56</f>
        <v>0</v>
      </c>
      <c r="BF340">
        <f>'Primary Care Activity'!AG56</f>
        <v>0</v>
      </c>
      <c r="BG340">
        <f>'Primary Care Activity'!AH56</f>
        <v>1</v>
      </c>
    </row>
    <row r="341" spans="1:59" hidden="1">
      <c r="A341" t="str">
        <f>'[1]Front Sheet and Checklist'!$C$5</f>
        <v>(please select from drop down)</v>
      </c>
      <c r="B341" t="s">
        <v>11</v>
      </c>
      <c r="F341">
        <f>'Primary Care Activity'!B57</f>
        <v>0</v>
      </c>
      <c r="G341">
        <f>'Primary Care Activity'!I57</f>
        <v>0</v>
      </c>
      <c r="H341">
        <f>'Primary Care Activity'!J57</f>
        <v>0</v>
      </c>
      <c r="I341">
        <f>'Primary Care Activity'!K57</f>
        <v>0</v>
      </c>
      <c r="J341">
        <f>'Primary Care Activity'!L57</f>
        <v>0</v>
      </c>
      <c r="K341">
        <f>'Primary Care Activity'!M57</f>
        <v>0</v>
      </c>
      <c r="L341">
        <f>'Primary Care Activity'!N57</f>
        <v>0</v>
      </c>
      <c r="M341">
        <f>'Primary Care Activity'!O57</f>
        <v>0</v>
      </c>
      <c r="N341">
        <f>'Primary Care Activity'!P57</f>
        <v>0</v>
      </c>
      <c r="O341">
        <f>'Primary Care Activity'!Q57</f>
        <v>0</v>
      </c>
      <c r="P341">
        <f>'Primary Care Activity'!R57</f>
        <v>0</v>
      </c>
      <c r="Q341">
        <f>'Primary Care Activity'!S57</f>
        <v>0</v>
      </c>
      <c r="R341">
        <f>'Primary Care Activity'!T57</f>
        <v>0</v>
      </c>
      <c r="S341">
        <f>'Primary Care Activity'!U57</f>
        <v>0</v>
      </c>
      <c r="AH341">
        <f>'Primary Care Activity'!C57</f>
        <v>0</v>
      </c>
      <c r="AI341">
        <f>'Primary Care Activity'!D57</f>
        <v>0</v>
      </c>
      <c r="AN341">
        <f>'Primary Care Activity'!E57</f>
        <v>0</v>
      </c>
      <c r="AO341">
        <f>'Primary Care Activity'!F57</f>
        <v>0</v>
      </c>
      <c r="AP341">
        <f>'Primary Care Activity'!G57</f>
        <v>0</v>
      </c>
      <c r="AU341">
        <f>'Primary Care Activity'!AI57</f>
        <v>0</v>
      </c>
      <c r="AV341">
        <f>'Primary Care Activity'!W57</f>
        <v>0</v>
      </c>
      <c r="AW341">
        <f>'Primary Care Activity'!X57</f>
        <v>0</v>
      </c>
      <c r="AX341">
        <f>'Primary Care Activity'!Y57</f>
        <v>0</v>
      </c>
      <c r="AY341">
        <f>'Primary Care Activity'!Z57</f>
        <v>0</v>
      </c>
      <c r="AZ341">
        <f>'Primary Care Activity'!AA57</f>
        <v>0</v>
      </c>
      <c r="BA341">
        <f>'Primary Care Activity'!AB57</f>
        <v>0</v>
      </c>
      <c r="BB341">
        <f>'Primary Care Activity'!AC57</f>
        <v>0</v>
      </c>
      <c r="BC341">
        <f>'Primary Care Activity'!AD57</f>
        <v>0</v>
      </c>
      <c r="BD341">
        <f>'Primary Care Activity'!AE57</f>
        <v>0</v>
      </c>
      <c r="BE341">
        <f>'Primary Care Activity'!AF57</f>
        <v>0</v>
      </c>
      <c r="BF341">
        <f>'Primary Care Activity'!AG57</f>
        <v>0</v>
      </c>
      <c r="BG341">
        <f>'Primary Care Activity'!AH57</f>
        <v>0</v>
      </c>
    </row>
    <row r="342" spans="1:59" hidden="1">
      <c r="A342" t="str">
        <f>'[1]Front Sheet and Checklist'!$C$5</f>
        <v>(please select from drop down)</v>
      </c>
      <c r="B342" t="s">
        <v>11</v>
      </c>
      <c r="D342" t="str">
        <f>'Primary Care Activity'!$B$58</f>
        <v>6. Optometry Services</v>
      </c>
      <c r="F342" t="str">
        <f>'Primary Care Activity'!B58</f>
        <v>6. Optometry Services</v>
      </c>
      <c r="G342">
        <f>'Primary Care Activity'!I58</f>
        <v>0</v>
      </c>
      <c r="H342">
        <f>'Primary Care Activity'!J58</f>
        <v>0</v>
      </c>
      <c r="I342">
        <f>'Primary Care Activity'!K58</f>
        <v>0</v>
      </c>
      <c r="J342">
        <f>'Primary Care Activity'!L58</f>
        <v>0</v>
      </c>
      <c r="K342">
        <f>'Primary Care Activity'!M58</f>
        <v>0</v>
      </c>
      <c r="L342">
        <f>'Primary Care Activity'!N58</f>
        <v>0</v>
      </c>
      <c r="M342">
        <f>'Primary Care Activity'!O58</f>
        <v>0</v>
      </c>
      <c r="N342">
        <f>'Primary Care Activity'!P58</f>
        <v>0</v>
      </c>
      <c r="O342">
        <f>'Primary Care Activity'!Q58</f>
        <v>0</v>
      </c>
      <c r="P342">
        <f>'Primary Care Activity'!R58</f>
        <v>0</v>
      </c>
      <c r="Q342">
        <f>'Primary Care Activity'!S58</f>
        <v>0</v>
      </c>
      <c r="R342">
        <f>'Primary Care Activity'!T58</f>
        <v>0</v>
      </c>
      <c r="S342">
        <f>'Primary Care Activity'!U58</f>
        <v>0</v>
      </c>
      <c r="AH342">
        <f>'Primary Care Activity'!C58</f>
        <v>0</v>
      </c>
      <c r="AI342">
        <f>'Primary Care Activity'!D58</f>
        <v>0</v>
      </c>
      <c r="AN342">
        <f>'Primary Care Activity'!E58</f>
        <v>0</v>
      </c>
      <c r="AO342">
        <f>'Primary Care Activity'!F58</f>
        <v>0</v>
      </c>
      <c r="AP342">
        <f>'Primary Care Activity'!G58</f>
        <v>0</v>
      </c>
      <c r="AU342">
        <f>'Primary Care Activity'!AI58</f>
        <v>0</v>
      </c>
      <c r="AV342">
        <f>'Primary Care Activity'!W58</f>
        <v>0</v>
      </c>
      <c r="AW342">
        <f>'Primary Care Activity'!X58</f>
        <v>0</v>
      </c>
      <c r="AX342">
        <f>'Primary Care Activity'!Y58</f>
        <v>0</v>
      </c>
      <c r="AY342">
        <f>'Primary Care Activity'!Z58</f>
        <v>0</v>
      </c>
      <c r="AZ342">
        <f>'Primary Care Activity'!AA58</f>
        <v>0</v>
      </c>
      <c r="BA342">
        <f>'Primary Care Activity'!AB58</f>
        <v>0</v>
      </c>
      <c r="BB342">
        <f>'Primary Care Activity'!AC58</f>
        <v>0</v>
      </c>
      <c r="BC342">
        <f>'Primary Care Activity'!AD58</f>
        <v>0</v>
      </c>
      <c r="BD342">
        <f>'Primary Care Activity'!AE58</f>
        <v>0</v>
      </c>
      <c r="BE342">
        <f>'Primary Care Activity'!AF58</f>
        <v>0</v>
      </c>
      <c r="BF342">
        <f>'Primary Care Activity'!AG58</f>
        <v>0</v>
      </c>
      <c r="BG342">
        <f>'Primary Care Activity'!AH58</f>
        <v>0</v>
      </c>
    </row>
    <row r="343" spans="1:59" hidden="1">
      <c r="A343" t="str">
        <f>'[1]Front Sheet and Checklist'!$C$5</f>
        <v>(please select from drop down)</v>
      </c>
      <c r="B343" t="s">
        <v>11</v>
      </c>
      <c r="D343" t="str">
        <f>'Primary Care Activity'!$B$58</f>
        <v>6. Optometry Services</v>
      </c>
      <c r="F343" t="str">
        <f>'Primary Care Activity'!B59</f>
        <v>Percentage of Community Optometrists (locations) who are Independent prescribers</v>
      </c>
      <c r="G343">
        <f>'Primary Care Activity'!I59</f>
        <v>0</v>
      </c>
      <c r="H343">
        <f>'Primary Care Activity'!J59</f>
        <v>0</v>
      </c>
      <c r="I343">
        <f>'Primary Care Activity'!K59</f>
        <v>0</v>
      </c>
      <c r="J343">
        <f>'Primary Care Activity'!L59</f>
        <v>0</v>
      </c>
      <c r="K343">
        <f>'Primary Care Activity'!M59</f>
        <v>0</v>
      </c>
      <c r="L343">
        <f>'Primary Care Activity'!N59</f>
        <v>0</v>
      </c>
      <c r="M343">
        <f>'Primary Care Activity'!O59</f>
        <v>0</v>
      </c>
      <c r="N343">
        <f>'Primary Care Activity'!P59</f>
        <v>0</v>
      </c>
      <c r="O343">
        <f>'Primary Care Activity'!Q59</f>
        <v>0</v>
      </c>
      <c r="P343">
        <f>'Primary Care Activity'!R59</f>
        <v>0</v>
      </c>
      <c r="Q343">
        <f>'Primary Care Activity'!S59</f>
        <v>0</v>
      </c>
      <c r="R343">
        <f>'Primary Care Activity'!T59</f>
        <v>0</v>
      </c>
      <c r="S343">
        <f>'Primary Care Activity'!U59</f>
        <v>0</v>
      </c>
      <c r="AH343">
        <f>'Primary Care Activity'!C59</f>
        <v>0.03</v>
      </c>
      <c r="AI343">
        <f>'Primary Care Activity'!D59</f>
        <v>0.03</v>
      </c>
      <c r="AN343">
        <f>'Primary Care Activity'!E59</f>
        <v>0</v>
      </c>
      <c r="AO343">
        <f>'Primary Care Activity'!F59</f>
        <v>0</v>
      </c>
      <c r="AP343">
        <f>'Primary Care Activity'!G59</f>
        <v>0</v>
      </c>
      <c r="AU343">
        <f>'Primary Care Activity'!AI59</f>
        <v>2.4300000000000002</v>
      </c>
      <c r="AV343">
        <f>'Primary Care Activity'!W59</f>
        <v>0.03</v>
      </c>
      <c r="AW343">
        <f>'Primary Care Activity'!X59</f>
        <v>0.03</v>
      </c>
      <c r="AX343">
        <f>'Primary Care Activity'!Y59</f>
        <v>0.03</v>
      </c>
      <c r="AY343">
        <f>'Primary Care Activity'!Z59</f>
        <v>0.16</v>
      </c>
      <c r="AZ343">
        <f>'Primary Care Activity'!AA59</f>
        <v>0.19</v>
      </c>
      <c r="BA343">
        <f>'Primary Care Activity'!AB59</f>
        <v>0.19</v>
      </c>
      <c r="BB343">
        <f>'Primary Care Activity'!AC59</f>
        <v>0.28000000000000003</v>
      </c>
      <c r="BC343">
        <f>'Primary Care Activity'!AD59</f>
        <v>0.28000000000000003</v>
      </c>
      <c r="BD343">
        <f>'Primary Care Activity'!AE59</f>
        <v>0.31</v>
      </c>
      <c r="BE343">
        <f>'Primary Care Activity'!AF59</f>
        <v>0.31</v>
      </c>
      <c r="BF343">
        <f>'Primary Care Activity'!AG59</f>
        <v>0.31</v>
      </c>
      <c r="BG343">
        <f>'Primary Care Activity'!AH59</f>
        <v>0.31</v>
      </c>
    </row>
    <row r="344" spans="1:59" hidden="1">
      <c r="A344" t="str">
        <f>'[1]Front Sheet and Checklist'!$C$5</f>
        <v>(please select from drop down)</v>
      </c>
      <c r="B344" t="s">
        <v>11</v>
      </c>
      <c r="D344" t="str">
        <f>'Primary Care Activity'!$B$58</f>
        <v>6. Optometry Services</v>
      </c>
      <c r="F344" t="str">
        <f>'Primary Care Activity'!B60</f>
        <v>Planned increase in the number of new patients 18+ accessing NHS Optometry services</v>
      </c>
      <c r="G344">
        <f>'Primary Care Activity'!I60</f>
        <v>0</v>
      </c>
      <c r="H344">
        <f>'Primary Care Activity'!J60</f>
        <v>0</v>
      </c>
      <c r="I344">
        <f>'Primary Care Activity'!K60</f>
        <v>0</v>
      </c>
      <c r="J344">
        <f>'Primary Care Activity'!L60</f>
        <v>0</v>
      </c>
      <c r="K344">
        <f>'Primary Care Activity'!M60</f>
        <v>0</v>
      </c>
      <c r="L344">
        <f>'Primary Care Activity'!N60</f>
        <v>0</v>
      </c>
      <c r="M344">
        <f>'Primary Care Activity'!O60</f>
        <v>0</v>
      </c>
      <c r="N344">
        <f>'Primary Care Activity'!P60</f>
        <v>0</v>
      </c>
      <c r="O344">
        <f>'Primary Care Activity'!Q60</f>
        <v>0</v>
      </c>
      <c r="P344">
        <f>'Primary Care Activity'!R60</f>
        <v>0</v>
      </c>
      <c r="Q344">
        <f>'Primary Care Activity'!S60</f>
        <v>0</v>
      </c>
      <c r="R344">
        <f>'Primary Care Activity'!T60</f>
        <v>0</v>
      </c>
      <c r="S344">
        <f>'Primary Care Activity'!U60</f>
        <v>0</v>
      </c>
      <c r="AH344">
        <f>'Primary Care Activity'!C60</f>
        <v>0</v>
      </c>
      <c r="AI344">
        <f>'Primary Care Activity'!D60</f>
        <v>0</v>
      </c>
      <c r="AN344">
        <f>'Primary Care Activity'!E60</f>
        <v>0</v>
      </c>
      <c r="AO344">
        <f>'Primary Care Activity'!F60</f>
        <v>0</v>
      </c>
      <c r="AP344">
        <f>'Primary Care Activity'!G60</f>
        <v>0</v>
      </c>
      <c r="AU344">
        <f>'Primary Care Activity'!AI60</f>
        <v>0</v>
      </c>
      <c r="AV344">
        <f>'Primary Care Activity'!W60</f>
        <v>0</v>
      </c>
      <c r="AW344">
        <f>'Primary Care Activity'!X60</f>
        <v>0</v>
      </c>
      <c r="AX344">
        <f>'Primary Care Activity'!Y60</f>
        <v>0</v>
      </c>
      <c r="AY344">
        <f>'Primary Care Activity'!Z60</f>
        <v>0</v>
      </c>
      <c r="AZ344">
        <f>'Primary Care Activity'!AA60</f>
        <v>0</v>
      </c>
      <c r="BA344">
        <f>'Primary Care Activity'!AB60</f>
        <v>0</v>
      </c>
      <c r="BB344">
        <f>'Primary Care Activity'!AC60</f>
        <v>0</v>
      </c>
      <c r="BC344">
        <f>'Primary Care Activity'!AD60</f>
        <v>0</v>
      </c>
      <c r="BD344">
        <f>'Primary Care Activity'!AE60</f>
        <v>0</v>
      </c>
      <c r="BE344">
        <f>'Primary Care Activity'!AF60</f>
        <v>0</v>
      </c>
      <c r="BF344">
        <f>'Primary Care Activity'!AG60</f>
        <v>0</v>
      </c>
      <c r="BG344">
        <f>'Primary Care Activity'!AH60</f>
        <v>0</v>
      </c>
    </row>
    <row r="345" spans="1:59" hidden="1">
      <c r="A345" t="str">
        <f>'[1]Front Sheet and Checklist'!$C$5</f>
        <v>(please select from drop down)</v>
      </c>
      <c r="B345" t="s">
        <v>11</v>
      </c>
      <c r="D345" t="str">
        <f>'Primary Care Activity'!$B$58</f>
        <v>6. Optometry Services</v>
      </c>
      <c r="F345" t="str">
        <f>'Primary Care Activity'!B61</f>
        <v>Planned increase in the number of new patients 0-18 years accessing NHS Optometry services</v>
      </c>
      <c r="G345">
        <f>'Primary Care Activity'!I61</f>
        <v>0</v>
      </c>
      <c r="H345">
        <f>'Primary Care Activity'!J61</f>
        <v>0</v>
      </c>
      <c r="I345">
        <f>'Primary Care Activity'!K61</f>
        <v>0</v>
      </c>
      <c r="J345">
        <f>'Primary Care Activity'!L61</f>
        <v>0</v>
      </c>
      <c r="K345">
        <f>'Primary Care Activity'!M61</f>
        <v>0</v>
      </c>
      <c r="L345">
        <f>'Primary Care Activity'!N61</f>
        <v>0</v>
      </c>
      <c r="M345">
        <f>'Primary Care Activity'!O61</f>
        <v>0</v>
      </c>
      <c r="N345">
        <f>'Primary Care Activity'!P61</f>
        <v>0</v>
      </c>
      <c r="O345">
        <f>'Primary Care Activity'!Q61</f>
        <v>0</v>
      </c>
      <c r="P345">
        <f>'Primary Care Activity'!R61</f>
        <v>0</v>
      </c>
      <c r="Q345">
        <f>'Primary Care Activity'!S61</f>
        <v>0</v>
      </c>
      <c r="R345">
        <f>'Primary Care Activity'!T61</f>
        <v>0</v>
      </c>
      <c r="S345">
        <f>'Primary Care Activity'!U61</f>
        <v>0</v>
      </c>
      <c r="AH345">
        <f>'Primary Care Activity'!C61</f>
        <v>0</v>
      </c>
      <c r="AI345">
        <f>'Primary Care Activity'!D61</f>
        <v>0</v>
      </c>
      <c r="AN345">
        <f>'Primary Care Activity'!E61</f>
        <v>0</v>
      </c>
      <c r="AO345">
        <f>'Primary Care Activity'!F61</f>
        <v>0</v>
      </c>
      <c r="AP345">
        <f>'Primary Care Activity'!G61</f>
        <v>0</v>
      </c>
      <c r="AU345">
        <f>'Primary Care Activity'!AI61</f>
        <v>0</v>
      </c>
      <c r="AV345">
        <f>'Primary Care Activity'!W61</f>
        <v>0</v>
      </c>
      <c r="AW345">
        <f>'Primary Care Activity'!X61</f>
        <v>0</v>
      </c>
      <c r="AX345">
        <f>'Primary Care Activity'!Y61</f>
        <v>0</v>
      </c>
      <c r="AY345">
        <f>'Primary Care Activity'!Z61</f>
        <v>0</v>
      </c>
      <c r="AZ345">
        <f>'Primary Care Activity'!AA61</f>
        <v>0</v>
      </c>
      <c r="BA345">
        <f>'Primary Care Activity'!AB61</f>
        <v>0</v>
      </c>
      <c r="BB345">
        <f>'Primary Care Activity'!AC61</f>
        <v>0</v>
      </c>
      <c r="BC345">
        <f>'Primary Care Activity'!AD61</f>
        <v>0</v>
      </c>
      <c r="BD345">
        <f>'Primary Care Activity'!AE61</f>
        <v>0</v>
      </c>
      <c r="BE345">
        <f>'Primary Care Activity'!AF61</f>
        <v>0</v>
      </c>
      <c r="BF345">
        <f>'Primary Care Activity'!AG61</f>
        <v>0</v>
      </c>
      <c r="BG345">
        <f>'Primary Care Activity'!AH61</f>
        <v>0</v>
      </c>
    </row>
    <row r="346" spans="1:59" hidden="1">
      <c r="A346" t="str">
        <f>'[1]Front Sheet and Checklist'!$C$5</f>
        <v>(please select from drop down)</v>
      </c>
      <c r="B346" t="s">
        <v>11</v>
      </c>
      <c r="D346" t="str">
        <f>'Primary Care Activity'!$B$58</f>
        <v>6. Optometry Services</v>
      </c>
      <c r="F346" t="str">
        <f>'Primary Care Activity'!B62</f>
        <v>The proportion of all referrals to secondary care ophthalmology that come from these enhanced optometry practitioners</v>
      </c>
      <c r="G346">
        <f>'Primary Care Activity'!I62</f>
        <v>0</v>
      </c>
      <c r="H346">
        <f>'Primary Care Activity'!J62</f>
        <v>0</v>
      </c>
      <c r="I346">
        <f>'Primary Care Activity'!K62</f>
        <v>0</v>
      </c>
      <c r="J346">
        <f>'Primary Care Activity'!L62</f>
        <v>0</v>
      </c>
      <c r="K346">
        <f>'Primary Care Activity'!M62</f>
        <v>0</v>
      </c>
      <c r="L346">
        <f>'Primary Care Activity'!N62</f>
        <v>0</v>
      </c>
      <c r="M346">
        <f>'Primary Care Activity'!O62</f>
        <v>0</v>
      </c>
      <c r="N346">
        <f>'Primary Care Activity'!P62</f>
        <v>0</v>
      </c>
      <c r="O346">
        <f>'Primary Care Activity'!Q62</f>
        <v>0</v>
      </c>
      <c r="P346">
        <f>'Primary Care Activity'!R62</f>
        <v>0</v>
      </c>
      <c r="Q346">
        <f>'Primary Care Activity'!S62</f>
        <v>0</v>
      </c>
      <c r="R346">
        <f>'Primary Care Activity'!T62</f>
        <v>0</v>
      </c>
      <c r="S346">
        <f>'Primary Care Activity'!U62</f>
        <v>0</v>
      </c>
      <c r="AH346">
        <f>'Primary Care Activity'!C62</f>
        <v>0</v>
      </c>
      <c r="AI346">
        <f>'Primary Care Activity'!D62</f>
        <v>0</v>
      </c>
      <c r="AN346">
        <f>'Primary Care Activity'!E62</f>
        <v>0</v>
      </c>
      <c r="AO346">
        <f>'Primary Care Activity'!F62</f>
        <v>0</v>
      </c>
      <c r="AP346">
        <f>'Primary Care Activity'!G62</f>
        <v>0</v>
      </c>
      <c r="AU346">
        <f>'Primary Care Activity'!AI62</f>
        <v>0</v>
      </c>
      <c r="AV346">
        <f>'Primary Care Activity'!W62</f>
        <v>0</v>
      </c>
      <c r="AW346">
        <f>'Primary Care Activity'!X62</f>
        <v>0</v>
      </c>
      <c r="AX346">
        <f>'Primary Care Activity'!Y62</f>
        <v>0</v>
      </c>
      <c r="AY346">
        <f>'Primary Care Activity'!Z62</f>
        <v>0</v>
      </c>
      <c r="AZ346">
        <f>'Primary Care Activity'!AA62</f>
        <v>0</v>
      </c>
      <c r="BA346">
        <f>'Primary Care Activity'!AB62</f>
        <v>0</v>
      </c>
      <c r="BB346">
        <f>'Primary Care Activity'!AC62</f>
        <v>0</v>
      </c>
      <c r="BC346">
        <f>'Primary Care Activity'!AD62</f>
        <v>0</v>
      </c>
      <c r="BD346">
        <f>'Primary Care Activity'!AE62</f>
        <v>0</v>
      </c>
      <c r="BE346">
        <f>'Primary Care Activity'!AF62</f>
        <v>0</v>
      </c>
      <c r="BF346">
        <f>'Primary Care Activity'!AG62</f>
        <v>0</v>
      </c>
      <c r="BG346">
        <f>'Primary Care Activity'!AH62</f>
        <v>0</v>
      </c>
    </row>
    <row r="347" spans="1:59" hidden="1">
      <c r="A347" t="str">
        <f>'[1]Front Sheet and Checklist'!$C$5</f>
        <v>(please select from drop down)</v>
      </c>
      <c r="B347" t="s">
        <v>11</v>
      </c>
      <c r="D347" t="str">
        <f>'Primary Care Activity'!$B$58</f>
        <v>6. Optometry Services</v>
      </c>
      <c r="F347" t="str">
        <f>'Primary Care Activity'!B63</f>
        <v>Numbers of optometry practices providing patients with any part of the new services (new contract)</v>
      </c>
      <c r="G347">
        <f>'Primary Care Activity'!I63</f>
        <v>0</v>
      </c>
      <c r="H347">
        <f>'Primary Care Activity'!J63</f>
        <v>0</v>
      </c>
      <c r="I347">
        <f>'Primary Care Activity'!K63</f>
        <v>0</v>
      </c>
      <c r="J347">
        <f>'Primary Care Activity'!L63</f>
        <v>0</v>
      </c>
      <c r="K347">
        <f>'Primary Care Activity'!M63</f>
        <v>0</v>
      </c>
      <c r="L347">
        <f>'Primary Care Activity'!N63</f>
        <v>0</v>
      </c>
      <c r="M347">
        <f>'Primary Care Activity'!O63</f>
        <v>0</v>
      </c>
      <c r="N347">
        <f>'Primary Care Activity'!P63</f>
        <v>0</v>
      </c>
      <c r="O347">
        <f>'Primary Care Activity'!Q63</f>
        <v>0</v>
      </c>
      <c r="P347">
        <f>'Primary Care Activity'!R63</f>
        <v>0</v>
      </c>
      <c r="Q347">
        <f>'Primary Care Activity'!S63</f>
        <v>0</v>
      </c>
      <c r="R347">
        <f>'Primary Care Activity'!T63</f>
        <v>0</v>
      </c>
      <c r="S347">
        <f>'Primary Care Activity'!U63</f>
        <v>0</v>
      </c>
      <c r="AH347">
        <f>'Primary Care Activity'!C63</f>
        <v>0</v>
      </c>
      <c r="AI347">
        <f>'Primary Care Activity'!D63</f>
        <v>32</v>
      </c>
      <c r="AN347">
        <f>'Primary Care Activity'!E63</f>
        <v>0</v>
      </c>
      <c r="AO347">
        <f>'Primary Care Activity'!F63</f>
        <v>0</v>
      </c>
      <c r="AP347">
        <f>'Primary Care Activity'!G63</f>
        <v>0</v>
      </c>
      <c r="AU347">
        <f>'Primary Care Activity'!AI63</f>
        <v>384</v>
      </c>
      <c r="AV347">
        <f>'Primary Care Activity'!W63</f>
        <v>32</v>
      </c>
      <c r="AW347">
        <f>'Primary Care Activity'!X63</f>
        <v>32</v>
      </c>
      <c r="AX347">
        <f>'Primary Care Activity'!Y63</f>
        <v>32</v>
      </c>
      <c r="AY347">
        <f>'Primary Care Activity'!Z63</f>
        <v>32</v>
      </c>
      <c r="AZ347">
        <f>'Primary Care Activity'!AA63</f>
        <v>32</v>
      </c>
      <c r="BA347">
        <f>'Primary Care Activity'!AB63</f>
        <v>32</v>
      </c>
      <c r="BB347">
        <f>'Primary Care Activity'!AC63</f>
        <v>32</v>
      </c>
      <c r="BC347">
        <f>'Primary Care Activity'!AD63</f>
        <v>32</v>
      </c>
      <c r="BD347">
        <f>'Primary Care Activity'!AE63</f>
        <v>32</v>
      </c>
      <c r="BE347">
        <f>'Primary Care Activity'!AF63</f>
        <v>32</v>
      </c>
      <c r="BF347">
        <f>'Primary Care Activity'!AG63</f>
        <v>32</v>
      </c>
      <c r="BG347">
        <f>'Primary Care Activity'!AH63</f>
        <v>32</v>
      </c>
    </row>
    <row r="348" spans="1:59" hidden="1">
      <c r="A348" t="str">
        <f>'[1]Front Sheet and Checklist'!$C$5</f>
        <v>(please select from drop down)</v>
      </c>
      <c r="B348" t="s">
        <v>11</v>
      </c>
      <c r="F348">
        <f>'Primary Care Activity'!B64</f>
        <v>0</v>
      </c>
      <c r="G348">
        <f>'Primary Care Activity'!I64</f>
        <v>0</v>
      </c>
      <c r="H348">
        <f>'Primary Care Activity'!J64</f>
        <v>0</v>
      </c>
      <c r="I348">
        <f>'Primary Care Activity'!K64</f>
        <v>0</v>
      </c>
      <c r="J348">
        <f>'Primary Care Activity'!L64</f>
        <v>0</v>
      </c>
      <c r="K348">
        <f>'Primary Care Activity'!M64</f>
        <v>0</v>
      </c>
      <c r="L348">
        <f>'Primary Care Activity'!N64</f>
        <v>0</v>
      </c>
      <c r="M348">
        <f>'Primary Care Activity'!O64</f>
        <v>0</v>
      </c>
      <c r="N348">
        <f>'Primary Care Activity'!P64</f>
        <v>0</v>
      </c>
      <c r="O348">
        <f>'Primary Care Activity'!Q64</f>
        <v>0</v>
      </c>
      <c r="P348">
        <f>'Primary Care Activity'!R64</f>
        <v>0</v>
      </c>
      <c r="Q348">
        <f>'Primary Care Activity'!S64</f>
        <v>0</v>
      </c>
      <c r="R348">
        <f>'Primary Care Activity'!T64</f>
        <v>0</v>
      </c>
      <c r="S348">
        <f>'Primary Care Activity'!U64</f>
        <v>0</v>
      </c>
      <c r="AH348">
        <f>'Primary Care Activity'!C64</f>
        <v>0</v>
      </c>
      <c r="AI348">
        <f>'Primary Care Activity'!D64</f>
        <v>0</v>
      </c>
      <c r="AN348">
        <f>'Primary Care Activity'!E64</f>
        <v>0</v>
      </c>
      <c r="AO348">
        <f>'Primary Care Activity'!F64</f>
        <v>0</v>
      </c>
      <c r="AP348">
        <f>'Primary Care Activity'!G64</f>
        <v>0</v>
      </c>
      <c r="AU348">
        <f>'Primary Care Activity'!AI64</f>
        <v>0</v>
      </c>
      <c r="AV348">
        <f>'Primary Care Activity'!W64</f>
        <v>0</v>
      </c>
      <c r="AW348">
        <f>'Primary Care Activity'!X64</f>
        <v>0</v>
      </c>
      <c r="AX348">
        <f>'Primary Care Activity'!Y64</f>
        <v>0</v>
      </c>
      <c r="AY348">
        <f>'Primary Care Activity'!Z64</f>
        <v>0</v>
      </c>
      <c r="AZ348">
        <f>'Primary Care Activity'!AA64</f>
        <v>0</v>
      </c>
      <c r="BA348">
        <f>'Primary Care Activity'!AB64</f>
        <v>0</v>
      </c>
      <c r="BB348">
        <f>'Primary Care Activity'!AC64</f>
        <v>0</v>
      </c>
      <c r="BC348">
        <f>'Primary Care Activity'!AD64</f>
        <v>0</v>
      </c>
      <c r="BD348">
        <f>'Primary Care Activity'!AE64</f>
        <v>0</v>
      </c>
      <c r="BE348">
        <f>'Primary Care Activity'!AF64</f>
        <v>0</v>
      </c>
      <c r="BF348">
        <f>'Primary Care Activity'!AG64</f>
        <v>0</v>
      </c>
      <c r="BG348">
        <f>'Primary Care Activity'!AH64</f>
        <v>0</v>
      </c>
    </row>
    <row r="349" spans="1:59" hidden="1">
      <c r="A349" t="str">
        <f>'[1]Front Sheet and Checklist'!$C$5</f>
        <v>(please select from drop down)</v>
      </c>
      <c r="B349" t="s">
        <v>11</v>
      </c>
      <c r="D349" t="s">
        <v>1272</v>
      </c>
      <c r="F349" t="str">
        <f>'Primary Care Activity'!B65</f>
        <v>7. Community Services</v>
      </c>
      <c r="G349">
        <f>'Primary Care Activity'!I65</f>
        <v>0</v>
      </c>
      <c r="H349">
        <f>'Primary Care Activity'!J65</f>
        <v>0</v>
      </c>
      <c r="I349">
        <f>'Primary Care Activity'!K65</f>
        <v>0</v>
      </c>
      <c r="J349">
        <f>'Primary Care Activity'!L65</f>
        <v>0</v>
      </c>
      <c r="K349">
        <f>'Primary Care Activity'!M65</f>
        <v>0</v>
      </c>
      <c r="L349">
        <f>'Primary Care Activity'!N65</f>
        <v>0</v>
      </c>
      <c r="M349">
        <f>'Primary Care Activity'!O65</f>
        <v>0</v>
      </c>
      <c r="N349">
        <f>'Primary Care Activity'!P65</f>
        <v>0</v>
      </c>
      <c r="O349">
        <f>'Primary Care Activity'!Q65</f>
        <v>0</v>
      </c>
      <c r="P349">
        <f>'Primary Care Activity'!R65</f>
        <v>0</v>
      </c>
      <c r="Q349">
        <f>'Primary Care Activity'!S65</f>
        <v>0</v>
      </c>
      <c r="R349">
        <f>'Primary Care Activity'!T65</f>
        <v>0</v>
      </c>
      <c r="S349">
        <f>'Primary Care Activity'!U65</f>
        <v>0</v>
      </c>
      <c r="AH349">
        <f>'Primary Care Activity'!C65</f>
        <v>0</v>
      </c>
      <c r="AI349">
        <f>'Primary Care Activity'!D65</f>
        <v>0</v>
      </c>
      <c r="AN349">
        <f>'Primary Care Activity'!E65</f>
        <v>0</v>
      </c>
      <c r="AO349">
        <f>'Primary Care Activity'!F65</f>
        <v>0</v>
      </c>
      <c r="AP349">
        <f>'Primary Care Activity'!G65</f>
        <v>0</v>
      </c>
      <c r="AU349">
        <f>'Primary Care Activity'!AI65</f>
        <v>0</v>
      </c>
      <c r="AV349">
        <f>'Primary Care Activity'!W65</f>
        <v>0</v>
      </c>
      <c r="AW349">
        <f>'Primary Care Activity'!X65</f>
        <v>0</v>
      </c>
      <c r="AX349">
        <f>'Primary Care Activity'!Y65</f>
        <v>0</v>
      </c>
      <c r="AY349">
        <f>'Primary Care Activity'!Z65</f>
        <v>0</v>
      </c>
      <c r="AZ349">
        <f>'Primary Care Activity'!AA65</f>
        <v>0</v>
      </c>
      <c r="BA349">
        <f>'Primary Care Activity'!AB65</f>
        <v>0</v>
      </c>
      <c r="BB349">
        <f>'Primary Care Activity'!AC65</f>
        <v>0</v>
      </c>
      <c r="BC349">
        <f>'Primary Care Activity'!AD65</f>
        <v>0</v>
      </c>
      <c r="BD349">
        <f>'Primary Care Activity'!AE65</f>
        <v>0</v>
      </c>
      <c r="BE349">
        <f>'Primary Care Activity'!AF65</f>
        <v>0</v>
      </c>
      <c r="BF349">
        <f>'Primary Care Activity'!AG65</f>
        <v>0</v>
      </c>
      <c r="BG349">
        <f>'Primary Care Activity'!AH65</f>
        <v>0</v>
      </c>
    </row>
    <row r="350" spans="1:59" hidden="1">
      <c r="A350" t="str">
        <f>'[1]Front Sheet and Checklist'!$C$5</f>
        <v>(please select from drop down)</v>
      </c>
      <c r="B350" t="s">
        <v>11</v>
      </c>
      <c r="D350" t="s">
        <v>1272</v>
      </c>
      <c r="F350" t="str">
        <f>'Primary Care Activity'!B66</f>
        <v>District Nursing - Total number of referrals received  - Weekday</v>
      </c>
      <c r="G350">
        <f>'Primary Care Activity'!I66</f>
        <v>4050</v>
      </c>
      <c r="H350">
        <f>'Primary Care Activity'!J66</f>
        <v>4288</v>
      </c>
      <c r="I350">
        <f>'Primary Care Activity'!K66</f>
        <v>4069</v>
      </c>
      <c r="J350">
        <f>'Primary Care Activity'!L66</f>
        <v>4307</v>
      </c>
      <c r="K350">
        <f>'Primary Care Activity'!M66</f>
        <v>4088</v>
      </c>
      <c r="L350">
        <f>'Primary Care Activity'!N66</f>
        <v>4326</v>
      </c>
      <c r="M350">
        <f>'Primary Care Activity'!O66</f>
        <v>4107</v>
      </c>
      <c r="N350">
        <f>'Primary Care Activity'!P66</f>
        <v>4345</v>
      </c>
      <c r="O350">
        <f>'Primary Care Activity'!Q66</f>
        <v>4126</v>
      </c>
      <c r="P350">
        <f>'Primary Care Activity'!R66</f>
        <v>4364</v>
      </c>
      <c r="Q350">
        <f>'Primary Care Activity'!S66</f>
        <v>4145</v>
      </c>
      <c r="R350">
        <f>'Primary Care Activity'!T66</f>
        <v>4383</v>
      </c>
      <c r="S350">
        <f>'Primary Care Activity'!U66</f>
        <v>50598</v>
      </c>
      <c r="AH350">
        <f>'Primary Care Activity'!C66</f>
        <v>0</v>
      </c>
      <c r="AI350">
        <f>'Primary Care Activity'!D66</f>
        <v>0</v>
      </c>
      <c r="AN350">
        <f>'Primary Care Activity'!E66</f>
        <v>50598</v>
      </c>
      <c r="AO350">
        <f>'Primary Care Activity'!F66</f>
        <v>0</v>
      </c>
      <c r="AP350">
        <f>'Primary Care Activity'!G66</f>
        <v>0</v>
      </c>
      <c r="AU350">
        <f>'Primary Care Activity'!AI66</f>
        <v>48948</v>
      </c>
      <c r="AV350">
        <f>'Primary Care Activity'!W66</f>
        <v>4357</v>
      </c>
      <c r="AW350">
        <f>'Primary Care Activity'!X66</f>
        <v>4406</v>
      </c>
      <c r="AX350">
        <f>'Primary Care Activity'!Y66</f>
        <v>4087</v>
      </c>
      <c r="AY350">
        <f>'Primary Care Activity'!Z66</f>
        <v>4657</v>
      </c>
      <c r="AZ350">
        <f>'Primary Care Activity'!AA66</f>
        <v>3954</v>
      </c>
      <c r="BA350">
        <f>'Primary Care Activity'!AB66</f>
        <v>3912</v>
      </c>
      <c r="BB350">
        <f>'Primary Care Activity'!AC66</f>
        <v>4220</v>
      </c>
      <c r="BC350">
        <f>'Primary Care Activity'!AD66</f>
        <v>3793</v>
      </c>
      <c r="BD350">
        <f>'Primary Care Activity'!AE66</f>
        <v>3614</v>
      </c>
      <c r="BE350">
        <f>'Primary Care Activity'!AF66</f>
        <v>4196</v>
      </c>
      <c r="BF350">
        <f>'Primary Care Activity'!AG66</f>
        <v>3824</v>
      </c>
      <c r="BG350">
        <f>'Primary Care Activity'!AH66</f>
        <v>3928</v>
      </c>
    </row>
    <row r="351" spans="1:59" hidden="1">
      <c r="A351" t="str">
        <f>'[1]Front Sheet and Checklist'!$C$5</f>
        <v>(please select from drop down)</v>
      </c>
      <c r="B351" t="s">
        <v>11</v>
      </c>
      <c r="D351" t="s">
        <v>1272</v>
      </c>
      <c r="F351" t="str">
        <f>'Primary Care Activity'!B67</f>
        <v>District Nursing - Total number of referrals received  - Weekend</v>
      </c>
      <c r="G351">
        <f>'Primary Care Activity'!I67</f>
        <v>295</v>
      </c>
      <c r="H351">
        <f>'Primary Care Activity'!J67</f>
        <v>294</v>
      </c>
      <c r="I351">
        <f>'Primary Care Activity'!K67</f>
        <v>292</v>
      </c>
      <c r="J351">
        <f>'Primary Care Activity'!L67</f>
        <v>291</v>
      </c>
      <c r="K351">
        <f>'Primary Care Activity'!M67</f>
        <v>290</v>
      </c>
      <c r="L351">
        <f>'Primary Care Activity'!N67</f>
        <v>288</v>
      </c>
      <c r="M351">
        <f>'Primary Care Activity'!O67</f>
        <v>287</v>
      </c>
      <c r="N351">
        <f>'Primary Care Activity'!P67</f>
        <v>286</v>
      </c>
      <c r="O351">
        <f>'Primary Care Activity'!Q67</f>
        <v>285</v>
      </c>
      <c r="P351">
        <f>'Primary Care Activity'!R67</f>
        <v>283</v>
      </c>
      <c r="Q351">
        <f>'Primary Care Activity'!S67</f>
        <v>282</v>
      </c>
      <c r="R351">
        <f>'Primary Care Activity'!T67</f>
        <v>281</v>
      </c>
      <c r="S351">
        <f>'Primary Care Activity'!U67</f>
        <v>3454</v>
      </c>
      <c r="AH351">
        <f>'Primary Care Activity'!C67</f>
        <v>0</v>
      </c>
      <c r="AI351">
        <f>'Primary Care Activity'!D67</f>
        <v>0</v>
      </c>
      <c r="AN351">
        <f>'Primary Care Activity'!E67</f>
        <v>3454</v>
      </c>
      <c r="AO351">
        <f>'Primary Care Activity'!F67</f>
        <v>0</v>
      </c>
      <c r="AP351">
        <f>'Primary Care Activity'!G67</f>
        <v>0</v>
      </c>
      <c r="AU351">
        <f>'Primary Care Activity'!AI67</f>
        <v>3452</v>
      </c>
      <c r="AV351">
        <f>'Primary Care Activity'!W67</f>
        <v>257</v>
      </c>
      <c r="AW351">
        <f>'Primary Care Activity'!X67</f>
        <v>249</v>
      </c>
      <c r="AX351">
        <f>'Primary Care Activity'!Y67</f>
        <v>398</v>
      </c>
      <c r="AY351">
        <f>'Primary Care Activity'!Z67</f>
        <v>233</v>
      </c>
      <c r="AZ351">
        <f>'Primary Care Activity'!AA67</f>
        <v>246</v>
      </c>
      <c r="BA351">
        <f>'Primary Care Activity'!AB67</f>
        <v>291</v>
      </c>
      <c r="BB351">
        <f>'Primary Care Activity'!AC67</f>
        <v>248</v>
      </c>
      <c r="BC351">
        <f>'Primary Care Activity'!AD67</f>
        <v>301</v>
      </c>
      <c r="BD351">
        <f>'Primary Care Activity'!AE67</f>
        <v>292</v>
      </c>
      <c r="BE351">
        <f>'Primary Care Activity'!AF67</f>
        <v>292</v>
      </c>
      <c r="BF351">
        <f>'Primary Care Activity'!AG67</f>
        <v>286</v>
      </c>
      <c r="BG351">
        <f>'Primary Care Activity'!AH67</f>
        <v>359</v>
      </c>
    </row>
    <row r="352" spans="1:59" hidden="1">
      <c r="A352" t="str">
        <f>'[1]Front Sheet and Checklist'!$C$5</f>
        <v>(please select from drop down)</v>
      </c>
      <c r="B352" t="s">
        <v>11</v>
      </c>
      <c r="D352" t="s">
        <v>1272</v>
      </c>
      <c r="F352" t="str">
        <f>'Primary Care Activity'!B68</f>
        <v>District Nursing - Total number of service users on the caseload</v>
      </c>
      <c r="G352">
        <f>'Primary Care Activity'!I68</f>
        <v>5903</v>
      </c>
      <c r="H352">
        <f>'Primary Care Activity'!J68</f>
        <v>5903</v>
      </c>
      <c r="I352">
        <f>'Primary Care Activity'!K68</f>
        <v>5903</v>
      </c>
      <c r="J352">
        <f>'Primary Care Activity'!L68</f>
        <v>5903</v>
      </c>
      <c r="K352">
        <f>'Primary Care Activity'!M68</f>
        <v>5903</v>
      </c>
      <c r="L352">
        <f>'Primary Care Activity'!N68</f>
        <v>5903</v>
      </c>
      <c r="M352">
        <f>'Primary Care Activity'!O68</f>
        <v>5903</v>
      </c>
      <c r="N352">
        <f>'Primary Care Activity'!P68</f>
        <v>5903</v>
      </c>
      <c r="O352">
        <f>'Primary Care Activity'!Q68</f>
        <v>5903</v>
      </c>
      <c r="P352">
        <f>'Primary Care Activity'!R68</f>
        <v>5903</v>
      </c>
      <c r="Q352">
        <f>'Primary Care Activity'!S68</f>
        <v>5903</v>
      </c>
      <c r="R352">
        <f>'Primary Care Activity'!T68</f>
        <v>5903</v>
      </c>
      <c r="S352">
        <f>'Primary Care Activity'!U68</f>
        <v>70836</v>
      </c>
      <c r="AH352">
        <f>'Primary Care Activity'!C68</f>
        <v>0</v>
      </c>
      <c r="AI352">
        <f>'Primary Care Activity'!D68</f>
        <v>70836</v>
      </c>
      <c r="AN352">
        <f>'Primary Care Activity'!E68</f>
        <v>70836</v>
      </c>
      <c r="AO352">
        <f>'Primary Care Activity'!F68</f>
        <v>0</v>
      </c>
      <c r="AP352">
        <f>'Primary Care Activity'!G68</f>
        <v>0</v>
      </c>
      <c r="AU352">
        <f>'Primary Care Activity'!AI68</f>
        <v>67726</v>
      </c>
      <c r="AV352">
        <f>'Primary Care Activity'!W68</f>
        <v>5900</v>
      </c>
      <c r="AW352">
        <f>'Primary Care Activity'!X68</f>
        <v>5695</v>
      </c>
      <c r="AX352">
        <f>'Primary Care Activity'!Y68</f>
        <v>5829</v>
      </c>
      <c r="AY352">
        <f>'Primary Care Activity'!Z68</f>
        <v>6144</v>
      </c>
      <c r="AZ352">
        <f>'Primary Care Activity'!AA68</f>
        <v>6272</v>
      </c>
      <c r="BA352">
        <f>'Primary Care Activity'!AB68</f>
        <v>6388</v>
      </c>
      <c r="BB352">
        <f>'Primary Care Activity'!AC68</f>
        <v>6143</v>
      </c>
      <c r="BC352">
        <f>'Primary Care Activity'!AD68</f>
        <v>5274</v>
      </c>
      <c r="BD352">
        <f>'Primary Care Activity'!AE68</f>
        <v>4991</v>
      </c>
      <c r="BE352">
        <f>'Primary Care Activity'!AF68</f>
        <v>5081</v>
      </c>
      <c r="BF352">
        <f>'Primary Care Activity'!AG68</f>
        <v>5022</v>
      </c>
      <c r="BG352">
        <f>'Primary Care Activity'!AH68</f>
        <v>4987</v>
      </c>
    </row>
    <row r="353" spans="1:59" hidden="1">
      <c r="A353" t="str">
        <f>'[1]Front Sheet and Checklist'!$C$5</f>
        <v>(please select from drop down)</v>
      </c>
      <c r="B353" t="s">
        <v>11</v>
      </c>
      <c r="D353" t="s">
        <v>1272</v>
      </c>
      <c r="F353" t="str">
        <f>'Primary Care Activity'!B69</f>
        <v xml:space="preserve">District Nursing Total number of Direct patient visits undertaken by District Nursing Services - Weekday </v>
      </c>
      <c r="G353">
        <f>'Primary Care Activity'!I69</f>
        <v>17905</v>
      </c>
      <c r="H353">
        <f>'Primary Care Activity'!J69</f>
        <v>17905</v>
      </c>
      <c r="I353">
        <f>'Primary Care Activity'!K69</f>
        <v>17905</v>
      </c>
      <c r="J353">
        <f>'Primary Care Activity'!L69</f>
        <v>17905</v>
      </c>
      <c r="K353">
        <f>'Primary Care Activity'!M69</f>
        <v>17905</v>
      </c>
      <c r="L353">
        <f>'Primary Care Activity'!N69</f>
        <v>17905</v>
      </c>
      <c r="M353">
        <f>'Primary Care Activity'!O69</f>
        <v>17905</v>
      </c>
      <c r="N353">
        <f>'Primary Care Activity'!P69</f>
        <v>17905</v>
      </c>
      <c r="O353">
        <f>'Primary Care Activity'!Q69</f>
        <v>17905</v>
      </c>
      <c r="P353">
        <f>'Primary Care Activity'!R69</f>
        <v>17905</v>
      </c>
      <c r="Q353">
        <f>'Primary Care Activity'!S69</f>
        <v>17905</v>
      </c>
      <c r="R353">
        <f>'Primary Care Activity'!T69</f>
        <v>17905</v>
      </c>
      <c r="S353">
        <f>'Primary Care Activity'!U69</f>
        <v>214860</v>
      </c>
      <c r="AH353">
        <f>'Primary Care Activity'!C69</f>
        <v>199658</v>
      </c>
      <c r="AI353">
        <f>'Primary Care Activity'!D69</f>
        <v>214859</v>
      </c>
      <c r="AN353">
        <f>'Primary Care Activity'!E69</f>
        <v>214860</v>
      </c>
      <c r="AO353">
        <f>'Primary Care Activity'!F69</f>
        <v>0</v>
      </c>
      <c r="AP353">
        <f>'Primary Care Activity'!G69</f>
        <v>0</v>
      </c>
      <c r="AU353">
        <f>'Primary Care Activity'!AI69</f>
        <v>215916</v>
      </c>
      <c r="AV353">
        <f>'Primary Care Activity'!W69</f>
        <v>18516</v>
      </c>
      <c r="AW353">
        <f>'Primary Care Activity'!X69</f>
        <v>19332</v>
      </c>
      <c r="AX353">
        <f>'Primary Care Activity'!Y69</f>
        <v>16910</v>
      </c>
      <c r="AY353">
        <f>'Primary Care Activity'!Z69</f>
        <v>19127</v>
      </c>
      <c r="AZ353">
        <f>'Primary Care Activity'!AA69</f>
        <v>17512</v>
      </c>
      <c r="BA353">
        <f>'Primary Care Activity'!AB69</f>
        <v>17085</v>
      </c>
      <c r="BB353">
        <f>'Primary Care Activity'!AC69</f>
        <v>18312</v>
      </c>
      <c r="BC353">
        <f>'Primary Care Activity'!AD69</f>
        <v>17005</v>
      </c>
      <c r="BD353">
        <f>'Primary Care Activity'!AE69</f>
        <v>18556</v>
      </c>
      <c r="BE353">
        <f>'Primary Care Activity'!AF69</f>
        <v>19383</v>
      </c>
      <c r="BF353">
        <f>'Primary Care Activity'!AG69</f>
        <v>16916</v>
      </c>
      <c r="BG353">
        <f>'Primary Care Activity'!AH69</f>
        <v>17262</v>
      </c>
    </row>
    <row r="354" spans="1:59" hidden="1">
      <c r="A354" t="str">
        <f>'[1]Front Sheet and Checklist'!$C$5</f>
        <v>(please select from drop down)</v>
      </c>
      <c r="B354" t="s">
        <v>11</v>
      </c>
      <c r="D354" t="s">
        <v>1272</v>
      </c>
      <c r="F354" t="str">
        <f>'Primary Care Activity'!B70</f>
        <v>District Nursing Total number of Direct patient visits undertaken by District Nursing Services - Weekend</v>
      </c>
      <c r="G354">
        <f>'Primary Care Activity'!I70</f>
        <v>3518</v>
      </c>
      <c r="H354">
        <f>'Primary Care Activity'!J70</f>
        <v>3518</v>
      </c>
      <c r="I354">
        <f>'Primary Care Activity'!K70</f>
        <v>3518</v>
      </c>
      <c r="J354">
        <f>'Primary Care Activity'!L70</f>
        <v>3518</v>
      </c>
      <c r="K354">
        <f>'Primary Care Activity'!M70</f>
        <v>3518</v>
      </c>
      <c r="L354">
        <f>'Primary Care Activity'!N70</f>
        <v>3518</v>
      </c>
      <c r="M354">
        <f>'Primary Care Activity'!O70</f>
        <v>3518</v>
      </c>
      <c r="N354">
        <f>'Primary Care Activity'!P70</f>
        <v>3518</v>
      </c>
      <c r="O354">
        <f>'Primary Care Activity'!Q70</f>
        <v>3518</v>
      </c>
      <c r="P354">
        <f>'Primary Care Activity'!R70</f>
        <v>3518</v>
      </c>
      <c r="Q354">
        <f>'Primary Care Activity'!S70</f>
        <v>3518</v>
      </c>
      <c r="R354">
        <f>'Primary Care Activity'!T70</f>
        <v>3518</v>
      </c>
      <c r="S354">
        <f>'Primary Care Activity'!U70</f>
        <v>42216</v>
      </c>
      <c r="AH354">
        <f>'Primary Care Activity'!C70</f>
        <v>36854</v>
      </c>
      <c r="AI354">
        <f>'Primary Care Activity'!D70</f>
        <v>42220</v>
      </c>
      <c r="AN354">
        <f>'Primary Care Activity'!E70</f>
        <v>42216</v>
      </c>
      <c r="AO354">
        <f>'Primary Care Activity'!F70</f>
        <v>0</v>
      </c>
      <c r="AP354">
        <f>'Primary Care Activity'!G70</f>
        <v>0</v>
      </c>
      <c r="AU354">
        <f>'Primary Care Activity'!AI70</f>
        <v>43123</v>
      </c>
      <c r="AV354">
        <f>'Primary Care Activity'!W70</f>
        <v>3257</v>
      </c>
      <c r="AW354">
        <f>'Primary Care Activity'!X70</f>
        <v>3150</v>
      </c>
      <c r="AX354">
        <f>'Primary Care Activity'!Y70</f>
        <v>4120</v>
      </c>
      <c r="AY354">
        <f>'Primary Care Activity'!Z70</f>
        <v>3151</v>
      </c>
      <c r="AZ354">
        <f>'Primary Care Activity'!AA70</f>
        <v>3499</v>
      </c>
      <c r="BA354">
        <f>'Primary Care Activity'!AB70</f>
        <v>3545</v>
      </c>
      <c r="BB354">
        <f>'Primary Care Activity'!AC70</f>
        <v>3268</v>
      </c>
      <c r="BC354">
        <f>'Primary Care Activity'!AD70</f>
        <v>3686</v>
      </c>
      <c r="BD354">
        <f>'Primary Care Activity'!AE70</f>
        <v>4451</v>
      </c>
      <c r="BE354">
        <f>'Primary Care Activity'!AF70</f>
        <v>3474</v>
      </c>
      <c r="BF354">
        <f>'Primary Care Activity'!AG70</f>
        <v>3363</v>
      </c>
      <c r="BG354">
        <f>'Primary Care Activity'!AH70</f>
        <v>4159</v>
      </c>
    </row>
    <row r="355" spans="1:59" hidden="1">
      <c r="A355" t="str">
        <f>'[1]Front Sheet and Checklist'!$C$5</f>
        <v>(please select from drop down)</v>
      </c>
      <c r="B355" t="s">
        <v>11</v>
      </c>
      <c r="D355" t="s">
        <v>1272</v>
      </c>
      <c r="F355" t="str">
        <f>'Primary Care Activity'!B71</f>
        <v xml:space="preserve">District Nursing Number of visits undertaken by District Nursing Services with Welsh Level of Care acuity Score {1,2,3,4,5} - Weekday </v>
      </c>
      <c r="G355">
        <f>'Primary Care Activity'!I71</f>
        <v>17744</v>
      </c>
      <c r="H355">
        <f>'Primary Care Activity'!J71</f>
        <v>17744</v>
      </c>
      <c r="I355">
        <f>'Primary Care Activity'!K71</f>
        <v>17744</v>
      </c>
      <c r="J355">
        <f>'Primary Care Activity'!L71</f>
        <v>17744</v>
      </c>
      <c r="K355">
        <f>'Primary Care Activity'!M71</f>
        <v>17744</v>
      </c>
      <c r="L355">
        <f>'Primary Care Activity'!N71</f>
        <v>17744</v>
      </c>
      <c r="M355">
        <f>'Primary Care Activity'!O71</f>
        <v>17744</v>
      </c>
      <c r="N355">
        <f>'Primary Care Activity'!P71</f>
        <v>17744</v>
      </c>
      <c r="O355">
        <f>'Primary Care Activity'!Q71</f>
        <v>17744</v>
      </c>
      <c r="P355">
        <f>'Primary Care Activity'!R71</f>
        <v>17744</v>
      </c>
      <c r="Q355">
        <f>'Primary Care Activity'!S71</f>
        <v>17744</v>
      </c>
      <c r="R355">
        <f>'Primary Care Activity'!T71</f>
        <v>17744</v>
      </c>
      <c r="S355">
        <f>'Primary Care Activity'!U71</f>
        <v>212928</v>
      </c>
      <c r="AH355">
        <f>'Primary Care Activity'!C71</f>
        <v>86139</v>
      </c>
      <c r="AI355">
        <f>'Primary Care Activity'!D71</f>
        <v>212933</v>
      </c>
      <c r="AN355">
        <f>'Primary Care Activity'!E71</f>
        <v>212928</v>
      </c>
      <c r="AO355">
        <f>'Primary Care Activity'!F71</f>
        <v>0</v>
      </c>
      <c r="AP355">
        <f>'Primary Care Activity'!G71</f>
        <v>0</v>
      </c>
      <c r="AU355">
        <f>'Primary Care Activity'!AI71</f>
        <v>216178</v>
      </c>
      <c r="AV355">
        <f>'Primary Care Activity'!W71</f>
        <v>18860</v>
      </c>
      <c r="AW355">
        <f>'Primary Care Activity'!X71</f>
        <v>19491</v>
      </c>
      <c r="AX355">
        <f>'Primary Care Activity'!Y71</f>
        <v>17240</v>
      </c>
      <c r="AY355">
        <f>'Primary Care Activity'!Z71</f>
        <v>19292</v>
      </c>
      <c r="AZ355">
        <f>'Primary Care Activity'!AA71</f>
        <v>17582</v>
      </c>
      <c r="BA355">
        <f>'Primary Care Activity'!AB71</f>
        <v>16900</v>
      </c>
      <c r="BB355">
        <f>'Primary Care Activity'!AC71</f>
        <v>18218</v>
      </c>
      <c r="BC355">
        <f>'Primary Care Activity'!AD71</f>
        <v>17092</v>
      </c>
      <c r="BD355">
        <f>'Primary Care Activity'!AE71</f>
        <v>17366</v>
      </c>
      <c r="BE355">
        <f>'Primary Care Activity'!AF71</f>
        <v>19499</v>
      </c>
      <c r="BF355">
        <f>'Primary Care Activity'!AG71</f>
        <v>17073</v>
      </c>
      <c r="BG355">
        <f>'Primary Care Activity'!AH71</f>
        <v>17565</v>
      </c>
    </row>
    <row r="356" spans="1:59" hidden="1">
      <c r="A356" t="str">
        <f>'[1]Front Sheet and Checklist'!$C$5</f>
        <v>(please select from drop down)</v>
      </c>
      <c r="B356" t="s">
        <v>11</v>
      </c>
      <c r="D356" t="s">
        <v>1272</v>
      </c>
      <c r="F356" t="str">
        <f>'Primary Care Activity'!B72</f>
        <v xml:space="preserve">District Nursing Number of visits undertaken by District Nursing Services with Welsh Level of Care acuity Score {1,2,3,4,5} - Weekend </v>
      </c>
      <c r="G356">
        <f>'Primary Care Activity'!I72</f>
        <v>3597</v>
      </c>
      <c r="H356">
        <f>'Primary Care Activity'!J72</f>
        <v>3597</v>
      </c>
      <c r="I356">
        <f>'Primary Care Activity'!K72</f>
        <v>3597</v>
      </c>
      <c r="J356">
        <f>'Primary Care Activity'!L72</f>
        <v>3597</v>
      </c>
      <c r="K356">
        <f>'Primary Care Activity'!M72</f>
        <v>3597</v>
      </c>
      <c r="L356">
        <f>'Primary Care Activity'!N72</f>
        <v>3597</v>
      </c>
      <c r="M356">
        <f>'Primary Care Activity'!O72</f>
        <v>3597</v>
      </c>
      <c r="N356">
        <f>'Primary Care Activity'!P72</f>
        <v>3597</v>
      </c>
      <c r="O356">
        <f>'Primary Care Activity'!Q72</f>
        <v>3597</v>
      </c>
      <c r="P356">
        <f>'Primary Care Activity'!R72</f>
        <v>3597</v>
      </c>
      <c r="Q356">
        <f>'Primary Care Activity'!S72</f>
        <v>3597</v>
      </c>
      <c r="R356">
        <f>'Primary Care Activity'!T72</f>
        <v>3597</v>
      </c>
      <c r="S356">
        <f>'Primary Care Activity'!U72</f>
        <v>43164</v>
      </c>
      <c r="AH356">
        <f>'Primary Care Activity'!C72</f>
        <v>15532</v>
      </c>
      <c r="AI356">
        <f>'Primary Care Activity'!D72</f>
        <v>43167</v>
      </c>
      <c r="AN356">
        <f>'Primary Care Activity'!E72</f>
        <v>43164</v>
      </c>
      <c r="AO356">
        <f>'Primary Care Activity'!F72</f>
        <v>0</v>
      </c>
      <c r="AP356">
        <f>'Primary Care Activity'!G72</f>
        <v>0</v>
      </c>
      <c r="AU356">
        <f>'Primary Care Activity'!AI72</f>
        <v>45495</v>
      </c>
      <c r="AV356">
        <f>'Primary Care Activity'!W72</f>
        <v>3386</v>
      </c>
      <c r="AW356">
        <f>'Primary Care Activity'!X72</f>
        <v>3312</v>
      </c>
      <c r="AX356">
        <f>'Primary Care Activity'!Y72</f>
        <v>4452</v>
      </c>
      <c r="AY356">
        <f>'Primary Care Activity'!Z72</f>
        <v>3406</v>
      </c>
      <c r="AZ356">
        <f>'Primary Care Activity'!AA72</f>
        <v>3711</v>
      </c>
      <c r="BA356">
        <f>'Primary Care Activity'!AB72</f>
        <v>3712</v>
      </c>
      <c r="BB356">
        <f>'Primary Care Activity'!AC72</f>
        <v>3488</v>
      </c>
      <c r="BC356">
        <f>'Primary Care Activity'!AD72</f>
        <v>3922</v>
      </c>
      <c r="BD356">
        <f>'Primary Care Activity'!AE72</f>
        <v>4222</v>
      </c>
      <c r="BE356">
        <f>'Primary Care Activity'!AF72</f>
        <v>3781</v>
      </c>
      <c r="BF356">
        <f>'Primary Care Activity'!AG72</f>
        <v>3603</v>
      </c>
      <c r="BG356">
        <f>'Primary Care Activity'!AH72</f>
        <v>4500</v>
      </c>
    </row>
    <row r="357" spans="1:59" hidden="1">
      <c r="A357" t="str">
        <f>'[1]Front Sheet and Checklist'!$C$5</f>
        <v>(please select from drop down)</v>
      </c>
      <c r="B357" t="s">
        <v>11</v>
      </c>
      <c r="D357" t="s">
        <v>1272</v>
      </c>
      <c r="F357" t="str">
        <f>'Primary Care Activity'!B73</f>
        <v>District Nursing Total funded Registered Nurses (WTE)</v>
      </c>
      <c r="G357">
        <f>'Primary Care Activity'!I73</f>
        <v>185</v>
      </c>
      <c r="H357">
        <f>'Primary Care Activity'!J73</f>
        <v>185</v>
      </c>
      <c r="I357">
        <f>'Primary Care Activity'!K73</f>
        <v>185</v>
      </c>
      <c r="J357">
        <f>'Primary Care Activity'!L73</f>
        <v>185</v>
      </c>
      <c r="K357">
        <f>'Primary Care Activity'!M73</f>
        <v>185</v>
      </c>
      <c r="L357">
        <f>'Primary Care Activity'!N73</f>
        <v>185</v>
      </c>
      <c r="M357">
        <f>'Primary Care Activity'!O73</f>
        <v>185</v>
      </c>
      <c r="N357">
        <f>'Primary Care Activity'!P73</f>
        <v>185</v>
      </c>
      <c r="O357">
        <f>'Primary Care Activity'!Q73</f>
        <v>185</v>
      </c>
      <c r="P357">
        <f>'Primary Care Activity'!R73</f>
        <v>185</v>
      </c>
      <c r="Q357">
        <f>'Primary Care Activity'!S73</f>
        <v>185</v>
      </c>
      <c r="R357">
        <f>'Primary Care Activity'!T73</f>
        <v>185</v>
      </c>
      <c r="S357">
        <f>'Primary Care Activity'!U73</f>
        <v>2220</v>
      </c>
      <c r="AH357">
        <f>'Primary Care Activity'!C73</f>
        <v>0</v>
      </c>
      <c r="AI357">
        <f>'Primary Care Activity'!D73</f>
        <v>185</v>
      </c>
      <c r="AN357">
        <f>'Primary Care Activity'!E73</f>
        <v>2220</v>
      </c>
      <c r="AO357">
        <f>'Primary Care Activity'!F73</f>
        <v>0</v>
      </c>
      <c r="AP357">
        <f>'Primary Care Activity'!G73</f>
        <v>0</v>
      </c>
      <c r="AU357">
        <f>'Primary Care Activity'!AI73</f>
        <v>2235.27</v>
      </c>
      <c r="AV357">
        <f>'Primary Care Activity'!W73</f>
        <v>175.81</v>
      </c>
      <c r="AW357">
        <f>'Primary Care Activity'!X73</f>
        <v>178</v>
      </c>
      <c r="AX357">
        <f>'Primary Care Activity'!Y73</f>
        <v>177.92</v>
      </c>
      <c r="AY357">
        <f>'Primary Care Activity'!Z73</f>
        <v>189</v>
      </c>
      <c r="AZ357">
        <f>'Primary Care Activity'!AA73</f>
        <v>189.54</v>
      </c>
      <c r="BA357">
        <f>'Primary Care Activity'!AB73</f>
        <v>190</v>
      </c>
      <c r="BB357">
        <f>'Primary Care Activity'!AC73</f>
        <v>190</v>
      </c>
      <c r="BC357">
        <f>'Primary Care Activity'!AD73</f>
        <v>189</v>
      </c>
      <c r="BD357">
        <f>'Primary Care Activity'!AE73</f>
        <v>189</v>
      </c>
      <c r="BE357">
        <f>'Primary Care Activity'!AF73</f>
        <v>189</v>
      </c>
      <c r="BF357">
        <f>'Primary Care Activity'!AG73</f>
        <v>189</v>
      </c>
      <c r="BG357">
        <f>'Primary Care Activity'!AH73</f>
        <v>189</v>
      </c>
    </row>
    <row r="358" spans="1:59" hidden="1">
      <c r="A358" t="str">
        <f>'[1]Front Sheet and Checklist'!$C$5</f>
        <v>(please select from drop down)</v>
      </c>
      <c r="B358" t="s">
        <v>11</v>
      </c>
      <c r="D358" t="s">
        <v>1272</v>
      </c>
      <c r="F358" t="str">
        <f>'Primary Care Activity'!B74</f>
        <v>District Nursing Total funded Healthare Support Workers (WTE)</v>
      </c>
      <c r="G358">
        <f>'Primary Care Activity'!I74</f>
        <v>112</v>
      </c>
      <c r="H358">
        <f>'Primary Care Activity'!J74</f>
        <v>112</v>
      </c>
      <c r="I358">
        <f>'Primary Care Activity'!K74</f>
        <v>112</v>
      </c>
      <c r="J358">
        <f>'Primary Care Activity'!L74</f>
        <v>112</v>
      </c>
      <c r="K358">
        <f>'Primary Care Activity'!M74</f>
        <v>112</v>
      </c>
      <c r="L358">
        <f>'Primary Care Activity'!N74</f>
        <v>112</v>
      </c>
      <c r="M358">
        <f>'Primary Care Activity'!O74</f>
        <v>112</v>
      </c>
      <c r="N358">
        <f>'Primary Care Activity'!P74</f>
        <v>112</v>
      </c>
      <c r="O358">
        <f>'Primary Care Activity'!Q74</f>
        <v>112</v>
      </c>
      <c r="P358">
        <f>'Primary Care Activity'!R74</f>
        <v>112</v>
      </c>
      <c r="Q358">
        <f>'Primary Care Activity'!S74</f>
        <v>112</v>
      </c>
      <c r="R358">
        <f>'Primary Care Activity'!T74</f>
        <v>112</v>
      </c>
      <c r="S358">
        <f>'Primary Care Activity'!U74</f>
        <v>1344</v>
      </c>
      <c r="AH358">
        <f>'Primary Care Activity'!C74</f>
        <v>0</v>
      </c>
      <c r="AI358">
        <f>'Primary Care Activity'!D74</f>
        <v>112</v>
      </c>
      <c r="AN358">
        <f>'Primary Care Activity'!E74</f>
        <v>1344</v>
      </c>
      <c r="AO358">
        <f>'Primary Care Activity'!F74</f>
        <v>0</v>
      </c>
      <c r="AP358">
        <f>'Primary Care Activity'!G74</f>
        <v>0</v>
      </c>
      <c r="AU358">
        <f>'Primary Care Activity'!AI74</f>
        <v>1343.33</v>
      </c>
      <c r="AV358">
        <f>'Primary Care Activity'!W74</f>
        <v>107.67</v>
      </c>
      <c r="AW358">
        <f>'Primary Care Activity'!X74</f>
        <v>109</v>
      </c>
      <c r="AX358">
        <f>'Primary Care Activity'!Y74</f>
        <v>109.51</v>
      </c>
      <c r="AY358">
        <f>'Primary Care Activity'!Z74</f>
        <v>113</v>
      </c>
      <c r="AZ358">
        <f>'Primary Care Activity'!AA74</f>
        <v>113</v>
      </c>
      <c r="BA358">
        <f>'Primary Care Activity'!AB74</f>
        <v>113.15</v>
      </c>
      <c r="BB358">
        <f>'Primary Care Activity'!AC74</f>
        <v>113</v>
      </c>
      <c r="BC358">
        <f>'Primary Care Activity'!AD74</f>
        <v>113</v>
      </c>
      <c r="BD358">
        <f>'Primary Care Activity'!AE74</f>
        <v>113</v>
      </c>
      <c r="BE358">
        <f>'Primary Care Activity'!AF74</f>
        <v>113</v>
      </c>
      <c r="BF358">
        <f>'Primary Care Activity'!AG74</f>
        <v>113</v>
      </c>
      <c r="BG358">
        <f>'Primary Care Activity'!AH74</f>
        <v>113</v>
      </c>
    </row>
    <row r="359" spans="1:59" hidden="1">
      <c r="A359" t="str">
        <f>'[1]Front Sheet and Checklist'!$C$5</f>
        <v>(please select from drop down)</v>
      </c>
      <c r="B359" t="s">
        <v>11</v>
      </c>
      <c r="D359" t="s">
        <v>1272</v>
      </c>
      <c r="F359" t="str">
        <f>'Primary Care Activity'!B75</f>
        <v>District Nursing Total funded Admin (WTE)</v>
      </c>
      <c r="G359">
        <f>'Primary Care Activity'!I75</f>
        <v>5</v>
      </c>
      <c r="H359">
        <f>'Primary Care Activity'!J75</f>
        <v>5</v>
      </c>
      <c r="I359">
        <f>'Primary Care Activity'!K75</f>
        <v>5</v>
      </c>
      <c r="J359">
        <f>'Primary Care Activity'!L75</f>
        <v>5</v>
      </c>
      <c r="K359">
        <f>'Primary Care Activity'!M75</f>
        <v>5</v>
      </c>
      <c r="L359">
        <f>'Primary Care Activity'!N75</f>
        <v>5</v>
      </c>
      <c r="M359">
        <f>'Primary Care Activity'!O75</f>
        <v>5</v>
      </c>
      <c r="N359">
        <f>'Primary Care Activity'!P75</f>
        <v>5</v>
      </c>
      <c r="O359">
        <f>'Primary Care Activity'!Q75</f>
        <v>5</v>
      </c>
      <c r="P359">
        <f>'Primary Care Activity'!R75</f>
        <v>5</v>
      </c>
      <c r="Q359">
        <f>'Primary Care Activity'!S75</f>
        <v>5</v>
      </c>
      <c r="R359">
        <f>'Primary Care Activity'!T75</f>
        <v>5</v>
      </c>
      <c r="S359">
        <f>'Primary Care Activity'!U75</f>
        <v>60</v>
      </c>
      <c r="AH359">
        <f>'Primary Care Activity'!C75</f>
        <v>0</v>
      </c>
      <c r="AI359">
        <f>'Primary Care Activity'!D75</f>
        <v>5</v>
      </c>
      <c r="AN359">
        <f>'Primary Care Activity'!E75</f>
        <v>60</v>
      </c>
      <c r="AO359">
        <f>'Primary Care Activity'!F75</f>
        <v>0</v>
      </c>
      <c r="AP359">
        <f>'Primary Care Activity'!G75</f>
        <v>0</v>
      </c>
      <c r="AU359">
        <f>'Primary Care Activity'!AI75</f>
        <v>139.32</v>
      </c>
      <c r="AV359">
        <f>'Primary Care Activity'!W75</f>
        <v>6.48</v>
      </c>
      <c r="AW359">
        <f>'Primary Care Activity'!X75</f>
        <v>7.48</v>
      </c>
      <c r="AX359">
        <f>'Primary Care Activity'!Y75</f>
        <v>7.48</v>
      </c>
      <c r="AY359">
        <f>'Primary Care Activity'!Z75</f>
        <v>13</v>
      </c>
      <c r="AZ359">
        <f>'Primary Care Activity'!AA75</f>
        <v>13.44</v>
      </c>
      <c r="BA359">
        <f>'Primary Care Activity'!AB75</f>
        <v>13.44</v>
      </c>
      <c r="BB359">
        <f>'Primary Care Activity'!AC75</f>
        <v>13</v>
      </c>
      <c r="BC359">
        <f>'Primary Care Activity'!AD75</f>
        <v>13</v>
      </c>
      <c r="BD359">
        <f>'Primary Care Activity'!AE75</f>
        <v>13</v>
      </c>
      <c r="BE359">
        <f>'Primary Care Activity'!AF75</f>
        <v>13</v>
      </c>
      <c r="BF359">
        <f>'Primary Care Activity'!AG75</f>
        <v>13</v>
      </c>
      <c r="BG359">
        <f>'Primary Care Activity'!AH75</f>
        <v>13</v>
      </c>
    </row>
    <row r="360" spans="1:59" hidden="1">
      <c r="A360" t="str">
        <f>'[1]Front Sheet and Checklist'!$C$5</f>
        <v>(please select from drop down)</v>
      </c>
      <c r="B360" t="s">
        <v>11</v>
      </c>
      <c r="F360">
        <f>'Primary Care Activity'!B76</f>
        <v>0</v>
      </c>
      <c r="G360">
        <f>'Primary Care Activity'!I76</f>
        <v>0</v>
      </c>
      <c r="H360">
        <f>'Primary Care Activity'!J76</f>
        <v>0</v>
      </c>
      <c r="I360">
        <f>'Primary Care Activity'!K76</f>
        <v>0</v>
      </c>
      <c r="J360">
        <f>'Primary Care Activity'!L76</f>
        <v>0</v>
      </c>
      <c r="K360">
        <f>'Primary Care Activity'!M76</f>
        <v>0</v>
      </c>
      <c r="L360">
        <f>'Primary Care Activity'!N76</f>
        <v>0</v>
      </c>
      <c r="M360">
        <f>'Primary Care Activity'!O76</f>
        <v>0</v>
      </c>
      <c r="N360">
        <f>'Primary Care Activity'!P76</f>
        <v>0</v>
      </c>
      <c r="O360">
        <f>'Primary Care Activity'!Q76</f>
        <v>0</v>
      </c>
      <c r="P360">
        <f>'Primary Care Activity'!R76</f>
        <v>0</v>
      </c>
      <c r="Q360">
        <f>'Primary Care Activity'!S76</f>
        <v>0</v>
      </c>
      <c r="R360">
        <f>'Primary Care Activity'!T76</f>
        <v>0</v>
      </c>
      <c r="S360">
        <f>'Primary Care Activity'!U76</f>
        <v>0</v>
      </c>
      <c r="AH360">
        <f>'Primary Care Activity'!C76</f>
        <v>0</v>
      </c>
      <c r="AI360">
        <f>'Primary Care Activity'!D76</f>
        <v>0</v>
      </c>
      <c r="AN360">
        <f>'Primary Care Activity'!E76</f>
        <v>0</v>
      </c>
      <c r="AO360">
        <f>'Primary Care Activity'!F76</f>
        <v>0</v>
      </c>
      <c r="AP360">
        <f>'Primary Care Activity'!G76</f>
        <v>0</v>
      </c>
      <c r="AU360">
        <f>'Primary Care Activity'!AI76</f>
        <v>0</v>
      </c>
      <c r="AV360">
        <f>'Primary Care Activity'!W76</f>
        <v>0</v>
      </c>
      <c r="AW360">
        <f>'Primary Care Activity'!X76</f>
        <v>0</v>
      </c>
      <c r="AX360">
        <f>'Primary Care Activity'!Y76</f>
        <v>0</v>
      </c>
      <c r="AY360">
        <f>'Primary Care Activity'!Z76</f>
        <v>0</v>
      </c>
      <c r="AZ360">
        <f>'Primary Care Activity'!AA76</f>
        <v>0</v>
      </c>
      <c r="BA360">
        <f>'Primary Care Activity'!AB76</f>
        <v>0</v>
      </c>
      <c r="BB360">
        <f>'Primary Care Activity'!AC76</f>
        <v>0</v>
      </c>
      <c r="BC360">
        <f>'Primary Care Activity'!AD76</f>
        <v>0</v>
      </c>
      <c r="BD360">
        <f>'Primary Care Activity'!AE76</f>
        <v>0</v>
      </c>
      <c r="BE360">
        <f>'Primary Care Activity'!AF76</f>
        <v>0</v>
      </c>
      <c r="BF360">
        <f>'Primary Care Activity'!AG76</f>
        <v>0</v>
      </c>
      <c r="BG360">
        <f>'Primary Care Activity'!AH76</f>
        <v>0</v>
      </c>
    </row>
    <row r="361" spans="1:59" hidden="1">
      <c r="A361" t="str">
        <f>'[1]Front Sheet and Checklist'!$C$5</f>
        <v>(please select from drop down)</v>
      </c>
      <c r="B361" t="s">
        <v>11</v>
      </c>
      <c r="D361" t="s">
        <v>1273</v>
      </c>
      <c r="F361" t="str">
        <f>'Primary Care Activity'!B77</f>
        <v>8. Allied Health Professionals</v>
      </c>
      <c r="G361">
        <f>'Primary Care Activity'!I77</f>
        <v>0</v>
      </c>
      <c r="H361">
        <f>'Primary Care Activity'!J77</f>
        <v>0</v>
      </c>
      <c r="I361">
        <f>'Primary Care Activity'!K77</f>
        <v>0</v>
      </c>
      <c r="J361">
        <f>'Primary Care Activity'!L77</f>
        <v>0</v>
      </c>
      <c r="K361">
        <f>'Primary Care Activity'!M77</f>
        <v>0</v>
      </c>
      <c r="L361">
        <f>'Primary Care Activity'!N77</f>
        <v>0</v>
      </c>
      <c r="M361">
        <f>'Primary Care Activity'!O77</f>
        <v>0</v>
      </c>
      <c r="N361">
        <f>'Primary Care Activity'!P77</f>
        <v>0</v>
      </c>
      <c r="O361">
        <f>'Primary Care Activity'!Q77</f>
        <v>0</v>
      </c>
      <c r="P361">
        <f>'Primary Care Activity'!R77</f>
        <v>0</v>
      </c>
      <c r="Q361">
        <f>'Primary Care Activity'!S77</f>
        <v>0</v>
      </c>
      <c r="R361">
        <f>'Primary Care Activity'!T77</f>
        <v>0</v>
      </c>
      <c r="S361">
        <f>'Primary Care Activity'!U77</f>
        <v>0</v>
      </c>
      <c r="AH361">
        <f>'Primary Care Activity'!C77</f>
        <v>0</v>
      </c>
      <c r="AI361">
        <f>'Primary Care Activity'!D77</f>
        <v>0</v>
      </c>
      <c r="AN361">
        <f>'Primary Care Activity'!E77</f>
        <v>0</v>
      </c>
      <c r="AO361">
        <f>'Primary Care Activity'!F77</f>
        <v>0</v>
      </c>
      <c r="AP361">
        <f>'Primary Care Activity'!G77</f>
        <v>0</v>
      </c>
      <c r="AU361">
        <f>'Primary Care Activity'!AI77</f>
        <v>0</v>
      </c>
      <c r="AV361">
        <f>'Primary Care Activity'!W77</f>
        <v>0</v>
      </c>
      <c r="AW361">
        <f>'Primary Care Activity'!X77</f>
        <v>0</v>
      </c>
      <c r="AX361">
        <f>'Primary Care Activity'!Y77</f>
        <v>0</v>
      </c>
      <c r="AY361">
        <f>'Primary Care Activity'!Z77</f>
        <v>0</v>
      </c>
      <c r="AZ361">
        <f>'Primary Care Activity'!AA77</f>
        <v>0</v>
      </c>
      <c r="BA361">
        <f>'Primary Care Activity'!AB77</f>
        <v>0</v>
      </c>
      <c r="BB361">
        <f>'Primary Care Activity'!AC77</f>
        <v>0</v>
      </c>
      <c r="BC361">
        <f>'Primary Care Activity'!AD77</f>
        <v>0</v>
      </c>
      <c r="BD361">
        <f>'Primary Care Activity'!AE77</f>
        <v>0</v>
      </c>
      <c r="BE361">
        <f>'Primary Care Activity'!AF77</f>
        <v>0</v>
      </c>
      <c r="BF361">
        <f>'Primary Care Activity'!AG77</f>
        <v>0</v>
      </c>
      <c r="BG361">
        <f>'Primary Care Activity'!AH77</f>
        <v>0</v>
      </c>
    </row>
    <row r="362" spans="1:59" hidden="1">
      <c r="A362" t="str">
        <f>'[1]Front Sheet and Checklist'!$C$5</f>
        <v>(please select from drop down)</v>
      </c>
      <c r="B362" t="s">
        <v>11</v>
      </c>
      <c r="D362" t="s">
        <v>1273</v>
      </c>
      <c r="F362" t="str">
        <f>'Primary Care Activity'!B78</f>
        <v>Number of referrals to Neighbourhood Care Network (NCN)/ Community Resosurce Team</v>
      </c>
      <c r="G362">
        <f>'Primary Care Activity'!I78</f>
        <v>0</v>
      </c>
      <c r="H362">
        <f>'Primary Care Activity'!J78</f>
        <v>0</v>
      </c>
      <c r="I362">
        <f>'Primary Care Activity'!K78</f>
        <v>0</v>
      </c>
      <c r="J362">
        <f>'Primary Care Activity'!L78</f>
        <v>0</v>
      </c>
      <c r="K362">
        <f>'Primary Care Activity'!M78</f>
        <v>0</v>
      </c>
      <c r="L362">
        <f>'Primary Care Activity'!N78</f>
        <v>0</v>
      </c>
      <c r="M362">
        <f>'Primary Care Activity'!O78</f>
        <v>0</v>
      </c>
      <c r="N362">
        <f>'Primary Care Activity'!P78</f>
        <v>0</v>
      </c>
      <c r="O362">
        <f>'Primary Care Activity'!Q78</f>
        <v>0</v>
      </c>
      <c r="P362">
        <f>'Primary Care Activity'!R78</f>
        <v>0</v>
      </c>
      <c r="Q362">
        <f>'Primary Care Activity'!S78</f>
        <v>0</v>
      </c>
      <c r="R362">
        <f>'Primary Care Activity'!T78</f>
        <v>0</v>
      </c>
      <c r="S362">
        <f>'Primary Care Activity'!U78</f>
        <v>0</v>
      </c>
      <c r="AH362">
        <f>'Primary Care Activity'!C78</f>
        <v>0</v>
      </c>
      <c r="AI362">
        <f>'Primary Care Activity'!D78</f>
        <v>0</v>
      </c>
      <c r="AN362">
        <f>'Primary Care Activity'!E78</f>
        <v>0</v>
      </c>
      <c r="AO362">
        <f>'Primary Care Activity'!F78</f>
        <v>0</v>
      </c>
      <c r="AP362">
        <f>'Primary Care Activity'!G78</f>
        <v>0</v>
      </c>
      <c r="AU362">
        <f>'Primary Care Activity'!AI78</f>
        <v>0</v>
      </c>
      <c r="AV362">
        <f>'Primary Care Activity'!W78</f>
        <v>0</v>
      </c>
      <c r="AW362">
        <f>'Primary Care Activity'!X78</f>
        <v>0</v>
      </c>
      <c r="AX362">
        <f>'Primary Care Activity'!Y78</f>
        <v>0</v>
      </c>
      <c r="AY362">
        <f>'Primary Care Activity'!Z78</f>
        <v>0</v>
      </c>
      <c r="AZ362">
        <f>'Primary Care Activity'!AA78</f>
        <v>0</v>
      </c>
      <c r="BA362">
        <f>'Primary Care Activity'!AB78</f>
        <v>0</v>
      </c>
      <c r="BB362">
        <f>'Primary Care Activity'!AC78</f>
        <v>0</v>
      </c>
      <c r="BC362">
        <f>'Primary Care Activity'!AD78</f>
        <v>0</v>
      </c>
      <c r="BD362">
        <f>'Primary Care Activity'!AE78</f>
        <v>0</v>
      </c>
      <c r="BE362">
        <f>'Primary Care Activity'!AF78</f>
        <v>0</v>
      </c>
      <c r="BF362">
        <f>'Primary Care Activity'!AG78</f>
        <v>0</v>
      </c>
      <c r="BG362">
        <f>'Primary Care Activity'!AH78</f>
        <v>0</v>
      </c>
    </row>
    <row r="363" spans="1:59" hidden="1">
      <c r="A363" t="str">
        <f>'[1]Front Sheet and Checklist'!$C$5</f>
        <v>(please select from drop down)</v>
      </c>
      <c r="B363" t="s">
        <v>11</v>
      </c>
      <c r="D363" t="s">
        <v>1273</v>
      </c>
      <c r="F363" t="str">
        <f>'Primary Care Activity'!B79</f>
        <v>Average waiting time for the assessment by NCN/ Community Resource Team</v>
      </c>
      <c r="G363">
        <f>'Primary Care Activity'!I79</f>
        <v>0</v>
      </c>
      <c r="H363">
        <f>'Primary Care Activity'!J79</f>
        <v>0</v>
      </c>
      <c r="I363">
        <f>'Primary Care Activity'!K79</f>
        <v>0</v>
      </c>
      <c r="J363">
        <f>'Primary Care Activity'!L79</f>
        <v>0</v>
      </c>
      <c r="K363">
        <f>'Primary Care Activity'!M79</f>
        <v>0</v>
      </c>
      <c r="L363">
        <f>'Primary Care Activity'!N79</f>
        <v>0</v>
      </c>
      <c r="M363">
        <f>'Primary Care Activity'!O79</f>
        <v>0</v>
      </c>
      <c r="N363">
        <f>'Primary Care Activity'!P79</f>
        <v>0</v>
      </c>
      <c r="O363">
        <f>'Primary Care Activity'!Q79</f>
        <v>0</v>
      </c>
      <c r="P363">
        <f>'Primary Care Activity'!R79</f>
        <v>0</v>
      </c>
      <c r="Q363">
        <f>'Primary Care Activity'!S79</f>
        <v>0</v>
      </c>
      <c r="R363">
        <f>'Primary Care Activity'!T79</f>
        <v>0</v>
      </c>
      <c r="S363">
        <f>'Primary Care Activity'!U79</f>
        <v>0</v>
      </c>
      <c r="AH363">
        <f>'Primary Care Activity'!C79</f>
        <v>0</v>
      </c>
      <c r="AI363">
        <f>'Primary Care Activity'!D79</f>
        <v>0</v>
      </c>
      <c r="AN363">
        <f>'Primary Care Activity'!E79</f>
        <v>0</v>
      </c>
      <c r="AO363">
        <f>'Primary Care Activity'!F79</f>
        <v>0</v>
      </c>
      <c r="AP363">
        <f>'Primary Care Activity'!G79</f>
        <v>0</v>
      </c>
      <c r="AU363">
        <f>'Primary Care Activity'!AI79</f>
        <v>0</v>
      </c>
      <c r="AV363">
        <f>'Primary Care Activity'!W79</f>
        <v>0</v>
      </c>
      <c r="AW363">
        <f>'Primary Care Activity'!X79</f>
        <v>0</v>
      </c>
      <c r="AX363">
        <f>'Primary Care Activity'!Y79</f>
        <v>0</v>
      </c>
      <c r="AY363">
        <f>'Primary Care Activity'!Z79</f>
        <v>0</v>
      </c>
      <c r="AZ363">
        <f>'Primary Care Activity'!AA79</f>
        <v>0</v>
      </c>
      <c r="BA363">
        <f>'Primary Care Activity'!AB79</f>
        <v>0</v>
      </c>
      <c r="BB363">
        <f>'Primary Care Activity'!AC79</f>
        <v>0</v>
      </c>
      <c r="BC363">
        <f>'Primary Care Activity'!AD79</f>
        <v>0</v>
      </c>
      <c r="BD363">
        <f>'Primary Care Activity'!AE79</f>
        <v>0</v>
      </c>
      <c r="BE363">
        <f>'Primary Care Activity'!AF79</f>
        <v>0</v>
      </c>
      <c r="BF363">
        <f>'Primary Care Activity'!AG79</f>
        <v>0</v>
      </c>
      <c r="BG363">
        <f>'Primary Care Activity'!AH79</f>
        <v>0</v>
      </c>
    </row>
    <row r="364" spans="1:59" hidden="1">
      <c r="A364" t="str">
        <f>'[1]Front Sheet and Checklist'!$C$5</f>
        <v>(please select from drop down)</v>
      </c>
      <c r="B364" t="s">
        <v>11</v>
      </c>
      <c r="D364" t="s">
        <v>1273</v>
      </c>
      <c r="F364" t="str">
        <f>'Primary Care Activity'!B80</f>
        <v>Number of AHPs (WTE) working in NCN/ Community Resource Teams: see breakdown below</v>
      </c>
      <c r="G364">
        <f>'Primary Care Activity'!I80</f>
        <v>0</v>
      </c>
      <c r="H364">
        <f>'Primary Care Activity'!J80</f>
        <v>0</v>
      </c>
      <c r="I364">
        <f>'Primary Care Activity'!K80</f>
        <v>0</v>
      </c>
      <c r="J364">
        <f>'Primary Care Activity'!L80</f>
        <v>0</v>
      </c>
      <c r="K364">
        <f>'Primary Care Activity'!M80</f>
        <v>0</v>
      </c>
      <c r="L364">
        <f>'Primary Care Activity'!N80</f>
        <v>0</v>
      </c>
      <c r="M364">
        <f>'Primary Care Activity'!O80</f>
        <v>0</v>
      </c>
      <c r="N364">
        <f>'Primary Care Activity'!P80</f>
        <v>0</v>
      </c>
      <c r="O364">
        <f>'Primary Care Activity'!Q80</f>
        <v>0</v>
      </c>
      <c r="P364">
        <f>'Primary Care Activity'!R80</f>
        <v>0</v>
      </c>
      <c r="Q364">
        <f>'Primary Care Activity'!S80</f>
        <v>0</v>
      </c>
      <c r="R364">
        <f>'Primary Care Activity'!T80</f>
        <v>0</v>
      </c>
      <c r="S364">
        <f>'Primary Care Activity'!U80</f>
        <v>0</v>
      </c>
      <c r="AH364">
        <f>'Primary Care Activity'!C80</f>
        <v>0</v>
      </c>
      <c r="AI364">
        <f>'Primary Care Activity'!D80</f>
        <v>0</v>
      </c>
      <c r="AN364">
        <f>'Primary Care Activity'!E80</f>
        <v>0</v>
      </c>
      <c r="AO364">
        <f>'Primary Care Activity'!F80</f>
        <v>0</v>
      </c>
      <c r="AP364">
        <f>'Primary Care Activity'!G80</f>
        <v>0</v>
      </c>
      <c r="AU364">
        <f>'Primary Care Activity'!AI80</f>
        <v>514</v>
      </c>
      <c r="AV364">
        <f>'Primary Care Activity'!W80</f>
        <v>0</v>
      </c>
      <c r="AW364">
        <f>'Primary Care Activity'!X80</f>
        <v>0</v>
      </c>
      <c r="AX364">
        <f>'Primary Care Activity'!Y80</f>
        <v>0</v>
      </c>
      <c r="AY364">
        <f>'Primary Care Activity'!Z80</f>
        <v>0</v>
      </c>
      <c r="AZ364">
        <f>'Primary Care Activity'!AA80</f>
        <v>0</v>
      </c>
      <c r="BA364">
        <f>'Primary Care Activity'!AB80</f>
        <v>0</v>
      </c>
      <c r="BB364">
        <f>'Primary Care Activity'!AC80</f>
        <v>94</v>
      </c>
      <c r="BC364">
        <f>'Primary Care Activity'!AD80</f>
        <v>91</v>
      </c>
      <c r="BD364">
        <f>'Primary Care Activity'!AE80</f>
        <v>90</v>
      </c>
      <c r="BE364">
        <f>'Primary Care Activity'!AF80</f>
        <v>80</v>
      </c>
      <c r="BF364">
        <f>'Primary Care Activity'!AG80</f>
        <v>80</v>
      </c>
      <c r="BG364">
        <f>'Primary Care Activity'!AH80</f>
        <v>79</v>
      </c>
    </row>
    <row r="365" spans="1:59" hidden="1">
      <c r="A365" t="str">
        <f>'[1]Front Sheet and Checklist'!$C$5</f>
        <v>(please select from drop down)</v>
      </c>
      <c r="B365" t="s">
        <v>11</v>
      </c>
      <c r="D365" t="s">
        <v>1273</v>
      </c>
      <c r="F365" t="str">
        <f>'Primary Care Activity'!B81</f>
        <v>Physiotherapists</v>
      </c>
      <c r="G365">
        <f>'Primary Care Activity'!I81</f>
        <v>0</v>
      </c>
      <c r="H365">
        <f>'Primary Care Activity'!J81</f>
        <v>0</v>
      </c>
      <c r="I365">
        <f>'Primary Care Activity'!K81</f>
        <v>0</v>
      </c>
      <c r="J365">
        <f>'Primary Care Activity'!L81</f>
        <v>0</v>
      </c>
      <c r="K365">
        <f>'Primary Care Activity'!M81</f>
        <v>0</v>
      </c>
      <c r="L365">
        <f>'Primary Care Activity'!N81</f>
        <v>0</v>
      </c>
      <c r="M365">
        <f>'Primary Care Activity'!O81</f>
        <v>0</v>
      </c>
      <c r="N365">
        <f>'Primary Care Activity'!P81</f>
        <v>0</v>
      </c>
      <c r="O365">
        <f>'Primary Care Activity'!Q81</f>
        <v>0</v>
      </c>
      <c r="P365">
        <f>'Primary Care Activity'!R81</f>
        <v>0</v>
      </c>
      <c r="Q365">
        <f>'Primary Care Activity'!S81</f>
        <v>0</v>
      </c>
      <c r="R365">
        <f>'Primary Care Activity'!T81</f>
        <v>0</v>
      </c>
      <c r="S365">
        <f>'Primary Care Activity'!U81</f>
        <v>0</v>
      </c>
      <c r="AH365">
        <f>'Primary Care Activity'!C81</f>
        <v>0</v>
      </c>
      <c r="AI365">
        <f>'Primary Care Activity'!D81</f>
        <v>0</v>
      </c>
      <c r="AN365">
        <f>'Primary Care Activity'!E81</f>
        <v>0</v>
      </c>
      <c r="AO365">
        <f>'Primary Care Activity'!F81</f>
        <v>0</v>
      </c>
      <c r="AP365">
        <f>'Primary Care Activity'!G81</f>
        <v>0</v>
      </c>
      <c r="AU365">
        <f>'Primary Care Activity'!AI81</f>
        <v>212.73999999999998</v>
      </c>
      <c r="AV365">
        <f>'Primary Care Activity'!W81</f>
        <v>0</v>
      </c>
      <c r="AW365">
        <f>'Primary Care Activity'!X81</f>
        <v>0</v>
      </c>
      <c r="AX365">
        <f>'Primary Care Activity'!Y81</f>
        <v>27.56</v>
      </c>
      <c r="AY365">
        <f>'Primary Care Activity'!Z81</f>
        <v>0</v>
      </c>
      <c r="AZ365">
        <f>'Primary Care Activity'!AA81</f>
        <v>0</v>
      </c>
      <c r="BA365">
        <f>'Primary Care Activity'!AB81</f>
        <v>29.56</v>
      </c>
      <c r="BB365">
        <f>'Primary Care Activity'!AC81</f>
        <v>27.36</v>
      </c>
      <c r="BC365">
        <f>'Primary Care Activity'!AD81</f>
        <v>26.36</v>
      </c>
      <c r="BD365">
        <f>'Primary Care Activity'!AE81</f>
        <v>26</v>
      </c>
      <c r="BE365">
        <f>'Primary Care Activity'!AF81</f>
        <v>26</v>
      </c>
      <c r="BF365">
        <f>'Primary Care Activity'!AG81</f>
        <v>25</v>
      </c>
      <c r="BG365">
        <f>'Primary Care Activity'!AH81</f>
        <v>24.9</v>
      </c>
    </row>
    <row r="366" spans="1:59" hidden="1">
      <c r="A366" t="str">
        <f>'[1]Front Sheet and Checklist'!$C$5</f>
        <v>(please select from drop down)</v>
      </c>
      <c r="B366" t="s">
        <v>11</v>
      </c>
      <c r="D366" t="s">
        <v>1273</v>
      </c>
      <c r="F366" t="str">
        <f>'Primary Care Activity'!B82</f>
        <v>Occupational therapitsts</v>
      </c>
      <c r="G366">
        <f>'Primary Care Activity'!I82</f>
        <v>0</v>
      </c>
      <c r="H366">
        <f>'Primary Care Activity'!J82</f>
        <v>0</v>
      </c>
      <c r="I366">
        <f>'Primary Care Activity'!K82</f>
        <v>0</v>
      </c>
      <c r="J366">
        <f>'Primary Care Activity'!L82</f>
        <v>0</v>
      </c>
      <c r="K366">
        <f>'Primary Care Activity'!M82</f>
        <v>0</v>
      </c>
      <c r="L366">
        <f>'Primary Care Activity'!N82</f>
        <v>0</v>
      </c>
      <c r="M366">
        <f>'Primary Care Activity'!O82</f>
        <v>0</v>
      </c>
      <c r="N366">
        <f>'Primary Care Activity'!P82</f>
        <v>0</v>
      </c>
      <c r="O366">
        <f>'Primary Care Activity'!Q82</f>
        <v>0</v>
      </c>
      <c r="P366">
        <f>'Primary Care Activity'!R82</f>
        <v>0</v>
      </c>
      <c r="Q366">
        <f>'Primary Care Activity'!S82</f>
        <v>0</v>
      </c>
      <c r="R366">
        <f>'Primary Care Activity'!T82</f>
        <v>0</v>
      </c>
      <c r="S366">
        <f>'Primary Care Activity'!U82</f>
        <v>0</v>
      </c>
      <c r="AH366">
        <f>'Primary Care Activity'!C82</f>
        <v>0</v>
      </c>
      <c r="AI366">
        <f>'Primary Care Activity'!D82</f>
        <v>0</v>
      </c>
      <c r="AN366">
        <f>'Primary Care Activity'!E82</f>
        <v>0</v>
      </c>
      <c r="AO366">
        <f>'Primary Care Activity'!F82</f>
        <v>0</v>
      </c>
      <c r="AP366">
        <f>'Primary Care Activity'!G82</f>
        <v>0</v>
      </c>
      <c r="AU366">
        <f>'Primary Care Activity'!AI82</f>
        <v>236.58</v>
      </c>
      <c r="AV366">
        <f>'Primary Care Activity'!W82</f>
        <v>0</v>
      </c>
      <c r="AW366">
        <f>'Primary Care Activity'!X82</f>
        <v>0</v>
      </c>
      <c r="AX366">
        <f>'Primary Care Activity'!Y82</f>
        <v>29.84</v>
      </c>
      <c r="AY366">
        <f>'Primary Care Activity'!Z82</f>
        <v>0</v>
      </c>
      <c r="AZ366">
        <f>'Primary Care Activity'!AA82</f>
        <v>0</v>
      </c>
      <c r="BA366">
        <f>'Primary Care Activity'!AB82</f>
        <v>28.64</v>
      </c>
      <c r="BB366">
        <f>'Primary Care Activity'!AC82</f>
        <v>37.35</v>
      </c>
      <c r="BC366">
        <f>'Primary Care Activity'!AD82</f>
        <v>34.75</v>
      </c>
      <c r="BD366">
        <f>'Primary Care Activity'!AE82</f>
        <v>34</v>
      </c>
      <c r="BE366">
        <f>'Primary Care Activity'!AF82</f>
        <v>23.6</v>
      </c>
      <c r="BF366">
        <f>'Primary Care Activity'!AG82</f>
        <v>24.6</v>
      </c>
      <c r="BG366">
        <f>'Primary Care Activity'!AH82</f>
        <v>23.8</v>
      </c>
    </row>
    <row r="367" spans="1:59" hidden="1">
      <c r="A367" t="str">
        <f>'[1]Front Sheet and Checklist'!$C$5</f>
        <v>(please select from drop down)</v>
      </c>
      <c r="B367" t="s">
        <v>11</v>
      </c>
      <c r="D367" t="s">
        <v>1273</v>
      </c>
      <c r="F367" t="str">
        <f>'Primary Care Activity'!B83</f>
        <v>Speech and language therapists</v>
      </c>
      <c r="G367">
        <f>'Primary Care Activity'!I83</f>
        <v>0</v>
      </c>
      <c r="H367">
        <f>'Primary Care Activity'!J83</f>
        <v>0</v>
      </c>
      <c r="I367">
        <f>'Primary Care Activity'!K83</f>
        <v>0</v>
      </c>
      <c r="J367">
        <f>'Primary Care Activity'!L83</f>
        <v>0</v>
      </c>
      <c r="K367">
        <f>'Primary Care Activity'!M83</f>
        <v>0</v>
      </c>
      <c r="L367">
        <f>'Primary Care Activity'!N83</f>
        <v>0</v>
      </c>
      <c r="M367">
        <f>'Primary Care Activity'!O83</f>
        <v>0</v>
      </c>
      <c r="N367">
        <f>'Primary Care Activity'!P83</f>
        <v>0</v>
      </c>
      <c r="O367">
        <f>'Primary Care Activity'!Q83</f>
        <v>0</v>
      </c>
      <c r="P367">
        <f>'Primary Care Activity'!R83</f>
        <v>0</v>
      </c>
      <c r="Q367">
        <f>'Primary Care Activity'!S83</f>
        <v>0</v>
      </c>
      <c r="R367">
        <f>'Primary Care Activity'!T83</f>
        <v>0</v>
      </c>
      <c r="S367">
        <f>'Primary Care Activity'!U83</f>
        <v>0</v>
      </c>
      <c r="AH367">
        <f>'Primary Care Activity'!C83</f>
        <v>0</v>
      </c>
      <c r="AI367">
        <f>'Primary Care Activity'!D83</f>
        <v>0</v>
      </c>
      <c r="AN367">
        <f>'Primary Care Activity'!E83</f>
        <v>0</v>
      </c>
      <c r="AO367">
        <f>'Primary Care Activity'!F83</f>
        <v>0</v>
      </c>
      <c r="AP367">
        <f>'Primary Care Activity'!G83</f>
        <v>0</v>
      </c>
      <c r="AU367">
        <f>'Primary Care Activity'!AI83</f>
        <v>50.999999999999993</v>
      </c>
      <c r="AV367">
        <f>'Primary Care Activity'!W83</f>
        <v>0</v>
      </c>
      <c r="AW367">
        <f>'Primary Care Activity'!X83</f>
        <v>0</v>
      </c>
      <c r="AX367">
        <f>'Primary Care Activity'!Y83</f>
        <v>5.8</v>
      </c>
      <c r="AY367">
        <f>'Primary Care Activity'!Z83</f>
        <v>0</v>
      </c>
      <c r="AZ367">
        <f>'Primary Care Activity'!AA83</f>
        <v>0</v>
      </c>
      <c r="BA367">
        <f>'Primary Care Activity'!AB83</f>
        <v>7.2</v>
      </c>
      <c r="BB367">
        <f>'Primary Care Activity'!AC83</f>
        <v>6.8</v>
      </c>
      <c r="BC367">
        <f>'Primary Care Activity'!AD83</f>
        <v>6.8</v>
      </c>
      <c r="BD367">
        <f>'Primary Care Activity'!AE83</f>
        <v>7</v>
      </c>
      <c r="BE367">
        <f>'Primary Care Activity'!AF83</f>
        <v>5.8</v>
      </c>
      <c r="BF367">
        <f>'Primary Care Activity'!AG83</f>
        <v>5.8</v>
      </c>
      <c r="BG367">
        <f>'Primary Care Activity'!AH83</f>
        <v>5.8</v>
      </c>
    </row>
    <row r="368" spans="1:59" hidden="1">
      <c r="A368" t="str">
        <f>'[1]Front Sheet and Checklist'!$C$5</f>
        <v>(please select from drop down)</v>
      </c>
      <c r="B368" t="s">
        <v>11</v>
      </c>
      <c r="D368" t="s">
        <v>1273</v>
      </c>
      <c r="F368" t="str">
        <f>'Primary Care Activity'!B84</f>
        <v xml:space="preserve">Dietitians </v>
      </c>
      <c r="G368">
        <f>'Primary Care Activity'!I84</f>
        <v>4</v>
      </c>
      <c r="H368">
        <f>'Primary Care Activity'!J84</f>
        <v>4</v>
      </c>
      <c r="I368">
        <f>'Primary Care Activity'!K84</f>
        <v>4</v>
      </c>
      <c r="J368">
        <f>'Primary Care Activity'!L84</f>
        <v>4</v>
      </c>
      <c r="K368">
        <f>'Primary Care Activity'!M84</f>
        <v>4</v>
      </c>
      <c r="L368">
        <f>'Primary Care Activity'!N84</f>
        <v>4</v>
      </c>
      <c r="M368">
        <f>'Primary Care Activity'!O84</f>
        <v>4</v>
      </c>
      <c r="N368">
        <f>'Primary Care Activity'!P84</f>
        <v>4</v>
      </c>
      <c r="O368">
        <f>'Primary Care Activity'!Q84</f>
        <v>4</v>
      </c>
      <c r="P368">
        <f>'Primary Care Activity'!R84</f>
        <v>4</v>
      </c>
      <c r="Q368">
        <f>'Primary Care Activity'!S84</f>
        <v>4</v>
      </c>
      <c r="R368">
        <f>'Primary Care Activity'!T84</f>
        <v>4</v>
      </c>
      <c r="S368">
        <f>'Primary Care Activity'!U84</f>
        <v>48</v>
      </c>
      <c r="AH368">
        <f>'Primary Care Activity'!C84</f>
        <v>4</v>
      </c>
      <c r="AI368">
        <f>'Primary Care Activity'!D84</f>
        <v>4</v>
      </c>
      <c r="AN368">
        <f>'Primary Care Activity'!E84</f>
        <v>4</v>
      </c>
      <c r="AO368">
        <f>'Primary Care Activity'!F84</f>
        <v>0</v>
      </c>
      <c r="AP368">
        <f>'Primary Care Activity'!G84</f>
        <v>0</v>
      </c>
      <c r="AU368">
        <f>'Primary Care Activity'!AI84</f>
        <v>17.700000000000003</v>
      </c>
      <c r="AV368">
        <f>'Primary Care Activity'!W84</f>
        <v>0</v>
      </c>
      <c r="AW368">
        <f>'Primary Care Activity'!X84</f>
        <v>0</v>
      </c>
      <c r="AX368">
        <f>'Primary Care Activity'!Y84</f>
        <v>2.6</v>
      </c>
      <c r="AY368">
        <f>'Primary Care Activity'!Z84</f>
        <v>0</v>
      </c>
      <c r="AZ368">
        <f>'Primary Care Activity'!AA84</f>
        <v>0</v>
      </c>
      <c r="BA368">
        <f>'Primary Care Activity'!AB84</f>
        <v>2.2999999999999998</v>
      </c>
      <c r="BB368">
        <f>'Primary Care Activity'!AC84</f>
        <v>2.5</v>
      </c>
      <c r="BC368">
        <f>'Primary Care Activity'!AD84</f>
        <v>2.5</v>
      </c>
      <c r="BD368">
        <f>'Primary Care Activity'!AE84</f>
        <v>3</v>
      </c>
      <c r="BE368">
        <f>'Primary Care Activity'!AF84</f>
        <v>1.6</v>
      </c>
      <c r="BF368">
        <f>'Primary Care Activity'!AG84</f>
        <v>1.6</v>
      </c>
      <c r="BG368">
        <f>'Primary Care Activity'!AH84</f>
        <v>1.6</v>
      </c>
    </row>
    <row r="369" spans="1:59" hidden="1">
      <c r="A369" t="str">
        <f>'[1]Front Sheet and Checklist'!$C$5</f>
        <v>(please select from drop down)</v>
      </c>
      <c r="B369" t="s">
        <v>11</v>
      </c>
      <c r="D369" t="s">
        <v>1273</v>
      </c>
      <c r="F369" t="str">
        <f>'Primary Care Activity'!B85</f>
        <v>Psychologists</v>
      </c>
      <c r="G369">
        <f>'Primary Care Activity'!I85</f>
        <v>0</v>
      </c>
      <c r="H369">
        <f>'Primary Care Activity'!J85</f>
        <v>0</v>
      </c>
      <c r="I369">
        <f>'Primary Care Activity'!K85</f>
        <v>0</v>
      </c>
      <c r="J369">
        <f>'Primary Care Activity'!L85</f>
        <v>0</v>
      </c>
      <c r="K369">
        <f>'Primary Care Activity'!M85</f>
        <v>0</v>
      </c>
      <c r="L369">
        <f>'Primary Care Activity'!N85</f>
        <v>0</v>
      </c>
      <c r="M369">
        <f>'Primary Care Activity'!O85</f>
        <v>0</v>
      </c>
      <c r="N369">
        <f>'Primary Care Activity'!P85</f>
        <v>0</v>
      </c>
      <c r="O369">
        <f>'Primary Care Activity'!Q85</f>
        <v>0</v>
      </c>
      <c r="P369">
        <f>'Primary Care Activity'!R85</f>
        <v>0</v>
      </c>
      <c r="Q369">
        <f>'Primary Care Activity'!S85</f>
        <v>0</v>
      </c>
      <c r="R369">
        <f>'Primary Care Activity'!T85</f>
        <v>0</v>
      </c>
      <c r="S369">
        <f>'Primary Care Activity'!U85</f>
        <v>0</v>
      </c>
      <c r="AH369">
        <f>'Primary Care Activity'!C85</f>
        <v>0</v>
      </c>
      <c r="AI369">
        <f>'Primary Care Activity'!D85</f>
        <v>0</v>
      </c>
      <c r="AN369">
        <f>'Primary Care Activity'!E85</f>
        <v>0</v>
      </c>
      <c r="AO369">
        <f>'Primary Care Activity'!F85</f>
        <v>0</v>
      </c>
      <c r="AP369">
        <f>'Primary Care Activity'!G85</f>
        <v>0</v>
      </c>
      <c r="AU369">
        <f>'Primary Care Activity'!AI85</f>
        <v>0</v>
      </c>
      <c r="AV369">
        <f>'Primary Care Activity'!W85</f>
        <v>0</v>
      </c>
      <c r="AW369">
        <f>'Primary Care Activity'!X85</f>
        <v>0</v>
      </c>
      <c r="AX369">
        <f>'Primary Care Activity'!Y85</f>
        <v>0</v>
      </c>
      <c r="AY369">
        <f>'Primary Care Activity'!Z85</f>
        <v>0</v>
      </c>
      <c r="AZ369">
        <f>'Primary Care Activity'!AA85</f>
        <v>0</v>
      </c>
      <c r="BA369">
        <f>'Primary Care Activity'!AB85</f>
        <v>0</v>
      </c>
      <c r="BB369">
        <f>'Primary Care Activity'!AC85</f>
        <v>0</v>
      </c>
      <c r="BC369">
        <f>'Primary Care Activity'!AD85</f>
        <v>0</v>
      </c>
      <c r="BD369">
        <f>'Primary Care Activity'!AE85</f>
        <v>0</v>
      </c>
      <c r="BE369">
        <f>'Primary Care Activity'!AF85</f>
        <v>0</v>
      </c>
      <c r="BF369">
        <f>'Primary Care Activity'!AG85</f>
        <v>0</v>
      </c>
      <c r="BG369">
        <f>'Primary Care Activity'!AH85</f>
        <v>0</v>
      </c>
    </row>
    <row r="370" spans="1:59" hidden="1">
      <c r="A370" t="str">
        <f>'[1]Front Sheet and Checklist'!$C$5</f>
        <v>(please select from drop down)</v>
      </c>
      <c r="B370" t="s">
        <v>11</v>
      </c>
      <c r="D370" t="s">
        <v>1273</v>
      </c>
      <c r="F370" t="str">
        <f>'Primary Care Activity'!B86</f>
        <v>Other</v>
      </c>
      <c r="G370">
        <f>'Primary Care Activity'!I86</f>
        <v>0</v>
      </c>
      <c r="H370">
        <f>'Primary Care Activity'!J86</f>
        <v>0</v>
      </c>
      <c r="I370">
        <f>'Primary Care Activity'!K86</f>
        <v>0</v>
      </c>
      <c r="J370">
        <f>'Primary Care Activity'!L86</f>
        <v>0</v>
      </c>
      <c r="K370">
        <f>'Primary Care Activity'!M86</f>
        <v>0</v>
      </c>
      <c r="L370">
        <f>'Primary Care Activity'!N86</f>
        <v>0</v>
      </c>
      <c r="M370">
        <f>'Primary Care Activity'!O86</f>
        <v>0</v>
      </c>
      <c r="N370">
        <f>'Primary Care Activity'!P86</f>
        <v>0</v>
      </c>
      <c r="O370">
        <f>'Primary Care Activity'!Q86</f>
        <v>0</v>
      </c>
      <c r="P370">
        <f>'Primary Care Activity'!R86</f>
        <v>0</v>
      </c>
      <c r="Q370">
        <f>'Primary Care Activity'!S86</f>
        <v>0</v>
      </c>
      <c r="R370">
        <f>'Primary Care Activity'!T86</f>
        <v>0</v>
      </c>
      <c r="S370">
        <f>'Primary Care Activity'!U86</f>
        <v>0</v>
      </c>
      <c r="AH370">
        <f>'Primary Care Activity'!C86</f>
        <v>0</v>
      </c>
      <c r="AI370">
        <f>'Primary Care Activity'!D86</f>
        <v>0</v>
      </c>
      <c r="AN370">
        <f>'Primary Care Activity'!E86</f>
        <v>0</v>
      </c>
      <c r="AO370">
        <f>'Primary Care Activity'!F86</f>
        <v>0</v>
      </c>
      <c r="AP370">
        <f>'Primary Care Activity'!G86</f>
        <v>0</v>
      </c>
      <c r="AU370">
        <f>'Primary Care Activity'!AI86</f>
        <v>174.79999999999998</v>
      </c>
      <c r="AV370">
        <f>'Primary Care Activity'!W86</f>
        <v>0</v>
      </c>
      <c r="AW370">
        <f>'Primary Care Activity'!X86</f>
        <v>0</v>
      </c>
      <c r="AX370">
        <f>'Primary Care Activity'!Y86</f>
        <v>23.81</v>
      </c>
      <c r="AY370">
        <f>'Primary Care Activity'!Z86</f>
        <v>0</v>
      </c>
      <c r="AZ370">
        <f>'Primary Care Activity'!AA86</f>
        <v>0</v>
      </c>
      <c r="BA370">
        <f>'Primary Care Activity'!AB86</f>
        <v>22.15</v>
      </c>
      <c r="BB370">
        <f>'Primary Care Activity'!AC86</f>
        <v>20.32</v>
      </c>
      <c r="BC370">
        <f>'Primary Care Activity'!AD86</f>
        <v>20.32</v>
      </c>
      <c r="BD370">
        <f>'Primary Care Activity'!AE86</f>
        <v>20</v>
      </c>
      <c r="BE370">
        <f>'Primary Care Activity'!AF86</f>
        <v>22.7</v>
      </c>
      <c r="BF370">
        <f>'Primary Care Activity'!AG86</f>
        <v>22.8</v>
      </c>
      <c r="BG370">
        <f>'Primary Care Activity'!AH86</f>
        <v>22.7</v>
      </c>
    </row>
    <row r="371" spans="1:59" hidden="1">
      <c r="A371" t="str">
        <f>'[1]Front Sheet and Checklist'!$C$5</f>
        <v>(please select from drop down)</v>
      </c>
      <c r="B371" t="s">
        <v>11</v>
      </c>
      <c r="D371" t="s">
        <v>1273</v>
      </c>
      <c r="F371" t="str">
        <f>'Primary Care Activity'!B87</f>
        <v xml:space="preserve">Number of people seen by an AHP in NCN/ Community Resource Team </v>
      </c>
      <c r="G371">
        <f>'Primary Care Activity'!I87</f>
        <v>0</v>
      </c>
      <c r="H371">
        <f>'Primary Care Activity'!J87</f>
        <v>0</v>
      </c>
      <c r="I371">
        <f>'Primary Care Activity'!K87</f>
        <v>0</v>
      </c>
      <c r="J371">
        <f>'Primary Care Activity'!L87</f>
        <v>0</v>
      </c>
      <c r="K371">
        <f>'Primary Care Activity'!M87</f>
        <v>0</v>
      </c>
      <c r="L371">
        <f>'Primary Care Activity'!N87</f>
        <v>0</v>
      </c>
      <c r="M371">
        <f>'Primary Care Activity'!O87</f>
        <v>0</v>
      </c>
      <c r="N371">
        <f>'Primary Care Activity'!P87</f>
        <v>0</v>
      </c>
      <c r="O371">
        <f>'Primary Care Activity'!Q87</f>
        <v>0</v>
      </c>
      <c r="P371">
        <f>'Primary Care Activity'!R87</f>
        <v>0</v>
      </c>
      <c r="Q371">
        <f>'Primary Care Activity'!S87</f>
        <v>0</v>
      </c>
      <c r="R371">
        <f>'Primary Care Activity'!T87</f>
        <v>0</v>
      </c>
      <c r="S371">
        <f>'Primary Care Activity'!U87</f>
        <v>0</v>
      </c>
      <c r="AH371">
        <f>'Primary Care Activity'!C87</f>
        <v>0</v>
      </c>
      <c r="AI371">
        <f>'Primary Care Activity'!D87</f>
        <v>0</v>
      </c>
      <c r="AN371">
        <f>'Primary Care Activity'!E87</f>
        <v>0</v>
      </c>
      <c r="AO371">
        <f>'Primary Care Activity'!F87</f>
        <v>0</v>
      </c>
      <c r="AP371">
        <f>'Primary Care Activity'!G87</f>
        <v>0</v>
      </c>
      <c r="AU371">
        <f>'Primary Care Activity'!AI87</f>
        <v>0</v>
      </c>
      <c r="AV371">
        <f>'Primary Care Activity'!W87</f>
        <v>0</v>
      </c>
      <c r="AW371">
        <f>'Primary Care Activity'!X87</f>
        <v>0</v>
      </c>
      <c r="AX371">
        <f>'Primary Care Activity'!Y87</f>
        <v>0</v>
      </c>
      <c r="AY371">
        <f>'Primary Care Activity'!Z87</f>
        <v>0</v>
      </c>
      <c r="AZ371">
        <f>'Primary Care Activity'!AA87</f>
        <v>0</v>
      </c>
      <c r="BA371">
        <f>'Primary Care Activity'!AB87</f>
        <v>0</v>
      </c>
      <c r="BB371">
        <f>'Primary Care Activity'!AC87</f>
        <v>0</v>
      </c>
      <c r="BC371">
        <f>'Primary Care Activity'!AD87</f>
        <v>0</v>
      </c>
      <c r="BD371">
        <f>'Primary Care Activity'!AE87</f>
        <v>0</v>
      </c>
      <c r="BE371">
        <f>'Primary Care Activity'!AF87</f>
        <v>0</v>
      </c>
      <c r="BF371">
        <f>'Primary Care Activity'!AG87</f>
        <v>0</v>
      </c>
      <c r="BG371">
        <f>'Primary Care Activity'!AH87</f>
        <v>0</v>
      </c>
    </row>
    <row r="372" spans="1:59" hidden="1">
      <c r="A372" t="str">
        <f>'[1]Front Sheet and Checklist'!$C$5</f>
        <v>(please select from drop down)</v>
      </c>
      <c r="B372" t="s">
        <v>11</v>
      </c>
      <c r="D372" t="s">
        <v>1273</v>
      </c>
      <c r="F372" t="str">
        <f>'Primary Care Activity'!B88</f>
        <v>Physiotherapists</v>
      </c>
      <c r="G372">
        <f>'Primary Care Activity'!I88</f>
        <v>0</v>
      </c>
      <c r="H372">
        <f>'Primary Care Activity'!J88</f>
        <v>0</v>
      </c>
      <c r="I372">
        <f>'Primary Care Activity'!K88</f>
        <v>0</v>
      </c>
      <c r="J372">
        <f>'Primary Care Activity'!L88</f>
        <v>0</v>
      </c>
      <c r="K372">
        <f>'Primary Care Activity'!M88</f>
        <v>0</v>
      </c>
      <c r="L372">
        <f>'Primary Care Activity'!N88</f>
        <v>0</v>
      </c>
      <c r="M372">
        <f>'Primary Care Activity'!O88</f>
        <v>0</v>
      </c>
      <c r="N372">
        <f>'Primary Care Activity'!P88</f>
        <v>0</v>
      </c>
      <c r="O372">
        <f>'Primary Care Activity'!Q88</f>
        <v>0</v>
      </c>
      <c r="P372">
        <f>'Primary Care Activity'!R88</f>
        <v>0</v>
      </c>
      <c r="Q372">
        <f>'Primary Care Activity'!S88</f>
        <v>0</v>
      </c>
      <c r="R372">
        <f>'Primary Care Activity'!T88</f>
        <v>0</v>
      </c>
      <c r="S372">
        <f>'Primary Care Activity'!U88</f>
        <v>0</v>
      </c>
      <c r="AH372">
        <f>'Primary Care Activity'!C88</f>
        <v>0</v>
      </c>
      <c r="AI372">
        <f>'Primary Care Activity'!D88</f>
        <v>0</v>
      </c>
      <c r="AN372">
        <f>'Primary Care Activity'!E88</f>
        <v>0</v>
      </c>
      <c r="AO372">
        <f>'Primary Care Activity'!F88</f>
        <v>0</v>
      </c>
      <c r="AP372">
        <f>'Primary Care Activity'!G88</f>
        <v>0</v>
      </c>
      <c r="AU372">
        <f>'Primary Care Activity'!AI88</f>
        <v>0</v>
      </c>
      <c r="AV372">
        <f>'Primary Care Activity'!W88</f>
        <v>0</v>
      </c>
      <c r="AW372">
        <f>'Primary Care Activity'!X88</f>
        <v>0</v>
      </c>
      <c r="AX372">
        <f>'Primary Care Activity'!Y88</f>
        <v>0</v>
      </c>
      <c r="AY372">
        <f>'Primary Care Activity'!Z88</f>
        <v>0</v>
      </c>
      <c r="AZ372">
        <f>'Primary Care Activity'!AA88</f>
        <v>0</v>
      </c>
      <c r="BA372">
        <f>'Primary Care Activity'!AB88</f>
        <v>0</v>
      </c>
      <c r="BB372">
        <f>'Primary Care Activity'!AC88</f>
        <v>0</v>
      </c>
      <c r="BC372">
        <f>'Primary Care Activity'!AD88</f>
        <v>0</v>
      </c>
      <c r="BD372">
        <f>'Primary Care Activity'!AE88</f>
        <v>0</v>
      </c>
      <c r="BE372">
        <f>'Primary Care Activity'!AF88</f>
        <v>0</v>
      </c>
      <c r="BF372">
        <f>'Primary Care Activity'!AG88</f>
        <v>0</v>
      </c>
      <c r="BG372">
        <f>'Primary Care Activity'!AH88</f>
        <v>0</v>
      </c>
    </row>
    <row r="373" spans="1:59" hidden="1">
      <c r="A373" t="str">
        <f>'[1]Front Sheet and Checklist'!$C$5</f>
        <v>(please select from drop down)</v>
      </c>
      <c r="B373" t="s">
        <v>11</v>
      </c>
      <c r="D373" t="s">
        <v>1273</v>
      </c>
      <c r="F373" t="str">
        <f>'Primary Care Activity'!B89</f>
        <v>Occupational therapitsts</v>
      </c>
      <c r="G373">
        <f>'Primary Care Activity'!I89</f>
        <v>0</v>
      </c>
      <c r="H373">
        <f>'Primary Care Activity'!J89</f>
        <v>0</v>
      </c>
      <c r="I373">
        <f>'Primary Care Activity'!K89</f>
        <v>0</v>
      </c>
      <c r="J373">
        <f>'Primary Care Activity'!L89</f>
        <v>0</v>
      </c>
      <c r="K373">
        <f>'Primary Care Activity'!M89</f>
        <v>0</v>
      </c>
      <c r="L373">
        <f>'Primary Care Activity'!N89</f>
        <v>0</v>
      </c>
      <c r="M373">
        <f>'Primary Care Activity'!O89</f>
        <v>0</v>
      </c>
      <c r="N373">
        <f>'Primary Care Activity'!P89</f>
        <v>0</v>
      </c>
      <c r="O373">
        <f>'Primary Care Activity'!Q89</f>
        <v>0</v>
      </c>
      <c r="P373">
        <f>'Primary Care Activity'!R89</f>
        <v>0</v>
      </c>
      <c r="Q373">
        <f>'Primary Care Activity'!S89</f>
        <v>0</v>
      </c>
      <c r="R373">
        <f>'Primary Care Activity'!T89</f>
        <v>0</v>
      </c>
      <c r="S373">
        <f>'Primary Care Activity'!U89</f>
        <v>0</v>
      </c>
      <c r="AH373">
        <f>'Primary Care Activity'!C89</f>
        <v>0</v>
      </c>
      <c r="AI373">
        <f>'Primary Care Activity'!D89</f>
        <v>0</v>
      </c>
      <c r="AN373">
        <f>'Primary Care Activity'!E89</f>
        <v>0</v>
      </c>
      <c r="AO373">
        <f>'Primary Care Activity'!F89</f>
        <v>0</v>
      </c>
      <c r="AP373">
        <f>'Primary Care Activity'!G89</f>
        <v>0</v>
      </c>
      <c r="AU373">
        <f>'Primary Care Activity'!AI89</f>
        <v>0</v>
      </c>
      <c r="AV373">
        <f>'Primary Care Activity'!W89</f>
        <v>0</v>
      </c>
      <c r="AW373">
        <f>'Primary Care Activity'!X89</f>
        <v>0</v>
      </c>
      <c r="AX373">
        <f>'Primary Care Activity'!Y89</f>
        <v>0</v>
      </c>
      <c r="AY373">
        <f>'Primary Care Activity'!Z89</f>
        <v>0</v>
      </c>
      <c r="AZ373">
        <f>'Primary Care Activity'!AA89</f>
        <v>0</v>
      </c>
      <c r="BA373">
        <f>'Primary Care Activity'!AB89</f>
        <v>0</v>
      </c>
      <c r="BB373">
        <f>'Primary Care Activity'!AC89</f>
        <v>0</v>
      </c>
      <c r="BC373">
        <f>'Primary Care Activity'!AD89</f>
        <v>0</v>
      </c>
      <c r="BD373">
        <f>'Primary Care Activity'!AE89</f>
        <v>0</v>
      </c>
      <c r="BE373">
        <f>'Primary Care Activity'!AF89</f>
        <v>0</v>
      </c>
      <c r="BF373">
        <f>'Primary Care Activity'!AG89</f>
        <v>0</v>
      </c>
      <c r="BG373">
        <f>'Primary Care Activity'!AH89</f>
        <v>0</v>
      </c>
    </row>
    <row r="374" spans="1:59" hidden="1">
      <c r="A374" t="str">
        <f>'[1]Front Sheet and Checklist'!$C$5</f>
        <v>(please select from drop down)</v>
      </c>
      <c r="B374" t="s">
        <v>11</v>
      </c>
      <c r="D374" t="s">
        <v>1273</v>
      </c>
      <c r="F374" t="str">
        <f>'Primary Care Activity'!B90</f>
        <v>Speech and language therapists</v>
      </c>
      <c r="G374">
        <f>'Primary Care Activity'!I90</f>
        <v>0</v>
      </c>
      <c r="H374">
        <f>'Primary Care Activity'!J90</f>
        <v>0</v>
      </c>
      <c r="I374">
        <f>'Primary Care Activity'!K90</f>
        <v>0</v>
      </c>
      <c r="J374">
        <f>'Primary Care Activity'!L90</f>
        <v>0</v>
      </c>
      <c r="K374">
        <f>'Primary Care Activity'!M90</f>
        <v>0</v>
      </c>
      <c r="L374">
        <f>'Primary Care Activity'!N90</f>
        <v>0</v>
      </c>
      <c r="M374">
        <f>'Primary Care Activity'!O90</f>
        <v>0</v>
      </c>
      <c r="N374">
        <f>'Primary Care Activity'!P90</f>
        <v>0</v>
      </c>
      <c r="O374">
        <f>'Primary Care Activity'!Q90</f>
        <v>0</v>
      </c>
      <c r="P374">
        <f>'Primary Care Activity'!R90</f>
        <v>0</v>
      </c>
      <c r="Q374">
        <f>'Primary Care Activity'!S90</f>
        <v>0</v>
      </c>
      <c r="R374">
        <f>'Primary Care Activity'!T90</f>
        <v>0</v>
      </c>
      <c r="S374">
        <f>'Primary Care Activity'!U90</f>
        <v>0</v>
      </c>
      <c r="AH374">
        <f>'Primary Care Activity'!C90</f>
        <v>0</v>
      </c>
      <c r="AI374">
        <f>'Primary Care Activity'!D90</f>
        <v>0</v>
      </c>
      <c r="AN374">
        <f>'Primary Care Activity'!E90</f>
        <v>0</v>
      </c>
      <c r="AO374">
        <f>'Primary Care Activity'!F90</f>
        <v>0</v>
      </c>
      <c r="AP374">
        <f>'Primary Care Activity'!G90</f>
        <v>0</v>
      </c>
      <c r="AU374">
        <f>'Primary Care Activity'!AI90</f>
        <v>0</v>
      </c>
      <c r="AV374">
        <f>'Primary Care Activity'!W90</f>
        <v>0</v>
      </c>
      <c r="AW374">
        <f>'Primary Care Activity'!X90</f>
        <v>0</v>
      </c>
      <c r="AX374">
        <f>'Primary Care Activity'!Y90</f>
        <v>0</v>
      </c>
      <c r="AY374">
        <f>'Primary Care Activity'!Z90</f>
        <v>0</v>
      </c>
      <c r="AZ374">
        <f>'Primary Care Activity'!AA90</f>
        <v>0</v>
      </c>
      <c r="BA374">
        <f>'Primary Care Activity'!AB90</f>
        <v>0</v>
      </c>
      <c r="BB374">
        <f>'Primary Care Activity'!AC90</f>
        <v>0</v>
      </c>
      <c r="BC374">
        <f>'Primary Care Activity'!AD90</f>
        <v>0</v>
      </c>
      <c r="BD374">
        <f>'Primary Care Activity'!AE90</f>
        <v>0</v>
      </c>
      <c r="BE374">
        <f>'Primary Care Activity'!AF90</f>
        <v>0</v>
      </c>
      <c r="BF374">
        <f>'Primary Care Activity'!AG90</f>
        <v>0</v>
      </c>
      <c r="BG374">
        <f>'Primary Care Activity'!AH90</f>
        <v>0</v>
      </c>
    </row>
    <row r="375" spans="1:59" hidden="1">
      <c r="A375" t="str">
        <f>'[1]Front Sheet and Checklist'!$C$5</f>
        <v>(please select from drop down)</v>
      </c>
      <c r="B375" t="s">
        <v>11</v>
      </c>
      <c r="D375" t="s">
        <v>1273</v>
      </c>
      <c r="F375" t="str">
        <f>'Primary Care Activity'!B91</f>
        <v xml:space="preserve">Dietitians </v>
      </c>
      <c r="G375">
        <f>'Primary Care Activity'!I91</f>
        <v>0</v>
      </c>
      <c r="H375">
        <f>'Primary Care Activity'!J91</f>
        <v>0</v>
      </c>
      <c r="I375">
        <f>'Primary Care Activity'!K91</f>
        <v>0</v>
      </c>
      <c r="J375">
        <f>'Primary Care Activity'!L91</f>
        <v>0</v>
      </c>
      <c r="K375">
        <f>'Primary Care Activity'!M91</f>
        <v>0</v>
      </c>
      <c r="L375">
        <f>'Primary Care Activity'!N91</f>
        <v>0</v>
      </c>
      <c r="M375">
        <f>'Primary Care Activity'!O91</f>
        <v>0</v>
      </c>
      <c r="N375">
        <f>'Primary Care Activity'!P91</f>
        <v>0</v>
      </c>
      <c r="O375">
        <f>'Primary Care Activity'!Q91</f>
        <v>0</v>
      </c>
      <c r="P375">
        <f>'Primary Care Activity'!R91</f>
        <v>0</v>
      </c>
      <c r="Q375">
        <f>'Primary Care Activity'!S91</f>
        <v>0</v>
      </c>
      <c r="R375">
        <f>'Primary Care Activity'!T91</f>
        <v>0</v>
      </c>
      <c r="S375">
        <f>'Primary Care Activity'!U91</f>
        <v>0</v>
      </c>
      <c r="AH375">
        <f>'Primary Care Activity'!C91</f>
        <v>0</v>
      </c>
      <c r="AI375">
        <f>'Primary Care Activity'!D91</f>
        <v>0</v>
      </c>
      <c r="AN375">
        <f>'Primary Care Activity'!E91</f>
        <v>0</v>
      </c>
      <c r="AO375">
        <f>'Primary Care Activity'!F91</f>
        <v>0</v>
      </c>
      <c r="AP375">
        <f>'Primary Care Activity'!G91</f>
        <v>0</v>
      </c>
      <c r="AU375">
        <f>'Primary Care Activity'!AI91</f>
        <v>0</v>
      </c>
      <c r="AV375">
        <f>'Primary Care Activity'!W91</f>
        <v>0</v>
      </c>
      <c r="AW375">
        <f>'Primary Care Activity'!X91</f>
        <v>0</v>
      </c>
      <c r="AX375">
        <f>'Primary Care Activity'!Y91</f>
        <v>0</v>
      </c>
      <c r="AY375">
        <f>'Primary Care Activity'!Z91</f>
        <v>0</v>
      </c>
      <c r="AZ375">
        <f>'Primary Care Activity'!AA91</f>
        <v>0</v>
      </c>
      <c r="BA375">
        <f>'Primary Care Activity'!AB91</f>
        <v>0</v>
      </c>
      <c r="BB375">
        <f>'Primary Care Activity'!AC91</f>
        <v>0</v>
      </c>
      <c r="BC375">
        <f>'Primary Care Activity'!AD91</f>
        <v>0</v>
      </c>
      <c r="BD375">
        <f>'Primary Care Activity'!AE91</f>
        <v>0</v>
      </c>
      <c r="BE375">
        <f>'Primary Care Activity'!AF91</f>
        <v>0</v>
      </c>
      <c r="BF375">
        <f>'Primary Care Activity'!AG91</f>
        <v>0</v>
      </c>
      <c r="BG375">
        <f>'Primary Care Activity'!AH91</f>
        <v>0</v>
      </c>
    </row>
    <row r="376" spans="1:59" hidden="1">
      <c r="A376" t="str">
        <f>'[1]Front Sheet and Checklist'!$C$5</f>
        <v>(please select from drop down)</v>
      </c>
      <c r="B376" t="s">
        <v>11</v>
      </c>
      <c r="D376" t="s">
        <v>1273</v>
      </c>
      <c r="F376" t="str">
        <f>'Primary Care Activity'!B92</f>
        <v>Psychologists</v>
      </c>
      <c r="G376">
        <f>'Primary Care Activity'!I92</f>
        <v>0</v>
      </c>
      <c r="H376">
        <f>'Primary Care Activity'!J92</f>
        <v>0</v>
      </c>
      <c r="I376">
        <f>'Primary Care Activity'!K92</f>
        <v>0</v>
      </c>
      <c r="J376">
        <f>'Primary Care Activity'!L92</f>
        <v>0</v>
      </c>
      <c r="K376">
        <f>'Primary Care Activity'!M92</f>
        <v>0</v>
      </c>
      <c r="L376">
        <f>'Primary Care Activity'!N92</f>
        <v>0</v>
      </c>
      <c r="M376">
        <f>'Primary Care Activity'!O92</f>
        <v>0</v>
      </c>
      <c r="N376">
        <f>'Primary Care Activity'!P92</f>
        <v>0</v>
      </c>
      <c r="O376">
        <f>'Primary Care Activity'!Q92</f>
        <v>0</v>
      </c>
      <c r="P376">
        <f>'Primary Care Activity'!R92</f>
        <v>0</v>
      </c>
      <c r="Q376">
        <f>'Primary Care Activity'!S92</f>
        <v>0</v>
      </c>
      <c r="R376">
        <f>'Primary Care Activity'!T92</f>
        <v>0</v>
      </c>
      <c r="S376">
        <f>'Primary Care Activity'!U92</f>
        <v>0</v>
      </c>
      <c r="AH376">
        <f>'Primary Care Activity'!C92</f>
        <v>0</v>
      </c>
      <c r="AI376">
        <f>'Primary Care Activity'!D92</f>
        <v>0</v>
      </c>
      <c r="AN376">
        <f>'Primary Care Activity'!E92</f>
        <v>0</v>
      </c>
      <c r="AO376">
        <f>'Primary Care Activity'!F92</f>
        <v>0</v>
      </c>
      <c r="AP376">
        <f>'Primary Care Activity'!G92</f>
        <v>0</v>
      </c>
      <c r="AU376">
        <f>'Primary Care Activity'!AI92</f>
        <v>0</v>
      </c>
      <c r="AV376">
        <f>'Primary Care Activity'!W92</f>
        <v>0</v>
      </c>
      <c r="AW376">
        <f>'Primary Care Activity'!X92</f>
        <v>0</v>
      </c>
      <c r="AX376">
        <f>'Primary Care Activity'!Y92</f>
        <v>0</v>
      </c>
      <c r="AY376">
        <f>'Primary Care Activity'!Z92</f>
        <v>0</v>
      </c>
      <c r="AZ376">
        <f>'Primary Care Activity'!AA92</f>
        <v>0</v>
      </c>
      <c r="BA376">
        <f>'Primary Care Activity'!AB92</f>
        <v>0</v>
      </c>
      <c r="BB376">
        <f>'Primary Care Activity'!AC92</f>
        <v>0</v>
      </c>
      <c r="BC376">
        <f>'Primary Care Activity'!AD92</f>
        <v>0</v>
      </c>
      <c r="BD376">
        <f>'Primary Care Activity'!AE92</f>
        <v>0</v>
      </c>
      <c r="BE376">
        <f>'Primary Care Activity'!AF92</f>
        <v>0</v>
      </c>
      <c r="BF376">
        <f>'Primary Care Activity'!AG92</f>
        <v>0</v>
      </c>
      <c r="BG376">
        <f>'Primary Care Activity'!AH92</f>
        <v>0</v>
      </c>
    </row>
    <row r="377" spans="1:59" hidden="1">
      <c r="A377" t="str">
        <f>'[1]Front Sheet and Checklist'!$C$5</f>
        <v>(please select from drop down)</v>
      </c>
      <c r="B377" t="s">
        <v>11</v>
      </c>
      <c r="D377" t="s">
        <v>1273</v>
      </c>
      <c r="F377" t="str">
        <f>'Primary Care Activity'!B93</f>
        <v>Other</v>
      </c>
      <c r="G377">
        <f>'Primary Care Activity'!I93</f>
        <v>0</v>
      </c>
      <c r="H377">
        <f>'Primary Care Activity'!J93</f>
        <v>0</v>
      </c>
      <c r="I377">
        <f>'Primary Care Activity'!K93</f>
        <v>0</v>
      </c>
      <c r="J377">
        <f>'Primary Care Activity'!L93</f>
        <v>0</v>
      </c>
      <c r="K377">
        <f>'Primary Care Activity'!M93</f>
        <v>0</v>
      </c>
      <c r="L377">
        <f>'Primary Care Activity'!N93</f>
        <v>0</v>
      </c>
      <c r="M377">
        <f>'Primary Care Activity'!O93</f>
        <v>0</v>
      </c>
      <c r="N377">
        <f>'Primary Care Activity'!P93</f>
        <v>0</v>
      </c>
      <c r="O377">
        <f>'Primary Care Activity'!Q93</f>
        <v>0</v>
      </c>
      <c r="P377">
        <f>'Primary Care Activity'!R93</f>
        <v>0</v>
      </c>
      <c r="Q377">
        <f>'Primary Care Activity'!S93</f>
        <v>0</v>
      </c>
      <c r="R377">
        <f>'Primary Care Activity'!T93</f>
        <v>0</v>
      </c>
      <c r="S377">
        <f>'Primary Care Activity'!U93</f>
        <v>0</v>
      </c>
      <c r="AH377">
        <f>'Primary Care Activity'!C93</f>
        <v>0</v>
      </c>
      <c r="AI377">
        <f>'Primary Care Activity'!D93</f>
        <v>0</v>
      </c>
      <c r="AN377">
        <f>'Primary Care Activity'!E93</f>
        <v>0</v>
      </c>
      <c r="AO377">
        <f>'Primary Care Activity'!F93</f>
        <v>0</v>
      </c>
      <c r="AP377">
        <f>'Primary Care Activity'!G93</f>
        <v>0</v>
      </c>
      <c r="AU377">
        <f>'Primary Care Activity'!AI93</f>
        <v>0</v>
      </c>
      <c r="AV377">
        <f>'Primary Care Activity'!W93</f>
        <v>0</v>
      </c>
      <c r="AW377">
        <f>'Primary Care Activity'!X93</f>
        <v>0</v>
      </c>
      <c r="AX377">
        <f>'Primary Care Activity'!Y93</f>
        <v>0</v>
      </c>
      <c r="AY377">
        <f>'Primary Care Activity'!Z93</f>
        <v>0</v>
      </c>
      <c r="AZ377">
        <f>'Primary Care Activity'!AA93</f>
        <v>0</v>
      </c>
      <c r="BA377">
        <f>'Primary Care Activity'!AB93</f>
        <v>0</v>
      </c>
      <c r="BB377">
        <f>'Primary Care Activity'!AC93</f>
        <v>0</v>
      </c>
      <c r="BC377">
        <f>'Primary Care Activity'!AD93</f>
        <v>0</v>
      </c>
      <c r="BD377">
        <f>'Primary Care Activity'!AE93</f>
        <v>0</v>
      </c>
      <c r="BE377">
        <f>'Primary Care Activity'!AF93</f>
        <v>0</v>
      </c>
      <c r="BF377">
        <f>'Primary Care Activity'!AG93</f>
        <v>0</v>
      </c>
      <c r="BG377">
        <f>'Primary Care Activity'!AH93</f>
        <v>0</v>
      </c>
    </row>
    <row r="378" spans="1:59" hidden="1">
      <c r="A378" t="str">
        <f>'[1]Front Sheet and Checklist'!$C$5</f>
        <v>(please select from drop down)</v>
      </c>
      <c r="B378" t="s">
        <v>11</v>
      </c>
      <c r="D378" t="s">
        <v>1273</v>
      </c>
      <c r="F378" t="str">
        <f>'Primary Care Activity'!B94</f>
        <v xml:space="preserve">Number of additional AHP registrants (WTE) posts since April 2023 (AHP £5m) </v>
      </c>
      <c r="G378">
        <f>'Primary Care Activity'!I94</f>
        <v>0</v>
      </c>
      <c r="H378">
        <f>'Primary Care Activity'!J94</f>
        <v>0</v>
      </c>
      <c r="I378">
        <f>'Primary Care Activity'!K94</f>
        <v>0</v>
      </c>
      <c r="J378">
        <f>'Primary Care Activity'!L94</f>
        <v>0</v>
      </c>
      <c r="K378">
        <f>'Primary Care Activity'!M94</f>
        <v>0</v>
      </c>
      <c r="L378">
        <f>'Primary Care Activity'!N94</f>
        <v>0</v>
      </c>
      <c r="M378">
        <f>'Primary Care Activity'!O94</f>
        <v>0</v>
      </c>
      <c r="N378">
        <f>'Primary Care Activity'!P94</f>
        <v>0</v>
      </c>
      <c r="O378">
        <f>'Primary Care Activity'!Q94</f>
        <v>0</v>
      </c>
      <c r="P378">
        <f>'Primary Care Activity'!R94</f>
        <v>0</v>
      </c>
      <c r="Q378">
        <f>'Primary Care Activity'!S94</f>
        <v>0</v>
      </c>
      <c r="R378">
        <f>'Primary Care Activity'!T94</f>
        <v>0</v>
      </c>
      <c r="S378">
        <f>'Primary Care Activity'!U94</f>
        <v>0</v>
      </c>
      <c r="AH378">
        <f>'Primary Care Activity'!C94</f>
        <v>0</v>
      </c>
      <c r="AI378">
        <f>'Primary Care Activity'!D94</f>
        <v>0</v>
      </c>
      <c r="AN378">
        <f>'Primary Care Activity'!E94</f>
        <v>0</v>
      </c>
      <c r="AO378">
        <f>'Primary Care Activity'!F94</f>
        <v>0</v>
      </c>
      <c r="AP378">
        <f>'Primary Care Activity'!G94</f>
        <v>0</v>
      </c>
      <c r="AU378">
        <f>'Primary Care Activity'!AI94</f>
        <v>0</v>
      </c>
      <c r="AV378">
        <f>'Primary Care Activity'!W94</f>
        <v>0</v>
      </c>
      <c r="AW378">
        <f>'Primary Care Activity'!X94</f>
        <v>0</v>
      </c>
      <c r="AX378">
        <f>'Primary Care Activity'!Y94</f>
        <v>0</v>
      </c>
      <c r="AY378">
        <f>'Primary Care Activity'!Z94</f>
        <v>0</v>
      </c>
      <c r="AZ378">
        <f>'Primary Care Activity'!AA94</f>
        <v>0</v>
      </c>
      <c r="BA378">
        <f>'Primary Care Activity'!AB94</f>
        <v>0</v>
      </c>
      <c r="BB378">
        <f>'Primary Care Activity'!AC94</f>
        <v>0</v>
      </c>
      <c r="BC378">
        <f>'Primary Care Activity'!AD94</f>
        <v>0</v>
      </c>
      <c r="BD378">
        <f>'Primary Care Activity'!AE94</f>
        <v>0</v>
      </c>
      <c r="BE378">
        <f>'Primary Care Activity'!AF94</f>
        <v>0</v>
      </c>
      <c r="BF378">
        <f>'Primary Care Activity'!AG94</f>
        <v>0</v>
      </c>
      <c r="BG378">
        <f>'Primary Care Activity'!AH94</f>
        <v>0</v>
      </c>
    </row>
    <row r="379" spans="1:59" hidden="1">
      <c r="A379" t="str">
        <f>'[1]Front Sheet and Checklist'!$C$5</f>
        <v>(please select from drop down)</v>
      </c>
      <c r="B379" t="s">
        <v>11</v>
      </c>
      <c r="D379" t="s">
        <v>1273</v>
      </c>
      <c r="F379" t="str">
        <f>'Primary Care Activity'!B95</f>
        <v xml:space="preserve">Number of additional AHP Support Worker (WTE) posts since April 2023 (AHP £5m) </v>
      </c>
      <c r="G379">
        <f>'Primary Care Activity'!I95</f>
        <v>0</v>
      </c>
      <c r="H379">
        <f>'Primary Care Activity'!J95</f>
        <v>0</v>
      </c>
      <c r="I379">
        <f>'Primary Care Activity'!K95</f>
        <v>0</v>
      </c>
      <c r="J379">
        <f>'Primary Care Activity'!L95</f>
        <v>0</v>
      </c>
      <c r="K379">
        <f>'Primary Care Activity'!M95</f>
        <v>0</v>
      </c>
      <c r="L379">
        <f>'Primary Care Activity'!N95</f>
        <v>0</v>
      </c>
      <c r="M379">
        <f>'Primary Care Activity'!O95</f>
        <v>0</v>
      </c>
      <c r="N379">
        <f>'Primary Care Activity'!P95</f>
        <v>0</v>
      </c>
      <c r="O379">
        <f>'Primary Care Activity'!Q95</f>
        <v>0</v>
      </c>
      <c r="P379">
        <f>'Primary Care Activity'!R95</f>
        <v>0</v>
      </c>
      <c r="Q379">
        <f>'Primary Care Activity'!S95</f>
        <v>0</v>
      </c>
      <c r="R379">
        <f>'Primary Care Activity'!T95</f>
        <v>0</v>
      </c>
      <c r="S379">
        <f>'Primary Care Activity'!U95</f>
        <v>0</v>
      </c>
      <c r="AH379">
        <f>'Primary Care Activity'!C95</f>
        <v>0</v>
      </c>
      <c r="AI379">
        <f>'Primary Care Activity'!D95</f>
        <v>0</v>
      </c>
      <c r="AN379">
        <f>'Primary Care Activity'!E95</f>
        <v>0</v>
      </c>
      <c r="AO379">
        <f>'Primary Care Activity'!F95</f>
        <v>0</v>
      </c>
      <c r="AP379">
        <f>'Primary Care Activity'!G95</f>
        <v>0</v>
      </c>
      <c r="AU379">
        <f>'Primary Care Activity'!AI95</f>
        <v>0</v>
      </c>
      <c r="AV379">
        <f>'Primary Care Activity'!W95</f>
        <v>0</v>
      </c>
      <c r="AW379">
        <f>'Primary Care Activity'!X95</f>
        <v>0</v>
      </c>
      <c r="AX379">
        <f>'Primary Care Activity'!Y95</f>
        <v>0</v>
      </c>
      <c r="AY379">
        <f>'Primary Care Activity'!Z95</f>
        <v>0</v>
      </c>
      <c r="AZ379">
        <f>'Primary Care Activity'!AA95</f>
        <v>0</v>
      </c>
      <c r="BA379">
        <f>'Primary Care Activity'!AB95</f>
        <v>0</v>
      </c>
      <c r="BB379">
        <f>'Primary Care Activity'!AC95</f>
        <v>0</v>
      </c>
      <c r="BC379">
        <f>'Primary Care Activity'!AD95</f>
        <v>0</v>
      </c>
      <c r="BD379">
        <f>'Primary Care Activity'!AE95</f>
        <v>0</v>
      </c>
      <c r="BE379">
        <f>'Primary Care Activity'!AF95</f>
        <v>0</v>
      </c>
      <c r="BF379">
        <f>'Primary Care Activity'!AG95</f>
        <v>0</v>
      </c>
      <c r="BG379">
        <f>'Primary Care Activity'!AH95</f>
        <v>0</v>
      </c>
    </row>
    <row r="380" spans="1:59" hidden="1">
      <c r="A380" t="str">
        <f>'[1]Front Sheet and Checklist'!$C$5</f>
        <v>(please select from drop down)</v>
      </c>
      <c r="B380" t="s">
        <v>11</v>
      </c>
      <c r="F380">
        <f>'Primary Care Activity'!B96</f>
        <v>0</v>
      </c>
      <c r="G380">
        <f>'Primary Care Activity'!I96</f>
        <v>0</v>
      </c>
      <c r="H380">
        <f>'Primary Care Activity'!J96</f>
        <v>0</v>
      </c>
      <c r="I380">
        <f>'Primary Care Activity'!K96</f>
        <v>0</v>
      </c>
      <c r="J380">
        <f>'Primary Care Activity'!L96</f>
        <v>0</v>
      </c>
      <c r="K380">
        <f>'Primary Care Activity'!M96</f>
        <v>0</v>
      </c>
      <c r="L380">
        <f>'Primary Care Activity'!N96</f>
        <v>0</v>
      </c>
      <c r="M380">
        <f>'Primary Care Activity'!O96</f>
        <v>0</v>
      </c>
      <c r="N380">
        <f>'Primary Care Activity'!P96</f>
        <v>0</v>
      </c>
      <c r="O380">
        <f>'Primary Care Activity'!Q96</f>
        <v>0</v>
      </c>
      <c r="P380">
        <f>'Primary Care Activity'!R96</f>
        <v>0</v>
      </c>
      <c r="Q380">
        <f>'Primary Care Activity'!S96</f>
        <v>0</v>
      </c>
      <c r="R380">
        <f>'Primary Care Activity'!T96</f>
        <v>0</v>
      </c>
      <c r="S380">
        <f>'Primary Care Activity'!U96</f>
        <v>0</v>
      </c>
      <c r="AH380">
        <f>'Primary Care Activity'!C96</f>
        <v>0</v>
      </c>
      <c r="AI380">
        <f>'Primary Care Activity'!D96</f>
        <v>0</v>
      </c>
      <c r="AN380">
        <f>'Primary Care Activity'!E96</f>
        <v>0</v>
      </c>
      <c r="AO380">
        <f>'Primary Care Activity'!F96</f>
        <v>0</v>
      </c>
      <c r="AP380">
        <f>'Primary Care Activity'!G96</f>
        <v>0</v>
      </c>
      <c r="AU380">
        <f>'Primary Care Activity'!AI96</f>
        <v>0</v>
      </c>
      <c r="AV380">
        <f>'Primary Care Activity'!W96</f>
        <v>0</v>
      </c>
      <c r="AW380">
        <f>'Primary Care Activity'!X96</f>
        <v>0</v>
      </c>
      <c r="AX380">
        <f>'Primary Care Activity'!Y96</f>
        <v>0</v>
      </c>
      <c r="AY380">
        <f>'Primary Care Activity'!Z96</f>
        <v>0</v>
      </c>
      <c r="AZ380">
        <f>'Primary Care Activity'!AA96</f>
        <v>0</v>
      </c>
      <c r="BA380">
        <f>'Primary Care Activity'!AB96</f>
        <v>0</v>
      </c>
      <c r="BB380">
        <f>'Primary Care Activity'!AC96</f>
        <v>0</v>
      </c>
      <c r="BC380">
        <f>'Primary Care Activity'!AD96</f>
        <v>0</v>
      </c>
      <c r="BD380">
        <f>'Primary Care Activity'!AE96</f>
        <v>0</v>
      </c>
      <c r="BE380">
        <f>'Primary Care Activity'!AF96</f>
        <v>0</v>
      </c>
      <c r="BF380">
        <f>'Primary Care Activity'!AG96</f>
        <v>0</v>
      </c>
      <c r="BG380">
        <f>'Primary Care Activity'!AH96</f>
        <v>0</v>
      </c>
    </row>
    <row r="381" spans="1:59" hidden="1">
      <c r="A381" t="str">
        <f>'[1]Front Sheet and Checklist'!$C$5</f>
        <v>(please select from drop down)</v>
      </c>
      <c r="B381" t="s">
        <v>11</v>
      </c>
      <c r="D381" t="s">
        <v>1274</v>
      </c>
      <c r="F381" t="str">
        <f>'Primary Care Activity'!B97</f>
        <v>9. Pathway Measures</v>
      </c>
      <c r="G381">
        <f>'Primary Care Activity'!I97</f>
        <v>0</v>
      </c>
      <c r="H381">
        <f>'Primary Care Activity'!J97</f>
        <v>0</v>
      </c>
      <c r="I381">
        <f>'Primary Care Activity'!K97</f>
        <v>0</v>
      </c>
      <c r="J381">
        <f>'Primary Care Activity'!L97</f>
        <v>0</v>
      </c>
      <c r="K381">
        <f>'Primary Care Activity'!M97</f>
        <v>0</v>
      </c>
      <c r="L381">
        <f>'Primary Care Activity'!N97</f>
        <v>0</v>
      </c>
      <c r="M381">
        <f>'Primary Care Activity'!O97</f>
        <v>0</v>
      </c>
      <c r="N381">
        <f>'Primary Care Activity'!P97</f>
        <v>0</v>
      </c>
      <c r="O381">
        <f>'Primary Care Activity'!Q97</f>
        <v>0</v>
      </c>
      <c r="P381">
        <f>'Primary Care Activity'!R97</f>
        <v>0</v>
      </c>
      <c r="Q381">
        <f>'Primary Care Activity'!S97</f>
        <v>0</v>
      </c>
      <c r="R381">
        <f>'Primary Care Activity'!T97</f>
        <v>0</v>
      </c>
      <c r="S381">
        <f>'Primary Care Activity'!U97</f>
        <v>0</v>
      </c>
      <c r="AH381">
        <f>'Primary Care Activity'!C97</f>
        <v>0</v>
      </c>
      <c r="AI381">
        <f>'Primary Care Activity'!D97</f>
        <v>0</v>
      </c>
      <c r="AN381">
        <f>'Primary Care Activity'!E97</f>
        <v>0</v>
      </c>
      <c r="AO381">
        <f>'Primary Care Activity'!F97</f>
        <v>0</v>
      </c>
      <c r="AP381">
        <f>'Primary Care Activity'!G97</f>
        <v>0</v>
      </c>
      <c r="AU381">
        <f>'Primary Care Activity'!AI97</f>
        <v>0</v>
      </c>
      <c r="AV381">
        <f>'Primary Care Activity'!W97</f>
        <v>0</v>
      </c>
      <c r="AW381">
        <f>'Primary Care Activity'!X97</f>
        <v>0</v>
      </c>
      <c r="AX381">
        <f>'Primary Care Activity'!Y97</f>
        <v>0</v>
      </c>
      <c r="AY381">
        <f>'Primary Care Activity'!Z97</f>
        <v>0</v>
      </c>
      <c r="AZ381">
        <f>'Primary Care Activity'!AA97</f>
        <v>0</v>
      </c>
      <c r="BA381">
        <f>'Primary Care Activity'!AB97</f>
        <v>0</v>
      </c>
      <c r="BB381">
        <f>'Primary Care Activity'!AC97</f>
        <v>0</v>
      </c>
      <c r="BC381">
        <f>'Primary Care Activity'!AD97</f>
        <v>0</v>
      </c>
      <c r="BD381">
        <f>'Primary Care Activity'!AE97</f>
        <v>0</v>
      </c>
      <c r="BE381">
        <f>'Primary Care Activity'!AF97</f>
        <v>0</v>
      </c>
      <c r="BF381">
        <f>'Primary Care Activity'!AG97</f>
        <v>0</v>
      </c>
      <c r="BG381">
        <f>'Primary Care Activity'!AH97</f>
        <v>0</v>
      </c>
    </row>
    <row r="382" spans="1:59" hidden="1">
      <c r="A382" t="str">
        <f>'[1]Front Sheet and Checklist'!$C$5</f>
        <v>(please select from drop down)</v>
      </c>
      <c r="B382" t="s">
        <v>11</v>
      </c>
      <c r="D382" t="s">
        <v>1274</v>
      </c>
      <c r="F382" t="str">
        <f>'Primary Care Activity'!B98</f>
        <v xml:space="preserve">% of Babies six week check complete </v>
      </c>
      <c r="G382">
        <f>'Primary Care Activity'!I98</f>
        <v>0</v>
      </c>
      <c r="H382">
        <f>'Primary Care Activity'!J98</f>
        <v>0</v>
      </c>
      <c r="I382">
        <f>'Primary Care Activity'!K98</f>
        <v>0</v>
      </c>
      <c r="J382">
        <f>'Primary Care Activity'!L98</f>
        <v>0</v>
      </c>
      <c r="K382">
        <f>'Primary Care Activity'!M98</f>
        <v>0</v>
      </c>
      <c r="L382">
        <f>'Primary Care Activity'!N98</f>
        <v>0</v>
      </c>
      <c r="M382">
        <f>'Primary Care Activity'!O98</f>
        <v>0</v>
      </c>
      <c r="N382">
        <f>'Primary Care Activity'!P98</f>
        <v>0</v>
      </c>
      <c r="O382">
        <f>'Primary Care Activity'!Q98</f>
        <v>0</v>
      </c>
      <c r="P382">
        <f>'Primary Care Activity'!R98</f>
        <v>0</v>
      </c>
      <c r="Q382">
        <f>'Primary Care Activity'!S98</f>
        <v>0</v>
      </c>
      <c r="R382">
        <f>'Primary Care Activity'!T98</f>
        <v>0</v>
      </c>
      <c r="S382">
        <f>'Primary Care Activity'!U98</f>
        <v>0</v>
      </c>
      <c r="AH382">
        <f>'Primary Care Activity'!C98</f>
        <v>0</v>
      </c>
      <c r="AI382">
        <f>'Primary Care Activity'!D98</f>
        <v>0</v>
      </c>
      <c r="AN382">
        <f>'Primary Care Activity'!E98</f>
        <v>0</v>
      </c>
      <c r="AO382">
        <f>'Primary Care Activity'!F98</f>
        <v>0</v>
      </c>
      <c r="AP382">
        <f>'Primary Care Activity'!G98</f>
        <v>0</v>
      </c>
      <c r="AU382">
        <f>'Primary Care Activity'!AI98</f>
        <v>0</v>
      </c>
      <c r="AV382">
        <f>'Primary Care Activity'!W98</f>
        <v>0</v>
      </c>
      <c r="AW382">
        <f>'Primary Care Activity'!X98</f>
        <v>0</v>
      </c>
      <c r="AX382">
        <f>'Primary Care Activity'!Y98</f>
        <v>0</v>
      </c>
      <c r="AY382">
        <f>'Primary Care Activity'!Z98</f>
        <v>0</v>
      </c>
      <c r="AZ382">
        <f>'Primary Care Activity'!AA98</f>
        <v>0</v>
      </c>
      <c r="BA382">
        <f>'Primary Care Activity'!AB98</f>
        <v>0</v>
      </c>
      <c r="BB382">
        <f>'Primary Care Activity'!AC98</f>
        <v>0</v>
      </c>
      <c r="BC382">
        <f>'Primary Care Activity'!AD98</f>
        <v>0</v>
      </c>
      <c r="BD382">
        <f>'Primary Care Activity'!AE98</f>
        <v>0</v>
      </c>
      <c r="BE382">
        <f>'Primary Care Activity'!AF98</f>
        <v>0</v>
      </c>
      <c r="BF382">
        <f>'Primary Care Activity'!AG98</f>
        <v>0</v>
      </c>
      <c r="BG382">
        <f>'Primary Care Activity'!AH98</f>
        <v>0</v>
      </c>
    </row>
    <row r="383" spans="1:59" hidden="1">
      <c r="A383" t="str">
        <f>'[1]Front Sheet and Checklist'!$C$5</f>
        <v>(please select from drop down)</v>
      </c>
      <c r="B383" t="s">
        <v>11</v>
      </c>
      <c r="D383" t="s">
        <v>1274</v>
      </c>
      <c r="F383" t="str">
        <f>'Primary Care Activity'!B99</f>
        <v xml:space="preserve">Proportion of diabetes patients that have received all eight diabetes care processes </v>
      </c>
      <c r="G383">
        <f>'Primary Care Activity'!I99</f>
        <v>0</v>
      </c>
      <c r="H383">
        <f>'Primary Care Activity'!J99</f>
        <v>0</v>
      </c>
      <c r="I383">
        <f>'Primary Care Activity'!K99</f>
        <v>0</v>
      </c>
      <c r="J383">
        <f>'Primary Care Activity'!L99</f>
        <v>0</v>
      </c>
      <c r="K383">
        <f>'Primary Care Activity'!M99</f>
        <v>0</v>
      </c>
      <c r="L383">
        <f>'Primary Care Activity'!N99</f>
        <v>0</v>
      </c>
      <c r="M383">
        <f>'Primary Care Activity'!O99</f>
        <v>0</v>
      </c>
      <c r="N383">
        <f>'Primary Care Activity'!P99</f>
        <v>0</v>
      </c>
      <c r="O383">
        <f>'Primary Care Activity'!Q99</f>
        <v>0</v>
      </c>
      <c r="P383">
        <f>'Primary Care Activity'!R99</f>
        <v>0</v>
      </c>
      <c r="Q383">
        <f>'Primary Care Activity'!S99</f>
        <v>0</v>
      </c>
      <c r="R383">
        <f>'Primary Care Activity'!T99</f>
        <v>0</v>
      </c>
      <c r="S383">
        <f>'Primary Care Activity'!U99</f>
        <v>0</v>
      </c>
      <c r="AH383">
        <f>'Primary Care Activity'!C99</f>
        <v>0</v>
      </c>
      <c r="AI383">
        <f>'Primary Care Activity'!D99</f>
        <v>0</v>
      </c>
      <c r="AN383">
        <f>'Primary Care Activity'!E99</f>
        <v>0</v>
      </c>
      <c r="AO383">
        <f>'Primary Care Activity'!F99</f>
        <v>0</v>
      </c>
      <c r="AP383">
        <f>'Primary Care Activity'!G99</f>
        <v>0</v>
      </c>
      <c r="AU383">
        <f>'Primary Care Activity'!AI99</f>
        <v>0.83209999999999995</v>
      </c>
      <c r="AV383">
        <f>'Primary Care Activity'!W99</f>
        <v>0</v>
      </c>
      <c r="AW383">
        <f>'Primary Care Activity'!X99</f>
        <v>0</v>
      </c>
      <c r="AX383">
        <f>'Primary Care Activity'!Y99</f>
        <v>0.41</v>
      </c>
      <c r="AY383">
        <f>'Primary Care Activity'!Z99</f>
        <v>0</v>
      </c>
      <c r="AZ383">
        <f>'Primary Care Activity'!AA99</f>
        <v>0</v>
      </c>
      <c r="BA383">
        <f>'Primary Care Activity'!AB99</f>
        <v>0.42209999999999998</v>
      </c>
      <c r="BB383">
        <f>'Primary Care Activity'!AC99</f>
        <v>0</v>
      </c>
      <c r="BC383">
        <f>'Primary Care Activity'!AD99</f>
        <v>0</v>
      </c>
      <c r="BD383">
        <f>'Primary Care Activity'!AE99</f>
        <v>0</v>
      </c>
      <c r="BE383">
        <f>'Primary Care Activity'!AF99</f>
        <v>0</v>
      </c>
      <c r="BF383">
        <f>'Primary Care Activity'!AG99</f>
        <v>0</v>
      </c>
      <c r="BG383">
        <f>'Primary Care Activity'!AH99</f>
        <v>0</v>
      </c>
    </row>
    <row r="384" spans="1:59" hidden="1">
      <c r="A384" t="str">
        <f>'[1]Front Sheet and Checklist'!$C$5</f>
        <v>(please select from drop down)</v>
      </c>
      <c r="B384" t="s">
        <v>11</v>
      </c>
      <c r="D384" t="s">
        <v>1274</v>
      </c>
      <c r="F384" t="str">
        <f>'Primary Care Activity'!B100</f>
        <v xml:space="preserve">Proportion of diabetes patients that have received all four treatment to target outcomes </v>
      </c>
      <c r="G384">
        <f>'Primary Care Activity'!I100</f>
        <v>0</v>
      </c>
      <c r="H384">
        <f>'Primary Care Activity'!J100</f>
        <v>0</v>
      </c>
      <c r="I384">
        <f>'Primary Care Activity'!K100</f>
        <v>0</v>
      </c>
      <c r="J384">
        <f>'Primary Care Activity'!L100</f>
        <v>0</v>
      </c>
      <c r="K384">
        <f>'Primary Care Activity'!M100</f>
        <v>0</v>
      </c>
      <c r="L384">
        <f>'Primary Care Activity'!N100</f>
        <v>0</v>
      </c>
      <c r="M384">
        <f>'Primary Care Activity'!O100</f>
        <v>0</v>
      </c>
      <c r="N384">
        <f>'Primary Care Activity'!P100</f>
        <v>0</v>
      </c>
      <c r="O384">
        <f>'Primary Care Activity'!Q100</f>
        <v>0</v>
      </c>
      <c r="P384">
        <f>'Primary Care Activity'!R100</f>
        <v>0</v>
      </c>
      <c r="Q384">
        <f>'Primary Care Activity'!S100</f>
        <v>0</v>
      </c>
      <c r="R384">
        <f>'Primary Care Activity'!T100</f>
        <v>0</v>
      </c>
      <c r="S384">
        <f>'Primary Care Activity'!U100</f>
        <v>0</v>
      </c>
      <c r="AH384">
        <f>'Primary Care Activity'!C100</f>
        <v>0</v>
      </c>
      <c r="AI384">
        <f>'Primary Care Activity'!D100</f>
        <v>0</v>
      </c>
      <c r="AN384">
        <f>'Primary Care Activity'!E100</f>
        <v>0</v>
      </c>
      <c r="AO384">
        <f>'Primary Care Activity'!F100</f>
        <v>0</v>
      </c>
      <c r="AP384">
        <f>'Primary Care Activity'!G100</f>
        <v>0</v>
      </c>
      <c r="AU384">
        <f>'Primary Care Activity'!AI100</f>
        <v>0</v>
      </c>
      <c r="AV384">
        <f>'Primary Care Activity'!W100</f>
        <v>0</v>
      </c>
      <c r="AW384">
        <f>'Primary Care Activity'!X100</f>
        <v>0</v>
      </c>
      <c r="AX384">
        <f>'Primary Care Activity'!Y100</f>
        <v>0</v>
      </c>
      <c r="AY384">
        <f>'Primary Care Activity'!Z100</f>
        <v>0</v>
      </c>
      <c r="AZ384">
        <f>'Primary Care Activity'!AA100</f>
        <v>0</v>
      </c>
      <c r="BA384">
        <f>'Primary Care Activity'!AB100</f>
        <v>0</v>
      </c>
      <c r="BB384">
        <f>'Primary Care Activity'!AC100</f>
        <v>0</v>
      </c>
      <c r="BC384">
        <f>'Primary Care Activity'!AD100</f>
        <v>0</v>
      </c>
      <c r="BD384">
        <f>'Primary Care Activity'!AE100</f>
        <v>0</v>
      </c>
      <c r="BE384">
        <f>'Primary Care Activity'!AF100</f>
        <v>0</v>
      </c>
      <c r="BF384">
        <f>'Primary Care Activity'!AG100</f>
        <v>0</v>
      </c>
      <c r="BG384">
        <f>'Primary Care Activity'!AH100</f>
        <v>0</v>
      </c>
    </row>
    <row r="385" spans="1:59" hidden="1">
      <c r="A385" t="str">
        <f>'[1]Front Sheet and Checklist'!$C$5</f>
        <v>(please select from drop down)</v>
      </c>
      <c r="B385" t="s">
        <v>11</v>
      </c>
      <c r="D385" t="s">
        <v>1274</v>
      </c>
      <c r="F385" t="str">
        <f>'Primary Care Activity'!B101</f>
        <v xml:space="preserve">Number of Healthy Days at Home </v>
      </c>
      <c r="G385">
        <f>'Primary Care Activity'!I101</f>
        <v>0</v>
      </c>
      <c r="H385">
        <f>'Primary Care Activity'!J101</f>
        <v>0</v>
      </c>
      <c r="I385">
        <f>'Primary Care Activity'!K101</f>
        <v>0</v>
      </c>
      <c r="J385">
        <f>'Primary Care Activity'!L101</f>
        <v>0</v>
      </c>
      <c r="K385">
        <f>'Primary Care Activity'!M101</f>
        <v>0</v>
      </c>
      <c r="L385">
        <f>'Primary Care Activity'!N101</f>
        <v>0</v>
      </c>
      <c r="M385">
        <f>'Primary Care Activity'!O101</f>
        <v>0</v>
      </c>
      <c r="N385">
        <f>'Primary Care Activity'!P101</f>
        <v>0</v>
      </c>
      <c r="O385">
        <f>'Primary Care Activity'!Q101</f>
        <v>0</v>
      </c>
      <c r="P385">
        <f>'Primary Care Activity'!R101</f>
        <v>0</v>
      </c>
      <c r="Q385">
        <f>'Primary Care Activity'!S101</f>
        <v>0</v>
      </c>
      <c r="R385">
        <f>'Primary Care Activity'!T101</f>
        <v>0</v>
      </c>
      <c r="S385">
        <f>'Primary Care Activity'!U101</f>
        <v>0</v>
      </c>
      <c r="AH385">
        <f>'Primary Care Activity'!C101</f>
        <v>0</v>
      </c>
      <c r="AI385">
        <f>'Primary Care Activity'!D101</f>
        <v>0</v>
      </c>
      <c r="AN385">
        <f>'Primary Care Activity'!E101</f>
        <v>0</v>
      </c>
      <c r="AO385">
        <f>'Primary Care Activity'!F101</f>
        <v>0</v>
      </c>
      <c r="AP385">
        <f>'Primary Care Activity'!G101</f>
        <v>0</v>
      </c>
      <c r="AU385">
        <f>'Primary Care Activity'!AI101</f>
        <v>0</v>
      </c>
      <c r="AV385">
        <f>'Primary Care Activity'!W101</f>
        <v>0</v>
      </c>
      <c r="AW385">
        <f>'Primary Care Activity'!X101</f>
        <v>0</v>
      </c>
      <c r="AX385">
        <f>'Primary Care Activity'!Y101</f>
        <v>0</v>
      </c>
      <c r="AY385">
        <f>'Primary Care Activity'!Z101</f>
        <v>0</v>
      </c>
      <c r="AZ385">
        <f>'Primary Care Activity'!AA101</f>
        <v>0</v>
      </c>
      <c r="BA385">
        <f>'Primary Care Activity'!AB101</f>
        <v>0</v>
      </c>
      <c r="BB385">
        <f>'Primary Care Activity'!AC101</f>
        <v>0</v>
      </c>
      <c r="BC385">
        <f>'Primary Care Activity'!AD101</f>
        <v>0</v>
      </c>
      <c r="BD385">
        <f>'Primary Care Activity'!AE101</f>
        <v>0</v>
      </c>
      <c r="BE385">
        <f>'Primary Care Activity'!AF101</f>
        <v>0</v>
      </c>
      <c r="BF385">
        <f>'Primary Care Activity'!AG101</f>
        <v>0</v>
      </c>
      <c r="BG385">
        <f>'Primary Care Activity'!AH101</f>
        <v>0</v>
      </c>
    </row>
    <row r="386" spans="1:59" hidden="1">
      <c r="A386" t="str">
        <f>'[1]Front Sheet and Checklist'!$C$5</f>
        <v>(please select from drop down)</v>
      </c>
      <c r="B386" t="s">
        <v>11</v>
      </c>
      <c r="D386" t="s">
        <v>1274</v>
      </c>
      <c r="F386" t="str">
        <f>'Primary Care Activity'!B102</f>
        <v>Total number of tests relating to sexual health conditions (Syphilis and Chlamydia)</v>
      </c>
      <c r="G386">
        <f>'Primary Care Activity'!I102</f>
        <v>2927</v>
      </c>
      <c r="H386">
        <f>'Primary Care Activity'!J102</f>
        <v>2927</v>
      </c>
      <c r="I386">
        <f>'Primary Care Activity'!K102</f>
        <v>2927</v>
      </c>
      <c r="J386">
        <f>'Primary Care Activity'!L102</f>
        <v>2927</v>
      </c>
      <c r="K386">
        <f>'Primary Care Activity'!M102</f>
        <v>2927</v>
      </c>
      <c r="L386">
        <f>'Primary Care Activity'!N102</f>
        <v>2927</v>
      </c>
      <c r="M386">
        <f>'Primary Care Activity'!O102</f>
        <v>2927</v>
      </c>
      <c r="N386">
        <f>'Primary Care Activity'!P102</f>
        <v>2927</v>
      </c>
      <c r="O386">
        <f>'Primary Care Activity'!Q102</f>
        <v>2927</v>
      </c>
      <c r="P386">
        <f>'Primary Care Activity'!R102</f>
        <v>2927</v>
      </c>
      <c r="Q386">
        <f>'Primary Care Activity'!S102</f>
        <v>2927</v>
      </c>
      <c r="R386">
        <f>'Primary Care Activity'!T102</f>
        <v>2927</v>
      </c>
      <c r="S386">
        <f>'Primary Care Activity'!U102</f>
        <v>35124</v>
      </c>
      <c r="AH386">
        <f>'Primary Care Activity'!C102</f>
        <v>28407</v>
      </c>
      <c r="AI386">
        <f>'Primary Care Activity'!D102</f>
        <v>35122</v>
      </c>
      <c r="AN386">
        <f>'Primary Care Activity'!E102</f>
        <v>35124</v>
      </c>
      <c r="AO386">
        <f>'Primary Care Activity'!F102</f>
        <v>0</v>
      </c>
      <c r="AP386">
        <f>'Primary Care Activity'!G102</f>
        <v>0</v>
      </c>
      <c r="AU386">
        <f>'Primary Care Activity'!AI102</f>
        <v>9841</v>
      </c>
      <c r="AV386">
        <f>'Primary Care Activity'!W102</f>
        <v>2929</v>
      </c>
      <c r="AW386">
        <f>'Primary Care Activity'!X102</f>
        <v>3488</v>
      </c>
      <c r="AX386">
        <f>'Primary Care Activity'!Y102</f>
        <v>3424</v>
      </c>
      <c r="AY386">
        <f>'Primary Care Activity'!Z102</f>
        <v>0</v>
      </c>
      <c r="AZ386">
        <f>'Primary Care Activity'!AA102</f>
        <v>0</v>
      </c>
      <c r="BA386">
        <f>'Primary Care Activity'!AB102</f>
        <v>0</v>
      </c>
      <c r="BB386">
        <f>'Primary Care Activity'!AC102</f>
        <v>0</v>
      </c>
      <c r="BC386">
        <f>'Primary Care Activity'!AD102</f>
        <v>0</v>
      </c>
      <c r="BD386">
        <f>'Primary Care Activity'!AE102</f>
        <v>0</v>
      </c>
      <c r="BE386">
        <f>'Primary Care Activity'!AF102</f>
        <v>0</v>
      </c>
      <c r="BF386">
        <f>'Primary Care Activity'!AG102</f>
        <v>0</v>
      </c>
      <c r="BG386">
        <f>'Primary Care Activity'!AH102</f>
        <v>0</v>
      </c>
    </row>
    <row r="387" spans="1:59" hidden="1">
      <c r="A387" t="str">
        <f>'[1]Front Sheet and Checklist'!$C$5</f>
        <v>(please select from drop down)</v>
      </c>
      <c r="B387" t="s">
        <v>11</v>
      </c>
      <c r="D387" t="s">
        <v>1274</v>
      </c>
      <c r="F387" t="str">
        <f>'Primary Care Activity'!B103</f>
        <v>Number of patients who die in the community (planned deaths – e.g. having used rapid discharge/ palliative care teams / community resources etc.)</v>
      </c>
      <c r="G387">
        <f>'Primary Care Activity'!I103</f>
        <v>0</v>
      </c>
      <c r="H387">
        <f>'Primary Care Activity'!J103</f>
        <v>0</v>
      </c>
      <c r="I387">
        <f>'Primary Care Activity'!K103</f>
        <v>0</v>
      </c>
      <c r="J387">
        <f>'Primary Care Activity'!L103</f>
        <v>0</v>
      </c>
      <c r="K387">
        <f>'Primary Care Activity'!M103</f>
        <v>0</v>
      </c>
      <c r="L387">
        <f>'Primary Care Activity'!N103</f>
        <v>0</v>
      </c>
      <c r="M387">
        <f>'Primary Care Activity'!O103</f>
        <v>0</v>
      </c>
      <c r="N387">
        <f>'Primary Care Activity'!P103</f>
        <v>0</v>
      </c>
      <c r="O387">
        <f>'Primary Care Activity'!Q103</f>
        <v>0</v>
      </c>
      <c r="P387">
        <f>'Primary Care Activity'!R103</f>
        <v>0</v>
      </c>
      <c r="Q387">
        <f>'Primary Care Activity'!S103</f>
        <v>0</v>
      </c>
      <c r="R387">
        <f>'Primary Care Activity'!T103</f>
        <v>0</v>
      </c>
      <c r="S387">
        <f>'Primary Care Activity'!U103</f>
        <v>0</v>
      </c>
      <c r="AH387">
        <f>'Primary Care Activity'!C103</f>
        <v>0</v>
      </c>
      <c r="AI387">
        <f>'Primary Care Activity'!D103</f>
        <v>0</v>
      </c>
      <c r="AN387">
        <f>'Primary Care Activity'!E103</f>
        <v>0</v>
      </c>
      <c r="AO387">
        <f>'Primary Care Activity'!F103</f>
        <v>0</v>
      </c>
      <c r="AP387">
        <f>'Primary Care Activity'!G103</f>
        <v>0</v>
      </c>
      <c r="AU387">
        <f>'Primary Care Activity'!AI103</f>
        <v>0</v>
      </c>
      <c r="AV387">
        <f>'Primary Care Activity'!W103</f>
        <v>0</v>
      </c>
      <c r="AW387">
        <f>'Primary Care Activity'!X103</f>
        <v>0</v>
      </c>
      <c r="AX387">
        <f>'Primary Care Activity'!Y103</f>
        <v>0</v>
      </c>
      <c r="AY387">
        <f>'Primary Care Activity'!Z103</f>
        <v>0</v>
      </c>
      <c r="AZ387">
        <f>'Primary Care Activity'!AA103</f>
        <v>0</v>
      </c>
      <c r="BA387">
        <f>'Primary Care Activity'!AB103</f>
        <v>0</v>
      </c>
      <c r="BB387">
        <f>'Primary Care Activity'!AC103</f>
        <v>0</v>
      </c>
      <c r="BC387">
        <f>'Primary Care Activity'!AD103</f>
        <v>0</v>
      </c>
      <c r="BD387">
        <f>'Primary Care Activity'!AE103</f>
        <v>0</v>
      </c>
      <c r="BE387">
        <f>'Primary Care Activity'!AF103</f>
        <v>0</v>
      </c>
      <c r="BF387">
        <f>'Primary Care Activity'!AG103</f>
        <v>0</v>
      </c>
      <c r="BG387">
        <f>'Primary Care Activity'!AH103</f>
        <v>0</v>
      </c>
    </row>
    <row r="388" spans="1:59" hidden="1">
      <c r="A388" t="str">
        <f>'[1]Front Sheet and Checklist'!$C$5</f>
        <v>(please select from drop down)</v>
      </c>
      <c r="B388" t="s">
        <v>11</v>
      </c>
      <c r="D388" t="s">
        <v>1274</v>
      </c>
      <c r="F388" t="str">
        <f>'Primary Care Activity'!B104</f>
        <v>Planned increase in the proportion of patients discharged from hospital to their usual place of residence</v>
      </c>
      <c r="G388">
        <f>'Primary Care Activity'!I104</f>
        <v>0</v>
      </c>
      <c r="H388">
        <f>'Primary Care Activity'!J104</f>
        <v>0</v>
      </c>
      <c r="I388">
        <f>'Primary Care Activity'!K104</f>
        <v>0</v>
      </c>
      <c r="J388">
        <f>'Primary Care Activity'!L104</f>
        <v>0</v>
      </c>
      <c r="K388">
        <f>'Primary Care Activity'!M104</f>
        <v>0</v>
      </c>
      <c r="L388">
        <f>'Primary Care Activity'!N104</f>
        <v>0</v>
      </c>
      <c r="M388">
        <f>'Primary Care Activity'!O104</f>
        <v>0</v>
      </c>
      <c r="N388">
        <f>'Primary Care Activity'!P104</f>
        <v>0</v>
      </c>
      <c r="O388">
        <f>'Primary Care Activity'!Q104</f>
        <v>0</v>
      </c>
      <c r="P388">
        <f>'Primary Care Activity'!R104</f>
        <v>0</v>
      </c>
      <c r="Q388">
        <f>'Primary Care Activity'!S104</f>
        <v>0</v>
      </c>
      <c r="R388">
        <f>'Primary Care Activity'!T104</f>
        <v>0</v>
      </c>
      <c r="S388">
        <f>'Primary Care Activity'!U104</f>
        <v>0</v>
      </c>
      <c r="AH388">
        <f>'Primary Care Activity'!C104</f>
        <v>0</v>
      </c>
      <c r="AI388">
        <f>'Primary Care Activity'!D104</f>
        <v>0</v>
      </c>
      <c r="AN388">
        <f>'Primary Care Activity'!E104</f>
        <v>0</v>
      </c>
      <c r="AO388">
        <f>'Primary Care Activity'!F104</f>
        <v>0</v>
      </c>
      <c r="AP388">
        <f>'Primary Care Activity'!G104</f>
        <v>0</v>
      </c>
      <c r="AU388">
        <f>'Primary Care Activity'!AI104</f>
        <v>0</v>
      </c>
      <c r="AV388">
        <f>'Primary Care Activity'!W104</f>
        <v>0</v>
      </c>
      <c r="AW388">
        <f>'Primary Care Activity'!X104</f>
        <v>0</v>
      </c>
      <c r="AX388">
        <f>'Primary Care Activity'!Y104</f>
        <v>0</v>
      </c>
      <c r="AY388">
        <f>'Primary Care Activity'!Z104</f>
        <v>0</v>
      </c>
      <c r="AZ388">
        <f>'Primary Care Activity'!AA104</f>
        <v>0</v>
      </c>
      <c r="BA388">
        <f>'Primary Care Activity'!AB104</f>
        <v>0</v>
      </c>
      <c r="BB388">
        <f>'Primary Care Activity'!AC104</f>
        <v>0</v>
      </c>
      <c r="BC388">
        <f>'Primary Care Activity'!AD104</f>
        <v>0</v>
      </c>
      <c r="BD388">
        <f>'Primary Care Activity'!AE104</f>
        <v>0</v>
      </c>
      <c r="BE388">
        <f>'Primary Care Activity'!AF104</f>
        <v>0</v>
      </c>
      <c r="BF388">
        <f>'Primary Care Activity'!AG104</f>
        <v>0</v>
      </c>
      <c r="BG388">
        <f>'Primary Care Activity'!AH104</f>
        <v>0</v>
      </c>
    </row>
    <row r="389" spans="1:59" hidden="1">
      <c r="A389" t="str">
        <f>'[1]Front Sheet and Checklist'!$C$5</f>
        <v>(please select from drop down)</v>
      </c>
      <c r="B389" t="s">
        <v>11</v>
      </c>
      <c r="F389">
        <f>'Primary Care Activity'!B105</f>
        <v>0</v>
      </c>
      <c r="G389">
        <f>'Primary Care Activity'!I105</f>
        <v>0</v>
      </c>
      <c r="H389">
        <f>'Primary Care Activity'!J105</f>
        <v>0</v>
      </c>
      <c r="I389">
        <f>'Primary Care Activity'!K105</f>
        <v>0</v>
      </c>
      <c r="J389">
        <f>'Primary Care Activity'!L105</f>
        <v>0</v>
      </c>
      <c r="K389">
        <f>'Primary Care Activity'!M105</f>
        <v>0</v>
      </c>
      <c r="L389">
        <f>'Primary Care Activity'!N105</f>
        <v>0</v>
      </c>
      <c r="M389">
        <f>'Primary Care Activity'!O105</f>
        <v>0</v>
      </c>
      <c r="N389">
        <f>'Primary Care Activity'!P105</f>
        <v>0</v>
      </c>
      <c r="O389">
        <f>'Primary Care Activity'!Q105</f>
        <v>0</v>
      </c>
      <c r="P389">
        <f>'Primary Care Activity'!R105</f>
        <v>0</v>
      </c>
      <c r="Q389">
        <f>'Primary Care Activity'!S105</f>
        <v>0</v>
      </c>
      <c r="R389">
        <f>'Primary Care Activity'!T105</f>
        <v>0</v>
      </c>
      <c r="S389">
        <f>'Primary Care Activity'!U105</f>
        <v>0</v>
      </c>
      <c r="AH389">
        <f>'Primary Care Activity'!C105</f>
        <v>0</v>
      </c>
      <c r="AI389">
        <f>'Primary Care Activity'!D105</f>
        <v>0</v>
      </c>
      <c r="AN389">
        <f>'Primary Care Activity'!E105</f>
        <v>0</v>
      </c>
      <c r="AO389">
        <f>'Primary Care Activity'!F105</f>
        <v>0</v>
      </c>
      <c r="AP389">
        <f>'Primary Care Activity'!G105</f>
        <v>0</v>
      </c>
      <c r="AU389">
        <f>'Primary Care Activity'!AI105</f>
        <v>0</v>
      </c>
      <c r="AV389">
        <f>'Primary Care Activity'!W105</f>
        <v>0</v>
      </c>
      <c r="AW389">
        <f>'Primary Care Activity'!X105</f>
        <v>0</v>
      </c>
      <c r="AX389">
        <f>'Primary Care Activity'!Y105</f>
        <v>0</v>
      </c>
      <c r="AY389">
        <f>'Primary Care Activity'!Z105</f>
        <v>0</v>
      </c>
      <c r="AZ389">
        <f>'Primary Care Activity'!AA105</f>
        <v>0</v>
      </c>
      <c r="BA389">
        <f>'Primary Care Activity'!AB105</f>
        <v>0</v>
      </c>
      <c r="BB389">
        <f>'Primary Care Activity'!AC105</f>
        <v>0</v>
      </c>
      <c r="BC389">
        <f>'Primary Care Activity'!AD105</f>
        <v>0</v>
      </c>
      <c r="BD389">
        <f>'Primary Care Activity'!AE105</f>
        <v>0</v>
      </c>
      <c r="BE389">
        <f>'Primary Care Activity'!AF105</f>
        <v>0</v>
      </c>
      <c r="BF389">
        <f>'Primary Care Activity'!AG105</f>
        <v>0</v>
      </c>
      <c r="BG389">
        <f>'Primary Care Activity'!AH105</f>
        <v>0</v>
      </c>
    </row>
    <row r="390" spans="1:59" hidden="1">
      <c r="A390" t="str">
        <f>'[1]Front Sheet and Checklist'!$C$5</f>
        <v>(please select from drop down)</v>
      </c>
      <c r="B390" t="s">
        <v>11</v>
      </c>
      <c r="D390" t="s">
        <v>1275</v>
      </c>
      <c r="F390" t="str">
        <f>'Primary Care Activity'!B106</f>
        <v>10. Cross Cutting Measures</v>
      </c>
      <c r="G390">
        <f>'Primary Care Activity'!I106</f>
        <v>0</v>
      </c>
      <c r="H390">
        <f>'Primary Care Activity'!J106</f>
        <v>0</v>
      </c>
      <c r="I390">
        <f>'Primary Care Activity'!K106</f>
        <v>0</v>
      </c>
      <c r="J390">
        <f>'Primary Care Activity'!L106</f>
        <v>0</v>
      </c>
      <c r="K390">
        <f>'Primary Care Activity'!M106</f>
        <v>0</v>
      </c>
      <c r="L390">
        <f>'Primary Care Activity'!N106</f>
        <v>0</v>
      </c>
      <c r="M390">
        <f>'Primary Care Activity'!O106</f>
        <v>0</v>
      </c>
      <c r="N390">
        <f>'Primary Care Activity'!P106</f>
        <v>0</v>
      </c>
      <c r="O390">
        <f>'Primary Care Activity'!Q106</f>
        <v>0</v>
      </c>
      <c r="P390">
        <f>'Primary Care Activity'!R106</f>
        <v>0</v>
      </c>
      <c r="Q390">
        <f>'Primary Care Activity'!S106</f>
        <v>0</v>
      </c>
      <c r="R390">
        <f>'Primary Care Activity'!T106</f>
        <v>0</v>
      </c>
      <c r="S390">
        <f>'Primary Care Activity'!U106</f>
        <v>0</v>
      </c>
      <c r="AH390">
        <f>'Primary Care Activity'!C106</f>
        <v>0</v>
      </c>
      <c r="AI390">
        <f>'Primary Care Activity'!D106</f>
        <v>0</v>
      </c>
      <c r="AN390">
        <f>'Primary Care Activity'!E106</f>
        <v>0</v>
      </c>
      <c r="AO390">
        <f>'Primary Care Activity'!F106</f>
        <v>0</v>
      </c>
      <c r="AP390">
        <f>'Primary Care Activity'!G106</f>
        <v>0</v>
      </c>
      <c r="AU390">
        <f>'Primary Care Activity'!AI106</f>
        <v>0</v>
      </c>
      <c r="AV390">
        <f>'Primary Care Activity'!W106</f>
        <v>0</v>
      </c>
      <c r="AW390">
        <f>'Primary Care Activity'!X106</f>
        <v>0</v>
      </c>
      <c r="AX390">
        <f>'Primary Care Activity'!Y106</f>
        <v>0</v>
      </c>
      <c r="AY390">
        <f>'Primary Care Activity'!Z106</f>
        <v>0</v>
      </c>
      <c r="AZ390">
        <f>'Primary Care Activity'!AA106</f>
        <v>0</v>
      </c>
      <c r="BA390">
        <f>'Primary Care Activity'!AB106</f>
        <v>0</v>
      </c>
      <c r="BB390">
        <f>'Primary Care Activity'!AC106</f>
        <v>0</v>
      </c>
      <c r="BC390">
        <f>'Primary Care Activity'!AD106</f>
        <v>0</v>
      </c>
      <c r="BD390">
        <f>'Primary Care Activity'!AE106</f>
        <v>0</v>
      </c>
      <c r="BE390">
        <f>'Primary Care Activity'!AF106</f>
        <v>0</v>
      </c>
      <c r="BF390">
        <f>'Primary Care Activity'!AG106</f>
        <v>0</v>
      </c>
      <c r="BG390">
        <f>'Primary Care Activity'!AH106</f>
        <v>0</v>
      </c>
    </row>
    <row r="391" spans="1:59" hidden="1">
      <c r="A391" t="str">
        <f>'[1]Front Sheet and Checklist'!$C$5</f>
        <v>(please select from drop down)</v>
      </c>
      <c r="B391" t="s">
        <v>11</v>
      </c>
      <c r="D391" t="s">
        <v>1275</v>
      </c>
      <c r="F391" t="str">
        <f>'Primary Care Activity'!B107</f>
        <v xml:space="preserve">Percentage of GMS practices engaged in Accelerated Cluster Development </v>
      </c>
      <c r="G391">
        <f>'Primary Care Activity'!I107</f>
        <v>0</v>
      </c>
      <c r="H391">
        <f>'Primary Care Activity'!J107</f>
        <v>0</v>
      </c>
      <c r="I391">
        <f>'Primary Care Activity'!K107</f>
        <v>0</v>
      </c>
      <c r="J391">
        <f>'Primary Care Activity'!L107</f>
        <v>0</v>
      </c>
      <c r="K391">
        <f>'Primary Care Activity'!M107</f>
        <v>0</v>
      </c>
      <c r="L391">
        <f>'Primary Care Activity'!N107</f>
        <v>0</v>
      </c>
      <c r="M391">
        <f>'Primary Care Activity'!O107</f>
        <v>0</v>
      </c>
      <c r="N391">
        <f>'Primary Care Activity'!P107</f>
        <v>0</v>
      </c>
      <c r="O391">
        <f>'Primary Care Activity'!Q107</f>
        <v>0</v>
      </c>
      <c r="P391">
        <f>'Primary Care Activity'!R107</f>
        <v>0</v>
      </c>
      <c r="Q391">
        <f>'Primary Care Activity'!S107</f>
        <v>0</v>
      </c>
      <c r="R391">
        <f>'Primary Care Activity'!T107</f>
        <v>0</v>
      </c>
      <c r="S391">
        <f>'Primary Care Activity'!U107</f>
        <v>0</v>
      </c>
      <c r="AH391">
        <f>'Primary Care Activity'!C107</f>
        <v>0</v>
      </c>
      <c r="AI391">
        <f>'Primary Care Activity'!D107</f>
        <v>0</v>
      </c>
      <c r="AN391">
        <f>'Primary Care Activity'!E107</f>
        <v>0</v>
      </c>
      <c r="AO391">
        <f>'Primary Care Activity'!F107</f>
        <v>0</v>
      </c>
      <c r="AP391">
        <f>'Primary Care Activity'!G107</f>
        <v>0</v>
      </c>
      <c r="AU391">
        <f>'Primary Care Activity'!AI107</f>
        <v>0</v>
      </c>
      <c r="AV391">
        <f>'Primary Care Activity'!W107</f>
        <v>0</v>
      </c>
      <c r="AW391">
        <f>'Primary Care Activity'!X107</f>
        <v>0</v>
      </c>
      <c r="AX391">
        <f>'Primary Care Activity'!Y107</f>
        <v>0</v>
      </c>
      <c r="AY391">
        <f>'Primary Care Activity'!Z107</f>
        <v>0</v>
      </c>
      <c r="AZ391">
        <f>'Primary Care Activity'!AA107</f>
        <v>0</v>
      </c>
      <c r="BA391">
        <f>'Primary Care Activity'!AB107</f>
        <v>0</v>
      </c>
      <c r="BB391">
        <f>'Primary Care Activity'!AC107</f>
        <v>0</v>
      </c>
      <c r="BC391">
        <f>'Primary Care Activity'!AD107</f>
        <v>0</v>
      </c>
      <c r="BD391">
        <f>'Primary Care Activity'!AE107</f>
        <v>0</v>
      </c>
      <c r="BE391">
        <f>'Primary Care Activity'!AF107</f>
        <v>0</v>
      </c>
      <c r="BF391">
        <f>'Primary Care Activity'!AG107</f>
        <v>0</v>
      </c>
      <c r="BG391">
        <f>'Primary Care Activity'!AH107</f>
        <v>0</v>
      </c>
    </row>
    <row r="392" spans="1:59" hidden="1">
      <c r="A392" t="str">
        <f>'[1]Front Sheet and Checklist'!$C$5</f>
        <v>(please select from drop down)</v>
      </c>
      <c r="B392" t="s">
        <v>11</v>
      </c>
      <c r="D392" t="s">
        <v>1275</v>
      </c>
      <c r="F392" t="str">
        <f>'Primary Care Activity'!B108</f>
        <v xml:space="preserve">Percentage of GDS practices engaged in Accelerated Cluster Development </v>
      </c>
      <c r="G392">
        <f>'Primary Care Activity'!I108</f>
        <v>0</v>
      </c>
      <c r="H392">
        <f>'Primary Care Activity'!J108</f>
        <v>0</v>
      </c>
      <c r="I392">
        <f>'Primary Care Activity'!K108</f>
        <v>0</v>
      </c>
      <c r="J392">
        <f>'Primary Care Activity'!L108</f>
        <v>0</v>
      </c>
      <c r="K392">
        <f>'Primary Care Activity'!M108</f>
        <v>0</v>
      </c>
      <c r="L392">
        <f>'Primary Care Activity'!N108</f>
        <v>0</v>
      </c>
      <c r="M392">
        <f>'Primary Care Activity'!O108</f>
        <v>0</v>
      </c>
      <c r="N392">
        <f>'Primary Care Activity'!P108</f>
        <v>0</v>
      </c>
      <c r="O392">
        <f>'Primary Care Activity'!Q108</f>
        <v>0</v>
      </c>
      <c r="P392">
        <f>'Primary Care Activity'!R108</f>
        <v>0</v>
      </c>
      <c r="Q392">
        <f>'Primary Care Activity'!S108</f>
        <v>0</v>
      </c>
      <c r="R392">
        <f>'Primary Care Activity'!T108</f>
        <v>0</v>
      </c>
      <c r="S392">
        <f>'Primary Care Activity'!U108</f>
        <v>0</v>
      </c>
      <c r="AH392">
        <f>'Primary Care Activity'!C108</f>
        <v>0</v>
      </c>
      <c r="AI392">
        <f>'Primary Care Activity'!D108</f>
        <v>0</v>
      </c>
      <c r="AN392">
        <f>'Primary Care Activity'!E108</f>
        <v>0</v>
      </c>
      <c r="AO392">
        <f>'Primary Care Activity'!F108</f>
        <v>0</v>
      </c>
      <c r="AP392">
        <f>'Primary Care Activity'!G108</f>
        <v>0</v>
      </c>
      <c r="AU392">
        <f>'Primary Care Activity'!AI108</f>
        <v>0</v>
      </c>
      <c r="AV392">
        <f>'Primary Care Activity'!W108</f>
        <v>0</v>
      </c>
      <c r="AW392">
        <f>'Primary Care Activity'!X108</f>
        <v>0</v>
      </c>
      <c r="AX392">
        <f>'Primary Care Activity'!Y108</f>
        <v>0</v>
      </c>
      <c r="AY392">
        <f>'Primary Care Activity'!Z108</f>
        <v>0</v>
      </c>
      <c r="AZ392">
        <f>'Primary Care Activity'!AA108</f>
        <v>0</v>
      </c>
      <c r="BA392">
        <f>'Primary Care Activity'!AB108</f>
        <v>0</v>
      </c>
      <c r="BB392">
        <f>'Primary Care Activity'!AC108</f>
        <v>0</v>
      </c>
      <c r="BC392">
        <f>'Primary Care Activity'!AD108</f>
        <v>0</v>
      </c>
      <c r="BD392">
        <f>'Primary Care Activity'!AE108</f>
        <v>0</v>
      </c>
      <c r="BE392">
        <f>'Primary Care Activity'!AF108</f>
        <v>0</v>
      </c>
      <c r="BF392">
        <f>'Primary Care Activity'!AG108</f>
        <v>0</v>
      </c>
      <c r="BG392">
        <f>'Primary Care Activity'!AH108</f>
        <v>0</v>
      </c>
    </row>
    <row r="393" spans="1:59" hidden="1">
      <c r="A393" t="str">
        <f>'[1]Front Sheet and Checklist'!$C$5</f>
        <v>(please select from drop down)</v>
      </c>
      <c r="B393" t="s">
        <v>11</v>
      </c>
      <c r="D393" t="s">
        <v>1275</v>
      </c>
      <c r="F393" t="str">
        <f>'Primary Care Activity'!B109</f>
        <v xml:space="preserve">Percentage of Optom practices engaged in Accelerated Cluster Development </v>
      </c>
      <c r="G393">
        <f>'Primary Care Activity'!I109</f>
        <v>0</v>
      </c>
      <c r="H393">
        <f>'Primary Care Activity'!J109</f>
        <v>0</v>
      </c>
      <c r="I393">
        <f>'Primary Care Activity'!K109</f>
        <v>0</v>
      </c>
      <c r="J393">
        <f>'Primary Care Activity'!L109</f>
        <v>0</v>
      </c>
      <c r="K393">
        <f>'Primary Care Activity'!M109</f>
        <v>0</v>
      </c>
      <c r="L393">
        <f>'Primary Care Activity'!N109</f>
        <v>0</v>
      </c>
      <c r="M393">
        <f>'Primary Care Activity'!O109</f>
        <v>0</v>
      </c>
      <c r="N393">
        <f>'Primary Care Activity'!P109</f>
        <v>0</v>
      </c>
      <c r="O393">
        <f>'Primary Care Activity'!Q109</f>
        <v>0</v>
      </c>
      <c r="P393">
        <f>'Primary Care Activity'!R109</f>
        <v>0</v>
      </c>
      <c r="Q393">
        <f>'Primary Care Activity'!S109</f>
        <v>0</v>
      </c>
      <c r="R393">
        <f>'Primary Care Activity'!T109</f>
        <v>0</v>
      </c>
      <c r="S393">
        <f>'Primary Care Activity'!U109</f>
        <v>0</v>
      </c>
      <c r="AH393">
        <f>'Primary Care Activity'!C109</f>
        <v>0</v>
      </c>
      <c r="AI393">
        <f>'Primary Care Activity'!D109</f>
        <v>0</v>
      </c>
      <c r="AN393">
        <f>'Primary Care Activity'!E109</f>
        <v>0</v>
      </c>
      <c r="AO393">
        <f>'Primary Care Activity'!F109</f>
        <v>0</v>
      </c>
      <c r="AP393">
        <f>'Primary Care Activity'!G109</f>
        <v>0</v>
      </c>
      <c r="AU393">
        <f>'Primary Care Activity'!AI109</f>
        <v>0</v>
      </c>
      <c r="AV393">
        <f>'Primary Care Activity'!W109</f>
        <v>0</v>
      </c>
      <c r="AW393">
        <f>'Primary Care Activity'!X109</f>
        <v>0</v>
      </c>
      <c r="AX393">
        <f>'Primary Care Activity'!Y109</f>
        <v>0</v>
      </c>
      <c r="AY393">
        <f>'Primary Care Activity'!Z109</f>
        <v>0</v>
      </c>
      <c r="AZ393">
        <f>'Primary Care Activity'!AA109</f>
        <v>0</v>
      </c>
      <c r="BA393">
        <f>'Primary Care Activity'!AB109</f>
        <v>0</v>
      </c>
      <c r="BB393">
        <f>'Primary Care Activity'!AC109</f>
        <v>0</v>
      </c>
      <c r="BC393">
        <f>'Primary Care Activity'!AD109</f>
        <v>0</v>
      </c>
      <c r="BD393">
        <f>'Primary Care Activity'!AE109</f>
        <v>0</v>
      </c>
      <c r="BE393">
        <f>'Primary Care Activity'!AF109</f>
        <v>0</v>
      </c>
      <c r="BF393">
        <f>'Primary Care Activity'!AG109</f>
        <v>0</v>
      </c>
      <c r="BG393">
        <f>'Primary Care Activity'!AH109</f>
        <v>0</v>
      </c>
    </row>
    <row r="394" spans="1:59" hidden="1">
      <c r="A394" t="str">
        <f>'[1]Front Sheet and Checklist'!$C$5</f>
        <v>(please select from drop down)</v>
      </c>
      <c r="B394" t="s">
        <v>11</v>
      </c>
      <c r="D394" t="s">
        <v>1275</v>
      </c>
      <c r="F394" t="str">
        <f>'Primary Care Activity'!B110</f>
        <v xml:space="preserve">Percentage of Pharmacy practices engaged in Accelerated Cluster Development </v>
      </c>
      <c r="G394">
        <f>'Primary Care Activity'!I110</f>
        <v>0</v>
      </c>
      <c r="H394">
        <f>'Primary Care Activity'!J110</f>
        <v>0</v>
      </c>
      <c r="I394">
        <f>'Primary Care Activity'!K110</f>
        <v>0</v>
      </c>
      <c r="J394">
        <f>'Primary Care Activity'!L110</f>
        <v>0</v>
      </c>
      <c r="K394">
        <f>'Primary Care Activity'!M110</f>
        <v>0</v>
      </c>
      <c r="L394">
        <f>'Primary Care Activity'!N110</f>
        <v>0</v>
      </c>
      <c r="M394">
        <f>'Primary Care Activity'!O110</f>
        <v>0</v>
      </c>
      <c r="N394">
        <f>'Primary Care Activity'!P110</f>
        <v>0</v>
      </c>
      <c r="O394">
        <f>'Primary Care Activity'!Q110</f>
        <v>0</v>
      </c>
      <c r="P394">
        <f>'Primary Care Activity'!R110</f>
        <v>0</v>
      </c>
      <c r="Q394">
        <f>'Primary Care Activity'!S110</f>
        <v>0</v>
      </c>
      <c r="R394">
        <f>'Primary Care Activity'!T110</f>
        <v>0</v>
      </c>
      <c r="S394">
        <f>'Primary Care Activity'!U110</f>
        <v>0</v>
      </c>
      <c r="AH394">
        <f>'Primary Care Activity'!C110</f>
        <v>0</v>
      </c>
      <c r="AI394">
        <f>'Primary Care Activity'!D110</f>
        <v>0</v>
      </c>
      <c r="AN394">
        <f>'Primary Care Activity'!E110</f>
        <v>0</v>
      </c>
      <c r="AO394">
        <f>'Primary Care Activity'!F110</f>
        <v>0</v>
      </c>
      <c r="AP394">
        <f>'Primary Care Activity'!G110</f>
        <v>0</v>
      </c>
      <c r="AU394">
        <f>'Primary Care Activity'!AI110</f>
        <v>0</v>
      </c>
      <c r="AV394">
        <f>'Primary Care Activity'!W110</f>
        <v>0</v>
      </c>
      <c r="AW394">
        <f>'Primary Care Activity'!X110</f>
        <v>0</v>
      </c>
      <c r="AX394">
        <f>'Primary Care Activity'!Y110</f>
        <v>0</v>
      </c>
      <c r="AY394">
        <f>'Primary Care Activity'!Z110</f>
        <v>0</v>
      </c>
      <c r="AZ394">
        <f>'Primary Care Activity'!AA110</f>
        <v>0</v>
      </c>
      <c r="BA394">
        <f>'Primary Care Activity'!AB110</f>
        <v>0</v>
      </c>
      <c r="BB394">
        <f>'Primary Care Activity'!AC110</f>
        <v>0</v>
      </c>
      <c r="BC394">
        <f>'Primary Care Activity'!AD110</f>
        <v>0</v>
      </c>
      <c r="BD394">
        <f>'Primary Care Activity'!AE110</f>
        <v>0</v>
      </c>
      <c r="BE394">
        <f>'Primary Care Activity'!AF110</f>
        <v>0</v>
      </c>
      <c r="BF394">
        <f>'Primary Care Activity'!AG110</f>
        <v>0</v>
      </c>
      <c r="BG394">
        <f>'Primary Care Activity'!AH110</f>
        <v>0</v>
      </c>
    </row>
    <row r="395" spans="1:59" hidden="1">
      <c r="A395" t="str">
        <f>'[1]Front Sheet and Checklist'!$C$5</f>
        <v>(please select from drop down)</v>
      </c>
      <c r="B395" t="s">
        <v>11</v>
      </c>
      <c r="D395" t="s">
        <v>1275</v>
      </c>
      <c r="F395" t="str">
        <f>'Primary Care Activity'!B111</f>
        <v>% of GMS clusters delivering the all Wales Diabetes Prevention Programme</v>
      </c>
      <c r="G395">
        <f>'Primary Care Activity'!I111</f>
        <v>1</v>
      </c>
      <c r="H395">
        <f>'Primary Care Activity'!J111</f>
        <v>1</v>
      </c>
      <c r="I395">
        <f>'Primary Care Activity'!K111</f>
        <v>1</v>
      </c>
      <c r="J395">
        <f>'Primary Care Activity'!L111</f>
        <v>1</v>
      </c>
      <c r="K395">
        <f>'Primary Care Activity'!M111</f>
        <v>1</v>
      </c>
      <c r="L395">
        <f>'Primary Care Activity'!N111</f>
        <v>1</v>
      </c>
      <c r="M395">
        <f>'Primary Care Activity'!O111</f>
        <v>1</v>
      </c>
      <c r="N395">
        <f>'Primary Care Activity'!P111</f>
        <v>1</v>
      </c>
      <c r="O395">
        <f>'Primary Care Activity'!Q111</f>
        <v>1</v>
      </c>
      <c r="P395">
        <f>'Primary Care Activity'!R111</f>
        <v>1</v>
      </c>
      <c r="Q395">
        <f>'Primary Care Activity'!S111</f>
        <v>1</v>
      </c>
      <c r="R395">
        <f>'Primary Care Activity'!T111</f>
        <v>1</v>
      </c>
      <c r="S395">
        <f>'Primary Care Activity'!U111</f>
        <v>1</v>
      </c>
      <c r="AH395">
        <f>'Primary Care Activity'!C111</f>
        <v>0</v>
      </c>
      <c r="AI395">
        <f>'Primary Care Activity'!D111</f>
        <v>1</v>
      </c>
      <c r="AN395">
        <f>'Primary Care Activity'!E111</f>
        <v>1</v>
      </c>
      <c r="AO395">
        <f>'Primary Care Activity'!F111</f>
        <v>0</v>
      </c>
      <c r="AP395">
        <f>'Primary Care Activity'!G111</f>
        <v>0</v>
      </c>
      <c r="AU395">
        <f>'Primary Care Activity'!AI111</f>
        <v>12</v>
      </c>
      <c r="AV395">
        <f>'Primary Care Activity'!W111</f>
        <v>1</v>
      </c>
      <c r="AW395">
        <f>'Primary Care Activity'!X111</f>
        <v>1</v>
      </c>
      <c r="AX395">
        <f>'Primary Care Activity'!Y111</f>
        <v>1</v>
      </c>
      <c r="AY395">
        <f>'Primary Care Activity'!Z111</f>
        <v>1</v>
      </c>
      <c r="AZ395">
        <f>'Primary Care Activity'!AA111</f>
        <v>1</v>
      </c>
      <c r="BA395">
        <f>'Primary Care Activity'!AB111</f>
        <v>1</v>
      </c>
      <c r="BB395">
        <f>'Primary Care Activity'!AC111</f>
        <v>1</v>
      </c>
      <c r="BC395">
        <f>'Primary Care Activity'!AD111</f>
        <v>1</v>
      </c>
      <c r="BD395">
        <f>'Primary Care Activity'!AE111</f>
        <v>1</v>
      </c>
      <c r="BE395">
        <f>'Primary Care Activity'!AF111</f>
        <v>1</v>
      </c>
      <c r="BF395">
        <f>'Primary Care Activity'!AG111</f>
        <v>1</v>
      </c>
      <c r="BG395">
        <f>'Primary Care Activity'!AH111</f>
        <v>1</v>
      </c>
    </row>
    <row r="396" spans="1:59" hidden="1">
      <c r="A396" t="str">
        <f>'[1]Front Sheet and Checklist'!$C$5</f>
        <v>(please select from drop down)</v>
      </c>
      <c r="B396" t="s">
        <v>11</v>
      </c>
      <c r="D396" t="s">
        <v>1275</v>
      </c>
      <c r="F396" t="str">
        <f>'Primary Care Activity'!B112</f>
        <v xml:space="preserve">% or proportion of top  0.5% most at risk of urgent care who have been offered Future Care Plans (formerly known as anticipatory care plans) </v>
      </c>
      <c r="G396">
        <f>'Primary Care Activity'!I112</f>
        <v>0</v>
      </c>
      <c r="H396">
        <f>'Primary Care Activity'!J112</f>
        <v>0</v>
      </c>
      <c r="I396">
        <f>'Primary Care Activity'!K112</f>
        <v>0</v>
      </c>
      <c r="J396">
        <f>'Primary Care Activity'!L112</f>
        <v>0</v>
      </c>
      <c r="K396">
        <f>'Primary Care Activity'!M112</f>
        <v>0</v>
      </c>
      <c r="L396">
        <f>'Primary Care Activity'!N112</f>
        <v>0</v>
      </c>
      <c r="M396">
        <f>'Primary Care Activity'!O112</f>
        <v>0</v>
      </c>
      <c r="N396">
        <f>'Primary Care Activity'!P112</f>
        <v>0</v>
      </c>
      <c r="O396">
        <f>'Primary Care Activity'!Q112</f>
        <v>0</v>
      </c>
      <c r="P396">
        <f>'Primary Care Activity'!R112</f>
        <v>0</v>
      </c>
      <c r="Q396">
        <f>'Primary Care Activity'!S112</f>
        <v>0</v>
      </c>
      <c r="R396">
        <f>'Primary Care Activity'!T112</f>
        <v>0</v>
      </c>
      <c r="S396">
        <f>'Primary Care Activity'!U112</f>
        <v>0</v>
      </c>
      <c r="AH396">
        <f>'Primary Care Activity'!C112</f>
        <v>0</v>
      </c>
      <c r="AI396">
        <f>'Primary Care Activity'!D112</f>
        <v>0</v>
      </c>
      <c r="AN396">
        <f>'Primary Care Activity'!E112</f>
        <v>0</v>
      </c>
      <c r="AO396">
        <f>'Primary Care Activity'!F112</f>
        <v>0</v>
      </c>
      <c r="AP396">
        <f>'Primary Care Activity'!G112</f>
        <v>0</v>
      </c>
      <c r="AU396">
        <f>'Primary Care Activity'!AI112</f>
        <v>0</v>
      </c>
      <c r="AV396">
        <f>'Primary Care Activity'!W112</f>
        <v>0</v>
      </c>
      <c r="AW396">
        <f>'Primary Care Activity'!X112</f>
        <v>0</v>
      </c>
      <c r="AX396">
        <f>'Primary Care Activity'!Y112</f>
        <v>0</v>
      </c>
      <c r="AY396">
        <f>'Primary Care Activity'!Z112</f>
        <v>0</v>
      </c>
      <c r="AZ396">
        <f>'Primary Care Activity'!AA112</f>
        <v>0</v>
      </c>
      <c r="BA396">
        <f>'Primary Care Activity'!AB112</f>
        <v>0</v>
      </c>
      <c r="BB396">
        <f>'Primary Care Activity'!AC112</f>
        <v>0</v>
      </c>
      <c r="BC396">
        <f>'Primary Care Activity'!AD112</f>
        <v>0</v>
      </c>
      <c r="BD396">
        <f>'Primary Care Activity'!AE112</f>
        <v>0</v>
      </c>
      <c r="BE396">
        <f>'Primary Care Activity'!AF112</f>
        <v>0</v>
      </c>
      <c r="BF396">
        <f>'Primary Care Activity'!AG112</f>
        <v>0</v>
      </c>
      <c r="BG396">
        <f>'Primary Care Activity'!AH112</f>
        <v>0</v>
      </c>
    </row>
    <row r="397" spans="1:59" hidden="1">
      <c r="A397" t="str">
        <f>'[1]Front Sheet and Checklist'!$C$5</f>
        <v>(please select from drop down)</v>
      </c>
      <c r="B397" t="s">
        <v>11</v>
      </c>
      <c r="D397" t="s">
        <v>1275</v>
      </c>
      <c r="F397" t="str">
        <f>'Primary Care Activity'!B113</f>
        <v xml:space="preserve">Number of people expected to receive Enhanced Community Care (Definitions are to be determined by the Care Action Committee and will be available shortly) </v>
      </c>
      <c r="G397">
        <f>'Primary Care Activity'!I113</f>
        <v>0</v>
      </c>
      <c r="H397">
        <f>'Primary Care Activity'!J113</f>
        <v>0</v>
      </c>
      <c r="I397">
        <f>'Primary Care Activity'!K113</f>
        <v>0</v>
      </c>
      <c r="J397">
        <f>'Primary Care Activity'!L113</f>
        <v>0</v>
      </c>
      <c r="K397">
        <f>'Primary Care Activity'!M113</f>
        <v>0</v>
      </c>
      <c r="L397">
        <f>'Primary Care Activity'!N113</f>
        <v>0</v>
      </c>
      <c r="M397">
        <f>'Primary Care Activity'!O113</f>
        <v>0</v>
      </c>
      <c r="N397">
        <f>'Primary Care Activity'!P113</f>
        <v>0</v>
      </c>
      <c r="O397">
        <f>'Primary Care Activity'!Q113</f>
        <v>0</v>
      </c>
      <c r="P397">
        <f>'Primary Care Activity'!R113</f>
        <v>0</v>
      </c>
      <c r="Q397">
        <f>'Primary Care Activity'!S113</f>
        <v>0</v>
      </c>
      <c r="R397">
        <f>'Primary Care Activity'!T113</f>
        <v>0</v>
      </c>
      <c r="S397">
        <f>'Primary Care Activity'!U113</f>
        <v>0</v>
      </c>
      <c r="AH397">
        <f>'Primary Care Activity'!C113</f>
        <v>0</v>
      </c>
      <c r="AI397">
        <f>'Primary Care Activity'!D113</f>
        <v>0</v>
      </c>
      <c r="AN397">
        <f>'Primary Care Activity'!E113</f>
        <v>0</v>
      </c>
      <c r="AO397">
        <f>'Primary Care Activity'!F113</f>
        <v>0</v>
      </c>
      <c r="AP397">
        <f>'Primary Care Activity'!G113</f>
        <v>0</v>
      </c>
      <c r="AU397">
        <f>'Primary Care Activity'!AI113</f>
        <v>0</v>
      </c>
      <c r="AV397">
        <f>'Primary Care Activity'!W113</f>
        <v>0</v>
      </c>
      <c r="AW397">
        <f>'Primary Care Activity'!X113</f>
        <v>0</v>
      </c>
      <c r="AX397">
        <f>'Primary Care Activity'!Y113</f>
        <v>0</v>
      </c>
      <c r="AY397">
        <f>'Primary Care Activity'!Z113</f>
        <v>0</v>
      </c>
      <c r="AZ397">
        <f>'Primary Care Activity'!AA113</f>
        <v>0</v>
      </c>
      <c r="BA397">
        <f>'Primary Care Activity'!AB113</f>
        <v>0</v>
      </c>
      <c r="BB397">
        <f>'Primary Care Activity'!AC113</f>
        <v>0</v>
      </c>
      <c r="BC397">
        <f>'Primary Care Activity'!AD113</f>
        <v>0</v>
      </c>
      <c r="BD397">
        <f>'Primary Care Activity'!AE113</f>
        <v>0</v>
      </c>
      <c r="BE397">
        <f>'Primary Care Activity'!AF113</f>
        <v>0</v>
      </c>
      <c r="BF397">
        <f>'Primary Care Activity'!AG113</f>
        <v>0</v>
      </c>
      <c r="BG397">
        <f>'Primary Care Activity'!AH113</f>
        <v>0</v>
      </c>
    </row>
    <row r="398" spans="1:59" hidden="1">
      <c r="A398" t="str">
        <f>'[1]Front Sheet and Checklist'!$C$5</f>
        <v>(please select from drop down)</v>
      </c>
      <c r="B398" t="s">
        <v>247</v>
      </c>
      <c r="F398" t="str">
        <f>'Mental Health Activity'!B11</f>
        <v>Number of Referral to LPMHSS (18+)</v>
      </c>
      <c r="G398">
        <f>'Mental Health Activity'!I11</f>
        <v>550</v>
      </c>
      <c r="H398">
        <f>'Mental Health Activity'!J11</f>
        <v>550</v>
      </c>
      <c r="I398">
        <f>'Mental Health Activity'!K11</f>
        <v>550</v>
      </c>
      <c r="J398">
        <f>'Mental Health Activity'!L11</f>
        <v>550</v>
      </c>
      <c r="K398">
        <f>'Mental Health Activity'!M11</f>
        <v>550</v>
      </c>
      <c r="L398">
        <f>'Mental Health Activity'!N11</f>
        <v>550</v>
      </c>
      <c r="M398">
        <f>'Mental Health Activity'!O11</f>
        <v>550</v>
      </c>
      <c r="N398">
        <f>'Mental Health Activity'!P11</f>
        <v>550</v>
      </c>
      <c r="O398">
        <f>'Mental Health Activity'!Q11</f>
        <v>550</v>
      </c>
      <c r="P398">
        <f>'Mental Health Activity'!R11</f>
        <v>550</v>
      </c>
      <c r="Q398">
        <f>'Mental Health Activity'!S11</f>
        <v>550</v>
      </c>
      <c r="R398">
        <f>'Mental Health Activity'!T11</f>
        <v>550</v>
      </c>
      <c r="AH398">
        <f>'Mental Health Activity'!C11</f>
        <v>6558</v>
      </c>
      <c r="AI398">
        <f>'Mental Health Activity'!D11</f>
        <v>6533</v>
      </c>
      <c r="AN398">
        <f>'Mental Health Activity'!E11</f>
        <v>6600</v>
      </c>
      <c r="AO398">
        <f>'Mental Health Activity'!F11</f>
        <v>0</v>
      </c>
      <c r="AP398">
        <f>'Mental Health Activity'!G11</f>
        <v>0</v>
      </c>
      <c r="AV398">
        <f>'Mental Health Activity'!V11</f>
        <v>688</v>
      </c>
      <c r="AW398">
        <f>'Mental Health Activity'!W11</f>
        <v>597</v>
      </c>
      <c r="AX398">
        <f>'Mental Health Activity'!X11</f>
        <v>630</v>
      </c>
      <c r="AY398">
        <f>'Mental Health Activity'!Y11</f>
        <v>651</v>
      </c>
      <c r="AZ398">
        <f>'Mental Health Activity'!Z11</f>
        <v>559</v>
      </c>
      <c r="BA398">
        <f>'Mental Health Activity'!AA11</f>
        <v>607</v>
      </c>
      <c r="BB398">
        <f>'Mental Health Activity'!AB11</f>
        <v>699</v>
      </c>
      <c r="BC398">
        <f>'Mental Health Activity'!AC11</f>
        <v>677</v>
      </c>
      <c r="BD398">
        <f>'Mental Health Activity'!AD11</f>
        <v>545</v>
      </c>
      <c r="BE398">
        <f>'Mental Health Activity'!AE11</f>
        <v>623</v>
      </c>
      <c r="BF398">
        <f>'Mental Health Activity'!AF11</f>
        <v>640</v>
      </c>
      <c r="BG398">
        <f>'Mental Health Activity'!AG11</f>
        <v>677</v>
      </c>
    </row>
    <row r="399" spans="1:59" hidden="1">
      <c r="A399" t="str">
        <f>'[1]Front Sheet and Checklist'!$C$5</f>
        <v>(please select from drop down)</v>
      </c>
      <c r="B399" t="s">
        <v>247</v>
      </c>
      <c r="F399" t="str">
        <f>'Mental Health Activity'!B12</f>
        <v>Number of LPMHSS assessments undertaken within 28 days (18+)</v>
      </c>
      <c r="G399">
        <f>'Mental Health Activity'!I12</f>
        <v>210</v>
      </c>
      <c r="H399">
        <f>'Mental Health Activity'!J12</f>
        <v>210</v>
      </c>
      <c r="I399">
        <f>'Mental Health Activity'!K12</f>
        <v>210</v>
      </c>
      <c r="J399">
        <f>'Mental Health Activity'!L12</f>
        <v>210</v>
      </c>
      <c r="K399">
        <f>'Mental Health Activity'!M12</f>
        <v>210</v>
      </c>
      <c r="L399">
        <f>'Mental Health Activity'!N12</f>
        <v>210</v>
      </c>
      <c r="M399">
        <f>'Mental Health Activity'!O12</f>
        <v>210</v>
      </c>
      <c r="N399">
        <f>'Mental Health Activity'!P12</f>
        <v>210</v>
      </c>
      <c r="O399">
        <f>'Mental Health Activity'!Q12</f>
        <v>210</v>
      </c>
      <c r="P399">
        <f>'Mental Health Activity'!R12</f>
        <v>210</v>
      </c>
      <c r="Q399">
        <f>'Mental Health Activity'!S12</f>
        <v>210</v>
      </c>
      <c r="R399">
        <f>'Mental Health Activity'!T12</f>
        <v>210</v>
      </c>
      <c r="AH399">
        <f>'Mental Health Activity'!C12</f>
        <v>2709</v>
      </c>
      <c r="AI399">
        <f>'Mental Health Activity'!D12</f>
        <v>2563</v>
      </c>
      <c r="AN399">
        <f>'Mental Health Activity'!E12</f>
        <v>2520</v>
      </c>
      <c r="AO399">
        <f>'Mental Health Activity'!F12</f>
        <v>0</v>
      </c>
      <c r="AP399">
        <f>'Mental Health Activity'!G12</f>
        <v>0</v>
      </c>
      <c r="AV399">
        <f>'Mental Health Activity'!V12</f>
        <v>360</v>
      </c>
      <c r="AW399">
        <f>'Mental Health Activity'!W12</f>
        <v>244</v>
      </c>
      <c r="AX399">
        <f>'Mental Health Activity'!X12</f>
        <v>227</v>
      </c>
      <c r="AY399">
        <f>'Mental Health Activity'!Y12</f>
        <v>305</v>
      </c>
      <c r="AZ399">
        <f>'Mental Health Activity'!Z12</f>
        <v>264</v>
      </c>
      <c r="BA399">
        <f>'Mental Health Activity'!AA12</f>
        <v>260</v>
      </c>
      <c r="BB399">
        <f>'Mental Health Activity'!AB12</f>
        <v>275</v>
      </c>
      <c r="BC399">
        <f>'Mental Health Activity'!AC12</f>
        <v>248</v>
      </c>
      <c r="BD399">
        <f>'Mental Health Activity'!AD12</f>
        <v>211</v>
      </c>
      <c r="BE399">
        <f>'Mental Health Activity'!AE12</f>
        <v>269</v>
      </c>
      <c r="BF399">
        <f>'Mental Health Activity'!AF12</f>
        <v>240</v>
      </c>
      <c r="BG399">
        <f>'Mental Health Activity'!AG12</f>
        <v>245</v>
      </c>
    </row>
    <row r="400" spans="1:59" hidden="1">
      <c r="A400" t="str">
        <f>'[1]Front Sheet and Checklist'!$C$5</f>
        <v>(please select from drop down)</v>
      </c>
      <c r="B400" t="s">
        <v>247</v>
      </c>
      <c r="F400" t="str">
        <f>'Mental Health Activity'!B13</f>
        <v>Number of LPMHSS interventions commenced within 28 days (18+)</v>
      </c>
      <c r="G400">
        <f>'Mental Health Activity'!I13</f>
        <v>50</v>
      </c>
      <c r="H400">
        <f>'Mental Health Activity'!J13</f>
        <v>50</v>
      </c>
      <c r="I400">
        <f>'Mental Health Activity'!K13</f>
        <v>50</v>
      </c>
      <c r="J400">
        <f>'Mental Health Activity'!L13</f>
        <v>50</v>
      </c>
      <c r="K400">
        <f>'Mental Health Activity'!M13</f>
        <v>50</v>
      </c>
      <c r="L400">
        <f>'Mental Health Activity'!N13</f>
        <v>50</v>
      </c>
      <c r="M400">
        <f>'Mental Health Activity'!O13</f>
        <v>50</v>
      </c>
      <c r="N400">
        <f>'Mental Health Activity'!P13</f>
        <v>50</v>
      </c>
      <c r="O400">
        <f>'Mental Health Activity'!Q13</f>
        <v>50</v>
      </c>
      <c r="P400">
        <f>'Mental Health Activity'!R13</f>
        <v>50</v>
      </c>
      <c r="Q400">
        <f>'Mental Health Activity'!S13</f>
        <v>50</v>
      </c>
      <c r="R400">
        <f>'Mental Health Activity'!T13</f>
        <v>50</v>
      </c>
      <c r="AH400">
        <f>'Mental Health Activity'!C13</f>
        <v>782</v>
      </c>
      <c r="AI400">
        <f>'Mental Health Activity'!D13</f>
        <v>607</v>
      </c>
      <c r="AN400">
        <f>'Mental Health Activity'!E13</f>
        <v>600</v>
      </c>
      <c r="AO400">
        <f>'Mental Health Activity'!F13</f>
        <v>0</v>
      </c>
      <c r="AP400">
        <f>'Mental Health Activity'!G13</f>
        <v>0</v>
      </c>
      <c r="AV400">
        <f>'Mental Health Activity'!V13</f>
        <v>119</v>
      </c>
      <c r="AW400">
        <f>'Mental Health Activity'!W13</f>
        <v>57</v>
      </c>
      <c r="AX400">
        <f>'Mental Health Activity'!X13</f>
        <v>51</v>
      </c>
      <c r="AY400">
        <f>'Mental Health Activity'!Y13</f>
        <v>64</v>
      </c>
      <c r="AZ400">
        <f>'Mental Health Activity'!Z13</f>
        <v>41</v>
      </c>
      <c r="BA400">
        <f>'Mental Health Activity'!AA13</f>
        <v>54</v>
      </c>
      <c r="BB400">
        <f>'Mental Health Activity'!AB13</f>
        <v>58</v>
      </c>
      <c r="BC400">
        <f>'Mental Health Activity'!AC13</f>
        <v>73</v>
      </c>
      <c r="BD400">
        <f>'Mental Health Activity'!AD13</f>
        <v>75</v>
      </c>
      <c r="BE400">
        <f>'Mental Health Activity'!AE13</f>
        <v>68</v>
      </c>
      <c r="BF400">
        <f>'Mental Health Activity'!AF13</f>
        <v>76</v>
      </c>
      <c r="BG400">
        <f>'Mental Health Activity'!AG13</f>
        <v>85</v>
      </c>
    </row>
    <row r="401" spans="1:59" hidden="1">
      <c r="A401" t="str">
        <f>'[1]Front Sheet and Checklist'!$C$5</f>
        <v>(please select from drop down)</v>
      </c>
      <c r="B401" t="s">
        <v>247</v>
      </c>
      <c r="F401" t="str">
        <f>'Mental Health Activity'!B14</f>
        <v>Number of Referrals to LPMHSS (under 18)</v>
      </c>
      <c r="G401">
        <f>'Mental Health Activity'!I14</f>
        <v>79</v>
      </c>
      <c r="H401">
        <f>'Mental Health Activity'!J14</f>
        <v>79</v>
      </c>
      <c r="I401">
        <f>'Mental Health Activity'!K14</f>
        <v>79</v>
      </c>
      <c r="J401">
        <f>'Mental Health Activity'!L14</f>
        <v>79</v>
      </c>
      <c r="K401">
        <f>'Mental Health Activity'!M14</f>
        <v>79</v>
      </c>
      <c r="L401">
        <f>'Mental Health Activity'!N14</f>
        <v>79</v>
      </c>
      <c r="M401">
        <f>'Mental Health Activity'!O14</f>
        <v>79</v>
      </c>
      <c r="N401">
        <f>'Mental Health Activity'!P14</f>
        <v>79</v>
      </c>
      <c r="O401">
        <f>'Mental Health Activity'!Q14</f>
        <v>79</v>
      </c>
      <c r="P401">
        <f>'Mental Health Activity'!R14</f>
        <v>79</v>
      </c>
      <c r="Q401">
        <f>'Mental Health Activity'!S14</f>
        <v>79</v>
      </c>
      <c r="R401">
        <f>'Mental Health Activity'!T14</f>
        <v>79</v>
      </c>
      <c r="AH401">
        <f>'Mental Health Activity'!C14</f>
        <v>1047</v>
      </c>
      <c r="AI401">
        <f>'Mental Health Activity'!D14</f>
        <v>965</v>
      </c>
      <c r="AN401">
        <f>'Mental Health Activity'!E14</f>
        <v>948</v>
      </c>
      <c r="AO401">
        <f>'Mental Health Activity'!F14</f>
        <v>0</v>
      </c>
      <c r="AP401">
        <f>'Mental Health Activity'!G14</f>
        <v>0</v>
      </c>
      <c r="AV401">
        <f>'Mental Health Activity'!V14</f>
        <v>80</v>
      </c>
      <c r="AW401">
        <f>'Mental Health Activity'!W14</f>
        <v>102</v>
      </c>
      <c r="AX401">
        <f>'Mental Health Activity'!X14</f>
        <v>81</v>
      </c>
      <c r="AY401">
        <f>'Mental Health Activity'!Y14</f>
        <v>99</v>
      </c>
      <c r="AZ401">
        <f>'Mental Health Activity'!Z14</f>
        <v>76</v>
      </c>
      <c r="BA401">
        <f>'Mental Health Activity'!AA14</f>
        <v>108</v>
      </c>
      <c r="BB401">
        <f>'Mental Health Activity'!AB14</f>
        <v>143</v>
      </c>
      <c r="BC401">
        <f>'Mental Health Activity'!AC14</f>
        <v>110</v>
      </c>
      <c r="BD401">
        <f>'Mental Health Activity'!AD14</f>
        <v>65</v>
      </c>
      <c r="BE401">
        <f>'Mental Health Activity'!AE14</f>
        <v>117</v>
      </c>
      <c r="BF401">
        <f>'Mental Health Activity'!AF14</f>
        <v>99</v>
      </c>
      <c r="BG401">
        <f>'Mental Health Activity'!AG14</f>
        <v>125</v>
      </c>
    </row>
    <row r="402" spans="1:59" hidden="1">
      <c r="A402" t="str">
        <f>'[1]Front Sheet and Checklist'!$C$5</f>
        <v>(please select from drop down)</v>
      </c>
      <c r="B402" t="s">
        <v>247</v>
      </c>
      <c r="F402" t="str">
        <f>'Mental Health Activity'!B15</f>
        <v>Number of LPMHSS assessments undertaken within 28 days (under 18)</v>
      </c>
      <c r="G402">
        <f>'Mental Health Activity'!I15</f>
        <v>46</v>
      </c>
      <c r="H402">
        <f>'Mental Health Activity'!J15</f>
        <v>46</v>
      </c>
      <c r="I402">
        <f>'Mental Health Activity'!K15</f>
        <v>46</v>
      </c>
      <c r="J402">
        <f>'Mental Health Activity'!L15</f>
        <v>46</v>
      </c>
      <c r="K402">
        <f>'Mental Health Activity'!M15</f>
        <v>46</v>
      </c>
      <c r="L402">
        <f>'Mental Health Activity'!N15</f>
        <v>46</v>
      </c>
      <c r="M402">
        <f>'Mental Health Activity'!O15</f>
        <v>46</v>
      </c>
      <c r="N402">
        <f>'Mental Health Activity'!P15</f>
        <v>46</v>
      </c>
      <c r="O402">
        <f>'Mental Health Activity'!Q15</f>
        <v>46</v>
      </c>
      <c r="P402">
        <f>'Mental Health Activity'!R15</f>
        <v>46</v>
      </c>
      <c r="Q402">
        <f>'Mental Health Activity'!S15</f>
        <v>46</v>
      </c>
      <c r="R402">
        <f>'Mental Health Activity'!T15</f>
        <v>46</v>
      </c>
      <c r="AH402">
        <f>'Mental Health Activity'!C15</f>
        <v>405</v>
      </c>
      <c r="AI402">
        <f>'Mental Health Activity'!D15</f>
        <v>562</v>
      </c>
      <c r="AN402">
        <f>'Mental Health Activity'!E15</f>
        <v>552</v>
      </c>
      <c r="AO402">
        <f>'Mental Health Activity'!F15</f>
        <v>0</v>
      </c>
      <c r="AP402">
        <f>'Mental Health Activity'!G15</f>
        <v>0</v>
      </c>
      <c r="AV402">
        <f>'Mental Health Activity'!V15</f>
        <v>111</v>
      </c>
      <c r="AW402">
        <f>'Mental Health Activity'!W15</f>
        <v>140</v>
      </c>
      <c r="AX402">
        <f>'Mental Health Activity'!X15</f>
        <v>65</v>
      </c>
      <c r="AY402">
        <f>'Mental Health Activity'!Y15</f>
        <v>83</v>
      </c>
      <c r="AZ402">
        <f>'Mental Health Activity'!Z15</f>
        <v>51</v>
      </c>
      <c r="BA402">
        <f>'Mental Health Activity'!AA15</f>
        <v>69</v>
      </c>
      <c r="BB402">
        <f>'Mental Health Activity'!AB15</f>
        <v>86</v>
      </c>
      <c r="BC402">
        <f>'Mental Health Activity'!AC15</f>
        <v>57</v>
      </c>
      <c r="BD402">
        <f>'Mental Health Activity'!AD15</f>
        <v>43</v>
      </c>
      <c r="BE402">
        <f>'Mental Health Activity'!AE15</f>
        <v>30</v>
      </c>
      <c r="BF402">
        <f>'Mental Health Activity'!AF15</f>
        <v>78</v>
      </c>
      <c r="BG402">
        <f>'Mental Health Activity'!AG15</f>
        <v>75</v>
      </c>
    </row>
    <row r="403" spans="1:59" hidden="1">
      <c r="A403" t="str">
        <f>'[1]Front Sheet and Checklist'!$C$5</f>
        <v>(please select from drop down)</v>
      </c>
      <c r="B403" t="s">
        <v>247</v>
      </c>
      <c r="F403" t="str">
        <f>'Mental Health Activity'!B16</f>
        <v>Number of LPMHSS interventions commenced within 28 days (under 18)</v>
      </c>
      <c r="G403">
        <f>'Mental Health Activity'!I16</f>
        <v>30</v>
      </c>
      <c r="H403">
        <f>'Mental Health Activity'!J16</f>
        <v>30</v>
      </c>
      <c r="I403">
        <f>'Mental Health Activity'!K16</f>
        <v>30</v>
      </c>
      <c r="J403">
        <f>'Mental Health Activity'!L16</f>
        <v>30</v>
      </c>
      <c r="K403">
        <f>'Mental Health Activity'!M16</f>
        <v>30</v>
      </c>
      <c r="L403">
        <f>'Mental Health Activity'!N16</f>
        <v>30</v>
      </c>
      <c r="M403">
        <f>'Mental Health Activity'!O16</f>
        <v>30</v>
      </c>
      <c r="N403">
        <f>'Mental Health Activity'!P16</f>
        <v>30</v>
      </c>
      <c r="O403">
        <f>'Mental Health Activity'!Q16</f>
        <v>30</v>
      </c>
      <c r="P403">
        <f>'Mental Health Activity'!R16</f>
        <v>30</v>
      </c>
      <c r="Q403">
        <f>'Mental Health Activity'!S16</f>
        <v>30</v>
      </c>
      <c r="R403">
        <f>'Mental Health Activity'!T16</f>
        <v>30</v>
      </c>
      <c r="AH403">
        <f>'Mental Health Activity'!C16</f>
        <v>271</v>
      </c>
      <c r="AI403">
        <f>'Mental Health Activity'!D16</f>
        <v>370</v>
      </c>
      <c r="AN403">
        <f>'Mental Health Activity'!E16</f>
        <v>360</v>
      </c>
      <c r="AO403">
        <f>'Mental Health Activity'!F16</f>
        <v>0</v>
      </c>
      <c r="AP403">
        <f>'Mental Health Activity'!G16</f>
        <v>0</v>
      </c>
      <c r="AV403">
        <f>'Mental Health Activity'!V16</f>
        <v>62</v>
      </c>
      <c r="AW403">
        <f>'Mental Health Activity'!W16</f>
        <v>59</v>
      </c>
      <c r="AX403">
        <f>'Mental Health Activity'!X16</f>
        <v>41</v>
      </c>
      <c r="AY403">
        <f>'Mental Health Activity'!Y16</f>
        <v>44</v>
      </c>
      <c r="AZ403">
        <f>'Mental Health Activity'!Z16</f>
        <v>42</v>
      </c>
      <c r="BA403">
        <f>'Mental Health Activity'!AA16</f>
        <v>52</v>
      </c>
      <c r="BB403">
        <f>'Mental Health Activity'!AB16</f>
        <v>60</v>
      </c>
      <c r="BC403">
        <f>'Mental Health Activity'!AC16</f>
        <v>62</v>
      </c>
      <c r="BD403">
        <f>'Mental Health Activity'!AD16</f>
        <v>30</v>
      </c>
      <c r="BE403">
        <f>'Mental Health Activity'!AE16</f>
        <v>50</v>
      </c>
      <c r="BF403">
        <f>'Mental Health Activity'!AF16</f>
        <v>55</v>
      </c>
      <c r="BG403">
        <f>'Mental Health Activity'!AG16</f>
        <v>62</v>
      </c>
    </row>
    <row r="404" spans="1:59" hidden="1">
      <c r="A404" t="str">
        <f>'[1]Front Sheet and Checklist'!$C$5</f>
        <v>(please select from drop down)</v>
      </c>
      <c r="B404" t="s">
        <v>247</v>
      </c>
      <c r="F404" t="str">
        <f>'Mental Health Activity'!B17</f>
        <v>Number of Mental Health Crisis referrals (Crisis Resolution Home Treatment) 18+</v>
      </c>
      <c r="G404">
        <f>'Mental Health Activity'!I17</f>
        <v>196</v>
      </c>
      <c r="H404">
        <f>'Mental Health Activity'!J17</f>
        <v>196</v>
      </c>
      <c r="I404">
        <f>'Mental Health Activity'!K17</f>
        <v>196</v>
      </c>
      <c r="J404">
        <f>'Mental Health Activity'!L17</f>
        <v>196</v>
      </c>
      <c r="K404">
        <f>'Mental Health Activity'!M17</f>
        <v>196</v>
      </c>
      <c r="L404">
        <f>'Mental Health Activity'!N17</f>
        <v>196</v>
      </c>
      <c r="M404">
        <f>'Mental Health Activity'!O17</f>
        <v>196</v>
      </c>
      <c r="N404">
        <f>'Mental Health Activity'!P17</f>
        <v>196</v>
      </c>
      <c r="O404">
        <f>'Mental Health Activity'!Q17</f>
        <v>196</v>
      </c>
      <c r="P404">
        <f>'Mental Health Activity'!R17</f>
        <v>196</v>
      </c>
      <c r="Q404">
        <f>'Mental Health Activity'!S17</f>
        <v>196</v>
      </c>
      <c r="R404">
        <f>'Mental Health Activity'!T17</f>
        <v>196</v>
      </c>
      <c r="AH404">
        <f>'Mental Health Activity'!C17</f>
        <v>1812</v>
      </c>
      <c r="AI404">
        <f>'Mental Health Activity'!D17</f>
        <v>2310</v>
      </c>
      <c r="AN404">
        <f>'Mental Health Activity'!E17</f>
        <v>2352</v>
      </c>
      <c r="AO404">
        <f>'Mental Health Activity'!F17</f>
        <v>0</v>
      </c>
      <c r="AP404">
        <f>'Mental Health Activity'!G17</f>
        <v>0</v>
      </c>
      <c r="AV404">
        <f>'Mental Health Activity'!V17</f>
        <v>206</v>
      </c>
      <c r="AW404">
        <f>'Mental Health Activity'!W17</f>
        <v>198</v>
      </c>
      <c r="AX404">
        <f>'Mental Health Activity'!X17</f>
        <v>191</v>
      </c>
      <c r="AY404">
        <f>'Mental Health Activity'!Y17</f>
        <v>209</v>
      </c>
      <c r="AZ404">
        <f>'Mental Health Activity'!Z17</f>
        <v>236</v>
      </c>
      <c r="BA404">
        <f>'Mental Health Activity'!AA17</f>
        <v>225</v>
      </c>
      <c r="BB404">
        <f>'Mental Health Activity'!AB17</f>
        <v>240</v>
      </c>
      <c r="BC404">
        <f>'Mental Health Activity'!AC17</f>
        <v>211</v>
      </c>
      <c r="BD404">
        <f>'Mental Health Activity'!AD17</f>
        <v>200</v>
      </c>
      <c r="BE404">
        <f>'Mental Health Activity'!AE17</f>
        <v>225</v>
      </c>
      <c r="BF404">
        <f>'Mental Health Activity'!AF17</f>
        <v>252</v>
      </c>
      <c r="BG404">
        <f>'Mental Health Activity'!AG17</f>
        <v>271</v>
      </c>
    </row>
    <row r="405" spans="1:59" hidden="1">
      <c r="A405" t="str">
        <f>'[1]Front Sheet and Checklist'!$C$5</f>
        <v>(please select from drop down)</v>
      </c>
      <c r="B405" t="s">
        <v>247</v>
      </c>
      <c r="F405" t="str">
        <f>'Mental Health Activity'!B18</f>
        <v>Number of Mental Health Crisis referrals (Crisis Resolution Home Treatment) under 18</v>
      </c>
      <c r="G405">
        <f>'Mental Health Activity'!I18</f>
        <v>35</v>
      </c>
      <c r="H405">
        <f>'Mental Health Activity'!J18</f>
        <v>35</v>
      </c>
      <c r="I405">
        <f>'Mental Health Activity'!K18</f>
        <v>35</v>
      </c>
      <c r="J405">
        <f>'Mental Health Activity'!L18</f>
        <v>35</v>
      </c>
      <c r="K405">
        <f>'Mental Health Activity'!M18</f>
        <v>35</v>
      </c>
      <c r="L405">
        <f>'Mental Health Activity'!N18</f>
        <v>35</v>
      </c>
      <c r="M405">
        <f>'Mental Health Activity'!O18</f>
        <v>35</v>
      </c>
      <c r="N405">
        <f>'Mental Health Activity'!P18</f>
        <v>35</v>
      </c>
      <c r="O405">
        <f>'Mental Health Activity'!Q18</f>
        <v>35</v>
      </c>
      <c r="P405">
        <f>'Mental Health Activity'!R18</f>
        <v>35</v>
      </c>
      <c r="Q405">
        <f>'Mental Health Activity'!S18</f>
        <v>35</v>
      </c>
      <c r="R405">
        <f>'Mental Health Activity'!T18</f>
        <v>35</v>
      </c>
      <c r="AH405" t="str">
        <f>'Mental Health Activity'!C18</f>
        <v>N/A</v>
      </c>
      <c r="AI405">
        <f>'Mental Health Activity'!D18</f>
        <v>431</v>
      </c>
      <c r="AN405">
        <f>'Mental Health Activity'!E18</f>
        <v>420</v>
      </c>
      <c r="AO405">
        <f>'Mental Health Activity'!F18</f>
        <v>0</v>
      </c>
      <c r="AP405">
        <f>'Mental Health Activity'!G18</f>
        <v>0</v>
      </c>
      <c r="AV405">
        <f>'Mental Health Activity'!V18</f>
        <v>35</v>
      </c>
      <c r="AW405">
        <f>'Mental Health Activity'!W18</f>
        <v>42</v>
      </c>
      <c r="AX405">
        <f>'Mental Health Activity'!X18</f>
        <v>29</v>
      </c>
      <c r="AY405">
        <f>'Mental Health Activity'!Y18</f>
        <v>23</v>
      </c>
      <c r="AZ405">
        <f>'Mental Health Activity'!Z18</f>
        <v>23</v>
      </c>
      <c r="BA405">
        <f>'Mental Health Activity'!AA18</f>
        <v>31</v>
      </c>
      <c r="BB405">
        <f>'Mental Health Activity'!AB18</f>
        <v>40</v>
      </c>
      <c r="BC405">
        <f>'Mental Health Activity'!AC18</f>
        <v>32</v>
      </c>
      <c r="BD405">
        <f>'Mental Health Activity'!AD18</f>
        <v>26</v>
      </c>
      <c r="BE405">
        <f>'Mental Health Activity'!AE18</f>
        <v>32</v>
      </c>
      <c r="BF405">
        <f>'Mental Health Activity'!AF18</f>
        <v>35</v>
      </c>
      <c r="BG405">
        <f>'Mental Health Activity'!AG18</f>
        <v>47</v>
      </c>
    </row>
    <row r="406" spans="1:59" hidden="1">
      <c r="A406" t="str">
        <f>'[1]Front Sheet and Checklist'!$C$5</f>
        <v>(please select from drop down)</v>
      </c>
      <c r="B406" t="s">
        <v>247</v>
      </c>
      <c r="F406" t="str">
        <f>'Mental Health Activity'!B19</f>
        <v>Number of Referrals to specialist community mental health services adult (18-65)</v>
      </c>
      <c r="G406">
        <f>'Mental Health Activity'!I19</f>
        <v>409</v>
      </c>
      <c r="H406">
        <f>'Mental Health Activity'!J19</f>
        <v>409</v>
      </c>
      <c r="I406">
        <f>'Mental Health Activity'!K19</f>
        <v>409</v>
      </c>
      <c r="J406">
        <f>'Mental Health Activity'!L19</f>
        <v>409</v>
      </c>
      <c r="K406">
        <f>'Mental Health Activity'!M19</f>
        <v>409</v>
      </c>
      <c r="L406">
        <f>'Mental Health Activity'!N19</f>
        <v>409</v>
      </c>
      <c r="M406">
        <f>'Mental Health Activity'!O19</f>
        <v>409</v>
      </c>
      <c r="N406">
        <f>'Mental Health Activity'!P19</f>
        <v>409</v>
      </c>
      <c r="O406">
        <f>'Mental Health Activity'!Q19</f>
        <v>409</v>
      </c>
      <c r="P406">
        <f>'Mental Health Activity'!R19</f>
        <v>409</v>
      </c>
      <c r="Q406">
        <f>'Mental Health Activity'!S19</f>
        <v>409</v>
      </c>
      <c r="R406">
        <f>'Mental Health Activity'!T19</f>
        <v>409</v>
      </c>
      <c r="AH406">
        <f>'Mental Health Activity'!C19</f>
        <v>3705</v>
      </c>
      <c r="AI406">
        <f>'Mental Health Activity'!D19</f>
        <v>4647</v>
      </c>
      <c r="AN406">
        <f>'Mental Health Activity'!E19</f>
        <v>4908</v>
      </c>
      <c r="AO406">
        <f>'Mental Health Activity'!F19</f>
        <v>0</v>
      </c>
      <c r="AP406">
        <f>'Mental Health Activity'!G19</f>
        <v>0</v>
      </c>
      <c r="AV406">
        <f>'Mental Health Activity'!V19</f>
        <v>408</v>
      </c>
      <c r="AW406">
        <f>'Mental Health Activity'!W19</f>
        <v>374</v>
      </c>
      <c r="AX406">
        <f>'Mental Health Activity'!X19</f>
        <v>405</v>
      </c>
      <c r="AY406">
        <f>'Mental Health Activity'!Y19</f>
        <v>495</v>
      </c>
      <c r="AZ406">
        <f>'Mental Health Activity'!Z19</f>
        <v>358</v>
      </c>
      <c r="BA406">
        <f>'Mental Health Activity'!AA19</f>
        <v>542</v>
      </c>
      <c r="BB406">
        <f>'Mental Health Activity'!AB19</f>
        <v>500</v>
      </c>
      <c r="BC406">
        <f>'Mental Health Activity'!AC19</f>
        <v>432</v>
      </c>
      <c r="BD406">
        <f>'Mental Health Activity'!AD19</f>
        <v>403</v>
      </c>
      <c r="BE406">
        <f>'Mental Health Activity'!AE19</f>
        <v>441</v>
      </c>
      <c r="BF406">
        <f>'Mental Health Activity'!AF19</f>
        <v>324</v>
      </c>
      <c r="BG406">
        <f>'Mental Health Activity'!AG19</f>
        <v>499</v>
      </c>
    </row>
    <row r="407" spans="1:59" hidden="1">
      <c r="A407" t="str">
        <f>'[1]Front Sheet and Checklist'!$C$5</f>
        <v>(please select from drop down)</v>
      </c>
      <c r="B407" t="s">
        <v>247</v>
      </c>
      <c r="F407" t="str">
        <f>'Mental Health Activity'!B20</f>
        <v>Total caseload for adult mental health services (excluding LPMHSS)</v>
      </c>
      <c r="G407">
        <f>'Mental Health Activity'!I20</f>
        <v>1449</v>
      </c>
      <c r="H407">
        <f>'Mental Health Activity'!J20</f>
        <v>1449</v>
      </c>
      <c r="I407">
        <f>'Mental Health Activity'!K20</f>
        <v>1449</v>
      </c>
      <c r="J407">
        <f>'Mental Health Activity'!L20</f>
        <v>1449</v>
      </c>
      <c r="K407">
        <f>'Mental Health Activity'!M20</f>
        <v>1449</v>
      </c>
      <c r="L407">
        <f>'Mental Health Activity'!N20</f>
        <v>1449</v>
      </c>
      <c r="M407">
        <f>'Mental Health Activity'!O20</f>
        <v>1449</v>
      </c>
      <c r="N407">
        <f>'Mental Health Activity'!P20</f>
        <v>1449</v>
      </c>
      <c r="O407">
        <f>'Mental Health Activity'!Q20</f>
        <v>1449</v>
      </c>
      <c r="P407">
        <f>'Mental Health Activity'!R20</f>
        <v>1449</v>
      </c>
      <c r="Q407">
        <f>'Mental Health Activity'!S20</f>
        <v>1449</v>
      </c>
      <c r="R407">
        <f>'Mental Health Activity'!T20</f>
        <v>1449</v>
      </c>
      <c r="AH407">
        <f>'Mental Health Activity'!C20</f>
        <v>1491</v>
      </c>
      <c r="AI407">
        <f>'Mental Health Activity'!D20</f>
        <v>17506</v>
      </c>
      <c r="AN407">
        <f>'Mental Health Activity'!E20</f>
        <v>17388</v>
      </c>
      <c r="AO407">
        <f>'Mental Health Activity'!F20</f>
        <v>0</v>
      </c>
      <c r="AP407">
        <f>'Mental Health Activity'!G20</f>
        <v>0</v>
      </c>
      <c r="AV407">
        <f>'Mental Health Activity'!V20</f>
        <v>1424</v>
      </c>
      <c r="AW407">
        <f>'Mental Health Activity'!W20</f>
        <v>1425</v>
      </c>
      <c r="AX407">
        <f>'Mental Health Activity'!X20</f>
        <v>1424</v>
      </c>
      <c r="AY407">
        <f>'Mental Health Activity'!Y20</f>
        <v>1414</v>
      </c>
      <c r="AZ407">
        <f>'Mental Health Activity'!Z20</f>
        <v>1420</v>
      </c>
      <c r="BA407">
        <f>'Mental Health Activity'!AA20</f>
        <v>1425</v>
      </c>
      <c r="BB407">
        <f>'Mental Health Activity'!AB20</f>
        <v>1412</v>
      </c>
      <c r="BC407">
        <f>'Mental Health Activity'!AC20</f>
        <v>1418</v>
      </c>
      <c r="BD407">
        <f>'Mental Health Activity'!AD20</f>
        <v>1406</v>
      </c>
      <c r="BE407">
        <f>'Mental Health Activity'!AE20</f>
        <v>1408</v>
      </c>
      <c r="BF407">
        <f>'Mental Health Activity'!AF20</f>
        <v>1404</v>
      </c>
      <c r="BG407">
        <f>'Mental Health Activity'!AG20</f>
        <v>1402</v>
      </c>
    </row>
    <row r="408" spans="1:59" hidden="1">
      <c r="A408" t="str">
        <f>'[1]Front Sheet and Checklist'!$C$5</f>
        <v>(please select from drop down)</v>
      </c>
      <c r="B408" t="s">
        <v>247</v>
      </c>
      <c r="F408" t="str">
        <f>'Mental Health Activity'!B21</f>
        <v>Number of Referrals to specialist community mental health services older adult (65+)</v>
      </c>
      <c r="G408">
        <f>'Mental Health Activity'!I21</f>
        <v>150</v>
      </c>
      <c r="H408">
        <f>'Mental Health Activity'!J21</f>
        <v>150</v>
      </c>
      <c r="I408">
        <f>'Mental Health Activity'!K21</f>
        <v>150</v>
      </c>
      <c r="J408">
        <f>'Mental Health Activity'!L21</f>
        <v>150</v>
      </c>
      <c r="K408">
        <f>'Mental Health Activity'!M21</f>
        <v>150</v>
      </c>
      <c r="L408">
        <f>'Mental Health Activity'!N21</f>
        <v>150</v>
      </c>
      <c r="M408">
        <f>'Mental Health Activity'!O21</f>
        <v>150</v>
      </c>
      <c r="N408">
        <f>'Mental Health Activity'!P21</f>
        <v>150</v>
      </c>
      <c r="O408">
        <f>'Mental Health Activity'!Q21</f>
        <v>150</v>
      </c>
      <c r="P408">
        <f>'Mental Health Activity'!R21</f>
        <v>150</v>
      </c>
      <c r="Q408">
        <f>'Mental Health Activity'!S21</f>
        <v>150</v>
      </c>
      <c r="R408">
        <f>'Mental Health Activity'!T21</f>
        <v>150</v>
      </c>
      <c r="AH408">
        <f>'Mental Health Activity'!C21</f>
        <v>1524</v>
      </c>
      <c r="AI408">
        <f>'Mental Health Activity'!D21</f>
        <v>1385</v>
      </c>
      <c r="AN408">
        <f>'Mental Health Activity'!E21</f>
        <v>1800</v>
      </c>
      <c r="AO408">
        <f>'Mental Health Activity'!F21</f>
        <v>0</v>
      </c>
      <c r="AP408">
        <f>'Mental Health Activity'!G21</f>
        <v>0</v>
      </c>
      <c r="AV408">
        <f>'Mental Health Activity'!V21</f>
        <v>153</v>
      </c>
      <c r="AW408">
        <f>'Mental Health Activity'!W21</f>
        <v>141</v>
      </c>
      <c r="AX408">
        <f>'Mental Health Activity'!X21</f>
        <v>158</v>
      </c>
      <c r="AY408">
        <f>'Mental Health Activity'!Y21</f>
        <v>194</v>
      </c>
      <c r="AZ408">
        <f>'Mental Health Activity'!Z21</f>
        <v>164</v>
      </c>
      <c r="BA408">
        <f>'Mental Health Activity'!AA21</f>
        <v>157</v>
      </c>
      <c r="BB408">
        <f>'Mental Health Activity'!AB21</f>
        <v>213</v>
      </c>
      <c r="BC408">
        <f>'Mental Health Activity'!AC21</f>
        <v>161</v>
      </c>
      <c r="BD408">
        <f>'Mental Health Activity'!AD21</f>
        <v>151</v>
      </c>
      <c r="BE408">
        <f>'Mental Health Activity'!AE21</f>
        <v>171</v>
      </c>
      <c r="BF408">
        <f>'Mental Health Activity'!AF21</f>
        <v>171</v>
      </c>
      <c r="BG408">
        <f>'Mental Health Activity'!AG21</f>
        <v>117</v>
      </c>
    </row>
    <row r="409" spans="1:59" hidden="1">
      <c r="A409" t="str">
        <f>'[1]Front Sheet and Checklist'!$C$5</f>
        <v>(please select from drop down)</v>
      </c>
      <c r="B409" t="s">
        <v>247</v>
      </c>
      <c r="F409" t="str">
        <f>'Mental Health Activity'!B22</f>
        <v>Total  caseload for older adult mental health services (excluding LPMHSS)</v>
      </c>
      <c r="G409">
        <f>'Mental Health Activity'!I22</f>
        <v>255</v>
      </c>
      <c r="H409">
        <f>'Mental Health Activity'!J22</f>
        <v>255</v>
      </c>
      <c r="I409">
        <f>'Mental Health Activity'!K22</f>
        <v>255</v>
      </c>
      <c r="J409">
        <f>'Mental Health Activity'!L22</f>
        <v>255</v>
      </c>
      <c r="K409">
        <f>'Mental Health Activity'!M22</f>
        <v>255</v>
      </c>
      <c r="L409">
        <f>'Mental Health Activity'!N22</f>
        <v>255</v>
      </c>
      <c r="M409">
        <f>'Mental Health Activity'!O22</f>
        <v>255</v>
      </c>
      <c r="N409">
        <f>'Mental Health Activity'!P22</f>
        <v>255</v>
      </c>
      <c r="O409">
        <f>'Mental Health Activity'!Q22</f>
        <v>255</v>
      </c>
      <c r="P409">
        <f>'Mental Health Activity'!R22</f>
        <v>255</v>
      </c>
      <c r="Q409">
        <f>'Mental Health Activity'!S22</f>
        <v>255</v>
      </c>
      <c r="R409">
        <f>'Mental Health Activity'!T22</f>
        <v>255</v>
      </c>
      <c r="AH409">
        <f>'Mental Health Activity'!C22</f>
        <v>269</v>
      </c>
      <c r="AI409">
        <f>'Mental Health Activity'!D22</f>
        <v>3089</v>
      </c>
      <c r="AN409">
        <f>'Mental Health Activity'!E22</f>
        <v>3060</v>
      </c>
      <c r="AO409">
        <f>'Mental Health Activity'!F22</f>
        <v>0</v>
      </c>
      <c r="AP409">
        <f>'Mental Health Activity'!G22</f>
        <v>0</v>
      </c>
      <c r="AV409">
        <f>'Mental Health Activity'!V22</f>
        <v>223</v>
      </c>
      <c r="AW409">
        <f>'Mental Health Activity'!W22</f>
        <v>226</v>
      </c>
      <c r="AX409">
        <f>'Mental Health Activity'!X22</f>
        <v>221</v>
      </c>
      <c r="AY409">
        <f>'Mental Health Activity'!Y22</f>
        <v>220</v>
      </c>
      <c r="AZ409">
        <f>'Mental Health Activity'!Z22</f>
        <v>207</v>
      </c>
      <c r="BA409">
        <f>'Mental Health Activity'!AA22</f>
        <v>221</v>
      </c>
      <c r="BB409">
        <f>'Mental Health Activity'!AB22</f>
        <v>224</v>
      </c>
      <c r="BC409">
        <f>'Mental Health Activity'!AC22</f>
        <v>233</v>
      </c>
      <c r="BD409">
        <f>'Mental Health Activity'!AD22</f>
        <v>231</v>
      </c>
      <c r="BE409">
        <f>'Mental Health Activity'!AE22</f>
        <v>230</v>
      </c>
      <c r="BF409">
        <f>'Mental Health Activity'!AF22</f>
        <v>231</v>
      </c>
      <c r="BG409">
        <f>'Mental Health Activity'!AG22</f>
        <v>224</v>
      </c>
    </row>
    <row r="410" spans="1:59" hidden="1">
      <c r="A410" t="str">
        <f>'[1]Front Sheet and Checklist'!$C$5</f>
        <v>(please select from drop down)</v>
      </c>
      <c r="B410" t="s">
        <v>247</v>
      </c>
      <c r="F410" t="str">
        <f>'Mental Health Activity'!B23</f>
        <v xml:space="preserve">Number of Referrals to Specialist Child and Adolescent Mental Health (SCAMHS) </v>
      </c>
      <c r="G410">
        <f>'Mental Health Activity'!I23</f>
        <v>4</v>
      </c>
      <c r="H410">
        <f>'Mental Health Activity'!J23</f>
        <v>4</v>
      </c>
      <c r="I410">
        <f>'Mental Health Activity'!K23</f>
        <v>4</v>
      </c>
      <c r="J410">
        <f>'Mental Health Activity'!L23</f>
        <v>4</v>
      </c>
      <c r="K410">
        <f>'Mental Health Activity'!M23</f>
        <v>4</v>
      </c>
      <c r="L410">
        <f>'Mental Health Activity'!N23</f>
        <v>4</v>
      </c>
      <c r="M410">
        <f>'Mental Health Activity'!O23</f>
        <v>4</v>
      </c>
      <c r="N410">
        <f>'Mental Health Activity'!P23</f>
        <v>4</v>
      </c>
      <c r="O410">
        <f>'Mental Health Activity'!Q23</f>
        <v>4</v>
      </c>
      <c r="P410">
        <f>'Mental Health Activity'!R23</f>
        <v>4</v>
      </c>
      <c r="Q410">
        <f>'Mental Health Activity'!S23</f>
        <v>4</v>
      </c>
      <c r="R410">
        <f>'Mental Health Activity'!T23</f>
        <v>4</v>
      </c>
      <c r="AH410">
        <f>'Mental Health Activity'!C23</f>
        <v>42</v>
      </c>
      <c r="AI410">
        <f>'Mental Health Activity'!D23</f>
        <v>36</v>
      </c>
      <c r="AN410">
        <f>'Mental Health Activity'!E23</f>
        <v>48</v>
      </c>
      <c r="AO410">
        <f>'Mental Health Activity'!F23</f>
        <v>0</v>
      </c>
      <c r="AP410">
        <f>'Mental Health Activity'!G23</f>
        <v>0</v>
      </c>
      <c r="AV410">
        <f>'Mental Health Activity'!V23</f>
        <v>0</v>
      </c>
      <c r="AW410">
        <f>'Mental Health Activity'!W23</f>
        <v>0</v>
      </c>
      <c r="AX410" t="str">
        <f>'Mental Health Activity'!X23</f>
        <v>-</v>
      </c>
      <c r="AY410" t="str">
        <f>'Mental Health Activity'!Y23</f>
        <v>-</v>
      </c>
      <c r="AZ410" t="str">
        <f>'Mental Health Activity'!Z23</f>
        <v>-</v>
      </c>
      <c r="BA410" t="str">
        <f>'Mental Health Activity'!AA23</f>
        <v>-</v>
      </c>
      <c r="BB410" t="str">
        <f>'Mental Health Activity'!AB23</f>
        <v>-</v>
      </c>
      <c r="BC410" t="str">
        <f>'Mental Health Activity'!AC23</f>
        <v>-</v>
      </c>
      <c r="BD410" t="str">
        <f>'Mental Health Activity'!AD23</f>
        <v>-</v>
      </c>
      <c r="BE410" t="str">
        <f>'Mental Health Activity'!AE23</f>
        <v>-</v>
      </c>
      <c r="BF410" t="str">
        <f>'Mental Health Activity'!AF23</f>
        <v>-</v>
      </c>
      <c r="BG410" t="str">
        <f>'Mental Health Activity'!AG23</f>
        <v>-</v>
      </c>
    </row>
    <row r="411" spans="1:59" hidden="1">
      <c r="A411" t="str">
        <f>'[1]Front Sheet and Checklist'!$C$5</f>
        <v>(please select from drop down)</v>
      </c>
      <c r="B411" t="s">
        <v>247</v>
      </c>
      <c r="F411" t="str">
        <f>'Mental Health Activity'!B24</f>
        <v>Total Caseload for Specialist Child and Adolescent Mental Health (excluding LPMHSS)</v>
      </c>
      <c r="G411">
        <f>'Mental Health Activity'!I24</f>
        <v>54</v>
      </c>
      <c r="H411">
        <f>'Mental Health Activity'!J24</f>
        <v>54</v>
      </c>
      <c r="I411">
        <f>'Mental Health Activity'!K24</f>
        <v>54</v>
      </c>
      <c r="J411">
        <f>'Mental Health Activity'!L24</f>
        <v>54</v>
      </c>
      <c r="K411">
        <f>'Mental Health Activity'!M24</f>
        <v>54</v>
      </c>
      <c r="L411">
        <f>'Mental Health Activity'!N24</f>
        <v>54</v>
      </c>
      <c r="M411">
        <f>'Mental Health Activity'!O24</f>
        <v>54</v>
      </c>
      <c r="N411">
        <f>'Mental Health Activity'!P24</f>
        <v>54</v>
      </c>
      <c r="O411">
        <f>'Mental Health Activity'!Q24</f>
        <v>54</v>
      </c>
      <c r="P411">
        <f>'Mental Health Activity'!R24</f>
        <v>54</v>
      </c>
      <c r="Q411">
        <f>'Mental Health Activity'!S24</f>
        <v>54</v>
      </c>
      <c r="R411">
        <f>'Mental Health Activity'!T24</f>
        <v>54</v>
      </c>
      <c r="AH411">
        <f>'Mental Health Activity'!C24</f>
        <v>70</v>
      </c>
      <c r="AI411">
        <f>'Mental Health Activity'!D24</f>
        <v>671</v>
      </c>
      <c r="AN411">
        <f>'Mental Health Activity'!E24</f>
        <v>648</v>
      </c>
      <c r="AO411">
        <f>'Mental Health Activity'!F24</f>
        <v>0</v>
      </c>
      <c r="AP411">
        <f>'Mental Health Activity'!G24</f>
        <v>0</v>
      </c>
      <c r="AV411">
        <f>'Mental Health Activity'!V24</f>
        <v>34</v>
      </c>
      <c r="AW411">
        <f>'Mental Health Activity'!W24</f>
        <v>33</v>
      </c>
      <c r="AX411">
        <f>'Mental Health Activity'!X24</f>
        <v>34</v>
      </c>
      <c r="AY411">
        <f>'Mental Health Activity'!Y24</f>
        <v>39</v>
      </c>
      <c r="AZ411">
        <f>'Mental Health Activity'!Z24</f>
        <v>38</v>
      </c>
      <c r="BA411">
        <f>'Mental Health Activity'!AA24</f>
        <v>48</v>
      </c>
      <c r="BB411">
        <f>'Mental Health Activity'!AB24</f>
        <v>52</v>
      </c>
      <c r="BC411">
        <f>'Mental Health Activity'!AC24</f>
        <v>56</v>
      </c>
      <c r="BD411">
        <f>'Mental Health Activity'!AD24</f>
        <v>59</v>
      </c>
      <c r="BE411">
        <f>'Mental Health Activity'!AE24</f>
        <v>62</v>
      </c>
      <c r="BF411">
        <f>'Mental Health Activity'!AF24</f>
        <v>64</v>
      </c>
      <c r="BG411">
        <f>'Mental Health Activity'!AG24</f>
        <v>63</v>
      </c>
    </row>
    <row r="412" spans="1:59" hidden="1">
      <c r="A412" t="str">
        <f>'[1]Front Sheet and Checklist'!$C$5</f>
        <v>(please select from drop down)</v>
      </c>
      <c r="B412" t="s">
        <v>247</v>
      </c>
      <c r="F412" t="str">
        <f>'Mental Health Activity'!B25</f>
        <v>Number of referrals eating disorder service (EDS) all age</v>
      </c>
      <c r="G412">
        <f>'Mental Health Activity'!I25</f>
        <v>11</v>
      </c>
      <c r="H412">
        <f>'Mental Health Activity'!J25</f>
        <v>11</v>
      </c>
      <c r="I412">
        <f>'Mental Health Activity'!K25</f>
        <v>11</v>
      </c>
      <c r="J412">
        <f>'Mental Health Activity'!L25</f>
        <v>11</v>
      </c>
      <c r="K412">
        <f>'Mental Health Activity'!M25</f>
        <v>11</v>
      </c>
      <c r="L412">
        <f>'Mental Health Activity'!N25</f>
        <v>11</v>
      </c>
      <c r="M412">
        <f>'Mental Health Activity'!O25</f>
        <v>11</v>
      </c>
      <c r="N412">
        <f>'Mental Health Activity'!P25</f>
        <v>11</v>
      </c>
      <c r="O412">
        <f>'Mental Health Activity'!Q25</f>
        <v>11</v>
      </c>
      <c r="P412">
        <f>'Mental Health Activity'!R25</f>
        <v>11</v>
      </c>
      <c r="Q412">
        <f>'Mental Health Activity'!S25</f>
        <v>11</v>
      </c>
      <c r="R412">
        <f>'Mental Health Activity'!T25</f>
        <v>11</v>
      </c>
      <c r="AH412">
        <f>'Mental Health Activity'!C25</f>
        <v>157</v>
      </c>
      <c r="AI412">
        <f>'Mental Health Activity'!D25</f>
        <v>132</v>
      </c>
      <c r="AN412">
        <f>'Mental Health Activity'!E25</f>
        <v>132</v>
      </c>
      <c r="AO412">
        <f>'Mental Health Activity'!F25</f>
        <v>0</v>
      </c>
      <c r="AP412">
        <f>'Mental Health Activity'!G25</f>
        <v>0</v>
      </c>
      <c r="AV412">
        <f>'Mental Health Activity'!V25</f>
        <v>14</v>
      </c>
      <c r="AW412">
        <f>'Mental Health Activity'!W25</f>
        <v>11</v>
      </c>
      <c r="AX412">
        <f>'Mental Health Activity'!X25</f>
        <v>8</v>
      </c>
      <c r="AY412">
        <f>'Mental Health Activity'!Y25</f>
        <v>12</v>
      </c>
      <c r="AZ412">
        <f>'Mental Health Activity'!Z25</f>
        <v>12</v>
      </c>
      <c r="BA412">
        <f>'Mental Health Activity'!AA25</f>
        <v>8</v>
      </c>
      <c r="BB412">
        <f>'Mental Health Activity'!AB25</f>
        <v>13</v>
      </c>
      <c r="BC412">
        <f>'Mental Health Activity'!AC25</f>
        <v>18</v>
      </c>
      <c r="BD412">
        <f>'Mental Health Activity'!AD25</f>
        <v>10</v>
      </c>
      <c r="BE412">
        <f>'Mental Health Activity'!AE25</f>
        <v>17</v>
      </c>
      <c r="BF412">
        <f>'Mental Health Activity'!AF25</f>
        <v>13</v>
      </c>
      <c r="BG412">
        <f>'Mental Health Activity'!AG25</f>
        <v>15</v>
      </c>
    </row>
    <row r="413" spans="1:59" hidden="1">
      <c r="A413" t="str">
        <f>'[1]Front Sheet and Checklist'!$C$5</f>
        <v>(please select from drop down)</v>
      </c>
      <c r="B413" t="s">
        <v>247</v>
      </c>
      <c r="F413" t="str">
        <f>'Mental Health Activity'!B26</f>
        <v>Number of EDS assessment within 4 weeks all age</v>
      </c>
      <c r="G413">
        <f>'Mental Health Activity'!I26</f>
        <v>11</v>
      </c>
      <c r="H413">
        <f>'Mental Health Activity'!J26</f>
        <v>11</v>
      </c>
      <c r="I413">
        <f>'Mental Health Activity'!K26</f>
        <v>11</v>
      </c>
      <c r="J413">
        <f>'Mental Health Activity'!L26</f>
        <v>11</v>
      </c>
      <c r="K413">
        <f>'Mental Health Activity'!M26</f>
        <v>11</v>
      </c>
      <c r="L413">
        <f>'Mental Health Activity'!N26</f>
        <v>11</v>
      </c>
      <c r="M413">
        <f>'Mental Health Activity'!O26</f>
        <v>11</v>
      </c>
      <c r="N413">
        <f>'Mental Health Activity'!P26</f>
        <v>11</v>
      </c>
      <c r="O413">
        <f>'Mental Health Activity'!Q26</f>
        <v>11</v>
      </c>
      <c r="P413">
        <f>'Mental Health Activity'!R26</f>
        <v>11</v>
      </c>
      <c r="Q413">
        <f>'Mental Health Activity'!S26</f>
        <v>11</v>
      </c>
      <c r="R413">
        <f>'Mental Health Activity'!T26</f>
        <v>11</v>
      </c>
      <c r="AH413">
        <f>'Mental Health Activity'!C26</f>
        <v>157</v>
      </c>
      <c r="AI413">
        <f>'Mental Health Activity'!D26</f>
        <v>131</v>
      </c>
      <c r="AN413">
        <f>'Mental Health Activity'!E26</f>
        <v>132</v>
      </c>
      <c r="AO413">
        <f>'Mental Health Activity'!F26</f>
        <v>0</v>
      </c>
      <c r="AP413">
        <f>'Mental Health Activity'!G26</f>
        <v>0</v>
      </c>
      <c r="AV413">
        <f>'Mental Health Activity'!V26</f>
        <v>10</v>
      </c>
      <c r="AW413">
        <f>'Mental Health Activity'!W26</f>
        <v>8</v>
      </c>
      <c r="AX413">
        <f>'Mental Health Activity'!X26</f>
        <v>8</v>
      </c>
      <c r="AY413">
        <f>'Mental Health Activity'!Y26</f>
        <v>12</v>
      </c>
      <c r="AZ413">
        <f>'Mental Health Activity'!Z26</f>
        <v>12</v>
      </c>
      <c r="BA413">
        <f>'Mental Health Activity'!AA26</f>
        <v>8</v>
      </c>
      <c r="BB413">
        <f>'Mental Health Activity'!AB26</f>
        <v>13</v>
      </c>
      <c r="BC413">
        <f>'Mental Health Activity'!AC26</f>
        <v>18</v>
      </c>
      <c r="BD413">
        <f>'Mental Health Activity'!AD26</f>
        <v>10</v>
      </c>
      <c r="BE413">
        <f>'Mental Health Activity'!AE26</f>
        <v>14</v>
      </c>
      <c r="BF413">
        <f>'Mental Health Activity'!AF26</f>
        <v>8</v>
      </c>
      <c r="BG413">
        <f>'Mental Health Activity'!AG26</f>
        <v>11</v>
      </c>
    </row>
    <row r="414" spans="1:59" hidden="1">
      <c r="A414" t="str">
        <f>'[1]Front Sheet and Checklist'!$C$5</f>
        <v>(please select from drop down)</v>
      </c>
      <c r="B414" t="s">
        <v>247</v>
      </c>
      <c r="F414" t="str">
        <f>'Mental Health Activity'!B27</f>
        <v>Number of  Memory assessment service (MAS) - Referrals</v>
      </c>
      <c r="G414">
        <f>'Mental Health Activity'!I27</f>
        <v>98</v>
      </c>
      <c r="H414">
        <f>'Mental Health Activity'!J27</f>
        <v>98</v>
      </c>
      <c r="I414">
        <f>'Mental Health Activity'!K27</f>
        <v>98</v>
      </c>
      <c r="J414">
        <f>'Mental Health Activity'!L27</f>
        <v>98</v>
      </c>
      <c r="K414">
        <f>'Mental Health Activity'!M27</f>
        <v>98</v>
      </c>
      <c r="L414">
        <f>'Mental Health Activity'!N27</f>
        <v>98</v>
      </c>
      <c r="M414">
        <f>'Mental Health Activity'!O27</f>
        <v>98</v>
      </c>
      <c r="N414">
        <f>'Mental Health Activity'!P27</f>
        <v>98</v>
      </c>
      <c r="O414">
        <f>'Mental Health Activity'!Q27</f>
        <v>98</v>
      </c>
      <c r="P414">
        <f>'Mental Health Activity'!R27</f>
        <v>98</v>
      </c>
      <c r="Q414">
        <f>'Mental Health Activity'!S27</f>
        <v>98</v>
      </c>
      <c r="R414">
        <f>'Mental Health Activity'!T27</f>
        <v>98</v>
      </c>
      <c r="AH414">
        <f>'Mental Health Activity'!C27</f>
        <v>1829</v>
      </c>
      <c r="AI414">
        <f>'Mental Health Activity'!D27</f>
        <v>1235</v>
      </c>
      <c r="AN414">
        <f>'Mental Health Activity'!E27</f>
        <v>1176</v>
      </c>
      <c r="AO414">
        <f>'Mental Health Activity'!F27</f>
        <v>0</v>
      </c>
      <c r="AP414">
        <f>'Mental Health Activity'!G27</f>
        <v>0</v>
      </c>
      <c r="AV414">
        <f>'Mental Health Activity'!V27</f>
        <v>62</v>
      </c>
      <c r="AW414">
        <f>'Mental Health Activity'!W27</f>
        <v>58</v>
      </c>
      <c r="AX414">
        <f>'Mental Health Activity'!X27</f>
        <v>28</v>
      </c>
      <c r="AY414">
        <f>'Mental Health Activity'!Y27</f>
        <v>112</v>
      </c>
      <c r="AZ414">
        <f>'Mental Health Activity'!Z27</f>
        <v>61</v>
      </c>
      <c r="BA414">
        <f>'Mental Health Activity'!AA27</f>
        <v>40</v>
      </c>
      <c r="BB414">
        <f>'Mental Health Activity'!AB27</f>
        <v>192</v>
      </c>
      <c r="BC414">
        <f>'Mental Health Activity'!AC27</f>
        <v>124</v>
      </c>
      <c r="BD414">
        <f>'Mental Health Activity'!AD27</f>
        <v>117</v>
      </c>
      <c r="BE414">
        <f>'Mental Health Activity'!AE27</f>
        <v>162</v>
      </c>
      <c r="BF414">
        <f>'Mental Health Activity'!AF27</f>
        <v>119</v>
      </c>
      <c r="BG414">
        <f>'Mental Health Activity'!AG27</f>
        <v>87</v>
      </c>
    </row>
    <row r="415" spans="1:59" hidden="1">
      <c r="A415" t="str">
        <f>'[1]Front Sheet and Checklist'!$C$5</f>
        <v>(please select from drop down)</v>
      </c>
      <c r="B415" t="s">
        <v>247</v>
      </c>
      <c r="F415" t="str">
        <f>'Mental Health Activity'!B28</f>
        <v>Number of memory assessment services (MAS) – assessment within 28 days</v>
      </c>
      <c r="G415">
        <f>'Mental Health Activity'!I28</f>
        <v>67</v>
      </c>
      <c r="H415">
        <f>'Mental Health Activity'!J28</f>
        <v>67</v>
      </c>
      <c r="I415">
        <f>'Mental Health Activity'!K28</f>
        <v>67</v>
      </c>
      <c r="J415">
        <f>'Mental Health Activity'!L28</f>
        <v>67</v>
      </c>
      <c r="K415">
        <f>'Mental Health Activity'!M28</f>
        <v>67</v>
      </c>
      <c r="L415">
        <f>'Mental Health Activity'!N28</f>
        <v>67</v>
      </c>
      <c r="M415">
        <f>'Mental Health Activity'!O28</f>
        <v>67</v>
      </c>
      <c r="N415">
        <f>'Mental Health Activity'!P28</f>
        <v>67</v>
      </c>
      <c r="O415">
        <f>'Mental Health Activity'!Q28</f>
        <v>67</v>
      </c>
      <c r="P415">
        <f>'Mental Health Activity'!R28</f>
        <v>67</v>
      </c>
      <c r="Q415">
        <f>'Mental Health Activity'!S28</f>
        <v>67</v>
      </c>
      <c r="R415">
        <f>'Mental Health Activity'!T28</f>
        <v>67</v>
      </c>
      <c r="AH415">
        <f>'Mental Health Activity'!C28</f>
        <v>1262</v>
      </c>
      <c r="AI415">
        <f>'Mental Health Activity'!D28</f>
        <v>927</v>
      </c>
      <c r="AN415">
        <f>'Mental Health Activity'!E28</f>
        <v>804</v>
      </c>
      <c r="AO415">
        <f>'Mental Health Activity'!F28</f>
        <v>0</v>
      </c>
      <c r="AP415">
        <f>'Mental Health Activity'!G28</f>
        <v>0</v>
      </c>
      <c r="AV415">
        <f>'Mental Health Activity'!V28</f>
        <v>36</v>
      </c>
      <c r="AW415">
        <f>'Mental Health Activity'!W28</f>
        <v>44</v>
      </c>
      <c r="AX415">
        <f>'Mental Health Activity'!X28</f>
        <v>28</v>
      </c>
      <c r="AY415">
        <f>'Mental Health Activity'!Y28</f>
        <v>48</v>
      </c>
      <c r="AZ415">
        <f>'Mental Health Activity'!Z28</f>
        <v>39</v>
      </c>
      <c r="BA415">
        <f>'Mental Health Activity'!AA28</f>
        <v>29</v>
      </c>
      <c r="BB415">
        <f>'Mental Health Activity'!AB28</f>
        <v>65</v>
      </c>
      <c r="BC415">
        <f>'Mental Health Activity'!AC28</f>
        <v>52</v>
      </c>
      <c r="BD415">
        <f>'Mental Health Activity'!AD28</f>
        <v>24</v>
      </c>
      <c r="BE415">
        <f>'Mental Health Activity'!AE28</f>
        <v>43</v>
      </c>
      <c r="BF415">
        <f>'Mental Health Activity'!AF28</f>
        <v>65</v>
      </c>
      <c r="BG415">
        <f>'Mental Health Activity'!AG28</f>
        <v>32</v>
      </c>
    </row>
    <row r="416" spans="1:59" hidden="1">
      <c r="A416" t="str">
        <f>'[1]Front Sheet and Checklist'!$C$5</f>
        <v>(please select from drop down)</v>
      </c>
      <c r="B416" t="s">
        <v>247</v>
      </c>
      <c r="F416" t="str">
        <f>'Mental Health Activity'!B29</f>
        <v>Number of memory assessment services (MAS) – interventions started within 12 weeks</v>
      </c>
      <c r="G416">
        <f>'Mental Health Activity'!I29</f>
        <v>29</v>
      </c>
      <c r="H416">
        <f>'Mental Health Activity'!J29</f>
        <v>29</v>
      </c>
      <c r="I416">
        <f>'Mental Health Activity'!K29</f>
        <v>29</v>
      </c>
      <c r="J416">
        <f>'Mental Health Activity'!L29</f>
        <v>29</v>
      </c>
      <c r="K416">
        <f>'Mental Health Activity'!M29</f>
        <v>29</v>
      </c>
      <c r="L416">
        <f>'Mental Health Activity'!N29</f>
        <v>29</v>
      </c>
      <c r="M416">
        <f>'Mental Health Activity'!O29</f>
        <v>29</v>
      </c>
      <c r="N416">
        <f>'Mental Health Activity'!P29</f>
        <v>29</v>
      </c>
      <c r="O416">
        <f>'Mental Health Activity'!Q29</f>
        <v>29</v>
      </c>
      <c r="P416">
        <f>'Mental Health Activity'!R29</f>
        <v>29</v>
      </c>
      <c r="Q416">
        <f>'Mental Health Activity'!S29</f>
        <v>29</v>
      </c>
      <c r="R416">
        <f>'Mental Health Activity'!T29</f>
        <v>29</v>
      </c>
      <c r="AH416">
        <f>'Mental Health Activity'!C29</f>
        <v>348</v>
      </c>
      <c r="AI416">
        <f>'Mental Health Activity'!D29</f>
        <v>261</v>
      </c>
      <c r="AN416">
        <f>'Mental Health Activity'!E29</f>
        <v>348</v>
      </c>
      <c r="AO416">
        <f>'Mental Health Activity'!F29</f>
        <v>0</v>
      </c>
      <c r="AP416">
        <f>'Mental Health Activity'!G29</f>
        <v>0</v>
      </c>
      <c r="AV416">
        <f>'Mental Health Activity'!V29</f>
        <v>0</v>
      </c>
      <c r="AW416">
        <f>'Mental Health Activity'!W29</f>
        <v>0</v>
      </c>
      <c r="AX416">
        <f>'Mental Health Activity'!X29</f>
        <v>0</v>
      </c>
      <c r="AY416">
        <f>'Mental Health Activity'!Y29</f>
        <v>0</v>
      </c>
      <c r="AZ416">
        <f>'Mental Health Activity'!Z29</f>
        <v>0</v>
      </c>
      <c r="BA416">
        <f>'Mental Health Activity'!AA29</f>
        <v>0</v>
      </c>
      <c r="BB416">
        <f>'Mental Health Activity'!AB29</f>
        <v>0</v>
      </c>
      <c r="BC416">
        <f>'Mental Health Activity'!AC29</f>
        <v>0</v>
      </c>
      <c r="BD416">
        <f>'Mental Health Activity'!AD29</f>
        <v>0</v>
      </c>
      <c r="BE416">
        <f>'Mental Health Activity'!AE29</f>
        <v>0</v>
      </c>
      <c r="BF416">
        <f>'Mental Health Activity'!AF29</f>
        <v>0</v>
      </c>
      <c r="BG416">
        <f>'Mental Health Activity'!AG29</f>
        <v>0</v>
      </c>
    </row>
    <row r="417" spans="1:59" hidden="1">
      <c r="A417" t="str">
        <f>'[1]Front Sheet and Checklist'!$C$5</f>
        <v>(please select from drop down)</v>
      </c>
      <c r="B417" t="s">
        <v>247</v>
      </c>
      <c r="F417" t="str">
        <f>'Mental Health Activity'!B30</f>
        <v>Part 2 duty - % of total caseloads with a valid care and treatment plan (%) 18+</v>
      </c>
      <c r="G417">
        <f>'Mental Health Activity'!I30</f>
        <v>0.9</v>
      </c>
      <c r="H417">
        <f>'Mental Health Activity'!J30</f>
        <v>0.9</v>
      </c>
      <c r="I417">
        <f>'Mental Health Activity'!K30</f>
        <v>0.9</v>
      </c>
      <c r="J417">
        <f>'Mental Health Activity'!L30</f>
        <v>0.9</v>
      </c>
      <c r="K417">
        <f>'Mental Health Activity'!M30</f>
        <v>0.9</v>
      </c>
      <c r="L417">
        <f>'Mental Health Activity'!N30</f>
        <v>0.9</v>
      </c>
      <c r="M417">
        <f>'Mental Health Activity'!O30</f>
        <v>0.9</v>
      </c>
      <c r="N417">
        <f>'Mental Health Activity'!P30</f>
        <v>0.9</v>
      </c>
      <c r="O417">
        <f>'Mental Health Activity'!Q30</f>
        <v>0.9</v>
      </c>
      <c r="P417">
        <f>'Mental Health Activity'!R30</f>
        <v>0.9</v>
      </c>
      <c r="Q417">
        <f>'Mental Health Activity'!S30</f>
        <v>0.9</v>
      </c>
      <c r="R417">
        <f>'Mental Health Activity'!T30</f>
        <v>0.9</v>
      </c>
      <c r="AH417">
        <f>'Mental Health Activity'!C30</f>
        <v>0.877</v>
      </c>
      <c r="AI417">
        <f>'Mental Health Activity'!D30</f>
        <v>0.88</v>
      </c>
      <c r="AN417">
        <f>'Mental Health Activity'!E30</f>
        <v>0.90000000000000024</v>
      </c>
      <c r="AO417">
        <f>'Mental Health Activity'!F30</f>
        <v>0</v>
      </c>
      <c r="AP417">
        <f>'Mental Health Activity'!G30</f>
        <v>0</v>
      </c>
      <c r="AV417">
        <f>'Mental Health Activity'!V30</f>
        <v>0.88260000000000005</v>
      </c>
      <c r="AW417">
        <f>'Mental Health Activity'!W30</f>
        <v>0.86450000000000005</v>
      </c>
      <c r="AX417">
        <f>'Mental Health Activity'!X30</f>
        <v>0.89</v>
      </c>
      <c r="AY417">
        <f>'Mental Health Activity'!Y30</f>
        <v>0.92</v>
      </c>
      <c r="AZ417">
        <f>'Mental Health Activity'!Z30</f>
        <v>0.92</v>
      </c>
      <c r="BA417">
        <f>'Mental Health Activity'!AA30</f>
        <v>0.93</v>
      </c>
      <c r="BB417">
        <f>'Mental Health Activity'!AB30</f>
        <v>0.9</v>
      </c>
      <c r="BC417">
        <f>'Mental Health Activity'!AC30</f>
        <v>0.89</v>
      </c>
      <c r="BD417">
        <f>'Mental Health Activity'!AD30</f>
        <v>0.92</v>
      </c>
      <c r="BE417">
        <f>'Mental Health Activity'!AE30</f>
        <v>0.93</v>
      </c>
      <c r="BF417">
        <f>'Mental Health Activity'!AF30</f>
        <v>0.92</v>
      </c>
      <c r="BG417">
        <f>'Mental Health Activity'!AG30</f>
        <v>0.94</v>
      </c>
    </row>
    <row r="418" spans="1:59" hidden="1">
      <c r="A418" t="str">
        <f>'[1]Front Sheet and Checklist'!$C$5</f>
        <v>(please select from drop down)</v>
      </c>
      <c r="B418" t="s">
        <v>247</v>
      </c>
      <c r="F418" t="str">
        <f>'Mental Health Activity'!B31</f>
        <v>Part 2 duty - % of total caseloads with valid care and treatment plan (%) under 18</v>
      </c>
      <c r="G418">
        <f>'Mental Health Activity'!I31</f>
        <v>0.9</v>
      </c>
      <c r="H418">
        <f>'Mental Health Activity'!J31</f>
        <v>0.9</v>
      </c>
      <c r="I418">
        <f>'Mental Health Activity'!K31</f>
        <v>0.9</v>
      </c>
      <c r="J418">
        <f>'Mental Health Activity'!L31</f>
        <v>0.9</v>
      </c>
      <c r="K418">
        <f>'Mental Health Activity'!M31</f>
        <v>0.9</v>
      </c>
      <c r="L418">
        <f>'Mental Health Activity'!N31</f>
        <v>0.9</v>
      </c>
      <c r="M418">
        <f>'Mental Health Activity'!O31</f>
        <v>0.9</v>
      </c>
      <c r="N418">
        <f>'Mental Health Activity'!P31</f>
        <v>0.9</v>
      </c>
      <c r="O418">
        <f>'Mental Health Activity'!Q31</f>
        <v>0.9</v>
      </c>
      <c r="P418">
        <f>'Mental Health Activity'!R31</f>
        <v>0.9</v>
      </c>
      <c r="Q418">
        <f>'Mental Health Activity'!S31</f>
        <v>0.9</v>
      </c>
      <c r="R418">
        <f>'Mental Health Activity'!T31</f>
        <v>0.9</v>
      </c>
      <c r="AH418">
        <f>'Mental Health Activity'!C31</f>
        <v>0.91400000000000003</v>
      </c>
      <c r="AI418">
        <f>'Mental Health Activity'!D31</f>
        <v>0.93899999999999995</v>
      </c>
      <c r="AN418">
        <f>'Mental Health Activity'!E31</f>
        <v>0.90000000000000024</v>
      </c>
      <c r="AO418">
        <f>'Mental Health Activity'!F31</f>
        <v>0</v>
      </c>
      <c r="AP418">
        <f>'Mental Health Activity'!G31</f>
        <v>0</v>
      </c>
      <c r="AV418">
        <f>'Mental Health Activity'!V31</f>
        <v>0.94099999999999995</v>
      </c>
      <c r="AW418">
        <f>'Mental Health Activity'!W31</f>
        <v>0.93899999999999995</v>
      </c>
      <c r="AX418">
        <f>'Mental Health Activity'!X31</f>
        <v>0.94</v>
      </c>
      <c r="AY418">
        <f>'Mental Health Activity'!Y31</f>
        <v>0.95</v>
      </c>
      <c r="AZ418">
        <f>'Mental Health Activity'!Z31</f>
        <v>0.95</v>
      </c>
      <c r="BA418">
        <f>'Mental Health Activity'!AA31</f>
        <v>1</v>
      </c>
      <c r="BB418">
        <f>'Mental Health Activity'!AB31</f>
        <v>1</v>
      </c>
      <c r="BC418">
        <f>'Mental Health Activity'!AC31</f>
        <v>1</v>
      </c>
      <c r="BD418">
        <f>'Mental Health Activity'!AD31</f>
        <v>0.98</v>
      </c>
      <c r="BE418">
        <f>'Mental Health Activity'!AE31</f>
        <v>0.98</v>
      </c>
      <c r="BF418">
        <f>'Mental Health Activity'!AF31</f>
        <v>0.98</v>
      </c>
      <c r="BG418">
        <f>'Mental Health Activity'!AG31</f>
        <v>0.98</v>
      </c>
    </row>
    <row r="419" spans="1:59" hidden="1">
      <c r="A419" t="str">
        <f>'[1]Front Sheet and Checklist'!$C$5</f>
        <v>(please select from drop down)</v>
      </c>
      <c r="B419" t="s">
        <v>247</v>
      </c>
      <c r="F419" t="str">
        <f>'Mental Health Activity'!B32</f>
        <v>Number of referrals for psychological therapy</v>
      </c>
      <c r="G419">
        <f>'Mental Health Activity'!I32</f>
        <v>476</v>
      </c>
      <c r="H419">
        <f>'Mental Health Activity'!J32</f>
        <v>476</v>
      </c>
      <c r="I419">
        <f>'Mental Health Activity'!K32</f>
        <v>476</v>
      </c>
      <c r="J419">
        <f>'Mental Health Activity'!L32</f>
        <v>476</v>
      </c>
      <c r="K419">
        <f>'Mental Health Activity'!M32</f>
        <v>476</v>
      </c>
      <c r="L419">
        <f>'Mental Health Activity'!N32</f>
        <v>416</v>
      </c>
      <c r="M419">
        <f>'Mental Health Activity'!O32</f>
        <v>416</v>
      </c>
      <c r="N419">
        <f>'Mental Health Activity'!P32</f>
        <v>416</v>
      </c>
      <c r="O419">
        <f>'Mental Health Activity'!Q32</f>
        <v>416</v>
      </c>
      <c r="P419">
        <f>'Mental Health Activity'!R32</f>
        <v>416</v>
      </c>
      <c r="Q419">
        <f>'Mental Health Activity'!S32</f>
        <v>416</v>
      </c>
      <c r="R419">
        <f>'Mental Health Activity'!T32</f>
        <v>416</v>
      </c>
      <c r="AH419">
        <f>'Mental Health Activity'!C32</f>
        <v>4435</v>
      </c>
      <c r="AI419">
        <f>'Mental Health Activity'!D32</f>
        <v>5189</v>
      </c>
      <c r="AN419">
        <f>'Mental Health Activity'!E32</f>
        <v>5292</v>
      </c>
      <c r="AO419">
        <f>'Mental Health Activity'!F32</f>
        <v>0</v>
      </c>
      <c r="AP419">
        <f>'Mental Health Activity'!G32</f>
        <v>0</v>
      </c>
      <c r="AV419">
        <f>'Mental Health Activity'!V32</f>
        <v>475</v>
      </c>
      <c r="AW419">
        <f>'Mental Health Activity'!W32</f>
        <v>428</v>
      </c>
      <c r="AX419">
        <f>'Mental Health Activity'!X32</f>
        <v>378</v>
      </c>
      <c r="AY419">
        <f>'Mental Health Activity'!Y32</f>
        <v>494</v>
      </c>
      <c r="AZ419">
        <f>'Mental Health Activity'!Z32</f>
        <v>421</v>
      </c>
      <c r="BA419">
        <f>'Mental Health Activity'!AA32</f>
        <v>366</v>
      </c>
      <c r="BB419">
        <f>'Mental Health Activity'!AB32</f>
        <v>571</v>
      </c>
      <c r="BC419">
        <f>'Mental Health Activity'!AC32</f>
        <v>469</v>
      </c>
      <c r="BD419">
        <f>'Mental Health Activity'!AD32</f>
        <v>373</v>
      </c>
      <c r="BE419">
        <f>'Mental Health Activity'!AE32</f>
        <v>0</v>
      </c>
      <c r="BF419">
        <f>'Mental Health Activity'!AF32</f>
        <v>0</v>
      </c>
      <c r="BG419">
        <f>'Mental Health Activity'!AG32</f>
        <v>0</v>
      </c>
    </row>
    <row r="420" spans="1:59" hidden="1">
      <c r="A420" t="str">
        <f>'[1]Front Sheet and Checklist'!$C$5</f>
        <v>(please select from drop down)</v>
      </c>
      <c r="B420" t="s">
        <v>247</v>
      </c>
      <c r="F420" t="str">
        <f>'Mental Health Activity'!B33</f>
        <v>Percentage (%) waiting over 26 weeks for psychological therapy</v>
      </c>
      <c r="G420">
        <f>'Mental Health Activity'!I33</f>
        <v>0.34</v>
      </c>
      <c r="H420">
        <f>'Mental Health Activity'!J33</f>
        <v>0.34</v>
      </c>
      <c r="I420">
        <f>'Mental Health Activity'!K33</f>
        <v>0.34</v>
      </c>
      <c r="J420">
        <f>'Mental Health Activity'!L33</f>
        <v>0.34</v>
      </c>
      <c r="K420">
        <f>'Mental Health Activity'!M33</f>
        <v>0.34</v>
      </c>
      <c r="L420">
        <f>'Mental Health Activity'!N33</f>
        <v>0.34</v>
      </c>
      <c r="M420">
        <f>'Mental Health Activity'!O33</f>
        <v>0.34</v>
      </c>
      <c r="N420">
        <f>'Mental Health Activity'!P33</f>
        <v>0.34</v>
      </c>
      <c r="O420">
        <f>'Mental Health Activity'!Q33</f>
        <v>0.34</v>
      </c>
      <c r="P420">
        <f>'Mental Health Activity'!R33</f>
        <v>0.34</v>
      </c>
      <c r="Q420">
        <f>'Mental Health Activity'!S33</f>
        <v>0.34</v>
      </c>
      <c r="R420">
        <f>'Mental Health Activity'!T33</f>
        <v>0.34</v>
      </c>
      <c r="AH420">
        <f>'Mental Health Activity'!C33</f>
        <v>0.12</v>
      </c>
      <c r="AI420">
        <f>'Mental Health Activity'!D33</f>
        <v>0.17330000000000001</v>
      </c>
      <c r="AN420">
        <f>'Mental Health Activity'!E33</f>
        <v>0.34</v>
      </c>
      <c r="AO420">
        <f>'Mental Health Activity'!F33</f>
        <v>0</v>
      </c>
      <c r="AP420">
        <f>'Mental Health Activity'!G33</f>
        <v>0</v>
      </c>
      <c r="AV420">
        <f>'Mental Health Activity'!V33</f>
        <v>0.33500000000000002</v>
      </c>
      <c r="AW420">
        <f>'Mental Health Activity'!W33</f>
        <v>0.35799999999999998</v>
      </c>
      <c r="AX420">
        <f>'Mental Health Activity'!X33</f>
        <v>0.36599999999999999</v>
      </c>
      <c r="AY420">
        <f>'Mental Health Activity'!Y33</f>
        <v>0.39</v>
      </c>
      <c r="AZ420">
        <f>'Mental Health Activity'!Z33</f>
        <v>0.40500000000000003</v>
      </c>
      <c r="BA420">
        <f>'Mental Health Activity'!AA33</f>
        <v>0.434</v>
      </c>
      <c r="BB420">
        <f>'Mental Health Activity'!AB33</f>
        <v>0.432</v>
      </c>
      <c r="BC420">
        <f>'Mental Health Activity'!AC33</f>
        <v>0.44500000000000001</v>
      </c>
      <c r="BD420">
        <f>'Mental Health Activity'!AD33</f>
        <v>0.45900000000000002</v>
      </c>
      <c r="BE420">
        <f>'Mental Health Activity'!AE33</f>
        <v>0.48010000000000003</v>
      </c>
      <c r="BF420">
        <f>'Mental Health Activity'!AF33</f>
        <v>0.47299999999999998</v>
      </c>
      <c r="BG420">
        <f>'Mental Health Activity'!AG33</f>
        <v>0.49</v>
      </c>
    </row>
    <row r="421" spans="1:59" hidden="1">
      <c r="A421" t="str">
        <f>'[1]Front Sheet and Checklist'!$C$5</f>
        <v>(please select from drop down)</v>
      </c>
      <c r="B421" t="s">
        <v>247</v>
      </c>
      <c r="F421" t="str">
        <f>'Mental Health Activity'!B34</f>
        <v>The number of people experiencing first episode psychosis commencing a NICE-recommended package of care.</v>
      </c>
      <c r="G421">
        <f>'Mental Health Activity'!I34</f>
        <v>4</v>
      </c>
      <c r="H421">
        <f>'Mental Health Activity'!J34</f>
        <v>4</v>
      </c>
      <c r="I421">
        <f>'Mental Health Activity'!K34</f>
        <v>4</v>
      </c>
      <c r="J421">
        <f>'Mental Health Activity'!L34</f>
        <v>4</v>
      </c>
      <c r="K421">
        <f>'Mental Health Activity'!M34</f>
        <v>4</v>
      </c>
      <c r="L421">
        <f>'Mental Health Activity'!N34</f>
        <v>4</v>
      </c>
      <c r="M421">
        <f>'Mental Health Activity'!O34</f>
        <v>4</v>
      </c>
      <c r="N421">
        <f>'Mental Health Activity'!P34</f>
        <v>4</v>
      </c>
      <c r="O421">
        <f>'Mental Health Activity'!Q34</f>
        <v>4</v>
      </c>
      <c r="P421">
        <f>'Mental Health Activity'!R34</f>
        <v>4</v>
      </c>
      <c r="Q421">
        <f>'Mental Health Activity'!S34</f>
        <v>4</v>
      </c>
      <c r="R421">
        <f>'Mental Health Activity'!T34</f>
        <v>4</v>
      </c>
      <c r="AH421">
        <f>'Mental Health Activity'!C34</f>
        <v>7075</v>
      </c>
      <c r="AI421">
        <f>'Mental Health Activity'!D34</f>
        <v>15682</v>
      </c>
      <c r="AN421">
        <f>'Mental Health Activity'!E34</f>
        <v>48</v>
      </c>
      <c r="AO421">
        <f>'Mental Health Activity'!F34</f>
        <v>0</v>
      </c>
      <c r="AP421">
        <f>'Mental Health Activity'!G34</f>
        <v>0</v>
      </c>
      <c r="AV421">
        <f>'Mental Health Activity'!V34</f>
        <v>2</v>
      </c>
      <c r="AW421">
        <f>'Mental Health Activity'!W34</f>
        <v>0</v>
      </c>
      <c r="AX421">
        <f>'Mental Health Activity'!X34</f>
        <v>1</v>
      </c>
      <c r="AY421">
        <f>'Mental Health Activity'!Y34</f>
        <v>1</v>
      </c>
      <c r="AZ421">
        <f>'Mental Health Activity'!Z34</f>
        <v>3</v>
      </c>
      <c r="BA421">
        <f>'Mental Health Activity'!AA34</f>
        <v>6</v>
      </c>
      <c r="BB421">
        <f>'Mental Health Activity'!AB34</f>
        <v>4</v>
      </c>
      <c r="BC421">
        <f>'Mental Health Activity'!AC34</f>
        <v>0</v>
      </c>
      <c r="BD421">
        <f>'Mental Health Activity'!AD34</f>
        <v>0</v>
      </c>
      <c r="BE421">
        <f>'Mental Health Activity'!AE34</f>
        <v>1</v>
      </c>
      <c r="BF421">
        <f>'Mental Health Activity'!AF34</f>
        <v>0</v>
      </c>
      <c r="BG421">
        <f>'Mental Health Activity'!AG34</f>
        <v>0</v>
      </c>
    </row>
    <row r="422" spans="1:59" hidden="1">
      <c r="A422" t="str">
        <f>'[1]Front Sheet and Checklist'!$C$5</f>
        <v>(please select from drop down)</v>
      </c>
      <c r="B422" t="s">
        <v>247</v>
      </c>
      <c r="F422" t="str">
        <f>'Mental Health Activity'!B35</f>
        <v>Number of people experiencing first episode psychosis commencing a NICE-recommended package of care within two weeks of referral.</v>
      </c>
      <c r="G422">
        <f>'Mental Health Activity'!I35</f>
        <v>3</v>
      </c>
      <c r="H422">
        <f>'Mental Health Activity'!J35</f>
        <v>3</v>
      </c>
      <c r="I422">
        <f>'Mental Health Activity'!K35</f>
        <v>3</v>
      </c>
      <c r="J422">
        <f>'Mental Health Activity'!L35</f>
        <v>3</v>
      </c>
      <c r="K422">
        <f>'Mental Health Activity'!M35</f>
        <v>3</v>
      </c>
      <c r="L422">
        <f>'Mental Health Activity'!N35</f>
        <v>3</v>
      </c>
      <c r="M422">
        <f>'Mental Health Activity'!O35</f>
        <v>3</v>
      </c>
      <c r="N422">
        <f>'Mental Health Activity'!P35</f>
        <v>3</v>
      </c>
      <c r="O422">
        <f>'Mental Health Activity'!Q35</f>
        <v>3</v>
      </c>
      <c r="P422">
        <f>'Mental Health Activity'!R35</f>
        <v>3</v>
      </c>
      <c r="Q422">
        <f>'Mental Health Activity'!S35</f>
        <v>3</v>
      </c>
      <c r="R422">
        <f>'Mental Health Activity'!T35</f>
        <v>3</v>
      </c>
      <c r="AH422">
        <f>'Mental Health Activity'!C35</f>
        <v>0</v>
      </c>
      <c r="AI422">
        <f>'Mental Health Activity'!D35</f>
        <v>0</v>
      </c>
      <c r="AN422">
        <f>'Mental Health Activity'!E35</f>
        <v>36</v>
      </c>
      <c r="AO422">
        <f>'Mental Health Activity'!F35</f>
        <v>0</v>
      </c>
      <c r="AP422">
        <f>'Mental Health Activity'!G35</f>
        <v>0</v>
      </c>
      <c r="AV422">
        <f>'Mental Health Activity'!V35</f>
        <v>2</v>
      </c>
      <c r="AW422">
        <f>'Mental Health Activity'!W35</f>
        <v>0</v>
      </c>
      <c r="AX422">
        <f>'Mental Health Activity'!X35</f>
        <v>1</v>
      </c>
      <c r="AY422">
        <f>'Mental Health Activity'!Y35</f>
        <v>1</v>
      </c>
      <c r="AZ422">
        <f>'Mental Health Activity'!Z35</f>
        <v>3</v>
      </c>
      <c r="BA422">
        <f>'Mental Health Activity'!AA35</f>
        <v>6</v>
      </c>
      <c r="BB422">
        <f>'Mental Health Activity'!AB35</f>
        <v>4</v>
      </c>
      <c r="BC422">
        <f>'Mental Health Activity'!AC35</f>
        <v>0</v>
      </c>
      <c r="BD422">
        <f>'Mental Health Activity'!AD35</f>
        <v>0</v>
      </c>
      <c r="BE422">
        <f>'Mental Health Activity'!AE35</f>
        <v>1</v>
      </c>
      <c r="BF422">
        <f>'Mental Health Activity'!AF35</f>
        <v>0</v>
      </c>
      <c r="BG422">
        <f>'Mental Health Activity'!AG35</f>
        <v>0</v>
      </c>
    </row>
    <row r="423" spans="1:59" hidden="1">
      <c r="A423" t="str">
        <f>'[1]Front Sheet and Checklist'!$C$5</f>
        <v>(please select from drop down)</v>
      </c>
      <c r="B423" t="s">
        <v>247</v>
      </c>
      <c r="F423" t="str">
        <f>'Mental Health Activity'!B36</f>
        <v>The total number of adults and older people followed up from being discharged from Mental Health Inpatient Care.</v>
      </c>
      <c r="G423">
        <f>'Mental Health Activity'!I36</f>
        <v>0</v>
      </c>
      <c r="H423">
        <f>'Mental Health Activity'!J36</f>
        <v>0</v>
      </c>
      <c r="I423">
        <f>'Mental Health Activity'!K36</f>
        <v>0</v>
      </c>
      <c r="J423">
        <f>'Mental Health Activity'!L36</f>
        <v>0</v>
      </c>
      <c r="K423">
        <f>'Mental Health Activity'!M36</f>
        <v>0</v>
      </c>
      <c r="L423">
        <f>'Mental Health Activity'!N36</f>
        <v>0</v>
      </c>
      <c r="M423">
        <f>'Mental Health Activity'!O36</f>
        <v>0</v>
      </c>
      <c r="N423">
        <f>'Mental Health Activity'!P36</f>
        <v>0</v>
      </c>
      <c r="O423">
        <f>'Mental Health Activity'!Q36</f>
        <v>0</v>
      </c>
      <c r="P423">
        <f>'Mental Health Activity'!R36</f>
        <v>0</v>
      </c>
      <c r="Q423">
        <f>'Mental Health Activity'!S36</f>
        <v>0</v>
      </c>
      <c r="R423">
        <f>'Mental Health Activity'!T36</f>
        <v>0</v>
      </c>
      <c r="AH423">
        <f>'Mental Health Activity'!C36</f>
        <v>0</v>
      </c>
      <c r="AI423">
        <f>'Mental Health Activity'!D36</f>
        <v>0</v>
      </c>
      <c r="AN423">
        <f>'Mental Health Activity'!E36</f>
        <v>0</v>
      </c>
      <c r="AO423">
        <f>'Mental Health Activity'!F36</f>
        <v>0</v>
      </c>
      <c r="AP423">
        <f>'Mental Health Activity'!G36</f>
        <v>0</v>
      </c>
      <c r="AV423">
        <f>'Mental Health Activity'!V36</f>
        <v>0</v>
      </c>
      <c r="AW423">
        <f>'Mental Health Activity'!W36</f>
        <v>0</v>
      </c>
      <c r="AX423">
        <f>'Mental Health Activity'!X36</f>
        <v>0</v>
      </c>
      <c r="AY423">
        <f>'Mental Health Activity'!Y36</f>
        <v>0</v>
      </c>
      <c r="AZ423">
        <f>'Mental Health Activity'!Z36</f>
        <v>0</v>
      </c>
      <c r="BA423">
        <f>'Mental Health Activity'!AA36</f>
        <v>0</v>
      </c>
      <c r="BB423">
        <f>'Mental Health Activity'!AB36</f>
        <v>23</v>
      </c>
      <c r="BC423">
        <f>'Mental Health Activity'!AC36</f>
        <v>46</v>
      </c>
      <c r="BD423">
        <f>'Mental Health Activity'!AD36</f>
        <v>27</v>
      </c>
      <c r="BE423">
        <f>'Mental Health Activity'!AE36</f>
        <v>24</v>
      </c>
      <c r="BF423">
        <f>'Mental Health Activity'!AF36</f>
        <v>27</v>
      </c>
      <c r="BG423">
        <f>'Mental Health Activity'!AG36</f>
        <v>17</v>
      </c>
    </row>
    <row r="424" spans="1:59" hidden="1">
      <c r="A424" t="str">
        <f>'[1]Front Sheet and Checklist'!$C$5</f>
        <v>(please select from drop down)</v>
      </c>
      <c r="B424" t="s">
        <v>247</v>
      </c>
      <c r="F424" t="str">
        <f>'Mental Health Activity'!B37</f>
        <v>The total number of adults and older people followed up within 72 hours of being discharged from Mental Health Inpatient Care.</v>
      </c>
      <c r="G424">
        <f>'Mental Health Activity'!I37</f>
        <v>0</v>
      </c>
      <c r="H424">
        <f>'Mental Health Activity'!J37</f>
        <v>0</v>
      </c>
      <c r="I424">
        <f>'Mental Health Activity'!K37</f>
        <v>0</v>
      </c>
      <c r="J424">
        <f>'Mental Health Activity'!L37</f>
        <v>0</v>
      </c>
      <c r="K424">
        <f>'Mental Health Activity'!M37</f>
        <v>0</v>
      </c>
      <c r="L424">
        <f>'Mental Health Activity'!N37</f>
        <v>0</v>
      </c>
      <c r="M424">
        <f>'Mental Health Activity'!O37</f>
        <v>0</v>
      </c>
      <c r="N424">
        <f>'Mental Health Activity'!P37</f>
        <v>0</v>
      </c>
      <c r="O424">
        <f>'Mental Health Activity'!Q37</f>
        <v>0</v>
      </c>
      <c r="P424">
        <f>'Mental Health Activity'!R37</f>
        <v>0</v>
      </c>
      <c r="Q424">
        <f>'Mental Health Activity'!S37</f>
        <v>0</v>
      </c>
      <c r="R424">
        <f>'Mental Health Activity'!T37</f>
        <v>0</v>
      </c>
      <c r="AH424">
        <f>'Mental Health Activity'!C37</f>
        <v>0</v>
      </c>
      <c r="AI424">
        <f>'Mental Health Activity'!D37</f>
        <v>0</v>
      </c>
      <c r="AN424">
        <f>'Mental Health Activity'!E37</f>
        <v>0</v>
      </c>
      <c r="AO424">
        <f>'Mental Health Activity'!F37</f>
        <v>0</v>
      </c>
      <c r="AP424">
        <f>'Mental Health Activity'!G37</f>
        <v>0</v>
      </c>
      <c r="AV424">
        <f>'Mental Health Activity'!V37</f>
        <v>0</v>
      </c>
      <c r="AW424">
        <f>'Mental Health Activity'!W37</f>
        <v>0</v>
      </c>
      <c r="AX424">
        <f>'Mental Health Activity'!X37</f>
        <v>0</v>
      </c>
      <c r="AY424">
        <f>'Mental Health Activity'!Y37</f>
        <v>0</v>
      </c>
      <c r="AZ424">
        <f>'Mental Health Activity'!Z37</f>
        <v>0</v>
      </c>
      <c r="BA424">
        <f>'Mental Health Activity'!AA37</f>
        <v>0</v>
      </c>
      <c r="BB424">
        <f>'Mental Health Activity'!AB37</f>
        <v>22</v>
      </c>
      <c r="BC424">
        <f>'Mental Health Activity'!AC37</f>
        <v>46</v>
      </c>
      <c r="BD424">
        <f>'Mental Health Activity'!AD37</f>
        <v>24</v>
      </c>
      <c r="BE424">
        <f>'Mental Health Activity'!AE37</f>
        <v>24</v>
      </c>
      <c r="BF424">
        <f>'Mental Health Activity'!AF37</f>
        <v>27</v>
      </c>
      <c r="BG424">
        <f>'Mental Health Activity'!AG37</f>
        <v>14</v>
      </c>
    </row>
    <row r="425" spans="1:59" hidden="1">
      <c r="A425" t="str">
        <f>'[1]Front Sheet and Checklist'!$C$5</f>
        <v>(please select from drop down)</v>
      </c>
      <c r="B425" t="s">
        <v>247</v>
      </c>
      <c r="F425" t="str">
        <f>'Mental Health Activity'!B38</f>
        <v>Number of calls to 111 press 2</v>
      </c>
      <c r="G425">
        <f>'Mental Health Activity'!I38</f>
        <v>1335</v>
      </c>
      <c r="H425">
        <f>'Mental Health Activity'!J38</f>
        <v>1335</v>
      </c>
      <c r="I425">
        <f>'Mental Health Activity'!K38</f>
        <v>1335</v>
      </c>
      <c r="J425">
        <f>'Mental Health Activity'!L38</f>
        <v>1335</v>
      </c>
      <c r="K425">
        <f>'Mental Health Activity'!M38</f>
        <v>1401</v>
      </c>
      <c r="L425">
        <f>'Mental Health Activity'!N38</f>
        <v>1401</v>
      </c>
      <c r="M425">
        <f>'Mental Health Activity'!O38</f>
        <v>1401</v>
      </c>
      <c r="N425">
        <f>'Mental Health Activity'!P38</f>
        <v>1401</v>
      </c>
      <c r="O425">
        <f>'Mental Health Activity'!Q38</f>
        <v>1401</v>
      </c>
      <c r="P425">
        <f>'Mental Health Activity'!R38</f>
        <v>1401</v>
      </c>
      <c r="Q425">
        <f>'Mental Health Activity'!S38</f>
        <v>1401</v>
      </c>
      <c r="R425">
        <f>'Mental Health Activity'!T38</f>
        <v>1401</v>
      </c>
      <c r="AH425">
        <f>'Mental Health Activity'!C38</f>
        <v>0</v>
      </c>
      <c r="AI425">
        <f>'Mental Health Activity'!D38</f>
        <v>0</v>
      </c>
      <c r="AN425">
        <f>'Mental Health Activity'!E38</f>
        <v>16548</v>
      </c>
      <c r="AO425">
        <f>'Mental Health Activity'!F38</f>
        <v>0</v>
      </c>
      <c r="AP425">
        <f>'Mental Health Activity'!G38</f>
        <v>0</v>
      </c>
      <c r="AV425">
        <f>'Mental Health Activity'!V38</f>
        <v>1770</v>
      </c>
      <c r="AW425">
        <f>'Mental Health Activity'!W38</f>
        <v>2226</v>
      </c>
      <c r="AX425">
        <f>'Mental Health Activity'!X38</f>
        <v>2022</v>
      </c>
      <c r="AY425">
        <f>'Mental Health Activity'!Y38</f>
        <v>1740</v>
      </c>
      <c r="AZ425">
        <f>'Mental Health Activity'!Z38</f>
        <v>1999</v>
      </c>
      <c r="BA425">
        <f>'Mental Health Activity'!AA38</f>
        <v>1786</v>
      </c>
      <c r="BB425">
        <f>'Mental Health Activity'!AB38</f>
        <v>1759</v>
      </c>
      <c r="BC425">
        <f>'Mental Health Activity'!AC38</f>
        <v>1725</v>
      </c>
      <c r="BD425">
        <f>'Mental Health Activity'!AD38</f>
        <v>1609</v>
      </c>
      <c r="BE425">
        <f>'Mental Health Activity'!AE38</f>
        <v>1685</v>
      </c>
      <c r="BF425">
        <f>'Mental Health Activity'!AF38</f>
        <v>1602</v>
      </c>
      <c r="BG425">
        <f>'Mental Health Activity'!AG38</f>
        <v>1801</v>
      </c>
    </row>
  </sheetData>
  <autoFilter ref="A1:BL425" xr:uid="{00000000-0009-0000-0000-000007000000}">
    <filterColumn colId="1">
      <filters>
        <filter val="VACCINATIONS"/>
      </filters>
    </filterColumn>
  </autoFilter>
  <pageMargins left="0.70866141732283472" right="0.70866141732283472" top="0.74803149606299213" bottom="0.74803149606299213" header="0.31496062992125984" footer="0.31496062992125984"/>
  <pageSetup paperSize="9" scale="2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pageSetUpPr fitToPage="1"/>
  </sheetPr>
  <dimension ref="B1:T139"/>
  <sheetViews>
    <sheetView showGridLines="0" topLeftCell="A12" zoomScale="80" zoomScaleNormal="80" workbookViewId="0">
      <selection activeCell="G33" sqref="G33"/>
    </sheetView>
  </sheetViews>
  <sheetFormatPr defaultColWidth="8.84375" defaultRowHeight="12.5"/>
  <cols>
    <col min="1" max="1" width="4.07421875" style="497" customWidth="1"/>
    <col min="2" max="2" width="4.84375" style="497" customWidth="1"/>
    <col min="3" max="3" width="42.07421875" style="497" customWidth="1"/>
    <col min="4" max="4" width="15" style="497" customWidth="1"/>
    <col min="5" max="5" width="12.53515625" style="497" customWidth="1"/>
    <col min="6" max="20" width="10.4609375" style="497" customWidth="1"/>
    <col min="21" max="16384" width="8.84375" style="497"/>
  </cols>
  <sheetData>
    <row r="1" spans="2:20" ht="13" thickBot="1"/>
    <row r="2" spans="2:20" ht="20.5" thickBot="1">
      <c r="C2" s="840" t="s">
        <v>248</v>
      </c>
      <c r="D2" s="841"/>
      <c r="E2" s="842"/>
      <c r="F2" s="498"/>
      <c r="G2" s="498"/>
      <c r="H2" s="499"/>
      <c r="I2" s="499"/>
      <c r="J2" s="499"/>
      <c r="K2" s="499"/>
      <c r="L2" s="499"/>
      <c r="M2" s="499"/>
      <c r="N2" s="499"/>
      <c r="O2" s="499"/>
      <c r="P2" s="499"/>
      <c r="Q2" s="500"/>
    </row>
    <row r="3" spans="2:20" ht="13">
      <c r="F3" s="498"/>
      <c r="G3" s="501" t="s">
        <v>1276</v>
      </c>
      <c r="H3" s="843"/>
      <c r="I3" s="844"/>
      <c r="J3" s="844"/>
      <c r="K3" s="844"/>
      <c r="L3" s="844"/>
    </row>
    <row r="4" spans="2:20" ht="23.5" customHeight="1">
      <c r="C4" s="502" t="s">
        <v>1277</v>
      </c>
      <c r="D4" s="845"/>
      <c r="E4" s="846"/>
      <c r="F4" s="498"/>
      <c r="G4" s="503" t="s">
        <v>1278</v>
      </c>
      <c r="H4" s="847" t="s">
        <v>1279</v>
      </c>
      <c r="I4" s="848"/>
      <c r="J4" s="848"/>
      <c r="K4" s="848"/>
      <c r="L4" s="849"/>
    </row>
    <row r="5" spans="2:20" ht="23">
      <c r="E5" s="504"/>
      <c r="F5" s="498"/>
      <c r="G5" s="505" t="s">
        <v>1280</v>
      </c>
      <c r="H5" s="847" t="s">
        <v>1281</v>
      </c>
      <c r="I5" s="848"/>
      <c r="J5" s="848"/>
      <c r="K5" s="848"/>
      <c r="L5" s="849"/>
      <c r="Q5" s="506"/>
      <c r="R5" s="507"/>
    </row>
    <row r="6" spans="2:20" s="508" customFormat="1" ht="12.75" customHeight="1">
      <c r="C6" s="509" t="s">
        <v>1282</v>
      </c>
      <c r="D6" s="510"/>
      <c r="E6" s="510"/>
      <c r="F6" s="510"/>
      <c r="G6" s="510"/>
      <c r="H6" s="510"/>
      <c r="I6" s="510"/>
      <c r="J6" s="510"/>
      <c r="K6" s="510"/>
      <c r="L6" s="510"/>
      <c r="M6" s="510"/>
      <c r="N6" s="510"/>
      <c r="O6" s="510"/>
      <c r="P6" s="510"/>
      <c r="Q6" s="510"/>
      <c r="R6" s="510"/>
      <c r="S6" s="510"/>
      <c r="T6" s="510"/>
    </row>
    <row r="7" spans="2:20" s="508" customFormat="1" ht="12.75" customHeight="1">
      <c r="B7" s="509"/>
      <c r="C7" s="506"/>
      <c r="D7" s="511" t="s">
        <v>1283</v>
      </c>
      <c r="E7" s="838" t="s">
        <v>1284</v>
      </c>
      <c r="F7" s="838"/>
      <c r="G7" s="838" t="s">
        <v>1285</v>
      </c>
      <c r="H7" s="839"/>
      <c r="I7" s="510"/>
      <c r="J7" s="510"/>
      <c r="K7" s="510"/>
    </row>
    <row r="8" spans="2:20" s="508" customFormat="1" ht="28.5" customHeight="1">
      <c r="B8" s="512"/>
      <c r="C8" s="513" t="s">
        <v>1286</v>
      </c>
      <c r="D8" s="514"/>
      <c r="E8" s="515" t="s">
        <v>1287</v>
      </c>
      <c r="F8" s="516" t="s">
        <v>1288</v>
      </c>
      <c r="G8" s="517" t="s">
        <v>1287</v>
      </c>
      <c r="H8" s="516" t="s">
        <v>1288</v>
      </c>
      <c r="I8" s="510"/>
      <c r="J8" s="510"/>
      <c r="K8" s="499"/>
      <c r="L8" s="499"/>
      <c r="M8" s="518"/>
    </row>
    <row r="9" spans="2:20" s="508" customFormat="1" ht="12.75" customHeight="1">
      <c r="B9" s="519" t="s">
        <v>249</v>
      </c>
      <c r="C9" s="520" t="s">
        <v>1289</v>
      </c>
      <c r="D9" s="521" t="s">
        <v>1290</v>
      </c>
      <c r="E9" s="522"/>
      <c r="F9" s="523"/>
      <c r="G9" s="523" t="s">
        <v>1290</v>
      </c>
      <c r="H9" s="523" t="s">
        <v>1290</v>
      </c>
      <c r="I9" s="510"/>
      <c r="J9" s="510"/>
      <c r="K9" s="499"/>
      <c r="L9" s="499"/>
      <c r="M9" s="524"/>
    </row>
    <row r="10" spans="2:20" s="508" customFormat="1" ht="12.75" customHeight="1">
      <c r="B10" s="525">
        <v>1</v>
      </c>
      <c r="C10" s="525" t="s">
        <v>1291</v>
      </c>
      <c r="D10" s="526">
        <v>13459</v>
      </c>
      <c r="E10" s="503" t="s">
        <v>1278</v>
      </c>
      <c r="F10" s="503" t="s">
        <v>1278</v>
      </c>
      <c r="G10" s="526">
        <v>10129</v>
      </c>
      <c r="H10" s="526">
        <v>12648</v>
      </c>
      <c r="I10" s="510"/>
      <c r="J10" s="510"/>
      <c r="K10" s="499"/>
      <c r="L10" s="499"/>
      <c r="M10" s="527"/>
      <c r="S10" s="1" t="str">
        <f>IF(OR(COUNTA(G10:H10)&lt;&gt;COUNT(G10:H10),COUNTA(D10)&lt;&gt;COUNT(D10)),"Please remove any text entries, enter numeric values only","")</f>
        <v/>
      </c>
    </row>
    <row r="11" spans="2:20" s="508" customFormat="1" ht="12.75" customHeight="1">
      <c r="B11" s="525">
        <v>2</v>
      </c>
      <c r="C11" s="525" t="s">
        <v>1292</v>
      </c>
      <c r="D11" s="528">
        <v>2193</v>
      </c>
      <c r="E11" s="503" t="s">
        <v>1278</v>
      </c>
      <c r="F11" s="503" t="s">
        <v>1278</v>
      </c>
      <c r="G11" s="526">
        <v>2203</v>
      </c>
      <c r="H11" s="528">
        <v>2123</v>
      </c>
      <c r="I11" s="510"/>
      <c r="J11" s="510"/>
      <c r="K11" s="499"/>
      <c r="L11" s="499"/>
      <c r="M11" s="527"/>
      <c r="N11" s="527"/>
      <c r="O11" s="527"/>
      <c r="P11" s="527"/>
      <c r="Q11" s="527"/>
      <c r="R11" s="527"/>
      <c r="S11" s="1" t="str">
        <f t="shared" ref="S11:S16" si="0">IF(OR(COUNTA(G11:H11)&lt;&gt;COUNT(G11:H11),COUNTA(D11)&lt;&gt;COUNT(D11)),"Please remove any text entries, enter numeric values only","")</f>
        <v/>
      </c>
      <c r="T11" s="527"/>
    </row>
    <row r="12" spans="2:20" s="508" customFormat="1" ht="12.75" customHeight="1">
      <c r="B12" s="525">
        <v>3</v>
      </c>
      <c r="C12" s="525" t="s">
        <v>1293</v>
      </c>
      <c r="D12" s="528">
        <v>4557</v>
      </c>
      <c r="E12" s="505" t="s">
        <v>1280</v>
      </c>
      <c r="F12" s="505" t="s">
        <v>1280</v>
      </c>
      <c r="G12" s="529" t="s">
        <v>250</v>
      </c>
      <c r="H12" s="528">
        <v>4557</v>
      </c>
      <c r="I12" s="510"/>
      <c r="J12" s="510"/>
      <c r="K12" s="499"/>
      <c r="L12" s="499"/>
      <c r="M12" s="527"/>
      <c r="N12" s="527"/>
      <c r="O12" s="527"/>
      <c r="P12" s="527"/>
      <c r="Q12" s="527"/>
      <c r="R12" s="527"/>
      <c r="S12" s="1" t="str">
        <f>IF(OR(COUNTA(H12)&lt;&gt;COUNT(H12),COUNTA(D12)&lt;&gt;COUNT(D12)),"Please remove any text entries, enter numeric values only","")</f>
        <v/>
      </c>
      <c r="T12" s="527"/>
    </row>
    <row r="13" spans="2:20" s="508" customFormat="1" ht="12.75" customHeight="1">
      <c r="B13" s="525">
        <v>4</v>
      </c>
      <c r="C13" s="525" t="s">
        <v>1294</v>
      </c>
      <c r="D13" s="528">
        <v>21517</v>
      </c>
      <c r="E13" s="503" t="s">
        <v>1278</v>
      </c>
      <c r="F13" s="503" t="s">
        <v>1278</v>
      </c>
      <c r="G13" s="526">
        <v>21015</v>
      </c>
      <c r="H13" s="528">
        <v>20182</v>
      </c>
      <c r="I13" s="510"/>
      <c r="J13" s="510"/>
      <c r="K13" s="499"/>
      <c r="L13" s="499"/>
      <c r="M13" s="527"/>
      <c r="N13" s="527"/>
      <c r="O13" s="527"/>
      <c r="P13" s="527"/>
      <c r="Q13" s="527"/>
      <c r="R13" s="527"/>
      <c r="S13" s="1" t="str">
        <f t="shared" si="0"/>
        <v/>
      </c>
      <c r="T13" s="527"/>
    </row>
    <row r="14" spans="2:20" s="508" customFormat="1" ht="12.75" customHeight="1">
      <c r="B14" s="525">
        <v>5</v>
      </c>
      <c r="C14" s="525" t="s">
        <v>1295</v>
      </c>
      <c r="D14" s="528">
        <v>21581</v>
      </c>
      <c r="E14" s="505" t="s">
        <v>1280</v>
      </c>
      <c r="F14" s="505" t="s">
        <v>1280</v>
      </c>
      <c r="G14" s="529" t="s">
        <v>250</v>
      </c>
      <c r="H14" s="528">
        <v>0</v>
      </c>
      <c r="I14" s="510"/>
      <c r="J14" s="510"/>
      <c r="K14" s="499"/>
      <c r="L14" s="499"/>
      <c r="M14" s="527"/>
      <c r="N14" s="527"/>
      <c r="O14" s="527"/>
      <c r="P14" s="527"/>
      <c r="Q14" s="527"/>
      <c r="R14" s="527"/>
      <c r="S14" s="1" t="str">
        <f>IF(OR(COUNTA(H14)&lt;&gt;COUNT(H14),COUNTA(D14)&lt;&gt;COUNT(D14)),"Please remove any text entries, enter numeric values only","")</f>
        <v/>
      </c>
      <c r="T14" s="527"/>
    </row>
    <row r="15" spans="2:20" s="508" customFormat="1" ht="12.75" customHeight="1">
      <c r="B15" s="525">
        <v>6</v>
      </c>
      <c r="C15" s="525" t="s">
        <v>1296</v>
      </c>
      <c r="D15" s="528">
        <v>4333</v>
      </c>
      <c r="E15" s="505" t="s">
        <v>1280</v>
      </c>
      <c r="F15" s="505" t="s">
        <v>1280</v>
      </c>
      <c r="G15" s="529" t="s">
        <v>250</v>
      </c>
      <c r="H15" s="528">
        <v>0</v>
      </c>
      <c r="I15" s="510"/>
      <c r="J15" s="499"/>
      <c r="K15" s="499"/>
      <c r="L15" s="499"/>
      <c r="M15" s="527"/>
      <c r="N15" s="527"/>
      <c r="O15" s="527"/>
      <c r="P15" s="527"/>
      <c r="Q15" s="527"/>
      <c r="R15" s="527"/>
      <c r="S15" s="1" t="str">
        <f>IF(OR(COUNTA(H15)&lt;&gt;COUNT(H15),COUNTA(D15)&lt;&gt;COUNT(D15)),"Please remove any text entries, enter numeric values only","")</f>
        <v/>
      </c>
      <c r="T15" s="527"/>
    </row>
    <row r="16" spans="2:20" s="508" customFormat="1" ht="12.75" customHeight="1">
      <c r="B16" s="525">
        <v>7</v>
      </c>
      <c r="C16" s="525" t="s">
        <v>1297</v>
      </c>
      <c r="D16" s="528">
        <v>17516</v>
      </c>
      <c r="E16" s="503" t="s">
        <v>1278</v>
      </c>
      <c r="F16" s="780" t="s">
        <v>1278</v>
      </c>
      <c r="G16" s="526">
        <v>17809</v>
      </c>
      <c r="H16" s="526">
        <v>16733</v>
      </c>
      <c r="I16" s="510"/>
      <c r="J16" s="499"/>
      <c r="K16" s="499"/>
      <c r="L16" s="499"/>
      <c r="M16" s="527"/>
      <c r="N16" s="527"/>
      <c r="O16" s="527"/>
      <c r="P16" s="527"/>
      <c r="Q16" s="527"/>
      <c r="R16" s="527"/>
      <c r="S16" s="1" t="str">
        <f t="shared" si="0"/>
        <v/>
      </c>
      <c r="T16" s="527"/>
    </row>
    <row r="17" spans="2:20" s="508" customFormat="1" ht="12.75" customHeight="1">
      <c r="B17" s="525">
        <v>8</v>
      </c>
      <c r="C17" s="525" t="s">
        <v>1298</v>
      </c>
      <c r="D17" s="528">
        <v>18287</v>
      </c>
      <c r="E17" s="505" t="s">
        <v>1280</v>
      </c>
      <c r="F17" s="503" t="s">
        <v>1278</v>
      </c>
      <c r="G17" s="529" t="s">
        <v>250</v>
      </c>
      <c r="H17" s="528">
        <v>18287</v>
      </c>
      <c r="I17" s="510"/>
      <c r="J17" s="499"/>
      <c r="K17" s="499"/>
      <c r="L17" s="499"/>
      <c r="M17" s="527"/>
      <c r="N17" s="527"/>
      <c r="O17" s="527"/>
      <c r="P17" s="527"/>
      <c r="Q17" s="527"/>
      <c r="R17" s="527"/>
      <c r="S17" s="1" t="str">
        <f t="shared" ref="S17:S22" si="1">IF(OR(COUNTA(H17)&lt;&gt;COUNT(H17),COUNTA(D17)&lt;&gt;COUNT(D17)),"Please remove any text entries, enter numeric values only","")</f>
        <v/>
      </c>
      <c r="T17" s="527"/>
    </row>
    <row r="18" spans="2:20" s="508" customFormat="1" ht="12.75" customHeight="1">
      <c r="B18" s="525">
        <v>9</v>
      </c>
      <c r="C18" s="525" t="s">
        <v>1299</v>
      </c>
      <c r="D18" s="528">
        <v>17855</v>
      </c>
      <c r="E18" s="505" t="s">
        <v>1280</v>
      </c>
      <c r="F18" s="503" t="s">
        <v>1278</v>
      </c>
      <c r="G18" s="529" t="s">
        <v>250</v>
      </c>
      <c r="H18" s="528">
        <v>17855</v>
      </c>
      <c r="I18" s="510"/>
      <c r="J18" s="499"/>
      <c r="K18" s="499"/>
      <c r="L18" s="499"/>
      <c r="M18" s="527"/>
      <c r="N18" s="527"/>
      <c r="O18" s="527"/>
      <c r="P18" s="527"/>
      <c r="Q18" s="527"/>
      <c r="R18" s="527"/>
      <c r="S18" s="1" t="str">
        <f t="shared" si="1"/>
        <v/>
      </c>
      <c r="T18" s="527"/>
    </row>
    <row r="19" spans="2:20" s="508" customFormat="1" ht="12.75" customHeight="1">
      <c r="B19" s="525">
        <v>10</v>
      </c>
      <c r="C19" s="525" t="s">
        <v>1300</v>
      </c>
      <c r="D19" s="528">
        <v>16114</v>
      </c>
      <c r="E19" s="505" t="s">
        <v>1280</v>
      </c>
      <c r="F19" s="503" t="s">
        <v>1278</v>
      </c>
      <c r="G19" s="529" t="s">
        <v>250</v>
      </c>
      <c r="H19" s="528">
        <v>16114</v>
      </c>
      <c r="I19" s="499"/>
      <c r="J19" s="499"/>
      <c r="K19" s="499"/>
      <c r="L19" s="499"/>
      <c r="M19" s="527"/>
      <c r="N19" s="527"/>
      <c r="O19" s="527"/>
      <c r="P19" s="527"/>
      <c r="Q19" s="527"/>
      <c r="R19" s="527"/>
      <c r="S19" s="1" t="str">
        <f t="shared" si="1"/>
        <v/>
      </c>
      <c r="T19" s="527"/>
    </row>
    <row r="20" spans="2:20" s="508" customFormat="1" ht="12.75" customHeight="1">
      <c r="B20" s="525">
        <v>11</v>
      </c>
      <c r="C20" s="525" t="s">
        <v>1301</v>
      </c>
      <c r="D20" s="528">
        <v>45436</v>
      </c>
      <c r="E20" s="505" t="s">
        <v>1280</v>
      </c>
      <c r="F20" s="503" t="s">
        <v>1278</v>
      </c>
      <c r="G20" s="529" t="s">
        <v>250</v>
      </c>
      <c r="H20" s="528">
        <v>45436</v>
      </c>
      <c r="I20" s="499"/>
      <c r="J20" s="499"/>
      <c r="K20" s="499"/>
      <c r="L20" s="499"/>
      <c r="M20" s="527"/>
      <c r="N20" s="527"/>
      <c r="O20" s="527"/>
      <c r="P20" s="527"/>
      <c r="Q20" s="527"/>
      <c r="R20" s="527"/>
      <c r="S20" s="1" t="str">
        <f t="shared" si="1"/>
        <v/>
      </c>
      <c r="T20" s="527"/>
    </row>
    <row r="21" spans="2:20" s="508" customFormat="1" ht="12.75" customHeight="1">
      <c r="B21" s="525">
        <v>12</v>
      </c>
      <c r="C21" s="525" t="s">
        <v>1302</v>
      </c>
      <c r="D21" s="528">
        <v>785</v>
      </c>
      <c r="E21" s="505" t="s">
        <v>1280</v>
      </c>
      <c r="F21" s="503" t="s">
        <v>1278</v>
      </c>
      <c r="G21" s="529" t="s">
        <v>250</v>
      </c>
      <c r="H21" s="528">
        <v>785</v>
      </c>
      <c r="I21" s="499"/>
      <c r="J21" s="499"/>
      <c r="K21" s="499"/>
      <c r="L21" s="499"/>
      <c r="M21" s="527"/>
      <c r="N21" s="527"/>
      <c r="O21" s="527"/>
      <c r="P21" s="527"/>
      <c r="Q21" s="527"/>
      <c r="R21" s="527"/>
      <c r="S21" s="1" t="str">
        <f t="shared" si="1"/>
        <v/>
      </c>
      <c r="T21" s="527"/>
    </row>
    <row r="22" spans="2:20" s="508" customFormat="1" ht="12.75" customHeight="1">
      <c r="B22" s="525">
        <v>13</v>
      </c>
      <c r="C22" s="525" t="s">
        <v>1303</v>
      </c>
      <c r="D22" s="528">
        <v>1198</v>
      </c>
      <c r="E22" s="505" t="s">
        <v>1280</v>
      </c>
      <c r="F22" s="503" t="s">
        <v>1278</v>
      </c>
      <c r="G22" s="529" t="s">
        <v>250</v>
      </c>
      <c r="H22" s="528">
        <v>1198</v>
      </c>
      <c r="I22" s="499"/>
      <c r="J22" s="499"/>
      <c r="K22" s="499"/>
      <c r="L22" s="499"/>
      <c r="M22" s="527"/>
      <c r="N22" s="527"/>
      <c r="O22" s="527"/>
      <c r="P22" s="527"/>
      <c r="Q22" s="527"/>
      <c r="R22" s="527"/>
      <c r="S22" s="1" t="str">
        <f t="shared" si="1"/>
        <v/>
      </c>
      <c r="T22" s="527"/>
    </row>
    <row r="23" spans="2:20" s="508" customFormat="1" ht="12.75" customHeight="1">
      <c r="B23" s="525">
        <v>14</v>
      </c>
      <c r="C23" s="525" t="s">
        <v>1304</v>
      </c>
      <c r="D23" s="528">
        <v>13433</v>
      </c>
      <c r="E23" s="505" t="s">
        <v>1280</v>
      </c>
      <c r="F23" s="505" t="s">
        <v>1280</v>
      </c>
      <c r="G23" s="529" t="s">
        <v>250</v>
      </c>
      <c r="H23" s="528">
        <v>0</v>
      </c>
      <c r="I23" s="499"/>
      <c r="J23" s="499"/>
      <c r="K23" s="499"/>
      <c r="L23" s="499"/>
      <c r="M23" s="527"/>
      <c r="N23" s="527"/>
      <c r="O23" s="527"/>
      <c r="P23" s="527"/>
      <c r="Q23" s="527"/>
      <c r="R23" s="527"/>
      <c r="S23" s="1" t="str">
        <f>IF(OR(COUNTA(H23)&lt;&gt;COUNT(H23),COUNTA(D23)&lt;&gt;COUNT(D23)),"Please remove any text entries, enter numeric values only","")</f>
        <v/>
      </c>
      <c r="T23" s="527"/>
    </row>
    <row r="24" spans="2:20" s="508" customFormat="1" ht="12.75" customHeight="1">
      <c r="B24" s="525">
        <v>15</v>
      </c>
      <c r="C24" s="525" t="s">
        <v>1305</v>
      </c>
      <c r="D24" s="528">
        <v>15719</v>
      </c>
      <c r="E24" s="505" t="s">
        <v>1280</v>
      </c>
      <c r="F24" s="505" t="s">
        <v>1280</v>
      </c>
      <c r="G24" s="529" t="s">
        <v>250</v>
      </c>
      <c r="H24" s="528">
        <v>0</v>
      </c>
      <c r="I24" s="499"/>
      <c r="J24" s="499"/>
      <c r="K24" s="499"/>
      <c r="L24" s="499"/>
      <c r="M24" s="527"/>
      <c r="N24" s="527"/>
      <c r="O24" s="527"/>
      <c r="P24" s="527"/>
      <c r="Q24" s="527"/>
      <c r="R24" s="527"/>
      <c r="S24" s="1" t="str">
        <f>IF(OR(COUNTA(H24)&lt;&gt;COUNT(H24),COUNTA(D24)&lt;&gt;COUNT(D24)),"Please remove any text entries, enter numeric values only","")</f>
        <v/>
      </c>
      <c r="T24" s="527"/>
    </row>
    <row r="25" spans="2:20" s="508" customFormat="1" ht="12.75" customHeight="1">
      <c r="B25" s="525">
        <v>16</v>
      </c>
      <c r="C25" s="525" t="s">
        <v>1306</v>
      </c>
      <c r="D25" s="528">
        <v>16184</v>
      </c>
      <c r="E25" s="505" t="s">
        <v>1280</v>
      </c>
      <c r="F25" s="505" t="s">
        <v>1280</v>
      </c>
      <c r="G25" s="529" t="s">
        <v>250</v>
      </c>
      <c r="H25" s="528">
        <v>0</v>
      </c>
      <c r="I25" s="499"/>
      <c r="J25" s="499"/>
      <c r="K25" s="499"/>
      <c r="L25" s="499"/>
      <c r="M25" s="527"/>
      <c r="N25" s="527"/>
      <c r="O25" s="527"/>
      <c r="P25" s="527"/>
      <c r="Q25" s="527"/>
      <c r="R25" s="527"/>
      <c r="S25" s="1" t="str">
        <f>IF(OR(COUNTA(H25)&lt;&gt;COUNT(H25),COUNTA(D25)&lt;&gt;COUNT(D25)),"Please remove any text entries, enter numeric values only","")</f>
        <v/>
      </c>
      <c r="T25" s="527"/>
    </row>
    <row r="26" spans="2:20" s="508" customFormat="1" ht="12.75" customHeight="1">
      <c r="B26" s="525">
        <v>17</v>
      </c>
      <c r="C26" s="525" t="s">
        <v>1307</v>
      </c>
      <c r="D26" s="528">
        <v>33516</v>
      </c>
      <c r="E26" s="505" t="s">
        <v>1280</v>
      </c>
      <c r="F26" s="505" t="s">
        <v>1280</v>
      </c>
      <c r="G26" s="529" t="s">
        <v>250</v>
      </c>
      <c r="H26" s="529" t="s">
        <v>250</v>
      </c>
      <c r="I26" s="499"/>
      <c r="J26" s="499"/>
      <c r="K26" s="499"/>
      <c r="L26" s="499"/>
      <c r="M26" s="527"/>
      <c r="N26" s="527"/>
      <c r="O26" s="527"/>
      <c r="P26" s="527"/>
      <c r="Q26" s="527"/>
      <c r="R26" s="527"/>
      <c r="S26" s="1" t="str">
        <f t="shared" ref="S26:S31" si="2">IF(OR(COUNTA(D26)&lt;&gt;COUNT(D26)),"Please remove any text entries, enter numeric values only","")</f>
        <v/>
      </c>
      <c r="T26" s="527"/>
    </row>
    <row r="27" spans="2:20" s="508" customFormat="1" ht="12.75" customHeight="1">
      <c r="B27" s="525">
        <v>18</v>
      </c>
      <c r="C27" s="525" t="s">
        <v>1308</v>
      </c>
      <c r="D27" s="528">
        <v>42669</v>
      </c>
      <c r="E27" s="505" t="s">
        <v>1280</v>
      </c>
      <c r="F27" s="505" t="s">
        <v>1280</v>
      </c>
      <c r="G27" s="529" t="s">
        <v>250</v>
      </c>
      <c r="H27" s="529" t="s">
        <v>250</v>
      </c>
      <c r="I27" s="499"/>
      <c r="J27" s="499"/>
      <c r="K27" s="499"/>
      <c r="L27" s="499"/>
      <c r="M27" s="527"/>
      <c r="N27" s="527"/>
      <c r="O27" s="527"/>
      <c r="P27" s="527"/>
      <c r="Q27" s="527"/>
      <c r="R27" s="527"/>
      <c r="S27" s="1" t="str">
        <f t="shared" si="2"/>
        <v/>
      </c>
      <c r="T27" s="527"/>
    </row>
    <row r="28" spans="2:20" s="508" customFormat="1" ht="12.75" customHeight="1">
      <c r="B28" s="525">
        <v>19</v>
      </c>
      <c r="C28" s="525" t="s">
        <v>1309</v>
      </c>
      <c r="D28" s="528">
        <v>59245</v>
      </c>
      <c r="E28" s="505" t="s">
        <v>1280</v>
      </c>
      <c r="F28" s="505" t="s">
        <v>1280</v>
      </c>
      <c r="G28" s="529" t="s">
        <v>250</v>
      </c>
      <c r="H28" s="529" t="s">
        <v>250</v>
      </c>
      <c r="I28" s="499"/>
      <c r="J28" s="499"/>
      <c r="K28" s="499"/>
      <c r="L28" s="499"/>
      <c r="M28" s="527"/>
      <c r="N28" s="527"/>
      <c r="O28" s="527"/>
      <c r="P28" s="527"/>
      <c r="Q28" s="527"/>
      <c r="R28" s="527"/>
      <c r="S28" s="1" t="str">
        <f t="shared" si="2"/>
        <v/>
      </c>
      <c r="T28" s="527"/>
    </row>
    <row r="29" spans="2:20" s="508" customFormat="1" ht="12.75" customHeight="1">
      <c r="B29" s="525">
        <v>20</v>
      </c>
      <c r="C29" s="525" t="s">
        <v>1310</v>
      </c>
      <c r="D29" s="528">
        <v>8392</v>
      </c>
      <c r="E29" s="505" t="s">
        <v>1280</v>
      </c>
      <c r="F29" s="505" t="s">
        <v>1280</v>
      </c>
      <c r="G29" s="529" t="s">
        <v>250</v>
      </c>
      <c r="H29" s="529" t="s">
        <v>250</v>
      </c>
      <c r="I29" s="499"/>
      <c r="J29" s="499"/>
      <c r="K29" s="499"/>
      <c r="L29" s="499"/>
      <c r="M29" s="527"/>
      <c r="N29" s="527"/>
      <c r="O29" s="527"/>
      <c r="P29" s="527"/>
      <c r="Q29" s="527"/>
      <c r="R29" s="527"/>
      <c r="S29" s="1" t="str">
        <f t="shared" si="2"/>
        <v/>
      </c>
      <c r="T29" s="527"/>
    </row>
    <row r="30" spans="2:20" s="508" customFormat="1" ht="12.75" customHeight="1">
      <c r="B30" s="525">
        <v>21</v>
      </c>
      <c r="C30" s="525" t="s">
        <v>1311</v>
      </c>
      <c r="D30" s="528">
        <v>17468</v>
      </c>
      <c r="E30" s="505" t="s">
        <v>1280</v>
      </c>
      <c r="F30" s="505" t="s">
        <v>1280</v>
      </c>
      <c r="G30" s="529" t="s">
        <v>250</v>
      </c>
      <c r="H30" s="529" t="s">
        <v>250</v>
      </c>
      <c r="I30" s="499"/>
      <c r="J30" s="499"/>
      <c r="K30" s="499"/>
      <c r="L30" s="499"/>
      <c r="M30" s="527"/>
      <c r="N30" s="527"/>
      <c r="O30" s="527"/>
      <c r="P30" s="527"/>
      <c r="Q30" s="527"/>
      <c r="R30" s="527"/>
      <c r="S30" s="1" t="str">
        <f t="shared" si="2"/>
        <v/>
      </c>
      <c r="T30" s="527"/>
    </row>
    <row r="31" spans="2:20" s="508" customFormat="1" ht="12.75" customHeight="1">
      <c r="B31" s="525">
        <v>22</v>
      </c>
      <c r="C31" s="525" t="s">
        <v>1312</v>
      </c>
      <c r="D31" s="528">
        <v>26777</v>
      </c>
      <c r="E31" s="505" t="s">
        <v>1280</v>
      </c>
      <c r="F31" s="505" t="s">
        <v>1280</v>
      </c>
      <c r="G31" s="529" t="s">
        <v>250</v>
      </c>
      <c r="H31" s="529" t="s">
        <v>250</v>
      </c>
      <c r="I31" s="499"/>
      <c r="J31" s="499"/>
      <c r="K31" s="499"/>
      <c r="L31" s="499"/>
      <c r="M31" s="527"/>
      <c r="N31" s="527"/>
      <c r="O31" s="527"/>
      <c r="P31" s="527"/>
      <c r="Q31" s="527"/>
      <c r="R31" s="527"/>
      <c r="S31" s="1" t="str">
        <f t="shared" si="2"/>
        <v/>
      </c>
      <c r="T31" s="527"/>
    </row>
    <row r="32" spans="2:20" s="508" customFormat="1" ht="12.75" customHeight="1">
      <c r="B32" s="530">
        <v>23</v>
      </c>
      <c r="C32" s="531" t="s">
        <v>1313</v>
      </c>
      <c r="D32" s="531">
        <f>SUM(D10:D31)</f>
        <v>418234</v>
      </c>
      <c r="E32" s="531">
        <f>SUM(E10:E31)</f>
        <v>0</v>
      </c>
      <c r="F32" s="531">
        <f>SUM(F10:F31)</f>
        <v>0</v>
      </c>
      <c r="G32" s="531">
        <f>SUM(G10:G31)</f>
        <v>51156</v>
      </c>
      <c r="H32" s="531">
        <f>SUM(H10:H31)</f>
        <v>155918</v>
      </c>
      <c r="I32" s="499"/>
      <c r="J32" s="499"/>
      <c r="K32" s="499"/>
      <c r="L32" s="499"/>
      <c r="M32" s="532"/>
      <c r="N32" s="532"/>
      <c r="O32" s="532"/>
      <c r="P32" s="532"/>
      <c r="Q32" s="532"/>
      <c r="R32" s="532"/>
      <c r="S32" s="532"/>
      <c r="T32" s="532"/>
    </row>
    <row r="33" spans="2:20" s="533" customFormat="1" ht="12.75" customHeight="1">
      <c r="C33" s="534"/>
      <c r="D33" s="534"/>
      <c r="E33" s="535"/>
      <c r="F33" s="535"/>
      <c r="G33" s="535"/>
      <c r="H33" s="535"/>
      <c r="I33" s="535"/>
      <c r="J33" s="535"/>
      <c r="K33" s="535"/>
      <c r="L33" s="535"/>
      <c r="M33" s="535"/>
      <c r="N33" s="535"/>
      <c r="O33" s="535"/>
      <c r="P33" s="535"/>
      <c r="Q33" s="535"/>
      <c r="R33" s="535"/>
      <c r="S33" s="535"/>
      <c r="T33" s="535"/>
    </row>
    <row r="34" spans="2:20" s="533" customFormat="1" ht="12.75" customHeight="1">
      <c r="C34" s="534"/>
      <c r="D34" s="534"/>
      <c r="E34" s="535"/>
      <c r="F34" s="535"/>
      <c r="G34" s="535"/>
      <c r="H34" s="535"/>
      <c r="I34" s="535"/>
      <c r="J34" s="535"/>
      <c r="K34" s="535"/>
      <c r="L34" s="535"/>
      <c r="M34" s="535"/>
      <c r="N34" s="535"/>
      <c r="O34" s="535"/>
      <c r="P34" s="535"/>
      <c r="Q34" s="535"/>
      <c r="R34" s="535"/>
      <c r="S34" s="535"/>
      <c r="T34" s="535"/>
    </row>
    <row r="35" spans="2:20" s="533" customFormat="1" ht="12.75" customHeight="1">
      <c r="B35" s="509" t="s">
        <v>1314</v>
      </c>
      <c r="C35" s="534"/>
      <c r="D35" s="534"/>
      <c r="E35" s="535"/>
      <c r="F35" s="535"/>
      <c r="G35" s="535"/>
      <c r="H35" s="535"/>
      <c r="I35" s="535"/>
      <c r="J35" s="535"/>
      <c r="K35" s="535"/>
      <c r="L35" s="535"/>
      <c r="M35" s="535"/>
      <c r="N35" s="535"/>
      <c r="O35" s="535"/>
      <c r="P35" s="535"/>
      <c r="Q35" s="535"/>
      <c r="R35" s="535"/>
      <c r="S35" s="535"/>
      <c r="T35" s="535"/>
    </row>
    <row r="36" spans="2:20" s="506" customFormat="1" ht="12.75" customHeight="1">
      <c r="C36" s="536"/>
      <c r="D36" s="537"/>
      <c r="E36" s="511" t="s">
        <v>251</v>
      </c>
      <c r="F36" s="538" t="s">
        <v>252</v>
      </c>
      <c r="G36" s="538" t="s">
        <v>253</v>
      </c>
      <c r="H36" s="538" t="s">
        <v>254</v>
      </c>
      <c r="I36" s="538" t="s">
        <v>255</v>
      </c>
      <c r="J36" s="538" t="s">
        <v>256</v>
      </c>
      <c r="K36" s="538" t="s">
        <v>257</v>
      </c>
      <c r="L36" s="538" t="s">
        <v>258</v>
      </c>
      <c r="M36" s="538" t="s">
        <v>259</v>
      </c>
      <c r="N36" s="538" t="s">
        <v>260</v>
      </c>
      <c r="O36" s="538" t="s">
        <v>261</v>
      </c>
      <c r="P36" s="538" t="s">
        <v>262</v>
      </c>
      <c r="Q36" s="539" t="s">
        <v>263</v>
      </c>
      <c r="R36" s="540"/>
      <c r="S36" s="541"/>
      <c r="T36" s="542"/>
    </row>
    <row r="37" spans="2:20" s="506" customFormat="1" ht="12.75" customHeight="1">
      <c r="B37" s="519" t="s">
        <v>249</v>
      </c>
      <c r="C37" s="543" t="s">
        <v>1315</v>
      </c>
      <c r="D37" s="543"/>
      <c r="E37" s="522" t="s">
        <v>1290</v>
      </c>
      <c r="F37" s="523" t="s">
        <v>1290</v>
      </c>
      <c r="G37" s="523" t="s">
        <v>1290</v>
      </c>
      <c r="H37" s="523" t="s">
        <v>1290</v>
      </c>
      <c r="I37" s="523" t="s">
        <v>1290</v>
      </c>
      <c r="J37" s="523" t="s">
        <v>1290</v>
      </c>
      <c r="K37" s="523" t="s">
        <v>1290</v>
      </c>
      <c r="L37" s="523" t="s">
        <v>1290</v>
      </c>
      <c r="M37" s="523" t="s">
        <v>1290</v>
      </c>
      <c r="N37" s="523" t="s">
        <v>1290</v>
      </c>
      <c r="O37" s="523" t="s">
        <v>1290</v>
      </c>
      <c r="P37" s="523" t="s">
        <v>1290</v>
      </c>
      <c r="Q37" s="523" t="s">
        <v>1290</v>
      </c>
      <c r="R37" s="540"/>
      <c r="S37" s="1"/>
      <c r="T37" s="542"/>
    </row>
    <row r="38" spans="2:20" ht="12.75" customHeight="1">
      <c r="B38" s="525">
        <v>24</v>
      </c>
      <c r="C38" s="525" t="s">
        <v>1291</v>
      </c>
      <c r="D38" s="525"/>
      <c r="E38" s="526">
        <v>0</v>
      </c>
      <c r="F38" s="526">
        <v>0</v>
      </c>
      <c r="G38" s="526">
        <v>0</v>
      </c>
      <c r="H38" s="515">
        <v>0</v>
      </c>
      <c r="I38" s="515">
        <v>0</v>
      </c>
      <c r="J38" s="526"/>
      <c r="K38" s="526">
        <v>2926</v>
      </c>
      <c r="L38" s="526">
        <v>918</v>
      </c>
      <c r="M38" s="526">
        <v>339</v>
      </c>
      <c r="N38" s="515">
        <v>110</v>
      </c>
      <c r="O38" s="515">
        <v>13</v>
      </c>
      <c r="P38" s="515">
        <v>1</v>
      </c>
      <c r="Q38" s="515">
        <f>SUM(E38:P38)</f>
        <v>4307</v>
      </c>
      <c r="R38" s="544"/>
      <c r="S38" s="1" t="str">
        <f>IF(OR(COUNTA(J38:M38)&lt;&gt;COUNT(J38:M38),COUNTA(E38:G38)&lt;&gt;COUNT(E38:G38)),"Please remove any text entries, enter numeric values only","")</f>
        <v/>
      </c>
      <c r="T38" s="545"/>
    </row>
    <row r="39" spans="2:20" ht="12.75" customHeight="1">
      <c r="B39" s="525">
        <v>25</v>
      </c>
      <c r="C39" s="525" t="s">
        <v>1292</v>
      </c>
      <c r="D39" s="525"/>
      <c r="E39" s="526">
        <v>0</v>
      </c>
      <c r="F39" s="526">
        <v>0</v>
      </c>
      <c r="G39" s="526">
        <v>0</v>
      </c>
      <c r="H39" s="546">
        <v>0</v>
      </c>
      <c r="I39" s="546">
        <v>0</v>
      </c>
      <c r="J39" s="526"/>
      <c r="K39" s="526">
        <v>1085</v>
      </c>
      <c r="L39" s="526">
        <v>377</v>
      </c>
      <c r="M39" s="526">
        <v>600</v>
      </c>
      <c r="N39" s="546">
        <v>15</v>
      </c>
      <c r="O39" s="546">
        <v>9</v>
      </c>
      <c r="P39" s="546">
        <v>0</v>
      </c>
      <c r="Q39" s="515">
        <f t="shared" ref="Q39:Q54" si="3">SUM(E39:P39)</f>
        <v>2086</v>
      </c>
      <c r="R39" s="544"/>
      <c r="S39" s="1" t="str">
        <f>IF(OR(COUNTA(J39:M39)&lt;&gt;COUNT(J39:M39),COUNTA(E39:G39)&lt;&gt;COUNT(E39:G39)),"Please remove any text entries, enter numeric values only","")</f>
        <v/>
      </c>
      <c r="T39" s="545"/>
    </row>
    <row r="40" spans="2:20" ht="12.75" customHeight="1">
      <c r="B40" s="525">
        <v>26</v>
      </c>
      <c r="C40" s="525" t="s">
        <v>1293</v>
      </c>
      <c r="D40" s="525"/>
      <c r="E40" s="546"/>
      <c r="F40" s="546"/>
      <c r="G40" s="546"/>
      <c r="H40" s="546">
        <v>0</v>
      </c>
      <c r="I40" s="546">
        <v>0</v>
      </c>
      <c r="J40" s="526"/>
      <c r="K40" s="526">
        <v>16</v>
      </c>
      <c r="L40" s="526">
        <v>20</v>
      </c>
      <c r="M40" s="526">
        <v>10</v>
      </c>
      <c r="N40" s="546">
        <v>0</v>
      </c>
      <c r="O40" s="546">
        <v>0</v>
      </c>
      <c r="P40" s="546">
        <v>0</v>
      </c>
      <c r="Q40" s="515">
        <f t="shared" si="3"/>
        <v>46</v>
      </c>
      <c r="R40" s="544"/>
      <c r="S40" s="1" t="str">
        <f>IF(OR(COUNTA(J40:M40)&lt;&gt;COUNT(J40:M40)),"Please remove any text entries, enter numeric values only","")</f>
        <v/>
      </c>
      <c r="T40" s="545"/>
    </row>
    <row r="41" spans="2:20" ht="12.75" customHeight="1">
      <c r="B41" s="525">
        <v>27</v>
      </c>
      <c r="C41" s="525" t="s">
        <v>1294</v>
      </c>
      <c r="D41" s="525"/>
      <c r="E41" s="526">
        <v>0</v>
      </c>
      <c r="F41" s="526">
        <v>0</v>
      </c>
      <c r="G41" s="526">
        <v>0</v>
      </c>
      <c r="H41" s="546">
        <v>0</v>
      </c>
      <c r="I41" s="546">
        <v>0</v>
      </c>
      <c r="J41" s="526"/>
      <c r="K41" s="526">
        <v>10927</v>
      </c>
      <c r="L41" s="526">
        <v>1752</v>
      </c>
      <c r="M41" s="526">
        <v>749</v>
      </c>
      <c r="N41" s="546">
        <v>156</v>
      </c>
      <c r="O41" s="546">
        <v>7</v>
      </c>
      <c r="P41" s="546">
        <v>1</v>
      </c>
      <c r="Q41" s="515">
        <f t="shared" si="3"/>
        <v>13592</v>
      </c>
      <c r="R41" s="544"/>
      <c r="S41" s="1" t="str">
        <f t="shared" ref="S41" si="4">IF(OR(COUNTA(J41:M41)&lt;&gt;COUNT(J41:M41),COUNTA(E41:G41)&lt;&gt;COUNT(E41:G41)),"Please remove any text entries, enter numeric values only","")</f>
        <v/>
      </c>
      <c r="T41" s="545"/>
    </row>
    <row r="42" spans="2:20" ht="12.75" customHeight="1">
      <c r="B42" s="525">
        <v>28</v>
      </c>
      <c r="C42" s="525" t="s">
        <v>1295</v>
      </c>
      <c r="D42" s="525"/>
      <c r="E42" s="546"/>
      <c r="F42" s="546"/>
      <c r="G42" s="546"/>
      <c r="H42" s="546">
        <v>0</v>
      </c>
      <c r="I42" s="546">
        <v>0</v>
      </c>
      <c r="J42" s="526"/>
      <c r="K42" s="526">
        <v>1372</v>
      </c>
      <c r="L42" s="526">
        <v>1500</v>
      </c>
      <c r="M42" s="526">
        <v>266</v>
      </c>
      <c r="N42" s="546">
        <v>1</v>
      </c>
      <c r="O42" s="546">
        <v>2</v>
      </c>
      <c r="P42" s="546">
        <v>1</v>
      </c>
      <c r="Q42" s="515">
        <f t="shared" si="3"/>
        <v>3142</v>
      </c>
      <c r="R42" s="544"/>
      <c r="S42" s="1" t="str">
        <f>IF(OR(COUNTA(J42:M42)&lt;&gt;COUNT(J42:M42)),"Please remove any text entries, enter numeric values only","")</f>
        <v/>
      </c>
      <c r="T42" s="545"/>
    </row>
    <row r="43" spans="2:20" ht="12.75" customHeight="1">
      <c r="B43" s="525">
        <v>29</v>
      </c>
      <c r="C43" s="525" t="s">
        <v>1296</v>
      </c>
      <c r="D43" s="525"/>
      <c r="E43" s="546"/>
      <c r="F43" s="546"/>
      <c r="G43" s="546"/>
      <c r="H43" s="546">
        <v>0</v>
      </c>
      <c r="I43" s="546">
        <v>0</v>
      </c>
      <c r="J43" s="526"/>
      <c r="K43" s="526">
        <v>14</v>
      </c>
      <c r="L43" s="526">
        <v>30</v>
      </c>
      <c r="M43" s="526">
        <v>20</v>
      </c>
      <c r="N43" s="546">
        <v>0</v>
      </c>
      <c r="O43" s="546">
        <v>0</v>
      </c>
      <c r="P43" s="546">
        <v>0</v>
      </c>
      <c r="Q43" s="515">
        <f t="shared" si="3"/>
        <v>64</v>
      </c>
      <c r="R43" s="544"/>
      <c r="S43" s="1" t="str">
        <f>IF(OR(COUNTA(J43:M43)&lt;&gt;COUNT(J43:M43)),"Please remove any text entries, enter numeric values only","")</f>
        <v/>
      </c>
      <c r="T43" s="545"/>
    </row>
    <row r="44" spans="2:20" ht="12.75" customHeight="1">
      <c r="B44" s="525">
        <v>30</v>
      </c>
      <c r="C44" s="525" t="s">
        <v>1297</v>
      </c>
      <c r="D44" s="525"/>
      <c r="E44" s="526">
        <v>0</v>
      </c>
      <c r="F44" s="526">
        <v>0</v>
      </c>
      <c r="G44" s="526">
        <v>0</v>
      </c>
      <c r="H44" s="546">
        <v>0</v>
      </c>
      <c r="I44" s="546">
        <v>0</v>
      </c>
      <c r="J44" s="526"/>
      <c r="K44" s="526">
        <v>9679</v>
      </c>
      <c r="L44" s="526">
        <v>1297</v>
      </c>
      <c r="M44" s="526">
        <v>424</v>
      </c>
      <c r="N44" s="546">
        <v>83</v>
      </c>
      <c r="O44" s="546">
        <v>5</v>
      </c>
      <c r="P44" s="546">
        <v>0</v>
      </c>
      <c r="Q44" s="515">
        <f t="shared" si="3"/>
        <v>11488</v>
      </c>
      <c r="R44" s="544"/>
      <c r="S44" s="1" t="str">
        <f>IF(OR(COUNTA(J44:M44)&lt;&gt;COUNT(J44:M44),COUNTA(E44:G44)&lt;&gt;COUNT(E44:G44)),"Please remove any text entries, enter numeric values only","")</f>
        <v/>
      </c>
      <c r="T44" s="545"/>
    </row>
    <row r="45" spans="2:20" ht="12.75" customHeight="1">
      <c r="B45" s="525">
        <v>31</v>
      </c>
      <c r="C45" s="525" t="s">
        <v>1298</v>
      </c>
      <c r="D45" s="525"/>
      <c r="E45" s="546">
        <v>0</v>
      </c>
      <c r="F45" s="546">
        <v>0</v>
      </c>
      <c r="G45" s="546"/>
      <c r="H45" s="546">
        <v>0</v>
      </c>
      <c r="I45" s="546">
        <v>0</v>
      </c>
      <c r="J45" s="526"/>
      <c r="K45" s="526">
        <v>8040</v>
      </c>
      <c r="L45" s="526">
        <v>2295</v>
      </c>
      <c r="M45" s="526">
        <v>563</v>
      </c>
      <c r="N45" s="546">
        <v>101</v>
      </c>
      <c r="O45" s="546">
        <v>6</v>
      </c>
      <c r="P45" s="546">
        <v>1</v>
      </c>
      <c r="Q45" s="515">
        <f t="shared" si="3"/>
        <v>11006</v>
      </c>
      <c r="R45" s="547"/>
      <c r="S45" s="1" t="str">
        <f t="shared" ref="S45:S53" si="5">IF(OR(COUNTA(J45:M45)&lt;&gt;COUNT(J45:M45)),"Please remove any text entries, enter numeric values only","")</f>
        <v/>
      </c>
      <c r="T45" s="548">
        <v>1</v>
      </c>
    </row>
    <row r="46" spans="2:20" ht="12.75" customHeight="1">
      <c r="B46" s="525">
        <v>32</v>
      </c>
      <c r="C46" s="525" t="s">
        <v>1299</v>
      </c>
      <c r="D46" s="525"/>
      <c r="E46" s="546">
        <v>0</v>
      </c>
      <c r="F46" s="546">
        <v>0</v>
      </c>
      <c r="G46" s="546">
        <v>0</v>
      </c>
      <c r="H46" s="546">
        <v>0</v>
      </c>
      <c r="I46" s="546">
        <v>0</v>
      </c>
      <c r="J46" s="526"/>
      <c r="K46" s="526">
        <v>5281</v>
      </c>
      <c r="L46" s="526">
        <v>2719</v>
      </c>
      <c r="M46" s="526">
        <v>1853</v>
      </c>
      <c r="N46" s="546">
        <v>459</v>
      </c>
      <c r="O46" s="546">
        <v>29</v>
      </c>
      <c r="P46" s="546">
        <v>3</v>
      </c>
      <c r="Q46" s="515">
        <f t="shared" si="3"/>
        <v>10344</v>
      </c>
      <c r="R46" s="547"/>
      <c r="S46" s="1" t="str">
        <f t="shared" si="5"/>
        <v/>
      </c>
      <c r="T46" s="548">
        <v>3</v>
      </c>
    </row>
    <row r="47" spans="2:20" ht="12.75" customHeight="1">
      <c r="B47" s="525">
        <v>33</v>
      </c>
      <c r="C47" s="525" t="s">
        <v>1300</v>
      </c>
      <c r="D47" s="525"/>
      <c r="E47" s="546">
        <v>0</v>
      </c>
      <c r="F47" s="546">
        <v>0</v>
      </c>
      <c r="G47" s="546">
        <v>0</v>
      </c>
      <c r="H47" s="546">
        <v>0</v>
      </c>
      <c r="I47" s="546">
        <v>0</v>
      </c>
      <c r="J47" s="526"/>
      <c r="K47" s="526">
        <v>6431</v>
      </c>
      <c r="L47" s="526">
        <v>2933</v>
      </c>
      <c r="M47" s="526">
        <v>779</v>
      </c>
      <c r="N47" s="546">
        <v>176</v>
      </c>
      <c r="O47" s="546">
        <v>8</v>
      </c>
      <c r="P47" s="546">
        <v>0</v>
      </c>
      <c r="Q47" s="515">
        <f t="shared" si="3"/>
        <v>10327</v>
      </c>
      <c r="R47" s="547"/>
      <c r="S47" s="1" t="str">
        <f t="shared" si="5"/>
        <v/>
      </c>
      <c r="T47" s="548">
        <v>4</v>
      </c>
    </row>
    <row r="48" spans="2:20" ht="12.75" customHeight="1">
      <c r="B48" s="525">
        <v>34</v>
      </c>
      <c r="C48" s="525" t="s">
        <v>1301</v>
      </c>
      <c r="D48" s="525"/>
      <c r="E48" s="546">
        <v>0</v>
      </c>
      <c r="F48" s="546">
        <v>0</v>
      </c>
      <c r="G48" s="546">
        <v>0</v>
      </c>
      <c r="H48" s="546">
        <v>0</v>
      </c>
      <c r="I48" s="546">
        <v>0</v>
      </c>
      <c r="J48" s="526"/>
      <c r="K48" s="526">
        <v>0</v>
      </c>
      <c r="L48" s="526"/>
      <c r="M48" s="526"/>
      <c r="N48" s="546">
        <v>0</v>
      </c>
      <c r="O48" s="546">
        <v>0</v>
      </c>
      <c r="P48" s="546">
        <v>0</v>
      </c>
      <c r="Q48" s="515">
        <f t="shared" si="3"/>
        <v>0</v>
      </c>
      <c r="R48" s="547"/>
      <c r="S48" s="1" t="str">
        <f t="shared" si="5"/>
        <v/>
      </c>
      <c r="T48" s="548">
        <v>5</v>
      </c>
    </row>
    <row r="49" spans="2:20" ht="12.75" customHeight="1">
      <c r="B49" s="525">
        <v>35</v>
      </c>
      <c r="C49" s="525" t="s">
        <v>1302</v>
      </c>
      <c r="D49" s="525"/>
      <c r="E49" s="546">
        <v>0</v>
      </c>
      <c r="F49" s="546">
        <v>0</v>
      </c>
      <c r="G49" s="546">
        <v>0</v>
      </c>
      <c r="H49" s="546">
        <v>0</v>
      </c>
      <c r="I49" s="546">
        <v>0</v>
      </c>
      <c r="J49" s="526"/>
      <c r="K49" s="526">
        <v>2</v>
      </c>
      <c r="L49" s="526">
        <v>5</v>
      </c>
      <c r="M49" s="526">
        <v>19</v>
      </c>
      <c r="N49" s="546">
        <v>7</v>
      </c>
      <c r="O49" s="546">
        <v>2</v>
      </c>
      <c r="P49" s="546">
        <v>1</v>
      </c>
      <c r="Q49" s="515">
        <f t="shared" si="3"/>
        <v>36</v>
      </c>
      <c r="R49" s="547"/>
      <c r="S49" s="1" t="str">
        <f t="shared" si="5"/>
        <v/>
      </c>
      <c r="T49" s="548"/>
    </row>
    <row r="50" spans="2:20" ht="12.75" customHeight="1">
      <c r="B50" s="525">
        <v>30</v>
      </c>
      <c r="C50" s="525" t="s">
        <v>1303</v>
      </c>
      <c r="D50" s="525"/>
      <c r="E50" s="546">
        <v>0</v>
      </c>
      <c r="F50" s="546">
        <v>0</v>
      </c>
      <c r="G50" s="546">
        <v>0</v>
      </c>
      <c r="H50" s="546">
        <v>0</v>
      </c>
      <c r="I50" s="546">
        <v>0</v>
      </c>
      <c r="J50" s="526"/>
      <c r="K50" s="526">
        <v>0</v>
      </c>
      <c r="L50" s="526"/>
      <c r="M50" s="526"/>
      <c r="N50" s="546">
        <v>0</v>
      </c>
      <c r="O50" s="546">
        <v>0</v>
      </c>
      <c r="P50" s="546">
        <v>0</v>
      </c>
      <c r="Q50" s="515">
        <f t="shared" si="3"/>
        <v>0</v>
      </c>
      <c r="S50" s="1" t="str">
        <f t="shared" si="5"/>
        <v/>
      </c>
    </row>
    <row r="51" spans="2:20" ht="12.75" customHeight="1">
      <c r="B51" s="525">
        <v>36</v>
      </c>
      <c r="C51" s="525" t="s">
        <v>1304</v>
      </c>
      <c r="D51" s="525"/>
      <c r="E51" s="546">
        <v>0</v>
      </c>
      <c r="F51" s="546">
        <v>0</v>
      </c>
      <c r="G51" s="546">
        <v>0</v>
      </c>
      <c r="H51" s="546">
        <v>0</v>
      </c>
      <c r="I51" s="546">
        <v>0</v>
      </c>
      <c r="J51" s="526"/>
      <c r="K51" s="526">
        <v>0</v>
      </c>
      <c r="L51" s="526">
        <v>62</v>
      </c>
      <c r="M51" s="526">
        <v>30</v>
      </c>
      <c r="N51" s="546">
        <v>0</v>
      </c>
      <c r="O51" s="546">
        <v>0</v>
      </c>
      <c r="P51" s="546">
        <v>0</v>
      </c>
      <c r="Q51" s="515">
        <f t="shared" si="3"/>
        <v>92</v>
      </c>
      <c r="R51" s="547"/>
      <c r="S51" s="1" t="str">
        <f t="shared" si="5"/>
        <v/>
      </c>
      <c r="T51" s="548">
        <v>6</v>
      </c>
    </row>
    <row r="52" spans="2:20" ht="12.75" customHeight="1">
      <c r="B52" s="525">
        <v>37</v>
      </c>
      <c r="C52" s="525" t="s">
        <v>1305</v>
      </c>
      <c r="D52" s="525"/>
      <c r="E52" s="546">
        <v>0</v>
      </c>
      <c r="F52" s="546">
        <v>0</v>
      </c>
      <c r="G52" s="546">
        <v>0</v>
      </c>
      <c r="H52" s="546">
        <v>0</v>
      </c>
      <c r="I52" s="546">
        <v>0</v>
      </c>
      <c r="J52" s="526"/>
      <c r="K52" s="526">
        <v>0</v>
      </c>
      <c r="L52" s="526"/>
      <c r="M52" s="526"/>
      <c r="N52" s="546">
        <v>0</v>
      </c>
      <c r="O52" s="546">
        <v>0</v>
      </c>
      <c r="P52" s="546">
        <v>0</v>
      </c>
      <c r="Q52" s="515">
        <f t="shared" si="3"/>
        <v>0</v>
      </c>
      <c r="R52" s="547"/>
      <c r="S52" s="1" t="str">
        <f t="shared" si="5"/>
        <v/>
      </c>
      <c r="T52" s="548">
        <v>7</v>
      </c>
    </row>
    <row r="53" spans="2:20" ht="12.75" customHeight="1">
      <c r="B53" s="525">
        <v>38</v>
      </c>
      <c r="C53" s="525" t="s">
        <v>1306</v>
      </c>
      <c r="D53" s="525"/>
      <c r="E53" s="546">
        <v>0</v>
      </c>
      <c r="F53" s="546">
        <v>0</v>
      </c>
      <c r="G53" s="546">
        <v>0</v>
      </c>
      <c r="H53" s="546">
        <v>0</v>
      </c>
      <c r="I53" s="546">
        <v>0</v>
      </c>
      <c r="J53" s="526"/>
      <c r="K53" s="526">
        <v>0</v>
      </c>
      <c r="L53" s="526"/>
      <c r="M53" s="526"/>
      <c r="N53" s="546">
        <v>0</v>
      </c>
      <c r="O53" s="546">
        <v>0</v>
      </c>
      <c r="P53" s="546">
        <v>0</v>
      </c>
      <c r="Q53" s="515">
        <f t="shared" si="3"/>
        <v>0</v>
      </c>
      <c r="R53" s="547"/>
      <c r="S53" s="1" t="str">
        <f t="shared" si="5"/>
        <v/>
      </c>
      <c r="T53" s="548">
        <v>8</v>
      </c>
    </row>
    <row r="54" spans="2:20" ht="12.75" customHeight="1">
      <c r="B54" s="530">
        <v>39</v>
      </c>
      <c r="C54" s="531" t="s">
        <v>1316</v>
      </c>
      <c r="D54" s="531"/>
      <c r="E54" s="546">
        <f t="shared" ref="E54:P54" si="6">SUM(E38:E53)</f>
        <v>0</v>
      </c>
      <c r="F54" s="546">
        <f t="shared" si="6"/>
        <v>0</v>
      </c>
      <c r="G54" s="546">
        <f t="shared" si="6"/>
        <v>0</v>
      </c>
      <c r="H54" s="546">
        <f t="shared" si="6"/>
        <v>0</v>
      </c>
      <c r="I54" s="546">
        <f t="shared" si="6"/>
        <v>0</v>
      </c>
      <c r="J54" s="546">
        <f t="shared" si="6"/>
        <v>0</v>
      </c>
      <c r="K54" s="546">
        <f t="shared" si="6"/>
        <v>45773</v>
      </c>
      <c r="L54" s="546">
        <f t="shared" si="6"/>
        <v>13908</v>
      </c>
      <c r="M54" s="546">
        <f t="shared" si="6"/>
        <v>5652</v>
      </c>
      <c r="N54" s="546">
        <f t="shared" si="6"/>
        <v>1108</v>
      </c>
      <c r="O54" s="546">
        <f t="shared" si="6"/>
        <v>81</v>
      </c>
      <c r="P54" s="546">
        <f t="shared" si="6"/>
        <v>8</v>
      </c>
      <c r="Q54" s="515">
        <f t="shared" si="3"/>
        <v>66530</v>
      </c>
      <c r="R54" s="547"/>
      <c r="S54" s="549"/>
      <c r="T54" s="548">
        <v>11</v>
      </c>
    </row>
    <row r="55" spans="2:20" s="552" customFormat="1" ht="12.65" customHeight="1">
      <c r="B55" s="550"/>
      <c r="C55" s="506"/>
      <c r="D55" s="506"/>
      <c r="E55" s="551"/>
      <c r="F55" s="551"/>
      <c r="G55" s="551"/>
      <c r="H55" s="551"/>
      <c r="I55" s="551"/>
      <c r="J55" s="551"/>
      <c r="K55" s="551"/>
      <c r="L55" s="551"/>
      <c r="M55" s="551"/>
      <c r="N55" s="551"/>
      <c r="O55" s="551"/>
      <c r="P55" s="551"/>
      <c r="Q55" s="551"/>
      <c r="R55" s="551"/>
      <c r="S55" s="551"/>
      <c r="T55" s="551"/>
    </row>
    <row r="56" spans="2:20" s="552" customFormat="1" ht="12.65" customHeight="1">
      <c r="B56" s="550"/>
      <c r="C56" s="506"/>
      <c r="D56" s="506"/>
      <c r="E56" s="551"/>
      <c r="F56" s="551"/>
      <c r="G56" s="551"/>
      <c r="H56" s="551"/>
      <c r="I56" s="551"/>
      <c r="J56" s="551"/>
      <c r="K56" s="551"/>
      <c r="L56" s="551"/>
      <c r="M56" s="551"/>
      <c r="N56" s="551"/>
      <c r="O56" s="551"/>
      <c r="P56" s="551"/>
      <c r="Q56" s="551"/>
      <c r="R56" s="551"/>
      <c r="S56" s="551"/>
      <c r="T56" s="551"/>
    </row>
    <row r="57" spans="2:20" s="552" customFormat="1" ht="12.65" customHeight="1">
      <c r="B57" s="509" t="s">
        <v>1317</v>
      </c>
      <c r="C57" s="506"/>
      <c r="D57" s="506"/>
      <c r="E57" s="551"/>
      <c r="F57" s="551"/>
      <c r="G57" s="551"/>
      <c r="H57" s="551"/>
      <c r="I57" s="551"/>
      <c r="J57" s="551"/>
      <c r="K57" s="551"/>
      <c r="L57" s="551"/>
      <c r="M57" s="551"/>
      <c r="N57" s="551"/>
      <c r="O57" s="551"/>
      <c r="P57" s="551"/>
      <c r="Q57" s="551"/>
      <c r="R57" s="551"/>
      <c r="S57" s="551"/>
      <c r="T57" s="551"/>
    </row>
    <row r="58" spans="2:20" s="506" customFormat="1" ht="12.75" customHeight="1">
      <c r="C58" s="536"/>
      <c r="D58" s="537"/>
      <c r="E58" s="511" t="s">
        <v>251</v>
      </c>
      <c r="F58" s="538" t="s">
        <v>252</v>
      </c>
      <c r="G58" s="538" t="s">
        <v>253</v>
      </c>
      <c r="H58" s="538" t="s">
        <v>254</v>
      </c>
      <c r="I58" s="538" t="s">
        <v>255</v>
      </c>
      <c r="J58" s="538" t="s">
        <v>256</v>
      </c>
      <c r="K58" s="538" t="s">
        <v>257</v>
      </c>
      <c r="L58" s="538" t="s">
        <v>258</v>
      </c>
      <c r="M58" s="538" t="s">
        <v>259</v>
      </c>
      <c r="N58" s="538" t="s">
        <v>260</v>
      </c>
      <c r="O58" s="538" t="s">
        <v>261</v>
      </c>
      <c r="P58" s="538" t="s">
        <v>262</v>
      </c>
      <c r="Q58" s="539" t="s">
        <v>263</v>
      </c>
      <c r="R58" s="540"/>
      <c r="S58" s="541"/>
      <c r="T58" s="542"/>
    </row>
    <row r="59" spans="2:20" s="506" customFormat="1" ht="12.75" customHeight="1">
      <c r="B59" s="519" t="s">
        <v>249</v>
      </c>
      <c r="C59" s="543" t="s">
        <v>1315</v>
      </c>
      <c r="D59" s="543"/>
      <c r="E59" s="522" t="s">
        <v>1290</v>
      </c>
      <c r="F59" s="523" t="s">
        <v>1290</v>
      </c>
      <c r="G59" s="523" t="s">
        <v>1290</v>
      </c>
      <c r="H59" s="523" t="s">
        <v>1290</v>
      </c>
      <c r="I59" s="523" t="s">
        <v>1290</v>
      </c>
      <c r="J59" s="523" t="s">
        <v>1290</v>
      </c>
      <c r="K59" s="523" t="s">
        <v>1290</v>
      </c>
      <c r="L59" s="523" t="s">
        <v>1290</v>
      </c>
      <c r="M59" s="523" t="s">
        <v>1290</v>
      </c>
      <c r="N59" s="523" t="s">
        <v>1290</v>
      </c>
      <c r="O59" s="523" t="s">
        <v>1290</v>
      </c>
      <c r="P59" s="523" t="s">
        <v>1290</v>
      </c>
      <c r="Q59" s="523" t="s">
        <v>1290</v>
      </c>
      <c r="R59" s="540"/>
      <c r="S59" s="1"/>
      <c r="T59" s="542"/>
    </row>
    <row r="60" spans="2:20" ht="12.75" customHeight="1">
      <c r="B60" s="525">
        <v>40</v>
      </c>
      <c r="C60" s="525" t="s">
        <v>1318</v>
      </c>
      <c r="D60" s="525"/>
      <c r="E60" s="526">
        <v>0</v>
      </c>
      <c r="F60" s="526">
        <v>0</v>
      </c>
      <c r="G60" s="526">
        <v>0</v>
      </c>
      <c r="H60" s="515">
        <v>0</v>
      </c>
      <c r="I60" s="515">
        <v>0</v>
      </c>
      <c r="J60" s="526"/>
      <c r="K60" s="526">
        <v>277</v>
      </c>
      <c r="L60" s="526">
        <v>2704</v>
      </c>
      <c r="M60" s="526">
        <v>1804</v>
      </c>
      <c r="N60" s="515">
        <v>108</v>
      </c>
      <c r="O60" s="515">
        <v>0</v>
      </c>
      <c r="P60" s="515">
        <v>0</v>
      </c>
      <c r="Q60" s="546">
        <f t="shared" ref="Q60:Q65" si="7">SUM(E60:P60)</f>
        <v>4893</v>
      </c>
      <c r="R60" s="544"/>
      <c r="S60" s="1" t="str">
        <f>IF(OR(COUNTA(J60:M60)&lt;&gt;COUNT(J60:M60),COUNTA(E60:G60)&lt;&gt;COUNT(E60:G60)),"Please remove any text entries, enter numeric values only","")</f>
        <v/>
      </c>
      <c r="T60" s="545"/>
    </row>
    <row r="61" spans="2:20" ht="12.75" customHeight="1">
      <c r="B61" s="525">
        <v>41</v>
      </c>
      <c r="C61" s="525" t="s">
        <v>1319</v>
      </c>
      <c r="D61" s="525"/>
      <c r="E61" s="526">
        <v>0</v>
      </c>
      <c r="F61" s="526">
        <v>0</v>
      </c>
      <c r="G61" s="526">
        <v>0</v>
      </c>
      <c r="H61" s="546">
        <v>0</v>
      </c>
      <c r="I61" s="546">
        <v>0</v>
      </c>
      <c r="J61" s="526"/>
      <c r="K61" s="526">
        <v>27729</v>
      </c>
      <c r="L61" s="526">
        <v>4871</v>
      </c>
      <c r="M61" s="526">
        <v>546</v>
      </c>
      <c r="N61" s="546">
        <v>0</v>
      </c>
      <c r="O61" s="546">
        <v>0</v>
      </c>
      <c r="P61" s="546">
        <v>0</v>
      </c>
      <c r="Q61" s="546">
        <f t="shared" si="7"/>
        <v>33146</v>
      </c>
      <c r="R61" s="544"/>
      <c r="S61" s="1" t="str">
        <f>IF(OR(COUNTA(J61:M61)&lt;&gt;COUNT(J61:M61),COUNTA(E61:G61)&lt;&gt;COUNT(E61:G61)),"Please remove any text entries, enter numeric values only","")</f>
        <v/>
      </c>
      <c r="T61" s="545"/>
    </row>
    <row r="62" spans="2:20" ht="12.75" customHeight="1">
      <c r="B62" s="525">
        <v>42</v>
      </c>
      <c r="C62" s="525" t="s">
        <v>1320</v>
      </c>
      <c r="D62" s="525"/>
      <c r="E62" s="526">
        <v>0</v>
      </c>
      <c r="F62" s="526">
        <v>0</v>
      </c>
      <c r="G62" s="526">
        <v>0</v>
      </c>
      <c r="H62" s="546">
        <v>0</v>
      </c>
      <c r="I62" s="546">
        <v>0</v>
      </c>
      <c r="J62" s="526"/>
      <c r="K62" s="526">
        <v>17767</v>
      </c>
      <c r="L62" s="526">
        <v>6333</v>
      </c>
      <c r="M62" s="526">
        <v>3302</v>
      </c>
      <c r="N62" s="546">
        <v>1000</v>
      </c>
      <c r="O62" s="546">
        <v>81</v>
      </c>
      <c r="P62" s="546">
        <v>8</v>
      </c>
      <c r="Q62" s="546">
        <f t="shared" si="7"/>
        <v>28491</v>
      </c>
      <c r="R62" s="544"/>
      <c r="S62" s="1" t="str">
        <f>IF(OR(COUNTA(J62:M62)&lt;&gt;COUNT(J62:M62),COUNTA(E62:G62)&lt;&gt;COUNT(E62:G62)),"Please remove any text entries, enter numeric values only","")</f>
        <v/>
      </c>
      <c r="T62" s="545"/>
    </row>
    <row r="63" spans="2:20" ht="12.75" customHeight="1">
      <c r="B63" s="525">
        <v>43</v>
      </c>
      <c r="C63" s="525" t="s">
        <v>1321</v>
      </c>
      <c r="D63" s="525"/>
      <c r="E63" s="526"/>
      <c r="F63" s="526"/>
      <c r="G63" s="526"/>
      <c r="H63" s="546">
        <v>0</v>
      </c>
      <c r="I63" s="546">
        <v>0</v>
      </c>
      <c r="J63" s="526"/>
      <c r="K63" s="526">
        <v>0</v>
      </c>
      <c r="L63" s="526"/>
      <c r="M63" s="526"/>
      <c r="N63" s="546">
        <v>0</v>
      </c>
      <c r="O63" s="546">
        <v>0</v>
      </c>
      <c r="P63" s="546">
        <v>0</v>
      </c>
      <c r="Q63" s="546">
        <f t="shared" si="7"/>
        <v>0</v>
      </c>
      <c r="R63" s="544"/>
      <c r="S63" s="1" t="str">
        <f>IF(OR(COUNTA(J63:M63)&lt;&gt;COUNT(J63:M63),COUNTA(E63:G63)&lt;&gt;COUNT(E63:G63)),"Please remove any text entries, enter numeric values only","")</f>
        <v/>
      </c>
      <c r="T63" s="545"/>
    </row>
    <row r="64" spans="2:20" ht="12.75" customHeight="1">
      <c r="B64" s="553">
        <v>44</v>
      </c>
      <c r="C64" s="531" t="s">
        <v>1322</v>
      </c>
      <c r="D64" s="531"/>
      <c r="E64" s="546">
        <f>SUM(E60:E63)</f>
        <v>0</v>
      </c>
      <c r="F64" s="546">
        <f t="shared" ref="F64:P64" si="8">SUM(F60:F63)</f>
        <v>0</v>
      </c>
      <c r="G64" s="546">
        <f t="shared" si="8"/>
        <v>0</v>
      </c>
      <c r="H64" s="546">
        <f t="shared" si="8"/>
        <v>0</v>
      </c>
      <c r="I64" s="546">
        <f t="shared" si="8"/>
        <v>0</v>
      </c>
      <c r="J64" s="546">
        <f t="shared" si="8"/>
        <v>0</v>
      </c>
      <c r="K64" s="546">
        <f t="shared" si="8"/>
        <v>45773</v>
      </c>
      <c r="L64" s="546">
        <f t="shared" si="8"/>
        <v>13908</v>
      </c>
      <c r="M64" s="546">
        <f t="shared" si="8"/>
        <v>5652</v>
      </c>
      <c r="N64" s="546">
        <f t="shared" si="8"/>
        <v>1108</v>
      </c>
      <c r="O64" s="546">
        <f t="shared" si="8"/>
        <v>81</v>
      </c>
      <c r="P64" s="546">
        <f t="shared" si="8"/>
        <v>8</v>
      </c>
      <c r="Q64" s="546">
        <f t="shared" si="7"/>
        <v>66530</v>
      </c>
      <c r="R64" s="544"/>
      <c r="S64" s="1" t="str">
        <f>IF(OR(COUNTA(J64:M64)&lt;&gt;COUNT(J64:M64),COUNTA(E64:G64)&lt;&gt;COUNT(E64:G64)),"Please remove any text entries, enter numeric values only","")</f>
        <v/>
      </c>
      <c r="T64" s="545"/>
    </row>
    <row r="65" spans="2:20" ht="12.75" customHeight="1">
      <c r="B65" s="553">
        <v>45</v>
      </c>
      <c r="C65" s="531" t="s">
        <v>1323</v>
      </c>
      <c r="D65" s="531"/>
      <c r="E65" s="546">
        <f t="shared" ref="E65:P65" si="9">E54-E64</f>
        <v>0</v>
      </c>
      <c r="F65" s="546">
        <f t="shared" si="9"/>
        <v>0</v>
      </c>
      <c r="G65" s="546">
        <f t="shared" si="9"/>
        <v>0</v>
      </c>
      <c r="H65" s="546">
        <f t="shared" si="9"/>
        <v>0</v>
      </c>
      <c r="I65" s="546">
        <f t="shared" si="9"/>
        <v>0</v>
      </c>
      <c r="J65" s="546">
        <f t="shared" si="9"/>
        <v>0</v>
      </c>
      <c r="K65" s="546">
        <f t="shared" si="9"/>
        <v>0</v>
      </c>
      <c r="L65" s="546">
        <f t="shared" si="9"/>
        <v>0</v>
      </c>
      <c r="M65" s="546">
        <f t="shared" si="9"/>
        <v>0</v>
      </c>
      <c r="N65" s="546">
        <f t="shared" si="9"/>
        <v>0</v>
      </c>
      <c r="O65" s="546">
        <f t="shared" si="9"/>
        <v>0</v>
      </c>
      <c r="P65" s="546">
        <f t="shared" si="9"/>
        <v>0</v>
      </c>
      <c r="Q65" s="546">
        <f t="shared" si="7"/>
        <v>0</v>
      </c>
      <c r="R65" s="544"/>
      <c r="S65" s="549"/>
      <c r="T65" s="545"/>
    </row>
    <row r="66" spans="2:20" s="499" customFormat="1" ht="12.75" customHeight="1"/>
    <row r="67" spans="2:20" s="499" customFormat="1" ht="12.75" customHeight="1"/>
    <row r="68" spans="2:20" s="552" customFormat="1" ht="12.65" customHeight="1">
      <c r="B68" s="550"/>
      <c r="C68" s="506"/>
      <c r="D68" s="506"/>
      <c r="E68" s="551"/>
      <c r="F68" s="551"/>
      <c r="G68" s="551"/>
      <c r="H68" s="551"/>
      <c r="I68" s="551"/>
      <c r="J68" s="551"/>
      <c r="K68" s="551"/>
      <c r="L68" s="551"/>
      <c r="M68" s="551"/>
      <c r="N68" s="551"/>
      <c r="O68" s="551"/>
      <c r="P68" s="551"/>
      <c r="Q68" s="551"/>
      <c r="R68" s="551"/>
      <c r="S68" s="551"/>
      <c r="T68" s="551"/>
    </row>
    <row r="69" spans="2:20" s="499" customFormat="1" ht="15.5">
      <c r="B69" s="509" t="s">
        <v>1324</v>
      </c>
      <c r="C69" s="497"/>
      <c r="D69" s="510"/>
      <c r="E69" s="510"/>
      <c r="F69" s="510"/>
      <c r="G69" s="510"/>
      <c r="H69" s="510"/>
      <c r="I69" s="510"/>
    </row>
    <row r="70" spans="2:20" ht="15.5">
      <c r="B70" s="509"/>
      <c r="C70" s="506"/>
      <c r="D70" s="511" t="s">
        <v>1283</v>
      </c>
      <c r="E70" s="554" t="s">
        <v>1284</v>
      </c>
      <c r="F70" s="555" t="s">
        <v>1285</v>
      </c>
      <c r="G70" s="556"/>
      <c r="H70" s="556"/>
      <c r="I70" s="556"/>
      <c r="J70" s="556"/>
      <c r="K70" s="556"/>
      <c r="L70" s="556"/>
      <c r="M70" s="556"/>
      <c r="N70" s="557"/>
      <c r="O70" s="558"/>
    </row>
    <row r="71" spans="2:20" s="552" customFormat="1" ht="13">
      <c r="B71" s="512"/>
      <c r="C71" s="513" t="s">
        <v>1286</v>
      </c>
      <c r="D71" s="559"/>
      <c r="E71" s="515" t="s">
        <v>1325</v>
      </c>
      <c r="F71" s="515"/>
      <c r="G71" s="560"/>
      <c r="H71" s="560"/>
      <c r="I71" s="560"/>
      <c r="J71" s="560"/>
      <c r="K71" s="560"/>
      <c r="L71" s="560"/>
      <c r="M71" s="560"/>
      <c r="N71" s="561"/>
      <c r="O71" s="561"/>
      <c r="P71" s="497"/>
      <c r="Q71" s="497"/>
      <c r="R71" s="497"/>
      <c r="S71" s="497"/>
      <c r="T71" s="497"/>
    </row>
    <row r="72" spans="2:20" s="499" customFormat="1" ht="15.5">
      <c r="B72" s="519" t="s">
        <v>249</v>
      </c>
      <c r="C72" s="520" t="s">
        <v>1289</v>
      </c>
      <c r="D72" s="562" t="s">
        <v>1290</v>
      </c>
      <c r="E72" s="522"/>
      <c r="F72" s="523" t="s">
        <v>1290</v>
      </c>
    </row>
    <row r="73" spans="2:20" s="499" customFormat="1" ht="15.5">
      <c r="B73" s="525">
        <v>46</v>
      </c>
      <c r="C73" s="525" t="s">
        <v>1291</v>
      </c>
      <c r="D73" s="528">
        <v>10497</v>
      </c>
      <c r="E73" s="503" t="s">
        <v>1278</v>
      </c>
      <c r="F73" s="528">
        <v>10497</v>
      </c>
      <c r="S73" s="1" t="str">
        <f t="shared" ref="S73:S88" si="10">IF(OR(COUNTA(F73)&lt;&gt;COUNT(F73),COUNTA(D73)&lt;&gt;COUNT(D73)),"Please remove any text entries, enter numeric values only","")</f>
        <v/>
      </c>
    </row>
    <row r="74" spans="2:20" ht="13">
      <c r="B74" s="525">
        <v>47</v>
      </c>
      <c r="C74" s="525" t="s">
        <v>1292</v>
      </c>
      <c r="D74" s="528">
        <v>2095</v>
      </c>
      <c r="E74" s="503" t="s">
        <v>1278</v>
      </c>
      <c r="F74" s="528">
        <v>2095</v>
      </c>
      <c r="N74" s="561"/>
      <c r="O74" s="561"/>
      <c r="S74" s="1" t="str">
        <f t="shared" si="10"/>
        <v/>
      </c>
    </row>
    <row r="75" spans="2:20" ht="13">
      <c r="B75" s="525">
        <v>48</v>
      </c>
      <c r="C75" s="525" t="s">
        <v>1293</v>
      </c>
      <c r="D75" s="528">
        <v>19</v>
      </c>
      <c r="E75" s="503" t="s">
        <v>1278</v>
      </c>
      <c r="F75" s="528">
        <v>19</v>
      </c>
      <c r="G75" s="563"/>
      <c r="H75" s="563"/>
      <c r="I75" s="563"/>
      <c r="J75" s="563"/>
      <c r="K75" s="563"/>
      <c r="L75" s="563"/>
      <c r="M75" s="563"/>
      <c r="N75" s="561"/>
      <c r="O75" s="561"/>
      <c r="P75" s="564"/>
      <c r="Q75" s="564"/>
      <c r="R75" s="564"/>
      <c r="S75" s="1" t="str">
        <f t="shared" si="10"/>
        <v/>
      </c>
      <c r="T75" s="564"/>
    </row>
    <row r="76" spans="2:20" ht="13">
      <c r="B76" s="525">
        <v>49</v>
      </c>
      <c r="C76" s="525" t="s">
        <v>1294</v>
      </c>
      <c r="D76" s="528">
        <v>22604</v>
      </c>
      <c r="E76" s="503" t="s">
        <v>1278</v>
      </c>
      <c r="F76" s="528">
        <v>22604</v>
      </c>
      <c r="G76" s="563"/>
      <c r="H76" s="563"/>
      <c r="I76" s="563"/>
      <c r="J76" s="563"/>
      <c r="K76" s="563"/>
      <c r="L76" s="563"/>
      <c r="M76" s="563"/>
      <c r="N76" s="565"/>
      <c r="O76" s="565"/>
      <c r="P76" s="564"/>
      <c r="Q76" s="564"/>
      <c r="R76" s="564"/>
      <c r="S76" s="1" t="str">
        <f t="shared" si="10"/>
        <v/>
      </c>
      <c r="T76" s="564"/>
    </row>
    <row r="77" spans="2:20" ht="13">
      <c r="B77" s="525">
        <v>50</v>
      </c>
      <c r="C77" s="525" t="s">
        <v>1295</v>
      </c>
      <c r="D77" s="528">
        <v>14132</v>
      </c>
      <c r="E77" s="503" t="s">
        <v>1278</v>
      </c>
      <c r="F77" s="528"/>
      <c r="G77" s="563"/>
      <c r="H77" s="563"/>
      <c r="I77" s="563"/>
      <c r="J77" s="563"/>
      <c r="K77" s="563"/>
      <c r="L77" s="563"/>
      <c r="M77" s="563"/>
      <c r="N77" s="565"/>
      <c r="O77" s="565"/>
      <c r="P77" s="564"/>
      <c r="Q77" s="564"/>
      <c r="R77" s="564"/>
      <c r="S77" s="1" t="str">
        <f t="shared" si="10"/>
        <v/>
      </c>
      <c r="T77" s="564"/>
    </row>
    <row r="78" spans="2:20" ht="13">
      <c r="B78" s="525">
        <v>51</v>
      </c>
      <c r="C78" s="525" t="s">
        <v>1296</v>
      </c>
      <c r="D78" s="528">
        <v>16</v>
      </c>
      <c r="E78" s="503" t="s">
        <v>1278</v>
      </c>
      <c r="F78" s="528"/>
      <c r="G78" s="563"/>
      <c r="H78" s="563"/>
      <c r="I78" s="563"/>
      <c r="J78" s="563"/>
      <c r="K78" s="563"/>
      <c r="L78" s="563"/>
      <c r="M78" s="563"/>
      <c r="N78" s="565"/>
      <c r="O78" s="565"/>
      <c r="P78" s="564"/>
      <c r="Q78" s="564"/>
      <c r="R78" s="564"/>
      <c r="S78" s="1" t="str">
        <f t="shared" si="10"/>
        <v/>
      </c>
      <c r="T78" s="564"/>
    </row>
    <row r="79" spans="2:20" ht="13">
      <c r="B79" s="525">
        <v>52</v>
      </c>
      <c r="C79" s="525" t="s">
        <v>1297</v>
      </c>
      <c r="D79" s="528">
        <v>18435</v>
      </c>
      <c r="E79" s="503" t="s">
        <v>1278</v>
      </c>
      <c r="F79" s="528">
        <v>18435</v>
      </c>
      <c r="G79" s="563"/>
      <c r="H79" s="563"/>
      <c r="I79" s="563"/>
      <c r="J79" s="563"/>
      <c r="K79" s="563"/>
      <c r="L79" s="563"/>
      <c r="M79" s="563"/>
      <c r="N79" s="565"/>
      <c r="O79" s="565"/>
      <c r="P79" s="564"/>
      <c r="Q79" s="564"/>
      <c r="R79" s="564"/>
      <c r="S79" s="1" t="str">
        <f t="shared" si="10"/>
        <v/>
      </c>
      <c r="T79" s="564"/>
    </row>
    <row r="80" spans="2:20" ht="13">
      <c r="B80" s="525">
        <v>53</v>
      </c>
      <c r="C80" s="525" t="s">
        <v>1298</v>
      </c>
      <c r="D80" s="528">
        <v>19519</v>
      </c>
      <c r="E80" s="503" t="s">
        <v>1278</v>
      </c>
      <c r="F80" s="528">
        <v>19519</v>
      </c>
      <c r="G80" s="551"/>
      <c r="H80" s="551"/>
      <c r="I80" s="551"/>
      <c r="J80" s="551"/>
      <c r="K80" s="551"/>
      <c r="L80" s="551"/>
      <c r="M80" s="551"/>
      <c r="N80" s="551"/>
      <c r="O80" s="551"/>
      <c r="P80" s="566"/>
      <c r="Q80" s="566"/>
      <c r="R80" s="564"/>
      <c r="S80" s="1" t="str">
        <f t="shared" si="10"/>
        <v/>
      </c>
      <c r="T80" s="564"/>
    </row>
    <row r="81" spans="2:20" ht="13">
      <c r="B81" s="525">
        <v>54</v>
      </c>
      <c r="C81" s="525" t="s">
        <v>1299</v>
      </c>
      <c r="D81" s="528"/>
      <c r="E81" s="503" t="s">
        <v>1278</v>
      </c>
      <c r="F81" s="528"/>
      <c r="G81" s="567"/>
      <c r="H81" s="567"/>
      <c r="I81" s="567"/>
      <c r="J81" s="567"/>
      <c r="K81" s="567"/>
      <c r="L81" s="567"/>
      <c r="M81" s="567"/>
      <c r="N81" s="567"/>
      <c r="O81" s="567"/>
      <c r="R81" s="566"/>
      <c r="S81" s="1" t="str">
        <f t="shared" si="10"/>
        <v/>
      </c>
      <c r="T81" s="566"/>
    </row>
    <row r="82" spans="2:20" ht="13">
      <c r="B82" s="525">
        <v>55</v>
      </c>
      <c r="C82" s="525" t="s">
        <v>1300</v>
      </c>
      <c r="D82" s="528">
        <v>23034</v>
      </c>
      <c r="E82" s="503" t="s">
        <v>1278</v>
      </c>
      <c r="F82" s="528">
        <v>23034</v>
      </c>
      <c r="G82" s="563"/>
      <c r="H82" s="563"/>
      <c r="I82" s="563"/>
      <c r="J82" s="563"/>
      <c r="K82" s="563"/>
      <c r="L82" s="563"/>
      <c r="M82" s="563"/>
      <c r="N82" s="565"/>
      <c r="O82" s="565"/>
      <c r="S82" s="1" t="str">
        <f t="shared" si="10"/>
        <v/>
      </c>
    </row>
    <row r="83" spans="2:20" ht="13">
      <c r="B83" s="525">
        <v>56</v>
      </c>
      <c r="C83" s="525" t="s">
        <v>1301</v>
      </c>
      <c r="D83" s="528">
        <v>46590</v>
      </c>
      <c r="E83" s="503" t="s">
        <v>1278</v>
      </c>
      <c r="F83" s="528">
        <v>46590</v>
      </c>
      <c r="G83" s="563"/>
      <c r="H83" s="563"/>
      <c r="I83" s="563"/>
      <c r="J83" s="563"/>
      <c r="K83" s="563"/>
      <c r="L83" s="563"/>
      <c r="M83" s="563"/>
      <c r="N83" s="565"/>
      <c r="O83" s="565"/>
      <c r="S83" s="1" t="str">
        <f t="shared" si="10"/>
        <v/>
      </c>
    </row>
    <row r="84" spans="2:20" ht="13">
      <c r="B84" s="525">
        <v>57</v>
      </c>
      <c r="C84" s="525" t="s">
        <v>1302</v>
      </c>
      <c r="D84" s="528">
        <v>954</v>
      </c>
      <c r="E84" s="503" t="s">
        <v>1278</v>
      </c>
      <c r="F84" s="528">
        <v>954</v>
      </c>
      <c r="G84" s="563"/>
      <c r="H84" s="563"/>
      <c r="I84" s="563"/>
      <c r="J84" s="563"/>
      <c r="K84" s="563"/>
      <c r="L84" s="563"/>
      <c r="M84" s="563"/>
      <c r="N84" s="565"/>
      <c r="O84" s="565"/>
      <c r="S84" s="1" t="str">
        <f t="shared" si="10"/>
        <v/>
      </c>
    </row>
    <row r="85" spans="2:20" ht="13">
      <c r="B85" s="525">
        <v>58</v>
      </c>
      <c r="C85" s="525" t="s">
        <v>1303</v>
      </c>
      <c r="D85" s="528">
        <v>993</v>
      </c>
      <c r="E85" s="503" t="s">
        <v>1278</v>
      </c>
      <c r="F85" s="528">
        <v>993</v>
      </c>
      <c r="G85" s="563"/>
      <c r="H85" s="563"/>
      <c r="I85" s="563"/>
      <c r="J85" s="563"/>
      <c r="K85" s="563"/>
      <c r="L85" s="563"/>
      <c r="M85" s="563"/>
      <c r="N85" s="565"/>
      <c r="O85" s="565"/>
      <c r="S85" s="1" t="str">
        <f t="shared" si="10"/>
        <v/>
      </c>
    </row>
    <row r="86" spans="2:20" ht="13">
      <c r="B86" s="525">
        <v>59</v>
      </c>
      <c r="C86" s="525" t="s">
        <v>1304</v>
      </c>
      <c r="D86" s="528"/>
      <c r="E86" s="505" t="s">
        <v>1280</v>
      </c>
      <c r="F86" s="528"/>
      <c r="G86" s="563"/>
      <c r="H86" s="563"/>
      <c r="I86" s="563"/>
      <c r="J86" s="563"/>
      <c r="K86" s="563"/>
      <c r="L86" s="563"/>
      <c r="M86" s="563"/>
      <c r="N86" s="565"/>
      <c r="O86" s="565"/>
      <c r="S86" s="1" t="str">
        <f t="shared" si="10"/>
        <v/>
      </c>
    </row>
    <row r="87" spans="2:20" ht="13">
      <c r="B87" s="525">
        <v>60</v>
      </c>
      <c r="C87" s="525" t="s">
        <v>1305</v>
      </c>
      <c r="D87" s="528"/>
      <c r="E87" s="505" t="s">
        <v>1280</v>
      </c>
      <c r="F87" s="528"/>
      <c r="G87" s="563"/>
      <c r="H87" s="563"/>
      <c r="I87" s="563"/>
      <c r="J87" s="563"/>
      <c r="K87" s="563"/>
      <c r="L87" s="563"/>
      <c r="M87" s="563"/>
      <c r="N87" s="565"/>
      <c r="O87" s="565"/>
      <c r="S87" s="1" t="str">
        <f t="shared" si="10"/>
        <v/>
      </c>
    </row>
    <row r="88" spans="2:20" ht="13">
      <c r="B88" s="525">
        <v>61</v>
      </c>
      <c r="C88" s="525" t="s">
        <v>1306</v>
      </c>
      <c r="D88" s="528"/>
      <c r="E88" s="505" t="s">
        <v>1280</v>
      </c>
      <c r="F88" s="528"/>
      <c r="G88" s="563"/>
      <c r="H88" s="563"/>
      <c r="I88" s="563"/>
      <c r="J88" s="563"/>
      <c r="K88" s="563"/>
      <c r="L88" s="563"/>
      <c r="M88" s="563"/>
      <c r="N88" s="565"/>
      <c r="O88" s="565"/>
      <c r="S88" s="1" t="str">
        <f t="shared" si="10"/>
        <v/>
      </c>
    </row>
    <row r="89" spans="2:20" ht="13">
      <c r="B89" s="525">
        <v>62</v>
      </c>
      <c r="C89" s="525" t="s">
        <v>1307</v>
      </c>
      <c r="D89" s="528"/>
      <c r="E89" s="505" t="s">
        <v>1280</v>
      </c>
      <c r="F89" s="529"/>
      <c r="G89" s="563"/>
      <c r="H89" s="563"/>
      <c r="I89" s="563"/>
      <c r="J89" s="563"/>
      <c r="K89" s="563"/>
      <c r="L89" s="563"/>
      <c r="M89" s="563"/>
      <c r="N89" s="565"/>
      <c r="O89" s="565"/>
      <c r="S89" s="1" t="str">
        <f>IF(OR(COUNTA(D89)&lt;&gt;COUNT(D89)),"Please remove any text entries, enter numeric values only","")</f>
        <v/>
      </c>
    </row>
    <row r="90" spans="2:20" ht="13">
      <c r="B90" s="525">
        <v>63</v>
      </c>
      <c r="C90" s="525" t="s">
        <v>1308</v>
      </c>
      <c r="D90" s="528"/>
      <c r="E90" s="505" t="s">
        <v>1280</v>
      </c>
      <c r="F90" s="529"/>
      <c r="G90" s="563"/>
      <c r="H90" s="563"/>
      <c r="I90" s="563"/>
      <c r="J90" s="563"/>
      <c r="K90" s="563"/>
      <c r="L90" s="563"/>
      <c r="M90" s="563"/>
      <c r="N90" s="565"/>
      <c r="O90" s="565"/>
      <c r="S90" s="1" t="str">
        <f>IF(OR(COUNTA(D90)&lt;&gt;COUNT(D90)),"Please remove any text entries, enter numeric values only","")</f>
        <v/>
      </c>
    </row>
    <row r="91" spans="2:20" ht="13">
      <c r="B91" s="525">
        <v>64</v>
      </c>
      <c r="C91" s="525" t="s">
        <v>1309</v>
      </c>
      <c r="D91" s="528"/>
      <c r="E91" s="505" t="s">
        <v>1280</v>
      </c>
      <c r="F91" s="529"/>
      <c r="G91" s="563"/>
      <c r="H91" s="563"/>
      <c r="I91" s="563"/>
      <c r="J91" s="563"/>
      <c r="K91" s="563"/>
      <c r="L91" s="563"/>
      <c r="M91" s="563"/>
      <c r="N91" s="565"/>
      <c r="O91" s="565"/>
      <c r="S91" s="1" t="str">
        <f>IF(OR(COUNTA(D91)&lt;&gt;COUNT(D91)),"Please remove any text entries, enter numeric values only","")</f>
        <v/>
      </c>
    </row>
    <row r="92" spans="2:20" ht="13">
      <c r="B92" s="525">
        <v>65</v>
      </c>
      <c r="C92" s="525" t="s">
        <v>1310</v>
      </c>
      <c r="D92" s="528"/>
      <c r="E92" s="503" t="s">
        <v>1278</v>
      </c>
      <c r="F92" s="528"/>
      <c r="G92" s="563"/>
      <c r="H92" s="563"/>
      <c r="I92" s="563"/>
      <c r="J92" s="563"/>
      <c r="K92" s="563"/>
      <c r="L92" s="563"/>
      <c r="M92" s="563"/>
      <c r="N92" s="565"/>
      <c r="O92" s="565"/>
      <c r="S92" s="1" t="str">
        <f>IF(OR(COUNTA(F92)&lt;&gt;COUNT(F92),COUNTA(D92)&lt;&gt;COUNT(D92)),"Please remove any text entries, enter numeric values only","")</f>
        <v/>
      </c>
    </row>
    <row r="93" spans="2:20" ht="13">
      <c r="B93" s="525">
        <v>66</v>
      </c>
      <c r="C93" s="525" t="s">
        <v>1311</v>
      </c>
      <c r="D93" s="528">
        <v>22393</v>
      </c>
      <c r="E93" s="503" t="s">
        <v>1278</v>
      </c>
      <c r="F93" s="528">
        <v>22393</v>
      </c>
      <c r="G93" s="551"/>
      <c r="H93" s="551"/>
      <c r="I93" s="551"/>
      <c r="J93" s="551"/>
      <c r="K93" s="551"/>
      <c r="L93" s="551"/>
      <c r="M93" s="551"/>
      <c r="N93" s="551"/>
      <c r="O93" s="551"/>
      <c r="S93" s="1" t="str">
        <f>IF(OR(COUNTA(F93)&lt;&gt;COUNT(F93),COUNTA(D93)&lt;&gt;COUNT(D93)),"Please remove any text entries, enter numeric values only","")</f>
        <v/>
      </c>
    </row>
    <row r="94" spans="2:20" ht="13">
      <c r="B94" s="525">
        <v>67</v>
      </c>
      <c r="C94" s="525" t="s">
        <v>1312</v>
      </c>
      <c r="D94" s="528">
        <v>25987</v>
      </c>
      <c r="E94" s="503" t="s">
        <v>1278</v>
      </c>
      <c r="F94" s="528">
        <v>25987</v>
      </c>
      <c r="G94" s="551"/>
      <c r="H94" s="551"/>
      <c r="I94" s="551"/>
      <c r="J94" s="551"/>
      <c r="K94" s="551"/>
      <c r="L94" s="551"/>
      <c r="M94" s="551"/>
      <c r="N94" s="551"/>
      <c r="O94" s="551"/>
      <c r="S94" s="1" t="str">
        <f>IF(OR(COUNTA(F94)&lt;&gt;COUNT(F94),COUNTA(D94)&lt;&gt;COUNT(D94)),"Please remove any text entries, enter numeric values only","")</f>
        <v/>
      </c>
    </row>
    <row r="95" spans="2:20" ht="13">
      <c r="B95" s="525">
        <v>73</v>
      </c>
      <c r="C95" s="525" t="s">
        <v>1326</v>
      </c>
      <c r="D95" s="568"/>
      <c r="E95" s="503" t="s">
        <v>1278</v>
      </c>
      <c r="F95" s="568"/>
      <c r="G95" s="551"/>
      <c r="H95" s="551"/>
      <c r="I95" s="551"/>
      <c r="J95" s="551"/>
      <c r="K95" s="551"/>
      <c r="L95" s="551"/>
      <c r="M95" s="551"/>
      <c r="N95" s="551"/>
      <c r="O95" s="551"/>
      <c r="S95" s="1" t="str">
        <f>IF(OR(COUNTA(F95)&lt;&gt;COUNT(F95),COUNTA(D95)&lt;&gt;COUNT(D95)),"Please remove any text entries, enter numeric values only","")</f>
        <v/>
      </c>
    </row>
    <row r="96" spans="2:20" ht="13">
      <c r="B96" s="525">
        <v>74</v>
      </c>
      <c r="C96" s="525" t="s">
        <v>1327</v>
      </c>
      <c r="D96" s="568">
        <v>7225</v>
      </c>
      <c r="E96" s="503" t="s">
        <v>1278</v>
      </c>
      <c r="F96" s="568">
        <v>7225</v>
      </c>
      <c r="G96" s="551"/>
      <c r="H96" s="551"/>
      <c r="I96" s="551"/>
      <c r="J96" s="551"/>
      <c r="K96" s="551"/>
      <c r="L96" s="551"/>
      <c r="M96" s="551"/>
      <c r="N96" s="551"/>
      <c r="O96" s="551"/>
      <c r="S96" s="1" t="str">
        <f t="shared" ref="S96" si="11">IF(OR(COUNTA(F96)&lt;&gt;COUNT(F96),COUNTA(D96)&lt;&gt;COUNT(D96)),"Please remove any text entries, enter numeric values only","")</f>
        <v/>
      </c>
    </row>
    <row r="97" spans="2:20" ht="13">
      <c r="B97" s="530">
        <v>75</v>
      </c>
      <c r="C97" s="531" t="s">
        <v>1328</v>
      </c>
      <c r="D97" s="531">
        <f>SUM(D73:D96)</f>
        <v>214493</v>
      </c>
      <c r="E97" s="531">
        <f>SUM(E73:E96)</f>
        <v>0</v>
      </c>
      <c r="F97" s="531"/>
      <c r="G97" s="569"/>
      <c r="H97" s="569"/>
      <c r="I97" s="569"/>
      <c r="J97" s="569"/>
      <c r="K97" s="569"/>
      <c r="L97" s="569"/>
      <c r="M97" s="569"/>
    </row>
    <row r="100" spans="2:20" s="533" customFormat="1" ht="12.75" customHeight="1">
      <c r="B100" s="509" t="s">
        <v>1329</v>
      </c>
      <c r="C100" s="534"/>
      <c r="D100" s="534"/>
      <c r="E100" s="535"/>
      <c r="F100" s="535"/>
      <c r="G100" s="535"/>
      <c r="H100" s="535"/>
      <c r="I100" s="535"/>
      <c r="J100" s="535"/>
      <c r="K100" s="535"/>
      <c r="L100" s="535"/>
      <c r="M100" s="535"/>
      <c r="N100" s="535"/>
      <c r="O100" s="535"/>
      <c r="P100" s="535"/>
      <c r="Q100" s="535"/>
      <c r="R100" s="535"/>
      <c r="S100" s="535"/>
      <c r="T100" s="535"/>
    </row>
    <row r="101" spans="2:20" s="506" customFormat="1" ht="12.75" customHeight="1">
      <c r="C101" s="536"/>
      <c r="D101" s="537"/>
      <c r="E101" s="538" t="s">
        <v>251</v>
      </c>
      <c r="F101" s="538" t="s">
        <v>252</v>
      </c>
      <c r="G101" s="538" t="s">
        <v>253</v>
      </c>
      <c r="H101" s="538" t="s">
        <v>254</v>
      </c>
      <c r="I101" s="538" t="s">
        <v>255</v>
      </c>
      <c r="J101" s="538" t="s">
        <v>256</v>
      </c>
      <c r="K101" s="538" t="s">
        <v>257</v>
      </c>
      <c r="L101" s="538" t="s">
        <v>258</v>
      </c>
      <c r="M101" s="538" t="s">
        <v>259</v>
      </c>
      <c r="N101" s="538" t="s">
        <v>260</v>
      </c>
      <c r="O101" s="538" t="s">
        <v>261</v>
      </c>
      <c r="P101" s="538" t="s">
        <v>262</v>
      </c>
      <c r="Q101" s="570" t="s">
        <v>263</v>
      </c>
      <c r="R101" s="540"/>
      <c r="S101" s="541"/>
      <c r="T101" s="542"/>
    </row>
    <row r="102" spans="2:20" s="506" customFormat="1" ht="12.75" customHeight="1">
      <c r="B102" s="519" t="s">
        <v>249</v>
      </c>
      <c r="C102" s="543" t="s">
        <v>1315</v>
      </c>
      <c r="D102" s="543"/>
      <c r="E102" s="522" t="s">
        <v>1290</v>
      </c>
      <c r="F102" s="523" t="s">
        <v>1290</v>
      </c>
      <c r="G102" s="523" t="s">
        <v>1290</v>
      </c>
      <c r="H102" s="523" t="s">
        <v>1290</v>
      </c>
      <c r="I102" s="523" t="s">
        <v>1290</v>
      </c>
      <c r="J102" s="523" t="s">
        <v>1290</v>
      </c>
      <c r="K102" s="523" t="s">
        <v>1290</v>
      </c>
      <c r="L102" s="523" t="s">
        <v>1290</v>
      </c>
      <c r="M102" s="523" t="s">
        <v>1290</v>
      </c>
      <c r="N102" s="523" t="s">
        <v>1290</v>
      </c>
      <c r="O102" s="523" t="s">
        <v>1290</v>
      </c>
      <c r="P102" s="523" t="s">
        <v>1290</v>
      </c>
      <c r="Q102" s="523" t="s">
        <v>1290</v>
      </c>
      <c r="R102" s="540"/>
      <c r="S102" s="541"/>
      <c r="T102" s="542"/>
    </row>
    <row r="103" spans="2:20" ht="12.75" customHeight="1">
      <c r="B103" s="525">
        <v>76</v>
      </c>
      <c r="C103" s="525" t="s">
        <v>1291</v>
      </c>
      <c r="D103" s="525"/>
      <c r="E103" s="546">
        <v>0</v>
      </c>
      <c r="F103" s="546">
        <v>0</v>
      </c>
      <c r="G103" s="546">
        <v>0</v>
      </c>
      <c r="H103" s="546">
        <v>0</v>
      </c>
      <c r="I103" s="546">
        <v>0</v>
      </c>
      <c r="J103" s="571"/>
      <c r="K103" s="571"/>
      <c r="L103" s="571"/>
      <c r="M103" s="571">
        <v>500</v>
      </c>
      <c r="N103" s="546">
        <v>0</v>
      </c>
      <c r="O103" s="546">
        <v>0</v>
      </c>
      <c r="P103" s="546">
        <v>0</v>
      </c>
      <c r="Q103" s="546">
        <f>SUM(E103:P103)</f>
        <v>500</v>
      </c>
      <c r="R103" s="544"/>
      <c r="S103" s="1" t="str">
        <f t="shared" ref="S103:S123" si="12">IF(OR(COUNTA(J103:M103)&lt;&gt;COUNT(J103:M103)),"Please remove any text entries, enter numeric values only","")</f>
        <v/>
      </c>
      <c r="T103" s="545"/>
    </row>
    <row r="104" spans="2:20" ht="12.75" customHeight="1">
      <c r="B104" s="525">
        <v>77</v>
      </c>
      <c r="C104" s="525" t="s">
        <v>1292</v>
      </c>
      <c r="D104" s="525"/>
      <c r="E104" s="546">
        <v>0</v>
      </c>
      <c r="F104" s="546">
        <v>0</v>
      </c>
      <c r="G104" s="546">
        <v>0</v>
      </c>
      <c r="H104" s="546">
        <v>0</v>
      </c>
      <c r="I104" s="546">
        <v>0</v>
      </c>
      <c r="J104" s="571"/>
      <c r="K104" s="571">
        <v>1200</v>
      </c>
      <c r="L104" s="571">
        <v>600</v>
      </c>
      <c r="M104" s="571">
        <v>200</v>
      </c>
      <c r="N104" s="546"/>
      <c r="O104" s="546">
        <v>0</v>
      </c>
      <c r="P104" s="546">
        <v>0</v>
      </c>
      <c r="Q104" s="546">
        <f t="shared" ref="Q104:Q124" si="13">SUM(E104:P104)</f>
        <v>2000</v>
      </c>
      <c r="R104" s="544"/>
      <c r="S104" s="1" t="str">
        <f t="shared" si="12"/>
        <v/>
      </c>
      <c r="T104" s="545"/>
    </row>
    <row r="105" spans="2:20" ht="12.75" customHeight="1">
      <c r="B105" s="525">
        <v>78</v>
      </c>
      <c r="C105" s="525" t="s">
        <v>1293</v>
      </c>
      <c r="D105" s="525"/>
      <c r="E105" s="546">
        <v>0</v>
      </c>
      <c r="F105" s="546">
        <v>0</v>
      </c>
      <c r="G105" s="546">
        <v>0</v>
      </c>
      <c r="H105" s="546">
        <v>0</v>
      </c>
      <c r="I105" s="546">
        <v>0</v>
      </c>
      <c r="J105" s="571"/>
      <c r="K105" s="571">
        <v>0</v>
      </c>
      <c r="L105" s="571"/>
      <c r="M105" s="571"/>
      <c r="N105" s="546">
        <v>0</v>
      </c>
      <c r="O105" s="546">
        <v>0</v>
      </c>
      <c r="P105" s="546">
        <v>0</v>
      </c>
      <c r="Q105" s="546">
        <f t="shared" si="13"/>
        <v>0</v>
      </c>
      <c r="R105" s="544"/>
      <c r="S105" s="1" t="str">
        <f t="shared" si="12"/>
        <v/>
      </c>
      <c r="T105" s="545"/>
    </row>
    <row r="106" spans="2:20" ht="12.75" customHeight="1">
      <c r="B106" s="525">
        <v>79</v>
      </c>
      <c r="C106" s="525" t="s">
        <v>1294</v>
      </c>
      <c r="D106" s="525"/>
      <c r="E106" s="546">
        <v>0</v>
      </c>
      <c r="F106" s="546">
        <v>0</v>
      </c>
      <c r="G106" s="546">
        <v>0</v>
      </c>
      <c r="H106" s="546">
        <v>0</v>
      </c>
      <c r="I106" s="546">
        <v>0</v>
      </c>
      <c r="J106" s="571"/>
      <c r="K106" s="571">
        <v>6470</v>
      </c>
      <c r="L106" s="571">
        <v>7000</v>
      </c>
      <c r="M106" s="571">
        <v>4504</v>
      </c>
      <c r="N106" s="546">
        <v>0</v>
      </c>
      <c r="O106" s="546">
        <v>0</v>
      </c>
      <c r="P106" s="546">
        <v>0</v>
      </c>
      <c r="Q106" s="546">
        <f t="shared" si="13"/>
        <v>17974</v>
      </c>
      <c r="R106" s="544"/>
      <c r="S106" s="1" t="str">
        <f t="shared" si="12"/>
        <v/>
      </c>
      <c r="T106" s="545"/>
    </row>
    <row r="107" spans="2:20" ht="12.75" customHeight="1">
      <c r="B107" s="525">
        <v>80</v>
      </c>
      <c r="C107" s="525" t="s">
        <v>1295</v>
      </c>
      <c r="D107" s="525"/>
      <c r="E107" s="546">
        <v>0</v>
      </c>
      <c r="F107" s="546">
        <v>0</v>
      </c>
      <c r="G107" s="546">
        <v>0</v>
      </c>
      <c r="H107" s="546">
        <v>0</v>
      </c>
      <c r="I107" s="546">
        <v>0</v>
      </c>
      <c r="J107" s="571"/>
      <c r="K107" s="571">
        <v>2667</v>
      </c>
      <c r="L107" s="571">
        <v>1171</v>
      </c>
      <c r="M107" s="571">
        <v>1250</v>
      </c>
      <c r="N107" s="546">
        <v>0</v>
      </c>
      <c r="O107" s="546">
        <v>0</v>
      </c>
      <c r="P107" s="546">
        <v>0</v>
      </c>
      <c r="Q107" s="546">
        <f t="shared" si="13"/>
        <v>5088</v>
      </c>
      <c r="R107" s="544"/>
      <c r="S107" s="1" t="str">
        <f t="shared" si="12"/>
        <v/>
      </c>
      <c r="T107" s="545"/>
    </row>
    <row r="108" spans="2:20" ht="12.75" customHeight="1">
      <c r="B108" s="525">
        <v>81</v>
      </c>
      <c r="C108" s="525" t="s">
        <v>1296</v>
      </c>
      <c r="D108" s="525"/>
      <c r="E108" s="546">
        <v>0</v>
      </c>
      <c r="F108" s="546">
        <v>0</v>
      </c>
      <c r="G108" s="546">
        <v>0</v>
      </c>
      <c r="H108" s="546">
        <v>0</v>
      </c>
      <c r="I108" s="546">
        <v>0</v>
      </c>
      <c r="J108" s="571"/>
      <c r="K108" s="571">
        <v>0</v>
      </c>
      <c r="L108" s="571"/>
      <c r="M108" s="571"/>
      <c r="N108" s="546">
        <v>0</v>
      </c>
      <c r="O108" s="546">
        <v>0</v>
      </c>
      <c r="P108" s="546">
        <v>0</v>
      </c>
      <c r="Q108" s="546">
        <f t="shared" si="13"/>
        <v>0</v>
      </c>
      <c r="R108" s="544"/>
      <c r="S108" s="1" t="str">
        <f t="shared" si="12"/>
        <v/>
      </c>
      <c r="T108" s="545"/>
    </row>
    <row r="109" spans="2:20" ht="12.75" customHeight="1">
      <c r="B109" s="525">
        <v>82</v>
      </c>
      <c r="C109" s="525" t="s">
        <v>1297</v>
      </c>
      <c r="D109" s="525"/>
      <c r="E109" s="546">
        <v>0</v>
      </c>
      <c r="F109" s="546">
        <v>0</v>
      </c>
      <c r="G109" s="546">
        <v>0</v>
      </c>
      <c r="H109" s="546">
        <v>0</v>
      </c>
      <c r="I109" s="546">
        <v>0</v>
      </c>
      <c r="J109" s="571"/>
      <c r="K109" s="571">
        <v>0</v>
      </c>
      <c r="L109" s="571"/>
      <c r="M109" s="571"/>
      <c r="N109" s="546">
        <v>0</v>
      </c>
      <c r="O109" s="546">
        <v>0</v>
      </c>
      <c r="P109" s="546">
        <v>0</v>
      </c>
      <c r="Q109" s="546">
        <f t="shared" si="13"/>
        <v>0</v>
      </c>
      <c r="R109" s="544"/>
      <c r="S109" s="1" t="str">
        <f t="shared" si="12"/>
        <v/>
      </c>
      <c r="T109" s="545"/>
    </row>
    <row r="110" spans="2:20" ht="12.75" customHeight="1">
      <c r="B110" s="525">
        <v>83</v>
      </c>
      <c r="C110" s="525" t="s">
        <v>1298</v>
      </c>
      <c r="D110" s="525"/>
      <c r="E110" s="546">
        <v>0</v>
      </c>
      <c r="F110" s="546">
        <v>0</v>
      </c>
      <c r="G110" s="546">
        <v>0</v>
      </c>
      <c r="H110" s="546">
        <v>0</v>
      </c>
      <c r="I110" s="546">
        <v>0</v>
      </c>
      <c r="J110" s="571"/>
      <c r="K110" s="571">
        <v>18911</v>
      </c>
      <c r="L110" s="571">
        <v>18435</v>
      </c>
      <c r="M110" s="571">
        <v>8006</v>
      </c>
      <c r="N110" s="546">
        <v>0</v>
      </c>
      <c r="O110" s="546">
        <v>0</v>
      </c>
      <c r="P110" s="546">
        <v>0</v>
      </c>
      <c r="Q110" s="546">
        <f t="shared" si="13"/>
        <v>45352</v>
      </c>
      <c r="R110" s="547"/>
      <c r="S110" s="1" t="str">
        <f t="shared" si="12"/>
        <v/>
      </c>
      <c r="T110" s="548">
        <v>1</v>
      </c>
    </row>
    <row r="111" spans="2:20" ht="12.75" customHeight="1">
      <c r="B111" s="525">
        <v>84</v>
      </c>
      <c r="C111" s="525" t="s">
        <v>1299</v>
      </c>
      <c r="D111" s="525"/>
      <c r="E111" s="546">
        <v>0</v>
      </c>
      <c r="F111" s="546">
        <v>0</v>
      </c>
      <c r="G111" s="546">
        <v>0</v>
      </c>
      <c r="H111" s="546">
        <v>0</v>
      </c>
      <c r="I111" s="546">
        <v>0</v>
      </c>
      <c r="J111" s="571"/>
      <c r="K111" s="571"/>
      <c r="L111" s="571"/>
      <c r="M111" s="571"/>
      <c r="N111" s="546">
        <v>0</v>
      </c>
      <c r="O111" s="546">
        <v>0</v>
      </c>
      <c r="P111" s="546">
        <v>0</v>
      </c>
      <c r="Q111" s="546">
        <f t="shared" si="13"/>
        <v>0</v>
      </c>
      <c r="R111" s="547"/>
      <c r="S111" s="1" t="str">
        <f t="shared" si="12"/>
        <v/>
      </c>
      <c r="T111" s="548">
        <v>3</v>
      </c>
    </row>
    <row r="112" spans="2:20" ht="12.75" customHeight="1">
      <c r="B112" s="525">
        <v>85</v>
      </c>
      <c r="C112" s="525" t="s">
        <v>1300</v>
      </c>
      <c r="D112" s="525"/>
      <c r="E112" s="546">
        <v>0</v>
      </c>
      <c r="F112" s="546">
        <v>0</v>
      </c>
      <c r="G112" s="546">
        <v>0</v>
      </c>
      <c r="H112" s="546">
        <v>0</v>
      </c>
      <c r="I112" s="546">
        <v>0</v>
      </c>
      <c r="J112" s="571"/>
      <c r="K112" s="571">
        <v>23245</v>
      </c>
      <c r="L112" s="571">
        <v>23034</v>
      </c>
      <c r="M112" s="571">
        <v>5343</v>
      </c>
      <c r="N112" s="546">
        <v>4251</v>
      </c>
      <c r="O112" s="546">
        <v>2000</v>
      </c>
      <c r="P112" s="546">
        <v>0</v>
      </c>
      <c r="Q112" s="546">
        <f t="shared" si="13"/>
        <v>57873</v>
      </c>
      <c r="R112" s="547"/>
      <c r="S112" s="1" t="str">
        <f t="shared" si="12"/>
        <v/>
      </c>
      <c r="T112" s="548">
        <v>4</v>
      </c>
    </row>
    <row r="113" spans="2:20" ht="12.75" customHeight="1">
      <c r="B113" s="525">
        <v>86</v>
      </c>
      <c r="C113" s="525" t="s">
        <v>1301</v>
      </c>
      <c r="D113" s="525"/>
      <c r="E113" s="546">
        <v>0</v>
      </c>
      <c r="F113" s="546">
        <v>0</v>
      </c>
      <c r="G113" s="546">
        <v>0</v>
      </c>
      <c r="H113" s="546">
        <v>0</v>
      </c>
      <c r="I113" s="546">
        <v>0</v>
      </c>
      <c r="J113" s="571"/>
      <c r="K113" s="571">
        <v>11468</v>
      </c>
      <c r="L113" s="571">
        <v>7279</v>
      </c>
      <c r="M113" s="571">
        <v>1250</v>
      </c>
      <c r="N113" s="546">
        <v>0</v>
      </c>
      <c r="O113" s="546">
        <v>0</v>
      </c>
      <c r="P113" s="546">
        <v>0</v>
      </c>
      <c r="Q113" s="546">
        <f t="shared" si="13"/>
        <v>19997</v>
      </c>
      <c r="R113" s="547"/>
      <c r="S113" s="1" t="str">
        <f t="shared" si="12"/>
        <v/>
      </c>
      <c r="T113" s="548">
        <v>5</v>
      </c>
    </row>
    <row r="114" spans="2:20" ht="12.75" customHeight="1">
      <c r="B114" s="525">
        <v>87</v>
      </c>
      <c r="C114" s="525" t="s">
        <v>1302</v>
      </c>
      <c r="D114" s="525"/>
      <c r="E114" s="546">
        <v>0</v>
      </c>
      <c r="F114" s="546">
        <v>0</v>
      </c>
      <c r="G114" s="546">
        <v>0</v>
      </c>
      <c r="H114" s="546">
        <v>0</v>
      </c>
      <c r="I114" s="546">
        <v>0</v>
      </c>
      <c r="J114" s="571"/>
      <c r="K114" s="571">
        <v>200</v>
      </c>
      <c r="L114" s="571"/>
      <c r="M114" s="571">
        <v>1000</v>
      </c>
      <c r="N114" s="546">
        <v>0</v>
      </c>
      <c r="O114" s="546">
        <v>0</v>
      </c>
      <c r="P114" s="546">
        <v>0</v>
      </c>
      <c r="Q114" s="546">
        <f t="shared" si="13"/>
        <v>1200</v>
      </c>
      <c r="R114" s="547"/>
      <c r="S114" s="1" t="str">
        <f t="shared" si="12"/>
        <v/>
      </c>
      <c r="T114" s="548"/>
    </row>
    <row r="115" spans="2:20" ht="12.75" customHeight="1">
      <c r="B115" s="525">
        <v>82</v>
      </c>
      <c r="C115" s="525" t="s">
        <v>1303</v>
      </c>
      <c r="D115" s="525"/>
      <c r="E115" s="546">
        <v>0</v>
      </c>
      <c r="F115" s="546">
        <v>0</v>
      </c>
      <c r="G115" s="546">
        <v>0</v>
      </c>
      <c r="H115" s="546">
        <v>0</v>
      </c>
      <c r="I115" s="546">
        <v>0</v>
      </c>
      <c r="J115" s="571"/>
      <c r="K115" s="571">
        <v>0</v>
      </c>
      <c r="L115" s="571"/>
      <c r="M115" s="571"/>
      <c r="N115" s="546">
        <v>0</v>
      </c>
      <c r="O115" s="546">
        <v>0</v>
      </c>
      <c r="P115" s="546">
        <v>0</v>
      </c>
      <c r="Q115" s="546">
        <f t="shared" si="13"/>
        <v>0</v>
      </c>
      <c r="S115" s="1" t="str">
        <f t="shared" si="12"/>
        <v/>
      </c>
    </row>
    <row r="116" spans="2:20" ht="12.75" customHeight="1">
      <c r="B116" s="525">
        <v>88</v>
      </c>
      <c r="C116" s="525" t="s">
        <v>1304</v>
      </c>
      <c r="D116" s="525"/>
      <c r="E116" s="546">
        <v>0</v>
      </c>
      <c r="F116" s="546">
        <v>0</v>
      </c>
      <c r="G116" s="546">
        <v>0</v>
      </c>
      <c r="H116" s="546">
        <v>0</v>
      </c>
      <c r="I116" s="546">
        <v>0</v>
      </c>
      <c r="J116" s="571"/>
      <c r="K116" s="571">
        <v>0</v>
      </c>
      <c r="L116" s="571"/>
      <c r="M116" s="571"/>
      <c r="N116" s="546">
        <v>0</v>
      </c>
      <c r="O116" s="546">
        <v>0</v>
      </c>
      <c r="P116" s="546">
        <v>0</v>
      </c>
      <c r="Q116" s="546">
        <f t="shared" si="13"/>
        <v>0</v>
      </c>
      <c r="R116" s="547"/>
      <c r="S116" s="1" t="str">
        <f t="shared" si="12"/>
        <v/>
      </c>
      <c r="T116" s="548">
        <v>6</v>
      </c>
    </row>
    <row r="117" spans="2:20" ht="12.75" customHeight="1">
      <c r="B117" s="525">
        <v>89</v>
      </c>
      <c r="C117" s="525" t="s">
        <v>1305</v>
      </c>
      <c r="D117" s="525"/>
      <c r="E117" s="546">
        <v>0</v>
      </c>
      <c r="F117" s="546">
        <v>0</v>
      </c>
      <c r="G117" s="546">
        <v>0</v>
      </c>
      <c r="H117" s="546">
        <v>0</v>
      </c>
      <c r="I117" s="546">
        <v>0</v>
      </c>
      <c r="J117" s="571"/>
      <c r="K117" s="571">
        <v>0</v>
      </c>
      <c r="L117" s="571"/>
      <c r="M117" s="571"/>
      <c r="N117" s="546">
        <v>0</v>
      </c>
      <c r="O117" s="546">
        <v>0</v>
      </c>
      <c r="P117" s="546">
        <v>0</v>
      </c>
      <c r="Q117" s="546">
        <f t="shared" si="13"/>
        <v>0</v>
      </c>
      <c r="R117" s="547"/>
      <c r="S117" s="1" t="str">
        <f t="shared" si="12"/>
        <v/>
      </c>
      <c r="T117" s="548">
        <v>7</v>
      </c>
    </row>
    <row r="118" spans="2:20" ht="12.75" customHeight="1">
      <c r="B118" s="525">
        <v>90</v>
      </c>
      <c r="C118" s="525" t="s">
        <v>1306</v>
      </c>
      <c r="D118" s="525"/>
      <c r="E118" s="546">
        <v>0</v>
      </c>
      <c r="F118" s="546">
        <v>0</v>
      </c>
      <c r="G118" s="546">
        <v>0</v>
      </c>
      <c r="H118" s="546">
        <v>0</v>
      </c>
      <c r="I118" s="546">
        <v>0</v>
      </c>
      <c r="J118" s="571"/>
      <c r="K118" s="571">
        <v>0</v>
      </c>
      <c r="L118" s="571"/>
      <c r="M118" s="571"/>
      <c r="N118" s="546">
        <v>0</v>
      </c>
      <c r="O118" s="546">
        <v>0</v>
      </c>
      <c r="P118" s="546">
        <v>0</v>
      </c>
      <c r="Q118" s="546">
        <f t="shared" si="13"/>
        <v>0</v>
      </c>
      <c r="R118" s="547"/>
      <c r="S118" s="1" t="str">
        <f t="shared" si="12"/>
        <v/>
      </c>
      <c r="T118" s="548">
        <v>8</v>
      </c>
    </row>
    <row r="119" spans="2:20" ht="12.75" customHeight="1">
      <c r="B119" s="525">
        <v>91</v>
      </c>
      <c r="C119" s="525" t="s">
        <v>1310</v>
      </c>
      <c r="D119" s="525"/>
      <c r="E119" s="546">
        <v>0</v>
      </c>
      <c r="F119" s="546">
        <v>0</v>
      </c>
      <c r="G119" s="546">
        <v>0</v>
      </c>
      <c r="H119" s="546">
        <v>0</v>
      </c>
      <c r="I119" s="546">
        <v>0</v>
      </c>
      <c r="J119" s="571"/>
      <c r="K119" s="571">
        <v>0</v>
      </c>
      <c r="L119" s="571"/>
      <c r="M119" s="571"/>
      <c r="N119" s="546">
        <v>0</v>
      </c>
      <c r="O119" s="546">
        <v>0</v>
      </c>
      <c r="P119" s="546">
        <v>0</v>
      </c>
      <c r="Q119" s="546">
        <f t="shared" si="13"/>
        <v>0</v>
      </c>
      <c r="R119" s="547"/>
      <c r="S119" s="1" t="str">
        <f t="shared" si="12"/>
        <v/>
      </c>
      <c r="T119" s="548"/>
    </row>
    <row r="120" spans="2:20" ht="12.75" customHeight="1">
      <c r="B120" s="525">
        <v>92</v>
      </c>
      <c r="C120" s="525" t="s">
        <v>1311</v>
      </c>
      <c r="D120" s="525"/>
      <c r="E120" s="546">
        <v>0</v>
      </c>
      <c r="F120" s="546">
        <v>0</v>
      </c>
      <c r="G120" s="546">
        <v>0</v>
      </c>
      <c r="H120" s="546">
        <v>0</v>
      </c>
      <c r="I120" s="546">
        <v>0</v>
      </c>
      <c r="J120" s="571"/>
      <c r="K120" s="571">
        <v>1922</v>
      </c>
      <c r="L120" s="571">
        <v>5078</v>
      </c>
      <c r="M120" s="571">
        <v>3227</v>
      </c>
      <c r="N120" s="546">
        <v>0</v>
      </c>
      <c r="O120" s="546">
        <v>0</v>
      </c>
      <c r="P120" s="546">
        <v>0</v>
      </c>
      <c r="Q120" s="546">
        <f t="shared" si="13"/>
        <v>10227</v>
      </c>
      <c r="R120" s="547"/>
      <c r="S120" s="1" t="str">
        <f>IF(OR(COUNTA(J120:M120)&lt;&gt;COUNT(J120:M120)),"Please remove any text entries, enter numeric values only","")</f>
        <v/>
      </c>
      <c r="T120" s="548"/>
    </row>
    <row r="121" spans="2:20" ht="12.75" customHeight="1">
      <c r="B121" s="525">
        <v>93</v>
      </c>
      <c r="C121" s="525" t="s">
        <v>1312</v>
      </c>
      <c r="D121" s="525"/>
      <c r="E121" s="546">
        <v>0</v>
      </c>
      <c r="F121" s="546">
        <v>0</v>
      </c>
      <c r="G121" s="546">
        <v>0</v>
      </c>
      <c r="H121" s="546">
        <v>0</v>
      </c>
      <c r="I121" s="546">
        <v>0</v>
      </c>
      <c r="J121" s="571"/>
      <c r="K121" s="571">
        <v>663</v>
      </c>
      <c r="L121" s="571">
        <v>6000</v>
      </c>
      <c r="M121" s="571">
        <v>5995</v>
      </c>
      <c r="N121" s="546">
        <v>1531</v>
      </c>
      <c r="O121" s="546">
        <v>0</v>
      </c>
      <c r="P121" s="546">
        <v>0</v>
      </c>
      <c r="Q121" s="546">
        <f t="shared" si="13"/>
        <v>14189</v>
      </c>
      <c r="R121" s="547"/>
      <c r="S121" s="1" t="str">
        <f t="shared" si="12"/>
        <v/>
      </c>
      <c r="T121" s="548"/>
    </row>
    <row r="122" spans="2:20" ht="12.75" customHeight="1">
      <c r="B122" s="525">
        <v>94</v>
      </c>
      <c r="C122" s="525" t="s">
        <v>1326</v>
      </c>
      <c r="D122" s="525"/>
      <c r="E122" s="546">
        <v>0</v>
      </c>
      <c r="F122" s="546">
        <v>0</v>
      </c>
      <c r="G122" s="546">
        <v>0</v>
      </c>
      <c r="H122" s="546">
        <v>0</v>
      </c>
      <c r="I122" s="546">
        <v>0</v>
      </c>
      <c r="J122" s="571"/>
      <c r="K122" s="571">
        <v>0</v>
      </c>
      <c r="L122" s="571"/>
      <c r="M122" s="571"/>
      <c r="N122" s="546">
        <v>0</v>
      </c>
      <c r="O122" s="546">
        <v>0</v>
      </c>
      <c r="P122" s="546">
        <v>0</v>
      </c>
      <c r="Q122" s="546">
        <f t="shared" si="13"/>
        <v>0</v>
      </c>
      <c r="R122" s="547"/>
      <c r="S122" s="1" t="str">
        <f t="shared" si="12"/>
        <v/>
      </c>
      <c r="T122" s="548"/>
    </row>
    <row r="123" spans="2:20" ht="12.75" customHeight="1">
      <c r="B123" s="525">
        <v>95</v>
      </c>
      <c r="C123" s="525" t="s">
        <v>1327</v>
      </c>
      <c r="D123" s="525"/>
      <c r="E123" s="546">
        <v>0</v>
      </c>
      <c r="F123" s="546">
        <v>0</v>
      </c>
      <c r="G123" s="546">
        <v>0</v>
      </c>
      <c r="H123" s="546">
        <v>0</v>
      </c>
      <c r="I123" s="546">
        <v>0</v>
      </c>
      <c r="J123" s="572"/>
      <c r="K123" s="572">
        <v>1919</v>
      </c>
      <c r="L123" s="572"/>
      <c r="M123" s="572"/>
      <c r="N123" s="546">
        <v>350</v>
      </c>
      <c r="O123" s="546">
        <v>356</v>
      </c>
      <c r="P123" s="546">
        <v>0</v>
      </c>
      <c r="Q123" s="546">
        <f t="shared" si="13"/>
        <v>2625</v>
      </c>
      <c r="S123" s="1" t="str">
        <f t="shared" si="12"/>
        <v/>
      </c>
    </row>
    <row r="124" spans="2:20" ht="12.75" customHeight="1">
      <c r="B124" s="530">
        <v>96</v>
      </c>
      <c r="C124" s="531" t="s">
        <v>1330</v>
      </c>
      <c r="D124" s="531"/>
      <c r="E124" s="531">
        <f t="shared" ref="E124:P124" si="14">SUM(E103:E123)</f>
        <v>0</v>
      </c>
      <c r="F124" s="531">
        <f t="shared" si="14"/>
        <v>0</v>
      </c>
      <c r="G124" s="531">
        <f t="shared" si="14"/>
        <v>0</v>
      </c>
      <c r="H124" s="531">
        <f t="shared" si="14"/>
        <v>0</v>
      </c>
      <c r="I124" s="531">
        <f t="shared" si="14"/>
        <v>0</v>
      </c>
      <c r="J124" s="531">
        <f t="shared" si="14"/>
        <v>0</v>
      </c>
      <c r="K124" s="531">
        <f t="shared" si="14"/>
        <v>68665</v>
      </c>
      <c r="L124" s="531">
        <f t="shared" si="14"/>
        <v>68597</v>
      </c>
      <c r="M124" s="531">
        <f t="shared" si="14"/>
        <v>31275</v>
      </c>
      <c r="N124" s="531">
        <f t="shared" si="14"/>
        <v>6132</v>
      </c>
      <c r="O124" s="531">
        <f t="shared" si="14"/>
        <v>2356</v>
      </c>
      <c r="P124" s="531">
        <f t="shared" si="14"/>
        <v>0</v>
      </c>
      <c r="Q124" s="546">
        <f t="shared" si="13"/>
        <v>177025</v>
      </c>
      <c r="R124" s="547"/>
      <c r="S124" s="549"/>
      <c r="T124" s="548">
        <v>11</v>
      </c>
    </row>
    <row r="125" spans="2:20" s="552" customFormat="1" ht="12.65" customHeight="1">
      <c r="B125" s="550"/>
      <c r="C125" s="506"/>
      <c r="D125" s="506"/>
      <c r="E125" s="551"/>
      <c r="F125" s="551"/>
      <c r="G125" s="551"/>
      <c r="H125" s="551"/>
      <c r="I125" s="551"/>
      <c r="J125" s="551"/>
      <c r="K125" s="551"/>
      <c r="L125" s="551"/>
      <c r="M125" s="551"/>
      <c r="N125" s="551"/>
      <c r="O125" s="551"/>
      <c r="P125" s="551"/>
      <c r="Q125" s="551"/>
      <c r="R125" s="551"/>
      <c r="S125" s="551"/>
      <c r="T125" s="551"/>
    </row>
    <row r="126" spans="2:20" s="552" customFormat="1" ht="12.65" customHeight="1">
      <c r="B126" s="550"/>
      <c r="C126" s="506"/>
      <c r="D126" s="506"/>
      <c r="E126" s="551"/>
      <c r="F126" s="551"/>
      <c r="G126" s="551"/>
      <c r="H126" s="551"/>
      <c r="I126" s="551"/>
      <c r="J126" s="551"/>
      <c r="K126" s="551"/>
      <c r="L126" s="551"/>
      <c r="M126" s="551"/>
      <c r="N126" s="551"/>
      <c r="O126" s="551"/>
      <c r="P126" s="551"/>
      <c r="Q126" s="551"/>
      <c r="R126" s="551"/>
      <c r="S126" s="551"/>
      <c r="T126" s="551"/>
    </row>
    <row r="127" spans="2:20" s="552" customFormat="1" ht="12.65" customHeight="1">
      <c r="B127" s="509" t="s">
        <v>1331</v>
      </c>
      <c r="C127" s="506"/>
      <c r="D127" s="506"/>
      <c r="E127" s="551"/>
      <c r="F127" s="551"/>
      <c r="G127" s="551"/>
      <c r="H127" s="551"/>
      <c r="I127" s="551"/>
      <c r="J127" s="551"/>
      <c r="K127" s="551"/>
      <c r="L127" s="551"/>
      <c r="M127" s="551"/>
      <c r="N127" s="551"/>
      <c r="O127" s="551"/>
      <c r="P127" s="551"/>
      <c r="Q127" s="551"/>
      <c r="R127" s="551"/>
      <c r="S127" s="551"/>
      <c r="T127" s="551"/>
    </row>
    <row r="128" spans="2:20" s="506" customFormat="1" ht="12.75" customHeight="1">
      <c r="C128" s="536"/>
      <c r="D128" s="537"/>
      <c r="E128" s="511" t="s">
        <v>251</v>
      </c>
      <c r="F128" s="538" t="s">
        <v>252</v>
      </c>
      <c r="G128" s="538" t="s">
        <v>253</v>
      </c>
      <c r="H128" s="538" t="s">
        <v>254</v>
      </c>
      <c r="I128" s="538" t="s">
        <v>255</v>
      </c>
      <c r="J128" s="538" t="s">
        <v>256</v>
      </c>
      <c r="K128" s="538" t="s">
        <v>257</v>
      </c>
      <c r="L128" s="538" t="s">
        <v>258</v>
      </c>
      <c r="M128" s="538" t="s">
        <v>259</v>
      </c>
      <c r="N128" s="538" t="s">
        <v>260</v>
      </c>
      <c r="O128" s="538" t="s">
        <v>261</v>
      </c>
      <c r="P128" s="538" t="s">
        <v>262</v>
      </c>
      <c r="Q128" s="539" t="s">
        <v>263</v>
      </c>
      <c r="R128" s="540"/>
      <c r="S128" s="541"/>
      <c r="T128" s="542"/>
    </row>
    <row r="129" spans="2:20" s="506" customFormat="1" ht="12.75" customHeight="1">
      <c r="B129" s="519" t="s">
        <v>249</v>
      </c>
      <c r="C129" s="543" t="s">
        <v>1315</v>
      </c>
      <c r="D129" s="543"/>
      <c r="E129" s="522" t="s">
        <v>1290</v>
      </c>
      <c r="F129" s="523" t="s">
        <v>1290</v>
      </c>
      <c r="G129" s="523" t="s">
        <v>1290</v>
      </c>
      <c r="H129" s="523" t="s">
        <v>1290</v>
      </c>
      <c r="I129" s="523" t="s">
        <v>1290</v>
      </c>
      <c r="J129" s="523" t="s">
        <v>1290</v>
      </c>
      <c r="K129" s="523" t="s">
        <v>1290</v>
      </c>
      <c r="L129" s="523" t="s">
        <v>1290</v>
      </c>
      <c r="M129" s="523" t="s">
        <v>1290</v>
      </c>
      <c r="N129" s="523" t="s">
        <v>1290</v>
      </c>
      <c r="O129" s="523" t="s">
        <v>1290</v>
      </c>
      <c r="P129" s="523" t="s">
        <v>1290</v>
      </c>
      <c r="Q129" s="523" t="s">
        <v>1290</v>
      </c>
      <c r="R129" s="540"/>
      <c r="S129" s="1"/>
      <c r="T129" s="542"/>
    </row>
    <row r="130" spans="2:20" ht="12.75" customHeight="1">
      <c r="B130" s="525">
        <v>97</v>
      </c>
      <c r="C130" s="525" t="s">
        <v>1332</v>
      </c>
      <c r="D130" s="525"/>
      <c r="E130" s="546">
        <v>0</v>
      </c>
      <c r="F130" s="546">
        <v>0</v>
      </c>
      <c r="G130" s="546">
        <v>0</v>
      </c>
      <c r="H130" s="546">
        <v>0</v>
      </c>
      <c r="I130" s="546">
        <v>0</v>
      </c>
      <c r="J130" s="573"/>
      <c r="K130" s="573">
        <v>0</v>
      </c>
      <c r="L130" s="573"/>
      <c r="M130" s="573"/>
      <c r="N130" s="546">
        <v>50</v>
      </c>
      <c r="O130" s="546">
        <v>56</v>
      </c>
      <c r="P130" s="546">
        <v>0</v>
      </c>
      <c r="Q130" s="546">
        <f>SUM(E130:P130)</f>
        <v>106</v>
      </c>
      <c r="R130" s="544"/>
      <c r="S130" s="1" t="str">
        <f t="shared" ref="S130:S135" si="15">IF(OR(COUNTA(J130:M130)&lt;&gt;COUNT(J130:M130)),"Please remove any text entries, enter numeric values only","")</f>
        <v/>
      </c>
      <c r="T130" s="545"/>
    </row>
    <row r="131" spans="2:20" ht="12.75" customHeight="1">
      <c r="B131" s="525">
        <v>98</v>
      </c>
      <c r="C131" s="525" t="s">
        <v>1319</v>
      </c>
      <c r="D131" s="525"/>
      <c r="E131" s="546">
        <v>0</v>
      </c>
      <c r="F131" s="546">
        <v>0</v>
      </c>
      <c r="G131" s="546">
        <v>0</v>
      </c>
      <c r="H131" s="546">
        <v>0</v>
      </c>
      <c r="I131" s="546">
        <v>0</v>
      </c>
      <c r="J131" s="573"/>
      <c r="K131" s="573">
        <v>46629</v>
      </c>
      <c r="L131" s="573">
        <v>40000</v>
      </c>
      <c r="M131" s="573">
        <v>6048</v>
      </c>
      <c r="N131" s="546">
        <v>300</v>
      </c>
      <c r="O131" s="546">
        <v>300</v>
      </c>
      <c r="P131" s="546">
        <v>0</v>
      </c>
      <c r="Q131" s="546">
        <f t="shared" ref="Q131:Q137" si="16">SUM(E131:P131)</f>
        <v>93277</v>
      </c>
      <c r="R131" s="544"/>
      <c r="S131" s="1" t="str">
        <f t="shared" si="15"/>
        <v/>
      </c>
      <c r="T131" s="545"/>
    </row>
    <row r="132" spans="2:20" ht="12.65" customHeight="1">
      <c r="B132" s="525">
        <v>99</v>
      </c>
      <c r="C132" s="525" t="s">
        <v>1320</v>
      </c>
      <c r="D132" s="525"/>
      <c r="E132" s="546">
        <v>0</v>
      </c>
      <c r="F132" s="546">
        <v>0</v>
      </c>
      <c r="G132" s="546">
        <v>0</v>
      </c>
      <c r="H132" s="546">
        <v>0</v>
      </c>
      <c r="I132" s="546">
        <v>0</v>
      </c>
      <c r="J132" s="573"/>
      <c r="K132" s="573">
        <v>18856</v>
      </c>
      <c r="L132" s="573">
        <v>15000</v>
      </c>
      <c r="M132" s="573">
        <v>15000</v>
      </c>
      <c r="N132" s="546">
        <v>4000</v>
      </c>
      <c r="O132" s="546">
        <v>1900</v>
      </c>
      <c r="P132" s="546">
        <v>0</v>
      </c>
      <c r="Q132" s="546">
        <f t="shared" si="16"/>
        <v>54756</v>
      </c>
      <c r="R132" s="544"/>
      <c r="S132" s="1" t="str">
        <f t="shared" si="15"/>
        <v/>
      </c>
      <c r="T132" s="545"/>
    </row>
    <row r="133" spans="2:20" ht="12.65" customHeight="1">
      <c r="B133" s="525">
        <v>100</v>
      </c>
      <c r="C133" s="525" t="s">
        <v>1333</v>
      </c>
      <c r="D133" s="525"/>
      <c r="E133" s="546">
        <v>0</v>
      </c>
      <c r="F133" s="546">
        <v>0</v>
      </c>
      <c r="G133" s="546">
        <v>0</v>
      </c>
      <c r="H133" s="546">
        <v>0</v>
      </c>
      <c r="I133" s="546">
        <v>0</v>
      </c>
      <c r="J133" s="573"/>
      <c r="K133" s="573">
        <v>2580</v>
      </c>
      <c r="L133" s="573">
        <v>13197</v>
      </c>
      <c r="M133" s="573">
        <v>10227</v>
      </c>
      <c r="N133" s="546">
        <v>1531</v>
      </c>
      <c r="O133" s="546">
        <v>0</v>
      </c>
      <c r="P133" s="546">
        <v>0</v>
      </c>
      <c r="Q133" s="546">
        <f t="shared" si="16"/>
        <v>27535</v>
      </c>
      <c r="R133" s="544"/>
      <c r="S133" s="1" t="str">
        <f t="shared" si="15"/>
        <v/>
      </c>
      <c r="T133" s="545"/>
    </row>
    <row r="134" spans="2:20" ht="12.65" customHeight="1">
      <c r="B134" s="525">
        <v>101</v>
      </c>
      <c r="C134" s="525" t="s">
        <v>1334</v>
      </c>
      <c r="D134" s="525"/>
      <c r="E134" s="546">
        <v>0</v>
      </c>
      <c r="F134" s="546">
        <v>0</v>
      </c>
      <c r="G134" s="546">
        <v>0</v>
      </c>
      <c r="H134" s="546">
        <v>0</v>
      </c>
      <c r="I134" s="546">
        <v>0</v>
      </c>
      <c r="J134" s="573"/>
      <c r="K134" s="573">
        <v>600</v>
      </c>
      <c r="L134" s="573">
        <v>400</v>
      </c>
      <c r="M134" s="573"/>
      <c r="N134" s="546">
        <v>0</v>
      </c>
      <c r="O134" s="546">
        <v>0</v>
      </c>
      <c r="P134" s="546">
        <v>0</v>
      </c>
      <c r="Q134" s="546">
        <f t="shared" si="16"/>
        <v>1000</v>
      </c>
      <c r="R134" s="544"/>
      <c r="S134" s="1" t="str">
        <f t="shared" si="15"/>
        <v/>
      </c>
      <c r="T134" s="545"/>
    </row>
    <row r="135" spans="2:20" ht="12.75" customHeight="1">
      <c r="B135" s="525">
        <v>102</v>
      </c>
      <c r="C135" s="525" t="s">
        <v>1321</v>
      </c>
      <c r="D135" s="525"/>
      <c r="E135" s="546">
        <v>0</v>
      </c>
      <c r="F135" s="546">
        <v>0</v>
      </c>
      <c r="G135" s="546">
        <v>0</v>
      </c>
      <c r="H135" s="546">
        <v>0</v>
      </c>
      <c r="I135" s="546">
        <v>0</v>
      </c>
      <c r="J135" s="574"/>
      <c r="K135" s="575">
        <v>0</v>
      </c>
      <c r="L135" s="575"/>
      <c r="M135" s="574"/>
      <c r="N135" s="546">
        <v>251</v>
      </c>
      <c r="O135" s="546">
        <v>100</v>
      </c>
      <c r="P135" s="546">
        <v>0</v>
      </c>
      <c r="Q135" s="546">
        <f t="shared" si="16"/>
        <v>351</v>
      </c>
      <c r="R135" s="544"/>
      <c r="S135" s="1" t="str">
        <f t="shared" si="15"/>
        <v/>
      </c>
      <c r="T135" s="545"/>
    </row>
    <row r="136" spans="2:20" ht="12.75" customHeight="1">
      <c r="B136" s="553">
        <v>103</v>
      </c>
      <c r="C136" s="531" t="s">
        <v>1322</v>
      </c>
      <c r="D136" s="531"/>
      <c r="E136" s="546">
        <f>SUM(E130:E135)</f>
        <v>0</v>
      </c>
      <c r="F136" s="546">
        <f t="shared" ref="F136:P136" si="17">SUM(F130:F135)</f>
        <v>0</v>
      </c>
      <c r="G136" s="546">
        <f t="shared" si="17"/>
        <v>0</v>
      </c>
      <c r="H136" s="546">
        <f t="shared" si="17"/>
        <v>0</v>
      </c>
      <c r="I136" s="546">
        <f t="shared" si="17"/>
        <v>0</v>
      </c>
      <c r="J136" s="546">
        <f t="shared" si="17"/>
        <v>0</v>
      </c>
      <c r="K136" s="546">
        <f t="shared" si="17"/>
        <v>68665</v>
      </c>
      <c r="L136" s="546">
        <f t="shared" si="17"/>
        <v>68597</v>
      </c>
      <c r="M136" s="546">
        <f t="shared" si="17"/>
        <v>31275</v>
      </c>
      <c r="N136" s="546">
        <f t="shared" si="17"/>
        <v>6132</v>
      </c>
      <c r="O136" s="546">
        <f t="shared" si="17"/>
        <v>2356</v>
      </c>
      <c r="P136" s="546">
        <f t="shared" si="17"/>
        <v>0</v>
      </c>
      <c r="Q136" s="546">
        <f t="shared" si="16"/>
        <v>177025</v>
      </c>
      <c r="R136" s="544"/>
      <c r="S136" s="1"/>
      <c r="T136" s="545"/>
    </row>
    <row r="137" spans="2:20" ht="12.75" customHeight="1">
      <c r="B137" s="553">
        <v>104</v>
      </c>
      <c r="C137" s="531" t="s">
        <v>1335</v>
      </c>
      <c r="D137" s="531"/>
      <c r="E137" s="546">
        <f t="shared" ref="E137:P137" si="18">E124-E136</f>
        <v>0</v>
      </c>
      <c r="F137" s="546">
        <f t="shared" si="18"/>
        <v>0</v>
      </c>
      <c r="G137" s="546">
        <f t="shared" si="18"/>
        <v>0</v>
      </c>
      <c r="H137" s="546">
        <f t="shared" si="18"/>
        <v>0</v>
      </c>
      <c r="I137" s="546">
        <f t="shared" si="18"/>
        <v>0</v>
      </c>
      <c r="J137" s="546">
        <f t="shared" si="18"/>
        <v>0</v>
      </c>
      <c r="K137" s="546">
        <f t="shared" si="18"/>
        <v>0</v>
      </c>
      <c r="L137" s="546">
        <f t="shared" si="18"/>
        <v>0</v>
      </c>
      <c r="M137" s="546">
        <f t="shared" si="18"/>
        <v>0</v>
      </c>
      <c r="N137" s="546">
        <f t="shared" si="18"/>
        <v>0</v>
      </c>
      <c r="O137" s="546">
        <f t="shared" si="18"/>
        <v>0</v>
      </c>
      <c r="P137" s="546">
        <f t="shared" si="18"/>
        <v>0</v>
      </c>
      <c r="Q137" s="546">
        <f t="shared" si="16"/>
        <v>0</v>
      </c>
      <c r="R137" s="544"/>
      <c r="S137" s="1" t="str">
        <f>IF(OR(COUNTA(G137:H137)&lt;&gt;COUNT(G137:H137),COUNTA(D137)&lt;&gt;COUNT(D137)),"Please remove any text entries, enter numeric values only","")</f>
        <v/>
      </c>
      <c r="T137" s="545"/>
    </row>
    <row r="138" spans="2:20" s="499" customFormat="1" ht="12.75" customHeight="1"/>
    <row r="139" spans="2:20" s="552" customFormat="1" ht="12.65" customHeight="1">
      <c r="B139" s="550"/>
      <c r="C139" s="506"/>
      <c r="D139" s="506"/>
      <c r="E139" s="551"/>
      <c r="F139" s="551"/>
      <c r="G139" s="551"/>
      <c r="H139" s="551"/>
      <c r="I139" s="551"/>
      <c r="J139" s="551"/>
      <c r="K139" s="551"/>
      <c r="L139" s="551"/>
      <c r="M139" s="551"/>
      <c r="N139" s="551"/>
      <c r="O139" s="551"/>
      <c r="P139" s="551"/>
      <c r="Q139" s="551"/>
      <c r="R139" s="551"/>
      <c r="S139" s="57">
        <f>COUNTIFS(S9:S137,"please*")</f>
        <v>0</v>
      </c>
      <c r="T139" s="551"/>
    </row>
  </sheetData>
  <mergeCells count="7">
    <mergeCell ref="E7:F7"/>
    <mergeCell ref="G7:H7"/>
    <mergeCell ref="C2:E2"/>
    <mergeCell ref="H3:L3"/>
    <mergeCell ref="D4:E4"/>
    <mergeCell ref="H4:L4"/>
    <mergeCell ref="H5:L5"/>
  </mergeCells>
  <pageMargins left="0.70866141732283472" right="0.70866141732283472" top="0.74803149606299213" bottom="0.74803149606299213" header="0.31496062992125984" footer="0.31496062992125984"/>
  <pageSetup paperSize="9" scale="4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etadata xmlns="http://www.objective.com/ecm/document/metadata/FF3C5B18883D4E21973B57C2EEED7FD1" version="1.0.0">
  <systemFields>
    <field name="Objective-Id">
      <value order="0">A51916438</value>
    </field>
    <field name="Objective-Title">
      <value order="0">SBUHB Annex 1b MDS 2024-25_Part B Finance_FINAL</value>
    </field>
    <field name="Objective-Description">
      <value order="0"/>
    </field>
    <field name="Objective-CreationStamp">
      <value order="0">2024-04-02T11:42:58Z</value>
    </field>
    <field name="Objective-IsApproved">
      <value order="0">false</value>
    </field>
    <field name="Objective-IsPublished">
      <value order="0">false</value>
    </field>
    <field name="Objective-DatePublished">
      <value order="0"/>
    </field>
    <field name="Objective-ModificationStamp">
      <value order="0">2024-04-02T11:50:13Z</value>
    </field>
    <field name="Objective-Owner">
      <value order="0">Williams, Owen (HSS - NHS Planning)</value>
    </field>
    <field name="Objective-Path">
      <value order="0">Objective Global Folder:#Business File Plan:WG Organisational Groups:NEW - Post April 2022 - Health &amp; Social Services:Deputy Chief Executive NHS Wales:Health &amp; Social Services (HSS) - DCE - Delivery &amp; Performance :1 - Save:Move:Planning:IMTPs/Annual Plans 2024/2025:HSS - Final Submission - Annual Plan by Organisation - 2024-2025:Swansea Bay</value>
    </field>
    <field name="Objective-Parent">
      <value order="0">Swansea Bay</value>
    </field>
    <field name="Objective-State">
      <value order="0">Being Drafted</value>
    </field>
    <field name="Objective-VersionId">
      <value order="0">vA95589504</value>
    </field>
    <field name="Objective-Version">
      <value order="0">0.1</value>
    </field>
    <field name="Objective-VersionNumber">
      <value order="0">1</value>
    </field>
    <field name="Objective-VersionComment">
      <value order="0">First version</value>
    </field>
    <field name="Objective-FileNumber">
      <value order="0">qA1975112</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6C2293D3F6CAF44883FAF75821614A26" ma:contentTypeVersion="5" ma:contentTypeDescription="Create a new document." ma:contentTypeScope="" ma:versionID="0a61740fef8346524f441d61d9727cc7">
  <xsd:schema xmlns:xsd="http://www.w3.org/2001/XMLSchema" xmlns:xs="http://www.w3.org/2001/XMLSchema" xmlns:p="http://schemas.microsoft.com/office/2006/metadata/properties" xmlns:ns2="44db3db7-1523-4826-83fd-741d9b441697" targetNamespace="http://schemas.microsoft.com/office/2006/metadata/properties" ma:root="true" ma:fieldsID="a28ca8cf01fb7f32a947c1af1a4f8965" ns2:_="">
    <xsd:import namespace="44db3db7-1523-4826-83fd-741d9b44169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db3db7-1523-4826-83fd-741d9b4416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44db3db7-1523-4826-83fd-741d9b441697">
      <UserInfo>
        <DisplayName>Eiddig Morgan (Finance Delivery Unit)</DisplayName>
        <AccountId>34</AccountId>
        <AccountType/>
      </UserInfo>
      <UserInfo>
        <DisplayName>Bryan Crosland (Finance Delivery Unit)</DisplayName>
        <AccountId>14</AccountId>
        <AccountType/>
      </UserInfo>
      <UserInfo>
        <DisplayName>Alexander Watts (Finance Delivery Unit)</DisplayName>
        <AccountId>31</AccountId>
        <AccountType/>
      </UserInfo>
      <UserInfo>
        <DisplayName>Craig Davey (Finance Delivery Unit)</DisplayName>
        <AccountId>19</AccountId>
        <AccountType/>
      </UserInfo>
    </SharedWithUsers>
  </documentManagement>
</p:properties>
</file>

<file path=customXml/itemProps1.xml><?xml version="1.0" encoding="utf-8"?>
<ds:datastoreItem xmlns:ds="http://schemas.openxmlformats.org/officeDocument/2006/customXml" ds:itemID="{27C40449-73A7-46C1-91B7-842947281A19}">
  <ds:schemaRefs>
    <ds:schemaRef ds:uri="http://schemas.microsoft.com/sharepoint/v3/contenttype/forms"/>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51184F82-4BDC-4902-95CA-AE0DCD814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db3db7-1523-4826-83fd-741d9b441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75A26E-D2A0-407E-AC08-F06849FFFD7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4db3db7-1523-4826-83fd-741d9b44169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44</vt:i4>
      </vt:variant>
      <vt:variant>
        <vt:lpstr>Named Ranges</vt:lpstr>
      </vt:variant>
      <vt:variant>
        <vt:i4>38</vt:i4>
      </vt:variant>
    </vt:vector>
  </HeadingPairs>
  <TitlesOfParts>
    <vt:vector size="82" baseType="lpstr">
      <vt:lpstr>Front Sheet and Checklist</vt:lpstr>
      <vt:lpstr>General Notes</vt:lpstr>
      <vt:lpstr>Ref.Staff</vt:lpstr>
      <vt:lpstr>Validation</vt:lpstr>
      <vt:lpstr>Ref Bedplan</vt:lpstr>
      <vt:lpstr>Definitions and Guidance</vt:lpstr>
      <vt:lpstr>Cost Drivers</vt:lpstr>
      <vt:lpstr>Data.Activity</vt:lpstr>
      <vt:lpstr>Vaccinations</vt:lpstr>
      <vt:lpstr>Bedplan</vt:lpstr>
      <vt:lpstr>Workforce WTE</vt:lpstr>
      <vt:lpstr>Primary Care Activity</vt:lpstr>
      <vt:lpstr>CHC &amp; FNC</vt:lpstr>
      <vt:lpstr>Mental Health Activity</vt:lpstr>
      <vt:lpstr>Cancer Care Activity</vt:lpstr>
      <vt:lpstr>Unsch.Care &amp; Ambulance Activity</vt:lpstr>
      <vt:lpstr>Planned Care Activity</vt:lpstr>
      <vt:lpstr>F1 - Revenue Plan</vt:lpstr>
      <vt:lpstr>Ref Net Exp</vt:lpstr>
      <vt:lpstr>Ref Workforce</vt:lpstr>
      <vt:lpstr>F2 - Net Expenditure</vt:lpstr>
      <vt:lpstr>F3 - ULD</vt:lpstr>
      <vt:lpstr>F4 - Funding Assumptions</vt:lpstr>
      <vt:lpstr>F5 - Cost Pressures</vt:lpstr>
      <vt:lpstr>Tie up with MMR</vt:lpstr>
      <vt:lpstr>F6 - Savings Tracker</vt:lpstr>
      <vt:lpstr>Ref Lists</vt:lpstr>
      <vt:lpstr>F7 - Opportunity Pipeline</vt:lpstr>
      <vt:lpstr>F8 - Pay Split</vt:lpstr>
      <vt:lpstr>F9 - Project Profile</vt:lpstr>
      <vt:lpstr>Data.Finance</vt:lpstr>
      <vt:lpstr>F10 - Risks &amp; Opportunities</vt:lpstr>
      <vt:lpstr>Data.Capital</vt:lpstr>
      <vt:lpstr>F11 - Capital Data</vt:lpstr>
      <vt:lpstr>F12 - Other Estates Data</vt:lpstr>
      <vt:lpstr>A1 Graphs - Finance</vt:lpstr>
      <vt:lpstr>A2 Movements by spend area</vt:lpstr>
      <vt:lpstr>A3 Cost Pressures Summary</vt:lpstr>
      <vt:lpstr>A4 Savings Summary</vt:lpstr>
      <vt:lpstr>A5 Capital Summary</vt:lpstr>
      <vt:lpstr>A6 Workforce &amp; Pay analysis</vt:lpstr>
      <vt:lpstr>A7 Bed analysis</vt:lpstr>
      <vt:lpstr>Ref Net Spend</vt:lpstr>
      <vt:lpstr>Ref Historic Spend</vt:lpstr>
      <vt:lpstr>'A1 Graphs - Finance'!Print_Area</vt:lpstr>
      <vt:lpstr>'A2 Movements by spend area'!Print_Area</vt:lpstr>
      <vt:lpstr>'A3 Cost Pressures Summary'!Print_Area</vt:lpstr>
      <vt:lpstr>'A4 Savings Summary'!Print_Area</vt:lpstr>
      <vt:lpstr>'A5 Capital Summary'!Print_Area</vt:lpstr>
      <vt:lpstr>'A6 Workforce &amp; Pay analysis'!Print_Area</vt:lpstr>
      <vt:lpstr>'A7 Bed analysis'!Print_Area</vt:lpstr>
      <vt:lpstr>'F1 - Revenue Plan'!Print_Area</vt:lpstr>
      <vt:lpstr>'F10 - Risks &amp; Opportunities'!Print_Area</vt:lpstr>
      <vt:lpstr>'F12 - Other Estates Data'!Print_Area</vt:lpstr>
      <vt:lpstr>'F2 - Net Expenditure'!Print_Area</vt:lpstr>
      <vt:lpstr>'F3 - ULD'!Print_Area</vt:lpstr>
      <vt:lpstr>'F4 - Funding Assumptions'!Print_Area</vt:lpstr>
      <vt:lpstr>'F7 - Opportunity Pipeline'!Print_Area</vt:lpstr>
      <vt:lpstr>'F8 - Pay Split'!Print_Area</vt:lpstr>
      <vt:lpstr>'Mental Health Activity'!Print_Area</vt:lpstr>
      <vt:lpstr>Savings01</vt:lpstr>
      <vt:lpstr>Savings02</vt:lpstr>
      <vt:lpstr>Savings03</vt:lpstr>
      <vt:lpstr>Savings04</vt:lpstr>
      <vt:lpstr>Savings05</vt:lpstr>
      <vt:lpstr>Savings06</vt:lpstr>
      <vt:lpstr>Savings07</vt:lpstr>
      <vt:lpstr>Savings08</vt:lpstr>
      <vt:lpstr>Savings09</vt:lpstr>
      <vt:lpstr>Savings10</vt:lpstr>
      <vt:lpstr>Savings11</vt:lpstr>
      <vt:lpstr>Savings12</vt:lpstr>
      <vt:lpstr>Savings13</vt:lpstr>
      <vt:lpstr>Savings14</vt:lpstr>
      <vt:lpstr>Savings15</vt:lpstr>
      <vt:lpstr>Savings16</vt:lpstr>
      <vt:lpstr>Savings17</vt:lpstr>
      <vt:lpstr>Savings18</vt:lpstr>
      <vt:lpstr>Savings19</vt:lpstr>
      <vt:lpstr>Savings20</vt:lpstr>
      <vt:lpstr>Savings21</vt:lpstr>
      <vt:lpstr>Savings22</vt:lpstr>
    </vt:vector>
  </TitlesOfParts>
  <Manager/>
  <Company>NAfW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Alun (DHSS - Finance Programme Director)</dc:creator>
  <cp:keywords/>
  <dc:description/>
  <cp:lastModifiedBy>Carys Richards (Swansea Bay UHB - Corporate Governance</cp:lastModifiedBy>
  <cp:revision/>
  <dcterms:created xsi:type="dcterms:W3CDTF">2013-10-21T08:40:07Z</dcterms:created>
  <dcterms:modified xsi:type="dcterms:W3CDTF">2025-05-21T10:13:27Z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A51916438</vt:lpwstr>
  </property>
  <property fmtid="{D5CDD505-2E9C-101B-9397-08002B2CF9AE}" pid="4" name="Objective-Title">
    <vt:lpwstr>SBUHB Annex 1b MDS 2024-25_Part B Finance_FINAL</vt:lpwstr>
  </property>
  <property fmtid="{D5CDD505-2E9C-101B-9397-08002B2CF9AE}" pid="5" name="Objective-Comment">
    <vt:lpwstr/>
  </property>
  <property fmtid="{D5CDD505-2E9C-101B-9397-08002B2CF9AE}" pid="6" name="Objective-CreationStamp">
    <vt:filetime>2024-04-02T11:42:58Z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2024-04-02T11:50:13Z</vt:filetime>
  </property>
  <property fmtid="{D5CDD505-2E9C-101B-9397-08002B2CF9AE}" pid="11" name="Objective-Owner">
    <vt:lpwstr>Williams, Owen (HSS - NHS Planning)</vt:lpwstr>
  </property>
  <property fmtid="{D5CDD505-2E9C-101B-9397-08002B2CF9AE}" pid="12" name="Objective-Path">
    <vt:lpwstr>Objective Global Folder:#Business File Plan:WG Organisational Groups:NEW - Post April 2022 - Health &amp; Social Services:Deputy Chief Executive NHS Wales:Health &amp; Social Services (HSS) - DCE - Delivery &amp; Performance :1 - Save:Move:Planning:IMTPs/Annual Plans</vt:lpwstr>
  </property>
  <property fmtid="{D5CDD505-2E9C-101B-9397-08002B2CF9AE}" pid="13" name="Objective-Parent">
    <vt:lpwstr>Swansea Bay</vt:lpwstr>
  </property>
  <property fmtid="{D5CDD505-2E9C-101B-9397-08002B2CF9AE}" pid="14" name="Objective-State">
    <vt:lpwstr>Being Drafted</vt:lpwstr>
  </property>
  <property fmtid="{D5CDD505-2E9C-101B-9397-08002B2CF9AE}" pid="15" name="Objective-Version">
    <vt:lpwstr>0.1</vt:lpwstr>
  </property>
  <property fmtid="{D5CDD505-2E9C-101B-9397-08002B2CF9AE}" pid="16" name="Objective-VersionNumber">
    <vt:r8>1</vt:r8>
  </property>
  <property fmtid="{D5CDD505-2E9C-101B-9397-08002B2CF9AE}" pid="17" name="Objective-VersionComment">
    <vt:lpwstr>First version</vt:lpwstr>
  </property>
  <property fmtid="{D5CDD505-2E9C-101B-9397-08002B2CF9AE}" pid="18" name="Objective-FileNumber">
    <vt:lpwstr>qA1975112</vt:lpwstr>
  </property>
  <property fmtid="{D5CDD505-2E9C-101B-9397-08002B2CF9AE}" pid="19" name="Objective-Classification">
    <vt:lpwstr>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2018-09-05T00:00:00Z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vA95589504</vt:lpwstr>
  </property>
  <property fmtid="{D5CDD505-2E9C-101B-9397-08002B2CF9AE}" pid="28" name="Objective-Language">
    <vt:lpwstr>English (eng)</vt:lpwstr>
  </property>
  <property fmtid="{D5CDD505-2E9C-101B-9397-08002B2CF9AE}" pid="29" name="Objective-Date Acquired">
    <vt:lpwstr/>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_NewReviewCycle">
    <vt:lpwstr/>
  </property>
  <property fmtid="{D5CDD505-2E9C-101B-9397-08002B2CF9AE}" pid="34" name="ContentTypeId">
    <vt:lpwstr>0x0101006C2293D3F6CAF44883FAF75821614A26</vt:lpwstr>
  </property>
  <property fmtid="{D5CDD505-2E9C-101B-9397-08002B2CF9AE}" pid="35" name="MediaServiceImageTags">
    <vt:lpwstr/>
  </property>
</Properties>
</file>